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8.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9.xml" ContentType="application/vnd.openxmlformats-officedocument.drawing+xml"/>
  <Override PartName="/xl/activeX/activeX11.xml" ContentType="application/vnd.ms-office.activeX+xml"/>
  <Override PartName="/xl/activeX/activeX11.bin" ContentType="application/vnd.ms-office.activeX"/>
  <Override PartName="/xl/drawings/drawing10.xml" ContentType="application/vnd.openxmlformats-officedocument.drawing+xml"/>
  <Override PartName="/xl/activeX/activeX12.xml" ContentType="application/vnd.ms-office.activeX+xml"/>
  <Override PartName="/xl/activeX/activeX12.bin" ContentType="application/vnd.ms-office.activeX"/>
  <Override PartName="/xl/drawings/drawing11.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drawings/drawing12.xml" ContentType="application/vnd.openxmlformats-officedocument.drawing+xml"/>
  <Override PartName="/xl/activeX/activeX16.xml" ContentType="application/vnd.ms-office.activeX+xml"/>
  <Override PartName="/xl/activeX/activeX16.bin" ContentType="application/vnd.ms-office.activeX"/>
  <Override PartName="/xl/drawings/drawing13.xml" ContentType="application/vnd.openxmlformats-officedocument.drawing+xml"/>
  <Override PartName="/xl/activeX/activeX17.xml" ContentType="application/vnd.ms-office.activeX+xml"/>
  <Override PartName="/xl/activeX/activeX17.bin" ContentType="application/vnd.ms-office.activeX"/>
  <Override PartName="/xl/drawings/drawing14.xml" ContentType="application/vnd.openxmlformats-officedocument.drawing+xml"/>
  <Override PartName="/xl/activeX/activeX18.xml" ContentType="application/vnd.ms-office.activeX+xml"/>
  <Override PartName="/xl/activeX/activeX18.bin" ContentType="application/vnd.ms-office.activeX"/>
  <Override PartName="/xl/drawings/drawing15.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omments5.xml" ContentType="application/vnd.openxmlformats-officedocument.spreadsheetml.comments+xml"/>
  <Override PartName="/xl/drawings/drawing16.xml" ContentType="application/vnd.openxmlformats-officedocument.drawing+xml"/>
  <Override PartName="/xl/activeX/activeX21.xml" ContentType="application/vnd.ms-office.activeX+xml"/>
  <Override PartName="/xl/activeX/activeX21.bin" ContentType="application/vnd.ms-office.activeX"/>
  <Override PartName="/xl/drawings/drawing17.xml" ContentType="application/vnd.openxmlformats-officedocument.drawing+xml"/>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20490" windowHeight="8745"/>
  </bookViews>
  <sheets>
    <sheet name="Contratos revisados en orden" sheetId="13" r:id="rId1"/>
    <sheet name="Contratos revisados en orde (2)" sheetId="41" state="hidden" r:id="rId2"/>
    <sheet name="Hoja5" sheetId="44" r:id="rId3"/>
    <sheet name="cdr85" sheetId="43" r:id="rId4"/>
    <sheet name="cdr125" sheetId="42" r:id="rId5"/>
    <sheet name="cdrs a liberar informe 2018" sheetId="26" r:id="rId6"/>
    <sheet name="liq sin pago" sheetId="40" r:id="rId7"/>
    <sheet name="Hoja3" sheetId="39" r:id="rId8"/>
    <sheet name="Hoja1" sheetId="38" r:id="rId9"/>
    <sheet name="Hoja2" sheetId="37" r:id="rId10"/>
    <sheet name="CTO 039-2010" sheetId="36" r:id="rId11"/>
    <sheet name="CTO 180-15" sheetId="35" r:id="rId12"/>
    <sheet name="cdr324" sheetId="34" r:id="rId13"/>
    <sheet name="cto 74-2014" sheetId="33" r:id="rId14"/>
    <sheet name="cdr6moral-ctos115-15 -031-2016" sheetId="32" r:id="rId15"/>
    <sheet name="cto 70-10-cdr94" sheetId="31" r:id="rId16"/>
    <sheet name="cto 032-2014" sheetId="30" r:id="rId17"/>
    <sheet name="CTO 044-2015" sheetId="29" r:id="rId18"/>
    <sheet name="048-2010" sheetId="28" r:id="rId19"/>
    <sheet name="confusion fuentes" sheetId="27" r:id="rId20"/>
    <sheet name="CTOS A LIBERAR" sheetId="25" r:id="rId21"/>
    <sheet name="CTO 103-10" sheetId="24" r:id="rId22"/>
    <sheet name="gerencia asesora" sheetId="21" r:id="rId23"/>
    <sheet name="cdr0011-virtual" sheetId="22" r:id="rId24"/>
    <sheet name="cdrS" sheetId="19" r:id="rId25"/>
    <sheet name="liberacion feb-18" sheetId="14" r:id="rId26"/>
    <sheet name="liberacion ordenada" sheetId="15" r:id="rId27"/>
    <sheet name="DIAPOSITIVA" sheetId="20" r:id="rId28"/>
    <sheet name="liberacion ordenada (2)" sheetId="16" r:id="rId29"/>
    <sheet name="Listas" sheetId="4" r:id="rId30"/>
    <sheet name="PAGOS CDR 174" sheetId="6" r:id="rId31"/>
    <sheet name="Contratos con CDRs" sheetId="9" r:id="rId32"/>
  </sheets>
  <externalReferences>
    <externalReference r:id="rId33"/>
    <externalReference r:id="rId34"/>
    <externalReference r:id="rId35"/>
    <externalReference r:id="rId36"/>
    <externalReference r:id="rId37"/>
  </externalReferences>
  <definedNames>
    <definedName name="_xlnm._FilterDatabase" localSheetId="5" hidden="1">'cdrs a liberar informe 2018'!$A$2:$AQ$2</definedName>
    <definedName name="_xlnm._FilterDatabase" localSheetId="19" hidden="1">'confusion fuentes'!$A$2:$AQ$1462</definedName>
    <definedName name="_xlnm._FilterDatabase" localSheetId="31" hidden="1">'Contratos con CDRs'!$A$1:$F$14</definedName>
    <definedName name="_xlnm._FilterDatabase" localSheetId="1" hidden="1">'Contratos revisados en orde (2)'!$A$2:$AI$1547</definedName>
    <definedName name="_xlnm._FilterDatabase" localSheetId="0" hidden="1">'Contratos revisados en orden'!$A$2:$AO$1544</definedName>
    <definedName name="_xlnm._FilterDatabase" localSheetId="29" hidden="1">Listas!$A$1:$F$1</definedName>
    <definedName name="_xlnm._FilterDatabase" localSheetId="30" hidden="1">'PAGOS CDR 174'!$A$1:$G$69</definedName>
    <definedName name="_xlnm.Print_Area" localSheetId="27">DIAPOSITIVA!#REF!</definedName>
    <definedName name="_xlnm.Print_Area" localSheetId="26">'liberacion ordenada'!$A$6:$M$92</definedName>
    <definedName name="_xlnm.Print_Area" localSheetId="28">'liberacion ordenada (2)'!$A$6:$M$87</definedName>
    <definedName name="_xlnm.Print_Titles" localSheetId="27">DIAPOSITIVA!$1:$8</definedName>
    <definedName name="_xlnm.Print_Titles" localSheetId="26">'liberacion ordenada'!$1:$6</definedName>
    <definedName name="_xlnm.Print_Titles" localSheetId="28">'liberacion ordenada (2)'!$1:$6</definedName>
  </definedNames>
  <calcPr calcId="152511"/>
</workbook>
</file>

<file path=xl/calcChain.xml><?xml version="1.0" encoding="utf-8"?>
<calcChain xmlns="http://schemas.openxmlformats.org/spreadsheetml/2006/main">
  <c r="E6" i="44" l="1"/>
  <c r="E7" i="44"/>
  <c r="E5" i="44"/>
  <c r="E3" i="43"/>
  <c r="E4" i="43"/>
  <c r="E2" i="43"/>
  <c r="AS71" i="13"/>
  <c r="AM13" i="26"/>
  <c r="AF71" i="13"/>
  <c r="AL71" i="13"/>
  <c r="AJ71" i="13"/>
  <c r="AA73" i="13"/>
  <c r="AB73" i="13" s="1"/>
  <c r="AS43" i="13"/>
  <c r="E4" i="42" l="1"/>
  <c r="E3" i="42"/>
  <c r="E2" i="42"/>
  <c r="D24" i="42"/>
  <c r="D16" i="42"/>
  <c r="D25" i="42" s="1"/>
  <c r="Z1746" i="13" l="1"/>
  <c r="AS1690" i="13" l="1"/>
  <c r="AS1660" i="13"/>
  <c r="AS1663" i="13"/>
  <c r="AS1666" i="13"/>
  <c r="AS1669" i="13"/>
  <c r="AS1657" i="13"/>
  <c r="AS1654" i="13"/>
  <c r="AS1651" i="13"/>
  <c r="AS1648" i="13"/>
  <c r="AD1753" i="13"/>
  <c r="AD1750" i="13"/>
  <c r="AD1679" i="13"/>
  <c r="Z1792" i="13"/>
  <c r="AB1792" i="13" s="1"/>
  <c r="AD1792" i="13" s="1"/>
  <c r="Z1791" i="13"/>
  <c r="AB1791" i="13" s="1"/>
  <c r="AD1791" i="13" s="1"/>
  <c r="Z1790" i="13"/>
  <c r="AB1790" i="13" s="1"/>
  <c r="AD1790" i="13" s="1"/>
  <c r="Z1789" i="13"/>
  <c r="AB1789" i="13" s="1"/>
  <c r="AD1789" i="13" s="1"/>
  <c r="Z1788" i="13"/>
  <c r="AB1788" i="13" s="1"/>
  <c r="AD1788" i="13" s="1"/>
  <c r="AD1675" i="13"/>
  <c r="AD1378" i="13"/>
  <c r="AD1386" i="13"/>
  <c r="AD1394" i="13"/>
  <c r="AB39" i="40"/>
  <c r="AH39" i="40" s="1"/>
  <c r="AB38" i="40"/>
  <c r="AH38" i="40" s="1"/>
  <c r="AL37" i="40"/>
  <c r="AJ37" i="40"/>
  <c r="AF37" i="40"/>
  <c r="AG37" i="40" s="1"/>
  <c r="AB37" i="40"/>
  <c r="AH37" i="40" s="1"/>
  <c r="U37" i="40"/>
  <c r="S37" i="40"/>
  <c r="P37" i="40"/>
  <c r="AK37" i="40" s="1"/>
  <c r="AB35" i="40"/>
  <c r="AH35" i="40" s="1"/>
  <c r="AL34" i="40"/>
  <c r="AK34" i="40"/>
  <c r="AJ34" i="40"/>
  <c r="AI34" i="40"/>
  <c r="AF34" i="40"/>
  <c r="AB34" i="40"/>
  <c r="AH34" i="40" s="1"/>
  <c r="U34" i="40"/>
  <c r="S34" i="40"/>
  <c r="AB33" i="40"/>
  <c r="AH33" i="40" s="1"/>
  <c r="AK32" i="40"/>
  <c r="AI32" i="40"/>
  <c r="Z32" i="40"/>
  <c r="AB32" i="40" s="1"/>
  <c r="AH32" i="40" s="1"/>
  <c r="U32" i="40"/>
  <c r="Z31" i="40"/>
  <c r="AB31" i="40" s="1"/>
  <c r="AH31" i="40" s="1"/>
  <c r="AB30" i="40"/>
  <c r="AH30" i="40" s="1"/>
  <c r="AL29" i="40"/>
  <c r="AK29" i="40"/>
  <c r="AI29" i="40"/>
  <c r="AF29" i="40"/>
  <c r="AG29" i="40" s="1"/>
  <c r="AB29" i="40"/>
  <c r="AH29" i="40" s="1"/>
  <c r="U29" i="40"/>
  <c r="S29" i="40"/>
  <c r="AB27" i="40"/>
  <c r="AH27" i="40" s="1"/>
  <c r="AB26" i="40"/>
  <c r="AH26" i="40" s="1"/>
  <c r="AI25" i="40"/>
  <c r="AB25" i="40"/>
  <c r="AH25" i="40" s="1"/>
  <c r="U25" i="40"/>
  <c r="AB24" i="40"/>
  <c r="AH24" i="40" s="1"/>
  <c r="AB23" i="40"/>
  <c r="AH23" i="40" s="1"/>
  <c r="AL22" i="40"/>
  <c r="AJ22" i="40"/>
  <c r="AI22" i="40"/>
  <c r="AF22" i="40"/>
  <c r="AG22" i="40" s="1"/>
  <c r="AB22" i="40"/>
  <c r="AH22" i="40" s="1"/>
  <c r="U22" i="40"/>
  <c r="S22" i="40"/>
  <c r="P22" i="40"/>
  <c r="AK22" i="40" s="1"/>
  <c r="AM22" i="40" s="1"/>
  <c r="AH20" i="40"/>
  <c r="AB20" i="40"/>
  <c r="AL19" i="40"/>
  <c r="AJ19" i="40"/>
  <c r="AI19" i="40"/>
  <c r="AH19" i="40"/>
  <c r="AF19" i="40"/>
  <c r="AB19" i="40"/>
  <c r="U19" i="40"/>
  <c r="S19" i="40"/>
  <c r="P19" i="40"/>
  <c r="AK19" i="40" s="1"/>
  <c r="AM19" i="40" s="1"/>
  <c r="AH18" i="40"/>
  <c r="AB18" i="40"/>
  <c r="AK17" i="40"/>
  <c r="AI17" i="40"/>
  <c r="AH17" i="40"/>
  <c r="AB17" i="40"/>
  <c r="U17" i="40"/>
  <c r="AL16" i="40"/>
  <c r="AK16" i="40"/>
  <c r="AJ16" i="40"/>
  <c r="AI16" i="40"/>
  <c r="AH16" i="40"/>
  <c r="AF16" i="40"/>
  <c r="AB16" i="40"/>
  <c r="W16" i="40"/>
  <c r="U16" i="40"/>
  <c r="S16" i="40"/>
  <c r="P16" i="40"/>
  <c r="AB14" i="40"/>
  <c r="AH14" i="40" s="1"/>
  <c r="AB13" i="40"/>
  <c r="AH13" i="40" s="1"/>
  <c r="AB12" i="40"/>
  <c r="AH12" i="40" s="1"/>
  <c r="AK11" i="40"/>
  <c r="AI11" i="40"/>
  <c r="AB11" i="40"/>
  <c r="AH11" i="40" s="1"/>
  <c r="U11" i="40"/>
  <c r="AB10" i="40"/>
  <c r="AH10" i="40" s="1"/>
  <c r="AL9" i="40"/>
  <c r="AK9" i="40"/>
  <c r="AJ9" i="40"/>
  <c r="AI9" i="40"/>
  <c r="AF9" i="40"/>
  <c r="AG9" i="40" s="1"/>
  <c r="AB9" i="40"/>
  <c r="AH9" i="40" s="1"/>
  <c r="U9" i="40"/>
  <c r="S9" i="40"/>
  <c r="P9" i="40"/>
  <c r="Q9" i="40" s="1"/>
  <c r="AB7" i="40"/>
  <c r="AL6" i="40"/>
  <c r="AK6" i="40"/>
  <c r="AJ6" i="40"/>
  <c r="AI6" i="40"/>
  <c r="AF6" i="40"/>
  <c r="AG6" i="40" s="1"/>
  <c r="AB6" i="40"/>
  <c r="AH6" i="40" s="1"/>
  <c r="U6" i="40"/>
  <c r="Z4" i="40"/>
  <c r="AB4" i="40" s="1"/>
  <c r="AK3" i="40"/>
  <c r="AF3" i="40"/>
  <c r="AG3" i="40" s="1"/>
  <c r="AB3" i="40"/>
  <c r="Q3" i="40"/>
  <c r="AB1535" i="13"/>
  <c r="AD1535" i="13" s="1"/>
  <c r="AD1536" i="13"/>
  <c r="V1535" i="13"/>
  <c r="AD1533" i="13"/>
  <c r="AB1520" i="13"/>
  <c r="AD1764" i="13"/>
  <c r="AD1761" i="13"/>
  <c r="V1305" i="13"/>
  <c r="AB1305" i="13"/>
  <c r="AD1305" i="13" s="1"/>
  <c r="AB1322" i="13"/>
  <c r="AD1322" i="13" s="1"/>
  <c r="AF1322" i="13" s="1"/>
  <c r="AD698" i="13"/>
  <c r="AD695" i="13"/>
  <c r="AD687" i="13"/>
  <c r="V1398" i="13"/>
  <c r="AB1398" i="13"/>
  <c r="AD1398" i="13" s="1"/>
  <c r="AB1396" i="13"/>
  <c r="AD1396" i="13" s="1"/>
  <c r="V1396" i="13"/>
  <c r="AD1695" i="13"/>
  <c r="AD1614" i="13"/>
  <c r="AD1609" i="13"/>
  <c r="AD1619" i="13"/>
  <c r="AB1358" i="13"/>
  <c r="AA1358" i="13" s="1"/>
  <c r="AB1356" i="13"/>
  <c r="AD1356" i="13" s="1"/>
  <c r="AB1777" i="13"/>
  <c r="AD1777" i="13"/>
  <c r="AB1779" i="13"/>
  <c r="AD1779" i="13" s="1"/>
  <c r="AB1720" i="13"/>
  <c r="AB1721" i="13"/>
  <c r="AD1721" i="13" s="1"/>
  <c r="AD1720" i="13"/>
  <c r="AB1775" i="13"/>
  <c r="AD1775" i="13" s="1"/>
  <c r="AA1774" i="13"/>
  <c r="AB1774" i="13" s="1"/>
  <c r="AD1774" i="13" s="1"/>
  <c r="Q16" i="40" l="1"/>
  <c r="AJ3" i="40"/>
  <c r="AL3" i="40"/>
  <c r="AM3" i="40" s="1"/>
  <c r="AG16" i="40"/>
  <c r="AJ29" i="40"/>
  <c r="AM34" i="40"/>
  <c r="Q37" i="40"/>
  <c r="AM6" i="40"/>
  <c r="AM9" i="40"/>
  <c r="AM37" i="40"/>
  <c r="AM16" i="40"/>
  <c r="Q22" i="40"/>
  <c r="AM29" i="40"/>
  <c r="AI37" i="40"/>
  <c r="AH1305" i="13"/>
  <c r="AD1243" i="13"/>
  <c r="AD1242" i="13"/>
  <c r="AD561" i="13"/>
  <c r="AD1146" i="13" l="1"/>
  <c r="AD1148" i="13"/>
  <c r="AD42" i="13"/>
  <c r="AD40" i="13"/>
  <c r="AA1343" i="13"/>
  <c r="Z1343" i="13"/>
  <c r="AA1339" i="13"/>
  <c r="Z1339" i="13"/>
  <c r="AA1348" i="13"/>
  <c r="Z1348" i="13"/>
  <c r="AB1347" i="13"/>
  <c r="AD1347" i="13" s="1"/>
  <c r="AF1344" i="13" s="1"/>
  <c r="AB1230" i="13"/>
  <c r="AB1231" i="13"/>
  <c r="AB1232" i="13"/>
  <c r="Z1232" i="13"/>
  <c r="AD1229" i="13"/>
  <c r="Z1229" i="13" s="1"/>
  <c r="V1229" i="13"/>
  <c r="Z1230" i="13"/>
  <c r="Z1231" i="13"/>
  <c r="Z1226" i="13"/>
  <c r="Z1227" i="13"/>
  <c r="Z1228" i="13"/>
  <c r="D12" i="37"/>
  <c r="AB1780" i="13"/>
  <c r="AD1780" i="13" s="1"/>
  <c r="Z1362" i="13"/>
  <c r="AB1362" i="13" s="1"/>
  <c r="AD1362" i="13" s="1"/>
  <c r="Z1361" i="13"/>
  <c r="AB1361" i="13" s="1"/>
  <c r="AD1361" i="13" s="1"/>
  <c r="AB1773" i="13"/>
  <c r="AD1773" i="13" s="1"/>
  <c r="AD1782" i="13"/>
  <c r="V1781" i="13"/>
  <c r="W1781" i="13" s="1"/>
  <c r="AA1781" i="13"/>
  <c r="AA1782" i="13" s="1"/>
  <c r="D70" i="6"/>
  <c r="AD348" i="13"/>
  <c r="AD349" i="13"/>
  <c r="AD44" i="13"/>
  <c r="AD1082" i="13"/>
  <c r="AF1080" i="13" s="1"/>
  <c r="AD966" i="13"/>
  <c r="AD965" i="13"/>
  <c r="D17" i="34"/>
  <c r="D13" i="34"/>
  <c r="E13" i="34" s="1"/>
  <c r="D5" i="34"/>
  <c r="AB1328" i="13"/>
  <c r="V1328" i="13"/>
  <c r="AB1326" i="13"/>
  <c r="AB75" i="13"/>
  <c r="W1756" i="13"/>
  <c r="V1736" i="13"/>
  <c r="AB1735" i="13"/>
  <c r="AB1736" i="13"/>
  <c r="AB1737" i="13"/>
  <c r="AB1734" i="13"/>
  <c r="AB1732" i="13"/>
  <c r="V1734" i="13"/>
  <c r="AB1733" i="13"/>
  <c r="D30" i="30"/>
  <c r="E30" i="30" s="1"/>
  <c r="D20" i="30"/>
  <c r="AF1388" i="13"/>
  <c r="AF1372" i="13"/>
  <c r="AB52" i="13"/>
  <c r="AD52" i="13" s="1"/>
  <c r="AB51" i="13"/>
  <c r="AD51" i="13" s="1"/>
  <c r="V1173" i="13"/>
  <c r="Q1769" i="13"/>
  <c r="P1752" i="13"/>
  <c r="W1749" i="13"/>
  <c r="P1749" i="13"/>
  <c r="P1748" i="13"/>
  <c r="P1747" i="13"/>
  <c r="D18" i="34" l="1"/>
  <c r="D19" i="34" s="1"/>
  <c r="Q1749" i="13"/>
  <c r="E17" i="34"/>
  <c r="E20" i="34" s="1"/>
  <c r="AF43" i="13"/>
  <c r="AG43" i="13" s="1"/>
  <c r="AJ43" i="13"/>
  <c r="AL43" i="13" s="1"/>
  <c r="AB1343" i="13"/>
  <c r="AD1343" i="13" s="1"/>
  <c r="AB1339" i="13"/>
  <c r="AD1339" i="13" s="1"/>
  <c r="AB1348" i="13"/>
  <c r="AD1348" i="13" s="1"/>
  <c r="AF1348" i="13" s="1"/>
  <c r="AB1229" i="13"/>
  <c r="Z1782" i="13"/>
  <c r="AB1782" i="13" s="1"/>
  <c r="AB1781" i="13"/>
  <c r="AE32" i="28"/>
  <c r="AD32" i="28"/>
  <c r="V31" i="28"/>
  <c r="AF30" i="28"/>
  <c r="V30" i="28"/>
  <c r="P30" i="28"/>
  <c r="V29" i="28"/>
  <c r="AF28" i="28"/>
  <c r="V28" i="28"/>
  <c r="P28" i="28"/>
  <c r="AF27" i="28"/>
  <c r="R27" i="28"/>
  <c r="P27" i="28"/>
  <c r="V26" i="28"/>
  <c r="AF25" i="28"/>
  <c r="V25" i="28"/>
  <c r="V24" i="28"/>
  <c r="AF23" i="28"/>
  <c r="V23" i="28"/>
  <c r="P23" i="28"/>
  <c r="V22" i="28"/>
  <c r="AF21" i="28"/>
  <c r="V21" i="28"/>
  <c r="V20" i="28"/>
  <c r="AF19" i="28"/>
  <c r="V19" i="28"/>
  <c r="P19" i="28"/>
  <c r="V18" i="28"/>
  <c r="AF17" i="28"/>
  <c r="V17" i="28"/>
  <c r="V16" i="28"/>
  <c r="AF15" i="28"/>
  <c r="V15" i="28"/>
  <c r="P15" i="28"/>
  <c r="V14" i="28"/>
  <c r="AF13" i="28"/>
  <c r="V13" i="28"/>
  <c r="V12" i="28"/>
  <c r="AF11" i="28"/>
  <c r="V11" i="28"/>
  <c r="P11" i="28"/>
  <c r="V10" i="28"/>
  <c r="AF9" i="28"/>
  <c r="V9" i="28"/>
  <c r="V8" i="28"/>
  <c r="AF7" i="28"/>
  <c r="V7" i="28"/>
  <c r="P7" i="28"/>
  <c r="V6" i="28"/>
  <c r="AF5" i="28"/>
  <c r="V5" i="28"/>
  <c r="AF3" i="28"/>
  <c r="AG3" i="28" s="1"/>
  <c r="V3" i="28"/>
  <c r="Q3" i="28"/>
  <c r="W3" i="28" s="1"/>
  <c r="P3" i="28"/>
  <c r="AG33" i="28" l="1"/>
  <c r="AF32" i="28"/>
  <c r="AF1336" i="13"/>
  <c r="AD1641" i="27"/>
  <c r="AA1641" i="27"/>
  <c r="Z1641" i="27"/>
  <c r="AB1640" i="27"/>
  <c r="AB1639" i="27"/>
  <c r="AB1638" i="27"/>
  <c r="AB1637" i="27"/>
  <c r="AF1636" i="27"/>
  <c r="AM1636" i="27" s="1"/>
  <c r="AB1636" i="27"/>
  <c r="V1636" i="27"/>
  <c r="V1642" i="27" s="1"/>
  <c r="AB1635" i="27"/>
  <c r="AB1634" i="27"/>
  <c r="P1631" i="27"/>
  <c r="V1629" i="27"/>
  <c r="W1626" i="27" s="1"/>
  <c r="P1629" i="27"/>
  <c r="P1626" i="27"/>
  <c r="AB1625" i="27"/>
  <c r="AH1625" i="27" s="1"/>
  <c r="AL1624" i="27"/>
  <c r="AK1624" i="27"/>
  <c r="AH1624" i="27"/>
  <c r="AF1624" i="27"/>
  <c r="AI1624" i="27" s="1"/>
  <c r="AB1624" i="27"/>
  <c r="U1624" i="27"/>
  <c r="S1624" i="27"/>
  <c r="AB1623" i="27"/>
  <c r="AH1623" i="27" s="1"/>
  <c r="AL1622" i="27"/>
  <c r="AK1622" i="27"/>
  <c r="AJ1622" i="27"/>
  <c r="AF1622" i="27"/>
  <c r="AI1622" i="27" s="1"/>
  <c r="AB1622" i="27"/>
  <c r="AH1622" i="27" s="1"/>
  <c r="W1622" i="27"/>
  <c r="U1622" i="27"/>
  <c r="S1622" i="27"/>
  <c r="Q1622" i="27"/>
  <c r="AB1621" i="27"/>
  <c r="AH1621" i="27" s="1"/>
  <c r="AB1620" i="27"/>
  <c r="AH1620" i="27" s="1"/>
  <c r="AB1619" i="27"/>
  <c r="AH1619" i="27" s="1"/>
  <c r="AB1618" i="27"/>
  <c r="AH1618" i="27" s="1"/>
  <c r="AB1617" i="27"/>
  <c r="AH1617" i="27" s="1"/>
  <c r="AB1616" i="27"/>
  <c r="AH1616" i="27" s="1"/>
  <c r="AB1615" i="27"/>
  <c r="AH1615" i="27" s="1"/>
  <c r="AJ1614" i="27"/>
  <c r="AL1614" i="27" s="1"/>
  <c r="AF1614" i="27"/>
  <c r="AI1614" i="27" s="1"/>
  <c r="AB1614" i="27"/>
  <c r="AH1614" i="27" s="1"/>
  <c r="S1614" i="27"/>
  <c r="P1614" i="27"/>
  <c r="AB1613" i="27"/>
  <c r="AH1613" i="27" s="1"/>
  <c r="AB1612" i="27"/>
  <c r="AH1612" i="27" s="1"/>
  <c r="AB1611" i="27"/>
  <c r="AH1611" i="27" s="1"/>
  <c r="AB1610" i="27"/>
  <c r="AH1610" i="27" s="1"/>
  <c r="AB1609" i="27"/>
  <c r="AH1609" i="27" s="1"/>
  <c r="AK1608" i="27"/>
  <c r="AI1608" i="27"/>
  <c r="AB1608" i="27"/>
  <c r="AH1608" i="27" s="1"/>
  <c r="U1608" i="27"/>
  <c r="AB1607" i="27"/>
  <c r="AH1607" i="27" s="1"/>
  <c r="AB1606" i="27"/>
  <c r="AH1606" i="27" s="1"/>
  <c r="AB1605" i="27"/>
  <c r="AH1605" i="27" s="1"/>
  <c r="AB1604" i="27"/>
  <c r="AH1604" i="27" s="1"/>
  <c r="AB1603" i="27"/>
  <c r="AH1603" i="27" s="1"/>
  <c r="AS1602" i="27"/>
  <c r="AB1602" i="27"/>
  <c r="AH1602" i="27" s="1"/>
  <c r="AB1601" i="27"/>
  <c r="AH1601" i="27" s="1"/>
  <c r="AB1600" i="27"/>
  <c r="AH1600" i="27" s="1"/>
  <c r="AB1599" i="27"/>
  <c r="AH1599" i="27" s="1"/>
  <c r="AK1598" i="27"/>
  <c r="AJ1598" i="27"/>
  <c r="AL1598" i="27" s="1"/>
  <c r="AI1598" i="27"/>
  <c r="AF1598" i="27"/>
  <c r="AG1598" i="27" s="1"/>
  <c r="AB1598" i="27"/>
  <c r="AH1598" i="27" s="1"/>
  <c r="W1598" i="27"/>
  <c r="S1598" i="27"/>
  <c r="P1598" i="27"/>
  <c r="U1598" i="27" s="1"/>
  <c r="AH1597" i="27"/>
  <c r="AB1597" i="27"/>
  <c r="AB1596" i="27"/>
  <c r="AH1596" i="27" s="1"/>
  <c r="AB1595" i="27"/>
  <c r="AH1595" i="27" s="1"/>
  <c r="AK1594" i="27"/>
  <c r="AJ1594" i="27"/>
  <c r="AL1594" i="27" s="1"/>
  <c r="AF1594" i="27"/>
  <c r="AG1594" i="27" s="1"/>
  <c r="AB1594" i="27"/>
  <c r="AH1594" i="27" s="1"/>
  <c r="U1594" i="27"/>
  <c r="S1594" i="27"/>
  <c r="AB1593" i="27"/>
  <c r="AH1593" i="27" s="1"/>
  <c r="AM1592" i="27"/>
  <c r="AL1592" i="27"/>
  <c r="AK1592" i="27"/>
  <c r="AJ1592" i="27"/>
  <c r="AI1592" i="27"/>
  <c r="AF1592" i="27"/>
  <c r="AG1592" i="27" s="1"/>
  <c r="AB1592" i="27"/>
  <c r="AH1592" i="27" s="1"/>
  <c r="U1592" i="27"/>
  <c r="S1592" i="27"/>
  <c r="AL1591" i="27"/>
  <c r="AK1591" i="27"/>
  <c r="AJ1591" i="27"/>
  <c r="AH1591" i="27"/>
  <c r="AF1591" i="27"/>
  <c r="AI1591" i="27" s="1"/>
  <c r="U1591" i="27"/>
  <c r="S1591" i="27"/>
  <c r="AH1590" i="27"/>
  <c r="AB1590" i="27"/>
  <c r="AB1589" i="27"/>
  <c r="AH1589" i="27" s="1"/>
  <c r="AJ1588" i="27"/>
  <c r="AF1588" i="27"/>
  <c r="AI1588" i="27" s="1"/>
  <c r="AB1588" i="27"/>
  <c r="AH1588" i="27" s="1"/>
  <c r="V1588" i="27"/>
  <c r="AK1588" i="27" s="1"/>
  <c r="U1588" i="27"/>
  <c r="S1588" i="27"/>
  <c r="P1588" i="27"/>
  <c r="AB1587" i="27"/>
  <c r="AH1587" i="27" s="1"/>
  <c r="AB1586" i="27"/>
  <c r="AH1586" i="27" s="1"/>
  <c r="AK1585" i="27"/>
  <c r="AJ1585" i="27"/>
  <c r="AL1585" i="27" s="1"/>
  <c r="AI1585" i="27"/>
  <c r="AF1585" i="27"/>
  <c r="AB1585" i="27"/>
  <c r="AH1585" i="27" s="1"/>
  <c r="U1585" i="27"/>
  <c r="S1585" i="27"/>
  <c r="P1585" i="27"/>
  <c r="Q1585" i="27" s="1"/>
  <c r="AB1584" i="27"/>
  <c r="AH1584" i="27" s="1"/>
  <c r="AT1583" i="27"/>
  <c r="AS1583" i="27"/>
  <c r="AB1583" i="27"/>
  <c r="AH1583" i="27" s="1"/>
  <c r="AL1582" i="27"/>
  <c r="AK1582" i="27"/>
  <c r="AJ1582" i="27"/>
  <c r="AF1582" i="27"/>
  <c r="AA1582" i="27"/>
  <c r="AB1582" i="27" s="1"/>
  <c r="AH1582" i="27" s="1"/>
  <c r="U1582" i="27"/>
  <c r="S1582" i="27"/>
  <c r="Q1582" i="27"/>
  <c r="AB1581" i="27"/>
  <c r="AH1581" i="27" s="1"/>
  <c r="AB1580" i="27"/>
  <c r="AH1580" i="27" s="1"/>
  <c r="AK1579" i="27"/>
  <c r="AJ1579" i="27"/>
  <c r="AL1579" i="27" s="1"/>
  <c r="AI1579" i="27"/>
  <c r="AF1579" i="27"/>
  <c r="AG1579" i="27" s="1"/>
  <c r="AB1579" i="27"/>
  <c r="AH1579" i="27" s="1"/>
  <c r="U1579" i="27"/>
  <c r="S1579" i="27"/>
  <c r="AH1578" i="27"/>
  <c r="AB1578" i="27"/>
  <c r="AB1577" i="27"/>
  <c r="AH1577" i="27" s="1"/>
  <c r="AL1576" i="27"/>
  <c r="AK1576" i="27"/>
  <c r="AJ1576" i="27"/>
  <c r="AF1576" i="27"/>
  <c r="AI1576" i="27" s="1"/>
  <c r="AB1576" i="27"/>
  <c r="AH1576" i="27" s="1"/>
  <c r="U1576" i="27"/>
  <c r="S1576" i="27"/>
  <c r="AR1575" i="27"/>
  <c r="AF1575" i="27"/>
  <c r="AG1575" i="27" s="1"/>
  <c r="AB1575" i="27"/>
  <c r="Q1575" i="27"/>
  <c r="AK1575" i="27" s="1"/>
  <c r="AM1575" i="27" s="1"/>
  <c r="P1575" i="27"/>
  <c r="AB1574" i="27"/>
  <c r="AH1574" i="27" s="1"/>
  <c r="AB1573" i="27"/>
  <c r="AH1573" i="27" s="1"/>
  <c r="AL1572" i="27"/>
  <c r="AK1572" i="27"/>
  <c r="AF1572" i="27"/>
  <c r="AI1572" i="27" s="1"/>
  <c r="AA1572" i="27"/>
  <c r="AB1572" i="27" s="1"/>
  <c r="AH1572" i="27" s="1"/>
  <c r="U1572" i="27"/>
  <c r="S1572" i="27"/>
  <c r="AB1571" i="27"/>
  <c r="AH1571" i="27" s="1"/>
  <c r="AB1570" i="27"/>
  <c r="AH1570" i="27" s="1"/>
  <c r="AL1569" i="27"/>
  <c r="AK1569" i="27"/>
  <c r="AF1569" i="27"/>
  <c r="AI1569" i="27" s="1"/>
  <c r="AA1569" i="27"/>
  <c r="AB1569" i="27" s="1"/>
  <c r="AH1569" i="27" s="1"/>
  <c r="U1569" i="27"/>
  <c r="S1569" i="27"/>
  <c r="AB1568" i="27"/>
  <c r="AH1568" i="27" s="1"/>
  <c r="AB1567" i="27"/>
  <c r="AH1567" i="27" s="1"/>
  <c r="AL1566" i="27"/>
  <c r="AK1566" i="27"/>
  <c r="AF1566" i="27"/>
  <c r="AI1566" i="27" s="1"/>
  <c r="AB1566" i="27"/>
  <c r="AH1566" i="27" s="1"/>
  <c r="U1566" i="27"/>
  <c r="S1566" i="27"/>
  <c r="AB1565" i="27"/>
  <c r="AH1565" i="27" s="1"/>
  <c r="AH1564" i="27"/>
  <c r="AB1564" i="27"/>
  <c r="AM1563" i="27"/>
  <c r="AL1563" i="27"/>
  <c r="AK1563" i="27"/>
  <c r="AF1563" i="27"/>
  <c r="AI1563" i="27" s="1"/>
  <c r="AB1563" i="27"/>
  <c r="AH1563" i="27" s="1"/>
  <c r="AA1563" i="27"/>
  <c r="U1563" i="27"/>
  <c r="S1563" i="27"/>
  <c r="AH1562" i="27"/>
  <c r="AB1562" i="27"/>
  <c r="AB1561" i="27"/>
  <c r="AH1561" i="27" s="1"/>
  <c r="AL1560" i="27"/>
  <c r="AK1560" i="27"/>
  <c r="AF1560" i="27"/>
  <c r="AI1560" i="27" s="1"/>
  <c r="AB1560" i="27"/>
  <c r="AH1560" i="27" s="1"/>
  <c r="AA1560" i="27"/>
  <c r="U1560" i="27"/>
  <c r="S1560" i="27"/>
  <c r="AB1559" i="27"/>
  <c r="AH1559" i="27" s="1"/>
  <c r="AB1558" i="27"/>
  <c r="AH1558" i="27" s="1"/>
  <c r="AM1557" i="27"/>
  <c r="AL1557" i="27"/>
  <c r="AK1557" i="27"/>
  <c r="AF1557" i="27"/>
  <c r="AI1557" i="27" s="1"/>
  <c r="AB1557" i="27"/>
  <c r="AH1557" i="27" s="1"/>
  <c r="U1557" i="27"/>
  <c r="S1557" i="27"/>
  <c r="AB1556" i="27"/>
  <c r="AH1556" i="27" s="1"/>
  <c r="AB1555" i="27"/>
  <c r="AH1555" i="27" s="1"/>
  <c r="AL1554" i="27"/>
  <c r="AK1554" i="27"/>
  <c r="AF1554" i="27"/>
  <c r="AI1554" i="27" s="1"/>
  <c r="AB1554" i="27"/>
  <c r="AH1554" i="27" s="1"/>
  <c r="U1554" i="27"/>
  <c r="S1554" i="27"/>
  <c r="AB1553" i="27"/>
  <c r="AH1553" i="27" s="1"/>
  <c r="AB1552" i="27"/>
  <c r="AH1552" i="27" s="1"/>
  <c r="AL1551" i="27"/>
  <c r="AK1551" i="27"/>
  <c r="AF1551" i="27"/>
  <c r="AI1551" i="27" s="1"/>
  <c r="AB1551" i="27"/>
  <c r="AH1551" i="27" s="1"/>
  <c r="U1551" i="27"/>
  <c r="S1551" i="27"/>
  <c r="AB1550" i="27"/>
  <c r="AH1550" i="27" s="1"/>
  <c r="AB1549" i="27"/>
  <c r="AH1549" i="27" s="1"/>
  <c r="AL1548" i="27"/>
  <c r="AK1548" i="27"/>
  <c r="AF1548" i="27"/>
  <c r="AI1548" i="27" s="1"/>
  <c r="AA1548" i="27"/>
  <c r="AB1548" i="27" s="1"/>
  <c r="AH1548" i="27" s="1"/>
  <c r="U1548" i="27"/>
  <c r="S1548" i="27"/>
  <c r="AB1547" i="27"/>
  <c r="AH1547" i="27" s="1"/>
  <c r="AB1546" i="27"/>
  <c r="AH1546" i="27" s="1"/>
  <c r="AL1545" i="27"/>
  <c r="AK1545" i="27"/>
  <c r="AF1545" i="27"/>
  <c r="AI1545" i="27" s="1"/>
  <c r="AA1545" i="27"/>
  <c r="AB1545" i="27" s="1"/>
  <c r="AH1545" i="27" s="1"/>
  <c r="U1545" i="27"/>
  <c r="S1545" i="27"/>
  <c r="AB1544" i="27"/>
  <c r="AH1544" i="27" s="1"/>
  <c r="AS1543" i="27"/>
  <c r="AL1543" i="27"/>
  <c r="AK1543" i="27"/>
  <c r="AI1543" i="27"/>
  <c r="AF1543" i="27"/>
  <c r="AA1543" i="27"/>
  <c r="AB1543" i="27" s="1"/>
  <c r="AH1543" i="27" s="1"/>
  <c r="U1543" i="27"/>
  <c r="S1543" i="27"/>
  <c r="AB1542" i="27"/>
  <c r="AH1542" i="27" s="1"/>
  <c r="AL1541" i="27"/>
  <c r="AK1541" i="27"/>
  <c r="AF1541" i="27"/>
  <c r="AI1541" i="27" s="1"/>
  <c r="AB1541" i="27"/>
  <c r="AH1541" i="27" s="1"/>
  <c r="U1541" i="27"/>
  <c r="S1541" i="27"/>
  <c r="AB1540" i="27"/>
  <c r="AH1540" i="27" s="1"/>
  <c r="AH1539" i="27"/>
  <c r="AB1539" i="27"/>
  <c r="AL1538" i="27"/>
  <c r="AK1538" i="27"/>
  <c r="AF1538" i="27"/>
  <c r="AI1538" i="27" s="1"/>
  <c r="AB1538" i="27"/>
  <c r="AH1538" i="27" s="1"/>
  <c r="U1538" i="27"/>
  <c r="S1538" i="27"/>
  <c r="AB1537" i="27"/>
  <c r="AH1537" i="27" s="1"/>
  <c r="AB1536" i="27"/>
  <c r="AH1536" i="27" s="1"/>
  <c r="AL1535" i="27"/>
  <c r="AK1535" i="27"/>
  <c r="AI1535" i="27"/>
  <c r="AF1535" i="27"/>
  <c r="AA1535" i="27"/>
  <c r="AB1535" i="27" s="1"/>
  <c r="AH1535" i="27" s="1"/>
  <c r="U1535" i="27"/>
  <c r="S1535" i="27"/>
  <c r="AB1534" i="27"/>
  <c r="AH1534" i="27" s="1"/>
  <c r="AB1533" i="27"/>
  <c r="AH1533" i="27" s="1"/>
  <c r="AL1532" i="27"/>
  <c r="AK1532" i="27"/>
  <c r="AF1532" i="27"/>
  <c r="AI1532" i="27" s="1"/>
  <c r="AB1532" i="27"/>
  <c r="AH1532" i="27" s="1"/>
  <c r="U1532" i="27"/>
  <c r="S1532" i="27"/>
  <c r="AH1531" i="27"/>
  <c r="AB1531" i="27"/>
  <c r="AB1530" i="27"/>
  <c r="AH1530" i="27" s="1"/>
  <c r="AL1529" i="27"/>
  <c r="AM1529" i="27" s="1"/>
  <c r="AK1529" i="27"/>
  <c r="AF1529" i="27"/>
  <c r="AB1529" i="27"/>
  <c r="AH1529" i="27" s="1"/>
  <c r="U1529" i="27"/>
  <c r="S1529" i="27"/>
  <c r="AB1528" i="27"/>
  <c r="AH1528" i="27" s="1"/>
  <c r="AM1527" i="27"/>
  <c r="AL1527" i="27"/>
  <c r="AK1527" i="27"/>
  <c r="AS1527" i="27" s="1"/>
  <c r="AF1527" i="27"/>
  <c r="AI1527" i="27" s="1"/>
  <c r="AB1527" i="27"/>
  <c r="AH1527" i="27" s="1"/>
  <c r="U1527" i="27"/>
  <c r="S1527" i="27"/>
  <c r="AB1526" i="27"/>
  <c r="AH1526" i="27" s="1"/>
  <c r="AB1525" i="27"/>
  <c r="AH1525" i="27" s="1"/>
  <c r="AL1524" i="27"/>
  <c r="AK1524" i="27"/>
  <c r="AJ1524" i="27"/>
  <c r="AI1524" i="27"/>
  <c r="AF1524" i="27"/>
  <c r="AB1524" i="27"/>
  <c r="AH1524" i="27" s="1"/>
  <c r="U1524" i="27"/>
  <c r="S1524" i="27"/>
  <c r="Q1524" i="27"/>
  <c r="AT1543" i="27" s="1"/>
  <c r="AT1545" i="27" s="1"/>
  <c r="AB1523" i="27"/>
  <c r="AB1522" i="27"/>
  <c r="AF1521" i="27"/>
  <c r="AB1521" i="27"/>
  <c r="P1521" i="27"/>
  <c r="V1521" i="27" s="1"/>
  <c r="AB1520" i="27"/>
  <c r="AB1519" i="27"/>
  <c r="AK1518" i="27"/>
  <c r="AF1518" i="27"/>
  <c r="AB1518" i="27"/>
  <c r="AB1517" i="27"/>
  <c r="AB1516" i="27"/>
  <c r="AK1515" i="27"/>
  <c r="AI1515" i="27"/>
  <c r="AJ1515" i="27" s="1"/>
  <c r="AF1515" i="27"/>
  <c r="AB1515" i="27"/>
  <c r="P1515" i="27"/>
  <c r="Q1515" i="27" s="1"/>
  <c r="AB1514" i="27"/>
  <c r="AH1514" i="27" s="1"/>
  <c r="AB1513" i="27"/>
  <c r="AH1513" i="27" s="1"/>
  <c r="AB1512" i="27"/>
  <c r="AH1512" i="27" s="1"/>
  <c r="AK1511" i="27"/>
  <c r="AI1511" i="27"/>
  <c r="AB1511" i="27"/>
  <c r="AH1511" i="27" s="1"/>
  <c r="U1511" i="27"/>
  <c r="AB1510" i="27"/>
  <c r="AH1510" i="27" s="1"/>
  <c r="AB1509" i="27"/>
  <c r="AH1509" i="27" s="1"/>
  <c r="AB1508" i="27"/>
  <c r="AH1508" i="27" s="1"/>
  <c r="AL1507" i="27"/>
  <c r="AK1507" i="27"/>
  <c r="AI1507" i="27"/>
  <c r="AF1507" i="27"/>
  <c r="AB1507" i="27"/>
  <c r="AH1507" i="27" s="1"/>
  <c r="U1507" i="27"/>
  <c r="S1507" i="27"/>
  <c r="P1507" i="27"/>
  <c r="Q1503" i="27" s="1"/>
  <c r="AB1506" i="27"/>
  <c r="AH1506" i="27" s="1"/>
  <c r="AB1505" i="27"/>
  <c r="AH1505" i="27" s="1"/>
  <c r="AB1504" i="27"/>
  <c r="AH1504" i="27" s="1"/>
  <c r="AL1503" i="27"/>
  <c r="AK1503" i="27"/>
  <c r="AJ1503" i="27"/>
  <c r="AI1503" i="27"/>
  <c r="AG1503" i="27"/>
  <c r="AF1503" i="27"/>
  <c r="AB1503" i="27"/>
  <c r="AH1503" i="27" s="1"/>
  <c r="AA1503" i="27"/>
  <c r="U1503" i="27"/>
  <c r="S1503" i="27"/>
  <c r="AB1502" i="27"/>
  <c r="AH1502" i="27" s="1"/>
  <c r="AJ1501" i="27"/>
  <c r="AI1501" i="27"/>
  <c r="AF1501" i="27"/>
  <c r="AG1501" i="27" s="1"/>
  <c r="AB1501" i="27"/>
  <c r="AH1501" i="27" s="1"/>
  <c r="V1501" i="27"/>
  <c r="AK1501" i="27" s="1"/>
  <c r="U1501" i="27"/>
  <c r="S1501" i="27"/>
  <c r="AB1500" i="27"/>
  <c r="AB1499" i="27"/>
  <c r="AB1498" i="27"/>
  <c r="AK1497" i="27"/>
  <c r="AI1497" i="27"/>
  <c r="AF1497" i="27"/>
  <c r="AB1497" i="27"/>
  <c r="U1497" i="27"/>
  <c r="S1497" i="27"/>
  <c r="AB1496" i="27"/>
  <c r="AB1495" i="27"/>
  <c r="AB1494" i="27"/>
  <c r="AK1493" i="27"/>
  <c r="AI1493" i="27"/>
  <c r="AF1493" i="27"/>
  <c r="AB1493" i="27"/>
  <c r="U1493" i="27"/>
  <c r="S1493" i="27"/>
  <c r="AB1492" i="27"/>
  <c r="AB1491" i="27"/>
  <c r="AB1490" i="27"/>
  <c r="AK1489" i="27"/>
  <c r="AI1489" i="27"/>
  <c r="AF1489" i="27"/>
  <c r="AB1489" i="27"/>
  <c r="U1489" i="27"/>
  <c r="S1489" i="27"/>
  <c r="AB1488" i="27"/>
  <c r="AB1487" i="27"/>
  <c r="AB1486" i="27"/>
  <c r="AK1485" i="27"/>
  <c r="AI1485" i="27"/>
  <c r="AF1485" i="27"/>
  <c r="AB1485" i="27"/>
  <c r="U1485" i="27"/>
  <c r="S1485" i="27"/>
  <c r="AB1484" i="27"/>
  <c r="AB1483" i="27"/>
  <c r="AB1482" i="27"/>
  <c r="AK1481" i="27"/>
  <c r="AI1481" i="27"/>
  <c r="AF1481" i="27"/>
  <c r="AB1481" i="27"/>
  <c r="U1481" i="27"/>
  <c r="S1481" i="27"/>
  <c r="AB1480" i="27"/>
  <c r="AB1479" i="27"/>
  <c r="AB1478" i="27"/>
  <c r="AK1477" i="27"/>
  <c r="AI1477" i="27"/>
  <c r="AF1477" i="27"/>
  <c r="AB1477" i="27"/>
  <c r="U1477" i="27"/>
  <c r="S1477" i="27"/>
  <c r="AB1476" i="27"/>
  <c r="AB1475" i="27"/>
  <c r="AB1474" i="27"/>
  <c r="AK1473" i="27"/>
  <c r="AI1473" i="27"/>
  <c r="AF1473" i="27"/>
  <c r="AB1473" i="27"/>
  <c r="U1473" i="27"/>
  <c r="S1473" i="27"/>
  <c r="AB1472" i="27"/>
  <c r="AB1471" i="27"/>
  <c r="AB1470" i="27"/>
  <c r="AK1469" i="27"/>
  <c r="AI1469" i="27"/>
  <c r="AF1469" i="27"/>
  <c r="AB1469" i="27"/>
  <c r="U1469" i="27"/>
  <c r="S1469" i="27"/>
  <c r="AB1468" i="27"/>
  <c r="AB1467" i="27"/>
  <c r="AB1466" i="27"/>
  <c r="AK1465" i="27"/>
  <c r="AI1465" i="27"/>
  <c r="AF1465" i="27"/>
  <c r="AB1465" i="27"/>
  <c r="U1465" i="27"/>
  <c r="S1465" i="27"/>
  <c r="Q1465" i="27"/>
  <c r="AB1464" i="27"/>
  <c r="AH1464" i="27" s="1"/>
  <c r="AL1463" i="27"/>
  <c r="AK1463" i="27"/>
  <c r="AJ1463" i="27"/>
  <c r="AF1463" i="27"/>
  <c r="AG1463" i="27" s="1"/>
  <c r="AB1463" i="27"/>
  <c r="AH1463" i="27" s="1"/>
  <c r="U1463" i="27"/>
  <c r="S1463" i="27"/>
  <c r="AB1462" i="27"/>
  <c r="AH1462" i="27" s="1"/>
  <c r="AH1461" i="27"/>
  <c r="AB1461" i="27"/>
  <c r="AL1460" i="27"/>
  <c r="AK1460" i="27"/>
  <c r="AJ1460" i="27"/>
  <c r="AI1460" i="27"/>
  <c r="AF1460" i="27"/>
  <c r="AG1460" i="27" s="1"/>
  <c r="AB1460" i="27"/>
  <c r="AH1460" i="27" s="1"/>
  <c r="U1460" i="27"/>
  <c r="S1460" i="27"/>
  <c r="AL1459" i="27"/>
  <c r="AK1459" i="27"/>
  <c r="AF1459" i="27"/>
  <c r="AI1459" i="27" s="1"/>
  <c r="AB1459" i="27"/>
  <c r="AH1459" i="27" s="1"/>
  <c r="U1459" i="27"/>
  <c r="S1459" i="27"/>
  <c r="AB1458" i="27"/>
  <c r="AH1458" i="27" s="1"/>
  <c r="AB1457" i="27"/>
  <c r="AH1457" i="27" s="1"/>
  <c r="AK1456" i="27"/>
  <c r="AJ1456" i="27"/>
  <c r="AL1456" i="27" s="1"/>
  <c r="AF1456" i="27"/>
  <c r="AB1456" i="27"/>
  <c r="AH1456" i="27" s="1"/>
  <c r="W1456" i="27"/>
  <c r="U1456" i="27"/>
  <c r="S1456" i="27"/>
  <c r="Q1456" i="27"/>
  <c r="AB1455" i="27"/>
  <c r="AH1455" i="27" s="1"/>
  <c r="AB1454" i="27"/>
  <c r="AH1454" i="27" s="1"/>
  <c r="AB1453" i="27"/>
  <c r="AH1453" i="27" s="1"/>
  <c r="AB1452" i="27"/>
  <c r="AH1452" i="27" s="1"/>
  <c r="AL1451" i="27"/>
  <c r="AK1451" i="27"/>
  <c r="AF1451" i="27"/>
  <c r="AB1451" i="27"/>
  <c r="AH1451" i="27" s="1"/>
  <c r="U1451" i="27"/>
  <c r="S1451" i="27"/>
  <c r="AB1450" i="27"/>
  <c r="AH1450" i="27" s="1"/>
  <c r="AB1449" i="27"/>
  <c r="AH1449" i="27" s="1"/>
  <c r="AB1448" i="27"/>
  <c r="AH1448" i="27" s="1"/>
  <c r="AB1447" i="27"/>
  <c r="AH1447" i="27" s="1"/>
  <c r="AK1446" i="27"/>
  <c r="AI1446" i="27"/>
  <c r="AB1446" i="27"/>
  <c r="AH1446" i="27" s="1"/>
  <c r="U1446" i="27"/>
  <c r="AB1445" i="27"/>
  <c r="AH1445" i="27" s="1"/>
  <c r="AB1444" i="27"/>
  <c r="AH1444" i="27" s="1"/>
  <c r="AB1443" i="27"/>
  <c r="AH1443" i="27" s="1"/>
  <c r="AB1442" i="27"/>
  <c r="AH1442" i="27" s="1"/>
  <c r="AK1441" i="27"/>
  <c r="AJ1441" i="27"/>
  <c r="AL1441" i="27" s="1"/>
  <c r="AI1441" i="27"/>
  <c r="AF1441" i="27"/>
  <c r="AB1441" i="27"/>
  <c r="AH1441" i="27" s="1"/>
  <c r="W1441" i="27"/>
  <c r="U1441" i="27"/>
  <c r="S1441" i="27"/>
  <c r="P1441" i="27"/>
  <c r="Q1441" i="27" s="1"/>
  <c r="AL1440" i="27"/>
  <c r="AK1440" i="27"/>
  <c r="AI1440" i="27"/>
  <c r="AF1440" i="27"/>
  <c r="AB1440" i="27"/>
  <c r="AH1440" i="27" s="1"/>
  <c r="U1440" i="27"/>
  <c r="S1440" i="27"/>
  <c r="AB1439" i="27"/>
  <c r="AH1439" i="27" s="1"/>
  <c r="AL1438" i="27"/>
  <c r="AK1438" i="27"/>
  <c r="AJ1438" i="27"/>
  <c r="AF1438" i="27"/>
  <c r="AG1438" i="27" s="1"/>
  <c r="AB1438" i="27"/>
  <c r="AH1438" i="27" s="1"/>
  <c r="W1438" i="27"/>
  <c r="U1438" i="27"/>
  <c r="S1438" i="27"/>
  <c r="Q1438" i="27"/>
  <c r="AH1437" i="27"/>
  <c r="AB1437" i="27"/>
  <c r="AH1436" i="27"/>
  <c r="AB1436" i="27"/>
  <c r="AK1435" i="27"/>
  <c r="AI1435" i="27"/>
  <c r="AB1435" i="27"/>
  <c r="AH1435" i="27" s="1"/>
  <c r="U1435" i="27"/>
  <c r="AB1434" i="27"/>
  <c r="AH1434" i="27" s="1"/>
  <c r="AB1433" i="27"/>
  <c r="AH1433" i="27" s="1"/>
  <c r="AK1432" i="27"/>
  <c r="AJ1432" i="27"/>
  <c r="AL1432" i="27" s="1"/>
  <c r="AI1432" i="27"/>
  <c r="AF1432" i="27"/>
  <c r="AB1432" i="27"/>
  <c r="AH1432" i="27" s="1"/>
  <c r="U1432" i="27"/>
  <c r="S1432" i="27"/>
  <c r="P1432" i="27"/>
  <c r="AB1431" i="27"/>
  <c r="AH1431" i="27" s="1"/>
  <c r="AB1430" i="27"/>
  <c r="AH1430" i="27" s="1"/>
  <c r="AJ1429" i="27"/>
  <c r="AL1429" i="27" s="1"/>
  <c r="AG1429" i="27"/>
  <c r="AF1429" i="27"/>
  <c r="AB1429" i="27"/>
  <c r="AH1429" i="27" s="1"/>
  <c r="U1429" i="27"/>
  <c r="S1429" i="27"/>
  <c r="P1429" i="27"/>
  <c r="AK1429" i="27" s="1"/>
  <c r="AI1428" i="27"/>
  <c r="AH1428" i="27"/>
  <c r="AF1428" i="27"/>
  <c r="V1428" i="27"/>
  <c r="U1428" i="27"/>
  <c r="S1428" i="27"/>
  <c r="AB1427" i="27"/>
  <c r="AH1427" i="27" s="1"/>
  <c r="AK1426" i="27"/>
  <c r="AJ1426" i="27"/>
  <c r="AL1426" i="27" s="1"/>
  <c r="AG1426" i="27"/>
  <c r="AF1426" i="27"/>
  <c r="AI1426" i="27" s="1"/>
  <c r="AA1426" i="27"/>
  <c r="AB1426" i="27" s="1"/>
  <c r="AH1426" i="27" s="1"/>
  <c r="U1426" i="27"/>
  <c r="S1426" i="27"/>
  <c r="Q1426" i="27"/>
  <c r="AB1425" i="27"/>
  <c r="AH1425" i="27" s="1"/>
  <c r="AL1424" i="27"/>
  <c r="AK1424" i="27"/>
  <c r="AF1424" i="27"/>
  <c r="AI1424" i="27" s="1"/>
  <c r="AB1424" i="27"/>
  <c r="AH1424" i="27" s="1"/>
  <c r="U1424" i="27"/>
  <c r="S1424" i="27"/>
  <c r="AB1423" i="27"/>
  <c r="AH1423" i="27" s="1"/>
  <c r="AL1422" i="27"/>
  <c r="AK1422" i="27"/>
  <c r="AJ1422" i="27"/>
  <c r="AF1422" i="27"/>
  <c r="AB1422" i="27"/>
  <c r="AH1422" i="27" s="1"/>
  <c r="U1422" i="27"/>
  <c r="S1422" i="27"/>
  <c r="Q1422" i="27"/>
  <c r="AB1421" i="27"/>
  <c r="AH1421" i="27" s="1"/>
  <c r="AB1420" i="27"/>
  <c r="AH1420" i="27" s="1"/>
  <c r="AB1419" i="27"/>
  <c r="AH1419" i="27" s="1"/>
  <c r="AL1418" i="27"/>
  <c r="AK1418" i="27"/>
  <c r="AJ1418" i="27"/>
  <c r="AI1418" i="27"/>
  <c r="AF1418" i="27"/>
  <c r="AG1418" i="27" s="1"/>
  <c r="AB1418" i="27"/>
  <c r="AH1418" i="27" s="1"/>
  <c r="U1418" i="27"/>
  <c r="S1418" i="27"/>
  <c r="AB1417" i="27"/>
  <c r="AH1417" i="27" s="1"/>
  <c r="AB1416" i="27"/>
  <c r="AH1416" i="27" s="1"/>
  <c r="AB1415" i="27"/>
  <c r="AH1415" i="27" s="1"/>
  <c r="AL1414" i="27"/>
  <c r="AK1414" i="27"/>
  <c r="AH1414" i="27"/>
  <c r="AF1414" i="27"/>
  <c r="AI1414" i="27" s="1"/>
  <c r="AB1414" i="27"/>
  <c r="U1414" i="27"/>
  <c r="S1414" i="27"/>
  <c r="AB1413" i="27"/>
  <c r="AH1413" i="27" s="1"/>
  <c r="AB1412" i="27"/>
  <c r="AH1412" i="27" s="1"/>
  <c r="AB1411" i="27"/>
  <c r="AH1411" i="27" s="1"/>
  <c r="AL1410" i="27"/>
  <c r="AK1410" i="27"/>
  <c r="AF1410" i="27"/>
  <c r="AI1410" i="27" s="1"/>
  <c r="AB1410" i="27"/>
  <c r="AH1410" i="27" s="1"/>
  <c r="U1410" i="27"/>
  <c r="S1410" i="27"/>
  <c r="AB1409" i="27"/>
  <c r="AH1409" i="27" s="1"/>
  <c r="AB1408" i="27"/>
  <c r="AH1408" i="27" s="1"/>
  <c r="AB1407" i="27"/>
  <c r="AH1407" i="27" s="1"/>
  <c r="AL1406" i="27"/>
  <c r="AK1406" i="27"/>
  <c r="AF1406" i="27"/>
  <c r="AI1406" i="27" s="1"/>
  <c r="AB1406" i="27"/>
  <c r="AH1406" i="27" s="1"/>
  <c r="U1406" i="27"/>
  <c r="S1406" i="27"/>
  <c r="AB1405" i="27"/>
  <c r="AH1405" i="27" s="1"/>
  <c r="AB1404" i="27"/>
  <c r="AH1404" i="27" s="1"/>
  <c r="AB1403" i="27"/>
  <c r="AH1403" i="27" s="1"/>
  <c r="AL1402" i="27"/>
  <c r="AK1402" i="27"/>
  <c r="AI1402" i="27"/>
  <c r="AF1402" i="27"/>
  <c r="AB1402" i="27"/>
  <c r="AH1402" i="27" s="1"/>
  <c r="U1402" i="27"/>
  <c r="S1402" i="27"/>
  <c r="AB1401" i="27"/>
  <c r="AH1401" i="27" s="1"/>
  <c r="AB1400" i="27"/>
  <c r="AH1400" i="27" s="1"/>
  <c r="AB1399" i="27"/>
  <c r="AH1399" i="27" s="1"/>
  <c r="AL1398" i="27"/>
  <c r="AK1398" i="27"/>
  <c r="AH1398" i="27"/>
  <c r="AF1398" i="27"/>
  <c r="AI1398" i="27" s="1"/>
  <c r="AB1398" i="27"/>
  <c r="U1398" i="27"/>
  <c r="S1398" i="27"/>
  <c r="AH1397" i="27"/>
  <c r="AB1397" i="27"/>
  <c r="AB1396" i="27"/>
  <c r="AH1396" i="27" s="1"/>
  <c r="AH1395" i="27"/>
  <c r="AB1395" i="27"/>
  <c r="AL1394" i="27"/>
  <c r="AK1394" i="27"/>
  <c r="AF1394" i="27"/>
  <c r="AI1394" i="27" s="1"/>
  <c r="AB1394" i="27"/>
  <c r="AH1394" i="27" s="1"/>
  <c r="U1394" i="27"/>
  <c r="S1394" i="27"/>
  <c r="AB1393" i="27"/>
  <c r="AH1393" i="27" s="1"/>
  <c r="AH1392" i="27"/>
  <c r="AB1392" i="27"/>
  <c r="AB1391" i="27"/>
  <c r="AH1391" i="27" s="1"/>
  <c r="AL1390" i="27"/>
  <c r="AK1390" i="27"/>
  <c r="AF1390" i="27"/>
  <c r="AB1390" i="27"/>
  <c r="AH1390" i="27" s="1"/>
  <c r="U1390" i="27"/>
  <c r="S1390" i="27"/>
  <c r="AB1389" i="27"/>
  <c r="AH1389" i="27" s="1"/>
  <c r="AB1388" i="27"/>
  <c r="AH1388" i="27" s="1"/>
  <c r="AB1387" i="27"/>
  <c r="AH1387" i="27" s="1"/>
  <c r="AL1386" i="27"/>
  <c r="AK1386" i="27"/>
  <c r="AF1386" i="27"/>
  <c r="AI1386" i="27" s="1"/>
  <c r="AB1386" i="27"/>
  <c r="AH1386" i="27" s="1"/>
  <c r="U1386" i="27"/>
  <c r="S1386" i="27"/>
  <c r="AB1385" i="27"/>
  <c r="AH1385" i="27" s="1"/>
  <c r="AB1384" i="27"/>
  <c r="AH1384" i="27" s="1"/>
  <c r="AB1383" i="27"/>
  <c r="AH1383" i="27" s="1"/>
  <c r="AL1382" i="27"/>
  <c r="AK1382" i="27"/>
  <c r="AJ1382" i="27"/>
  <c r="AF1382" i="27"/>
  <c r="AI1382" i="27" s="1"/>
  <c r="AB1382" i="27"/>
  <c r="AH1382" i="27" s="1"/>
  <c r="U1382" i="27"/>
  <c r="S1382" i="27"/>
  <c r="Q1382" i="27"/>
  <c r="AH1381" i="27"/>
  <c r="AF1381" i="27"/>
  <c r="AG1381" i="27" s="1"/>
  <c r="AB1381" i="27"/>
  <c r="AK1379" i="27"/>
  <c r="AK1377" i="27"/>
  <c r="AK1375" i="27"/>
  <c r="AK1373" i="27"/>
  <c r="AK1371" i="27"/>
  <c r="AK1369" i="27"/>
  <c r="AK1367" i="27"/>
  <c r="AK1365" i="27"/>
  <c r="AK1363" i="27"/>
  <c r="AK1361" i="27"/>
  <c r="AB1360" i="27"/>
  <c r="AK1359" i="27"/>
  <c r="W1359" i="27"/>
  <c r="Q1359" i="27"/>
  <c r="AB1358" i="27"/>
  <c r="AK1357" i="27"/>
  <c r="AF1357" i="27"/>
  <c r="AB1357" i="27"/>
  <c r="AB1356" i="27"/>
  <c r="AK1355" i="27"/>
  <c r="AF1355" i="27"/>
  <c r="AB1355" i="27"/>
  <c r="AB1354" i="27"/>
  <c r="AK1353" i="27"/>
  <c r="AF1353" i="27"/>
  <c r="AB1353" i="27"/>
  <c r="AB1352" i="27"/>
  <c r="AK1351" i="27"/>
  <c r="AF1351" i="27"/>
  <c r="AB1351" i="27"/>
  <c r="AB1350" i="27"/>
  <c r="AK1349" i="27"/>
  <c r="AF1349" i="27"/>
  <c r="AB1349" i="27"/>
  <c r="AB1348" i="27"/>
  <c r="AK1347" i="27"/>
  <c r="AF1347" i="27"/>
  <c r="AB1347" i="27"/>
  <c r="AB1346" i="27"/>
  <c r="AK1345" i="27"/>
  <c r="AF1345" i="27"/>
  <c r="AB1345" i="27"/>
  <c r="AB1344" i="27"/>
  <c r="AK1343" i="27"/>
  <c r="AF1343" i="27"/>
  <c r="AB1343" i="27"/>
  <c r="AB1342" i="27"/>
  <c r="AK1341" i="27"/>
  <c r="AF1341" i="27"/>
  <c r="AB1341" i="27"/>
  <c r="AB1340" i="27"/>
  <c r="AK1339" i="27"/>
  <c r="AF1339" i="27"/>
  <c r="AB1339" i="27"/>
  <c r="AB1338" i="27"/>
  <c r="AK1337" i="27"/>
  <c r="AF1337" i="27"/>
  <c r="AG1337" i="27" s="1"/>
  <c r="AB1337" i="27"/>
  <c r="Q1337" i="27"/>
  <c r="AB1336" i="27"/>
  <c r="AH1336" i="27" s="1"/>
  <c r="AB1335" i="27"/>
  <c r="AH1335" i="27" s="1"/>
  <c r="AB1334" i="27"/>
  <c r="AH1334" i="27" s="1"/>
  <c r="AI1333" i="27"/>
  <c r="AF1333" i="27"/>
  <c r="AG1333" i="27" s="1"/>
  <c r="AB1333" i="27"/>
  <c r="AH1333" i="27" s="1"/>
  <c r="U1333" i="27"/>
  <c r="S1333" i="27"/>
  <c r="Q1333" i="27"/>
  <c r="AB1332" i="27"/>
  <c r="AH1332" i="27" s="1"/>
  <c r="AK1331" i="27"/>
  <c r="AJ1331" i="27"/>
  <c r="AL1331" i="27" s="1"/>
  <c r="AF1331" i="27"/>
  <c r="AI1331" i="27" s="1"/>
  <c r="AB1331" i="27"/>
  <c r="AH1331" i="27" s="1"/>
  <c r="U1331" i="27"/>
  <c r="S1331" i="27"/>
  <c r="AB1330" i="27"/>
  <c r="AH1330" i="27" s="1"/>
  <c r="AK1329" i="27"/>
  <c r="AJ1329" i="27"/>
  <c r="AL1329" i="27" s="1"/>
  <c r="AF1329" i="27"/>
  <c r="AI1329" i="27" s="1"/>
  <c r="AB1329" i="27"/>
  <c r="AH1329" i="27" s="1"/>
  <c r="U1329" i="27"/>
  <c r="S1329" i="27"/>
  <c r="AB1328" i="27"/>
  <c r="AH1328" i="27" s="1"/>
  <c r="AB1327" i="27"/>
  <c r="AH1327" i="27" s="1"/>
  <c r="AK1326" i="27"/>
  <c r="AJ1326" i="27"/>
  <c r="AL1326" i="27" s="1"/>
  <c r="AF1326" i="27"/>
  <c r="AI1326" i="27" s="1"/>
  <c r="AB1326" i="27"/>
  <c r="AH1326" i="27" s="1"/>
  <c r="W1326" i="27"/>
  <c r="U1326" i="27"/>
  <c r="S1326" i="27"/>
  <c r="Q1326" i="27"/>
  <c r="AL1325" i="27"/>
  <c r="AK1325" i="27"/>
  <c r="AB1325" i="27"/>
  <c r="AH1325" i="27" s="1"/>
  <c r="AB1324" i="27"/>
  <c r="AH1324" i="27" s="1"/>
  <c r="AL1323" i="27"/>
  <c r="AK1323" i="27"/>
  <c r="AJ1323" i="27"/>
  <c r="AI1323" i="27"/>
  <c r="AF1323" i="27"/>
  <c r="AG1323" i="27" s="1"/>
  <c r="AB1323" i="27"/>
  <c r="AH1323" i="27" s="1"/>
  <c r="W1323" i="27"/>
  <c r="U1323" i="27"/>
  <c r="S1323" i="27"/>
  <c r="Q1323" i="27"/>
  <c r="AA1322" i="27"/>
  <c r="AB1322" i="27" s="1"/>
  <c r="AH1322" i="27" s="1"/>
  <c r="AA1321" i="27"/>
  <c r="AB1321" i="27" s="1"/>
  <c r="AH1321" i="27" s="1"/>
  <c r="AA1320" i="27"/>
  <c r="AB1320" i="27" s="1"/>
  <c r="AH1320" i="27" s="1"/>
  <c r="AB1319" i="27"/>
  <c r="AH1319" i="27" s="1"/>
  <c r="AJ1318" i="27"/>
  <c r="AG1318" i="27"/>
  <c r="AF1318" i="27"/>
  <c r="AI1318" i="27" s="1"/>
  <c r="AB1318" i="27"/>
  <c r="AH1318" i="27" s="1"/>
  <c r="V1318" i="27"/>
  <c r="AK1318" i="27" s="1"/>
  <c r="U1318" i="27"/>
  <c r="S1318" i="27"/>
  <c r="AK1317" i="27"/>
  <c r="AF1317" i="27"/>
  <c r="AG1317" i="27" s="1"/>
  <c r="AB1317" i="27"/>
  <c r="AH1316" i="27"/>
  <c r="AL1315" i="27"/>
  <c r="AK1315" i="27"/>
  <c r="AH1315" i="27"/>
  <c r="AF1315" i="27"/>
  <c r="U1315" i="27"/>
  <c r="S1315" i="27"/>
  <c r="AH1314" i="27"/>
  <c r="AH1313" i="27"/>
  <c r="AB1312" i="27"/>
  <c r="AH1312" i="27" s="1"/>
  <c r="AK1311" i="27"/>
  <c r="AJ1311" i="27"/>
  <c r="AL1311" i="27" s="1"/>
  <c r="AI1311" i="27"/>
  <c r="AF1311" i="27"/>
  <c r="AG1311" i="27" s="1"/>
  <c r="AB1311" i="27"/>
  <c r="AH1311" i="27" s="1"/>
  <c r="W1311" i="27"/>
  <c r="U1311" i="27"/>
  <c r="S1311" i="27"/>
  <c r="Q1311" i="27"/>
  <c r="AL1310" i="27"/>
  <c r="AK1310" i="27"/>
  <c r="AI1310" i="27"/>
  <c r="AF1310" i="27"/>
  <c r="AB1310" i="27"/>
  <c r="AH1310" i="27" s="1"/>
  <c r="Z1309" i="27"/>
  <c r="AL1306" i="27" s="1"/>
  <c r="AB1308" i="27"/>
  <c r="AH1308" i="27" s="1"/>
  <c r="AB1307" i="27"/>
  <c r="AH1307" i="27" s="1"/>
  <c r="AF1306" i="27"/>
  <c r="AG1306" i="27" s="1"/>
  <c r="AB1306" i="27"/>
  <c r="AH1306" i="27" s="1"/>
  <c r="W1306" i="27"/>
  <c r="U1306" i="27"/>
  <c r="S1306" i="27"/>
  <c r="Q1306" i="27"/>
  <c r="P1306" i="27"/>
  <c r="AI1306" i="27" s="1"/>
  <c r="P1305" i="27"/>
  <c r="AB1304" i="27"/>
  <c r="AB1303" i="27"/>
  <c r="AF1302" i="27"/>
  <c r="AB1302" i="27"/>
  <c r="P1302" i="27"/>
  <c r="AB1301" i="27"/>
  <c r="AB1300" i="27"/>
  <c r="AB1299" i="27"/>
  <c r="AB1298" i="27"/>
  <c r="AB1297" i="27"/>
  <c r="AG1296" i="27"/>
  <c r="AF1296" i="27"/>
  <c r="AB1296" i="27"/>
  <c r="V1296" i="27"/>
  <c r="P1296" i="27"/>
  <c r="AB1295" i="27"/>
  <c r="AB1294" i="27"/>
  <c r="AB1293" i="27"/>
  <c r="AB1292" i="27"/>
  <c r="AB1291" i="27"/>
  <c r="AF1290" i="27"/>
  <c r="AB1290" i="27"/>
  <c r="U1290" i="27"/>
  <c r="S1290" i="27"/>
  <c r="AB1289" i="27"/>
  <c r="AB1288" i="27"/>
  <c r="Z1287" i="27"/>
  <c r="AB1287" i="27" s="1"/>
  <c r="Z1286" i="27"/>
  <c r="AB1286" i="27" s="1"/>
  <c r="U1286" i="27"/>
  <c r="AB1285" i="27"/>
  <c r="AB1284" i="27"/>
  <c r="AB1283" i="27"/>
  <c r="AF1282" i="27"/>
  <c r="AB1282" i="27"/>
  <c r="U1282" i="27"/>
  <c r="S1282" i="27"/>
  <c r="P1282" i="27"/>
  <c r="Q1282" i="27" s="1"/>
  <c r="AL1281" i="27"/>
  <c r="AK1281" i="27"/>
  <c r="AJ1281" i="27"/>
  <c r="U1281" i="27"/>
  <c r="S1281" i="27"/>
  <c r="AB1280" i="27"/>
  <c r="AH1280" i="27" s="1"/>
  <c r="AB1279" i="27"/>
  <c r="AH1279" i="27" s="1"/>
  <c r="AB1278" i="27"/>
  <c r="AH1278" i="27" s="1"/>
  <c r="AK1277" i="27"/>
  <c r="AJ1277" i="27"/>
  <c r="AL1277" i="27" s="1"/>
  <c r="AF1277" i="27"/>
  <c r="AI1277" i="27" s="1"/>
  <c r="AB1277" i="27"/>
  <c r="AH1277" i="27" s="1"/>
  <c r="U1277" i="27"/>
  <c r="S1277" i="27"/>
  <c r="Q1271" i="27"/>
  <c r="P1271" i="27"/>
  <c r="AB1270" i="27"/>
  <c r="AH1270" i="27" s="1"/>
  <c r="AB1269" i="27"/>
  <c r="AH1269" i="27" s="1"/>
  <c r="AB1268" i="27"/>
  <c r="AH1268" i="27" s="1"/>
  <c r="AB1267" i="27"/>
  <c r="AH1267" i="27" s="1"/>
  <c r="AB1266" i="27"/>
  <c r="AH1266" i="27" s="1"/>
  <c r="AB1265" i="27"/>
  <c r="AH1265" i="27" s="1"/>
  <c r="AL1264" i="27"/>
  <c r="AK1264" i="27"/>
  <c r="AI1264" i="27"/>
  <c r="AF1264" i="27"/>
  <c r="AB1264" i="27"/>
  <c r="AH1264" i="27" s="1"/>
  <c r="U1264" i="27"/>
  <c r="S1264" i="27"/>
  <c r="AB1263" i="27"/>
  <c r="AH1263" i="27" s="1"/>
  <c r="AB1262" i="27"/>
  <c r="AH1262" i="27" s="1"/>
  <c r="AB1261" i="27"/>
  <c r="AH1261" i="27" s="1"/>
  <c r="AB1260" i="27"/>
  <c r="AH1260" i="27" s="1"/>
  <c r="AB1259" i="27"/>
  <c r="AH1259" i="27" s="1"/>
  <c r="AB1258" i="27"/>
  <c r="AH1258" i="27" s="1"/>
  <c r="AK1257" i="27"/>
  <c r="AI1257" i="27"/>
  <c r="AB1257" i="27"/>
  <c r="AH1257" i="27" s="1"/>
  <c r="U1257" i="27"/>
  <c r="AH1256" i="27"/>
  <c r="AB1256" i="27"/>
  <c r="AB1255" i="27"/>
  <c r="AH1255" i="27" s="1"/>
  <c r="AB1254" i="27"/>
  <c r="AH1254" i="27" s="1"/>
  <c r="AB1253" i="27"/>
  <c r="AH1253" i="27" s="1"/>
  <c r="AB1252" i="27"/>
  <c r="AH1252" i="27" s="1"/>
  <c r="AB1251" i="27"/>
  <c r="AH1251" i="27" s="1"/>
  <c r="AL1250" i="27"/>
  <c r="AK1250" i="27"/>
  <c r="AI1250" i="27"/>
  <c r="AG1250" i="27"/>
  <c r="AF1250" i="27"/>
  <c r="AB1250" i="27"/>
  <c r="AH1250" i="27" s="1"/>
  <c r="U1250" i="27"/>
  <c r="S1250" i="27"/>
  <c r="P1250" i="27"/>
  <c r="Q1250" i="27" s="1"/>
  <c r="AB1249" i="27"/>
  <c r="AH1249" i="27" s="1"/>
  <c r="AM1248" i="27"/>
  <c r="AL1248" i="27"/>
  <c r="AF1248" i="27"/>
  <c r="AI1248" i="27" s="1"/>
  <c r="AB1248" i="27"/>
  <c r="AH1248" i="27" s="1"/>
  <c r="AL1247" i="27"/>
  <c r="AM1247" i="27" s="1"/>
  <c r="AF1247" i="27"/>
  <c r="AI1247" i="27" s="1"/>
  <c r="AB1247" i="27"/>
  <c r="AH1247" i="27" s="1"/>
  <c r="AB1246" i="27"/>
  <c r="AH1246" i="27" s="1"/>
  <c r="AL1245" i="27"/>
  <c r="AK1245" i="27"/>
  <c r="AJ1245" i="27"/>
  <c r="AI1245" i="27"/>
  <c r="AF1245" i="27"/>
  <c r="AG1245" i="27" s="1"/>
  <c r="AB1245" i="27"/>
  <c r="AH1245" i="27" s="1"/>
  <c r="W1245" i="27"/>
  <c r="Q1245" i="27"/>
  <c r="AB1244" i="27"/>
  <c r="AH1244" i="27" s="1"/>
  <c r="AB1243" i="27"/>
  <c r="AH1243" i="27" s="1"/>
  <c r="AF1242" i="27"/>
  <c r="AI1242" i="27" s="1"/>
  <c r="AB1242" i="27"/>
  <c r="AH1242" i="27" s="1"/>
  <c r="U1242" i="27"/>
  <c r="S1242" i="27"/>
  <c r="AB1241" i="27"/>
  <c r="AH1241" i="27" s="1"/>
  <c r="AB1240" i="27"/>
  <c r="AH1240" i="27" s="1"/>
  <c r="AB1239" i="27"/>
  <c r="AH1239" i="27" s="1"/>
  <c r="AB1238" i="27"/>
  <c r="AH1238" i="27" s="1"/>
  <c r="AI1237" i="27"/>
  <c r="AB1237" i="27"/>
  <c r="AH1237" i="27" s="1"/>
  <c r="U1237" i="27"/>
  <c r="AB1236" i="27"/>
  <c r="AH1236" i="27" s="1"/>
  <c r="AB1235" i="27"/>
  <c r="AH1235" i="27" s="1"/>
  <c r="AB1234" i="27"/>
  <c r="AH1234" i="27" s="1"/>
  <c r="AA1233" i="27"/>
  <c r="AB1233" i="27" s="1"/>
  <c r="AH1233" i="27" s="1"/>
  <c r="AJ1232" i="27"/>
  <c r="AI1232" i="27"/>
  <c r="AF1232" i="27"/>
  <c r="AA1232" i="27"/>
  <c r="AB1232" i="27" s="1"/>
  <c r="AH1232" i="27" s="1"/>
  <c r="W1232" i="27"/>
  <c r="U1232" i="27"/>
  <c r="S1232" i="27"/>
  <c r="P1232" i="27"/>
  <c r="Q1232" i="27" s="1"/>
  <c r="AB1231" i="27"/>
  <c r="AH1231" i="27" s="1"/>
  <c r="AB1230" i="27"/>
  <c r="AH1230" i="27" s="1"/>
  <c r="AB1229" i="27"/>
  <c r="AH1229" i="27" s="1"/>
  <c r="AK1228" i="27"/>
  <c r="AJ1228" i="27"/>
  <c r="AL1228" i="27" s="1"/>
  <c r="AI1228" i="27"/>
  <c r="AF1228" i="27"/>
  <c r="AG1228" i="27" s="1"/>
  <c r="AB1228" i="27"/>
  <c r="AH1228" i="27" s="1"/>
  <c r="U1228" i="27"/>
  <c r="S1228" i="27"/>
  <c r="AK1227" i="27"/>
  <c r="U1227" i="27"/>
  <c r="S1227" i="27"/>
  <c r="AB1226" i="27"/>
  <c r="AH1226" i="27" s="1"/>
  <c r="AB1225" i="27"/>
  <c r="AH1225" i="27" s="1"/>
  <c r="AB1224" i="27"/>
  <c r="AH1224" i="27" s="1"/>
  <c r="AB1223" i="27"/>
  <c r="AH1223" i="27" s="1"/>
  <c r="AB1222" i="27"/>
  <c r="AH1222" i="27" s="1"/>
  <c r="AB1221" i="27"/>
  <c r="AH1221" i="27" s="1"/>
  <c r="AK1220" i="27"/>
  <c r="AJ1220" i="27"/>
  <c r="AL1220" i="27" s="1"/>
  <c r="AI1220" i="27"/>
  <c r="AF1220" i="27"/>
  <c r="AG1220" i="27" s="1"/>
  <c r="AB1220" i="27"/>
  <c r="AH1220" i="27" s="1"/>
  <c r="U1220" i="27"/>
  <c r="S1220" i="27"/>
  <c r="AL1219" i="27"/>
  <c r="AK1219" i="27"/>
  <c r="AI1219" i="27"/>
  <c r="AF1219" i="27"/>
  <c r="AB1219" i="27"/>
  <c r="AH1219" i="27" s="1"/>
  <c r="U1219" i="27"/>
  <c r="S1219" i="27"/>
  <c r="AB1218" i="27"/>
  <c r="AH1218" i="27" s="1"/>
  <c r="AB1217" i="27"/>
  <c r="AH1217" i="27" s="1"/>
  <c r="AB1216" i="27"/>
  <c r="AH1216" i="27" s="1"/>
  <c r="AB1215" i="27"/>
  <c r="AH1215" i="27" s="1"/>
  <c r="AK1214" i="27"/>
  <c r="AJ1214" i="27"/>
  <c r="AL1214" i="27" s="1"/>
  <c r="AF1214" i="27"/>
  <c r="AG1214" i="27" s="1"/>
  <c r="AI1214" i="27" s="1"/>
  <c r="AB1214" i="27"/>
  <c r="AH1214" i="27" s="1"/>
  <c r="W1214" i="27"/>
  <c r="U1214" i="27"/>
  <c r="S1214" i="27"/>
  <c r="Q1214" i="27"/>
  <c r="AB1213" i="27"/>
  <c r="AH1213" i="27" s="1"/>
  <c r="AL1212" i="27"/>
  <c r="AK1212" i="27"/>
  <c r="AI1212" i="27"/>
  <c r="AB1212" i="27"/>
  <c r="AH1212" i="27" s="1"/>
  <c r="U1212" i="27"/>
  <c r="S1212" i="27"/>
  <c r="AB1211" i="27"/>
  <c r="AH1211" i="27" s="1"/>
  <c r="AL1210" i="27"/>
  <c r="AK1210" i="27"/>
  <c r="AJ1210" i="27"/>
  <c r="AI1210" i="27"/>
  <c r="AB1210" i="27"/>
  <c r="AH1210" i="27" s="1"/>
  <c r="W1210" i="27"/>
  <c r="U1210" i="27"/>
  <c r="S1210" i="27"/>
  <c r="Q1210" i="27"/>
  <c r="AL1209" i="27"/>
  <c r="AK1209" i="27"/>
  <c r="AJ1209" i="27"/>
  <c r="AI1209" i="27"/>
  <c r="AH1209" i="27"/>
  <c r="AF1209" i="27"/>
  <c r="AG1209" i="27" s="1"/>
  <c r="AB1209" i="27"/>
  <c r="U1209" i="27"/>
  <c r="S1209" i="27"/>
  <c r="AL1208" i="27"/>
  <c r="AK1208" i="27"/>
  <c r="AJ1208" i="27"/>
  <c r="AI1208" i="27"/>
  <c r="AF1208" i="27"/>
  <c r="AG1208" i="27" s="1"/>
  <c r="AB1208" i="27"/>
  <c r="AH1208" i="27" s="1"/>
  <c r="U1208" i="27"/>
  <c r="AB1207" i="27"/>
  <c r="AH1207" i="27" s="1"/>
  <c r="AB1206" i="27"/>
  <c r="AH1206" i="27" s="1"/>
  <c r="AL1205" i="27"/>
  <c r="AK1205" i="27"/>
  <c r="AI1205" i="27"/>
  <c r="AF1205" i="27"/>
  <c r="AB1205" i="27"/>
  <c r="AH1205" i="27" s="1"/>
  <c r="U1205" i="27"/>
  <c r="S1205" i="27"/>
  <c r="AB1204" i="27"/>
  <c r="AH1204" i="27" s="1"/>
  <c r="AB1203" i="27"/>
  <c r="AH1203" i="27" s="1"/>
  <c r="AH1202" i="27"/>
  <c r="AB1202" i="27"/>
  <c r="AB1201" i="27"/>
  <c r="AH1201" i="27" s="1"/>
  <c r="AB1200" i="27"/>
  <c r="AH1200" i="27" s="1"/>
  <c r="AL1199" i="27"/>
  <c r="AK1199" i="27"/>
  <c r="AI1199" i="27"/>
  <c r="AF1199" i="27"/>
  <c r="AB1199" i="27"/>
  <c r="AH1199" i="27" s="1"/>
  <c r="U1199" i="27"/>
  <c r="S1199" i="27"/>
  <c r="AB1198" i="27"/>
  <c r="AH1198" i="27" s="1"/>
  <c r="AB1197" i="27"/>
  <c r="AH1197" i="27" s="1"/>
  <c r="AB1196" i="27"/>
  <c r="AH1196" i="27" s="1"/>
  <c r="AB1195" i="27"/>
  <c r="AH1195" i="27" s="1"/>
  <c r="AB1194" i="27"/>
  <c r="AH1194" i="27" s="1"/>
  <c r="AL1193" i="27"/>
  <c r="AK1193" i="27"/>
  <c r="AJ1193" i="27"/>
  <c r="AI1193" i="27"/>
  <c r="AF1193" i="27"/>
  <c r="AB1193" i="27"/>
  <c r="AH1193" i="27" s="1"/>
  <c r="W1193" i="27"/>
  <c r="U1193" i="27"/>
  <c r="S1193" i="27"/>
  <c r="Q1193" i="27"/>
  <c r="AH1192" i="27"/>
  <c r="AH1191" i="27"/>
  <c r="AF1191" i="27"/>
  <c r="AI1191" i="27" s="1"/>
  <c r="V1191" i="27"/>
  <c r="W1187" i="27" s="1"/>
  <c r="U1191" i="27"/>
  <c r="S1191" i="27"/>
  <c r="AH1190" i="27"/>
  <c r="AH1189" i="27"/>
  <c r="AF1189" i="27"/>
  <c r="AI1189" i="27" s="1"/>
  <c r="U1189" i="27"/>
  <c r="S1189" i="27"/>
  <c r="AH1188" i="27"/>
  <c r="AH1187" i="27"/>
  <c r="AF1187" i="27"/>
  <c r="AI1187" i="27" s="1"/>
  <c r="U1187" i="27"/>
  <c r="S1187" i="27"/>
  <c r="Q1187" i="27"/>
  <c r="AB1186" i="27"/>
  <c r="AH1186" i="27" s="1"/>
  <c r="AL1185" i="27"/>
  <c r="AK1185" i="27"/>
  <c r="AI1185" i="27"/>
  <c r="AF1185" i="27"/>
  <c r="AB1185" i="27"/>
  <c r="AH1185" i="27" s="1"/>
  <c r="U1185" i="27"/>
  <c r="S1185" i="27"/>
  <c r="AB1184" i="27"/>
  <c r="AH1184" i="27" s="1"/>
  <c r="AB1183" i="27"/>
  <c r="AH1183" i="27" s="1"/>
  <c r="AB1182" i="27"/>
  <c r="AH1182" i="27" s="1"/>
  <c r="AL1181" i="27"/>
  <c r="AK1181" i="27"/>
  <c r="AI1181" i="27"/>
  <c r="AF1181" i="27"/>
  <c r="AB1181" i="27"/>
  <c r="AH1181" i="27" s="1"/>
  <c r="U1181" i="27"/>
  <c r="S1181" i="27"/>
  <c r="AB1180" i="27"/>
  <c r="AH1180" i="27" s="1"/>
  <c r="AB1179" i="27"/>
  <c r="AH1179" i="27" s="1"/>
  <c r="AB1178" i="27"/>
  <c r="AH1178" i="27" s="1"/>
  <c r="AB1177" i="27"/>
  <c r="AH1177" i="27" s="1"/>
  <c r="AL1176" i="27"/>
  <c r="AK1176" i="27"/>
  <c r="AJ1176" i="27"/>
  <c r="AI1176" i="27"/>
  <c r="AF1176" i="27"/>
  <c r="AB1176" i="27"/>
  <c r="AH1176" i="27" s="1"/>
  <c r="W1176" i="27"/>
  <c r="U1176" i="27"/>
  <c r="S1176" i="27"/>
  <c r="Q1176" i="27"/>
  <c r="AB1175" i="27"/>
  <c r="AH1175" i="27" s="1"/>
  <c r="AL1174" i="27"/>
  <c r="AK1174" i="27"/>
  <c r="AJ1174" i="27"/>
  <c r="AI1174" i="27"/>
  <c r="AG1174" i="27"/>
  <c r="AF1174" i="27"/>
  <c r="AB1174" i="27"/>
  <c r="AH1174" i="27" s="1"/>
  <c r="U1174" i="27"/>
  <c r="S1174" i="27"/>
  <c r="AB1173" i="27"/>
  <c r="AH1173" i="27" s="1"/>
  <c r="AH1172" i="27"/>
  <c r="AB1172" i="27"/>
  <c r="AL1171" i="27"/>
  <c r="AK1171" i="27"/>
  <c r="AI1171" i="27"/>
  <c r="AF1171" i="27"/>
  <c r="AB1171" i="27"/>
  <c r="AH1171" i="27" s="1"/>
  <c r="U1171" i="27"/>
  <c r="S1171" i="27"/>
  <c r="AB1170" i="27"/>
  <c r="AH1170" i="27" s="1"/>
  <c r="AB1169" i="27"/>
  <c r="AH1169" i="27" s="1"/>
  <c r="AB1168" i="27"/>
  <c r="AH1168" i="27" s="1"/>
  <c r="AL1167" i="27"/>
  <c r="AK1167" i="27"/>
  <c r="AI1167" i="27"/>
  <c r="AF1167" i="27"/>
  <c r="AB1167" i="27"/>
  <c r="AH1167" i="27" s="1"/>
  <c r="U1167" i="27"/>
  <c r="S1167" i="27"/>
  <c r="AH1166" i="27"/>
  <c r="AB1166" i="27"/>
  <c r="AB1165" i="27"/>
  <c r="AH1165" i="27" s="1"/>
  <c r="AH1164" i="27"/>
  <c r="AB1164" i="27"/>
  <c r="AK1163" i="27"/>
  <c r="AI1163" i="27"/>
  <c r="AB1163" i="27"/>
  <c r="AH1163" i="27" s="1"/>
  <c r="U1163" i="27"/>
  <c r="AB1162" i="27"/>
  <c r="AH1162" i="27" s="1"/>
  <c r="AB1161" i="27"/>
  <c r="AH1161" i="27" s="1"/>
  <c r="AB1160" i="27"/>
  <c r="AH1160" i="27" s="1"/>
  <c r="AL1159" i="27"/>
  <c r="AK1159" i="27"/>
  <c r="AJ1159" i="27"/>
  <c r="AI1159" i="27"/>
  <c r="AF1159" i="27"/>
  <c r="AG1159" i="27" s="1"/>
  <c r="AB1159" i="27"/>
  <c r="AH1159" i="27" s="1"/>
  <c r="W1159" i="27"/>
  <c r="U1159" i="27"/>
  <c r="S1159" i="27"/>
  <c r="P1159" i="27"/>
  <c r="Q1159" i="27" s="1"/>
  <c r="AB1158" i="27"/>
  <c r="AH1158" i="27" s="1"/>
  <c r="AB1157" i="27"/>
  <c r="AH1157" i="27" s="1"/>
  <c r="AF1156" i="27"/>
  <c r="AB1156" i="27"/>
  <c r="AH1156" i="27" s="1"/>
  <c r="U1156" i="27"/>
  <c r="S1156" i="27"/>
  <c r="AB1155" i="27"/>
  <c r="AH1155" i="27" s="1"/>
  <c r="AB1154" i="27"/>
  <c r="AH1154" i="27" s="1"/>
  <c r="AF1153" i="27"/>
  <c r="AB1153" i="27"/>
  <c r="AH1153" i="27" s="1"/>
  <c r="U1153" i="27"/>
  <c r="S1153" i="27"/>
  <c r="AB1152" i="27"/>
  <c r="AH1152" i="27" s="1"/>
  <c r="AB1151" i="27"/>
  <c r="AH1151" i="27" s="1"/>
  <c r="AB1150" i="27"/>
  <c r="AH1150" i="27" s="1"/>
  <c r="AB1149" i="27"/>
  <c r="AH1149" i="27" s="1"/>
  <c r="AH1148" i="27"/>
  <c r="AB1148" i="27"/>
  <c r="AF1147" i="27"/>
  <c r="AB1147" i="27"/>
  <c r="AH1147" i="27" s="1"/>
  <c r="U1147" i="27"/>
  <c r="S1147" i="27"/>
  <c r="AB1146" i="27"/>
  <c r="AH1146" i="27" s="1"/>
  <c r="AB1145" i="27"/>
  <c r="AB1144" i="27"/>
  <c r="AB1143" i="27"/>
  <c r="AH1143" i="27" s="1"/>
  <c r="AB1142" i="27"/>
  <c r="AH1142" i="27" s="1"/>
  <c r="AB1141" i="27"/>
  <c r="AH1141" i="27" s="1"/>
  <c r="U1141" i="27"/>
  <c r="AB1140" i="27"/>
  <c r="AH1140" i="27" s="1"/>
  <c r="AB1139" i="27"/>
  <c r="AH1139" i="27" s="1"/>
  <c r="AB1138" i="27"/>
  <c r="AH1138" i="27" s="1"/>
  <c r="AB1137" i="27"/>
  <c r="AH1137" i="27" s="1"/>
  <c r="AB1136" i="27"/>
  <c r="AH1136" i="27" s="1"/>
  <c r="AH1135" i="27"/>
  <c r="AF1135" i="27"/>
  <c r="AB1135" i="27"/>
  <c r="W1135" i="27"/>
  <c r="U1135" i="27"/>
  <c r="S1135" i="27"/>
  <c r="P1135" i="27"/>
  <c r="Q1135" i="27" s="1"/>
  <c r="AB1134" i="27"/>
  <c r="AL1133" i="27"/>
  <c r="AK1133" i="27"/>
  <c r="AF1133" i="27"/>
  <c r="AG1133" i="27" s="1"/>
  <c r="AB1133" i="27"/>
  <c r="V1133" i="27"/>
  <c r="AB1132" i="27"/>
  <c r="AH1132" i="27" s="1"/>
  <c r="AK1131" i="27"/>
  <c r="AI1131" i="27"/>
  <c r="AF1131" i="27"/>
  <c r="AB1131" i="27"/>
  <c r="AH1131" i="27" s="1"/>
  <c r="U1131" i="27"/>
  <c r="S1131" i="27"/>
  <c r="AB1130" i="27"/>
  <c r="AH1130" i="27" s="1"/>
  <c r="AH1129" i="27"/>
  <c r="AB1129" i="27"/>
  <c r="AK1128" i="27"/>
  <c r="AI1128" i="27"/>
  <c r="AF1128" i="27"/>
  <c r="AB1128" i="27"/>
  <c r="AH1128" i="27" s="1"/>
  <c r="U1128" i="27"/>
  <c r="S1128" i="27"/>
  <c r="AH1127" i="27"/>
  <c r="AB1127" i="27"/>
  <c r="AB1126" i="27"/>
  <c r="AH1126" i="27" s="1"/>
  <c r="AB1125" i="27"/>
  <c r="AH1125" i="27" s="1"/>
  <c r="AB1124" i="27"/>
  <c r="AH1124" i="27" s="1"/>
  <c r="AB1123" i="27"/>
  <c r="AH1123" i="27" s="1"/>
  <c r="AB1122" i="27"/>
  <c r="AH1122" i="27" s="1"/>
  <c r="AB1121" i="27"/>
  <c r="AH1121" i="27" s="1"/>
  <c r="AK1120" i="27"/>
  <c r="AI1120" i="27"/>
  <c r="AF1120" i="27"/>
  <c r="AB1120" i="27"/>
  <c r="AH1120" i="27" s="1"/>
  <c r="U1120" i="27"/>
  <c r="S1120" i="27"/>
  <c r="AB1119" i="27"/>
  <c r="AH1119" i="27" s="1"/>
  <c r="AB1118" i="27"/>
  <c r="AH1118" i="27" s="1"/>
  <c r="AB1117" i="27"/>
  <c r="AH1117" i="27" s="1"/>
  <c r="AB1116" i="27"/>
  <c r="AH1116" i="27" s="1"/>
  <c r="AB1115" i="27"/>
  <c r="AH1115" i="27" s="1"/>
  <c r="AB1114" i="27"/>
  <c r="AH1114" i="27" s="1"/>
  <c r="AB1113" i="27"/>
  <c r="AH1113" i="27" s="1"/>
  <c r="AK1112" i="27"/>
  <c r="AI1112" i="27"/>
  <c r="AF1112" i="27"/>
  <c r="AB1112" i="27"/>
  <c r="AH1112" i="27" s="1"/>
  <c r="W1112" i="27"/>
  <c r="U1112" i="27"/>
  <c r="S1112" i="27"/>
  <c r="Q1112" i="27"/>
  <c r="AL1111" i="27"/>
  <c r="AK1111" i="27"/>
  <c r="AI1111" i="27"/>
  <c r="AF1111" i="27"/>
  <c r="AB1111" i="27"/>
  <c r="AH1111" i="27" s="1"/>
  <c r="U1111" i="27"/>
  <c r="S1111" i="27"/>
  <c r="AB1110" i="27"/>
  <c r="AH1110" i="27" s="1"/>
  <c r="AH1109" i="27"/>
  <c r="AB1109" i="27"/>
  <c r="AL1108" i="27"/>
  <c r="AK1108" i="27"/>
  <c r="AI1108" i="27"/>
  <c r="AH1108" i="27"/>
  <c r="AF1108" i="27"/>
  <c r="AB1108" i="27"/>
  <c r="U1108" i="27"/>
  <c r="S1108" i="27"/>
  <c r="AH1107" i="27"/>
  <c r="AB1107" i="27"/>
  <c r="AB1106" i="27"/>
  <c r="AH1106" i="27" s="1"/>
  <c r="AL1105" i="27"/>
  <c r="AK1105" i="27"/>
  <c r="AJ1105" i="27"/>
  <c r="AI1105" i="27"/>
  <c r="AF1105" i="27"/>
  <c r="AG1105" i="27" s="1"/>
  <c r="AB1105" i="27"/>
  <c r="AH1105" i="27" s="1"/>
  <c r="U1105" i="27"/>
  <c r="S1105" i="27"/>
  <c r="Q1105" i="27"/>
  <c r="AB1104" i="27"/>
  <c r="AH1104" i="27" s="1"/>
  <c r="AB1103" i="27"/>
  <c r="AH1103" i="27" s="1"/>
  <c r="AM1102" i="27"/>
  <c r="AL1102" i="27"/>
  <c r="AK1102" i="27"/>
  <c r="AI1102" i="27"/>
  <c r="AF1102" i="27"/>
  <c r="AB1102" i="27"/>
  <c r="AH1102" i="27" s="1"/>
  <c r="U1102" i="27"/>
  <c r="S1102" i="27"/>
  <c r="AH1101" i="27"/>
  <c r="AB1101" i="27"/>
  <c r="AH1100" i="27"/>
  <c r="AB1100" i="27"/>
  <c r="AB1099" i="27"/>
  <c r="AH1099" i="27" s="1"/>
  <c r="AB1098" i="27"/>
  <c r="AH1098" i="27" s="1"/>
  <c r="AL1097" i="27"/>
  <c r="AK1097" i="27"/>
  <c r="AI1097" i="27"/>
  <c r="AF1097" i="27"/>
  <c r="AB1097" i="27"/>
  <c r="AH1097" i="27" s="1"/>
  <c r="U1097" i="27"/>
  <c r="S1097" i="27"/>
  <c r="AB1096" i="27"/>
  <c r="AH1096" i="27" s="1"/>
  <c r="AH1095" i="27"/>
  <c r="AB1095" i="27"/>
  <c r="AB1094" i="27"/>
  <c r="AH1094" i="27" s="1"/>
  <c r="AK1093" i="27"/>
  <c r="AI1093" i="27"/>
  <c r="AB1093" i="27"/>
  <c r="AH1093" i="27" s="1"/>
  <c r="U1093" i="27"/>
  <c r="AH1092" i="27"/>
  <c r="AB1092" i="27"/>
  <c r="AB1091" i="27"/>
  <c r="AH1091" i="27" s="1"/>
  <c r="AB1090" i="27"/>
  <c r="AH1090" i="27" s="1"/>
  <c r="AH1089" i="27"/>
  <c r="AB1089" i="27"/>
  <c r="AB1088" i="27"/>
  <c r="AH1088" i="27" s="1"/>
  <c r="AL1087" i="27"/>
  <c r="AK1087" i="27"/>
  <c r="AJ1087" i="27"/>
  <c r="AI1087" i="27"/>
  <c r="AF1087" i="27"/>
  <c r="AB1087" i="27"/>
  <c r="AH1087" i="27" s="1"/>
  <c r="W1087" i="27"/>
  <c r="U1087" i="27"/>
  <c r="P1087" i="27"/>
  <c r="Q1087" i="27" s="1"/>
  <c r="S1087" i="27" s="1"/>
  <c r="AF1086" i="27"/>
  <c r="AF1085" i="27"/>
  <c r="V1085" i="27"/>
  <c r="W1062" i="27" s="1"/>
  <c r="AF1083" i="27"/>
  <c r="AB1083" i="27"/>
  <c r="AB1081" i="27"/>
  <c r="AB1080" i="27"/>
  <c r="AF1079" i="27"/>
  <c r="AB1079" i="27"/>
  <c r="AB1078" i="27"/>
  <c r="AB1077" i="27"/>
  <c r="AF1076" i="27"/>
  <c r="AA1076" i="27"/>
  <c r="AB1076" i="27" s="1"/>
  <c r="AB1075" i="27"/>
  <c r="AB1074" i="27"/>
  <c r="AB1073" i="27"/>
  <c r="AF1072" i="27"/>
  <c r="AA1072" i="27"/>
  <c r="AB1072" i="27" s="1"/>
  <c r="AI1071" i="27"/>
  <c r="AB1071" i="27"/>
  <c r="AF1070" i="27"/>
  <c r="AA1070" i="27"/>
  <c r="AB1070" i="27" s="1"/>
  <c r="AB1069" i="27"/>
  <c r="AB1068" i="27"/>
  <c r="AF1067" i="27"/>
  <c r="AA1067" i="27"/>
  <c r="AB1067" i="27" s="1"/>
  <c r="AB1066" i="27"/>
  <c r="AF1065" i="27"/>
  <c r="AA1065" i="27"/>
  <c r="AB1065" i="27" s="1"/>
  <c r="AB1064" i="27"/>
  <c r="AI1064" i="27" s="1"/>
  <c r="AB1063" i="27"/>
  <c r="AF1062" i="27"/>
  <c r="AA1062" i="27"/>
  <c r="AB1062" i="27" s="1"/>
  <c r="Q1062" i="27"/>
  <c r="I1062" i="27"/>
  <c r="AB1060" i="27"/>
  <c r="V1060" i="27"/>
  <c r="AB1058" i="27"/>
  <c r="Z1057" i="27"/>
  <c r="AB1057" i="27" s="1"/>
  <c r="AH1057" i="27" s="1"/>
  <c r="AB1056" i="27"/>
  <c r="AH1056" i="27" s="1"/>
  <c r="AF1055" i="27"/>
  <c r="AG1055" i="27" s="1"/>
  <c r="AB1055" i="27"/>
  <c r="AH1055" i="27" s="1"/>
  <c r="V1055" i="27"/>
  <c r="P1055" i="27"/>
  <c r="Q1055" i="27" s="1"/>
  <c r="AL1054" i="27"/>
  <c r="AK1054" i="27"/>
  <c r="AM1054" i="27" s="1"/>
  <c r="AI1054" i="27"/>
  <c r="AF1054" i="27"/>
  <c r="AB1054" i="27"/>
  <c r="AH1054" i="27" s="1"/>
  <c r="U1054" i="27"/>
  <c r="S1054" i="27"/>
  <c r="AB1053" i="27"/>
  <c r="AH1053" i="27" s="1"/>
  <c r="AL1052" i="27"/>
  <c r="AK1052" i="27"/>
  <c r="AM1052" i="27" s="1"/>
  <c r="AI1052" i="27"/>
  <c r="AH1052" i="27"/>
  <c r="AF1052" i="27"/>
  <c r="AB1052" i="27"/>
  <c r="U1052" i="27"/>
  <c r="S1052" i="27"/>
  <c r="AB1051" i="27"/>
  <c r="AH1051" i="27" s="1"/>
  <c r="AL1050" i="27"/>
  <c r="AK1050" i="27"/>
  <c r="AJ1050" i="27"/>
  <c r="AI1050" i="27"/>
  <c r="AF1050" i="27"/>
  <c r="AB1050" i="27"/>
  <c r="AH1050" i="27" s="1"/>
  <c r="W1050" i="27"/>
  <c r="U1050" i="27"/>
  <c r="S1050" i="27"/>
  <c r="Q1050" i="27"/>
  <c r="AL1049" i="27"/>
  <c r="AK1049" i="27"/>
  <c r="AI1049" i="27"/>
  <c r="AF1049" i="27"/>
  <c r="AB1049" i="27"/>
  <c r="AH1049" i="27" s="1"/>
  <c r="U1049" i="27"/>
  <c r="S1049" i="27"/>
  <c r="AB1048" i="27"/>
  <c r="AH1048" i="27" s="1"/>
  <c r="AL1047" i="27"/>
  <c r="AM1047" i="27" s="1"/>
  <c r="AK1047" i="27"/>
  <c r="AI1047" i="27"/>
  <c r="AF1047" i="27"/>
  <c r="AB1047" i="27"/>
  <c r="AH1047" i="27" s="1"/>
  <c r="U1047" i="27"/>
  <c r="S1047" i="27"/>
  <c r="AL1046" i="27"/>
  <c r="AK1046" i="27"/>
  <c r="AM1046" i="27" s="1"/>
  <c r="AI1046" i="27"/>
  <c r="AH1046" i="27"/>
  <c r="AF1046" i="27"/>
  <c r="AB1046" i="27"/>
  <c r="U1046" i="27"/>
  <c r="S1046" i="27"/>
  <c r="AB1045" i="27"/>
  <c r="AH1045" i="27" s="1"/>
  <c r="AH1044" i="27"/>
  <c r="AB1044" i="27"/>
  <c r="AB1043" i="27"/>
  <c r="AH1043" i="27" s="1"/>
  <c r="AL1042" i="27"/>
  <c r="AK1042" i="27"/>
  <c r="AM1042" i="27" s="1"/>
  <c r="AI1042" i="27"/>
  <c r="AH1042" i="27"/>
  <c r="AF1042" i="27"/>
  <c r="AB1042" i="27"/>
  <c r="U1042" i="27"/>
  <c r="S1042" i="27"/>
  <c r="AB1041" i="27"/>
  <c r="AH1041" i="27" s="1"/>
  <c r="AB1040" i="27"/>
  <c r="AH1040" i="27" s="1"/>
  <c r="AB1039" i="27"/>
  <c r="AH1039" i="27" s="1"/>
  <c r="AB1038" i="27"/>
  <c r="AH1038" i="27" s="1"/>
  <c r="AM1037" i="27"/>
  <c r="AK1037" i="27"/>
  <c r="AI1037" i="27"/>
  <c r="AH1037" i="27"/>
  <c r="AF1037" i="27"/>
  <c r="AB1037" i="27"/>
  <c r="U1037" i="27"/>
  <c r="S1037" i="27"/>
  <c r="AH1036" i="27"/>
  <c r="AB1036" i="27"/>
  <c r="AB1035" i="27"/>
  <c r="AH1035" i="27" s="1"/>
  <c r="AB1034" i="27"/>
  <c r="AH1034" i="27" s="1"/>
  <c r="AL1033" i="27"/>
  <c r="AK1033" i="27"/>
  <c r="AI1033" i="27"/>
  <c r="AF1033" i="27"/>
  <c r="AB1033" i="27"/>
  <c r="AH1033" i="27" s="1"/>
  <c r="U1033" i="27"/>
  <c r="S1033" i="27"/>
  <c r="AB1032" i="27"/>
  <c r="AH1032" i="27" s="1"/>
  <c r="AB1031" i="27"/>
  <c r="AH1031" i="27" s="1"/>
  <c r="AB1030" i="27"/>
  <c r="AH1030" i="27" s="1"/>
  <c r="AB1029" i="27"/>
  <c r="AH1029" i="27" s="1"/>
  <c r="AK1028" i="27"/>
  <c r="AM1028" i="27" s="1"/>
  <c r="AI1028" i="27"/>
  <c r="AF1028" i="27"/>
  <c r="AB1028" i="27"/>
  <c r="AH1028" i="27" s="1"/>
  <c r="U1028" i="27"/>
  <c r="S1028" i="27"/>
  <c r="AH1027" i="27"/>
  <c r="AB1027" i="27"/>
  <c r="AB1026" i="27"/>
  <c r="AH1026" i="27" s="1"/>
  <c r="AL1025" i="27"/>
  <c r="AK1025" i="27"/>
  <c r="AM1025" i="27" s="1"/>
  <c r="AJ1025" i="27"/>
  <c r="AI1025" i="27"/>
  <c r="AF1025" i="27"/>
  <c r="AB1025" i="27"/>
  <c r="AH1025" i="27" s="1"/>
  <c r="W1025" i="27"/>
  <c r="U1025" i="27"/>
  <c r="S1025" i="27"/>
  <c r="Q1025" i="27"/>
  <c r="AB1024" i="27"/>
  <c r="AH1024" i="27" s="1"/>
  <c r="AB1023" i="27"/>
  <c r="AH1023" i="27" s="1"/>
  <c r="AL1022" i="27"/>
  <c r="AJ1022" i="27"/>
  <c r="AI1022" i="27"/>
  <c r="AF1022" i="27"/>
  <c r="AG1022" i="27" s="1"/>
  <c r="AB1022" i="27"/>
  <c r="AH1022" i="27" s="1"/>
  <c r="U1022" i="27"/>
  <c r="S1022" i="27"/>
  <c r="Q1022" i="27"/>
  <c r="P1022" i="27"/>
  <c r="AK1022" i="27" s="1"/>
  <c r="AM1022" i="27" s="1"/>
  <c r="AB1021" i="27"/>
  <c r="AH1021" i="27" s="1"/>
  <c r="AL1020" i="27"/>
  <c r="AJ1020" i="27"/>
  <c r="AI1020" i="27"/>
  <c r="AF1020" i="27"/>
  <c r="AG1020" i="27" s="1"/>
  <c r="AB1020" i="27"/>
  <c r="AH1020" i="27" s="1"/>
  <c r="W1020" i="27"/>
  <c r="U1020" i="27"/>
  <c r="S1020" i="27"/>
  <c r="P1020" i="27"/>
  <c r="AK1020" i="27" s="1"/>
  <c r="AM1020" i="27" s="1"/>
  <c r="AB1019" i="27"/>
  <c r="AH1019" i="27" s="1"/>
  <c r="AH1018" i="27"/>
  <c r="AB1018" i="27"/>
  <c r="AL1017" i="27"/>
  <c r="AK1017" i="27"/>
  <c r="AI1017" i="27"/>
  <c r="AF1017" i="27"/>
  <c r="AB1017" i="27"/>
  <c r="AH1017" i="27" s="1"/>
  <c r="U1017" i="27"/>
  <c r="S1017" i="27"/>
  <c r="AB1016" i="27"/>
  <c r="AH1016" i="27" s="1"/>
  <c r="AB1015" i="27"/>
  <c r="AH1015" i="27" s="1"/>
  <c r="AB1014" i="27"/>
  <c r="AH1014" i="27" s="1"/>
  <c r="AB1013" i="27"/>
  <c r="AH1013" i="27" s="1"/>
  <c r="AL1012" i="27"/>
  <c r="AF1012" i="27"/>
  <c r="AB1012" i="27"/>
  <c r="AH1012" i="27" s="1"/>
  <c r="U1012" i="27"/>
  <c r="S1012" i="27"/>
  <c r="AI1012" i="27" s="1"/>
  <c r="P1012" i="27"/>
  <c r="AB1011" i="27"/>
  <c r="AH1011" i="27" s="1"/>
  <c r="AB1010" i="27"/>
  <c r="AH1010" i="27" s="1"/>
  <c r="AB1009" i="27"/>
  <c r="AH1009" i="27" s="1"/>
  <c r="AB1008" i="27"/>
  <c r="AH1008" i="27" s="1"/>
  <c r="AK1007" i="27"/>
  <c r="AI1007" i="27"/>
  <c r="AB1007" i="27"/>
  <c r="AH1007" i="27" s="1"/>
  <c r="U1007" i="27"/>
  <c r="AB1006" i="27"/>
  <c r="AH1006" i="27" s="1"/>
  <c r="AB1005" i="27"/>
  <c r="AH1005" i="27" s="1"/>
  <c r="AB1004" i="27"/>
  <c r="AH1004" i="27" s="1"/>
  <c r="AH1003" i="27"/>
  <c r="AB1003" i="27"/>
  <c r="AL1002" i="27"/>
  <c r="AK1002" i="27"/>
  <c r="AI1002" i="27"/>
  <c r="AF1002" i="27"/>
  <c r="AB1002" i="27"/>
  <c r="AH1002" i="27" s="1"/>
  <c r="U1002" i="27"/>
  <c r="S1002" i="27"/>
  <c r="P1002" i="27"/>
  <c r="AH1001" i="27"/>
  <c r="AB1001" i="27"/>
  <c r="AB1000" i="27"/>
  <c r="AH1000" i="27" s="1"/>
  <c r="AB999" i="27"/>
  <c r="AH999" i="27" s="1"/>
  <c r="AB998" i="27"/>
  <c r="AH998" i="27" s="1"/>
  <c r="AK997" i="27"/>
  <c r="AI997" i="27"/>
  <c r="AB997" i="27"/>
  <c r="AH997" i="27" s="1"/>
  <c r="U997" i="27"/>
  <c r="AB996" i="27"/>
  <c r="AH996" i="27" s="1"/>
  <c r="AB995" i="27"/>
  <c r="AH995" i="27" s="1"/>
  <c r="AB994" i="27"/>
  <c r="AH994" i="27" s="1"/>
  <c r="AB993" i="27"/>
  <c r="AH993" i="27" s="1"/>
  <c r="AL992" i="27"/>
  <c r="AK992" i="27"/>
  <c r="AJ992" i="27"/>
  <c r="AI992" i="27"/>
  <c r="AF992" i="27"/>
  <c r="AB992" i="27"/>
  <c r="AH992" i="27" s="1"/>
  <c r="W992" i="27"/>
  <c r="U992" i="27"/>
  <c r="S992" i="27"/>
  <c r="P992" i="27"/>
  <c r="AL991" i="27"/>
  <c r="AI991" i="27"/>
  <c r="AF991" i="27"/>
  <c r="AB991" i="27"/>
  <c r="AH991" i="27" s="1"/>
  <c r="U991" i="27"/>
  <c r="S991" i="27"/>
  <c r="P991" i="27"/>
  <c r="AK991" i="27" s="1"/>
  <c r="AM991" i="27" s="1"/>
  <c r="AB990" i="27"/>
  <c r="AH990" i="27" s="1"/>
  <c r="AL989" i="27"/>
  <c r="AJ989" i="27"/>
  <c r="AI989" i="27"/>
  <c r="AF989" i="27"/>
  <c r="AB989" i="27"/>
  <c r="AH989" i="27" s="1"/>
  <c r="W989" i="27"/>
  <c r="U989" i="27"/>
  <c r="S989" i="27"/>
  <c r="P989" i="27"/>
  <c r="AB988" i="27"/>
  <c r="AH988" i="27" s="1"/>
  <c r="AL987" i="27"/>
  <c r="AK987" i="27"/>
  <c r="AI987" i="27"/>
  <c r="AF987" i="27"/>
  <c r="AB987" i="27"/>
  <c r="AH987" i="27" s="1"/>
  <c r="U987" i="27"/>
  <c r="S987" i="27"/>
  <c r="P987" i="27"/>
  <c r="AB986" i="27"/>
  <c r="AH986" i="27" s="1"/>
  <c r="U986" i="27"/>
  <c r="AB985" i="27"/>
  <c r="AH985" i="27" s="1"/>
  <c r="AB984" i="27"/>
  <c r="AH984" i="27" s="1"/>
  <c r="AL983" i="27"/>
  <c r="AK983" i="27"/>
  <c r="AJ983" i="27"/>
  <c r="AI983" i="27"/>
  <c r="AF983" i="27"/>
  <c r="AG983" i="27" s="1"/>
  <c r="AB983" i="27"/>
  <c r="AH983" i="27" s="1"/>
  <c r="W983" i="27"/>
  <c r="U983" i="27"/>
  <c r="S983" i="27"/>
  <c r="P983" i="27"/>
  <c r="AB982" i="27"/>
  <c r="AH982" i="27" s="1"/>
  <c r="AL981" i="27"/>
  <c r="AK981" i="27"/>
  <c r="AJ981" i="27"/>
  <c r="AI981" i="27"/>
  <c r="AF981" i="27"/>
  <c r="AG981" i="27" s="1"/>
  <c r="AB981" i="27"/>
  <c r="AH981" i="27" s="1"/>
  <c r="U981" i="27"/>
  <c r="S981" i="27"/>
  <c r="P981" i="27"/>
  <c r="Q981" i="27" s="1"/>
  <c r="AB980" i="27"/>
  <c r="AH980" i="27" s="1"/>
  <c r="AB979" i="27"/>
  <c r="AH979" i="27" s="1"/>
  <c r="AB978" i="27"/>
  <c r="AH978" i="27" s="1"/>
  <c r="AB977" i="27"/>
  <c r="AH977" i="27" s="1"/>
  <c r="AB976" i="27"/>
  <c r="AH976" i="27" s="1"/>
  <c r="AL975" i="27"/>
  <c r="AK975" i="27"/>
  <c r="AJ975" i="27"/>
  <c r="AG975" i="27"/>
  <c r="AF975" i="27"/>
  <c r="AI975" i="27" s="1"/>
  <c r="AB975" i="27"/>
  <c r="AH975" i="27" s="1"/>
  <c r="U975" i="27"/>
  <c r="S975" i="27"/>
  <c r="Q975" i="27"/>
  <c r="AB974" i="27"/>
  <c r="AH974" i="27" s="1"/>
  <c r="AL973" i="27"/>
  <c r="AM973" i="27" s="1"/>
  <c r="AK973" i="27"/>
  <c r="AI973" i="27"/>
  <c r="AF973" i="27"/>
  <c r="AB973" i="27"/>
  <c r="AH973" i="27" s="1"/>
  <c r="U973" i="27"/>
  <c r="S973" i="27"/>
  <c r="P973" i="27"/>
  <c r="AB972" i="27"/>
  <c r="AH972" i="27" s="1"/>
  <c r="AK971" i="27"/>
  <c r="AM971" i="27" s="1"/>
  <c r="AI971" i="27"/>
  <c r="AH971" i="27"/>
  <c r="AB971" i="27"/>
  <c r="U971" i="27"/>
  <c r="AB970" i="27"/>
  <c r="AH970" i="27" s="1"/>
  <c r="AL969" i="27"/>
  <c r="AM969" i="27" s="1"/>
  <c r="AK969" i="27"/>
  <c r="AJ969" i="27"/>
  <c r="AI969" i="27"/>
  <c r="AF969" i="27"/>
  <c r="AG969" i="27" s="1"/>
  <c r="AB969" i="27"/>
  <c r="AH969" i="27" s="1"/>
  <c r="W969" i="27"/>
  <c r="U969" i="27"/>
  <c r="S969" i="27"/>
  <c r="P969" i="27"/>
  <c r="AB968" i="27"/>
  <c r="AH968" i="27" s="1"/>
  <c r="AL967" i="27"/>
  <c r="AK967" i="27"/>
  <c r="AM967" i="27" s="1"/>
  <c r="AI967" i="27"/>
  <c r="AH967" i="27"/>
  <c r="AF967" i="27"/>
  <c r="AB967" i="27"/>
  <c r="U967" i="27"/>
  <c r="S967" i="27"/>
  <c r="P967" i="27"/>
  <c r="AB966" i="27"/>
  <c r="AH966" i="27" s="1"/>
  <c r="AB965" i="27"/>
  <c r="AH965" i="27" s="1"/>
  <c r="AB964" i="27"/>
  <c r="AH964" i="27" s="1"/>
  <c r="AB963" i="27"/>
  <c r="AH963" i="27" s="1"/>
  <c r="AB962" i="27"/>
  <c r="AH962" i="27" s="1"/>
  <c r="AB961" i="27"/>
  <c r="AH961" i="27" s="1"/>
  <c r="AL960" i="27"/>
  <c r="AK960" i="27"/>
  <c r="AM960" i="27" s="1"/>
  <c r="AI960" i="27"/>
  <c r="AF960" i="27"/>
  <c r="AB960" i="27"/>
  <c r="AH960" i="27" s="1"/>
  <c r="U960" i="27"/>
  <c r="S960" i="27"/>
  <c r="P960" i="27"/>
  <c r="AB959" i="27"/>
  <c r="AH959" i="27" s="1"/>
  <c r="AB958" i="27"/>
  <c r="AH958" i="27" s="1"/>
  <c r="AB957" i="27"/>
  <c r="AH957" i="27" s="1"/>
  <c r="AB956" i="27"/>
  <c r="AH956" i="27" s="1"/>
  <c r="AB955" i="27"/>
  <c r="AH955" i="27" s="1"/>
  <c r="AB954" i="27"/>
  <c r="AH954" i="27" s="1"/>
  <c r="AM953" i="27"/>
  <c r="AL953" i="27"/>
  <c r="AK953" i="27"/>
  <c r="AJ953" i="27"/>
  <c r="AI953" i="27"/>
  <c r="AF953" i="27"/>
  <c r="AB953" i="27"/>
  <c r="AH953" i="27" s="1"/>
  <c r="W953" i="27"/>
  <c r="U953" i="27"/>
  <c r="S953" i="27"/>
  <c r="P953" i="27"/>
  <c r="AB952" i="27"/>
  <c r="AH952" i="27" s="1"/>
  <c r="AB951" i="27"/>
  <c r="AH951" i="27" s="1"/>
  <c r="AB950" i="27"/>
  <c r="AH950" i="27" s="1"/>
  <c r="AB949" i="27"/>
  <c r="AH949" i="27" s="1"/>
  <c r="AL948" i="27"/>
  <c r="AJ948" i="27"/>
  <c r="AI948" i="27"/>
  <c r="AG948" i="27"/>
  <c r="AF948" i="27"/>
  <c r="AB948" i="27"/>
  <c r="AH948" i="27" s="1"/>
  <c r="U948" i="27"/>
  <c r="S948" i="27"/>
  <c r="P948" i="27"/>
  <c r="AB947" i="27"/>
  <c r="AH947" i="27" s="1"/>
  <c r="AL946" i="27"/>
  <c r="AI946" i="27"/>
  <c r="AF946" i="27"/>
  <c r="AB946" i="27"/>
  <c r="AH946" i="27" s="1"/>
  <c r="U946" i="27"/>
  <c r="S946" i="27"/>
  <c r="P946" i="27"/>
  <c r="AK946" i="27" s="1"/>
  <c r="AM946" i="27" s="1"/>
  <c r="AB945" i="27"/>
  <c r="AH945" i="27" s="1"/>
  <c r="AB944" i="27"/>
  <c r="AH944" i="27" s="1"/>
  <c r="AB943" i="27"/>
  <c r="AH943" i="27" s="1"/>
  <c r="AL942" i="27"/>
  <c r="AJ942" i="27"/>
  <c r="AI942" i="27"/>
  <c r="AF942" i="27"/>
  <c r="AB942" i="27"/>
  <c r="AH942" i="27" s="1"/>
  <c r="U942" i="27"/>
  <c r="S942" i="27"/>
  <c r="P942" i="27"/>
  <c r="AK942" i="27" s="1"/>
  <c r="AM942" i="27" s="1"/>
  <c r="AH941" i="27"/>
  <c r="AH940" i="27"/>
  <c r="AH939" i="27"/>
  <c r="AH938" i="27"/>
  <c r="AH937" i="27"/>
  <c r="AH936" i="27"/>
  <c r="AH935" i="27"/>
  <c r="AH934" i="27"/>
  <c r="AH933" i="27"/>
  <c r="AH932" i="27"/>
  <c r="AH931" i="27"/>
  <c r="AH930" i="27"/>
  <c r="AH929" i="27"/>
  <c r="AH928" i="27"/>
  <c r="AH927" i="27"/>
  <c r="AH926" i="27"/>
  <c r="AH925" i="27"/>
  <c r="AH924" i="27"/>
  <c r="AH923" i="27"/>
  <c r="AH922" i="27"/>
  <c r="AH921" i="27"/>
  <c r="AH920" i="27"/>
  <c r="AH919" i="27"/>
  <c r="AH918" i="27"/>
  <c r="AH917" i="27"/>
  <c r="AH916" i="27"/>
  <c r="AL915" i="27"/>
  <c r="AK915" i="27"/>
  <c r="AJ915" i="27"/>
  <c r="AI915" i="27"/>
  <c r="AH915" i="27"/>
  <c r="AF915" i="27"/>
  <c r="AG915" i="27" s="1"/>
  <c r="AB914" i="27"/>
  <c r="AH914" i="27" s="1"/>
  <c r="AB913" i="27"/>
  <c r="AH913" i="27" s="1"/>
  <c r="AB912" i="27"/>
  <c r="AH912" i="27" s="1"/>
  <c r="AB911" i="27"/>
  <c r="AH911" i="27" s="1"/>
  <c r="AB910" i="27"/>
  <c r="AH910" i="27" s="1"/>
  <c r="AL909" i="27"/>
  <c r="AJ909" i="27"/>
  <c r="AI909" i="27"/>
  <c r="AF909" i="27"/>
  <c r="AG909" i="27" s="1"/>
  <c r="AB909" i="27"/>
  <c r="AH909" i="27" s="1"/>
  <c r="W909" i="27"/>
  <c r="U909" i="27"/>
  <c r="S909" i="27"/>
  <c r="Q909" i="27"/>
  <c r="P909" i="27"/>
  <c r="AK909" i="27" s="1"/>
  <c r="AB908" i="27"/>
  <c r="AH908" i="27" s="1"/>
  <c r="AL907" i="27"/>
  <c r="AK907" i="27"/>
  <c r="AI907" i="27"/>
  <c r="AF907" i="27"/>
  <c r="AB907" i="27"/>
  <c r="AH907" i="27" s="1"/>
  <c r="U907" i="27"/>
  <c r="S907" i="27"/>
  <c r="P907" i="27"/>
  <c r="AB906" i="27"/>
  <c r="AH906" i="27" s="1"/>
  <c r="AL905" i="27"/>
  <c r="AM905" i="27" s="1"/>
  <c r="AK905" i="27"/>
  <c r="AJ905" i="27"/>
  <c r="AI905" i="27"/>
  <c r="AF905" i="27"/>
  <c r="AG905" i="27" s="1"/>
  <c r="AB905" i="27"/>
  <c r="AH905" i="27" s="1"/>
  <c r="U905" i="27"/>
  <c r="S905" i="27"/>
  <c r="P905" i="27"/>
  <c r="Q905" i="27" s="1"/>
  <c r="AB904" i="27"/>
  <c r="AH904" i="27" s="1"/>
  <c r="AB903" i="27"/>
  <c r="AH903" i="27" s="1"/>
  <c r="AB902" i="27"/>
  <c r="AH902" i="27" s="1"/>
  <c r="AB901" i="27"/>
  <c r="AH901" i="27" s="1"/>
  <c r="AB900" i="27"/>
  <c r="AH900" i="27" s="1"/>
  <c r="AH899" i="27"/>
  <c r="AB899" i="27"/>
  <c r="AB898" i="27"/>
  <c r="AH898" i="27" s="1"/>
  <c r="AL897" i="27"/>
  <c r="AF897" i="27"/>
  <c r="AB897" i="27"/>
  <c r="AH897" i="27" s="1"/>
  <c r="U897" i="27"/>
  <c r="S897" i="27"/>
  <c r="P897" i="27"/>
  <c r="AK897" i="27" s="1"/>
  <c r="AB896" i="27"/>
  <c r="AH896" i="27" s="1"/>
  <c r="AB895" i="27"/>
  <c r="AH895" i="27" s="1"/>
  <c r="AB894" i="27"/>
  <c r="AH894" i="27" s="1"/>
  <c r="AB893" i="27"/>
  <c r="AH893" i="27" s="1"/>
  <c r="AB892" i="27"/>
  <c r="AH892" i="27" s="1"/>
  <c r="AB891" i="27"/>
  <c r="AH891" i="27" s="1"/>
  <c r="AH890" i="27"/>
  <c r="AB890" i="27"/>
  <c r="AB889" i="27"/>
  <c r="AH889" i="27" s="1"/>
  <c r="AL888" i="27"/>
  <c r="AJ888" i="27"/>
  <c r="AF888" i="27"/>
  <c r="AB888" i="27"/>
  <c r="AH888" i="27" s="1"/>
  <c r="U888" i="27"/>
  <c r="S888" i="27"/>
  <c r="P888" i="27"/>
  <c r="AK888" i="27" s="1"/>
  <c r="AB887" i="27"/>
  <c r="AH887" i="27" s="1"/>
  <c r="AH886" i="27"/>
  <c r="AB886" i="27"/>
  <c r="AJ885" i="27"/>
  <c r="AL885" i="27" s="1"/>
  <c r="AI885" i="27"/>
  <c r="AF885" i="27"/>
  <c r="AG885" i="27" s="1"/>
  <c r="AB885" i="27"/>
  <c r="AH885" i="27" s="1"/>
  <c r="U885" i="27"/>
  <c r="S885" i="27"/>
  <c r="P885" i="27"/>
  <c r="AL884" i="27"/>
  <c r="AK884" i="27"/>
  <c r="AI884" i="27"/>
  <c r="AF884" i="27"/>
  <c r="AB884" i="27"/>
  <c r="AH884" i="27" s="1"/>
  <c r="U884" i="27"/>
  <c r="S884" i="27"/>
  <c r="P884" i="27"/>
  <c r="AB883" i="27"/>
  <c r="AH883" i="27" s="1"/>
  <c r="AL882" i="27"/>
  <c r="AK882" i="27"/>
  <c r="AI882" i="27"/>
  <c r="AF882" i="27"/>
  <c r="AB882" i="27"/>
  <c r="AH882" i="27" s="1"/>
  <c r="U882" i="27"/>
  <c r="S882" i="27"/>
  <c r="P882" i="27"/>
  <c r="AB881" i="27"/>
  <c r="AH881" i="27" s="1"/>
  <c r="AL880" i="27"/>
  <c r="AK880" i="27"/>
  <c r="AJ880" i="27"/>
  <c r="AI880" i="27"/>
  <c r="AG880" i="27"/>
  <c r="AF880" i="27"/>
  <c r="AB880" i="27"/>
  <c r="AH880" i="27" s="1"/>
  <c r="W880" i="27"/>
  <c r="U880" i="27"/>
  <c r="S880" i="27"/>
  <c r="P880" i="27"/>
  <c r="AH879" i="27"/>
  <c r="AB879" i="27"/>
  <c r="AB878" i="27"/>
  <c r="AH878" i="27" s="1"/>
  <c r="AL877" i="27"/>
  <c r="AK877" i="27"/>
  <c r="AM877" i="27" s="1"/>
  <c r="AI877" i="27"/>
  <c r="AF877" i="27"/>
  <c r="AB877" i="27"/>
  <c r="AH877" i="27" s="1"/>
  <c r="U877" i="27"/>
  <c r="S877" i="27"/>
  <c r="P877" i="27"/>
  <c r="AB876" i="27"/>
  <c r="AH876" i="27" s="1"/>
  <c r="AB875" i="27"/>
  <c r="AH875" i="27" s="1"/>
  <c r="AL874" i="27"/>
  <c r="AK874" i="27"/>
  <c r="AI874" i="27"/>
  <c r="AF874" i="27"/>
  <c r="AB874" i="27"/>
  <c r="AH874" i="27" s="1"/>
  <c r="U874" i="27"/>
  <c r="S874" i="27"/>
  <c r="P874" i="27"/>
  <c r="AB873" i="27"/>
  <c r="AH873" i="27" s="1"/>
  <c r="AB872" i="27"/>
  <c r="AH872" i="27" s="1"/>
  <c r="AL871" i="27"/>
  <c r="AK871" i="27"/>
  <c r="AM871" i="27" s="1"/>
  <c r="AJ871" i="27"/>
  <c r="AI871" i="27"/>
  <c r="AF871" i="27"/>
  <c r="AG871" i="27" s="1"/>
  <c r="AB871" i="27"/>
  <c r="AH871" i="27" s="1"/>
  <c r="U871" i="27"/>
  <c r="S871" i="27"/>
  <c r="P871" i="27"/>
  <c r="AH870" i="27"/>
  <c r="AB869" i="27"/>
  <c r="AH869" i="27" s="1"/>
  <c r="AH868" i="27"/>
  <c r="AB868" i="27"/>
  <c r="AB867" i="27"/>
  <c r="AH867" i="27" s="1"/>
  <c r="AL866" i="27"/>
  <c r="AK866" i="27"/>
  <c r="AJ866" i="27"/>
  <c r="AI866" i="27"/>
  <c r="AF866" i="27"/>
  <c r="AB866" i="27"/>
  <c r="AH866" i="27" s="1"/>
  <c r="U866" i="27"/>
  <c r="S866" i="27"/>
  <c r="AH865" i="27"/>
  <c r="AB864" i="27"/>
  <c r="AH864" i="27" s="1"/>
  <c r="AB863" i="27"/>
  <c r="AH863" i="27" s="1"/>
  <c r="AB862" i="27"/>
  <c r="AH862" i="27" s="1"/>
  <c r="AL861" i="27"/>
  <c r="AK861" i="27"/>
  <c r="AJ861" i="27"/>
  <c r="AI861" i="27"/>
  <c r="AG861" i="27"/>
  <c r="AF861" i="27"/>
  <c r="AB861" i="27"/>
  <c r="AH861" i="27" s="1"/>
  <c r="U861" i="27"/>
  <c r="S861" i="27"/>
  <c r="Q861" i="27"/>
  <c r="AB860" i="27"/>
  <c r="AH860" i="27" s="1"/>
  <c r="AI859" i="27"/>
  <c r="AF859" i="27"/>
  <c r="AB859" i="27"/>
  <c r="AH859" i="27" s="1"/>
  <c r="V859" i="27"/>
  <c r="AL859" i="27" s="1"/>
  <c r="U859" i="27"/>
  <c r="S859" i="27"/>
  <c r="P859" i="27"/>
  <c r="AH858" i="27"/>
  <c r="AB858" i="27"/>
  <c r="AB857" i="27"/>
  <c r="AH857" i="27" s="1"/>
  <c r="AL856" i="27"/>
  <c r="AK856" i="27"/>
  <c r="AM856" i="27" s="1"/>
  <c r="AI856" i="27"/>
  <c r="AB856" i="27"/>
  <c r="AH856" i="27" s="1"/>
  <c r="U856" i="27"/>
  <c r="AB855" i="27"/>
  <c r="AH855" i="27" s="1"/>
  <c r="AH854" i="27"/>
  <c r="AB854" i="27"/>
  <c r="AK853" i="27"/>
  <c r="AM853" i="27" s="1"/>
  <c r="AI853" i="27"/>
  <c r="AF853" i="27"/>
  <c r="AB853" i="27"/>
  <c r="AH853" i="27" s="1"/>
  <c r="U853" i="27"/>
  <c r="S853" i="27"/>
  <c r="P853" i="27"/>
  <c r="AH852" i="27"/>
  <c r="AB852" i="27"/>
  <c r="AB851" i="27"/>
  <c r="AH851" i="27" s="1"/>
  <c r="AL850" i="27"/>
  <c r="AJ850" i="27"/>
  <c r="AI850" i="27"/>
  <c r="AF850" i="27"/>
  <c r="AB850" i="27"/>
  <c r="AH850" i="27" s="1"/>
  <c r="W850" i="27"/>
  <c r="U850" i="27"/>
  <c r="S850" i="27"/>
  <c r="P850" i="27"/>
  <c r="AB849" i="27"/>
  <c r="AB848" i="27"/>
  <c r="AH848" i="27" s="1"/>
  <c r="AB847" i="27"/>
  <c r="AH847" i="27" s="1"/>
  <c r="AK846" i="27"/>
  <c r="AJ846" i="27"/>
  <c r="AL846" i="27" s="1"/>
  <c r="AI846" i="27"/>
  <c r="AF846" i="27"/>
  <c r="AG846" i="27" s="1"/>
  <c r="AB846" i="27"/>
  <c r="AH846" i="27" s="1"/>
  <c r="AB845" i="27"/>
  <c r="AH845" i="27" s="1"/>
  <c r="AB844" i="27"/>
  <c r="AH844" i="27" s="1"/>
  <c r="AK843" i="27"/>
  <c r="AJ843" i="27"/>
  <c r="AL843" i="27" s="1"/>
  <c r="AI843" i="27"/>
  <c r="AH843" i="27"/>
  <c r="AF843" i="27"/>
  <c r="AG843" i="27" s="1"/>
  <c r="AB843" i="27"/>
  <c r="AH842" i="27"/>
  <c r="AB841" i="27"/>
  <c r="AH841" i="27" s="1"/>
  <c r="AK840" i="27"/>
  <c r="AJ840" i="27"/>
  <c r="AL840" i="27" s="1"/>
  <c r="AI840" i="27"/>
  <c r="AF840" i="27"/>
  <c r="AG840" i="27" s="1"/>
  <c r="AA840" i="27"/>
  <c r="AB840" i="27" s="1"/>
  <c r="AH840" i="27" s="1"/>
  <c r="AB839" i="27"/>
  <c r="AH839" i="27" s="1"/>
  <c r="AB838" i="27"/>
  <c r="AH838" i="27" s="1"/>
  <c r="AB837" i="27"/>
  <c r="AH837" i="27" s="1"/>
  <c r="AL836" i="27"/>
  <c r="AK836" i="27"/>
  <c r="AJ836" i="27"/>
  <c r="AI836" i="27"/>
  <c r="AF836" i="27"/>
  <c r="AG836" i="27" s="1"/>
  <c r="AB836" i="27"/>
  <c r="AH836" i="27" s="1"/>
  <c r="AB835" i="27"/>
  <c r="AH835" i="27" s="1"/>
  <c r="AB834" i="27"/>
  <c r="AH834" i="27" s="1"/>
  <c r="AB833" i="27"/>
  <c r="AH833" i="27" s="1"/>
  <c r="AK832" i="27"/>
  <c r="AJ832" i="27"/>
  <c r="AL832" i="27" s="1"/>
  <c r="AI832" i="27"/>
  <c r="AG832" i="27"/>
  <c r="AF832" i="27"/>
  <c r="AB832" i="27"/>
  <c r="AH832" i="27" s="1"/>
  <c r="AB831" i="27"/>
  <c r="AH831" i="27" s="1"/>
  <c r="AH830" i="27"/>
  <c r="AB829" i="27"/>
  <c r="AH829" i="27" s="1"/>
  <c r="AB828" i="27"/>
  <c r="AH828" i="27" s="1"/>
  <c r="AL827" i="27"/>
  <c r="AK827" i="27"/>
  <c r="AJ827" i="27"/>
  <c r="AI827" i="27"/>
  <c r="AF827" i="27"/>
  <c r="AG827" i="27" s="1"/>
  <c r="AA827" i="27"/>
  <c r="AB827" i="27" s="1"/>
  <c r="AH827" i="27" s="1"/>
  <c r="AB826" i="27"/>
  <c r="AB825" i="27"/>
  <c r="AD825" i="27" s="1"/>
  <c r="AH825" i="27" s="1"/>
  <c r="AL824" i="27"/>
  <c r="AK824" i="27"/>
  <c r="AB824" i="27"/>
  <c r="AD824" i="27" s="1"/>
  <c r="AB823" i="27"/>
  <c r="AD823" i="27" s="1"/>
  <c r="AK822" i="27"/>
  <c r="AB822" i="27"/>
  <c r="AD822" i="27" s="1"/>
  <c r="AH821" i="27"/>
  <c r="AB821" i="27"/>
  <c r="AB820" i="27"/>
  <c r="AH820" i="27" s="1"/>
  <c r="AK819" i="27"/>
  <c r="AJ819" i="27"/>
  <c r="AL819" i="27" s="1"/>
  <c r="AI819" i="27"/>
  <c r="AF819" i="27"/>
  <c r="AG819" i="27" s="1"/>
  <c r="AB819" i="27"/>
  <c r="AH819" i="27" s="1"/>
  <c r="AK818" i="27"/>
  <c r="AJ818" i="27"/>
  <c r="AL818" i="27" s="1"/>
  <c r="AF818" i="27"/>
  <c r="AG818" i="27" s="1"/>
  <c r="AI818" i="27" s="1"/>
  <c r="AA818" i="27"/>
  <c r="AB818" i="27" s="1"/>
  <c r="AH818" i="27" s="1"/>
  <c r="AL817" i="27"/>
  <c r="AF817" i="27"/>
  <c r="AB817" i="27"/>
  <c r="AH817" i="27" s="1"/>
  <c r="U817" i="27"/>
  <c r="S817" i="27"/>
  <c r="AI817" i="27" s="1"/>
  <c r="P817" i="27"/>
  <c r="Q815" i="27" s="1"/>
  <c r="AA816" i="27"/>
  <c r="AB816" i="27" s="1"/>
  <c r="AH816" i="27" s="1"/>
  <c r="AL815" i="27"/>
  <c r="AJ815" i="27"/>
  <c r="AG815" i="27"/>
  <c r="AF815" i="27"/>
  <c r="AB815" i="27"/>
  <c r="AH815" i="27" s="1"/>
  <c r="U815" i="27"/>
  <c r="S815" i="27"/>
  <c r="AI815" i="27" s="1"/>
  <c r="AB814" i="27"/>
  <c r="AH814" i="27" s="1"/>
  <c r="AL813" i="27"/>
  <c r="AK813" i="27"/>
  <c r="AM813" i="27" s="1"/>
  <c r="AJ813" i="27"/>
  <c r="AI813" i="27"/>
  <c r="AF813" i="27"/>
  <c r="AG813" i="27" s="1"/>
  <c r="AB813" i="27"/>
  <c r="AH813" i="27" s="1"/>
  <c r="W813" i="27"/>
  <c r="U813" i="27"/>
  <c r="AB812" i="27"/>
  <c r="AH812" i="27" s="1"/>
  <c r="AB811" i="27"/>
  <c r="AH811" i="27" s="1"/>
  <c r="AL810" i="27"/>
  <c r="AM810" i="27" s="1"/>
  <c r="AK810" i="27"/>
  <c r="AJ810" i="27"/>
  <c r="AI810" i="27"/>
  <c r="AF810" i="27"/>
  <c r="AB810" i="27"/>
  <c r="AH810" i="27" s="1"/>
  <c r="U810" i="27"/>
  <c r="AH809" i="27"/>
  <c r="AA808" i="27"/>
  <c r="AB808" i="27" s="1"/>
  <c r="AH808" i="27" s="1"/>
  <c r="AJ807" i="27"/>
  <c r="AI807" i="27"/>
  <c r="AF807" i="27"/>
  <c r="AG807" i="27" s="1"/>
  <c r="AB807" i="27"/>
  <c r="AH807" i="27" s="1"/>
  <c r="U807" i="27"/>
  <c r="P807" i="27"/>
  <c r="AK807" i="27" s="1"/>
  <c r="AM807" i="27" s="1"/>
  <c r="AB806" i="27"/>
  <c r="AH806" i="27" s="1"/>
  <c r="AL805" i="27"/>
  <c r="AK805" i="27"/>
  <c r="AJ805" i="27"/>
  <c r="AI805" i="27"/>
  <c r="AF805" i="27"/>
  <c r="AG805" i="27" s="1"/>
  <c r="AB805" i="27"/>
  <c r="AH805" i="27" s="1"/>
  <c r="U805" i="27"/>
  <c r="AB804" i="27"/>
  <c r="AH804" i="27" s="1"/>
  <c r="AL803" i="27"/>
  <c r="AI803" i="27"/>
  <c r="AF803" i="27"/>
  <c r="AB803" i="27"/>
  <c r="AH803" i="27" s="1"/>
  <c r="U803" i="27"/>
  <c r="P803" i="27"/>
  <c r="AK803" i="27" s="1"/>
  <c r="AB802" i="27"/>
  <c r="AH802" i="27" s="1"/>
  <c r="AL801" i="27"/>
  <c r="AI801" i="27"/>
  <c r="AF801" i="27"/>
  <c r="AB801" i="27"/>
  <c r="AH801" i="27" s="1"/>
  <c r="U801" i="27"/>
  <c r="P801" i="27"/>
  <c r="AK801" i="27" s="1"/>
  <c r="AB800" i="27"/>
  <c r="AH800" i="27" s="1"/>
  <c r="AB799" i="27"/>
  <c r="AH799" i="27" s="1"/>
  <c r="AB798" i="27"/>
  <c r="AH798" i="27" s="1"/>
  <c r="AB797" i="27"/>
  <c r="AH797" i="27" s="1"/>
  <c r="AB796" i="27"/>
  <c r="AH796" i="27" s="1"/>
  <c r="AB795" i="27"/>
  <c r="AH795" i="27" s="1"/>
  <c r="AB794" i="27"/>
  <c r="AH794" i="27" s="1"/>
  <c r="AL793" i="27"/>
  <c r="AI793" i="27"/>
  <c r="AF793" i="27"/>
  <c r="AB793" i="27"/>
  <c r="AH793" i="27" s="1"/>
  <c r="U793" i="27"/>
  <c r="P793" i="27"/>
  <c r="AK793" i="27" s="1"/>
  <c r="AM793" i="27" s="1"/>
  <c r="AB792" i="27"/>
  <c r="AH792" i="27" s="1"/>
  <c r="AB791" i="27"/>
  <c r="AH791" i="27" s="1"/>
  <c r="AB790" i="27"/>
  <c r="AH790" i="27" s="1"/>
  <c r="AB789" i="27"/>
  <c r="AH789" i="27" s="1"/>
  <c r="AB788" i="27"/>
  <c r="AH788" i="27" s="1"/>
  <c r="AH787" i="27"/>
  <c r="AB787" i="27"/>
  <c r="AB786" i="27"/>
  <c r="AH786" i="27" s="1"/>
  <c r="AL785" i="27"/>
  <c r="AJ785" i="27"/>
  <c r="AI785" i="27"/>
  <c r="AF785" i="27"/>
  <c r="AG785" i="27" s="1"/>
  <c r="AB785" i="27"/>
  <c r="AH785" i="27" s="1"/>
  <c r="U785" i="27"/>
  <c r="P785" i="27"/>
  <c r="AK785" i="27" s="1"/>
  <c r="AB784" i="27"/>
  <c r="AH784" i="27" s="1"/>
  <c r="AB783" i="27"/>
  <c r="AH783" i="27" s="1"/>
  <c r="AB782" i="27"/>
  <c r="AH782" i="27" s="1"/>
  <c r="AB781" i="27"/>
  <c r="AH781" i="27" s="1"/>
  <c r="AH780" i="27"/>
  <c r="AB780" i="27"/>
  <c r="AB779" i="27"/>
  <c r="AH779" i="27" s="1"/>
  <c r="AB778" i="27"/>
  <c r="AH778" i="27" s="1"/>
  <c r="AK777" i="27"/>
  <c r="AM777" i="27" s="1"/>
  <c r="AJ777" i="27"/>
  <c r="AL777" i="27" s="1"/>
  <c r="AI777" i="27"/>
  <c r="AH777" i="27"/>
  <c r="AF777" i="27"/>
  <c r="AG777" i="27" s="1"/>
  <c r="AB777" i="27"/>
  <c r="U777" i="27"/>
  <c r="AH776" i="27"/>
  <c r="AB776" i="27"/>
  <c r="AB775" i="27"/>
  <c r="AH775" i="27" s="1"/>
  <c r="AB774" i="27"/>
  <c r="AH774" i="27" s="1"/>
  <c r="AB773" i="27"/>
  <c r="AH773" i="27" s="1"/>
  <c r="AH772" i="27"/>
  <c r="AB772" i="27"/>
  <c r="AB771" i="27"/>
  <c r="AH771" i="27" s="1"/>
  <c r="AB770" i="27"/>
  <c r="AH770" i="27" s="1"/>
  <c r="AI769" i="27"/>
  <c r="AF769" i="27"/>
  <c r="AG769" i="27" s="1"/>
  <c r="AJ769" i="27" s="1"/>
  <c r="AL769" i="27" s="1"/>
  <c r="AM769" i="27" s="1"/>
  <c r="AB769" i="27"/>
  <c r="AH769" i="27" s="1"/>
  <c r="U769" i="27"/>
  <c r="AB768" i="27"/>
  <c r="AH768" i="27" s="1"/>
  <c r="AB767" i="27"/>
  <c r="AH767" i="27" s="1"/>
  <c r="AB766" i="27"/>
  <c r="AH766" i="27" s="1"/>
  <c r="AL765" i="27"/>
  <c r="AK765" i="27"/>
  <c r="AI765" i="27"/>
  <c r="AF765" i="27"/>
  <c r="AB765" i="27"/>
  <c r="AH765" i="27" s="1"/>
  <c r="U765" i="27"/>
  <c r="AB764" i="27"/>
  <c r="AH764" i="27" s="1"/>
  <c r="AB763" i="27"/>
  <c r="AH763" i="27" s="1"/>
  <c r="AB762" i="27"/>
  <c r="AH762" i="27" s="1"/>
  <c r="AB761" i="27"/>
  <c r="AH761" i="27" s="1"/>
  <c r="AL760" i="27"/>
  <c r="AK760" i="27"/>
  <c r="AM760" i="27" s="1"/>
  <c r="AI760" i="27"/>
  <c r="AB760" i="27"/>
  <c r="AH760" i="27" s="1"/>
  <c r="U760" i="27"/>
  <c r="AB759" i="27"/>
  <c r="AH759" i="27" s="1"/>
  <c r="AB758" i="27"/>
  <c r="AH758" i="27" s="1"/>
  <c r="AB757" i="27"/>
  <c r="AH757" i="27" s="1"/>
  <c r="AB756" i="27"/>
  <c r="AH756" i="27" s="1"/>
  <c r="AL755" i="27"/>
  <c r="AK755" i="27"/>
  <c r="AI755" i="27"/>
  <c r="AF755" i="27"/>
  <c r="AB755" i="27"/>
  <c r="AH755" i="27" s="1"/>
  <c r="U755" i="27"/>
  <c r="S755" i="27"/>
  <c r="AB753" i="27"/>
  <c r="AH753" i="27" s="1"/>
  <c r="AB752" i="27"/>
  <c r="AH752" i="27" s="1"/>
  <c r="AB751" i="27"/>
  <c r="AH751" i="27" s="1"/>
  <c r="AB750" i="27"/>
  <c r="AH750" i="27" s="1"/>
  <c r="AL749" i="27"/>
  <c r="AK749" i="27"/>
  <c r="AM749" i="27" s="1"/>
  <c r="AJ749" i="27"/>
  <c r="AI749" i="27"/>
  <c r="AF749" i="27"/>
  <c r="AB749" i="27"/>
  <c r="AH749" i="27" s="1"/>
  <c r="U749" i="27"/>
  <c r="AI748" i="27"/>
  <c r="AF748" i="27"/>
  <c r="AB748" i="27"/>
  <c r="AH748" i="27" s="1"/>
  <c r="U748" i="27"/>
  <c r="P748" i="27"/>
  <c r="AB747" i="27"/>
  <c r="AH747" i="27" s="1"/>
  <c r="AB746" i="27"/>
  <c r="AH746" i="27" s="1"/>
  <c r="AB745" i="27"/>
  <c r="AH745" i="27" s="1"/>
  <c r="AB744" i="27"/>
  <c r="AH744" i="27" s="1"/>
  <c r="AL743" i="27"/>
  <c r="AK743" i="27"/>
  <c r="AI743" i="27"/>
  <c r="AF743" i="27"/>
  <c r="AB743" i="27"/>
  <c r="AH743" i="27" s="1"/>
  <c r="U743" i="27"/>
  <c r="AB742" i="27"/>
  <c r="AH742" i="27" s="1"/>
  <c r="AK741" i="27"/>
  <c r="AI741" i="27"/>
  <c r="AB741" i="27"/>
  <c r="AH741" i="27" s="1"/>
  <c r="U741" i="27"/>
  <c r="AB740" i="27"/>
  <c r="AH740" i="27" s="1"/>
  <c r="AB739" i="27"/>
  <c r="AH739" i="27" s="1"/>
  <c r="AH738" i="27"/>
  <c r="AB738" i="27"/>
  <c r="AB737" i="27"/>
  <c r="AH737" i="27" s="1"/>
  <c r="AH736" i="27"/>
  <c r="AB736" i="27"/>
  <c r="AB735" i="27"/>
  <c r="AH735" i="27" s="1"/>
  <c r="AB734" i="27"/>
  <c r="AH734" i="27" s="1"/>
  <c r="AL733" i="27"/>
  <c r="AK733" i="27"/>
  <c r="AJ733" i="27"/>
  <c r="AI733" i="27"/>
  <c r="AF733" i="27"/>
  <c r="AB733" i="27"/>
  <c r="AH733" i="27" s="1"/>
  <c r="U733" i="27"/>
  <c r="S733" i="27"/>
  <c r="P733" i="27"/>
  <c r="AB732" i="27"/>
  <c r="AH732" i="27" s="1"/>
  <c r="AB731" i="27"/>
  <c r="AH731" i="27" s="1"/>
  <c r="AL730" i="27"/>
  <c r="AK730" i="27"/>
  <c r="AI730" i="27"/>
  <c r="AF730" i="27"/>
  <c r="AB730" i="27"/>
  <c r="AH730" i="27" s="1"/>
  <c r="U730" i="27"/>
  <c r="AB729" i="27"/>
  <c r="AH729" i="27" s="1"/>
  <c r="AB728" i="27"/>
  <c r="AH728" i="27" s="1"/>
  <c r="AL727" i="27"/>
  <c r="AK727" i="27"/>
  <c r="AJ727" i="27"/>
  <c r="AI727" i="27"/>
  <c r="AF727" i="27"/>
  <c r="AB727" i="27"/>
  <c r="AH727" i="27" s="1"/>
  <c r="U727" i="27"/>
  <c r="Q727" i="27"/>
  <c r="AB726" i="27"/>
  <c r="AH726" i="27" s="1"/>
  <c r="AH725" i="27"/>
  <c r="AB725" i="27"/>
  <c r="AB724" i="27"/>
  <c r="AH724" i="27" s="1"/>
  <c r="AL723" i="27"/>
  <c r="AK723" i="27"/>
  <c r="AI723" i="27"/>
  <c r="AF723" i="27"/>
  <c r="AB723" i="27"/>
  <c r="AH723" i="27" s="1"/>
  <c r="U723" i="27"/>
  <c r="AH722" i="27"/>
  <c r="AB722" i="27"/>
  <c r="AB721" i="27"/>
  <c r="AH721" i="27" s="1"/>
  <c r="T721" i="27"/>
  <c r="AK721" i="27" s="1"/>
  <c r="AH720" i="27"/>
  <c r="AB720" i="27"/>
  <c r="AB719" i="27"/>
  <c r="AH719" i="27" s="1"/>
  <c r="AB718" i="27"/>
  <c r="AH718" i="27" s="1"/>
  <c r="AB717" i="27"/>
  <c r="AH717" i="27" s="1"/>
  <c r="AH716" i="27"/>
  <c r="AB716" i="27"/>
  <c r="AL715" i="27"/>
  <c r="AK715" i="27"/>
  <c r="AJ715" i="27"/>
  <c r="AI715" i="27"/>
  <c r="AF715" i="27"/>
  <c r="AG715" i="27" s="1"/>
  <c r="AB715" i="27"/>
  <c r="AH715" i="27" s="1"/>
  <c r="U715" i="27"/>
  <c r="Q715" i="27"/>
  <c r="AB714" i="27"/>
  <c r="AH714" i="27" s="1"/>
  <c r="AB713" i="27"/>
  <c r="AH713" i="27" s="1"/>
  <c r="AL712" i="27"/>
  <c r="AK712" i="27"/>
  <c r="AM712" i="27" s="1"/>
  <c r="AJ712" i="27"/>
  <c r="AI712" i="27"/>
  <c r="AG712" i="27"/>
  <c r="AF712" i="27"/>
  <c r="AB712" i="27"/>
  <c r="AH712" i="27" s="1"/>
  <c r="U712" i="27"/>
  <c r="AL711" i="27"/>
  <c r="AK711" i="27"/>
  <c r="AI711" i="27"/>
  <c r="AH711" i="27"/>
  <c r="AF711" i="27"/>
  <c r="AB711" i="27"/>
  <c r="U711" i="27"/>
  <c r="AB710" i="27"/>
  <c r="AH710" i="27" s="1"/>
  <c r="AB709" i="27"/>
  <c r="AH709" i="27" s="1"/>
  <c r="AL708" i="27"/>
  <c r="AK708" i="27"/>
  <c r="AJ708" i="27"/>
  <c r="AI708" i="27"/>
  <c r="AF708" i="27"/>
  <c r="AB708" i="27"/>
  <c r="AH708" i="27" s="1"/>
  <c r="U708" i="27"/>
  <c r="Q708" i="27"/>
  <c r="AL707" i="27"/>
  <c r="AK707" i="27"/>
  <c r="AI707" i="27"/>
  <c r="AF707" i="27"/>
  <c r="AB707" i="27"/>
  <c r="AH707" i="27" s="1"/>
  <c r="U707" i="27"/>
  <c r="AB706" i="27"/>
  <c r="AH706" i="27" s="1"/>
  <c r="AL705" i="27"/>
  <c r="AK705" i="27"/>
  <c r="AJ705" i="27"/>
  <c r="AI705" i="27"/>
  <c r="AF705" i="27"/>
  <c r="AB705" i="27"/>
  <c r="AH705" i="27" s="1"/>
  <c r="W705" i="27"/>
  <c r="U705" i="27"/>
  <c r="Q705" i="27"/>
  <c r="AB704" i="27"/>
  <c r="AH704" i="27" s="1"/>
  <c r="AB703" i="27"/>
  <c r="AH703" i="27" s="1"/>
  <c r="AL702" i="27"/>
  <c r="AK702" i="27"/>
  <c r="AJ702" i="27"/>
  <c r="AI702" i="27"/>
  <c r="AG702" i="27"/>
  <c r="AF702" i="27"/>
  <c r="AB702" i="27"/>
  <c r="AH702" i="27" s="1"/>
  <c r="U702" i="27"/>
  <c r="AB701" i="27"/>
  <c r="AH701" i="27" s="1"/>
  <c r="AL700" i="27"/>
  <c r="AK700" i="27"/>
  <c r="AM700" i="27" s="1"/>
  <c r="AJ700" i="27"/>
  <c r="AI700" i="27"/>
  <c r="AF700" i="27"/>
  <c r="AG700" i="27" s="1"/>
  <c r="AB700" i="27"/>
  <c r="AH700" i="27" s="1"/>
  <c r="U700" i="27"/>
  <c r="AB699" i="27"/>
  <c r="AH699" i="27" s="1"/>
  <c r="AL698" i="27"/>
  <c r="AK698" i="27"/>
  <c r="AM698" i="27" s="1"/>
  <c r="AJ698" i="27"/>
  <c r="AI698" i="27"/>
  <c r="AF698" i="27"/>
  <c r="AG698" i="27" s="1"/>
  <c r="AB698" i="27"/>
  <c r="AH698" i="27" s="1"/>
  <c r="U698" i="27"/>
  <c r="AB697" i="27"/>
  <c r="AH697" i="27" s="1"/>
  <c r="AB696" i="27"/>
  <c r="AH696" i="27" s="1"/>
  <c r="AB695" i="27"/>
  <c r="AH695" i="27" s="1"/>
  <c r="AK694" i="27"/>
  <c r="AJ694" i="27"/>
  <c r="AL694" i="27" s="1"/>
  <c r="AF694" i="27"/>
  <c r="AB694" i="27"/>
  <c r="AH694" i="27" s="1"/>
  <c r="U694" i="27"/>
  <c r="S694" i="27"/>
  <c r="AB693" i="27"/>
  <c r="AH693" i="27" s="1"/>
  <c r="AK692" i="27"/>
  <c r="AI692" i="27"/>
  <c r="AF692" i="27"/>
  <c r="AB692" i="27"/>
  <c r="AH692" i="27" s="1"/>
  <c r="U692" i="27"/>
  <c r="AB691" i="27"/>
  <c r="AH691" i="27" s="1"/>
  <c r="AB690" i="27"/>
  <c r="AH690" i="27" s="1"/>
  <c r="AH689" i="27"/>
  <c r="AB689" i="27"/>
  <c r="AB688" i="27"/>
  <c r="AH688" i="27" s="1"/>
  <c r="AL687" i="27"/>
  <c r="AK687" i="27"/>
  <c r="AJ687" i="27"/>
  <c r="AL692" i="27" s="1"/>
  <c r="AI687" i="27"/>
  <c r="AF687" i="27"/>
  <c r="AB687" i="27"/>
  <c r="AH687" i="27" s="1"/>
  <c r="W687" i="27"/>
  <c r="U687" i="27"/>
  <c r="Q687" i="27"/>
  <c r="AH686" i="27"/>
  <c r="AB686" i="27"/>
  <c r="AL685" i="27"/>
  <c r="AK685" i="27"/>
  <c r="AJ685" i="27"/>
  <c r="AF685" i="27"/>
  <c r="AB685" i="27"/>
  <c r="AH685" i="27" s="1"/>
  <c r="U685" i="27"/>
  <c r="P685" i="27"/>
  <c r="AB684" i="27"/>
  <c r="AH684" i="27" s="1"/>
  <c r="AH683" i="27"/>
  <c r="AB683" i="27"/>
  <c r="AB682" i="27"/>
  <c r="AH682" i="27" s="1"/>
  <c r="AB681" i="27"/>
  <c r="AH681" i="27" s="1"/>
  <c r="AB680" i="27"/>
  <c r="AH680" i="27" s="1"/>
  <c r="AH679" i="27"/>
  <c r="AB679" i="27"/>
  <c r="AB678" i="27"/>
  <c r="AH678" i="27" s="1"/>
  <c r="AK677" i="27"/>
  <c r="AI677" i="27"/>
  <c r="AB677" i="27"/>
  <c r="AH677" i="27" s="1"/>
  <c r="U677" i="27"/>
  <c r="AB676" i="27"/>
  <c r="AH676" i="27" s="1"/>
  <c r="AH675" i="27"/>
  <c r="AB675" i="27"/>
  <c r="AB674" i="27"/>
  <c r="AH674" i="27" s="1"/>
  <c r="AB673" i="27"/>
  <c r="AH673" i="27" s="1"/>
  <c r="AA672" i="27"/>
  <c r="AB672" i="27" s="1"/>
  <c r="AH672" i="27" s="1"/>
  <c r="AK671" i="27"/>
  <c r="AJ671" i="27"/>
  <c r="AL671" i="27" s="1"/>
  <c r="AI671" i="27"/>
  <c r="AF671" i="27"/>
  <c r="AB671" i="27"/>
  <c r="AH671" i="27" s="1"/>
  <c r="AA671" i="27"/>
  <c r="U671" i="27"/>
  <c r="S671" i="27"/>
  <c r="P671" i="27"/>
  <c r="AB670" i="27"/>
  <c r="AH670" i="27" s="1"/>
  <c r="AL669" i="27"/>
  <c r="AK669" i="27"/>
  <c r="AI669" i="27"/>
  <c r="AF669" i="27"/>
  <c r="AB669" i="27"/>
  <c r="AH669" i="27" s="1"/>
  <c r="U669" i="27"/>
  <c r="AB668" i="27"/>
  <c r="AH668" i="27" s="1"/>
  <c r="AB667" i="27"/>
  <c r="AH667" i="27" s="1"/>
  <c r="AB666" i="27"/>
  <c r="AH666" i="27" s="1"/>
  <c r="AL665" i="27"/>
  <c r="AK665" i="27"/>
  <c r="AJ665" i="27"/>
  <c r="AI665" i="27"/>
  <c r="AF665" i="27"/>
  <c r="AB665" i="27"/>
  <c r="AH665" i="27" s="1"/>
  <c r="U665" i="27"/>
  <c r="Q665" i="27"/>
  <c r="AB664" i="27"/>
  <c r="AH664" i="27" s="1"/>
  <c r="AB663" i="27"/>
  <c r="AH663" i="27" s="1"/>
  <c r="AL662" i="27"/>
  <c r="AJ662" i="27"/>
  <c r="AF662" i="27"/>
  <c r="AG662" i="27" s="1"/>
  <c r="AI662" i="27" s="1"/>
  <c r="AB662" i="27"/>
  <c r="AH662" i="27" s="1"/>
  <c r="U662" i="27"/>
  <c r="P662" i="27"/>
  <c r="AK662" i="27" s="1"/>
  <c r="AM662" i="27" s="1"/>
  <c r="AH661" i="27"/>
  <c r="AB661" i="27"/>
  <c r="AB660" i="27"/>
  <c r="AH660" i="27" s="1"/>
  <c r="AK659" i="27"/>
  <c r="AJ659" i="27"/>
  <c r="AL659" i="27" s="1"/>
  <c r="AF659" i="27"/>
  <c r="AG659" i="27" s="1"/>
  <c r="AI659" i="27" s="1"/>
  <c r="AB659" i="27"/>
  <c r="AH659" i="27" s="1"/>
  <c r="U659" i="27"/>
  <c r="Q659" i="27"/>
  <c r="AB658" i="27"/>
  <c r="AH658" i="27" s="1"/>
  <c r="AB657" i="27"/>
  <c r="AL656" i="27"/>
  <c r="AB656" i="27"/>
  <c r="AD656" i="27" s="1"/>
  <c r="U656" i="27"/>
  <c r="P656" i="27"/>
  <c r="AA655" i="27"/>
  <c r="AB655" i="27" s="1"/>
  <c r="AL654" i="27"/>
  <c r="AB654" i="27"/>
  <c r="U654" i="27"/>
  <c r="P654" i="27"/>
  <c r="AB653" i="27"/>
  <c r="AH653" i="27" s="1"/>
  <c r="AB650" i="27"/>
  <c r="AH650" i="27" s="1"/>
  <c r="AK649" i="27"/>
  <c r="AJ649" i="27"/>
  <c r="AL649" i="27" s="1"/>
  <c r="AF649" i="27"/>
  <c r="AG649" i="27" s="1"/>
  <c r="AB649" i="27"/>
  <c r="AH649" i="27" s="1"/>
  <c r="U649" i="27"/>
  <c r="Q649" i="27"/>
  <c r="AB648" i="27"/>
  <c r="AH648" i="27" s="1"/>
  <c r="AB647" i="27"/>
  <c r="AH647" i="27" s="1"/>
  <c r="AM646" i="27"/>
  <c r="AK646" i="27"/>
  <c r="AJ646" i="27"/>
  <c r="AI646" i="27"/>
  <c r="AG646" i="27"/>
  <c r="AF646" i="27"/>
  <c r="AB646" i="27"/>
  <c r="AH646" i="27" s="1"/>
  <c r="U646" i="27"/>
  <c r="Q646" i="27"/>
  <c r="AB645" i="27"/>
  <c r="AH645" i="27" s="1"/>
  <c r="AB644" i="27"/>
  <c r="AH644" i="27" s="1"/>
  <c r="AL643" i="27"/>
  <c r="AJ643" i="27"/>
  <c r="AF643" i="27"/>
  <c r="AB643" i="27"/>
  <c r="AH643" i="27" s="1"/>
  <c r="U643" i="27"/>
  <c r="P643" i="27"/>
  <c r="AK643" i="27" s="1"/>
  <c r="AB642" i="27"/>
  <c r="AH642" i="27" s="1"/>
  <c r="AB641" i="27"/>
  <c r="AH641" i="27" s="1"/>
  <c r="AL640" i="27"/>
  <c r="AJ640" i="27"/>
  <c r="AF640" i="27"/>
  <c r="AB640" i="27"/>
  <c r="AH640" i="27" s="1"/>
  <c r="U640" i="27"/>
  <c r="P640" i="27"/>
  <c r="AK640" i="27" s="1"/>
  <c r="AB639" i="27"/>
  <c r="AH639" i="27" s="1"/>
  <c r="AH638" i="27"/>
  <c r="AB638" i="27"/>
  <c r="AL637" i="27"/>
  <c r="AK637" i="27"/>
  <c r="AJ637" i="27"/>
  <c r="AF637" i="27"/>
  <c r="AB637" i="27"/>
  <c r="AH637" i="27" s="1"/>
  <c r="U637" i="27"/>
  <c r="AB636" i="27"/>
  <c r="AH636" i="27" s="1"/>
  <c r="AB635" i="27"/>
  <c r="AH635" i="27" s="1"/>
  <c r="AL634" i="27"/>
  <c r="AK634" i="27"/>
  <c r="AJ634" i="27"/>
  <c r="AH634" i="27"/>
  <c r="AF634" i="27"/>
  <c r="AB634" i="27"/>
  <c r="U634" i="27"/>
  <c r="AB633" i="27"/>
  <c r="AH633" i="27" s="1"/>
  <c r="AB632" i="27"/>
  <c r="AH632" i="27" s="1"/>
  <c r="AK631" i="27"/>
  <c r="AI631" i="27"/>
  <c r="AB631" i="27"/>
  <c r="AH631" i="27" s="1"/>
  <c r="U631" i="27"/>
  <c r="AB630" i="27"/>
  <c r="AH630" i="27" s="1"/>
  <c r="AB629" i="27"/>
  <c r="AH629" i="27" s="1"/>
  <c r="AL628" i="27"/>
  <c r="AK628" i="27"/>
  <c r="AJ628" i="27"/>
  <c r="AI628" i="27"/>
  <c r="AF628" i="27"/>
  <c r="AB628" i="27"/>
  <c r="AH628" i="27" s="1"/>
  <c r="U628" i="27"/>
  <c r="S628" i="27"/>
  <c r="Q628" i="27"/>
  <c r="P628" i="27"/>
  <c r="AB627" i="27"/>
  <c r="AH627" i="27" s="1"/>
  <c r="AL626" i="27"/>
  <c r="AF626" i="27"/>
  <c r="AG626" i="27" s="1"/>
  <c r="AB626" i="27"/>
  <c r="AH626" i="27" s="1"/>
  <c r="U626" i="27"/>
  <c r="S626" i="27"/>
  <c r="P626" i="27"/>
  <c r="AK626" i="27" s="1"/>
  <c r="AM626" i="27" s="1"/>
  <c r="AB625" i="27"/>
  <c r="AH625" i="27" s="1"/>
  <c r="AB624" i="27"/>
  <c r="AH624" i="27" s="1"/>
  <c r="AJ623" i="27"/>
  <c r="AL623" i="27" s="1"/>
  <c r="AI623" i="27"/>
  <c r="AF623" i="27"/>
  <c r="AG623" i="27" s="1"/>
  <c r="AB623" i="27"/>
  <c r="AH623" i="27" s="1"/>
  <c r="U623" i="27"/>
  <c r="P623" i="27"/>
  <c r="AB622" i="27"/>
  <c r="AH622" i="27" s="1"/>
  <c r="AH621" i="27"/>
  <c r="AH620" i="27"/>
  <c r="AB619" i="27"/>
  <c r="AH619" i="27" s="1"/>
  <c r="AL618" i="27"/>
  <c r="AJ618" i="27"/>
  <c r="AI618" i="27"/>
  <c r="AF618" i="27"/>
  <c r="AG618" i="27" s="1"/>
  <c r="AB618" i="27"/>
  <c r="AH618" i="27" s="1"/>
  <c r="U618" i="27"/>
  <c r="P618" i="27"/>
  <c r="AK618" i="27" s="1"/>
  <c r="AB617" i="27"/>
  <c r="AH617" i="27" s="1"/>
  <c r="AB616" i="27"/>
  <c r="AH616" i="27" s="1"/>
  <c r="AJ615" i="27"/>
  <c r="AL615" i="27" s="1"/>
  <c r="AI615" i="27"/>
  <c r="AF615" i="27"/>
  <c r="AB615" i="27"/>
  <c r="AH615" i="27" s="1"/>
  <c r="U615" i="27"/>
  <c r="S615" i="27"/>
  <c r="P615" i="27"/>
  <c r="AK615" i="27" s="1"/>
  <c r="AB614" i="27"/>
  <c r="AH614" i="27" s="1"/>
  <c r="AH613" i="27"/>
  <c r="AB613" i="27"/>
  <c r="AJ612" i="27"/>
  <c r="AL612" i="27" s="1"/>
  <c r="AI612" i="27"/>
  <c r="AF612" i="27"/>
  <c r="AB612" i="27"/>
  <c r="AH612" i="27" s="1"/>
  <c r="U612" i="27"/>
  <c r="S612" i="27"/>
  <c r="P612" i="27"/>
  <c r="AK612" i="27" s="1"/>
  <c r="AH611" i="27"/>
  <c r="AB611" i="27"/>
  <c r="AB610" i="27"/>
  <c r="AH610" i="27" s="1"/>
  <c r="AJ609" i="27"/>
  <c r="AL609" i="27" s="1"/>
  <c r="AI609" i="27"/>
  <c r="AF609" i="27"/>
  <c r="AB609" i="27"/>
  <c r="AH609" i="27" s="1"/>
  <c r="U609" i="27"/>
  <c r="S609" i="27"/>
  <c r="P609" i="27"/>
  <c r="AK609" i="27" s="1"/>
  <c r="AB608" i="27"/>
  <c r="AH608" i="27" s="1"/>
  <c r="AB607" i="27"/>
  <c r="AH607" i="27" s="1"/>
  <c r="AJ606" i="27"/>
  <c r="AL606" i="27" s="1"/>
  <c r="AI606" i="27"/>
  <c r="AF606" i="27"/>
  <c r="AG606" i="27" s="1"/>
  <c r="AB606" i="27"/>
  <c r="AH606" i="27" s="1"/>
  <c r="U606" i="27"/>
  <c r="S606" i="27"/>
  <c r="Q606" i="27"/>
  <c r="P606" i="27"/>
  <c r="AK606" i="27" s="1"/>
  <c r="AB605" i="27"/>
  <c r="AH605" i="27" s="1"/>
  <c r="AB604" i="27"/>
  <c r="AH604" i="27" s="1"/>
  <c r="AJ602" i="27"/>
  <c r="AL602" i="27" s="1"/>
  <c r="AI602" i="27"/>
  <c r="AF602" i="27"/>
  <c r="AG602" i="27" s="1"/>
  <c r="AB602" i="27"/>
  <c r="AH602" i="27" s="1"/>
  <c r="U602" i="27"/>
  <c r="S602" i="27"/>
  <c r="P602" i="27"/>
  <c r="AB601" i="27"/>
  <c r="AH601" i="27" s="1"/>
  <c r="AH600" i="27"/>
  <c r="AB600" i="27"/>
  <c r="AJ599" i="27"/>
  <c r="AL599" i="27" s="1"/>
  <c r="AI599" i="27"/>
  <c r="AF599" i="27"/>
  <c r="AG599" i="27" s="1"/>
  <c r="AB599" i="27"/>
  <c r="AH599" i="27" s="1"/>
  <c r="U599" i="27"/>
  <c r="S599" i="27"/>
  <c r="Q599" i="27"/>
  <c r="P599" i="27"/>
  <c r="AK599" i="27" s="1"/>
  <c r="AB598" i="27"/>
  <c r="AH598" i="27" s="1"/>
  <c r="AF597" i="27"/>
  <c r="AB597" i="27"/>
  <c r="AH597" i="27" s="1"/>
  <c r="V597" i="27"/>
  <c r="S597" i="27"/>
  <c r="P597" i="27"/>
  <c r="AB596" i="27"/>
  <c r="AH596" i="27" s="1"/>
  <c r="AH595" i="27"/>
  <c r="AB595" i="27"/>
  <c r="AL594" i="27"/>
  <c r="AK594" i="27"/>
  <c r="AJ594" i="27"/>
  <c r="AF594" i="27"/>
  <c r="AI594" i="27" s="1"/>
  <c r="AB594" i="27"/>
  <c r="AH594" i="27" s="1"/>
  <c r="U594" i="27"/>
  <c r="S594" i="27"/>
  <c r="Q594" i="27"/>
  <c r="AB593" i="27"/>
  <c r="AH593" i="27" s="1"/>
  <c r="AL592" i="27"/>
  <c r="AJ592" i="27"/>
  <c r="AI592" i="27"/>
  <c r="AF592" i="27"/>
  <c r="AB592" i="27"/>
  <c r="AH592" i="27" s="1"/>
  <c r="P592" i="27"/>
  <c r="AK592" i="27" s="1"/>
  <c r="AM592" i="27" s="1"/>
  <c r="AH591" i="27"/>
  <c r="AB591" i="27"/>
  <c r="AB590" i="27"/>
  <c r="AH590" i="27" s="1"/>
  <c r="AL589" i="27"/>
  <c r="AJ589" i="27"/>
  <c r="AI589" i="27"/>
  <c r="AF589" i="27"/>
  <c r="AB589" i="27"/>
  <c r="AH589" i="27" s="1"/>
  <c r="U589" i="27"/>
  <c r="S589" i="27"/>
  <c r="P589" i="27"/>
  <c r="AK589" i="27" s="1"/>
  <c r="AH588" i="27"/>
  <c r="AB588" i="27"/>
  <c r="AL587" i="27"/>
  <c r="AK587" i="27"/>
  <c r="AM587" i="27" s="1"/>
  <c r="AJ587" i="27"/>
  <c r="AG587" i="27"/>
  <c r="AF587" i="27"/>
  <c r="AI587" i="27" s="1"/>
  <c r="AB587" i="27"/>
  <c r="AH587" i="27" s="1"/>
  <c r="U587" i="27"/>
  <c r="S587" i="27"/>
  <c r="AB586" i="27"/>
  <c r="AH586" i="27" s="1"/>
  <c r="AH585" i="27"/>
  <c r="AB585" i="27"/>
  <c r="AB584" i="27"/>
  <c r="AH584" i="27" s="1"/>
  <c r="AB583" i="27"/>
  <c r="AH583" i="27" s="1"/>
  <c r="AB582" i="27"/>
  <c r="AH582" i="27" s="1"/>
  <c r="AJ581" i="27"/>
  <c r="AL581" i="27" s="1"/>
  <c r="AI581" i="27"/>
  <c r="AF581" i="27"/>
  <c r="AG581" i="27" s="1"/>
  <c r="AB581" i="27"/>
  <c r="AH581" i="27" s="1"/>
  <c r="U581" i="27"/>
  <c r="S581" i="27"/>
  <c r="P581" i="27"/>
  <c r="AK581" i="27" s="1"/>
  <c r="AB580" i="27"/>
  <c r="AH580" i="27" s="1"/>
  <c r="AB579" i="27"/>
  <c r="AH579" i="27" s="1"/>
  <c r="AI578" i="27"/>
  <c r="AB578" i="27"/>
  <c r="AH578" i="27" s="1"/>
  <c r="U578" i="27"/>
  <c r="AB577" i="27"/>
  <c r="AH577" i="27" s="1"/>
  <c r="AB576" i="27"/>
  <c r="AH576" i="27" s="1"/>
  <c r="AL575" i="27"/>
  <c r="AJ575" i="27"/>
  <c r="AI575" i="27"/>
  <c r="AF575" i="27"/>
  <c r="AG575" i="27" s="1"/>
  <c r="AB575" i="27"/>
  <c r="AH575" i="27" s="1"/>
  <c r="U575" i="27"/>
  <c r="S575" i="27"/>
  <c r="Q575" i="27"/>
  <c r="P575" i="27"/>
  <c r="AK575" i="27" s="1"/>
  <c r="AM575" i="27" s="1"/>
  <c r="AB574" i="27"/>
  <c r="AH574" i="27" s="1"/>
  <c r="AB573" i="27"/>
  <c r="AH573" i="27" s="1"/>
  <c r="AL572" i="27"/>
  <c r="AJ572" i="27"/>
  <c r="AI572" i="27"/>
  <c r="AF572" i="27"/>
  <c r="AB572" i="27"/>
  <c r="AH572" i="27" s="1"/>
  <c r="U572" i="27"/>
  <c r="S572" i="27"/>
  <c r="P572" i="27"/>
  <c r="AK572" i="27" s="1"/>
  <c r="AM572" i="27" s="1"/>
  <c r="AH571" i="27"/>
  <c r="AB571" i="27"/>
  <c r="AB570" i="27"/>
  <c r="AH570" i="27" s="1"/>
  <c r="AL569" i="27"/>
  <c r="AJ569" i="27"/>
  <c r="AI569" i="27"/>
  <c r="AF569" i="27"/>
  <c r="AB569" i="27"/>
  <c r="AH569" i="27" s="1"/>
  <c r="U569" i="27"/>
  <c r="S569" i="27"/>
  <c r="P569" i="27"/>
  <c r="AL568" i="27"/>
  <c r="AJ568" i="27"/>
  <c r="AB568" i="27"/>
  <c r="AH568" i="27" s="1"/>
  <c r="U568" i="27"/>
  <c r="S568" i="27"/>
  <c r="P568" i="27"/>
  <c r="AK568" i="27" s="1"/>
  <c r="AL567" i="27"/>
  <c r="AK567" i="27"/>
  <c r="AJ567" i="27"/>
  <c r="AB567" i="27"/>
  <c r="AH567" i="27" s="1"/>
  <c r="U567" i="27"/>
  <c r="S567" i="27"/>
  <c r="AL566" i="27"/>
  <c r="AJ566" i="27"/>
  <c r="AH566" i="27"/>
  <c r="AB566" i="27"/>
  <c r="U566" i="27"/>
  <c r="S566" i="27"/>
  <c r="P566" i="27"/>
  <c r="AK566" i="27" s="1"/>
  <c r="AH565" i="27"/>
  <c r="AB565" i="27"/>
  <c r="AL564" i="27"/>
  <c r="AJ564" i="27"/>
  <c r="AI564" i="27"/>
  <c r="AF564" i="27"/>
  <c r="AB564" i="27"/>
  <c r="AH564" i="27" s="1"/>
  <c r="U564" i="27"/>
  <c r="S564" i="27"/>
  <c r="P564" i="27"/>
  <c r="AK564" i="27" s="1"/>
  <c r="AH563" i="27"/>
  <c r="AB563" i="27"/>
  <c r="AB562" i="27"/>
  <c r="AH562" i="27" s="1"/>
  <c r="AI561" i="27"/>
  <c r="AB561" i="27"/>
  <c r="AH561" i="27" s="1"/>
  <c r="U561" i="27"/>
  <c r="AJ560" i="27"/>
  <c r="AL560" i="27" s="1"/>
  <c r="AI560" i="27"/>
  <c r="AF560" i="27"/>
  <c r="AB560" i="27"/>
  <c r="AH560" i="27" s="1"/>
  <c r="U560" i="27"/>
  <c r="S560" i="27"/>
  <c r="P560" i="27"/>
  <c r="AK560" i="27" s="1"/>
  <c r="AB559" i="27"/>
  <c r="AH559" i="27" s="1"/>
  <c r="AJ558" i="27"/>
  <c r="AL558" i="27" s="1"/>
  <c r="AI558" i="27"/>
  <c r="AF558" i="27"/>
  <c r="AB558" i="27"/>
  <c r="AH558" i="27" s="1"/>
  <c r="U558" i="27"/>
  <c r="S558" i="27"/>
  <c r="P558" i="27"/>
  <c r="AK558" i="27" s="1"/>
  <c r="AB557" i="27"/>
  <c r="AH557" i="27" s="1"/>
  <c r="AB556" i="27"/>
  <c r="AH556" i="27" s="1"/>
  <c r="AI555" i="27"/>
  <c r="AB555" i="27"/>
  <c r="AH555" i="27" s="1"/>
  <c r="U555" i="27"/>
  <c r="AL554" i="27"/>
  <c r="AJ554" i="27"/>
  <c r="AI554" i="27"/>
  <c r="AF554" i="27"/>
  <c r="AB554" i="27"/>
  <c r="AH554" i="27" s="1"/>
  <c r="U554" i="27"/>
  <c r="S554" i="27"/>
  <c r="P554" i="27"/>
  <c r="AK554" i="27" s="1"/>
  <c r="AH553" i="27"/>
  <c r="AB553" i="27"/>
  <c r="AJ552" i="27"/>
  <c r="AL552" i="27" s="1"/>
  <c r="AI552" i="27"/>
  <c r="AF552" i="27"/>
  <c r="AB552" i="27"/>
  <c r="AH552" i="27" s="1"/>
  <c r="W552" i="27"/>
  <c r="U552" i="27"/>
  <c r="S552" i="27"/>
  <c r="P552" i="27"/>
  <c r="AI551" i="27"/>
  <c r="P551" i="27"/>
  <c r="AI550" i="27"/>
  <c r="V550" i="27"/>
  <c r="P550" i="27"/>
  <c r="AI549" i="27"/>
  <c r="AE549" i="27"/>
  <c r="V549" i="27"/>
  <c r="AE548" i="27"/>
  <c r="AI548" i="27" s="1"/>
  <c r="V548" i="27"/>
  <c r="P548" i="27"/>
  <c r="AE546" i="27"/>
  <c r="AI546" i="27" s="1"/>
  <c r="P546" i="27"/>
  <c r="AK546" i="27" s="1"/>
  <c r="AI545" i="27"/>
  <c r="AE545" i="27"/>
  <c r="AF545" i="27" s="1"/>
  <c r="AB545" i="27"/>
  <c r="P545" i="27"/>
  <c r="AK545" i="27" s="1"/>
  <c r="AE541" i="27"/>
  <c r="AI541" i="27" s="1"/>
  <c r="AB541" i="27"/>
  <c r="AB540" i="27"/>
  <c r="AE539" i="27"/>
  <c r="AI539" i="27" s="1"/>
  <c r="AB539" i="27"/>
  <c r="P539" i="27"/>
  <c r="AK539" i="27" s="1"/>
  <c r="AB538" i="27"/>
  <c r="AH538" i="27" s="1"/>
  <c r="AL537" i="27"/>
  <c r="AK537" i="27"/>
  <c r="AM537" i="27" s="1"/>
  <c r="AJ537" i="27"/>
  <c r="AI537" i="27"/>
  <c r="AH537" i="27"/>
  <c r="AF537" i="27"/>
  <c r="AB537" i="27"/>
  <c r="U537" i="27"/>
  <c r="S537" i="27"/>
  <c r="AH536" i="27"/>
  <c r="AB536" i="27"/>
  <c r="AB535" i="27"/>
  <c r="AH535" i="27" s="1"/>
  <c r="AK534" i="27"/>
  <c r="AI534" i="27"/>
  <c r="AB534" i="27"/>
  <c r="AH534" i="27" s="1"/>
  <c r="U534" i="27"/>
  <c r="AB533" i="27"/>
  <c r="AH533" i="27" s="1"/>
  <c r="AB532" i="27"/>
  <c r="AH532" i="27" s="1"/>
  <c r="AL531" i="27"/>
  <c r="AK531" i="27"/>
  <c r="AJ531" i="27"/>
  <c r="AI531" i="27"/>
  <c r="AF531" i="27"/>
  <c r="AB531" i="27"/>
  <c r="AH531" i="27" s="1"/>
  <c r="U531" i="27"/>
  <c r="S531" i="27"/>
  <c r="P531" i="27"/>
  <c r="AB530" i="27"/>
  <c r="AH530" i="27" s="1"/>
  <c r="AB529" i="27"/>
  <c r="AH529" i="27" s="1"/>
  <c r="AL528" i="27"/>
  <c r="AJ528" i="27"/>
  <c r="AF528" i="27"/>
  <c r="AB528" i="27"/>
  <c r="AH528" i="27" s="1"/>
  <c r="U528" i="27"/>
  <c r="S528" i="27"/>
  <c r="AK528" i="27" s="1"/>
  <c r="AM528" i="27" s="1"/>
  <c r="AB527" i="27"/>
  <c r="AH527" i="27" s="1"/>
  <c r="AB526" i="27"/>
  <c r="AH526" i="27" s="1"/>
  <c r="AB525" i="27"/>
  <c r="AH525" i="27" s="1"/>
  <c r="AL524" i="27"/>
  <c r="AJ524" i="27"/>
  <c r="AF524" i="27"/>
  <c r="AB524" i="27"/>
  <c r="AH524" i="27" s="1"/>
  <c r="U524" i="27"/>
  <c r="S524" i="27"/>
  <c r="AK524" i="27" s="1"/>
  <c r="AB523" i="27"/>
  <c r="AH523" i="27" s="1"/>
  <c r="AH522" i="27"/>
  <c r="AB522" i="27"/>
  <c r="AB521" i="27"/>
  <c r="AH521" i="27" s="1"/>
  <c r="AK520" i="27"/>
  <c r="AI520" i="27"/>
  <c r="AB520" i="27"/>
  <c r="AH520" i="27" s="1"/>
  <c r="U520" i="27"/>
  <c r="AB519" i="27"/>
  <c r="AH519" i="27" s="1"/>
  <c r="AA518" i="27"/>
  <c r="AB518" i="27" s="1"/>
  <c r="AH518" i="27" s="1"/>
  <c r="AB517" i="27"/>
  <c r="AH517" i="27" s="1"/>
  <c r="AL516" i="27"/>
  <c r="AK516" i="27"/>
  <c r="AJ516" i="27"/>
  <c r="AI516" i="27"/>
  <c r="AF516" i="27"/>
  <c r="AB516" i="27"/>
  <c r="AH516" i="27" s="1"/>
  <c r="W516" i="27"/>
  <c r="U516" i="27"/>
  <c r="S516" i="27"/>
  <c r="Q516" i="27"/>
  <c r="AB515" i="27"/>
  <c r="AH515" i="27" s="1"/>
  <c r="AF514" i="27"/>
  <c r="AB514" i="27"/>
  <c r="AH514" i="27" s="1"/>
  <c r="U514" i="27"/>
  <c r="S514" i="27"/>
  <c r="P514" i="27"/>
  <c r="AB513" i="27"/>
  <c r="AH513" i="27" s="1"/>
  <c r="AB512" i="27"/>
  <c r="AH512" i="27" s="1"/>
  <c r="V512" i="27"/>
  <c r="U512" i="27"/>
  <c r="AB511" i="27"/>
  <c r="AH511" i="27" s="1"/>
  <c r="AB510" i="27"/>
  <c r="AH510" i="27" s="1"/>
  <c r="AB509" i="27"/>
  <c r="AH509" i="27" s="1"/>
  <c r="AF508" i="27"/>
  <c r="AB508" i="27"/>
  <c r="AH508" i="27" s="1"/>
  <c r="U508" i="27"/>
  <c r="S508" i="27"/>
  <c r="P508" i="27"/>
  <c r="AK508" i="27" s="1"/>
  <c r="AB507" i="27"/>
  <c r="AH507" i="27" s="1"/>
  <c r="AB506" i="27"/>
  <c r="AH506" i="27" s="1"/>
  <c r="AK505" i="27"/>
  <c r="AI505" i="27"/>
  <c r="AF505" i="27"/>
  <c r="AB505" i="27"/>
  <c r="AH505" i="27" s="1"/>
  <c r="U505" i="27"/>
  <c r="S505" i="27"/>
  <c r="AB504" i="27"/>
  <c r="AH504" i="27" s="1"/>
  <c r="AB503" i="27"/>
  <c r="AH503" i="27" s="1"/>
  <c r="AI502" i="27"/>
  <c r="AB502" i="27"/>
  <c r="AH502" i="27" s="1"/>
  <c r="U502" i="27"/>
  <c r="AB501" i="27"/>
  <c r="AH501" i="27" s="1"/>
  <c r="AB500" i="27"/>
  <c r="AH500" i="27" s="1"/>
  <c r="AK499" i="27"/>
  <c r="AI499" i="27"/>
  <c r="AF499" i="27"/>
  <c r="AB499" i="27"/>
  <c r="AH499" i="27" s="1"/>
  <c r="U499" i="27"/>
  <c r="S499" i="27"/>
  <c r="AB498" i="27"/>
  <c r="AH498" i="27" s="1"/>
  <c r="AB497" i="27"/>
  <c r="AH497" i="27" s="1"/>
  <c r="AL496" i="27"/>
  <c r="AK496" i="27"/>
  <c r="AJ496" i="27"/>
  <c r="AI496" i="27"/>
  <c r="AG496" i="27"/>
  <c r="AF496" i="27"/>
  <c r="AB496" i="27"/>
  <c r="AH496" i="27" s="1"/>
  <c r="U496" i="27"/>
  <c r="AB495" i="27"/>
  <c r="AH495" i="27" s="1"/>
  <c r="AB494" i="27"/>
  <c r="AH494" i="27" s="1"/>
  <c r="AL493" i="27"/>
  <c r="AJ493" i="27"/>
  <c r="AI493" i="27"/>
  <c r="AF493" i="27"/>
  <c r="AG493" i="27" s="1"/>
  <c r="AB493" i="27"/>
  <c r="AH493" i="27" s="1"/>
  <c r="U493" i="27"/>
  <c r="S493" i="27"/>
  <c r="P493" i="27"/>
  <c r="AB492" i="27"/>
  <c r="AH492" i="27" s="1"/>
  <c r="AJ491" i="27"/>
  <c r="AF491" i="27"/>
  <c r="AB491" i="27"/>
  <c r="AH491" i="27" s="1"/>
  <c r="P491" i="27"/>
  <c r="AK491" i="27" s="1"/>
  <c r="AB490" i="27"/>
  <c r="AH490" i="27" s="1"/>
  <c r="AB489" i="27"/>
  <c r="AH489" i="27" s="1"/>
  <c r="AI488" i="27"/>
  <c r="AB488" i="27"/>
  <c r="AH488" i="27" s="1"/>
  <c r="U488" i="27"/>
  <c r="AB487" i="27"/>
  <c r="AH487" i="27" s="1"/>
  <c r="AB486" i="27"/>
  <c r="AH486" i="27" s="1"/>
  <c r="AB485" i="27"/>
  <c r="AH485" i="27" s="1"/>
  <c r="AB484" i="27"/>
  <c r="AH484" i="27" s="1"/>
  <c r="AL483" i="27"/>
  <c r="AJ483" i="27"/>
  <c r="AI483" i="27"/>
  <c r="AB483" i="27"/>
  <c r="AH483" i="27" s="1"/>
  <c r="W483" i="27"/>
  <c r="U483" i="27"/>
  <c r="S483" i="27"/>
  <c r="P483" i="27"/>
  <c r="AK483" i="27" s="1"/>
  <c r="AM483" i="27" s="1"/>
  <c r="AD482" i="27"/>
  <c r="AI481" i="27" s="1"/>
  <c r="AB482" i="27"/>
  <c r="AL481" i="27"/>
  <c r="AJ481" i="27"/>
  <c r="AB481" i="27"/>
  <c r="AH481" i="27" s="1"/>
  <c r="P481" i="27"/>
  <c r="AK481" i="27" s="1"/>
  <c r="AM481" i="27" s="1"/>
  <c r="AB480" i="27"/>
  <c r="AH480" i="27" s="1"/>
  <c r="AI479" i="27"/>
  <c r="AB479" i="27"/>
  <c r="AH479" i="27" s="1"/>
  <c r="U479" i="27"/>
  <c r="AH478" i="27"/>
  <c r="AB478" i="27"/>
  <c r="AB477" i="27"/>
  <c r="AH477" i="27" s="1"/>
  <c r="AB476" i="27"/>
  <c r="AH476" i="27" s="1"/>
  <c r="AJ475" i="27"/>
  <c r="AI475" i="27"/>
  <c r="AF475" i="27"/>
  <c r="AB475" i="27"/>
  <c r="AH475" i="27" s="1"/>
  <c r="W475" i="27"/>
  <c r="U475" i="27"/>
  <c r="S475" i="27"/>
  <c r="P475" i="27"/>
  <c r="Q475" i="27" s="1"/>
  <c r="AL474" i="27"/>
  <c r="AJ474" i="27"/>
  <c r="AI474" i="27"/>
  <c r="AF474" i="27"/>
  <c r="AB474" i="27"/>
  <c r="AH474" i="27" s="1"/>
  <c r="U474" i="27"/>
  <c r="S474" i="27"/>
  <c r="P474" i="27"/>
  <c r="AK474" i="27" s="1"/>
  <c r="AM474" i="27" s="1"/>
  <c r="AB473" i="27"/>
  <c r="AH473" i="27" s="1"/>
  <c r="AB472" i="27"/>
  <c r="AH472" i="27" s="1"/>
  <c r="AB471" i="27"/>
  <c r="AH471" i="27" s="1"/>
  <c r="AI470" i="27"/>
  <c r="AB470" i="27"/>
  <c r="AH470" i="27" s="1"/>
  <c r="U470" i="27"/>
  <c r="AB469" i="27"/>
  <c r="AH469" i="27" s="1"/>
  <c r="AB468" i="27"/>
  <c r="AH468" i="27" s="1"/>
  <c r="AB467" i="27"/>
  <c r="AH467" i="27" s="1"/>
  <c r="AL466" i="27"/>
  <c r="AJ466" i="27"/>
  <c r="AI466" i="27"/>
  <c r="AF466" i="27"/>
  <c r="AB466" i="27"/>
  <c r="AH466" i="27" s="1"/>
  <c r="W466" i="27"/>
  <c r="U466" i="27"/>
  <c r="S466" i="27"/>
  <c r="P466" i="27"/>
  <c r="AK466" i="27" s="1"/>
  <c r="AB465" i="27"/>
  <c r="AH465" i="27" s="1"/>
  <c r="AI464" i="27"/>
  <c r="AB464" i="27"/>
  <c r="AH464" i="27" s="1"/>
  <c r="U464" i="27"/>
  <c r="AH463" i="27"/>
  <c r="AB463" i="27"/>
  <c r="AB462" i="27"/>
  <c r="AH462" i="27" s="1"/>
  <c r="AJ461" i="27"/>
  <c r="AL461" i="27" s="1"/>
  <c r="AI461" i="27"/>
  <c r="AF461" i="27"/>
  <c r="AG461" i="27" s="1"/>
  <c r="AB461" i="27"/>
  <c r="AH461" i="27" s="1"/>
  <c r="U461" i="27"/>
  <c r="S461" i="27"/>
  <c r="P461" i="27"/>
  <c r="AB460" i="27"/>
  <c r="AH460" i="27" s="1"/>
  <c r="AL459" i="27"/>
  <c r="AJ459" i="27"/>
  <c r="AI459" i="27"/>
  <c r="AF459" i="27"/>
  <c r="AB459" i="27"/>
  <c r="AH459" i="27" s="1"/>
  <c r="U459" i="27"/>
  <c r="S459" i="27"/>
  <c r="P459" i="27"/>
  <c r="AK459" i="27" s="1"/>
  <c r="AB458" i="27"/>
  <c r="AH458" i="27" s="1"/>
  <c r="AH457" i="27"/>
  <c r="AB457" i="27"/>
  <c r="AI456" i="27"/>
  <c r="AB456" i="27"/>
  <c r="AH456" i="27" s="1"/>
  <c r="U456" i="27"/>
  <c r="AB455" i="27"/>
  <c r="AH455" i="27" s="1"/>
  <c r="Z454" i="27"/>
  <c r="AB454" i="27" s="1"/>
  <c r="AH454" i="27" s="1"/>
  <c r="Z453" i="27"/>
  <c r="AB453" i="27" s="1"/>
  <c r="AH453" i="27" s="1"/>
  <c r="AB452" i="27"/>
  <c r="AH452" i="27" s="1"/>
  <c r="AI451" i="27"/>
  <c r="AF451" i="27"/>
  <c r="AB451" i="27"/>
  <c r="AH451" i="27" s="1"/>
  <c r="U451" i="27"/>
  <c r="S451" i="27"/>
  <c r="P451" i="27"/>
  <c r="AB450" i="27"/>
  <c r="AH450" i="27" s="1"/>
  <c r="AI449" i="27"/>
  <c r="AB449" i="27"/>
  <c r="AH449" i="27" s="1"/>
  <c r="U449" i="27"/>
  <c r="AB448" i="27"/>
  <c r="AH448" i="27" s="1"/>
  <c r="AL447" i="27"/>
  <c r="AJ447" i="27"/>
  <c r="AI447" i="27"/>
  <c r="AF447" i="27"/>
  <c r="AG447" i="27" s="1"/>
  <c r="AB447" i="27"/>
  <c r="AH447" i="27" s="1"/>
  <c r="U447" i="27"/>
  <c r="S447" i="27"/>
  <c r="P447" i="27"/>
  <c r="AK447" i="27" s="1"/>
  <c r="AB446" i="27"/>
  <c r="AH446" i="27" s="1"/>
  <c r="AL445" i="27"/>
  <c r="AK445" i="27"/>
  <c r="AJ445" i="27"/>
  <c r="AI445" i="27"/>
  <c r="AF445" i="27"/>
  <c r="AB445" i="27"/>
  <c r="AH445" i="27" s="1"/>
  <c r="U445" i="27"/>
  <c r="S445" i="27"/>
  <c r="AB444" i="27"/>
  <c r="AH444" i="27" s="1"/>
  <c r="AK443" i="27"/>
  <c r="AI443" i="27"/>
  <c r="Z443" i="27"/>
  <c r="AB443" i="27" s="1"/>
  <c r="AH443" i="27" s="1"/>
  <c r="U443" i="27"/>
  <c r="Z442" i="27"/>
  <c r="AB441" i="27"/>
  <c r="AH441" i="27" s="1"/>
  <c r="AK440" i="27"/>
  <c r="AI440" i="27"/>
  <c r="AH440" i="27"/>
  <c r="AF440" i="27"/>
  <c r="AB440" i="27"/>
  <c r="U440" i="27"/>
  <c r="S440" i="27"/>
  <c r="AB439" i="27"/>
  <c r="AH439" i="27" s="1"/>
  <c r="AK438" i="27"/>
  <c r="AI438" i="27"/>
  <c r="AB438" i="27"/>
  <c r="AH438" i="27" s="1"/>
  <c r="U438" i="27"/>
  <c r="AB437" i="27"/>
  <c r="AH437" i="27" s="1"/>
  <c r="AL436" i="27"/>
  <c r="AK436" i="27"/>
  <c r="AJ436" i="27"/>
  <c r="AI436" i="27"/>
  <c r="AF436" i="27"/>
  <c r="AG436" i="27" s="1"/>
  <c r="AB436" i="27"/>
  <c r="AH436" i="27" s="1"/>
  <c r="U436" i="27"/>
  <c r="S436" i="27"/>
  <c r="P436" i="27"/>
  <c r="Q436" i="27" s="1"/>
  <c r="AB435" i="27"/>
  <c r="AH435" i="27" s="1"/>
  <c r="AI434" i="27"/>
  <c r="AB434" i="27"/>
  <c r="AH434" i="27" s="1"/>
  <c r="U434" i="27"/>
  <c r="AB433" i="27"/>
  <c r="AH433" i="27" s="1"/>
  <c r="AL432" i="27"/>
  <c r="AJ432" i="27"/>
  <c r="AI432" i="27"/>
  <c r="AF432" i="27"/>
  <c r="AG432" i="27" s="1"/>
  <c r="AB432" i="27"/>
  <c r="AH432" i="27" s="1"/>
  <c r="U432" i="27"/>
  <c r="S432" i="27"/>
  <c r="P432" i="27"/>
  <c r="AB431" i="27"/>
  <c r="AH431" i="27" s="1"/>
  <c r="AB430" i="27"/>
  <c r="AH430" i="27" s="1"/>
  <c r="AI429" i="27"/>
  <c r="AB429" i="27"/>
  <c r="AH429" i="27" s="1"/>
  <c r="U429" i="27"/>
  <c r="AB428" i="27"/>
  <c r="AH428" i="27" s="1"/>
  <c r="AB427" i="27"/>
  <c r="AH427" i="27" s="1"/>
  <c r="AL426" i="27"/>
  <c r="AJ426" i="27"/>
  <c r="AI426" i="27"/>
  <c r="AF426" i="27"/>
  <c r="AG426" i="27" s="1"/>
  <c r="AB426" i="27"/>
  <c r="AH426" i="27" s="1"/>
  <c r="U426" i="27"/>
  <c r="S426" i="27"/>
  <c r="P426" i="27"/>
  <c r="AK426" i="27" s="1"/>
  <c r="AM426" i="27" s="1"/>
  <c r="Z425" i="27"/>
  <c r="AB425" i="27" s="1"/>
  <c r="AF425" i="27" s="1"/>
  <c r="S425" i="27"/>
  <c r="P425" i="27"/>
  <c r="Z424" i="27"/>
  <c r="AB424" i="27" s="1"/>
  <c r="Z423" i="27"/>
  <c r="AB423" i="27" s="1"/>
  <c r="U423" i="27"/>
  <c r="AB422" i="27"/>
  <c r="AF421" i="27"/>
  <c r="AB421" i="27"/>
  <c r="U421" i="27"/>
  <c r="S421" i="27"/>
  <c r="P421" i="27"/>
  <c r="AB420" i="27"/>
  <c r="AH420" i="27" s="1"/>
  <c r="AB419" i="27"/>
  <c r="AH419" i="27" s="1"/>
  <c r="AI418" i="27"/>
  <c r="AB418" i="27"/>
  <c r="AH418" i="27" s="1"/>
  <c r="U418" i="27"/>
  <c r="AB417" i="27"/>
  <c r="AH417" i="27" s="1"/>
  <c r="AL416" i="27"/>
  <c r="AJ416" i="27"/>
  <c r="AI416" i="27"/>
  <c r="AF416" i="27"/>
  <c r="AG416" i="27" s="1"/>
  <c r="AB416" i="27"/>
  <c r="AH416" i="27" s="1"/>
  <c r="U416" i="27"/>
  <c r="S416" i="27"/>
  <c r="P416" i="27"/>
  <c r="AK416" i="27" s="1"/>
  <c r="AB415" i="27"/>
  <c r="AB414" i="27"/>
  <c r="U414" i="27"/>
  <c r="AB413" i="27"/>
  <c r="AM412" i="27"/>
  <c r="AF412" i="27"/>
  <c r="AB412" i="27"/>
  <c r="U412" i="27"/>
  <c r="S412" i="27"/>
  <c r="P412" i="27"/>
  <c r="Q412" i="27" s="1"/>
  <c r="AB411" i="27"/>
  <c r="AH411" i="27" s="1"/>
  <c r="AK410" i="27"/>
  <c r="AI410" i="27"/>
  <c r="AB410" i="27"/>
  <c r="AH410" i="27" s="1"/>
  <c r="U410" i="27"/>
  <c r="AB409" i="27"/>
  <c r="AH409" i="27" s="1"/>
  <c r="AL408" i="27"/>
  <c r="AK408" i="27"/>
  <c r="AJ408" i="27"/>
  <c r="AI408" i="27"/>
  <c r="AF408" i="27"/>
  <c r="AG408" i="27" s="1"/>
  <c r="AB408" i="27"/>
  <c r="AH408" i="27" s="1"/>
  <c r="U408" i="27"/>
  <c r="S408" i="27"/>
  <c r="P408" i="27"/>
  <c r="Q408" i="27" s="1"/>
  <c r="AB407" i="27"/>
  <c r="AH407" i="27" s="1"/>
  <c r="Z407" i="27"/>
  <c r="Z406" i="27"/>
  <c r="AB406" i="27" s="1"/>
  <c r="AH406" i="27" s="1"/>
  <c r="Z405" i="27"/>
  <c r="AB405" i="27" s="1"/>
  <c r="AH405" i="27" s="1"/>
  <c r="AK404" i="27"/>
  <c r="AI404" i="27"/>
  <c r="Z404" i="27"/>
  <c r="U404" i="27"/>
  <c r="AA403" i="27"/>
  <c r="AB403" i="27" s="1"/>
  <c r="AH403" i="27" s="1"/>
  <c r="AK402" i="27"/>
  <c r="AI402" i="27"/>
  <c r="AF402" i="27"/>
  <c r="AG402" i="27" s="1"/>
  <c r="AB402" i="27"/>
  <c r="AH402" i="27" s="1"/>
  <c r="AA402" i="27"/>
  <c r="U402" i="27"/>
  <c r="S402" i="27"/>
  <c r="Q402" i="27"/>
  <c r="P402" i="27"/>
  <c r="AL401" i="27"/>
  <c r="AJ401" i="27"/>
  <c r="AI401" i="27"/>
  <c r="AF401" i="27"/>
  <c r="AB401" i="27"/>
  <c r="AH401" i="27" s="1"/>
  <c r="U401" i="27"/>
  <c r="P401" i="27"/>
  <c r="AB400" i="27"/>
  <c r="AH400" i="27" s="1"/>
  <c r="AI399" i="27"/>
  <c r="AB399" i="27"/>
  <c r="AH399" i="27" s="1"/>
  <c r="U399" i="27"/>
  <c r="AB398" i="27"/>
  <c r="AH398" i="27" s="1"/>
  <c r="AL397" i="27"/>
  <c r="AJ397" i="27"/>
  <c r="AI397" i="27"/>
  <c r="AF397" i="27"/>
  <c r="AG397" i="27" s="1"/>
  <c r="AB397" i="27"/>
  <c r="AH397" i="27" s="1"/>
  <c r="W397" i="27"/>
  <c r="U397" i="27"/>
  <c r="S397" i="27"/>
  <c r="P397" i="27"/>
  <c r="AK397" i="27" s="1"/>
  <c r="AM397" i="27" s="1"/>
  <c r="AB396" i="27"/>
  <c r="V396" i="27"/>
  <c r="AL396" i="27" s="1"/>
  <c r="U396" i="27"/>
  <c r="AG395" i="27"/>
  <c r="AJ395" i="27" s="1"/>
  <c r="AF395" i="27"/>
  <c r="AB395" i="27"/>
  <c r="V395" i="27"/>
  <c r="AL395" i="27" s="1"/>
  <c r="U395" i="27"/>
  <c r="S395" i="27"/>
  <c r="P395" i="27"/>
  <c r="Q395" i="27" s="1"/>
  <c r="AB394" i="27"/>
  <c r="AH394" i="27" s="1"/>
  <c r="AB393" i="27"/>
  <c r="AH393" i="27" s="1"/>
  <c r="U393" i="27"/>
  <c r="AB392" i="27"/>
  <c r="AH392" i="27" s="1"/>
  <c r="AJ391" i="27"/>
  <c r="AL391" i="27" s="1"/>
  <c r="AF391" i="27"/>
  <c r="AB391" i="27"/>
  <c r="AH391" i="27" s="1"/>
  <c r="U391" i="27"/>
  <c r="S391" i="27"/>
  <c r="P391" i="27"/>
  <c r="AK391" i="27" s="1"/>
  <c r="AL390" i="27"/>
  <c r="AI390" i="27"/>
  <c r="AF390" i="27"/>
  <c r="AB390" i="27"/>
  <c r="AH390" i="27" s="1"/>
  <c r="U390" i="27"/>
  <c r="P390" i="27"/>
  <c r="AK390" i="27" s="1"/>
  <c r="AB389" i="27"/>
  <c r="AH389" i="27" s="1"/>
  <c r="AI388" i="27"/>
  <c r="AB388" i="27"/>
  <c r="AH388" i="27" s="1"/>
  <c r="U388" i="27"/>
  <c r="AB387" i="27"/>
  <c r="AH387" i="27" s="1"/>
  <c r="AJ386" i="27"/>
  <c r="AI386" i="27"/>
  <c r="AF386" i="27"/>
  <c r="AB386" i="27"/>
  <c r="AH386" i="27" s="1"/>
  <c r="U386" i="27"/>
  <c r="S386" i="27"/>
  <c r="P386" i="27"/>
  <c r="AH385" i="27"/>
  <c r="AB385" i="27"/>
  <c r="AL384" i="27"/>
  <c r="AJ384" i="27"/>
  <c r="AI384" i="27"/>
  <c r="AH384" i="27"/>
  <c r="AF384" i="27"/>
  <c r="AB384" i="27"/>
  <c r="U384" i="27"/>
  <c r="S384" i="27"/>
  <c r="P384" i="27"/>
  <c r="AK384" i="27" s="1"/>
  <c r="AM384" i="27" s="1"/>
  <c r="AH383" i="27"/>
  <c r="AB383" i="27"/>
  <c r="AK382" i="27"/>
  <c r="AI382" i="27"/>
  <c r="AH382" i="27"/>
  <c r="AB382" i="27"/>
  <c r="U382" i="27"/>
  <c r="AL381" i="27"/>
  <c r="AK381" i="27"/>
  <c r="AJ381" i="27"/>
  <c r="AI381" i="27"/>
  <c r="AH381" i="27"/>
  <c r="AF381" i="27"/>
  <c r="AB381" i="27"/>
  <c r="W381" i="27"/>
  <c r="U381" i="27"/>
  <c r="S381" i="27"/>
  <c r="P381" i="27"/>
  <c r="Q381" i="27" s="1"/>
  <c r="AB380" i="27"/>
  <c r="AH380" i="27" s="1"/>
  <c r="AI379" i="27"/>
  <c r="AB379" i="27"/>
  <c r="AH379" i="27" s="1"/>
  <c r="U379" i="27"/>
  <c r="AB378" i="27"/>
  <c r="AH378" i="27" s="1"/>
  <c r="AK377" i="27"/>
  <c r="AJ377" i="27"/>
  <c r="AL377" i="27" s="1"/>
  <c r="AI377" i="27"/>
  <c r="AF377" i="27"/>
  <c r="AG377" i="27" s="1"/>
  <c r="AB377" i="27"/>
  <c r="AH377" i="27" s="1"/>
  <c r="U377" i="27"/>
  <c r="S377" i="27"/>
  <c r="Q377" i="27"/>
  <c r="AB376" i="27"/>
  <c r="AH376" i="27" s="1"/>
  <c r="AL375" i="27"/>
  <c r="AK375" i="27"/>
  <c r="AM375" i="27" s="1"/>
  <c r="AJ375" i="27"/>
  <c r="AI375" i="27"/>
  <c r="AH375" i="27"/>
  <c r="AF375" i="27"/>
  <c r="AB375" i="27"/>
  <c r="U375" i="27"/>
  <c r="S375" i="27"/>
  <c r="AB374" i="27"/>
  <c r="AH374" i="27" s="1"/>
  <c r="AL373" i="27"/>
  <c r="AK373" i="27"/>
  <c r="AM373" i="27" s="1"/>
  <c r="AJ373" i="27"/>
  <c r="AI373" i="27"/>
  <c r="AF373" i="27"/>
  <c r="AB373" i="27"/>
  <c r="AH373" i="27" s="1"/>
  <c r="U373" i="27"/>
  <c r="AB372" i="27"/>
  <c r="AH372" i="27" s="1"/>
  <c r="AB371" i="27"/>
  <c r="AH371" i="27" s="1"/>
  <c r="AK370" i="27"/>
  <c r="AI370" i="27"/>
  <c r="AB370" i="27"/>
  <c r="AH370" i="27" s="1"/>
  <c r="U370" i="27"/>
  <c r="AB369" i="27"/>
  <c r="AH369" i="27" s="1"/>
  <c r="AB368" i="27"/>
  <c r="AH368" i="27" s="1"/>
  <c r="AL367" i="27"/>
  <c r="AK367" i="27"/>
  <c r="AJ367" i="27"/>
  <c r="AI367" i="27"/>
  <c r="AF367" i="27"/>
  <c r="AG367" i="27" s="1"/>
  <c r="AB367" i="27"/>
  <c r="AH367" i="27" s="1"/>
  <c r="U367" i="27"/>
  <c r="S367" i="27"/>
  <c r="AB366" i="27"/>
  <c r="AH366" i="27" s="1"/>
  <c r="AB365" i="27"/>
  <c r="AH365" i="27" s="1"/>
  <c r="AB364" i="27"/>
  <c r="AH364" i="27" s="1"/>
  <c r="AK363" i="27"/>
  <c r="AI363" i="27"/>
  <c r="AB363" i="27"/>
  <c r="AH363" i="27" s="1"/>
  <c r="U363" i="27"/>
  <c r="AH362" i="27"/>
  <c r="AB362" i="27"/>
  <c r="AL361" i="27"/>
  <c r="AK361" i="27"/>
  <c r="AM361" i="27" s="1"/>
  <c r="AJ361" i="27"/>
  <c r="AI361" i="27"/>
  <c r="AF361" i="27"/>
  <c r="AG361" i="27" s="1"/>
  <c r="AB361" i="27"/>
  <c r="AH361" i="27" s="1"/>
  <c r="U361" i="27"/>
  <c r="S361" i="27"/>
  <c r="P361" i="27"/>
  <c r="Q361" i="27" s="1"/>
  <c r="AB360" i="27"/>
  <c r="AH360" i="27" s="1"/>
  <c r="AB359" i="27"/>
  <c r="AH359" i="27" s="1"/>
  <c r="U359" i="27"/>
  <c r="AB358" i="27"/>
  <c r="AH358" i="27" s="1"/>
  <c r="AF357" i="27"/>
  <c r="AG357" i="27" s="1"/>
  <c r="AB357" i="27"/>
  <c r="AH357" i="27" s="1"/>
  <c r="U357" i="27"/>
  <c r="S357" i="27"/>
  <c r="Q357" i="27"/>
  <c r="P357" i="27"/>
  <c r="AA356" i="27"/>
  <c r="AB356" i="27" s="1"/>
  <c r="U355" i="27"/>
  <c r="AI354" i="27"/>
  <c r="AF354" i="27"/>
  <c r="AG354" i="27" s="1"/>
  <c r="AL354" i="27" s="1"/>
  <c r="U354" i="27"/>
  <c r="S354" i="27"/>
  <c r="P354" i="27"/>
  <c r="AK354" i="27" s="1"/>
  <c r="AB353" i="27"/>
  <c r="U353" i="27"/>
  <c r="AJ352" i="27"/>
  <c r="AL352" i="27" s="1"/>
  <c r="AF352" i="27"/>
  <c r="AB352" i="27"/>
  <c r="U352" i="27"/>
  <c r="S352" i="27"/>
  <c r="P352" i="27"/>
  <c r="AK352" i="27" s="1"/>
  <c r="AJ351" i="27"/>
  <c r="AB351" i="27"/>
  <c r="U351" i="27"/>
  <c r="P351" i="27"/>
  <c r="AB350" i="27"/>
  <c r="AB349" i="27"/>
  <c r="AH349" i="27" s="1"/>
  <c r="AB348" i="27"/>
  <c r="AH348" i="27" s="1"/>
  <c r="U348" i="27"/>
  <c r="AB347" i="27"/>
  <c r="AH347" i="27" s="1"/>
  <c r="AL346" i="27"/>
  <c r="AJ346" i="27"/>
  <c r="AF346" i="27"/>
  <c r="AG346" i="27" s="1"/>
  <c r="AB346" i="27"/>
  <c r="AH346" i="27" s="1"/>
  <c r="U346" i="27"/>
  <c r="P346" i="27"/>
  <c r="AB345" i="27"/>
  <c r="AB344" i="27"/>
  <c r="U344" i="27"/>
  <c r="AB343" i="27"/>
  <c r="AL342" i="27"/>
  <c r="AJ342" i="27"/>
  <c r="AF342" i="27"/>
  <c r="AG342" i="27" s="1"/>
  <c r="AB342" i="27"/>
  <c r="U342" i="27"/>
  <c r="S342" i="27"/>
  <c r="P342" i="27"/>
  <c r="Q342" i="27" s="1"/>
  <c r="AB341" i="27"/>
  <c r="AH341" i="27" s="1"/>
  <c r="AI340" i="27"/>
  <c r="AB340" i="27"/>
  <c r="AH340" i="27" s="1"/>
  <c r="U340" i="27"/>
  <c r="AB339" i="27"/>
  <c r="AH339" i="27" s="1"/>
  <c r="AL338" i="27"/>
  <c r="AJ338" i="27"/>
  <c r="AI338" i="27"/>
  <c r="AF338" i="27"/>
  <c r="AG338" i="27" s="1"/>
  <c r="AB338" i="27"/>
  <c r="AH338" i="27" s="1"/>
  <c r="U338" i="27"/>
  <c r="S338" i="27"/>
  <c r="P338" i="27"/>
  <c r="AK338" i="27" s="1"/>
  <c r="AB337" i="27"/>
  <c r="AB336" i="27"/>
  <c r="AB335" i="27"/>
  <c r="AB334" i="27"/>
  <c r="AB333" i="27"/>
  <c r="AB332" i="27"/>
  <c r="P330" i="27"/>
  <c r="U330" i="27" s="1"/>
  <c r="AL329" i="27"/>
  <c r="AJ329" i="27"/>
  <c r="AI329" i="27"/>
  <c r="AF329" i="27"/>
  <c r="AB329" i="27"/>
  <c r="AH329" i="27" s="1"/>
  <c r="U329" i="27"/>
  <c r="P329" i="27"/>
  <c r="AK329" i="27" s="1"/>
  <c r="AM329" i="27" s="1"/>
  <c r="Z328" i="27"/>
  <c r="Z327" i="27"/>
  <c r="AB327" i="27" s="1"/>
  <c r="AH327" i="27" s="1"/>
  <c r="AI326" i="27"/>
  <c r="AB326" i="27"/>
  <c r="AH326" i="27" s="1"/>
  <c r="U326" i="27"/>
  <c r="AB325" i="27"/>
  <c r="AH325" i="27" s="1"/>
  <c r="AB324" i="27"/>
  <c r="AH324" i="27" s="1"/>
  <c r="AI323" i="27"/>
  <c r="AF323" i="27"/>
  <c r="AB323" i="27"/>
  <c r="AH323" i="27" s="1"/>
  <c r="W323" i="27"/>
  <c r="U323" i="27"/>
  <c r="S323" i="27"/>
  <c r="AK323" i="27" s="1"/>
  <c r="P323" i="27"/>
  <c r="Q323" i="27" s="1"/>
  <c r="V322" i="27"/>
  <c r="AF321" i="27"/>
  <c r="V321" i="27"/>
  <c r="P321" i="27"/>
  <c r="V320" i="27"/>
  <c r="AF319" i="27"/>
  <c r="V319" i="27"/>
  <c r="P319" i="27"/>
  <c r="AF318" i="27"/>
  <c r="R318" i="27"/>
  <c r="P318" i="27"/>
  <c r="V317" i="27"/>
  <c r="AF316" i="27"/>
  <c r="V316" i="27"/>
  <c r="V315" i="27"/>
  <c r="AF314" i="27"/>
  <c r="V314" i="27"/>
  <c r="P314" i="27"/>
  <c r="V313" i="27"/>
  <c r="AF312" i="27"/>
  <c r="V312" i="27"/>
  <c r="V311" i="27"/>
  <c r="AF310" i="27"/>
  <c r="V310" i="27"/>
  <c r="P310" i="27"/>
  <c r="V309" i="27"/>
  <c r="AF308" i="27"/>
  <c r="V308" i="27"/>
  <c r="V307" i="27"/>
  <c r="AF306" i="27"/>
  <c r="V306" i="27"/>
  <c r="P306" i="27"/>
  <c r="V305" i="27"/>
  <c r="AF304" i="27"/>
  <c r="V304" i="27"/>
  <c r="V303" i="27"/>
  <c r="AF302" i="27"/>
  <c r="V302" i="27"/>
  <c r="P302" i="27"/>
  <c r="V301" i="27"/>
  <c r="AF300" i="27"/>
  <c r="V300" i="27"/>
  <c r="V299" i="27"/>
  <c r="AF298" i="27"/>
  <c r="V298" i="27"/>
  <c r="P298" i="27"/>
  <c r="V297" i="27"/>
  <c r="AF296" i="27"/>
  <c r="V296" i="27"/>
  <c r="AF294" i="27"/>
  <c r="V294" i="27"/>
  <c r="Q294" i="27"/>
  <c r="W294" i="27" s="1"/>
  <c r="P294" i="27"/>
  <c r="AJ293" i="27"/>
  <c r="AF293" i="27"/>
  <c r="AB293" i="27"/>
  <c r="AH293" i="27" s="1"/>
  <c r="V293" i="27"/>
  <c r="AL293" i="27" s="1"/>
  <c r="U293" i="27"/>
  <c r="S293" i="27"/>
  <c r="P293" i="27"/>
  <c r="AB292" i="27"/>
  <c r="AH292" i="27" s="1"/>
  <c r="AB291" i="27"/>
  <c r="AH291" i="27" s="1"/>
  <c r="U291" i="27"/>
  <c r="AL290" i="27"/>
  <c r="AD290" i="27"/>
  <c r="AF290" i="27" s="1"/>
  <c r="AB290" i="27"/>
  <c r="U290" i="27"/>
  <c r="S290" i="27"/>
  <c r="P290" i="27"/>
  <c r="AK290" i="27" s="1"/>
  <c r="AB289" i="27"/>
  <c r="AH289" i="27" s="1"/>
  <c r="AB288" i="27"/>
  <c r="AH288" i="27" s="1"/>
  <c r="U288" i="27"/>
  <c r="AL287" i="27"/>
  <c r="AD287" i="27"/>
  <c r="AF287" i="27" s="1"/>
  <c r="AB287" i="27"/>
  <c r="AH287" i="27" s="1"/>
  <c r="U287" i="27"/>
  <c r="S287" i="27"/>
  <c r="P287" i="27"/>
  <c r="AK287" i="27" s="1"/>
  <c r="AM287" i="27" s="1"/>
  <c r="AB286" i="27"/>
  <c r="AH286" i="27" s="1"/>
  <c r="AB285" i="27"/>
  <c r="AH285" i="27" s="1"/>
  <c r="U285" i="27"/>
  <c r="AL284" i="27"/>
  <c r="AJ284" i="27"/>
  <c r="AD284" i="27"/>
  <c r="AF284" i="27" s="1"/>
  <c r="AB284" i="27"/>
  <c r="AH284" i="27" s="1"/>
  <c r="U284" i="27"/>
  <c r="S284" i="27"/>
  <c r="P284" i="27"/>
  <c r="AK284" i="27" s="1"/>
  <c r="AB283" i="27"/>
  <c r="AH283" i="27" s="1"/>
  <c r="AB282" i="27"/>
  <c r="AH282" i="27" s="1"/>
  <c r="U282" i="27"/>
  <c r="AL281" i="27"/>
  <c r="AJ281" i="27"/>
  <c r="AF281" i="27"/>
  <c r="AB281" i="27"/>
  <c r="AH281" i="27" s="1"/>
  <c r="U281" i="27"/>
  <c r="S281" i="27"/>
  <c r="P281" i="27"/>
  <c r="AK281" i="27" s="1"/>
  <c r="AM281" i="27" s="1"/>
  <c r="AB280" i="27"/>
  <c r="AH280" i="27" s="1"/>
  <c r="AL279" i="27"/>
  <c r="AK279" i="27"/>
  <c r="AM279" i="27" s="1"/>
  <c r="AI279" i="27"/>
  <c r="AF279" i="27"/>
  <c r="AB279" i="27"/>
  <c r="AH279" i="27" s="1"/>
  <c r="U279" i="27"/>
  <c r="S279" i="27"/>
  <c r="AB278" i="27"/>
  <c r="AH278" i="27" s="1"/>
  <c r="AL277" i="27"/>
  <c r="AK277" i="27"/>
  <c r="AI277" i="27"/>
  <c r="AF277" i="27"/>
  <c r="AB277" i="27"/>
  <c r="AH277" i="27" s="1"/>
  <c r="U277" i="27"/>
  <c r="S277" i="27"/>
  <c r="AB276" i="27"/>
  <c r="AH276" i="27" s="1"/>
  <c r="AB275" i="27"/>
  <c r="AH275" i="27" s="1"/>
  <c r="AI274" i="27"/>
  <c r="AB274" i="27"/>
  <c r="AH274" i="27" s="1"/>
  <c r="U274" i="27"/>
  <c r="AB273" i="27"/>
  <c r="AH273" i="27" s="1"/>
  <c r="AB272" i="27"/>
  <c r="AH272" i="27" s="1"/>
  <c r="AB271" i="27"/>
  <c r="AH271" i="27" s="1"/>
  <c r="AL270" i="27"/>
  <c r="AK270" i="27"/>
  <c r="AM270" i="27" s="1"/>
  <c r="AI270" i="27"/>
  <c r="AF270" i="27"/>
  <c r="AB270" i="27"/>
  <c r="AH270" i="27" s="1"/>
  <c r="U270" i="27"/>
  <c r="S270" i="27"/>
  <c r="P270" i="27"/>
  <c r="AB269" i="27"/>
  <c r="AH269" i="27" s="1"/>
  <c r="AB268" i="27"/>
  <c r="AH268" i="27" s="1"/>
  <c r="AB267" i="27"/>
  <c r="AH267" i="27" s="1"/>
  <c r="AI266" i="27"/>
  <c r="AB266" i="27"/>
  <c r="AH266" i="27" s="1"/>
  <c r="U266" i="27"/>
  <c r="AB265" i="27"/>
  <c r="AH265" i="27" s="1"/>
  <c r="AB264" i="27"/>
  <c r="AH264" i="27" s="1"/>
  <c r="AL263" i="27"/>
  <c r="AK263" i="27"/>
  <c r="AM263" i="27" s="1"/>
  <c r="AI263" i="27"/>
  <c r="AF263" i="27"/>
  <c r="AB263" i="27"/>
  <c r="AH263" i="27" s="1"/>
  <c r="U263" i="27"/>
  <c r="S263" i="27"/>
  <c r="P263" i="27"/>
  <c r="AB262" i="27"/>
  <c r="AH262" i="27" s="1"/>
  <c r="AB261" i="27"/>
  <c r="AH261" i="27" s="1"/>
  <c r="AI260" i="27"/>
  <c r="AB260" i="27"/>
  <c r="AH260" i="27" s="1"/>
  <c r="U260" i="27"/>
  <c r="AB259" i="27"/>
  <c r="AH259" i="27" s="1"/>
  <c r="AB258" i="27"/>
  <c r="AH258" i="27" s="1"/>
  <c r="AB257" i="27"/>
  <c r="AH257" i="27" s="1"/>
  <c r="AL256" i="27"/>
  <c r="AI256" i="27"/>
  <c r="AF256" i="27"/>
  <c r="AB256" i="27"/>
  <c r="AH256" i="27" s="1"/>
  <c r="U256" i="27"/>
  <c r="S256" i="27"/>
  <c r="P256" i="27"/>
  <c r="AK256" i="27" s="1"/>
  <c r="AM256" i="27" s="1"/>
  <c r="AB255" i="27"/>
  <c r="AH255" i="27" s="1"/>
  <c r="AI254" i="27"/>
  <c r="AB254" i="27"/>
  <c r="AH254" i="27" s="1"/>
  <c r="U254" i="27"/>
  <c r="AB253" i="27"/>
  <c r="AH253" i="27" s="1"/>
  <c r="AB252" i="27"/>
  <c r="AH252" i="27" s="1"/>
  <c r="AL251" i="27"/>
  <c r="AJ251" i="27"/>
  <c r="AI251" i="27"/>
  <c r="AF251" i="27"/>
  <c r="AB251" i="27"/>
  <c r="AH251" i="27" s="1"/>
  <c r="W251" i="27"/>
  <c r="U251" i="27"/>
  <c r="S251" i="27"/>
  <c r="P251" i="27"/>
  <c r="AK251" i="27" s="1"/>
  <c r="AM251" i="27" s="1"/>
  <c r="AL250" i="27"/>
  <c r="AJ250" i="27"/>
  <c r="AH250" i="27"/>
  <c r="AF250" i="27"/>
  <c r="P250" i="27"/>
  <c r="AK250" i="27" s="1"/>
  <c r="AI249" i="27"/>
  <c r="AB249" i="27"/>
  <c r="AH249" i="27" s="1"/>
  <c r="AB248" i="27"/>
  <c r="AH248" i="27" s="1"/>
  <c r="AL247" i="27"/>
  <c r="AJ247" i="27"/>
  <c r="AI247" i="27"/>
  <c r="AF247" i="27"/>
  <c r="AB247" i="27"/>
  <c r="AH247" i="27" s="1"/>
  <c r="P247" i="27"/>
  <c r="AK247" i="27" s="1"/>
  <c r="AB246" i="27"/>
  <c r="AH246" i="27" s="1"/>
  <c r="AI245" i="27"/>
  <c r="AB245" i="27"/>
  <c r="AH245" i="27" s="1"/>
  <c r="AL244" i="27"/>
  <c r="AK244" i="27"/>
  <c r="AJ244" i="27"/>
  <c r="AI244" i="27"/>
  <c r="AH244" i="27"/>
  <c r="AF244" i="27"/>
  <c r="AB244" i="27"/>
  <c r="P244" i="27"/>
  <c r="AI243" i="27"/>
  <c r="AB243" i="27"/>
  <c r="AH243" i="27" s="1"/>
  <c r="AB242" i="27"/>
  <c r="AH242" i="27" s="1"/>
  <c r="AL241" i="27"/>
  <c r="AJ241" i="27"/>
  <c r="AI241" i="27"/>
  <c r="AF241" i="27"/>
  <c r="AB241" i="27"/>
  <c r="AH241" i="27" s="1"/>
  <c r="P241" i="27"/>
  <c r="AK241" i="27" s="1"/>
  <c r="AI240" i="27"/>
  <c r="AB240" i="27"/>
  <c r="AH240" i="27" s="1"/>
  <c r="AB239" i="27"/>
  <c r="AH239" i="27" s="1"/>
  <c r="AL238" i="27"/>
  <c r="AJ238" i="27"/>
  <c r="AI238" i="27"/>
  <c r="AF238" i="27"/>
  <c r="AB238" i="27"/>
  <c r="AH238" i="27" s="1"/>
  <c r="P238" i="27"/>
  <c r="AK238" i="27" s="1"/>
  <c r="AB237" i="27"/>
  <c r="AH237" i="27" s="1"/>
  <c r="AI236" i="27"/>
  <c r="AB236" i="27"/>
  <c r="AH236" i="27" s="1"/>
  <c r="AL235" i="27"/>
  <c r="AJ235" i="27"/>
  <c r="AI235" i="27"/>
  <c r="AH235" i="27"/>
  <c r="AF235" i="27"/>
  <c r="P235" i="27"/>
  <c r="AK235" i="27" s="1"/>
  <c r="AI234" i="27"/>
  <c r="AB234" i="27"/>
  <c r="AH234" i="27" s="1"/>
  <c r="AB233" i="27"/>
  <c r="AH233" i="27" s="1"/>
  <c r="AL232" i="27"/>
  <c r="AJ232" i="27"/>
  <c r="AI232" i="27"/>
  <c r="AG232" i="27"/>
  <c r="AF232" i="27"/>
  <c r="AB232" i="27"/>
  <c r="AH232" i="27" s="1"/>
  <c r="P232" i="27"/>
  <c r="AK232" i="27" s="1"/>
  <c r="AB231" i="27"/>
  <c r="AH231" i="27" s="1"/>
  <c r="AB230" i="27"/>
  <c r="AH230" i="27" s="1"/>
  <c r="P230" i="27"/>
  <c r="AK229" i="27"/>
  <c r="AM229" i="27" s="1"/>
  <c r="AJ229" i="27"/>
  <c r="AH229" i="27"/>
  <c r="AF229" i="27"/>
  <c r="AB229" i="27"/>
  <c r="P229" i="27"/>
  <c r="AL228" i="27"/>
  <c r="AK228" i="27"/>
  <c r="AJ228" i="27"/>
  <c r="AF228" i="27"/>
  <c r="AB228" i="27"/>
  <c r="AH228" i="27" s="1"/>
  <c r="P228" i="27"/>
  <c r="AB227" i="27"/>
  <c r="AH227" i="27" s="1"/>
  <c r="AI226" i="27"/>
  <c r="AB226" i="27"/>
  <c r="AH226" i="27" s="1"/>
  <c r="AB225" i="27"/>
  <c r="AH225" i="27" s="1"/>
  <c r="AL224" i="27"/>
  <c r="AK224" i="27"/>
  <c r="AJ224" i="27"/>
  <c r="AI224" i="27"/>
  <c r="AF224" i="27"/>
  <c r="AB224" i="27"/>
  <c r="AH224" i="27" s="1"/>
  <c r="P224" i="27"/>
  <c r="AB223" i="27"/>
  <c r="AH223" i="27" s="1"/>
  <c r="AI222" i="27"/>
  <c r="AB222" i="27"/>
  <c r="AH222" i="27" s="1"/>
  <c r="AB221" i="27"/>
  <c r="AH221" i="27" s="1"/>
  <c r="AL220" i="27"/>
  <c r="AK220" i="27"/>
  <c r="AJ220" i="27"/>
  <c r="AI220" i="27"/>
  <c r="AF220" i="27"/>
  <c r="AB220" i="27"/>
  <c r="AH220" i="27" s="1"/>
  <c r="P220" i="27"/>
  <c r="AB219" i="27"/>
  <c r="AH219" i="27" s="1"/>
  <c r="AI218" i="27"/>
  <c r="AB218" i="27"/>
  <c r="AH218" i="27" s="1"/>
  <c r="AH217" i="27"/>
  <c r="AB217" i="27"/>
  <c r="AL216" i="27"/>
  <c r="AK216" i="27"/>
  <c r="AJ216" i="27"/>
  <c r="AI216" i="27"/>
  <c r="AF216" i="27"/>
  <c r="AB216" i="27"/>
  <c r="AH216" i="27" s="1"/>
  <c r="P216" i="27"/>
  <c r="AB215" i="27"/>
  <c r="AH215" i="27" s="1"/>
  <c r="AI214" i="27"/>
  <c r="AB214" i="27"/>
  <c r="AH214" i="27" s="1"/>
  <c r="AH213" i="27"/>
  <c r="AB213" i="27"/>
  <c r="AL212" i="27"/>
  <c r="AK212" i="27"/>
  <c r="AM212" i="27" s="1"/>
  <c r="AJ212" i="27"/>
  <c r="AI212" i="27"/>
  <c r="AF212" i="27"/>
  <c r="AB212" i="27"/>
  <c r="AH212" i="27" s="1"/>
  <c r="P212" i="27"/>
  <c r="AB211" i="27"/>
  <c r="AH211" i="27" s="1"/>
  <c r="AI210" i="27"/>
  <c r="AB210" i="27"/>
  <c r="AH210" i="27" s="1"/>
  <c r="AH209" i="27"/>
  <c r="AB209" i="27"/>
  <c r="AL208" i="27"/>
  <c r="AK208" i="27"/>
  <c r="AM208" i="27" s="1"/>
  <c r="AJ208" i="27"/>
  <c r="AI208" i="27"/>
  <c r="AF208" i="27"/>
  <c r="AB208" i="27"/>
  <c r="AH208" i="27" s="1"/>
  <c r="P208" i="27"/>
  <c r="AB207" i="27"/>
  <c r="AH207" i="27" s="1"/>
  <c r="AI206" i="27"/>
  <c r="AB206" i="27"/>
  <c r="AH206" i="27" s="1"/>
  <c r="AB205" i="27"/>
  <c r="AH205" i="27" s="1"/>
  <c r="AL204" i="27"/>
  <c r="AK204" i="27"/>
  <c r="AJ204" i="27"/>
  <c r="AI204" i="27"/>
  <c r="AF204" i="27"/>
  <c r="AB204" i="27"/>
  <c r="AH204" i="27" s="1"/>
  <c r="P204" i="27"/>
  <c r="AB203" i="27"/>
  <c r="AH203" i="27" s="1"/>
  <c r="AI202" i="27"/>
  <c r="AB202" i="27"/>
  <c r="AH202" i="27" s="1"/>
  <c r="AB201" i="27"/>
  <c r="AH201" i="27" s="1"/>
  <c r="AL200" i="27"/>
  <c r="AK200" i="27"/>
  <c r="AJ200" i="27"/>
  <c r="AI200" i="27"/>
  <c r="AF200" i="27"/>
  <c r="AB200" i="27"/>
  <c r="AH200" i="27" s="1"/>
  <c r="W200" i="27"/>
  <c r="P200" i="27"/>
  <c r="Q200" i="27" s="1"/>
  <c r="AL199" i="27"/>
  <c r="AJ199" i="27"/>
  <c r="AF199" i="27"/>
  <c r="P199" i="27"/>
  <c r="AK199" i="27" s="1"/>
  <c r="U198" i="27"/>
  <c r="AJ197" i="27"/>
  <c r="AL197" i="27" s="1"/>
  <c r="AF197" i="27"/>
  <c r="AB197" i="27"/>
  <c r="U197" i="27"/>
  <c r="P197" i="27"/>
  <c r="AK197" i="27" s="1"/>
  <c r="U196" i="27"/>
  <c r="AJ195" i="27"/>
  <c r="AL195" i="27" s="1"/>
  <c r="AF195" i="27"/>
  <c r="AB195" i="27"/>
  <c r="U195" i="27"/>
  <c r="P195" i="27"/>
  <c r="AK195" i="27" s="1"/>
  <c r="AM195" i="27" s="1"/>
  <c r="U194" i="27"/>
  <c r="AJ193" i="27"/>
  <c r="AL193" i="27" s="1"/>
  <c r="AF193" i="27"/>
  <c r="AB193" i="27"/>
  <c r="W193" i="27"/>
  <c r="U193" i="27"/>
  <c r="P193" i="27"/>
  <c r="AF192" i="27"/>
  <c r="V192" i="27"/>
  <c r="AL192" i="27" s="1"/>
  <c r="P192" i="27"/>
  <c r="AF191" i="27"/>
  <c r="AB191" i="27"/>
  <c r="V191" i="27"/>
  <c r="AL191" i="27" s="1"/>
  <c r="P191" i="27"/>
  <c r="AB190" i="27"/>
  <c r="AB189" i="27"/>
  <c r="AB188" i="27"/>
  <c r="AB187" i="27"/>
  <c r="V187" i="27"/>
  <c r="AB186" i="27"/>
  <c r="AB185" i="27"/>
  <c r="AJ183" i="27"/>
  <c r="AF183" i="27"/>
  <c r="AB183" i="27"/>
  <c r="V183" i="27"/>
  <c r="P183" i="27"/>
  <c r="AB182" i="27"/>
  <c r="AB181" i="27"/>
  <c r="AB180" i="27"/>
  <c r="AB179" i="27"/>
  <c r="V179" i="27"/>
  <c r="AB178" i="27"/>
  <c r="AB177" i="27"/>
  <c r="AJ175" i="27"/>
  <c r="AF175" i="27"/>
  <c r="AB175" i="27"/>
  <c r="V175" i="27"/>
  <c r="P175" i="27"/>
  <c r="AB174" i="27"/>
  <c r="AB173" i="27"/>
  <c r="AB172" i="27"/>
  <c r="AB171" i="27"/>
  <c r="V171" i="27"/>
  <c r="AB170" i="27"/>
  <c r="AB169" i="27"/>
  <c r="AJ167" i="27"/>
  <c r="AF167" i="27"/>
  <c r="AB167" i="27"/>
  <c r="V167" i="27"/>
  <c r="W167" i="27" s="1"/>
  <c r="P167" i="27"/>
  <c r="AL166" i="27"/>
  <c r="AK166" i="27"/>
  <c r="AF166" i="27"/>
  <c r="AB166" i="27"/>
  <c r="AL165" i="27"/>
  <c r="AK165" i="27"/>
  <c r="AF165" i="27"/>
  <c r="AB163" i="27"/>
  <c r="AI161" i="27"/>
  <c r="AB161" i="27"/>
  <c r="AB159" i="27"/>
  <c r="AL157" i="27"/>
  <c r="AK157" i="27"/>
  <c r="AJ157" i="27"/>
  <c r="AI157" i="27"/>
  <c r="AF157" i="27"/>
  <c r="AB157" i="27"/>
  <c r="W157" i="27"/>
  <c r="Q157" i="27"/>
  <c r="AL156" i="27"/>
  <c r="AK156" i="27"/>
  <c r="AM156" i="27" s="1"/>
  <c r="AF156" i="27"/>
  <c r="AB156" i="27"/>
  <c r="AL154" i="27"/>
  <c r="AK154" i="27"/>
  <c r="AB154" i="27"/>
  <c r="AL152" i="27"/>
  <c r="AK152" i="27"/>
  <c r="AJ152" i="27"/>
  <c r="AF152" i="27"/>
  <c r="AG152" i="27" s="1"/>
  <c r="W152" i="27"/>
  <c r="Q152" i="27"/>
  <c r="AL151" i="27"/>
  <c r="AJ151" i="27"/>
  <c r="AF151" i="27"/>
  <c r="AB151" i="27"/>
  <c r="AH151" i="27" s="1"/>
  <c r="U151" i="27"/>
  <c r="P151" i="27"/>
  <c r="AK151" i="27" s="1"/>
  <c r="AM151" i="27" s="1"/>
  <c r="AB150" i="27"/>
  <c r="AH150" i="27" s="1"/>
  <c r="AI149" i="27"/>
  <c r="AB149" i="27"/>
  <c r="AH149" i="27" s="1"/>
  <c r="U149" i="27"/>
  <c r="Z148" i="27"/>
  <c r="AB148" i="27" s="1"/>
  <c r="AH148" i="27" s="1"/>
  <c r="AK147" i="27"/>
  <c r="AI147" i="27"/>
  <c r="AF147" i="27"/>
  <c r="AB147" i="27"/>
  <c r="AH147" i="27" s="1"/>
  <c r="U147" i="27"/>
  <c r="S147" i="27"/>
  <c r="AB146" i="27"/>
  <c r="AH146" i="27" s="1"/>
  <c r="Z146" i="27"/>
  <c r="Z145" i="27"/>
  <c r="AB145" i="27" s="1"/>
  <c r="AH145" i="27" s="1"/>
  <c r="AB144" i="27"/>
  <c r="AH144" i="27" s="1"/>
  <c r="AI143" i="27"/>
  <c r="AB143" i="27"/>
  <c r="AH143" i="27" s="1"/>
  <c r="U143" i="27"/>
  <c r="AB142" i="27"/>
  <c r="AH142" i="27" s="1"/>
  <c r="AB141" i="27"/>
  <c r="AH141" i="27" s="1"/>
  <c r="AB140" i="27"/>
  <c r="AH140" i="27" s="1"/>
  <c r="AK139" i="27"/>
  <c r="AJ139" i="27"/>
  <c r="AI139" i="27"/>
  <c r="AF139" i="27"/>
  <c r="AB139" i="27"/>
  <c r="AH139" i="27" s="1"/>
  <c r="U139" i="27"/>
  <c r="S139" i="27"/>
  <c r="AI138" i="27"/>
  <c r="AB138" i="27"/>
  <c r="AH138" i="27" s="1"/>
  <c r="U138" i="27"/>
  <c r="AB137" i="27"/>
  <c r="AH137" i="27" s="1"/>
  <c r="AB136" i="27"/>
  <c r="AH136" i="27" s="1"/>
  <c r="AL135" i="27"/>
  <c r="AK135" i="27"/>
  <c r="AI135" i="27"/>
  <c r="AF135" i="27"/>
  <c r="AB135" i="27"/>
  <c r="AH135" i="27" s="1"/>
  <c r="U135" i="27"/>
  <c r="AI134" i="27"/>
  <c r="Z134" i="27"/>
  <c r="AB134" i="27" s="1"/>
  <c r="AH134" i="27" s="1"/>
  <c r="U134" i="27"/>
  <c r="Z133" i="27"/>
  <c r="AB133" i="27" s="1"/>
  <c r="AH133" i="27" s="1"/>
  <c r="AB132" i="27"/>
  <c r="AH132" i="27" s="1"/>
  <c r="AK131" i="27"/>
  <c r="AI131" i="27"/>
  <c r="AF131" i="27"/>
  <c r="AB131" i="27"/>
  <c r="AH131" i="27" s="1"/>
  <c r="U131" i="27"/>
  <c r="AI130" i="27"/>
  <c r="AB130" i="27"/>
  <c r="AH130" i="27" s="1"/>
  <c r="U130" i="27"/>
  <c r="AB129" i="27"/>
  <c r="AH129" i="27" s="1"/>
  <c r="AB128" i="27"/>
  <c r="AH128" i="27" s="1"/>
  <c r="AL127" i="27"/>
  <c r="AK127" i="27"/>
  <c r="AI127" i="27"/>
  <c r="AF127" i="27"/>
  <c r="AB127" i="27"/>
  <c r="AH127" i="27" s="1"/>
  <c r="U127" i="27"/>
  <c r="AI126" i="27"/>
  <c r="AB126" i="27"/>
  <c r="AH126" i="27" s="1"/>
  <c r="U126" i="27"/>
  <c r="AB125" i="27"/>
  <c r="AH125" i="27" s="1"/>
  <c r="AB124" i="27"/>
  <c r="AH124" i="27" s="1"/>
  <c r="AL123" i="27"/>
  <c r="AK123" i="27"/>
  <c r="AI123" i="27"/>
  <c r="AF123" i="27"/>
  <c r="AB123" i="27"/>
  <c r="AH123" i="27" s="1"/>
  <c r="U123" i="27"/>
  <c r="AB122" i="27"/>
  <c r="AH122" i="27" s="1"/>
  <c r="V122" i="27"/>
  <c r="AI122" i="27" s="1"/>
  <c r="U122" i="27"/>
  <c r="Z121" i="27"/>
  <c r="AB121" i="27" s="1"/>
  <c r="AH121" i="27" s="1"/>
  <c r="AI120" i="27"/>
  <c r="AF120" i="27"/>
  <c r="AB120" i="27"/>
  <c r="AH120" i="27" s="1"/>
  <c r="U120" i="27"/>
  <c r="AI119" i="27"/>
  <c r="AB119" i="27"/>
  <c r="AH119" i="27" s="1"/>
  <c r="U119" i="27"/>
  <c r="AB118" i="27"/>
  <c r="AH118" i="27" s="1"/>
  <c r="AB117" i="27"/>
  <c r="AH117" i="27" s="1"/>
  <c r="AL116" i="27"/>
  <c r="AK116" i="27"/>
  <c r="AI116" i="27"/>
  <c r="AF116" i="27"/>
  <c r="AB116" i="27"/>
  <c r="AH116" i="27" s="1"/>
  <c r="W116" i="27"/>
  <c r="U116" i="27"/>
  <c r="Q116" i="27"/>
  <c r="AL115" i="27"/>
  <c r="AK115" i="27"/>
  <c r="AF115" i="27"/>
  <c r="AK113" i="27"/>
  <c r="AI113" i="27"/>
  <c r="AB113" i="27"/>
  <c r="AK111" i="27"/>
  <c r="AM111" i="27" s="1"/>
  <c r="AJ111" i="27"/>
  <c r="AL113" i="27" s="1"/>
  <c r="AI111" i="27"/>
  <c r="AF111" i="27"/>
  <c r="AG111" i="27" s="1"/>
  <c r="W111" i="27"/>
  <c r="Q111" i="27"/>
  <c r="AB109" i="27"/>
  <c r="AI107" i="27"/>
  <c r="AB107" i="27"/>
  <c r="AB105" i="27"/>
  <c r="AL103" i="27"/>
  <c r="AK103" i="27"/>
  <c r="AJ103" i="27"/>
  <c r="AI103" i="27"/>
  <c r="AF103" i="27"/>
  <c r="AG103" i="27" s="1"/>
  <c r="AA103" i="27"/>
  <c r="Q103" i="27"/>
  <c r="AL101" i="27"/>
  <c r="AK101" i="27"/>
  <c r="AM101" i="27" s="1"/>
  <c r="AI101" i="27"/>
  <c r="AF101" i="27"/>
  <c r="AI99" i="27"/>
  <c r="AB97" i="27"/>
  <c r="AI96" i="27"/>
  <c r="AF96" i="27"/>
  <c r="AB96" i="27"/>
  <c r="V96" i="27"/>
  <c r="AK96" i="27" s="1"/>
  <c r="AI94" i="27"/>
  <c r="AB92" i="27"/>
  <c r="AJ91" i="27"/>
  <c r="AK94" i="27" s="1"/>
  <c r="AI91" i="27"/>
  <c r="AF91" i="27"/>
  <c r="AG91" i="27" s="1"/>
  <c r="AB91" i="27"/>
  <c r="V91" i="27"/>
  <c r="W91" i="27" s="1"/>
  <c r="Q91" i="27"/>
  <c r="AK90" i="27"/>
  <c r="AI90" i="27"/>
  <c r="AH90" i="27"/>
  <c r="AB90" i="27"/>
  <c r="U90" i="27"/>
  <c r="AB89" i="27"/>
  <c r="AH89" i="27" s="1"/>
  <c r="AB88" i="27"/>
  <c r="AL87" i="27"/>
  <c r="AK87" i="27"/>
  <c r="AJ87" i="27"/>
  <c r="AI87" i="27"/>
  <c r="AH87" i="27"/>
  <c r="AF87" i="27"/>
  <c r="AB87" i="27"/>
  <c r="U87" i="27"/>
  <c r="S87" i="27"/>
  <c r="P87" i="27"/>
  <c r="AI86" i="27"/>
  <c r="AB86" i="27"/>
  <c r="AH86" i="27" s="1"/>
  <c r="U86" i="27"/>
  <c r="AB85" i="27"/>
  <c r="AH85" i="27" s="1"/>
  <c r="AB84" i="27"/>
  <c r="AL83" i="27"/>
  <c r="AJ83" i="27"/>
  <c r="AI83" i="27"/>
  <c r="AH83" i="27"/>
  <c r="AF83" i="27"/>
  <c r="AB83" i="27"/>
  <c r="U83" i="27"/>
  <c r="S83" i="27"/>
  <c r="P83" i="27"/>
  <c r="AK83" i="27" s="1"/>
  <c r="AM83" i="27" s="1"/>
  <c r="AI82" i="27"/>
  <c r="AB82" i="27"/>
  <c r="AH82" i="27" s="1"/>
  <c r="U82" i="27"/>
  <c r="AH81" i="27"/>
  <c r="AB81" i="27"/>
  <c r="AB80" i="27"/>
  <c r="AH79" i="27" s="1"/>
  <c r="AL79" i="27"/>
  <c r="AJ79" i="27"/>
  <c r="AI79" i="27"/>
  <c r="AF79" i="27"/>
  <c r="AG79" i="27" s="1"/>
  <c r="AB79" i="27"/>
  <c r="U79" i="27"/>
  <c r="S79" i="27"/>
  <c r="P79" i="27"/>
  <c r="AK79" i="27" s="1"/>
  <c r="AM79" i="27" s="1"/>
  <c r="AK77" i="27"/>
  <c r="AJ77" i="27"/>
  <c r="AL77" i="27" s="1"/>
  <c r="AF77" i="27"/>
  <c r="AG77" i="27" s="1"/>
  <c r="Q77" i="27"/>
  <c r="AL75" i="27"/>
  <c r="AK75" i="27"/>
  <c r="AM75" i="27" s="1"/>
  <c r="AF75" i="27"/>
  <c r="AG72" i="27" s="1"/>
  <c r="AB73" i="27"/>
  <c r="AL72" i="27"/>
  <c r="AK72" i="27"/>
  <c r="AM72" i="27" s="1"/>
  <c r="AJ72" i="27"/>
  <c r="AF72" i="27"/>
  <c r="AB72" i="27"/>
  <c r="W72" i="27"/>
  <c r="Q72" i="27"/>
  <c r="AK71" i="27"/>
  <c r="AJ71" i="27"/>
  <c r="AL71" i="27" s="1"/>
  <c r="AF71" i="27"/>
  <c r="AG71" i="27" s="1"/>
  <c r="Q71" i="27"/>
  <c r="AB70" i="27"/>
  <c r="AK69" i="27"/>
  <c r="AJ69" i="27"/>
  <c r="AL69" i="27" s="1"/>
  <c r="AF69" i="27"/>
  <c r="AG69" i="27" s="1"/>
  <c r="AB69" i="27"/>
  <c r="Q69" i="27"/>
  <c r="AB68" i="27"/>
  <c r="AL67" i="27"/>
  <c r="AK67" i="27"/>
  <c r="AM67" i="27" s="1"/>
  <c r="AJ67" i="27"/>
  <c r="AI67" i="27"/>
  <c r="AF67" i="27"/>
  <c r="AG67" i="27" s="1"/>
  <c r="AB67" i="27"/>
  <c r="AH67" i="27" s="1"/>
  <c r="U67" i="27"/>
  <c r="AL66" i="27"/>
  <c r="AK66" i="27"/>
  <c r="AJ66" i="27"/>
  <c r="AF66" i="27"/>
  <c r="AB66" i="27"/>
  <c r="AH66" i="27" s="1"/>
  <c r="U66" i="27"/>
  <c r="AB65" i="27"/>
  <c r="AH65" i="27" s="1"/>
  <c r="AB64" i="27"/>
  <c r="AH64" i="27" s="1"/>
  <c r="AL63" i="27"/>
  <c r="AK63" i="27"/>
  <c r="AJ63" i="27"/>
  <c r="AH63" i="27"/>
  <c r="AF63" i="27"/>
  <c r="AB63" i="27"/>
  <c r="W63" i="27"/>
  <c r="U63" i="27"/>
  <c r="Q63" i="27"/>
  <c r="AB62" i="27"/>
  <c r="AH62" i="27" s="1"/>
  <c r="AB61" i="27"/>
  <c r="AH61" i="27" s="1"/>
  <c r="AF60" i="27"/>
  <c r="AB60" i="27"/>
  <c r="AH60" i="27" s="1"/>
  <c r="U60" i="27"/>
  <c r="AH59" i="27"/>
  <c r="AB58" i="27"/>
  <c r="AH58" i="27" s="1"/>
  <c r="AB57" i="27"/>
  <c r="AH57" i="27" s="1"/>
  <c r="AG56" i="27"/>
  <c r="AF56" i="27"/>
  <c r="AB56" i="27"/>
  <c r="AH56" i="27" s="1"/>
  <c r="U56" i="27"/>
  <c r="Q56" i="27"/>
  <c r="AB55" i="27"/>
  <c r="AB54" i="27"/>
  <c r="AL53" i="27"/>
  <c r="AK53" i="27"/>
  <c r="AJ53" i="27"/>
  <c r="AF53" i="27"/>
  <c r="AG53" i="27" s="1"/>
  <c r="AB53" i="27"/>
  <c r="Q53" i="27"/>
  <c r="Z52" i="27"/>
  <c r="AL51" i="27" s="1"/>
  <c r="AM51" i="27" s="1"/>
  <c r="AK51" i="27"/>
  <c r="AF51" i="27"/>
  <c r="AG51" i="27" s="1"/>
  <c r="AB51" i="27"/>
  <c r="Q51" i="27"/>
  <c r="AL50" i="27"/>
  <c r="AK50" i="27"/>
  <c r="AM50" i="27" s="1"/>
  <c r="AF50" i="27"/>
  <c r="AB49" i="27"/>
  <c r="AK48" i="27"/>
  <c r="AJ48" i="27"/>
  <c r="AL48" i="27" s="1"/>
  <c r="AF48" i="27"/>
  <c r="AG48" i="27" s="1"/>
  <c r="AB48" i="27"/>
  <c r="W48" i="27"/>
  <c r="Q48" i="27"/>
  <c r="AB47" i="27"/>
  <c r="AB46" i="27"/>
  <c r="AB45" i="27"/>
  <c r="AL44" i="27"/>
  <c r="AK44" i="27"/>
  <c r="AJ44" i="27"/>
  <c r="AF44" i="27"/>
  <c r="AG44" i="27" s="1"/>
  <c r="AA44" i="27"/>
  <c r="AB44" i="27" s="1"/>
  <c r="Q44" i="27"/>
  <c r="AK43" i="27"/>
  <c r="AJ43" i="27"/>
  <c r="AL43" i="27" s="1"/>
  <c r="Q43" i="27"/>
  <c r="AH42" i="27"/>
  <c r="AF41" i="27"/>
  <c r="AB41" i="27"/>
  <c r="AH41" i="27" s="1"/>
  <c r="U41" i="27"/>
  <c r="AB40" i="27"/>
  <c r="AH40" i="27" s="1"/>
  <c r="AB39" i="27"/>
  <c r="AH39" i="27" s="1"/>
  <c r="AB38" i="27"/>
  <c r="AH38" i="27" s="1"/>
  <c r="AG37" i="27"/>
  <c r="AF37" i="27"/>
  <c r="AB37" i="27"/>
  <c r="AH37" i="27" s="1"/>
  <c r="U37" i="27"/>
  <c r="Q37" i="27"/>
  <c r="AB36" i="27"/>
  <c r="AH36" i="27" s="1"/>
  <c r="AH35" i="27"/>
  <c r="AB35" i="27"/>
  <c r="AB34" i="27"/>
  <c r="AH34" i="27" s="1"/>
  <c r="AK33" i="27"/>
  <c r="AJ33" i="27"/>
  <c r="AL33" i="27" s="1"/>
  <c r="AI33" i="27"/>
  <c r="AF33" i="27"/>
  <c r="AG33" i="27" s="1"/>
  <c r="AB33" i="27"/>
  <c r="AH33" i="27" s="1"/>
  <c r="U33" i="27"/>
  <c r="Q33" i="27"/>
  <c r="AB32" i="27"/>
  <c r="AH32" i="27" s="1"/>
  <c r="AH31" i="27"/>
  <c r="AB31" i="27"/>
  <c r="AB30" i="27"/>
  <c r="AH30" i="27" s="1"/>
  <c r="AL29" i="27"/>
  <c r="AK29" i="27"/>
  <c r="AJ29" i="27"/>
  <c r="AI29" i="27"/>
  <c r="AH29" i="27"/>
  <c r="AF29" i="27"/>
  <c r="AG29" i="27" s="1"/>
  <c r="AB29" i="27"/>
  <c r="U29" i="27"/>
  <c r="Q29" i="27"/>
  <c r="AL28" i="27"/>
  <c r="AK28" i="27"/>
  <c r="AF28" i="27"/>
  <c r="AB28" i="27"/>
  <c r="AB27" i="27"/>
  <c r="AB26" i="27"/>
  <c r="AL25" i="27"/>
  <c r="AK25" i="27"/>
  <c r="AJ25" i="27"/>
  <c r="AF25" i="27"/>
  <c r="AB25" i="27"/>
  <c r="W25" i="27"/>
  <c r="Q25" i="27"/>
  <c r="AL24" i="27"/>
  <c r="AK24" i="27"/>
  <c r="AF24" i="27"/>
  <c r="AB24" i="27"/>
  <c r="AB23" i="27"/>
  <c r="AL22" i="27"/>
  <c r="AK22" i="27"/>
  <c r="AM22" i="27" s="1"/>
  <c r="AJ22" i="27"/>
  <c r="AF22" i="27"/>
  <c r="AG22" i="27" s="1"/>
  <c r="AA22" i="27"/>
  <c r="AB22" i="27" s="1"/>
  <c r="W22" i="27"/>
  <c r="Q22" i="27"/>
  <c r="AB21" i="27"/>
  <c r="AD21" i="27" s="1"/>
  <c r="AL21" i="27" s="1"/>
  <c r="V21" i="27"/>
  <c r="O21" i="27"/>
  <c r="U21" i="27" s="1"/>
  <c r="AA20" i="27"/>
  <c r="AB20" i="27" s="1"/>
  <c r="AB19" i="27"/>
  <c r="AB18" i="27"/>
  <c r="AD18" i="27" s="1"/>
  <c r="V18" i="27"/>
  <c r="W18" i="27" s="1"/>
  <c r="U18" i="27"/>
  <c r="Q18" i="27"/>
  <c r="O18" i="27"/>
  <c r="AK17" i="27"/>
  <c r="AM17" i="27" s="1"/>
  <c r="AB17" i="27"/>
  <c r="U17" i="27"/>
  <c r="AL16" i="27"/>
  <c r="AK16" i="27"/>
  <c r="AF16" i="27"/>
  <c r="AB16" i="27"/>
  <c r="AD15" i="27"/>
  <c r="AB15" i="27"/>
  <c r="AL14" i="27"/>
  <c r="AK14" i="27"/>
  <c r="AB14" i="27"/>
  <c r="AD14" i="27" s="1"/>
  <c r="W14" i="27"/>
  <c r="Q14" i="27"/>
  <c r="AB13" i="27"/>
  <c r="AL12" i="27"/>
  <c r="AK12" i="27"/>
  <c r="AF12" i="27"/>
  <c r="AB12" i="27"/>
  <c r="AB11" i="27"/>
  <c r="AB10" i="27"/>
  <c r="AL9" i="27"/>
  <c r="AK9" i="27"/>
  <c r="AJ9" i="27"/>
  <c r="AG9" i="27"/>
  <c r="AF9" i="27"/>
  <c r="AB9" i="27"/>
  <c r="W9" i="27"/>
  <c r="Q9" i="27"/>
  <c r="AB8" i="27"/>
  <c r="AD8" i="27" s="1"/>
  <c r="AL7" i="27"/>
  <c r="AK7" i="27"/>
  <c r="AM7" i="27" s="1"/>
  <c r="AB7" i="27"/>
  <c r="AB6" i="27"/>
  <c r="AB5" i="27"/>
  <c r="AB4" i="27"/>
  <c r="AL3" i="27"/>
  <c r="AK3" i="27"/>
  <c r="AF3" i="27"/>
  <c r="AH3" i="27" s="1"/>
  <c r="AB3" i="27"/>
  <c r="W3" i="27"/>
  <c r="Q3" i="27"/>
  <c r="AI151" i="27" l="1"/>
  <c r="AM116" i="27"/>
  <c r="AM123" i="27"/>
  <c r="AG421" i="27"/>
  <c r="AL491" i="27"/>
  <c r="AK948" i="27"/>
  <c r="Q948" i="27"/>
  <c r="W1515" i="27"/>
  <c r="AK1521" i="27"/>
  <c r="AK293" i="27"/>
  <c r="AM293" i="27" s="1"/>
  <c r="AM445" i="27"/>
  <c r="AM43" i="27"/>
  <c r="AM71" i="27"/>
  <c r="Q139" i="27"/>
  <c r="AM166" i="27"/>
  <c r="Q193" i="27"/>
  <c r="U199" i="27"/>
  <c r="AG200" i="27"/>
  <c r="AG251" i="27"/>
  <c r="AJ287" i="27"/>
  <c r="AG386" i="27"/>
  <c r="AM408" i="27"/>
  <c r="AM416" i="27"/>
  <c r="Q426" i="27"/>
  <c r="AM459" i="27"/>
  <c r="AG466" i="27"/>
  <c r="Q483" i="27"/>
  <c r="AM516" i="27"/>
  <c r="AI528" i="27"/>
  <c r="AK602" i="27"/>
  <c r="Q602" i="27"/>
  <c r="AD826" i="27"/>
  <c r="AH826" i="27" s="1"/>
  <c r="AM992" i="27"/>
  <c r="AM69" i="27"/>
  <c r="AM115" i="27"/>
  <c r="AL131" i="27"/>
  <c r="AM3" i="27"/>
  <c r="AM44" i="27"/>
  <c r="AG63" i="27"/>
  <c r="AM66" i="27"/>
  <c r="AM103" i="27"/>
  <c r="AM135" i="27"/>
  <c r="AL139" i="27"/>
  <c r="AM152" i="27"/>
  <c r="AG157" i="27"/>
  <c r="AL167" i="27"/>
  <c r="AK175" i="27"/>
  <c r="AL183" i="27"/>
  <c r="AK191" i="27"/>
  <c r="AK192" i="27"/>
  <c r="AM277" i="27"/>
  <c r="W281" i="27"/>
  <c r="AM284" i="27"/>
  <c r="AM338" i="27"/>
  <c r="AM354" i="27"/>
  <c r="AJ402" i="27"/>
  <c r="AG440" i="27"/>
  <c r="AM447" i="27"/>
  <c r="AJ451" i="27"/>
  <c r="AF481" i="27"/>
  <c r="AG475" i="27" s="1"/>
  <c r="AH482" i="27"/>
  <c r="AI524" i="27"/>
  <c r="AM531" i="27"/>
  <c r="Q552" i="27"/>
  <c r="W594" i="27"/>
  <c r="AL597" i="27"/>
  <c r="AK654" i="27"/>
  <c r="AM654" i="27" s="1"/>
  <c r="Q654" i="27"/>
  <c r="AM723" i="27"/>
  <c r="AG552" i="27"/>
  <c r="AK569" i="27"/>
  <c r="AM569" i="27" s="1"/>
  <c r="Q569" i="27"/>
  <c r="AM907" i="27"/>
  <c r="AM589" i="27"/>
  <c r="AG589" i="27"/>
  <c r="AM702" i="27"/>
  <c r="AM727" i="27"/>
  <c r="AG749" i="27"/>
  <c r="AK817" i="27"/>
  <c r="AM817" i="27" s="1"/>
  <c r="Q880" i="27"/>
  <c r="Q969" i="27"/>
  <c r="AM987" i="27"/>
  <c r="AM1017" i="27"/>
  <c r="AM1050" i="27"/>
  <c r="AM1524" i="27"/>
  <c r="AT1524" i="27" s="1"/>
  <c r="AM1541" i="27"/>
  <c r="AM1566" i="27"/>
  <c r="AM1572" i="27"/>
  <c r="AG1585" i="27"/>
  <c r="AK597" i="27"/>
  <c r="AM687" i="27"/>
  <c r="AG733" i="27"/>
  <c r="AG1050" i="27"/>
  <c r="AM1087" i="27"/>
  <c r="AG1232" i="27"/>
  <c r="AK1306" i="27"/>
  <c r="AG1465" i="27"/>
  <c r="AG1515" i="27"/>
  <c r="Q871" i="27"/>
  <c r="Q942" i="27"/>
  <c r="AG953" i="27"/>
  <c r="AM981" i="27"/>
  <c r="Q1020" i="27"/>
  <c r="AM1049" i="27"/>
  <c r="AG1087" i="27"/>
  <c r="AL1501" i="27"/>
  <c r="AM1532" i="27"/>
  <c r="AM1582" i="27"/>
  <c r="AJ18" i="27"/>
  <c r="AL18" i="27"/>
  <c r="AF539" i="27"/>
  <c r="AF548" i="27"/>
  <c r="AK623" i="27"/>
  <c r="AM623" i="27" s="1"/>
  <c r="Q623" i="27"/>
  <c r="AK885" i="27"/>
  <c r="Q885" i="27"/>
  <c r="AH17" i="27"/>
  <c r="AD17" i="27"/>
  <c r="AF17" i="27" s="1"/>
  <c r="AG17" i="27" s="1"/>
  <c r="AH290" i="27"/>
  <c r="Q354" i="27"/>
  <c r="Q416" i="27"/>
  <c r="AL451" i="27"/>
  <c r="AM9" i="27"/>
  <c r="AG25" i="27"/>
  <c r="AM28" i="27"/>
  <c r="AM63" i="27"/>
  <c r="AK167" i="27"/>
  <c r="AM220" i="27"/>
  <c r="AJ290" i="27"/>
  <c r="Q391" i="27"/>
  <c r="AG516" i="27"/>
  <c r="Q983" i="27"/>
  <c r="AM983" i="27"/>
  <c r="AI1529" i="27"/>
  <c r="AG1524" i="27"/>
  <c r="AG694" i="27"/>
  <c r="AI694" i="27"/>
  <c r="AB52" i="27"/>
  <c r="AG116" i="27"/>
  <c r="AM139" i="27"/>
  <c r="AM25" i="27"/>
  <c r="AJ51" i="27"/>
  <c r="Q79" i="27"/>
  <c r="AM127" i="27"/>
  <c r="AM165" i="27"/>
  <c r="AL175" i="27"/>
  <c r="AM290" i="27"/>
  <c r="W395" i="27"/>
  <c r="Q447" i="27"/>
  <c r="AM491" i="27"/>
  <c r="AM524" i="27"/>
  <c r="AG569" i="27"/>
  <c r="Q589" i="27"/>
  <c r="Q671" i="27"/>
  <c r="AM755" i="27"/>
  <c r="AM12" i="27"/>
  <c r="Q167" i="27"/>
  <c r="AM16" i="27"/>
  <c r="AM24" i="27"/>
  <c r="AJ147" i="27"/>
  <c r="AM157" i="27"/>
  <c r="AK183" i="27"/>
  <c r="AM204" i="27"/>
  <c r="AM216" i="27"/>
  <c r="AG381" i="27"/>
  <c r="AM466" i="27"/>
  <c r="AK552" i="27"/>
  <c r="AM705" i="27"/>
  <c r="AG727" i="27"/>
  <c r="AM1538" i="27"/>
  <c r="AG323" i="27"/>
  <c r="AG14" i="27"/>
  <c r="AM113" i="27"/>
  <c r="AJ116" i="27"/>
  <c r="AL120" i="27" s="1"/>
  <c r="Q251" i="27"/>
  <c r="AG281" i="27"/>
  <c r="AM367" i="27"/>
  <c r="AG451" i="27"/>
  <c r="Q466" i="27"/>
  <c r="AM836" i="27"/>
  <c r="AK1614" i="27"/>
  <c r="U1614" i="27"/>
  <c r="AM131" i="27"/>
  <c r="AG193" i="27"/>
  <c r="AM14" i="27"/>
  <c r="AM53" i="27"/>
  <c r="AG139" i="27"/>
  <c r="AL147" i="27"/>
  <c r="AM147" i="27" s="1"/>
  <c r="AM154" i="27"/>
  <c r="AG167" i="27"/>
  <c r="AM200" i="27"/>
  <c r="AM224" i="27"/>
  <c r="AM381" i="27"/>
  <c r="AM436" i="27"/>
  <c r="W539" i="27"/>
  <c r="AL539" i="27" s="1"/>
  <c r="AM539" i="27" s="1"/>
  <c r="AH654" i="27"/>
  <c r="AD654" i="27"/>
  <c r="AM885" i="27"/>
  <c r="AG609" i="27"/>
  <c r="AM649" i="27"/>
  <c r="AG665" i="27"/>
  <c r="AK815" i="27"/>
  <c r="AM815" i="27" s="1"/>
  <c r="AM824" i="27"/>
  <c r="AG850" i="27"/>
  <c r="W1055" i="27"/>
  <c r="AM1097" i="27"/>
  <c r="Q1429" i="27"/>
  <c r="AS1575" i="27"/>
  <c r="AS1576" i="27" s="1"/>
  <c r="AM1543" i="27"/>
  <c r="AM1545" i="27"/>
  <c r="AI685" i="27"/>
  <c r="AM707" i="27"/>
  <c r="AG708" i="27"/>
  <c r="AM743" i="27"/>
  <c r="AM805" i="27"/>
  <c r="Q888" i="27"/>
  <c r="AG989" i="27"/>
  <c r="AG992" i="27"/>
  <c r="AG1025" i="27"/>
  <c r="AM1133" i="27"/>
  <c r="AG1135" i="27"/>
  <c r="AM1548" i="27"/>
  <c r="AM1551" i="27"/>
  <c r="AM1560" i="27"/>
  <c r="AM1569" i="27"/>
  <c r="AB1641" i="27"/>
  <c r="AG628" i="27"/>
  <c r="AM708" i="27"/>
  <c r="AM733" i="27"/>
  <c r="AM827" i="27"/>
  <c r="AG942" i="27"/>
  <c r="AG1112" i="27"/>
  <c r="AM1174" i="27"/>
  <c r="AM1208" i="27"/>
  <c r="AB1309" i="27"/>
  <c r="AH1309" i="27" s="1"/>
  <c r="AL1318" i="27"/>
  <c r="AL1588" i="27"/>
  <c r="AG1591" i="27"/>
  <c r="AG687" i="27"/>
  <c r="AM765" i="27"/>
  <c r="AM785" i="27"/>
  <c r="AM909" i="27"/>
  <c r="Q953" i="27"/>
  <c r="AM1002" i="27"/>
  <c r="AG1176" i="27"/>
  <c r="AJ1306" i="27"/>
  <c r="AM1554" i="27"/>
  <c r="Q1598" i="27"/>
  <c r="AK1636" i="27"/>
  <c r="AM711" i="27"/>
  <c r="AM1535" i="27"/>
  <c r="AG1622" i="27"/>
  <c r="Q626" i="27"/>
  <c r="AM628" i="27"/>
  <c r="AM659" i="27"/>
  <c r="AG671" i="27"/>
  <c r="AM692" i="27"/>
  <c r="AG705" i="27"/>
  <c r="AM730" i="27"/>
  <c r="AH823" i="27"/>
  <c r="AM882" i="27"/>
  <c r="AG1193" i="27"/>
  <c r="AG1277" i="27"/>
  <c r="AG1456" i="27"/>
  <c r="AF7" i="27"/>
  <c r="AH7" i="27" s="1"/>
  <c r="AJ3" i="27"/>
  <c r="AG3" i="27"/>
  <c r="AM48" i="27"/>
  <c r="AM77" i="27"/>
  <c r="AJ14" i="27"/>
  <c r="AF18" i="27"/>
  <c r="AF21" i="27"/>
  <c r="AK91" i="27"/>
  <c r="AL96" i="27"/>
  <c r="AM96" i="27" s="1"/>
  <c r="AK120" i="27"/>
  <c r="AM120" i="27" s="1"/>
  <c r="AK193" i="27"/>
  <c r="AG294" i="27"/>
  <c r="AM390" i="27"/>
  <c r="V425" i="27"/>
  <c r="W421" i="27" s="1"/>
  <c r="Q421" i="27"/>
  <c r="U425" i="27"/>
  <c r="AK461" i="27"/>
  <c r="AM461" i="27" s="1"/>
  <c r="Q461" i="27"/>
  <c r="AM606" i="27"/>
  <c r="AL91" i="27"/>
  <c r="AM94" i="27" s="1"/>
  <c r="AL386" i="27"/>
  <c r="Q386" i="27"/>
  <c r="AK386" i="27" s="1"/>
  <c r="AM386" i="27" s="1"/>
  <c r="AK432" i="27"/>
  <c r="AM432" i="27" s="1"/>
  <c r="Q432" i="27"/>
  <c r="AJ440" i="27"/>
  <c r="AB442" i="27"/>
  <c r="AH442" i="27" s="1"/>
  <c r="AK451" i="27"/>
  <c r="AM451" i="27" s="1"/>
  <c r="Q451" i="27"/>
  <c r="AK514" i="27"/>
  <c r="Q496" i="27"/>
  <c r="AJ17" i="27"/>
  <c r="AL17" i="27" s="1"/>
  <c r="AF14" i="27"/>
  <c r="Q232" i="27"/>
  <c r="Q281" i="27"/>
  <c r="AL440" i="27"/>
  <c r="AM440" i="27" s="1"/>
  <c r="AK493" i="27"/>
  <c r="AM493" i="27" s="1"/>
  <c r="Q493" i="27"/>
  <c r="AL323" i="27"/>
  <c r="AM323" i="27" s="1"/>
  <c r="AB328" i="27"/>
  <c r="AH328" i="27" s="1"/>
  <c r="AJ323" i="27"/>
  <c r="AK346" i="27"/>
  <c r="AM346" i="27" s="1"/>
  <c r="Q346" i="27"/>
  <c r="V351" i="27"/>
  <c r="AK351" i="27" s="1"/>
  <c r="AK401" i="27"/>
  <c r="AM401" i="27" s="1"/>
  <c r="Q397" i="27"/>
  <c r="AL402" i="27"/>
  <c r="AM402" i="27" s="1"/>
  <c r="AB404" i="27"/>
  <c r="AH404" i="27" s="1"/>
  <c r="AK342" i="27"/>
  <c r="AM342" i="27" s="1"/>
  <c r="AI491" i="27"/>
  <c r="AD655" i="27"/>
  <c r="AJ822" i="27"/>
  <c r="AL822" i="27" s="1"/>
  <c r="AF822" i="27"/>
  <c r="AG822" i="27" s="1"/>
  <c r="AI822" i="27"/>
  <c r="AK989" i="27"/>
  <c r="AM989" i="27" s="1"/>
  <c r="Q989" i="27"/>
  <c r="AF546" i="27"/>
  <c r="AG539" i="27" s="1"/>
  <c r="AJ539" i="27" s="1"/>
  <c r="Q581" i="27"/>
  <c r="AG594" i="27"/>
  <c r="U597" i="27"/>
  <c r="Q609" i="27"/>
  <c r="AK656" i="27"/>
  <c r="AM656" i="27" s="1"/>
  <c r="Q656" i="27"/>
  <c r="AM715" i="27"/>
  <c r="AJ824" i="27"/>
  <c r="AF824" i="27"/>
  <c r="AG824" i="27" s="1"/>
  <c r="AI824" i="27"/>
  <c r="Q539" i="27"/>
  <c r="AI597" i="27"/>
  <c r="AM665" i="27"/>
  <c r="AK850" i="27"/>
  <c r="AM850" i="27" s="1"/>
  <c r="Q850" i="27"/>
  <c r="AH656" i="27"/>
  <c r="Q733" i="27"/>
  <c r="V748" i="27"/>
  <c r="AL748" i="27" s="1"/>
  <c r="AI721" i="27"/>
  <c r="AH822" i="27"/>
  <c r="AH824" i="27"/>
  <c r="AK1012" i="27"/>
  <c r="AM1012" i="27" s="1"/>
  <c r="Q992" i="27"/>
  <c r="Q1296" i="27"/>
  <c r="W1296" i="27"/>
  <c r="Q618" i="27"/>
  <c r="AD657" i="27"/>
  <c r="AF656" i="27" s="1"/>
  <c r="AG656" i="27" s="1"/>
  <c r="Q662" i="27"/>
  <c r="U721" i="27"/>
  <c r="Q785" i="27"/>
  <c r="AK859" i="27"/>
  <c r="AM859" i="27" s="1"/>
  <c r="Q807" i="27"/>
  <c r="AM874" i="27"/>
  <c r="AM880" i="27"/>
  <c r="AM884" i="27"/>
  <c r="AM975" i="27"/>
  <c r="AM1033" i="27"/>
  <c r="AG1062" i="27"/>
  <c r="AM1245" i="27"/>
  <c r="AG1326" i="27"/>
  <c r="AG1382" i="27"/>
  <c r="AI1390" i="27"/>
  <c r="AM1209" i="27"/>
  <c r="AM1501" i="27"/>
  <c r="AI1451" i="27"/>
  <c r="AG1441" i="27"/>
  <c r="AI1582" i="27"/>
  <c r="AG1582" i="27"/>
  <c r="AI1422" i="27"/>
  <c r="AG1422" i="27"/>
  <c r="W1426" i="27"/>
  <c r="AL1428" i="27"/>
  <c r="AK1428" i="27"/>
  <c r="AT1541" i="27"/>
  <c r="AT1539" i="27" s="1"/>
  <c r="AT1546" i="27"/>
  <c r="AL1636" i="27"/>
  <c r="AM1642" i="27" s="1"/>
  <c r="AI1438" i="27"/>
  <c r="AI1456" i="27"/>
  <c r="AI1463" i="27"/>
  <c r="AI1594" i="27"/>
  <c r="AI1429" i="27"/>
  <c r="AG18" i="27" l="1"/>
  <c r="AJ656" i="27"/>
  <c r="AI656" i="27"/>
  <c r="AJ654" i="27"/>
  <c r="AF654" i="27"/>
  <c r="AG654" i="27" s="1"/>
  <c r="AF483" i="27"/>
  <c r="AG483" i="27" s="1"/>
  <c r="AM91" i="27"/>
  <c r="AK1296" i="27"/>
  <c r="AK748" i="27"/>
  <c r="AM748" i="27" s="1"/>
  <c r="AH657" i="27"/>
  <c r="AH655" i="27"/>
  <c r="AI654" i="27"/>
  <c r="W346" i="27"/>
  <c r="AL351" i="27"/>
  <c r="AM351" i="27" s="1"/>
  <c r="M27" i="26" l="1"/>
  <c r="AM26" i="26"/>
  <c r="AM25" i="26"/>
  <c r="AJ22" i="26"/>
  <c r="AI22" i="26"/>
  <c r="AF22" i="26"/>
  <c r="AG22" i="26" s="1"/>
  <c r="AB22" i="26"/>
  <c r="AH22" i="26" s="1"/>
  <c r="U22" i="26"/>
  <c r="S22" i="26"/>
  <c r="P22" i="26"/>
  <c r="AM11" i="26"/>
  <c r="AF58" i="13"/>
  <c r="Q22" i="26" l="1"/>
  <c r="AM4" i="26"/>
  <c r="AM3" i="26"/>
  <c r="AM27" i="26" s="1"/>
  <c r="E6" i="24"/>
  <c r="I87" i="16" l="1"/>
  <c r="I88" i="16"/>
  <c r="E8" i="21" l="1"/>
  <c r="E9" i="22" l="1"/>
  <c r="E8" i="22"/>
  <c r="AA1746" i="13" l="1"/>
  <c r="AD1746" i="13"/>
  <c r="AF1741" i="13"/>
  <c r="AM1741" i="13" s="1"/>
  <c r="AB1742" i="13"/>
  <c r="AB1743" i="13"/>
  <c r="AB1744" i="13"/>
  <c r="AB1745" i="13"/>
  <c r="AB1741" i="13"/>
  <c r="V1741" i="13"/>
  <c r="Q20" i="21"/>
  <c r="M91" i="15"/>
  <c r="I91" i="15"/>
  <c r="F91" i="15"/>
  <c r="M69" i="15"/>
  <c r="I69" i="15"/>
  <c r="F69" i="15"/>
  <c r="M67" i="15"/>
  <c r="I67" i="15"/>
  <c r="F67" i="15"/>
  <c r="M65" i="15"/>
  <c r="I65" i="15"/>
  <c r="F65" i="15"/>
  <c r="M36" i="15"/>
  <c r="I36" i="15"/>
  <c r="F36" i="15"/>
  <c r="M19" i="15"/>
  <c r="I19" i="15"/>
  <c r="F19" i="15"/>
  <c r="I92" i="15" l="1"/>
  <c r="F92" i="15"/>
  <c r="M92" i="15"/>
  <c r="AK1741" i="13"/>
  <c r="AL1741" i="13"/>
  <c r="AB1746" i="13"/>
  <c r="B8" i="20"/>
  <c r="I90" i="16"/>
  <c r="B10" i="20" s="1"/>
  <c r="I89" i="16"/>
  <c r="I91" i="16" s="1"/>
  <c r="B11" i="20" s="1"/>
  <c r="B9" i="20" l="1"/>
  <c r="AM1768" i="13"/>
  <c r="F87"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M19" i="16"/>
  <c r="M18" i="16"/>
  <c r="M17" i="16"/>
  <c r="M16" i="16"/>
  <c r="M15" i="16"/>
  <c r="M14" i="16"/>
  <c r="M13" i="16"/>
  <c r="M12" i="16"/>
  <c r="M11" i="16"/>
  <c r="M10" i="16"/>
  <c r="M9" i="16"/>
  <c r="M8" i="16"/>
  <c r="F83" i="14" l="1"/>
  <c r="I83" i="14"/>
  <c r="AP1672" i="13" l="1"/>
  <c r="AB1740" i="13" l="1"/>
  <c r="AB1739" i="13"/>
  <c r="P1731" i="13"/>
  <c r="V1729" i="13"/>
  <c r="W1726" i="13" s="1"/>
  <c r="P1729" i="13"/>
  <c r="P1726" i="13"/>
  <c r="Q1547" i="13" l="1"/>
  <c r="S1547" i="13"/>
  <c r="U1547" i="13"/>
  <c r="AB1547" i="13"/>
  <c r="AF1547" i="13"/>
  <c r="AI1547" i="13"/>
  <c r="AK1547" i="13"/>
  <c r="AB1548" i="13"/>
  <c r="AB1549" i="13"/>
  <c r="AB1550" i="13"/>
  <c r="S1551" i="13"/>
  <c r="U1551" i="13"/>
  <c r="AB1551" i="13"/>
  <c r="AF1551" i="13"/>
  <c r="AI1551" i="13"/>
  <c r="AK1551" i="13"/>
  <c r="AB1552" i="13"/>
  <c r="AB1553" i="13"/>
  <c r="AB1554" i="13"/>
  <c r="S1555" i="13"/>
  <c r="U1555" i="13"/>
  <c r="AB1555" i="13"/>
  <c r="AF1555" i="13"/>
  <c r="AI1555" i="13"/>
  <c r="AK1555" i="13"/>
  <c r="AB1556" i="13"/>
  <c r="AB1557" i="13"/>
  <c r="AB1558" i="13"/>
  <c r="S1559" i="13"/>
  <c r="U1559" i="13"/>
  <c r="AB1559" i="13"/>
  <c r="AF1559" i="13"/>
  <c r="AI1559" i="13"/>
  <c r="AK1559" i="13"/>
  <c r="AB1560" i="13"/>
  <c r="AB1561" i="13"/>
  <c r="AB1562" i="13"/>
  <c r="S1563" i="13"/>
  <c r="U1563" i="13"/>
  <c r="AB1563" i="13"/>
  <c r="AF1563" i="13"/>
  <c r="AI1563" i="13"/>
  <c r="AK1563" i="13"/>
  <c r="AB1564" i="13"/>
  <c r="AB1565" i="13"/>
  <c r="AB1566" i="13"/>
  <c r="S1567" i="13"/>
  <c r="U1567" i="13"/>
  <c r="AB1567" i="13"/>
  <c r="AF1567" i="13"/>
  <c r="AI1567" i="13"/>
  <c r="AK1567" i="13"/>
  <c r="AB1568" i="13"/>
  <c r="AB1569" i="13"/>
  <c r="AB1570" i="13"/>
  <c r="S1571" i="13"/>
  <c r="U1571" i="13"/>
  <c r="AB1571" i="13"/>
  <c r="AF1571" i="13"/>
  <c r="AI1571" i="13"/>
  <c r="AK1571" i="13"/>
  <c r="AB1572" i="13"/>
  <c r="AB1573" i="13"/>
  <c r="AB1574" i="13"/>
  <c r="S1575" i="13"/>
  <c r="U1575" i="13"/>
  <c r="AB1575" i="13"/>
  <c r="AF1575" i="13"/>
  <c r="AI1575" i="13"/>
  <c r="AK1575" i="13"/>
  <c r="AB1576" i="13"/>
  <c r="AB1577" i="13"/>
  <c r="AB1578" i="13"/>
  <c r="S1579" i="13"/>
  <c r="U1579" i="13"/>
  <c r="AB1579" i="13"/>
  <c r="AK1579" i="13"/>
  <c r="AB1580" i="13"/>
  <c r="AB1581" i="13"/>
  <c r="AB1582" i="13"/>
  <c r="S1583" i="13"/>
  <c r="U1583" i="13"/>
  <c r="V1583" i="13"/>
  <c r="AK1583" i="13" s="1"/>
  <c r="AB1583" i="13"/>
  <c r="AH1583" i="13" s="1"/>
  <c r="AF1583" i="13"/>
  <c r="AG1583" i="13" s="1"/>
  <c r="AI1583" i="13"/>
  <c r="AJ1583" i="13"/>
  <c r="AB1584" i="13"/>
  <c r="AH1584" i="13" s="1"/>
  <c r="S1585" i="13"/>
  <c r="U1585" i="13"/>
  <c r="AA1585" i="13"/>
  <c r="AB1585" i="13" s="1"/>
  <c r="AH1585" i="13" s="1"/>
  <c r="AF1585" i="13"/>
  <c r="AI1585" i="13"/>
  <c r="AJ1585" i="13"/>
  <c r="AK1585" i="13"/>
  <c r="AL1585" i="13"/>
  <c r="AB1586" i="13"/>
  <c r="AH1586" i="13" s="1"/>
  <c r="AB1587" i="13"/>
  <c r="AH1587" i="13" s="1"/>
  <c r="AB1588" i="13"/>
  <c r="AH1588" i="13" s="1"/>
  <c r="P1589" i="13"/>
  <c r="Q1585" i="13" s="1"/>
  <c r="S1589" i="13"/>
  <c r="U1589" i="13"/>
  <c r="AB1589" i="13"/>
  <c r="AH1589" i="13" s="1"/>
  <c r="AF1589" i="13"/>
  <c r="AI1589" i="13"/>
  <c r="AK1589" i="13"/>
  <c r="AL1589" i="13"/>
  <c r="AB1590" i="13"/>
  <c r="AH1590" i="13" s="1"/>
  <c r="AB1591" i="13"/>
  <c r="AH1591" i="13" s="1"/>
  <c r="AB1592" i="13"/>
  <c r="AH1592" i="13" s="1"/>
  <c r="U1593" i="13"/>
  <c r="AB1593" i="13"/>
  <c r="AH1593" i="13" s="1"/>
  <c r="AI1593" i="13"/>
  <c r="AK1593" i="13"/>
  <c r="AB1594" i="13"/>
  <c r="AH1594" i="13" s="1"/>
  <c r="AB1595" i="13"/>
  <c r="AH1595" i="13" s="1"/>
  <c r="AB1596" i="13"/>
  <c r="AH1596" i="13" s="1"/>
  <c r="P1606" i="13"/>
  <c r="AB1606" i="13"/>
  <c r="AF1606" i="13"/>
  <c r="AI1606" i="13"/>
  <c r="AJ1606" i="13" s="1"/>
  <c r="AK1606" i="13"/>
  <c r="AB1607" i="13"/>
  <c r="AB1608" i="13"/>
  <c r="AB1611" i="13"/>
  <c r="AF1611" i="13"/>
  <c r="AK1611" i="13"/>
  <c r="AB1612" i="13"/>
  <c r="AB1613" i="13"/>
  <c r="P1616" i="13"/>
  <c r="V1616" i="13" s="1"/>
  <c r="AB1616" i="13"/>
  <c r="AF1616" i="13"/>
  <c r="AB1617" i="13"/>
  <c r="AB1618" i="13"/>
  <c r="Q1621" i="13"/>
  <c r="S1621" i="13"/>
  <c r="U1621" i="13"/>
  <c r="AB1621" i="13"/>
  <c r="AH1621" i="13" s="1"/>
  <c r="AF1621" i="13"/>
  <c r="AJ1621" i="13"/>
  <c r="AK1621" i="13"/>
  <c r="AL1621" i="13"/>
  <c r="AB1622" i="13"/>
  <c r="AH1622" i="13" s="1"/>
  <c r="AB1623" i="13"/>
  <c r="AH1623" i="13" s="1"/>
  <c r="S1624" i="13"/>
  <c r="U1624" i="13"/>
  <c r="AB1624" i="13"/>
  <c r="AH1624" i="13" s="1"/>
  <c r="AF1624" i="13"/>
  <c r="AI1624" i="13" s="1"/>
  <c r="AK1624" i="13"/>
  <c r="AL1624" i="13"/>
  <c r="AB1625" i="13"/>
  <c r="AH1625" i="13" s="1"/>
  <c r="S1626" i="13"/>
  <c r="U1626" i="13"/>
  <c r="AB1626" i="13"/>
  <c r="AH1626" i="13" s="1"/>
  <c r="AF1626" i="13"/>
  <c r="AI1626" i="13" s="1"/>
  <c r="AK1626" i="13"/>
  <c r="AL1626" i="13"/>
  <c r="AB1627" i="13"/>
  <c r="AH1627" i="13" s="1"/>
  <c r="AB1628" i="13"/>
  <c r="AH1628" i="13" s="1"/>
  <c r="S1629" i="13"/>
  <c r="U1629" i="13"/>
  <c r="AB1629" i="13"/>
  <c r="AH1629" i="13" s="1"/>
  <c r="AF1629" i="13"/>
  <c r="AI1629" i="13" s="1"/>
  <c r="AK1629" i="13"/>
  <c r="AL1629" i="13"/>
  <c r="AB1630" i="13"/>
  <c r="AH1630" i="13" s="1"/>
  <c r="AB1631" i="13"/>
  <c r="AH1631" i="13" s="1"/>
  <c r="S1632" i="13"/>
  <c r="U1632" i="13"/>
  <c r="AA1632" i="13"/>
  <c r="AB1632" i="13" s="1"/>
  <c r="AH1632" i="13" s="1"/>
  <c r="AF1632" i="13"/>
  <c r="AI1632" i="13" s="1"/>
  <c r="AK1632" i="13"/>
  <c r="AL1632" i="13"/>
  <c r="AB1633" i="13"/>
  <c r="AH1633" i="13" s="1"/>
  <c r="AB1634" i="13"/>
  <c r="AH1634" i="13" s="1"/>
  <c r="S1635" i="13"/>
  <c r="U1635" i="13"/>
  <c r="AB1635" i="13"/>
  <c r="AH1635" i="13" s="1"/>
  <c r="AF1635" i="13"/>
  <c r="AI1635" i="13" s="1"/>
  <c r="AK1635" i="13"/>
  <c r="AL1635" i="13"/>
  <c r="AB1636" i="13"/>
  <c r="AH1636" i="13" s="1"/>
  <c r="AB1637" i="13"/>
  <c r="AH1637" i="13" s="1"/>
  <c r="S1638" i="13"/>
  <c r="U1638" i="13"/>
  <c r="AB1638" i="13"/>
  <c r="AH1638" i="13" s="1"/>
  <c r="AF1638" i="13"/>
  <c r="AI1638" i="13" s="1"/>
  <c r="AK1638" i="13"/>
  <c r="AL1638" i="13"/>
  <c r="AB1639" i="13"/>
  <c r="AH1639" i="13" s="1"/>
  <c r="S1640" i="13"/>
  <c r="U1640" i="13"/>
  <c r="AA1640" i="13"/>
  <c r="AB1640" i="13" s="1"/>
  <c r="AH1640" i="13" s="1"/>
  <c r="AF1640" i="13"/>
  <c r="AI1640" i="13" s="1"/>
  <c r="AK1640" i="13"/>
  <c r="AL1640" i="13"/>
  <c r="AB1641" i="13"/>
  <c r="AH1641" i="13" s="1"/>
  <c r="S1642" i="13"/>
  <c r="U1642" i="13"/>
  <c r="AA1642" i="13"/>
  <c r="AB1642" i="13" s="1"/>
  <c r="AH1642" i="13" s="1"/>
  <c r="AF1642" i="13"/>
  <c r="AI1642" i="13" s="1"/>
  <c r="AK1642" i="13"/>
  <c r="AL1642" i="13"/>
  <c r="AB1643" i="13"/>
  <c r="AH1643" i="13" s="1"/>
  <c r="AB1644" i="13"/>
  <c r="AH1644" i="13" s="1"/>
  <c r="S1645" i="13"/>
  <c r="U1645" i="13"/>
  <c r="AA1645" i="13"/>
  <c r="AB1645" i="13" s="1"/>
  <c r="AH1645" i="13" s="1"/>
  <c r="AF1645" i="13"/>
  <c r="AI1645" i="13" s="1"/>
  <c r="AK1645" i="13"/>
  <c r="AL1645" i="13"/>
  <c r="AB1646" i="13"/>
  <c r="AH1646" i="13" s="1"/>
  <c r="AB1647" i="13"/>
  <c r="AH1647" i="13" s="1"/>
  <c r="S1648" i="13"/>
  <c r="U1648" i="13"/>
  <c r="AB1648" i="13"/>
  <c r="AH1648" i="13" s="1"/>
  <c r="AF1648" i="13"/>
  <c r="AI1648" i="13" s="1"/>
  <c r="AK1648" i="13"/>
  <c r="AL1648" i="13"/>
  <c r="AB1649" i="13"/>
  <c r="AH1649" i="13" s="1"/>
  <c r="AB1650" i="13"/>
  <c r="AH1650" i="13" s="1"/>
  <c r="S1651" i="13"/>
  <c r="U1651" i="13"/>
  <c r="AB1651" i="13"/>
  <c r="AH1651" i="13" s="1"/>
  <c r="AF1651" i="13"/>
  <c r="AI1651" i="13" s="1"/>
  <c r="AK1651" i="13"/>
  <c r="AL1651" i="13"/>
  <c r="AB1652" i="13"/>
  <c r="AH1652" i="13" s="1"/>
  <c r="AB1653" i="13"/>
  <c r="AH1653" i="13" s="1"/>
  <c r="S1654" i="13"/>
  <c r="U1654" i="13"/>
  <c r="AB1654" i="13"/>
  <c r="AH1654" i="13" s="1"/>
  <c r="AF1654" i="13"/>
  <c r="AI1654" i="13" s="1"/>
  <c r="AK1654" i="13"/>
  <c r="AL1654" i="13"/>
  <c r="AB1655" i="13"/>
  <c r="AH1655" i="13" s="1"/>
  <c r="AB1656" i="13"/>
  <c r="AH1656" i="13" s="1"/>
  <c r="S1657" i="13"/>
  <c r="U1657" i="13"/>
  <c r="AA1657" i="13"/>
  <c r="AB1657" i="13" s="1"/>
  <c r="AH1657" i="13" s="1"/>
  <c r="AF1657" i="13"/>
  <c r="AI1657" i="13" s="1"/>
  <c r="AK1657" i="13"/>
  <c r="AL1657" i="13"/>
  <c r="AB1658" i="13"/>
  <c r="AH1658" i="13" s="1"/>
  <c r="AB1659" i="13"/>
  <c r="AH1659" i="13" s="1"/>
  <c r="S1660" i="13"/>
  <c r="U1660" i="13"/>
  <c r="AA1660" i="13"/>
  <c r="AB1660" i="13" s="1"/>
  <c r="AH1660" i="13" s="1"/>
  <c r="AF1660" i="13"/>
  <c r="AI1660" i="13" s="1"/>
  <c r="AK1660" i="13"/>
  <c r="AL1660" i="13"/>
  <c r="AB1661" i="13"/>
  <c r="AH1661" i="13" s="1"/>
  <c r="AB1662" i="13"/>
  <c r="AH1662" i="13" s="1"/>
  <c r="S1663" i="13"/>
  <c r="U1663" i="13"/>
  <c r="AB1663" i="13"/>
  <c r="AH1663" i="13" s="1"/>
  <c r="AF1663" i="13"/>
  <c r="AI1663" i="13" s="1"/>
  <c r="AK1663" i="13"/>
  <c r="AL1663" i="13"/>
  <c r="AB1664" i="13"/>
  <c r="AH1664" i="13" s="1"/>
  <c r="AB1665" i="13"/>
  <c r="AH1665" i="13" s="1"/>
  <c r="S1666" i="13"/>
  <c r="U1666" i="13"/>
  <c r="AA1666" i="13"/>
  <c r="AB1666" i="13" s="1"/>
  <c r="AH1666" i="13" s="1"/>
  <c r="AF1666" i="13"/>
  <c r="AI1666" i="13" s="1"/>
  <c r="AK1666" i="13"/>
  <c r="AL1666" i="13"/>
  <c r="AB1667" i="13"/>
  <c r="AH1667" i="13" s="1"/>
  <c r="AB1668" i="13"/>
  <c r="AH1668" i="13" s="1"/>
  <c r="S1669" i="13"/>
  <c r="U1669" i="13"/>
  <c r="AA1669" i="13"/>
  <c r="AB1669" i="13" s="1"/>
  <c r="AH1669" i="13" s="1"/>
  <c r="AF1669" i="13"/>
  <c r="AI1669" i="13" s="1"/>
  <c r="AK1669" i="13"/>
  <c r="AL1669" i="13"/>
  <c r="AB1670" i="13"/>
  <c r="AH1670" i="13" s="1"/>
  <c r="AB1671" i="13"/>
  <c r="AH1671" i="13" s="1"/>
  <c r="P1672" i="13"/>
  <c r="Q1672" i="13"/>
  <c r="AK1672" i="13" s="1"/>
  <c r="AM1672" i="13" s="1"/>
  <c r="AB1672" i="13"/>
  <c r="AF1672" i="13"/>
  <c r="AG1672" i="13" s="1"/>
  <c r="S1673" i="13"/>
  <c r="U1673" i="13"/>
  <c r="AB1673" i="13"/>
  <c r="AH1673" i="13" s="1"/>
  <c r="AF1673" i="13"/>
  <c r="AI1673" i="13" s="1"/>
  <c r="AJ1673" i="13"/>
  <c r="AK1673" i="13"/>
  <c r="AL1673" i="13"/>
  <c r="AB1674" i="13"/>
  <c r="AH1674" i="13" s="1"/>
  <c r="AB1676" i="13"/>
  <c r="AH1676" i="13" s="1"/>
  <c r="S1677" i="13"/>
  <c r="U1677" i="13"/>
  <c r="AB1677" i="13"/>
  <c r="AH1677" i="13" s="1"/>
  <c r="AF1677" i="13"/>
  <c r="AG1677" i="13" s="1"/>
  <c r="AI1677" i="13"/>
  <c r="AJ1677" i="13"/>
  <c r="AL1677" i="13" s="1"/>
  <c r="AK1677" i="13"/>
  <c r="AB1678" i="13"/>
  <c r="AH1678" i="13" s="1"/>
  <c r="AH1679" i="13"/>
  <c r="Q1680" i="13"/>
  <c r="S1680" i="13"/>
  <c r="U1680" i="13"/>
  <c r="AA1680" i="13"/>
  <c r="AB1680" i="13" s="1"/>
  <c r="AH1680" i="13" s="1"/>
  <c r="AF1680" i="13"/>
  <c r="AG1680" i="13" s="1"/>
  <c r="AJ1680" i="13"/>
  <c r="AK1680" i="13"/>
  <c r="AL1680" i="13"/>
  <c r="AB1681" i="13"/>
  <c r="AH1681" i="13" s="1"/>
  <c r="AB1682" i="13"/>
  <c r="AH1682" i="13" s="1"/>
  <c r="P1683" i="13"/>
  <c r="S1683" i="13"/>
  <c r="U1683" i="13"/>
  <c r="AB1683" i="13"/>
  <c r="AH1683" i="13" s="1"/>
  <c r="AF1683" i="13"/>
  <c r="AJ1683" i="13"/>
  <c r="AL1683" i="13" s="1"/>
  <c r="AK1683" i="13"/>
  <c r="AB1684" i="13"/>
  <c r="AH1684" i="13" s="1"/>
  <c r="AB1685" i="13"/>
  <c r="AH1685" i="13" s="1"/>
  <c r="P1686" i="13"/>
  <c r="S1686" i="13"/>
  <c r="U1686" i="13"/>
  <c r="V1686" i="13"/>
  <c r="AK1686" i="13" s="1"/>
  <c r="AB1686" i="13"/>
  <c r="AH1686" i="13" s="1"/>
  <c r="AF1686" i="13"/>
  <c r="AI1686" i="13" s="1"/>
  <c r="AJ1686" i="13"/>
  <c r="AB1687" i="13"/>
  <c r="AH1687" i="13" s="1"/>
  <c r="AB1688" i="13"/>
  <c r="AH1688" i="13" s="1"/>
  <c r="S1689" i="13"/>
  <c r="U1689" i="13"/>
  <c r="AF1689" i="13"/>
  <c r="AG1689" i="13" s="1"/>
  <c r="AH1689" i="13"/>
  <c r="AJ1689" i="13"/>
  <c r="AK1689" i="13"/>
  <c r="AL1689" i="13"/>
  <c r="S1690" i="13"/>
  <c r="U1690" i="13"/>
  <c r="AB1690" i="13"/>
  <c r="AH1690" i="13" s="1"/>
  <c r="AF1690" i="13"/>
  <c r="AG1690" i="13" s="1"/>
  <c r="AJ1690" i="13"/>
  <c r="AK1690" i="13"/>
  <c r="AL1690" i="13"/>
  <c r="AB1691" i="13"/>
  <c r="AH1691" i="13" s="1"/>
  <c r="S1692" i="13"/>
  <c r="U1692" i="13"/>
  <c r="AB1692" i="13"/>
  <c r="AH1692" i="13" s="1"/>
  <c r="AF1692" i="13"/>
  <c r="AG1692" i="13" s="1"/>
  <c r="AJ1692" i="13"/>
  <c r="AL1692" i="13" s="1"/>
  <c r="AK1692" i="13"/>
  <c r="AB1693" i="13"/>
  <c r="AH1693" i="13" s="1"/>
  <c r="AB1694" i="13"/>
  <c r="AH1694" i="13" s="1"/>
  <c r="AH1695" i="13"/>
  <c r="P1696" i="13"/>
  <c r="U1696" i="13" s="1"/>
  <c r="S1696" i="13"/>
  <c r="W1696" i="13"/>
  <c r="AB1696" i="13"/>
  <c r="AH1696" i="13" s="1"/>
  <c r="AF1696" i="13"/>
  <c r="AI1696" i="13"/>
  <c r="AJ1696" i="13"/>
  <c r="AL1696" i="13" s="1"/>
  <c r="AK1696" i="13"/>
  <c r="AB1697" i="13"/>
  <c r="AH1697" i="13" s="1"/>
  <c r="AB1698" i="13"/>
  <c r="AH1698" i="13" s="1"/>
  <c r="AB1699" i="13"/>
  <c r="AH1699" i="13" s="1"/>
  <c r="AB1700" i="13"/>
  <c r="AH1700" i="13" s="1"/>
  <c r="AB1701" i="13"/>
  <c r="AH1701" i="13" s="1"/>
  <c r="AB1702" i="13"/>
  <c r="AH1702" i="13" s="1"/>
  <c r="AB1703" i="13"/>
  <c r="AH1703" i="13" s="1"/>
  <c r="AB1704" i="13"/>
  <c r="AH1704" i="13" s="1"/>
  <c r="AB1705" i="13"/>
  <c r="AH1705" i="13" s="1"/>
  <c r="U1706" i="13"/>
  <c r="AB1706" i="13"/>
  <c r="AH1706" i="13" s="1"/>
  <c r="AI1706" i="13"/>
  <c r="AK1706" i="13"/>
  <c r="AB1707" i="13"/>
  <c r="AH1707" i="13" s="1"/>
  <c r="AB1708" i="13"/>
  <c r="AH1708" i="13" s="1"/>
  <c r="AB1709" i="13"/>
  <c r="AH1709" i="13" s="1"/>
  <c r="AB1710" i="13"/>
  <c r="AH1710" i="13" s="1"/>
  <c r="AB1711" i="13"/>
  <c r="AH1711" i="13" s="1"/>
  <c r="P1712" i="13"/>
  <c r="S1712" i="13"/>
  <c r="AB1712" i="13"/>
  <c r="AH1712" i="13" s="1"/>
  <c r="AF1712" i="13"/>
  <c r="AI1712" i="13" s="1"/>
  <c r="AJ1712" i="13"/>
  <c r="AL1712" i="13" s="1"/>
  <c r="AB1713" i="13"/>
  <c r="AH1713" i="13" s="1"/>
  <c r="AB1714" i="13"/>
  <c r="AH1714" i="13" s="1"/>
  <c r="AB1715" i="13"/>
  <c r="AH1715" i="13" s="1"/>
  <c r="AB1716" i="13"/>
  <c r="AH1716" i="13" s="1"/>
  <c r="AB1717" i="13"/>
  <c r="AH1717" i="13" s="1"/>
  <c r="AB1718" i="13"/>
  <c r="AH1718" i="13" s="1"/>
  <c r="AB1719" i="13"/>
  <c r="AH1719" i="13" s="1"/>
  <c r="Q1722" i="13"/>
  <c r="S1722" i="13"/>
  <c r="U1722" i="13"/>
  <c r="W1722" i="13"/>
  <c r="AB1722" i="13"/>
  <c r="AH1722" i="13" s="1"/>
  <c r="AF1722" i="13"/>
  <c r="AI1722" i="13" s="1"/>
  <c r="AJ1722" i="13"/>
  <c r="AK1722" i="13"/>
  <c r="AL1722" i="13"/>
  <c r="AB1723" i="13"/>
  <c r="AH1723" i="13" s="1"/>
  <c r="S1724" i="13"/>
  <c r="U1724" i="13"/>
  <c r="AB1724" i="13"/>
  <c r="AH1724" i="13" s="1"/>
  <c r="AF1724" i="13"/>
  <c r="AI1724" i="13" s="1"/>
  <c r="AK1724" i="13"/>
  <c r="AL1724" i="13"/>
  <c r="AB1725" i="13"/>
  <c r="AH1725" i="13" s="1"/>
  <c r="Q1538" i="13"/>
  <c r="S1538" i="13"/>
  <c r="U1538" i="13"/>
  <c r="W1538" i="13"/>
  <c r="AB1538" i="13"/>
  <c r="AH1538" i="13" s="1"/>
  <c r="AF1538" i="13"/>
  <c r="AI1538" i="13" s="1"/>
  <c r="AJ1538" i="13"/>
  <c r="AL1538" i="13" s="1"/>
  <c r="AK1538" i="13"/>
  <c r="AB1539" i="13"/>
  <c r="AH1539" i="13" s="1"/>
  <c r="AB1540" i="13"/>
  <c r="AH1540" i="13" s="1"/>
  <c r="S1541" i="13"/>
  <c r="U1541" i="13"/>
  <c r="AB1541" i="13"/>
  <c r="AH1541" i="13" s="1"/>
  <c r="AF1541" i="13"/>
  <c r="AI1541" i="13" s="1"/>
  <c r="AK1541" i="13"/>
  <c r="AL1541" i="13"/>
  <c r="S1545" i="13"/>
  <c r="U1545" i="13"/>
  <c r="AB1545" i="13"/>
  <c r="AH1545" i="13" s="1"/>
  <c r="AF1545" i="13"/>
  <c r="AG1545" i="13" s="1"/>
  <c r="AJ1545" i="13"/>
  <c r="AK1545" i="13"/>
  <c r="AL1545" i="13"/>
  <c r="AB1546" i="13"/>
  <c r="AH1546" i="13" s="1"/>
  <c r="P1503" i="13"/>
  <c r="AK1503" i="13" s="1"/>
  <c r="S1503" i="13"/>
  <c r="U1503" i="13"/>
  <c r="AB1503" i="13"/>
  <c r="AH1503" i="13" s="1"/>
  <c r="AF1503" i="13"/>
  <c r="AJ1503" i="13"/>
  <c r="AL1503" i="13" s="1"/>
  <c r="AB1504" i="13"/>
  <c r="AH1504" i="13" s="1"/>
  <c r="AB1505" i="13"/>
  <c r="AH1505" i="13" s="1"/>
  <c r="P1506" i="13"/>
  <c r="S1506" i="13"/>
  <c r="U1506" i="13"/>
  <c r="AB1506" i="13"/>
  <c r="AH1506" i="13" s="1"/>
  <c r="AF1506" i="13"/>
  <c r="AG1503" i="13" s="1"/>
  <c r="AI1506" i="13"/>
  <c r="AJ1506" i="13"/>
  <c r="AL1506" i="13" s="1"/>
  <c r="AK1506" i="13"/>
  <c r="AB1507" i="13"/>
  <c r="AH1507" i="13" s="1"/>
  <c r="AB1508" i="13"/>
  <c r="AH1508" i="13" s="1"/>
  <c r="U1509" i="13"/>
  <c r="AB1509" i="13"/>
  <c r="AH1509" i="13" s="1"/>
  <c r="AI1509" i="13"/>
  <c r="AK1509" i="13"/>
  <c r="AB1510" i="13"/>
  <c r="AH1510" i="13" s="1"/>
  <c r="AB1511" i="13"/>
  <c r="AH1511" i="13" s="1"/>
  <c r="Q1512" i="13"/>
  <c r="S1512" i="13"/>
  <c r="U1512" i="13"/>
  <c r="W1512" i="13"/>
  <c r="AB1512" i="13"/>
  <c r="AH1512" i="13" s="1"/>
  <c r="AF1512" i="13"/>
  <c r="AJ1512" i="13"/>
  <c r="AK1512" i="13"/>
  <c r="AL1512" i="13"/>
  <c r="AB1513" i="13"/>
  <c r="AH1513" i="13" s="1"/>
  <c r="S1514" i="13"/>
  <c r="U1514" i="13"/>
  <c r="AB1514" i="13"/>
  <c r="AH1514" i="13" s="1"/>
  <c r="AF1514" i="13"/>
  <c r="AI1514" i="13"/>
  <c r="AK1514" i="13"/>
  <c r="AL1514" i="13"/>
  <c r="P1515" i="13"/>
  <c r="Q1515" i="13" s="1"/>
  <c r="S1515" i="13"/>
  <c r="U1515" i="13"/>
  <c r="W1515" i="13"/>
  <c r="AB1515" i="13"/>
  <c r="AH1515" i="13" s="1"/>
  <c r="AF1515" i="13"/>
  <c r="AI1515" i="13"/>
  <c r="AK1515" i="13"/>
  <c r="AB1516" i="13"/>
  <c r="AH1516" i="13" s="1"/>
  <c r="AB1517" i="13"/>
  <c r="AH1517" i="13" s="1"/>
  <c r="AB1518" i="13"/>
  <c r="AH1518" i="13" s="1"/>
  <c r="AB1519" i="13"/>
  <c r="AH1519" i="13" s="1"/>
  <c r="U1521" i="13"/>
  <c r="AB1521" i="13"/>
  <c r="AH1521" i="13" s="1"/>
  <c r="AI1521" i="13"/>
  <c r="AK1521" i="13"/>
  <c r="AB1522" i="13"/>
  <c r="AH1522" i="13" s="1"/>
  <c r="AB1523" i="13"/>
  <c r="AH1523" i="13" s="1"/>
  <c r="AH1526" i="13"/>
  <c r="AB1527" i="13"/>
  <c r="AH1527" i="13" s="1"/>
  <c r="S1528" i="13"/>
  <c r="U1528" i="13"/>
  <c r="AB1528" i="13"/>
  <c r="AH1528" i="13" s="1"/>
  <c r="AK1528" i="13"/>
  <c r="AL1528" i="13"/>
  <c r="AB1529" i="13"/>
  <c r="AH1529" i="13" s="1"/>
  <c r="AB1530" i="13"/>
  <c r="AH1530" i="13" s="1"/>
  <c r="AB1531" i="13"/>
  <c r="AH1531" i="13" s="1"/>
  <c r="AB1532" i="13"/>
  <c r="AB1455" i="13"/>
  <c r="AH1455" i="13" s="1"/>
  <c r="AF1455" i="13"/>
  <c r="AG1455" i="13" s="1"/>
  <c r="S1492" i="13"/>
  <c r="U1492" i="13"/>
  <c r="AB1492" i="13"/>
  <c r="AH1492" i="13" s="1"/>
  <c r="AF1492" i="13"/>
  <c r="AG1492" i="13" s="1"/>
  <c r="AI1492" i="13"/>
  <c r="AJ1492" i="13"/>
  <c r="AK1492" i="13"/>
  <c r="AL1492" i="13"/>
  <c r="AB1493" i="13"/>
  <c r="AH1493" i="13" s="1"/>
  <c r="AB1494" i="13"/>
  <c r="AH1494" i="13" s="1"/>
  <c r="AB1495" i="13"/>
  <c r="AH1495" i="13" s="1"/>
  <c r="Q1496" i="13"/>
  <c r="S1496" i="13"/>
  <c r="U1496" i="13"/>
  <c r="AB1496" i="13"/>
  <c r="AH1496" i="13" s="1"/>
  <c r="AF1496" i="13"/>
  <c r="AJ1496" i="13"/>
  <c r="AK1496" i="13"/>
  <c r="AL1496" i="13"/>
  <c r="AB1497" i="13"/>
  <c r="AH1497" i="13" s="1"/>
  <c r="S1498" i="13"/>
  <c r="U1498" i="13"/>
  <c r="AB1498" i="13"/>
  <c r="AH1498" i="13" s="1"/>
  <c r="AF1498" i="13"/>
  <c r="AI1498" i="13" s="1"/>
  <c r="AK1498" i="13"/>
  <c r="AL1498" i="13"/>
  <c r="AB1499" i="13"/>
  <c r="AH1499" i="13" s="1"/>
  <c r="Q1500" i="13"/>
  <c r="S1500" i="13"/>
  <c r="U1500" i="13"/>
  <c r="AA1500" i="13"/>
  <c r="AB1500" i="13" s="1"/>
  <c r="AH1500" i="13" s="1"/>
  <c r="AF1500" i="13"/>
  <c r="AI1500" i="13" s="1"/>
  <c r="AG1500" i="13"/>
  <c r="AJ1500" i="13"/>
  <c r="AL1500" i="13" s="1"/>
  <c r="AK1500" i="13"/>
  <c r="AB1501" i="13"/>
  <c r="AH1501" i="13" s="1"/>
  <c r="S1502" i="13"/>
  <c r="U1502" i="13"/>
  <c r="V1502" i="13"/>
  <c r="AL1502" i="13" s="1"/>
  <c r="AF1502" i="13"/>
  <c r="AH1502" i="13"/>
  <c r="AI1502" i="13"/>
  <c r="Q1456" i="13"/>
  <c r="S1456" i="13"/>
  <c r="U1456" i="13"/>
  <c r="AB1456" i="13"/>
  <c r="AH1456" i="13" s="1"/>
  <c r="AF1456" i="13"/>
  <c r="AJ1456" i="13"/>
  <c r="AK1456" i="13"/>
  <c r="AL1456" i="13"/>
  <c r="AB1457" i="13"/>
  <c r="AH1457" i="13" s="1"/>
  <c r="AB1458" i="13"/>
  <c r="AH1458" i="13" s="1"/>
  <c r="AB1459" i="13"/>
  <c r="AH1459" i="13" s="1"/>
  <c r="S1460" i="13"/>
  <c r="U1460" i="13"/>
  <c r="AB1460" i="13"/>
  <c r="AH1460" i="13" s="1"/>
  <c r="AF1460" i="13"/>
  <c r="AI1460" i="13" s="1"/>
  <c r="AK1460" i="13"/>
  <c r="AL1460" i="13"/>
  <c r="AB1461" i="13"/>
  <c r="AH1461" i="13" s="1"/>
  <c r="AB1462" i="13"/>
  <c r="AH1462" i="13" s="1"/>
  <c r="AB1463" i="13"/>
  <c r="AH1463" i="13" s="1"/>
  <c r="S1464" i="13"/>
  <c r="U1464" i="13"/>
  <c r="AB1464" i="13"/>
  <c r="AH1464" i="13" s="1"/>
  <c r="AF1464" i="13"/>
  <c r="AI1464" i="13" s="1"/>
  <c r="AK1464" i="13"/>
  <c r="AL1464" i="13"/>
  <c r="AB1465" i="13"/>
  <c r="AH1465" i="13" s="1"/>
  <c r="AB1466" i="13"/>
  <c r="AH1466" i="13" s="1"/>
  <c r="AB1467" i="13"/>
  <c r="AH1467" i="13" s="1"/>
  <c r="S1468" i="13"/>
  <c r="U1468" i="13"/>
  <c r="AB1468" i="13"/>
  <c r="AH1468" i="13" s="1"/>
  <c r="AF1468" i="13"/>
  <c r="AI1468" i="13" s="1"/>
  <c r="AK1468" i="13"/>
  <c r="AL1468" i="13"/>
  <c r="AB1469" i="13"/>
  <c r="AH1469" i="13" s="1"/>
  <c r="AB1470" i="13"/>
  <c r="AH1470" i="13" s="1"/>
  <c r="AB1471" i="13"/>
  <c r="AH1471" i="13" s="1"/>
  <c r="S1472" i="13"/>
  <c r="U1472" i="13"/>
  <c r="AB1472" i="13"/>
  <c r="AH1472" i="13" s="1"/>
  <c r="AF1472" i="13"/>
  <c r="AI1472" i="13" s="1"/>
  <c r="AK1472" i="13"/>
  <c r="AL1472" i="13"/>
  <c r="AB1473" i="13"/>
  <c r="AH1473" i="13" s="1"/>
  <c r="AB1474" i="13"/>
  <c r="AH1474" i="13" s="1"/>
  <c r="AB1475" i="13"/>
  <c r="AH1475" i="13" s="1"/>
  <c r="S1476" i="13"/>
  <c r="U1476" i="13"/>
  <c r="AB1476" i="13"/>
  <c r="AH1476" i="13" s="1"/>
  <c r="AF1476" i="13"/>
  <c r="AI1476" i="13" s="1"/>
  <c r="AK1476" i="13"/>
  <c r="AL1476" i="13"/>
  <c r="AB1477" i="13"/>
  <c r="AH1477" i="13" s="1"/>
  <c r="AB1478" i="13"/>
  <c r="AH1478" i="13" s="1"/>
  <c r="AB1479" i="13"/>
  <c r="AH1479" i="13" s="1"/>
  <c r="S1480" i="13"/>
  <c r="U1480" i="13"/>
  <c r="AB1480" i="13"/>
  <c r="AH1480" i="13" s="1"/>
  <c r="AF1480" i="13"/>
  <c r="AI1480" i="13" s="1"/>
  <c r="AK1480" i="13"/>
  <c r="AL1480" i="13"/>
  <c r="AB1481" i="13"/>
  <c r="AH1481" i="13" s="1"/>
  <c r="AB1482" i="13"/>
  <c r="AH1482" i="13" s="1"/>
  <c r="AB1483" i="13"/>
  <c r="AH1483" i="13" s="1"/>
  <c r="S1484" i="13"/>
  <c r="U1484" i="13"/>
  <c r="AB1484" i="13"/>
  <c r="AH1484" i="13" s="1"/>
  <c r="AF1484" i="13"/>
  <c r="AI1484" i="13" s="1"/>
  <c r="AK1484" i="13"/>
  <c r="AL1484" i="13"/>
  <c r="AB1485" i="13"/>
  <c r="AH1485" i="13" s="1"/>
  <c r="AB1486" i="13"/>
  <c r="AH1486" i="13" s="1"/>
  <c r="AB1487" i="13"/>
  <c r="AH1487" i="13" s="1"/>
  <c r="S1488" i="13"/>
  <c r="U1488" i="13"/>
  <c r="AB1488" i="13"/>
  <c r="AH1488" i="13" s="1"/>
  <c r="AF1488" i="13"/>
  <c r="AI1488" i="13" s="1"/>
  <c r="AK1488" i="13"/>
  <c r="AL1488" i="13"/>
  <c r="AB1489" i="13"/>
  <c r="AH1489" i="13" s="1"/>
  <c r="AB1490" i="13"/>
  <c r="AH1490" i="13" s="1"/>
  <c r="AB1491" i="13"/>
  <c r="AH1491" i="13" s="1"/>
  <c r="Q1411" i="13"/>
  <c r="AB1411" i="13"/>
  <c r="AF1411" i="13"/>
  <c r="AK1411" i="13"/>
  <c r="AB1412" i="13"/>
  <c r="AB1413" i="13"/>
  <c r="AF1413" i="13"/>
  <c r="AK1413" i="13"/>
  <c r="AB1414" i="13"/>
  <c r="AB1415" i="13"/>
  <c r="AF1415" i="13"/>
  <c r="AK1415" i="13"/>
  <c r="AB1416" i="13"/>
  <c r="AB1417" i="13"/>
  <c r="AF1417" i="13"/>
  <c r="AK1417" i="13"/>
  <c r="AB1418" i="13"/>
  <c r="AB1419" i="13"/>
  <c r="AF1419" i="13"/>
  <c r="AK1419" i="13"/>
  <c r="AB1420" i="13"/>
  <c r="AB1421" i="13"/>
  <c r="AF1421" i="13"/>
  <c r="AK1421" i="13"/>
  <c r="AB1422" i="13"/>
  <c r="AB1423" i="13"/>
  <c r="AF1423" i="13"/>
  <c r="AK1423" i="13"/>
  <c r="AB1424" i="13"/>
  <c r="AB1425" i="13"/>
  <c r="AF1425" i="13"/>
  <c r="AK1425" i="13"/>
  <c r="AB1426" i="13"/>
  <c r="AB1427" i="13"/>
  <c r="AF1427" i="13"/>
  <c r="AK1427" i="13"/>
  <c r="AB1428" i="13"/>
  <c r="AB1429" i="13"/>
  <c r="AF1429" i="13"/>
  <c r="AK1429" i="13"/>
  <c r="AB1430" i="13"/>
  <c r="AB1431" i="13"/>
  <c r="AF1431" i="13"/>
  <c r="AK1431" i="13"/>
  <c r="AB1432" i="13"/>
  <c r="Q1400" i="13"/>
  <c r="S1400" i="13"/>
  <c r="U1400" i="13"/>
  <c r="W1400" i="13"/>
  <c r="AB1400" i="13"/>
  <c r="AH1400" i="13" s="1"/>
  <c r="AF1400" i="13"/>
  <c r="AI1400" i="13" s="1"/>
  <c r="AJ1400" i="13"/>
  <c r="AL1400" i="13" s="1"/>
  <c r="AK1400" i="13"/>
  <c r="AB1401" i="13"/>
  <c r="AH1401" i="13" s="1"/>
  <c r="AB1402" i="13"/>
  <c r="AH1402" i="13" s="1"/>
  <c r="S1403" i="13"/>
  <c r="U1403" i="13"/>
  <c r="AB1403" i="13"/>
  <c r="AH1403" i="13" s="1"/>
  <c r="AF1403" i="13"/>
  <c r="AI1403" i="13" s="1"/>
  <c r="AJ1403" i="13"/>
  <c r="AL1403" i="13" s="1"/>
  <c r="AK1403" i="13"/>
  <c r="AB1404" i="13"/>
  <c r="AH1404" i="13" s="1"/>
  <c r="S1405" i="13"/>
  <c r="U1405" i="13"/>
  <c r="AB1405" i="13"/>
  <c r="AH1405" i="13" s="1"/>
  <c r="AF1405" i="13"/>
  <c r="AJ1405" i="13"/>
  <c r="AL1405" i="13" s="1"/>
  <c r="AK1405" i="13"/>
  <c r="AB1406" i="13"/>
  <c r="AH1406" i="13" s="1"/>
  <c r="S1364" i="13"/>
  <c r="U1364" i="13"/>
  <c r="V1364" i="13"/>
  <c r="AK1364" i="13" s="1"/>
  <c r="AB1364" i="13"/>
  <c r="AH1364" i="13" s="1"/>
  <c r="AF1364" i="13"/>
  <c r="AG1364" i="13" s="1"/>
  <c r="AJ1364" i="13"/>
  <c r="AB1365" i="13"/>
  <c r="AH1365" i="13" s="1"/>
  <c r="AA1366" i="13"/>
  <c r="AB1366" i="13" s="1"/>
  <c r="AH1366" i="13" s="1"/>
  <c r="AA1367" i="13"/>
  <c r="AB1367" i="13" s="1"/>
  <c r="AH1367" i="13" s="1"/>
  <c r="AA1368" i="13"/>
  <c r="AB1368" i="13" s="1"/>
  <c r="AH1368" i="13" s="1"/>
  <c r="AB1334" i="13"/>
  <c r="AB1335" i="13"/>
  <c r="S1301" i="13"/>
  <c r="U1301" i="13"/>
  <c r="AB1301" i="13"/>
  <c r="AH1301" i="13" s="1"/>
  <c r="AF1301" i="13"/>
  <c r="AI1301" i="13" s="1"/>
  <c r="AJ1301" i="13"/>
  <c r="AL1301" i="13" s="1"/>
  <c r="AK1301" i="13"/>
  <c r="AB1302" i="13"/>
  <c r="AH1302" i="13" s="1"/>
  <c r="AB1303" i="13"/>
  <c r="AH1303" i="13" s="1"/>
  <c r="AB1304" i="13"/>
  <c r="AH1304" i="13" s="1"/>
  <c r="P1256" i="13"/>
  <c r="Q1256" i="13" s="1"/>
  <c r="S1256" i="13"/>
  <c r="U1256" i="13"/>
  <c r="W1256" i="13"/>
  <c r="AA1256" i="13"/>
  <c r="AB1256" i="13" s="1"/>
  <c r="AH1256" i="13" s="1"/>
  <c r="AI1256" i="13"/>
  <c r="AA1257" i="13"/>
  <c r="AB1257" i="13" s="1"/>
  <c r="AH1257" i="13" s="1"/>
  <c r="AB1258" i="13"/>
  <c r="AH1258" i="13" s="1"/>
  <c r="AB1259" i="13"/>
  <c r="AH1259" i="13" s="1"/>
  <c r="AB1260" i="13"/>
  <c r="AH1260" i="13" s="1"/>
  <c r="U1261" i="13"/>
  <c r="AB1261" i="13"/>
  <c r="AH1261" i="13" s="1"/>
  <c r="AB1262" i="13"/>
  <c r="AH1262" i="13" s="1"/>
  <c r="AB1263" i="13"/>
  <c r="AH1263" i="13" s="1"/>
  <c r="AB1264" i="13"/>
  <c r="AH1264" i="13" s="1"/>
  <c r="AB1265" i="13"/>
  <c r="S1266" i="13"/>
  <c r="U1266" i="13"/>
  <c r="AB1266" i="13"/>
  <c r="AH1266" i="13" s="1"/>
  <c r="AF1266" i="13"/>
  <c r="AI1266" i="13" s="1"/>
  <c r="AB1267" i="13"/>
  <c r="AH1267" i="13" s="1"/>
  <c r="AB1268" i="13"/>
  <c r="AH1268" i="13" s="1"/>
  <c r="Q1269" i="13"/>
  <c r="W1269" i="13"/>
  <c r="AB1269" i="13"/>
  <c r="AH1269" i="13" s="1"/>
  <c r="AF1269" i="13"/>
  <c r="AI1269" i="13" s="1"/>
  <c r="AJ1269" i="13"/>
  <c r="AK1269" i="13"/>
  <c r="AL1269" i="13"/>
  <c r="AB1270" i="13"/>
  <c r="AH1270" i="13" s="1"/>
  <c r="AB1271" i="13"/>
  <c r="AH1271" i="13" s="1"/>
  <c r="AF1271" i="13"/>
  <c r="AI1271" i="13" s="1"/>
  <c r="AL1271" i="13"/>
  <c r="AM1271" i="13" s="1"/>
  <c r="AB1272" i="13"/>
  <c r="AH1272" i="13" s="1"/>
  <c r="AF1272" i="13"/>
  <c r="AI1272" i="13" s="1"/>
  <c r="AL1272" i="13"/>
  <c r="AM1272" i="13" s="1"/>
  <c r="AB1273" i="13"/>
  <c r="AH1273" i="13" s="1"/>
  <c r="Q1204" i="13"/>
  <c r="S1204" i="13"/>
  <c r="U1204" i="13"/>
  <c r="AF1204" i="13"/>
  <c r="AI1204" i="13" s="1"/>
  <c r="AH1204" i="13"/>
  <c r="AH1205" i="13"/>
  <c r="S1206" i="13"/>
  <c r="U1206" i="13"/>
  <c r="AF1206" i="13"/>
  <c r="AI1206" i="13" s="1"/>
  <c r="AH1206" i="13"/>
  <c r="AH1207" i="13"/>
  <c r="S1208" i="13"/>
  <c r="U1208" i="13"/>
  <c r="V1208" i="13"/>
  <c r="W1204" i="13" s="1"/>
  <c r="AF1208" i="13"/>
  <c r="AI1208" i="13" s="1"/>
  <c r="AH1208" i="13"/>
  <c r="AH1209" i="13"/>
  <c r="P1070" i="13"/>
  <c r="Q1070" i="13" s="1"/>
  <c r="V1070" i="13"/>
  <c r="AB1070" i="13"/>
  <c r="AH1070" i="13" s="1"/>
  <c r="AF1070" i="13"/>
  <c r="AG1070" i="13" s="1"/>
  <c r="AB1071" i="13"/>
  <c r="AH1071" i="13" s="1"/>
  <c r="Z1072" i="13"/>
  <c r="AB1072" i="13" s="1"/>
  <c r="AH1072" i="13" s="1"/>
  <c r="AB1073" i="13"/>
  <c r="V1075" i="13"/>
  <c r="AB1075" i="13"/>
  <c r="Q990" i="13"/>
  <c r="S990" i="13"/>
  <c r="U990" i="13"/>
  <c r="AB990" i="13"/>
  <c r="AH990" i="13" s="1"/>
  <c r="AF990" i="13"/>
  <c r="AG990" i="13" s="1"/>
  <c r="AJ990" i="13"/>
  <c r="AK990" i="13"/>
  <c r="AL990" i="13"/>
  <c r="AB991" i="13"/>
  <c r="AH991" i="13" s="1"/>
  <c r="AB992" i="13"/>
  <c r="AH992" i="13" s="1"/>
  <c r="AB993" i="13"/>
  <c r="AH993" i="13" s="1"/>
  <c r="AB994" i="13"/>
  <c r="AH994" i="13" s="1"/>
  <c r="AB995" i="13"/>
  <c r="AH995" i="13" s="1"/>
  <c r="S706" i="13"/>
  <c r="U706" i="13"/>
  <c r="AB706" i="13"/>
  <c r="AH706" i="13" s="1"/>
  <c r="AF706" i="13"/>
  <c r="AG706" i="13" s="1"/>
  <c r="AJ706" i="13"/>
  <c r="AL706" i="13" s="1"/>
  <c r="AK706" i="13"/>
  <c r="AB707" i="13"/>
  <c r="AH707" i="13" s="1"/>
  <c r="AB708" i="13"/>
  <c r="AH708" i="13" s="1"/>
  <c r="AB709" i="13"/>
  <c r="AH709" i="13" s="1"/>
  <c r="Q604" i="13"/>
  <c r="S604" i="13"/>
  <c r="U604" i="13"/>
  <c r="AB604" i="13"/>
  <c r="AH604" i="13" s="1"/>
  <c r="AF604" i="13"/>
  <c r="AI604" i="13" s="1"/>
  <c r="AJ604" i="13"/>
  <c r="AK604" i="13"/>
  <c r="AL604" i="13"/>
  <c r="AB605" i="13"/>
  <c r="AH605" i="13" s="1"/>
  <c r="AB606" i="13"/>
  <c r="AH606" i="13" s="1"/>
  <c r="P607" i="13"/>
  <c r="S607" i="13"/>
  <c r="V607" i="13"/>
  <c r="AB607" i="13"/>
  <c r="AH607" i="13" s="1"/>
  <c r="AF607" i="13"/>
  <c r="AB608" i="13"/>
  <c r="AH608" i="13" s="1"/>
  <c r="S597" i="13"/>
  <c r="U597" i="13"/>
  <c r="AB597" i="13"/>
  <c r="AH597" i="13" s="1"/>
  <c r="AF597" i="13"/>
  <c r="AG597" i="13" s="1"/>
  <c r="AJ597" i="13"/>
  <c r="AK597" i="13"/>
  <c r="AL597" i="13"/>
  <c r="AB598" i="13"/>
  <c r="AH598" i="13" s="1"/>
  <c r="P302" i="13"/>
  <c r="Q302" i="13"/>
  <c r="W302" i="13" s="1"/>
  <c r="V302" i="13"/>
  <c r="AF302" i="13"/>
  <c r="V304" i="13"/>
  <c r="AF304" i="13"/>
  <c r="V305" i="13"/>
  <c r="P306" i="13"/>
  <c r="V306" i="13"/>
  <c r="AF306" i="13"/>
  <c r="V307" i="13"/>
  <c r="V308" i="13"/>
  <c r="AF308" i="13"/>
  <c r="V309" i="13"/>
  <c r="P310" i="13"/>
  <c r="V310" i="13"/>
  <c r="AF310" i="13"/>
  <c r="V311" i="13"/>
  <c r="V312" i="13"/>
  <c r="AF312" i="13"/>
  <c r="V313" i="13"/>
  <c r="P314" i="13"/>
  <c r="V314" i="13"/>
  <c r="AF314" i="13"/>
  <c r="V315" i="13"/>
  <c r="V316" i="13"/>
  <c r="AF316" i="13"/>
  <c r="V317" i="13"/>
  <c r="P318" i="13"/>
  <c r="V318" i="13"/>
  <c r="AF318" i="13"/>
  <c r="V319" i="13"/>
  <c r="V320" i="13"/>
  <c r="AF320" i="13"/>
  <c r="V321" i="13"/>
  <c r="P322" i="13"/>
  <c r="V322" i="13"/>
  <c r="AF322" i="13"/>
  <c r="V323" i="13"/>
  <c r="V324" i="13"/>
  <c r="AF324" i="13"/>
  <c r="V325" i="13"/>
  <c r="P326" i="13"/>
  <c r="R326" i="13"/>
  <c r="AF326" i="13"/>
  <c r="P327" i="13"/>
  <c r="V327" i="13"/>
  <c r="AF327" i="13"/>
  <c r="V328" i="13"/>
  <c r="P329" i="13"/>
  <c r="V329" i="13"/>
  <c r="AF329" i="13"/>
  <c r="V330" i="13"/>
  <c r="AK1502" i="13" l="1"/>
  <c r="AD1532" i="13"/>
  <c r="AH1532" i="13" s="1"/>
  <c r="AD1265" i="13"/>
  <c r="AH1265" i="13" s="1"/>
  <c r="AM1669" i="13"/>
  <c r="AR1669" i="13" s="1"/>
  <c r="AM1638" i="13"/>
  <c r="AM1651" i="13"/>
  <c r="AR1651" i="13" s="1"/>
  <c r="AM1635" i="13"/>
  <c r="AM1632" i="13"/>
  <c r="AL1583" i="13"/>
  <c r="AM1583" i="13" s="1"/>
  <c r="Q1696" i="13"/>
  <c r="AM1640" i="13"/>
  <c r="AM1629" i="13"/>
  <c r="AI1680" i="13"/>
  <c r="AG1722" i="13"/>
  <c r="AM1666" i="13"/>
  <c r="AR1666" i="13" s="1"/>
  <c r="AM1642" i="13"/>
  <c r="AK1712" i="13"/>
  <c r="AM1690" i="13"/>
  <c r="AR1690" i="13" s="1"/>
  <c r="AG1683" i="13"/>
  <c r="Q1683" i="13"/>
  <c r="AM1660" i="13"/>
  <c r="AR1660" i="13" s="1"/>
  <c r="AM1624" i="13"/>
  <c r="AM1621" i="13"/>
  <c r="AG1606" i="13"/>
  <c r="AG1696" i="13"/>
  <c r="AI1690" i="13"/>
  <c r="AI1689" i="13"/>
  <c r="AI1683" i="13"/>
  <c r="AM1663" i="13"/>
  <c r="AR1663" i="13" s="1"/>
  <c r="AM1657" i="13"/>
  <c r="AR1657" i="13" s="1"/>
  <c r="AM1654" i="13"/>
  <c r="AR1654" i="13" s="1"/>
  <c r="AM1645" i="13"/>
  <c r="AI1692" i="13"/>
  <c r="AL1686" i="13"/>
  <c r="Q1606" i="13"/>
  <c r="AG1621" i="13"/>
  <c r="AM1680" i="13"/>
  <c r="AM1648" i="13"/>
  <c r="AR1648" i="13" s="1"/>
  <c r="AM1626" i="13"/>
  <c r="AG1585" i="13"/>
  <c r="AK1616" i="13"/>
  <c r="W1606" i="13"/>
  <c r="U1712" i="13"/>
  <c r="AI1621" i="13"/>
  <c r="AI1503" i="13"/>
  <c r="AG1512" i="13"/>
  <c r="AI1545" i="13"/>
  <c r="AG1538" i="13"/>
  <c r="Q1503" i="13"/>
  <c r="AI1512" i="13"/>
  <c r="AG1496" i="13"/>
  <c r="AI1496" i="13"/>
  <c r="AG1456" i="13"/>
  <c r="W1500" i="13"/>
  <c r="AG1411" i="13"/>
  <c r="AI1456" i="13"/>
  <c r="AG1400" i="13"/>
  <c r="AL1364" i="13"/>
  <c r="AI1405" i="13"/>
  <c r="AM597" i="13"/>
  <c r="AM1269" i="13"/>
  <c r="AI1364" i="13"/>
  <c r="AG1301" i="13"/>
  <c r="AG604" i="13"/>
  <c r="W1070" i="13"/>
  <c r="AG1269" i="13"/>
  <c r="AI990" i="13"/>
  <c r="AM990" i="13"/>
  <c r="AI607" i="13"/>
  <c r="U607" i="13"/>
  <c r="AI706" i="13"/>
  <c r="AK607" i="13"/>
  <c r="W604" i="13"/>
  <c r="AL607" i="13"/>
  <c r="AI597" i="13"/>
  <c r="AG302" i="13"/>
  <c r="AL302" i="13" s="1"/>
  <c r="AF1528" i="13" l="1"/>
  <c r="AJ1515" i="13"/>
  <c r="AL1515" i="13" s="1"/>
  <c r="AF1256" i="13"/>
  <c r="AG1256" i="13" s="1"/>
  <c r="AJ1256" i="13"/>
  <c r="AI1261" i="13"/>
  <c r="AB1544" i="13"/>
  <c r="AH1544" i="13" s="1"/>
  <c r="AB1543" i="13"/>
  <c r="AH1543" i="13" s="1"/>
  <c r="AL1542" i="13"/>
  <c r="AK1542" i="13"/>
  <c r="AJ1542" i="13"/>
  <c r="AI1542" i="13"/>
  <c r="AF1542" i="13"/>
  <c r="AG1542" i="13" s="1"/>
  <c r="AB1542" i="13"/>
  <c r="AH1542" i="13" s="1"/>
  <c r="U1542" i="13"/>
  <c r="S1542" i="13"/>
  <c r="AK1453" i="13"/>
  <c r="AK1451" i="13"/>
  <c r="AK1449" i="13"/>
  <c r="AK1447" i="13"/>
  <c r="AK1445" i="13"/>
  <c r="AK1443" i="13"/>
  <c r="AK1441" i="13"/>
  <c r="AK1439" i="13"/>
  <c r="AK1437" i="13"/>
  <c r="AK1435" i="13"/>
  <c r="AB1434" i="13"/>
  <c r="AK1433" i="13"/>
  <c r="W1433" i="13"/>
  <c r="Q1433" i="13"/>
  <c r="AB1410" i="13"/>
  <c r="AH1410" i="13" s="1"/>
  <c r="AB1409" i="13"/>
  <c r="AH1409" i="13" s="1"/>
  <c r="AB1408" i="13"/>
  <c r="AH1408" i="13" s="1"/>
  <c r="AI1407" i="13"/>
  <c r="AF1407" i="13"/>
  <c r="AG1407" i="13" s="1"/>
  <c r="AB1407" i="13"/>
  <c r="AH1407" i="13" s="1"/>
  <c r="U1407" i="13"/>
  <c r="S1407" i="13"/>
  <c r="Q1407" i="13"/>
  <c r="AL1371" i="13"/>
  <c r="AK1371" i="13"/>
  <c r="AB1371" i="13"/>
  <c r="AH1371" i="13" s="1"/>
  <c r="AB1370" i="13"/>
  <c r="AH1370" i="13" s="1"/>
  <c r="AL1369" i="13"/>
  <c r="AK1369" i="13"/>
  <c r="AJ1369" i="13"/>
  <c r="AI1369" i="13"/>
  <c r="AF1369" i="13"/>
  <c r="AG1369" i="13" s="1"/>
  <c r="AB1369" i="13"/>
  <c r="AH1369" i="13" s="1"/>
  <c r="W1369" i="13"/>
  <c r="U1369" i="13"/>
  <c r="S1369" i="13"/>
  <c r="Q1369" i="13"/>
  <c r="AK1360" i="13"/>
  <c r="AF1360" i="13"/>
  <c r="AG1360" i="13" s="1"/>
  <c r="AB1360" i="13"/>
  <c r="AH1359" i="13"/>
  <c r="AL1358" i="13"/>
  <c r="AK1358" i="13"/>
  <c r="AH1358" i="13"/>
  <c r="AF1358" i="13"/>
  <c r="U1358" i="13"/>
  <c r="S1358" i="13"/>
  <c r="AH1357" i="13"/>
  <c r="AH1356" i="13"/>
  <c r="AB1355" i="13"/>
  <c r="AH1355" i="13" s="1"/>
  <c r="AK1354" i="13"/>
  <c r="AJ1354" i="13"/>
  <c r="AL1354" i="13" s="1"/>
  <c r="AI1354" i="13"/>
  <c r="AF1354" i="13"/>
  <c r="AB1354" i="13"/>
  <c r="AH1354" i="13" s="1"/>
  <c r="W1354" i="13"/>
  <c r="U1354" i="13"/>
  <c r="S1354" i="13"/>
  <c r="Q1354" i="13"/>
  <c r="AL1353" i="13"/>
  <c r="AK1353" i="13"/>
  <c r="AI1353" i="13"/>
  <c r="AF1353" i="13"/>
  <c r="AB1353" i="13"/>
  <c r="AH1353" i="13" s="1"/>
  <c r="Z1352" i="13"/>
  <c r="AL1349" i="13" s="1"/>
  <c r="AB1351" i="13"/>
  <c r="AH1351" i="13" s="1"/>
  <c r="AB1350" i="13"/>
  <c r="AH1350" i="13" s="1"/>
  <c r="AF1349" i="13"/>
  <c r="AB1349" i="13"/>
  <c r="AH1349" i="13" s="1"/>
  <c r="W1349" i="13"/>
  <c r="U1349" i="13"/>
  <c r="S1349" i="13"/>
  <c r="Q1349" i="13"/>
  <c r="P1349" i="13"/>
  <c r="AK1349" i="13" s="1"/>
  <c r="P1348" i="13"/>
  <c r="W1336" i="13" s="1"/>
  <c r="AB1346" i="13"/>
  <c r="AB1345" i="13"/>
  <c r="AB1344" i="13"/>
  <c r="P1344" i="13"/>
  <c r="AB1342" i="13"/>
  <c r="AB1341" i="13"/>
  <c r="AB1340" i="13"/>
  <c r="AB1338" i="13"/>
  <c r="AB1337" i="13"/>
  <c r="AG1336" i="13"/>
  <c r="AB1336" i="13"/>
  <c r="V1336" i="13"/>
  <c r="P1336" i="13"/>
  <c r="AB1321" i="13"/>
  <c r="AB1320" i="13"/>
  <c r="AB1319" i="13"/>
  <c r="AF1318" i="13"/>
  <c r="AB1318" i="13"/>
  <c r="U1318" i="13"/>
  <c r="S1318" i="13"/>
  <c r="AB1317" i="13"/>
  <c r="AB1316" i="13"/>
  <c r="Z1315" i="13"/>
  <c r="AB1315" i="13" s="1"/>
  <c r="Z1314" i="13"/>
  <c r="AB1314" i="13" s="1"/>
  <c r="U1314" i="13"/>
  <c r="AB1313" i="13"/>
  <c r="AB1312" i="13"/>
  <c r="AB1311" i="13"/>
  <c r="AF1310" i="13"/>
  <c r="AB1310" i="13"/>
  <c r="U1310" i="13"/>
  <c r="S1310" i="13"/>
  <c r="P1310" i="13"/>
  <c r="Q1310" i="13" s="1"/>
  <c r="AL1309" i="13"/>
  <c r="AK1309" i="13"/>
  <c r="AJ1309" i="13"/>
  <c r="U1309" i="13"/>
  <c r="S1309" i="13"/>
  <c r="P1295" i="13"/>
  <c r="Q1295" i="13" s="1"/>
  <c r="AB1294" i="13"/>
  <c r="AH1294" i="13" s="1"/>
  <c r="AB1293" i="13"/>
  <c r="AH1293" i="13" s="1"/>
  <c r="AB1292" i="13"/>
  <c r="AH1292" i="13" s="1"/>
  <c r="AB1291" i="13"/>
  <c r="AH1291" i="13" s="1"/>
  <c r="AB1290" i="13"/>
  <c r="AH1290" i="13" s="1"/>
  <c r="AB1289" i="13"/>
  <c r="AH1289" i="13" s="1"/>
  <c r="AL1288" i="13"/>
  <c r="AK1288" i="13"/>
  <c r="AI1288" i="13"/>
  <c r="AF1288" i="13"/>
  <c r="AB1288" i="13"/>
  <c r="AH1288" i="13" s="1"/>
  <c r="U1288" i="13"/>
  <c r="S1288" i="13"/>
  <c r="AB1287" i="13"/>
  <c r="AH1287" i="13" s="1"/>
  <c r="AB1286" i="13"/>
  <c r="AH1286" i="13" s="1"/>
  <c r="AB1285" i="13"/>
  <c r="AH1285" i="13" s="1"/>
  <c r="AB1284" i="13"/>
  <c r="AH1284" i="13" s="1"/>
  <c r="AB1283" i="13"/>
  <c r="AH1283" i="13" s="1"/>
  <c r="AB1282" i="13"/>
  <c r="AH1282" i="13" s="1"/>
  <c r="AK1281" i="13"/>
  <c r="AI1281" i="13"/>
  <c r="AB1281" i="13"/>
  <c r="AH1281" i="13" s="1"/>
  <c r="U1281" i="13"/>
  <c r="AB1280" i="13"/>
  <c r="AH1280" i="13" s="1"/>
  <c r="AB1279" i="13"/>
  <c r="AH1279" i="13" s="1"/>
  <c r="AB1278" i="13"/>
  <c r="AH1278" i="13" s="1"/>
  <c r="AB1277" i="13"/>
  <c r="AH1277" i="13" s="1"/>
  <c r="AB1276" i="13"/>
  <c r="AH1276" i="13" s="1"/>
  <c r="AB1275" i="13"/>
  <c r="AH1275" i="13" s="1"/>
  <c r="AL1274" i="13"/>
  <c r="AK1274" i="13"/>
  <c r="AI1274" i="13"/>
  <c r="AF1274" i="13"/>
  <c r="AB1274" i="13"/>
  <c r="AH1274" i="13" s="1"/>
  <c r="U1274" i="13"/>
  <c r="S1274" i="13"/>
  <c r="P1274" i="13"/>
  <c r="Q1274" i="13" s="1"/>
  <c r="AB1255" i="13"/>
  <c r="AH1255" i="13" s="1"/>
  <c r="AB1254" i="13"/>
  <c r="AH1254" i="13" s="1"/>
  <c r="AB1253" i="13"/>
  <c r="AH1253" i="13" s="1"/>
  <c r="AK1252" i="13"/>
  <c r="AJ1252" i="13"/>
  <c r="AL1252" i="13" s="1"/>
  <c r="AI1252" i="13"/>
  <c r="AF1252" i="13"/>
  <c r="AG1252" i="13" s="1"/>
  <c r="AB1252" i="13"/>
  <c r="AH1252" i="13" s="1"/>
  <c r="U1252" i="13"/>
  <c r="S1252" i="13"/>
  <c r="AK1251" i="13"/>
  <c r="U1251" i="13"/>
  <c r="S1251" i="13"/>
  <c r="AB1250" i="13"/>
  <c r="AH1250" i="13" s="1"/>
  <c r="AB1249" i="13"/>
  <c r="AH1249" i="13" s="1"/>
  <c r="AB1248" i="13"/>
  <c r="AH1248" i="13" s="1"/>
  <c r="AB1247" i="13"/>
  <c r="AH1247" i="13" s="1"/>
  <c r="AB1246" i="13"/>
  <c r="AH1246" i="13" s="1"/>
  <c r="AB1245" i="13"/>
  <c r="AH1245" i="13" s="1"/>
  <c r="AK1244" i="13"/>
  <c r="AJ1244" i="13"/>
  <c r="AL1244" i="13" s="1"/>
  <c r="AI1244" i="13"/>
  <c r="AF1244" i="13"/>
  <c r="AG1244" i="13" s="1"/>
  <c r="AB1244" i="13"/>
  <c r="AH1244" i="13" s="1"/>
  <c r="U1244" i="13"/>
  <c r="S1244" i="13"/>
  <c r="AL1243" i="13"/>
  <c r="AK1243" i="13"/>
  <c r="AI1243" i="13"/>
  <c r="AF1243" i="13"/>
  <c r="AH1243" i="13"/>
  <c r="U1243" i="13"/>
  <c r="S1243" i="13"/>
  <c r="AH1242" i="13"/>
  <c r="AB1241" i="13"/>
  <c r="AH1241" i="13" s="1"/>
  <c r="AB1240" i="13"/>
  <c r="AH1240" i="13" s="1"/>
  <c r="AB1239" i="13"/>
  <c r="AH1239" i="13" s="1"/>
  <c r="AK1238" i="13"/>
  <c r="AJ1238" i="13"/>
  <c r="AL1238" i="13" s="1"/>
  <c r="AF1238" i="13"/>
  <c r="AB1238" i="13"/>
  <c r="AH1238" i="13" s="1"/>
  <c r="W1238" i="13"/>
  <c r="U1238" i="13"/>
  <c r="S1238" i="13"/>
  <c r="Q1238" i="13"/>
  <c r="AB1237" i="13"/>
  <c r="AH1237" i="13" s="1"/>
  <c r="AL1236" i="13"/>
  <c r="AK1236" i="13"/>
  <c r="AI1236" i="13"/>
  <c r="AB1236" i="13"/>
  <c r="AH1236" i="13" s="1"/>
  <c r="U1236" i="13"/>
  <c r="S1236" i="13"/>
  <c r="AB1235" i="13"/>
  <c r="AH1235" i="13" s="1"/>
  <c r="AL1234" i="13"/>
  <c r="AK1234" i="13"/>
  <c r="AJ1234" i="13"/>
  <c r="AI1234" i="13"/>
  <c r="AB1234" i="13"/>
  <c r="AH1234" i="13" s="1"/>
  <c r="W1234" i="13"/>
  <c r="U1234" i="13"/>
  <c r="S1234" i="13"/>
  <c r="Q1234" i="13"/>
  <c r="AL1233" i="13"/>
  <c r="AK1233" i="13"/>
  <c r="AJ1233" i="13"/>
  <c r="AI1233" i="13"/>
  <c r="AF1233" i="13"/>
  <c r="AG1233" i="13" s="1"/>
  <c r="AB1233" i="13"/>
  <c r="AH1233" i="13" s="1"/>
  <c r="U1233" i="13"/>
  <c r="S1233" i="13"/>
  <c r="AL1225" i="13"/>
  <c r="AK1225" i="13"/>
  <c r="AJ1225" i="13"/>
  <c r="AI1225" i="13"/>
  <c r="AF1225" i="13"/>
  <c r="AG1225" i="13" s="1"/>
  <c r="AB1225" i="13"/>
  <c r="AH1225" i="13" s="1"/>
  <c r="U1225" i="13"/>
  <c r="AB1224" i="13"/>
  <c r="AH1224" i="13" s="1"/>
  <c r="AB1223" i="13"/>
  <c r="AH1223" i="13" s="1"/>
  <c r="AL1222" i="13"/>
  <c r="AK1222" i="13"/>
  <c r="AI1222" i="13"/>
  <c r="AF1222" i="13"/>
  <c r="AB1222" i="13"/>
  <c r="AH1222" i="13" s="1"/>
  <c r="U1222" i="13"/>
  <c r="S1222" i="13"/>
  <c r="AB1221" i="13"/>
  <c r="AH1221" i="13" s="1"/>
  <c r="AB1220" i="13"/>
  <c r="AH1220" i="13" s="1"/>
  <c r="AB1219" i="13"/>
  <c r="AH1219" i="13" s="1"/>
  <c r="AB1218" i="13"/>
  <c r="AH1218" i="13" s="1"/>
  <c r="AB1217" i="13"/>
  <c r="AH1217" i="13" s="1"/>
  <c r="AL1216" i="13"/>
  <c r="AK1216" i="13"/>
  <c r="AI1216" i="13"/>
  <c r="AF1216" i="13"/>
  <c r="AB1216" i="13"/>
  <c r="AH1216" i="13" s="1"/>
  <c r="U1216" i="13"/>
  <c r="S1216" i="13"/>
  <c r="AB1215" i="13"/>
  <c r="AH1215" i="13" s="1"/>
  <c r="AB1214" i="13"/>
  <c r="AH1214" i="13" s="1"/>
  <c r="AB1213" i="13"/>
  <c r="AH1213" i="13" s="1"/>
  <c r="AB1212" i="13"/>
  <c r="AH1212" i="13" s="1"/>
  <c r="AB1211" i="13"/>
  <c r="AH1211" i="13" s="1"/>
  <c r="AL1210" i="13"/>
  <c r="AK1210" i="13"/>
  <c r="AJ1210" i="13"/>
  <c r="AI1210" i="13"/>
  <c r="AF1210" i="13"/>
  <c r="AB1210" i="13"/>
  <c r="AH1210" i="13" s="1"/>
  <c r="W1210" i="13"/>
  <c r="U1210" i="13"/>
  <c r="S1210" i="13"/>
  <c r="Q1210" i="13"/>
  <c r="AB1203" i="13"/>
  <c r="AH1203" i="13" s="1"/>
  <c r="AL1202" i="13"/>
  <c r="AK1202" i="13"/>
  <c r="AI1202" i="13"/>
  <c r="AF1202" i="13"/>
  <c r="AB1202" i="13"/>
  <c r="AH1202" i="13" s="1"/>
  <c r="U1202" i="13"/>
  <c r="S1202" i="13"/>
  <c r="AB1201" i="13"/>
  <c r="AH1201" i="13" s="1"/>
  <c r="AB1200" i="13"/>
  <c r="AH1200" i="13" s="1"/>
  <c r="AB1199" i="13"/>
  <c r="AH1199" i="13" s="1"/>
  <c r="AL1198" i="13"/>
  <c r="AK1198" i="13"/>
  <c r="AI1198" i="13"/>
  <c r="AF1198" i="13"/>
  <c r="AB1198" i="13"/>
  <c r="AH1198" i="13" s="1"/>
  <c r="U1198" i="13"/>
  <c r="S1198" i="13"/>
  <c r="AB1197" i="13"/>
  <c r="AH1197" i="13" s="1"/>
  <c r="AB1196" i="13"/>
  <c r="AH1196" i="13" s="1"/>
  <c r="AB1195" i="13"/>
  <c r="AH1195" i="13" s="1"/>
  <c r="AB1194" i="13"/>
  <c r="AH1194" i="13" s="1"/>
  <c r="AL1193" i="13"/>
  <c r="AK1193" i="13"/>
  <c r="AJ1193" i="13"/>
  <c r="AI1193" i="13"/>
  <c r="AF1193" i="13"/>
  <c r="AB1193" i="13"/>
  <c r="AH1193" i="13" s="1"/>
  <c r="W1193" i="13"/>
  <c r="U1193" i="13"/>
  <c r="S1193" i="13"/>
  <c r="Q1193" i="13"/>
  <c r="AB1192" i="13"/>
  <c r="AH1192" i="13" s="1"/>
  <c r="AL1191" i="13"/>
  <c r="AK1191" i="13"/>
  <c r="AJ1191" i="13"/>
  <c r="AI1191" i="13"/>
  <c r="AF1191" i="13"/>
  <c r="AG1191" i="13" s="1"/>
  <c r="AB1191" i="13"/>
  <c r="AH1191" i="13" s="1"/>
  <c r="U1191" i="13"/>
  <c r="S1191" i="13"/>
  <c r="AB1190" i="13"/>
  <c r="AH1190" i="13" s="1"/>
  <c r="AB1189" i="13"/>
  <c r="AH1189" i="13" s="1"/>
  <c r="AL1188" i="13"/>
  <c r="AK1188" i="13"/>
  <c r="AI1188" i="13"/>
  <c r="AF1188" i="13"/>
  <c r="AB1188" i="13"/>
  <c r="AH1188" i="13" s="1"/>
  <c r="U1188" i="13"/>
  <c r="S1188" i="13"/>
  <c r="AB1187" i="13"/>
  <c r="AH1187" i="13" s="1"/>
  <c r="AB1186" i="13"/>
  <c r="AH1186" i="13" s="1"/>
  <c r="AB1185" i="13"/>
  <c r="AH1185" i="13" s="1"/>
  <c r="AL1184" i="13"/>
  <c r="AK1184" i="13"/>
  <c r="AI1184" i="13"/>
  <c r="AF1184" i="13"/>
  <c r="AB1184" i="13"/>
  <c r="AH1184" i="13" s="1"/>
  <c r="U1184" i="13"/>
  <c r="S1184" i="13"/>
  <c r="AB1183" i="13"/>
  <c r="AH1183" i="13" s="1"/>
  <c r="AB1182" i="13"/>
  <c r="AH1182" i="13" s="1"/>
  <c r="AB1181" i="13"/>
  <c r="AH1181" i="13" s="1"/>
  <c r="AK1180" i="13"/>
  <c r="AI1180" i="13"/>
  <c r="AB1180" i="13"/>
  <c r="AH1180" i="13" s="1"/>
  <c r="U1180" i="13"/>
  <c r="AB1179" i="13"/>
  <c r="AH1179" i="13" s="1"/>
  <c r="AB1178" i="13"/>
  <c r="AH1178" i="13" s="1"/>
  <c r="AB1177" i="13"/>
  <c r="AH1177" i="13" s="1"/>
  <c r="AL1176" i="13"/>
  <c r="AK1176" i="13"/>
  <c r="AJ1176" i="13"/>
  <c r="AI1176" i="13"/>
  <c r="AF1176" i="13"/>
  <c r="AB1176" i="13"/>
  <c r="AH1176" i="13" s="1"/>
  <c r="W1176" i="13"/>
  <c r="U1176" i="13"/>
  <c r="S1176" i="13"/>
  <c r="P1176" i="13"/>
  <c r="Q1176" i="13" s="1"/>
  <c r="AB1175" i="13"/>
  <c r="AH1175" i="13" s="1"/>
  <c r="AB1174" i="13"/>
  <c r="AH1174" i="13" s="1"/>
  <c r="AF1173" i="13"/>
  <c r="AB1173" i="13"/>
  <c r="AH1173" i="13" s="1"/>
  <c r="U1173" i="13"/>
  <c r="S1173" i="13"/>
  <c r="AB1172" i="13"/>
  <c r="AH1172" i="13" s="1"/>
  <c r="AB1171" i="13"/>
  <c r="AH1171" i="13" s="1"/>
  <c r="AF1170" i="13"/>
  <c r="AB1170" i="13"/>
  <c r="AH1170" i="13" s="1"/>
  <c r="U1170" i="13"/>
  <c r="S1170" i="13"/>
  <c r="AB1169" i="13"/>
  <c r="AH1169" i="13" s="1"/>
  <c r="AB1168" i="13"/>
  <c r="AH1168" i="13" s="1"/>
  <c r="AB1167" i="13"/>
  <c r="AH1167" i="13" s="1"/>
  <c r="AB1166" i="13"/>
  <c r="AH1166" i="13" s="1"/>
  <c r="AB1165" i="13"/>
  <c r="AH1165" i="13" s="1"/>
  <c r="AF1164" i="13"/>
  <c r="AB1164" i="13"/>
  <c r="AH1164" i="13" s="1"/>
  <c r="U1164" i="13"/>
  <c r="S1164" i="13"/>
  <c r="AB1163" i="13"/>
  <c r="AH1163" i="13" s="1"/>
  <c r="AB1162" i="13"/>
  <c r="AB1161" i="13"/>
  <c r="AB1160" i="13"/>
  <c r="AH1160" i="13" s="1"/>
  <c r="AB1158" i="13"/>
  <c r="AH1158" i="13" s="1"/>
  <c r="AB1157" i="13"/>
  <c r="AH1157" i="13" s="1"/>
  <c r="U1157" i="13"/>
  <c r="AB1156" i="13"/>
  <c r="AH1156" i="13" s="1"/>
  <c r="AB1155" i="13"/>
  <c r="AH1155" i="13" s="1"/>
  <c r="AB1154" i="13"/>
  <c r="AH1154" i="13" s="1"/>
  <c r="AB1153" i="13"/>
  <c r="AH1153" i="13" s="1"/>
  <c r="AB1152" i="13"/>
  <c r="AH1152" i="13" s="1"/>
  <c r="AF1151" i="13"/>
  <c r="AB1151" i="13"/>
  <c r="AH1151" i="13" s="1"/>
  <c r="W1151" i="13"/>
  <c r="U1151" i="13"/>
  <c r="S1151" i="13"/>
  <c r="P1151" i="13"/>
  <c r="Q1151" i="13" s="1"/>
  <c r="AB1150" i="13"/>
  <c r="AL1149" i="13"/>
  <c r="AK1149" i="13"/>
  <c r="AF1149" i="13"/>
  <c r="AG1149" i="13" s="1"/>
  <c r="AB1149" i="13"/>
  <c r="V1149" i="13"/>
  <c r="AH1148" i="13"/>
  <c r="AK1147" i="13"/>
  <c r="AI1147" i="13"/>
  <c r="AF1147" i="13"/>
  <c r="AB1147" i="13"/>
  <c r="AH1147" i="13" s="1"/>
  <c r="U1147" i="13"/>
  <c r="S1147" i="13"/>
  <c r="AH1146" i="13"/>
  <c r="AB1145" i="13"/>
  <c r="AH1145" i="13" s="1"/>
  <c r="AK1144" i="13"/>
  <c r="AI1144" i="13"/>
  <c r="AF1144" i="13"/>
  <c r="AB1144" i="13"/>
  <c r="AH1144" i="13" s="1"/>
  <c r="U1144" i="13"/>
  <c r="S1144" i="13"/>
  <c r="AB1143" i="13"/>
  <c r="AH1143" i="13" s="1"/>
  <c r="AB1142" i="13"/>
  <c r="AH1142" i="13" s="1"/>
  <c r="AB1141" i="13"/>
  <c r="AH1141" i="13" s="1"/>
  <c r="AB1140" i="13"/>
  <c r="AH1140" i="13" s="1"/>
  <c r="AB1139" i="13"/>
  <c r="AH1139" i="13" s="1"/>
  <c r="AB1138" i="13"/>
  <c r="AH1138" i="13" s="1"/>
  <c r="AB1137" i="13"/>
  <c r="AH1137" i="13" s="1"/>
  <c r="AK1136" i="13"/>
  <c r="AI1136" i="13"/>
  <c r="AF1136" i="13"/>
  <c r="AB1136" i="13"/>
  <c r="AH1136" i="13" s="1"/>
  <c r="U1136" i="13"/>
  <c r="S1136" i="13"/>
  <c r="AB1135" i="13"/>
  <c r="AH1135" i="13" s="1"/>
  <c r="AB1134" i="13"/>
  <c r="AH1134" i="13" s="1"/>
  <c r="AB1133" i="13"/>
  <c r="AH1133" i="13" s="1"/>
  <c r="AB1132" i="13"/>
  <c r="AH1132" i="13" s="1"/>
  <c r="AB1131" i="13"/>
  <c r="AH1131" i="13" s="1"/>
  <c r="AB1130" i="13"/>
  <c r="AH1130" i="13" s="1"/>
  <c r="AB1129" i="13"/>
  <c r="AH1129" i="13" s="1"/>
  <c r="AK1128" i="13"/>
  <c r="AI1128" i="13"/>
  <c r="AF1128" i="13"/>
  <c r="AB1128" i="13"/>
  <c r="AH1128" i="13" s="1"/>
  <c r="W1128" i="13"/>
  <c r="U1128" i="13"/>
  <c r="S1128" i="13"/>
  <c r="Q1128" i="13"/>
  <c r="AL1127" i="13"/>
  <c r="AK1127" i="13"/>
  <c r="AI1127" i="13"/>
  <c r="AF1127" i="13"/>
  <c r="AB1127" i="13"/>
  <c r="AH1127" i="13" s="1"/>
  <c r="U1127" i="13"/>
  <c r="S1127" i="13"/>
  <c r="AB1126" i="13"/>
  <c r="AH1126" i="13" s="1"/>
  <c r="AB1125" i="13"/>
  <c r="AH1125" i="13" s="1"/>
  <c r="AL1124" i="13"/>
  <c r="AK1124" i="13"/>
  <c r="AI1124" i="13"/>
  <c r="AF1124" i="13"/>
  <c r="AB1124" i="13"/>
  <c r="AH1124" i="13" s="1"/>
  <c r="U1124" i="13"/>
  <c r="S1124" i="13"/>
  <c r="AB1123" i="13"/>
  <c r="AH1123" i="13" s="1"/>
  <c r="AB1122" i="13"/>
  <c r="AH1122" i="13" s="1"/>
  <c r="AL1121" i="13"/>
  <c r="AK1121" i="13"/>
  <c r="AJ1121" i="13"/>
  <c r="AI1121" i="13"/>
  <c r="AF1121" i="13"/>
  <c r="AB1121" i="13"/>
  <c r="AH1121" i="13" s="1"/>
  <c r="U1121" i="13"/>
  <c r="S1121" i="13"/>
  <c r="Q1121" i="13"/>
  <c r="AB1120" i="13"/>
  <c r="AH1120" i="13" s="1"/>
  <c r="AB1119" i="13"/>
  <c r="AH1119" i="13" s="1"/>
  <c r="AL1118" i="13"/>
  <c r="AK1118" i="13"/>
  <c r="AI1118" i="13"/>
  <c r="AF1118" i="13"/>
  <c r="AB1118" i="13"/>
  <c r="AH1118" i="13" s="1"/>
  <c r="U1118" i="13"/>
  <c r="S1118" i="13"/>
  <c r="AB1117" i="13"/>
  <c r="AH1117" i="13" s="1"/>
  <c r="AB1116" i="13"/>
  <c r="AH1116" i="13" s="1"/>
  <c r="AB1115" i="13"/>
  <c r="AH1115" i="13" s="1"/>
  <c r="AB1114" i="13"/>
  <c r="AH1114" i="13" s="1"/>
  <c r="AL1113" i="13"/>
  <c r="AK1113" i="13"/>
  <c r="AI1113" i="13"/>
  <c r="AF1113" i="13"/>
  <c r="AB1113" i="13"/>
  <c r="AH1113" i="13" s="1"/>
  <c r="U1113" i="13"/>
  <c r="S1113" i="13"/>
  <c r="AB1112" i="13"/>
  <c r="AH1112" i="13" s="1"/>
  <c r="AB1111" i="13"/>
  <c r="AH1111" i="13" s="1"/>
  <c r="AB1110" i="13"/>
  <c r="AH1110" i="13" s="1"/>
  <c r="AK1109" i="13"/>
  <c r="AI1109" i="13"/>
  <c r="AB1109" i="13"/>
  <c r="AH1109" i="13" s="1"/>
  <c r="U1109" i="13"/>
  <c r="AB1108" i="13"/>
  <c r="AH1108" i="13" s="1"/>
  <c r="AB1107" i="13"/>
  <c r="AH1107" i="13" s="1"/>
  <c r="AB1106" i="13"/>
  <c r="AH1106" i="13" s="1"/>
  <c r="AB1105" i="13"/>
  <c r="AH1105" i="13" s="1"/>
  <c r="AB1104" i="13"/>
  <c r="AH1104" i="13" s="1"/>
  <c r="AL1103" i="13"/>
  <c r="AK1103" i="13"/>
  <c r="AJ1103" i="13"/>
  <c r="AI1103" i="13"/>
  <c r="AF1103" i="13"/>
  <c r="AB1103" i="13"/>
  <c r="AH1103" i="13" s="1"/>
  <c r="W1103" i="13"/>
  <c r="U1103" i="13"/>
  <c r="P1103" i="13"/>
  <c r="Q1103" i="13" s="1"/>
  <c r="S1103" i="13" s="1"/>
  <c r="AF1102" i="13"/>
  <c r="AF1101" i="13"/>
  <c r="V1101" i="13"/>
  <c r="W1077" i="13" s="1"/>
  <c r="AF1099" i="13"/>
  <c r="AB1099" i="13"/>
  <c r="AB1097" i="13"/>
  <c r="AB1096" i="13"/>
  <c r="AF1095" i="13"/>
  <c r="AB1095" i="13"/>
  <c r="AB1094" i="13"/>
  <c r="AB1093" i="13"/>
  <c r="AF1092" i="13"/>
  <c r="AA1092" i="13"/>
  <c r="AB1092" i="13" s="1"/>
  <c r="AB1091" i="13"/>
  <c r="AB1090" i="13"/>
  <c r="AB1089" i="13"/>
  <c r="AF1088" i="13"/>
  <c r="AA1088" i="13"/>
  <c r="AB1088" i="13" s="1"/>
  <c r="AI1087" i="13"/>
  <c r="AB1087" i="13"/>
  <c r="AF1086" i="13"/>
  <c r="AA1086" i="13"/>
  <c r="AB1086" i="13" s="1"/>
  <c r="AB1085" i="13"/>
  <c r="AB1084" i="13"/>
  <c r="AF1083" i="13"/>
  <c r="AA1083" i="13"/>
  <c r="AB1083" i="13" s="1"/>
  <c r="AB1081" i="13"/>
  <c r="AA1080" i="13"/>
  <c r="AB1080" i="13" s="1"/>
  <c r="AB1079" i="13"/>
  <c r="AI1079" i="13" s="1"/>
  <c r="AB1078" i="13"/>
  <c r="AF1077" i="13"/>
  <c r="AA1077" i="13"/>
  <c r="AB1077" i="13" s="1"/>
  <c r="Q1077" i="13"/>
  <c r="I1077" i="13"/>
  <c r="Q1040" i="13"/>
  <c r="S1040" i="13"/>
  <c r="U1040" i="13"/>
  <c r="W1040" i="13"/>
  <c r="AB1040" i="13"/>
  <c r="AH1040" i="13" s="1"/>
  <c r="AF1040" i="13"/>
  <c r="AI1040" i="13"/>
  <c r="AJ1040" i="13"/>
  <c r="AK1040" i="13"/>
  <c r="AL1040" i="13"/>
  <c r="AB1041" i="13"/>
  <c r="AH1041" i="13" s="1"/>
  <c r="AB1042" i="13"/>
  <c r="AH1042" i="13" s="1"/>
  <c r="S1043" i="13"/>
  <c r="U1043" i="13"/>
  <c r="AB1043" i="13"/>
  <c r="AH1043" i="13" s="1"/>
  <c r="AF1043" i="13"/>
  <c r="AI1043" i="13"/>
  <c r="AK1043" i="13"/>
  <c r="AM1043" i="13" s="1"/>
  <c r="AB1044" i="13"/>
  <c r="AH1044" i="13" s="1"/>
  <c r="AB1045" i="13"/>
  <c r="AH1045" i="13" s="1"/>
  <c r="AB1046" i="13"/>
  <c r="AH1046" i="13" s="1"/>
  <c r="AB1047" i="13"/>
  <c r="AH1047" i="13" s="1"/>
  <c r="S1048" i="13"/>
  <c r="U1048" i="13"/>
  <c r="AB1048" i="13"/>
  <c r="AH1048" i="13" s="1"/>
  <c r="AF1048" i="13"/>
  <c r="AI1048" i="13"/>
  <c r="AK1048" i="13"/>
  <c r="AL1048" i="13"/>
  <c r="AB1049" i="13"/>
  <c r="AH1049" i="13" s="1"/>
  <c r="AB1050" i="13"/>
  <c r="AH1050" i="13" s="1"/>
  <c r="AB1051" i="13"/>
  <c r="AH1051" i="13" s="1"/>
  <c r="S1052" i="13"/>
  <c r="U1052" i="13"/>
  <c r="AB1052" i="13"/>
  <c r="AH1052" i="13" s="1"/>
  <c r="AF1052" i="13"/>
  <c r="AI1052" i="13"/>
  <c r="AK1052" i="13"/>
  <c r="AM1052" i="13" s="1"/>
  <c r="AB1053" i="13"/>
  <c r="AH1053" i="13" s="1"/>
  <c r="AB1054" i="13"/>
  <c r="AH1054" i="13" s="1"/>
  <c r="AB1055" i="13"/>
  <c r="AH1055" i="13" s="1"/>
  <c r="AB1056" i="13"/>
  <c r="AH1056" i="13" s="1"/>
  <c r="S1057" i="13"/>
  <c r="U1057" i="13"/>
  <c r="AB1057" i="13"/>
  <c r="AH1057" i="13" s="1"/>
  <c r="AF1057" i="13"/>
  <c r="AI1057" i="13"/>
  <c r="AK1057" i="13"/>
  <c r="AL1057" i="13"/>
  <c r="AB1058" i="13"/>
  <c r="AH1058" i="13" s="1"/>
  <c r="AB1059" i="13"/>
  <c r="AH1059" i="13" s="1"/>
  <c r="AB1060" i="13"/>
  <c r="AH1060" i="13" s="1"/>
  <c r="S1061" i="13"/>
  <c r="U1061" i="13"/>
  <c r="AB1061" i="13"/>
  <c r="AH1061" i="13" s="1"/>
  <c r="AF1061" i="13"/>
  <c r="AI1061" i="13"/>
  <c r="AK1061" i="13"/>
  <c r="AL1061" i="13"/>
  <c r="S1062" i="13"/>
  <c r="U1062" i="13"/>
  <c r="AB1062" i="13"/>
  <c r="AH1062" i="13" s="1"/>
  <c r="AF1062" i="13"/>
  <c r="AI1062" i="13"/>
  <c r="AK1062" i="13"/>
  <c r="AL1062" i="13"/>
  <c r="AB1063" i="13"/>
  <c r="AH1063" i="13" s="1"/>
  <c r="S1064" i="13"/>
  <c r="U1064" i="13"/>
  <c r="AB1064" i="13"/>
  <c r="AH1064" i="13" s="1"/>
  <c r="AF1064" i="13"/>
  <c r="AI1064" i="13"/>
  <c r="AK1064" i="13"/>
  <c r="AL1064" i="13"/>
  <c r="AI1528" i="13" l="1"/>
  <c r="AG1515" i="13"/>
  <c r="AG1121" i="13"/>
  <c r="AG1128" i="13"/>
  <c r="AG1210" i="13"/>
  <c r="AG1274" i="13"/>
  <c r="AM1057" i="13"/>
  <c r="AG1103" i="13"/>
  <c r="AG1176" i="13"/>
  <c r="AG1193" i="13"/>
  <c r="AG1238" i="13"/>
  <c r="AI1238" i="13" s="1"/>
  <c r="AB1352" i="13"/>
  <c r="AH1352" i="13" s="1"/>
  <c r="AG1151" i="13"/>
  <c r="AJ1349" i="13"/>
  <c r="Q1336" i="13"/>
  <c r="AK1336" i="13" s="1"/>
  <c r="AM1149" i="13"/>
  <c r="AG1354" i="13"/>
  <c r="AM1061" i="13"/>
  <c r="AM1225" i="13"/>
  <c r="AM1064" i="13"/>
  <c r="AM1118" i="13"/>
  <c r="AM1040" i="13"/>
  <c r="AG1349" i="13"/>
  <c r="AM1191" i="13"/>
  <c r="AM1233" i="13"/>
  <c r="AM1062" i="13"/>
  <c r="AM1048" i="13"/>
  <c r="AG1077" i="13"/>
  <c r="AM1103" i="13"/>
  <c r="AM1113" i="13"/>
  <c r="AG1040" i="13"/>
  <c r="AI1349" i="13"/>
  <c r="Q739" i="13" l="1"/>
  <c r="U739" i="13"/>
  <c r="AB739" i="13"/>
  <c r="AH739" i="13" s="1"/>
  <c r="AF739" i="13"/>
  <c r="AI739" i="13"/>
  <c r="AJ739" i="13"/>
  <c r="AK739" i="13"/>
  <c r="AL739" i="13"/>
  <c r="AB740" i="13"/>
  <c r="AH740" i="13" s="1"/>
  <c r="AB741" i="13"/>
  <c r="AH741" i="13" s="1"/>
  <c r="U742" i="13"/>
  <c r="AB742" i="13"/>
  <c r="AH742" i="13" s="1"/>
  <c r="AF742" i="13"/>
  <c r="AI742" i="13"/>
  <c r="AK742" i="13"/>
  <c r="AL742" i="13"/>
  <c r="AB743" i="13"/>
  <c r="AH743" i="13" s="1"/>
  <c r="AB744" i="13"/>
  <c r="AH744" i="13" s="1"/>
  <c r="P745" i="13"/>
  <c r="S745" i="13"/>
  <c r="U745" i="13"/>
  <c r="AB745" i="13"/>
  <c r="AH745" i="13" s="1"/>
  <c r="AF745" i="13"/>
  <c r="AI745" i="13"/>
  <c r="AJ745" i="13"/>
  <c r="AK745" i="13"/>
  <c r="AL745" i="13"/>
  <c r="AB746" i="13"/>
  <c r="AH746" i="13" s="1"/>
  <c r="AB747" i="13"/>
  <c r="AH747" i="13" s="1"/>
  <c r="AB748" i="13"/>
  <c r="AH748" i="13" s="1"/>
  <c r="AB749" i="13"/>
  <c r="AH749" i="13" s="1"/>
  <c r="AB750" i="13"/>
  <c r="AH750" i="13" s="1"/>
  <c r="AB751" i="13"/>
  <c r="AH751" i="13" s="1"/>
  <c r="AB752" i="13"/>
  <c r="AH752" i="13" s="1"/>
  <c r="U753" i="13"/>
  <c r="AB753" i="13"/>
  <c r="AH753" i="13" s="1"/>
  <c r="AI753" i="13"/>
  <c r="AK753" i="13"/>
  <c r="AB754" i="13"/>
  <c r="AH754" i="13" s="1"/>
  <c r="U755" i="13"/>
  <c r="AB755" i="13"/>
  <c r="AH755" i="13" s="1"/>
  <c r="AF755" i="13"/>
  <c r="AI755" i="13"/>
  <c r="AK755" i="13"/>
  <c r="AL755" i="13"/>
  <c r="AB756" i="13"/>
  <c r="AH756" i="13" s="1"/>
  <c r="AB757" i="13"/>
  <c r="AH757" i="13" s="1"/>
  <c r="AB758" i="13"/>
  <c r="AH758" i="13" s="1"/>
  <c r="AB759" i="13"/>
  <c r="AH759" i="13" s="1"/>
  <c r="P760" i="13"/>
  <c r="U760" i="13"/>
  <c r="AB760" i="13"/>
  <c r="AH760" i="13" s="1"/>
  <c r="AF760" i="13"/>
  <c r="AI760" i="13"/>
  <c r="U761" i="13"/>
  <c r="AB761" i="13"/>
  <c r="AH761" i="13" s="1"/>
  <c r="AF761" i="13"/>
  <c r="AI761" i="13"/>
  <c r="AJ761" i="13"/>
  <c r="AK761" i="13"/>
  <c r="AL761" i="13"/>
  <c r="AB762" i="13"/>
  <c r="AH762" i="13" s="1"/>
  <c r="AB763" i="13"/>
  <c r="AH763" i="13" s="1"/>
  <c r="AB764" i="13"/>
  <c r="AH764" i="13" s="1"/>
  <c r="AB765" i="13"/>
  <c r="AH765" i="13" s="1"/>
  <c r="S767" i="13"/>
  <c r="U767" i="13"/>
  <c r="AB767" i="13"/>
  <c r="AH767" i="13" s="1"/>
  <c r="AF767" i="13"/>
  <c r="AI767" i="13"/>
  <c r="AK767" i="13"/>
  <c r="AL767" i="13"/>
  <c r="AB768" i="13"/>
  <c r="AH768" i="13" s="1"/>
  <c r="AB769" i="13"/>
  <c r="AH769" i="13" s="1"/>
  <c r="AB770" i="13"/>
  <c r="AH770" i="13" s="1"/>
  <c r="AB771" i="13"/>
  <c r="AH771" i="13" s="1"/>
  <c r="U772" i="13"/>
  <c r="AB772" i="13"/>
  <c r="AH772" i="13" s="1"/>
  <c r="AI772" i="13"/>
  <c r="AK772" i="13"/>
  <c r="AL772" i="13"/>
  <c r="AB773" i="13"/>
  <c r="AH773" i="13" s="1"/>
  <c r="AB774" i="13"/>
  <c r="AH774" i="13" s="1"/>
  <c r="AB775" i="13"/>
  <c r="AH775" i="13" s="1"/>
  <c r="AB776" i="13"/>
  <c r="AH776" i="13" s="1"/>
  <c r="U777" i="13"/>
  <c r="AB777" i="13"/>
  <c r="AH777" i="13" s="1"/>
  <c r="AF777" i="13"/>
  <c r="AI777" i="13"/>
  <c r="AK777" i="13"/>
  <c r="AL777" i="13"/>
  <c r="AB778" i="13"/>
  <c r="AH778" i="13" s="1"/>
  <c r="AB779" i="13"/>
  <c r="AH779" i="13" s="1"/>
  <c r="AB780" i="13"/>
  <c r="AH780" i="13" s="1"/>
  <c r="U781" i="13"/>
  <c r="AB781" i="13"/>
  <c r="AH781" i="13" s="1"/>
  <c r="AF781" i="13"/>
  <c r="AG781" i="13" s="1"/>
  <c r="AJ781" i="13" s="1"/>
  <c r="AL781" i="13" s="1"/>
  <c r="AM781" i="13" s="1"/>
  <c r="AI781" i="13"/>
  <c r="AB782" i="13"/>
  <c r="AH782" i="13" s="1"/>
  <c r="AB783" i="13"/>
  <c r="AH783" i="13" s="1"/>
  <c r="AB784" i="13"/>
  <c r="AH784" i="13" s="1"/>
  <c r="AB785" i="13"/>
  <c r="AH785" i="13" s="1"/>
  <c r="AB786" i="13"/>
  <c r="AH786" i="13" s="1"/>
  <c r="AB787" i="13"/>
  <c r="AH787" i="13" s="1"/>
  <c r="AB788" i="13"/>
  <c r="AH788" i="13" s="1"/>
  <c r="U789" i="13"/>
  <c r="AB789" i="13"/>
  <c r="AH789" i="13" s="1"/>
  <c r="AF789" i="13"/>
  <c r="AG789" i="13" s="1"/>
  <c r="AI789" i="13"/>
  <c r="AJ789" i="13"/>
  <c r="AL789" i="13" s="1"/>
  <c r="AK789" i="13"/>
  <c r="AB790" i="13"/>
  <c r="AH790" i="13" s="1"/>
  <c r="AB791" i="13"/>
  <c r="AH791" i="13" s="1"/>
  <c r="AB792" i="13"/>
  <c r="AH792" i="13" s="1"/>
  <c r="AB793" i="13"/>
  <c r="AH793" i="13" s="1"/>
  <c r="AB794" i="13"/>
  <c r="AH794" i="13" s="1"/>
  <c r="AB795" i="13"/>
  <c r="AH795" i="13" s="1"/>
  <c r="AB796" i="13"/>
  <c r="AH796" i="13" s="1"/>
  <c r="P797" i="13"/>
  <c r="AK797" i="13" s="1"/>
  <c r="U797" i="13"/>
  <c r="AB797" i="13"/>
  <c r="AH797" i="13" s="1"/>
  <c r="AF797" i="13"/>
  <c r="AI797" i="13"/>
  <c r="AJ797" i="13"/>
  <c r="AL797" i="13"/>
  <c r="AB798" i="13"/>
  <c r="AH798" i="13" s="1"/>
  <c r="AB799" i="13"/>
  <c r="AH799" i="13" s="1"/>
  <c r="AB800" i="13"/>
  <c r="AH800" i="13" s="1"/>
  <c r="AB801" i="13"/>
  <c r="AH801" i="13" s="1"/>
  <c r="AB802" i="13"/>
  <c r="AH802" i="13" s="1"/>
  <c r="AB803" i="13"/>
  <c r="AH803" i="13" s="1"/>
  <c r="AB804" i="13"/>
  <c r="AH804" i="13" s="1"/>
  <c r="P805" i="13"/>
  <c r="AK805" i="13" s="1"/>
  <c r="U805" i="13"/>
  <c r="AB805" i="13"/>
  <c r="AH805" i="13" s="1"/>
  <c r="AF805" i="13"/>
  <c r="AI805" i="13"/>
  <c r="AL805" i="13"/>
  <c r="AB806" i="13"/>
  <c r="AH806" i="13" s="1"/>
  <c r="AB807" i="13"/>
  <c r="AH807" i="13" s="1"/>
  <c r="AB808" i="13"/>
  <c r="AH808" i="13" s="1"/>
  <c r="AB809" i="13"/>
  <c r="AH809" i="13" s="1"/>
  <c r="AB810" i="13"/>
  <c r="AH810" i="13" s="1"/>
  <c r="AB811" i="13"/>
  <c r="AH811" i="13" s="1"/>
  <c r="AB812" i="13"/>
  <c r="AH812" i="13" s="1"/>
  <c r="P813" i="13"/>
  <c r="AK813" i="13" s="1"/>
  <c r="U813" i="13"/>
  <c r="AB813" i="13"/>
  <c r="AH813" i="13" s="1"/>
  <c r="AF813" i="13"/>
  <c r="AI813" i="13"/>
  <c r="AL813" i="13"/>
  <c r="AB814" i="13"/>
  <c r="AH814" i="13" s="1"/>
  <c r="P815" i="13"/>
  <c r="AK815" i="13" s="1"/>
  <c r="U815" i="13"/>
  <c r="AB815" i="13"/>
  <c r="AH815" i="13" s="1"/>
  <c r="AF815" i="13"/>
  <c r="AI815" i="13"/>
  <c r="AL815" i="13"/>
  <c r="AB816" i="13"/>
  <c r="AH816" i="13" s="1"/>
  <c r="U817" i="13"/>
  <c r="AB817" i="13"/>
  <c r="AH817" i="13" s="1"/>
  <c r="AF817" i="13"/>
  <c r="AG817" i="13" s="1"/>
  <c r="AI817" i="13"/>
  <c r="AJ817" i="13"/>
  <c r="AK817" i="13"/>
  <c r="AL817" i="13"/>
  <c r="AB818" i="13"/>
  <c r="AH818" i="13" s="1"/>
  <c r="P819" i="13"/>
  <c r="Q819" i="13" s="1"/>
  <c r="U819" i="13"/>
  <c r="AB819" i="13"/>
  <c r="AH819" i="13" s="1"/>
  <c r="AF819" i="13"/>
  <c r="AG819" i="13" s="1"/>
  <c r="AI819" i="13"/>
  <c r="AJ819" i="13"/>
  <c r="AA820" i="13"/>
  <c r="AB820" i="13" s="1"/>
  <c r="AH820" i="13" s="1"/>
  <c r="AH821" i="13"/>
  <c r="U822" i="13"/>
  <c r="AB822" i="13"/>
  <c r="AH822" i="13" s="1"/>
  <c r="AF822" i="13"/>
  <c r="AI822" i="13"/>
  <c r="AJ822" i="13"/>
  <c r="AK822" i="13"/>
  <c r="AL822" i="13"/>
  <c r="AB823" i="13"/>
  <c r="AH823" i="13" s="1"/>
  <c r="AB824" i="13"/>
  <c r="AH824" i="13" s="1"/>
  <c r="U825" i="13"/>
  <c r="W825" i="13"/>
  <c r="AB825" i="13"/>
  <c r="AH825" i="13" s="1"/>
  <c r="AF825" i="13"/>
  <c r="AG825" i="13" s="1"/>
  <c r="AI825" i="13"/>
  <c r="AJ825" i="13"/>
  <c r="AK825" i="13"/>
  <c r="AL825" i="13"/>
  <c r="AB826" i="13"/>
  <c r="AH826" i="13" s="1"/>
  <c r="S827" i="13"/>
  <c r="AI827" i="13" s="1"/>
  <c r="U827" i="13"/>
  <c r="AB827" i="13"/>
  <c r="AH827" i="13" s="1"/>
  <c r="AF827" i="13"/>
  <c r="AJ827" i="13"/>
  <c r="AL827" i="13"/>
  <c r="AA828" i="13"/>
  <c r="AB828" i="13" s="1"/>
  <c r="AH828" i="13" s="1"/>
  <c r="P829" i="13"/>
  <c r="Q827" i="13" s="1"/>
  <c r="S829" i="13"/>
  <c r="AI829" i="13" s="1"/>
  <c r="U829" i="13"/>
  <c r="AB829" i="13"/>
  <c r="AH829" i="13" s="1"/>
  <c r="AF829" i="13"/>
  <c r="AL829" i="13"/>
  <c r="AA830" i="13"/>
  <c r="AB830" i="13" s="1"/>
  <c r="AH830" i="13" s="1"/>
  <c r="AF830" i="13"/>
  <c r="AG830" i="13" s="1"/>
  <c r="AI830" i="13" s="1"/>
  <c r="AJ830" i="13"/>
  <c r="AL830" i="13" s="1"/>
  <c r="AK830" i="13"/>
  <c r="AB831" i="13"/>
  <c r="AH831" i="13" s="1"/>
  <c r="AF831" i="13"/>
  <c r="AG831" i="13" s="1"/>
  <c r="AI831" i="13"/>
  <c r="AJ831" i="13"/>
  <c r="AL831" i="13" s="1"/>
  <c r="AK831" i="13"/>
  <c r="AB832" i="13"/>
  <c r="AH832" i="13" s="1"/>
  <c r="AB833" i="13"/>
  <c r="AH833" i="13" s="1"/>
  <c r="AB834" i="13"/>
  <c r="AD834" i="13" s="1"/>
  <c r="AK834" i="13"/>
  <c r="AB835" i="13"/>
  <c r="AD835" i="13" s="1"/>
  <c r="AH835" i="13" s="1"/>
  <c r="AB836" i="13"/>
  <c r="AD836" i="13" s="1"/>
  <c r="AK836" i="13"/>
  <c r="AL836" i="13"/>
  <c r="AB837" i="13"/>
  <c r="AD837" i="13" s="1"/>
  <c r="AB838" i="13"/>
  <c r="AD838" i="13" s="1"/>
  <c r="AH838" i="13" s="1"/>
  <c r="AA839" i="13"/>
  <c r="AB839" i="13" s="1"/>
  <c r="AH839" i="13" s="1"/>
  <c r="AK839" i="13"/>
  <c r="AL839" i="13"/>
  <c r="AB840" i="13"/>
  <c r="AH840" i="13" s="1"/>
  <c r="AB841" i="13"/>
  <c r="AH841" i="13" s="1"/>
  <c r="AH842" i="13"/>
  <c r="AB843" i="13"/>
  <c r="AB844" i="13"/>
  <c r="AH844" i="13" s="1"/>
  <c r="AF844" i="13"/>
  <c r="AG844" i="13" s="1"/>
  <c r="AI844" i="13"/>
  <c r="AJ844" i="13"/>
  <c r="AL844" i="13" s="1"/>
  <c r="AK844" i="13"/>
  <c r="AB845" i="13"/>
  <c r="AH845" i="13" s="1"/>
  <c r="AB846" i="13"/>
  <c r="AH846" i="13" s="1"/>
  <c r="AB847" i="13"/>
  <c r="AH847" i="13" s="1"/>
  <c r="AB848" i="13"/>
  <c r="AH848" i="13" s="1"/>
  <c r="AF848" i="13"/>
  <c r="AG848" i="13" s="1"/>
  <c r="AI848" i="13"/>
  <c r="AJ848" i="13"/>
  <c r="AK848" i="13"/>
  <c r="AL848" i="13"/>
  <c r="AB849" i="13"/>
  <c r="AH849" i="13" s="1"/>
  <c r="AB850" i="13"/>
  <c r="AH850" i="13" s="1"/>
  <c r="AB851" i="13"/>
  <c r="AH851" i="13" s="1"/>
  <c r="AA852" i="13"/>
  <c r="AB852" i="13" s="1"/>
  <c r="AH852" i="13" s="1"/>
  <c r="AF852" i="13"/>
  <c r="AG852" i="13" s="1"/>
  <c r="AI852" i="13"/>
  <c r="AJ852" i="13"/>
  <c r="AL852" i="13" s="1"/>
  <c r="AK852" i="13"/>
  <c r="AB853" i="13"/>
  <c r="AH853" i="13" s="1"/>
  <c r="AH854" i="13"/>
  <c r="AB855" i="13"/>
  <c r="AH855" i="13" s="1"/>
  <c r="AF855" i="13"/>
  <c r="AG855" i="13" s="1"/>
  <c r="AI855" i="13"/>
  <c r="AJ855" i="13"/>
  <c r="AL855" i="13" s="1"/>
  <c r="AK855" i="13"/>
  <c r="AB856" i="13"/>
  <c r="AH856" i="13" s="1"/>
  <c r="AB857" i="13"/>
  <c r="AH857" i="13" s="1"/>
  <c r="AB858" i="13"/>
  <c r="AH858" i="13" s="1"/>
  <c r="AF858" i="13"/>
  <c r="AG858" i="13" s="1"/>
  <c r="AI858" i="13"/>
  <c r="AJ858" i="13"/>
  <c r="AL858" i="13" s="1"/>
  <c r="AK858" i="13"/>
  <c r="AB859" i="13"/>
  <c r="AH859" i="13" s="1"/>
  <c r="AB860" i="13"/>
  <c r="AH860" i="13" s="1"/>
  <c r="AB861" i="13"/>
  <c r="P862" i="13"/>
  <c r="AK862" i="13" s="1"/>
  <c r="S862" i="13"/>
  <c r="U862" i="13"/>
  <c r="AB862" i="13"/>
  <c r="AH862" i="13" s="1"/>
  <c r="AF862" i="13"/>
  <c r="AI862" i="13"/>
  <c r="AL862" i="13"/>
  <c r="AB863" i="13"/>
  <c r="AH863" i="13" s="1"/>
  <c r="AB864" i="13"/>
  <c r="AH864" i="13" s="1"/>
  <c r="P865" i="13"/>
  <c r="S865" i="13"/>
  <c r="U865" i="13"/>
  <c r="AB865" i="13"/>
  <c r="AH865" i="13" s="1"/>
  <c r="AF865" i="13"/>
  <c r="AI865" i="13"/>
  <c r="AK865" i="13"/>
  <c r="AM865" i="13" s="1"/>
  <c r="AB866" i="13"/>
  <c r="AH866" i="13" s="1"/>
  <c r="AB867" i="13"/>
  <c r="AH867" i="13" s="1"/>
  <c r="U868" i="13"/>
  <c r="AB868" i="13"/>
  <c r="AH868" i="13" s="1"/>
  <c r="AI868" i="13"/>
  <c r="AK868" i="13"/>
  <c r="AL868" i="13"/>
  <c r="AB869" i="13"/>
  <c r="AH869" i="13" s="1"/>
  <c r="AB870" i="13"/>
  <c r="AH870" i="13" s="1"/>
  <c r="P871" i="13"/>
  <c r="S871" i="13"/>
  <c r="U871" i="13"/>
  <c r="V871" i="13"/>
  <c r="W862" i="13" s="1"/>
  <c r="AB871" i="13"/>
  <c r="AH871" i="13" s="1"/>
  <c r="AB872" i="13"/>
  <c r="Q873" i="13"/>
  <c r="S873" i="13"/>
  <c r="U873" i="13"/>
  <c r="AB873" i="13"/>
  <c r="AH873" i="13" s="1"/>
  <c r="AF873" i="13"/>
  <c r="AI873" i="13"/>
  <c r="AJ873" i="13"/>
  <c r="AK873" i="13"/>
  <c r="AL873" i="13"/>
  <c r="AB874" i="13"/>
  <c r="AH874" i="13" s="1"/>
  <c r="AB875" i="13"/>
  <c r="AH875" i="13" s="1"/>
  <c r="AB876" i="13"/>
  <c r="AH876" i="13" s="1"/>
  <c r="AH877" i="13"/>
  <c r="S878" i="13"/>
  <c r="U878" i="13"/>
  <c r="AB878" i="13"/>
  <c r="AH878" i="13" s="1"/>
  <c r="AF878" i="13"/>
  <c r="AI878" i="13"/>
  <c r="AJ878" i="13"/>
  <c r="AK878" i="13"/>
  <c r="AL878" i="13"/>
  <c r="AB879" i="13"/>
  <c r="AH879" i="13" s="1"/>
  <c r="AB880" i="13"/>
  <c r="AH880" i="13" s="1"/>
  <c r="AB881" i="13"/>
  <c r="AH881" i="13" s="1"/>
  <c r="AH882" i="13"/>
  <c r="P883" i="13"/>
  <c r="S883" i="13"/>
  <c r="U883" i="13"/>
  <c r="AB883" i="13"/>
  <c r="AH883" i="13" s="1"/>
  <c r="AF883" i="13"/>
  <c r="AI883" i="13"/>
  <c r="AJ883" i="13"/>
  <c r="AK883" i="13"/>
  <c r="AL883" i="13"/>
  <c r="AB884" i="13"/>
  <c r="AH884" i="13" s="1"/>
  <c r="AB885" i="13"/>
  <c r="AH885" i="13" s="1"/>
  <c r="P886" i="13"/>
  <c r="S886" i="13"/>
  <c r="U886" i="13"/>
  <c r="AB886" i="13"/>
  <c r="AH886" i="13" s="1"/>
  <c r="AF886" i="13"/>
  <c r="AI886" i="13"/>
  <c r="AK886" i="13"/>
  <c r="AL886" i="13"/>
  <c r="AB887" i="13"/>
  <c r="AH887" i="13" s="1"/>
  <c r="AB888" i="13"/>
  <c r="AH888" i="13" s="1"/>
  <c r="P889" i="13"/>
  <c r="S889" i="13"/>
  <c r="U889" i="13"/>
  <c r="AB889" i="13"/>
  <c r="AH889" i="13" s="1"/>
  <c r="AF889" i="13"/>
  <c r="AI889" i="13"/>
  <c r="AK889" i="13"/>
  <c r="AL889" i="13"/>
  <c r="AB890" i="13"/>
  <c r="AH890" i="13" s="1"/>
  <c r="AB891" i="13"/>
  <c r="AH891" i="13" s="1"/>
  <c r="P892" i="13"/>
  <c r="S892" i="13"/>
  <c r="U892" i="13"/>
  <c r="W892" i="13"/>
  <c r="AB892" i="13"/>
  <c r="AH892" i="13" s="1"/>
  <c r="AF892" i="13"/>
  <c r="AG892" i="13"/>
  <c r="AI892" i="13"/>
  <c r="AJ892" i="13"/>
  <c r="AK892" i="13"/>
  <c r="AL892" i="13"/>
  <c r="AB893" i="13"/>
  <c r="AH893" i="13" s="1"/>
  <c r="P894" i="13"/>
  <c r="S894" i="13"/>
  <c r="U894" i="13"/>
  <c r="AB894" i="13"/>
  <c r="AH894" i="13" s="1"/>
  <c r="AF894" i="13"/>
  <c r="AI894" i="13"/>
  <c r="AK894" i="13"/>
  <c r="AL894" i="13"/>
  <c r="AB895" i="13"/>
  <c r="AH895" i="13" s="1"/>
  <c r="P896" i="13"/>
  <c r="S896" i="13"/>
  <c r="U896" i="13"/>
  <c r="AB896" i="13"/>
  <c r="AH896" i="13" s="1"/>
  <c r="AF896" i="13"/>
  <c r="AI896" i="13"/>
  <c r="AK896" i="13"/>
  <c r="AL896" i="13"/>
  <c r="P897" i="13"/>
  <c r="Q897" i="13" s="1"/>
  <c r="S897" i="13"/>
  <c r="U897" i="13"/>
  <c r="AB897" i="13"/>
  <c r="AH897" i="13" s="1"/>
  <c r="AF897" i="13"/>
  <c r="AG897" i="13" s="1"/>
  <c r="AI897" i="13"/>
  <c r="AJ897" i="13"/>
  <c r="AL897" i="13" s="1"/>
  <c r="AB898" i="13"/>
  <c r="AH898" i="13" s="1"/>
  <c r="AB899" i="13"/>
  <c r="AH899" i="13" s="1"/>
  <c r="P900" i="13"/>
  <c r="AK900" i="13" s="1"/>
  <c r="S900" i="13"/>
  <c r="U900" i="13"/>
  <c r="AB900" i="13"/>
  <c r="AH900" i="13" s="1"/>
  <c r="AF900" i="13"/>
  <c r="AJ900" i="13"/>
  <c r="AL900" i="13"/>
  <c r="AB901" i="13"/>
  <c r="AH901" i="13" s="1"/>
  <c r="AB902" i="13"/>
  <c r="AH902" i="13" s="1"/>
  <c r="AB903" i="13"/>
  <c r="AH903" i="13" s="1"/>
  <c r="AB904" i="13"/>
  <c r="AH904" i="13" s="1"/>
  <c r="AB905" i="13"/>
  <c r="AH905" i="13" s="1"/>
  <c r="AB906" i="13"/>
  <c r="AH906" i="13" s="1"/>
  <c r="AB907" i="13"/>
  <c r="AH907" i="13" s="1"/>
  <c r="AB908" i="13"/>
  <c r="AH908" i="13" s="1"/>
  <c r="P909" i="13"/>
  <c r="AK909" i="13" s="1"/>
  <c r="S909" i="13"/>
  <c r="U909" i="13"/>
  <c r="AB909" i="13"/>
  <c r="AH909" i="13" s="1"/>
  <c r="AF909" i="13"/>
  <c r="AL909" i="13"/>
  <c r="AB910" i="13"/>
  <c r="AH910" i="13" s="1"/>
  <c r="AB911" i="13"/>
  <c r="AH911" i="13" s="1"/>
  <c r="AB912" i="13"/>
  <c r="AH912" i="13" s="1"/>
  <c r="AB913" i="13"/>
  <c r="AH913" i="13" s="1"/>
  <c r="AB914" i="13"/>
  <c r="AH914" i="13" s="1"/>
  <c r="AB915" i="13"/>
  <c r="AH915" i="13" s="1"/>
  <c r="AB916" i="13"/>
  <c r="AH916" i="13" s="1"/>
  <c r="P917" i="13"/>
  <c r="S917" i="13"/>
  <c r="U917" i="13"/>
  <c r="AB917" i="13"/>
  <c r="AH917" i="13" s="1"/>
  <c r="AF917" i="13"/>
  <c r="AI917" i="13"/>
  <c r="AJ917" i="13"/>
  <c r="AK917" i="13"/>
  <c r="AL917" i="13"/>
  <c r="AB918" i="13"/>
  <c r="AH918" i="13" s="1"/>
  <c r="P919" i="13"/>
  <c r="S919" i="13"/>
  <c r="U919" i="13"/>
  <c r="AB919" i="13"/>
  <c r="AH919" i="13" s="1"/>
  <c r="AF919" i="13"/>
  <c r="AI919" i="13"/>
  <c r="AK919" i="13"/>
  <c r="AL919" i="13"/>
  <c r="AB920" i="13"/>
  <c r="AH920" i="13" s="1"/>
  <c r="P921" i="13"/>
  <c r="Q921" i="13" s="1"/>
  <c r="S921" i="13"/>
  <c r="U921" i="13"/>
  <c r="W921" i="13"/>
  <c r="AB921" i="13"/>
  <c r="AH921" i="13" s="1"/>
  <c r="AF921" i="13"/>
  <c r="AG921" i="13" s="1"/>
  <c r="AI921" i="13"/>
  <c r="AJ921" i="13"/>
  <c r="AL921" i="13"/>
  <c r="AB922" i="13"/>
  <c r="AH922" i="13" s="1"/>
  <c r="AB923" i="13"/>
  <c r="AH923" i="13" s="1"/>
  <c r="AB924" i="13"/>
  <c r="AH924" i="13" s="1"/>
  <c r="AB925" i="13"/>
  <c r="AH925" i="13" s="1"/>
  <c r="AB926" i="13"/>
  <c r="AH926" i="13" s="1"/>
  <c r="AF927" i="13"/>
  <c r="AG927" i="13" s="1"/>
  <c r="AH927" i="13"/>
  <c r="AI927" i="13"/>
  <c r="AJ927" i="13"/>
  <c r="AK927" i="13"/>
  <c r="AL927" i="13"/>
  <c r="AH928" i="13"/>
  <c r="AH929" i="13"/>
  <c r="AH930" i="13"/>
  <c r="AH931" i="13"/>
  <c r="AH932" i="13"/>
  <c r="AH933" i="13"/>
  <c r="AH934" i="13"/>
  <c r="AH935" i="13"/>
  <c r="AH936" i="13"/>
  <c r="AH937" i="13"/>
  <c r="AH938" i="13"/>
  <c r="AH939" i="13"/>
  <c r="AH940" i="13"/>
  <c r="AH941" i="13"/>
  <c r="AH942" i="13"/>
  <c r="AH943" i="13"/>
  <c r="AH944" i="13"/>
  <c r="AH945" i="13"/>
  <c r="AH946" i="13"/>
  <c r="AH947" i="13"/>
  <c r="AH948" i="13"/>
  <c r="AH949" i="13"/>
  <c r="AH950" i="13"/>
  <c r="AH951" i="13"/>
  <c r="AH952" i="13"/>
  <c r="AH953" i="13"/>
  <c r="P954" i="13"/>
  <c r="AK954" i="13" s="1"/>
  <c r="S954" i="13"/>
  <c r="U954" i="13"/>
  <c r="AB954" i="13"/>
  <c r="AH954" i="13" s="1"/>
  <c r="AF954" i="13"/>
  <c r="AI954" i="13"/>
  <c r="AL954" i="13"/>
  <c r="AB955" i="13"/>
  <c r="AH955" i="13" s="1"/>
  <c r="AB956" i="13"/>
  <c r="AH956" i="13" s="1"/>
  <c r="AB957" i="13"/>
  <c r="AH957" i="13" s="1"/>
  <c r="P958" i="13"/>
  <c r="S958" i="13"/>
  <c r="U958" i="13"/>
  <c r="AB958" i="13"/>
  <c r="AH958" i="13" s="1"/>
  <c r="AL958" i="13"/>
  <c r="AB959" i="13"/>
  <c r="P960" i="13"/>
  <c r="S960" i="13"/>
  <c r="U960" i="13"/>
  <c r="AB960" i="13"/>
  <c r="AH960" i="13" s="1"/>
  <c r="AF960" i="13"/>
  <c r="AG960" i="13" s="1"/>
  <c r="AI960" i="13"/>
  <c r="AJ960" i="13"/>
  <c r="AL960" i="13"/>
  <c r="AB961" i="13"/>
  <c r="AH961" i="13" s="1"/>
  <c r="AB962" i="13"/>
  <c r="AH962" i="13" s="1"/>
  <c r="AB963" i="13"/>
  <c r="AH963" i="13" s="1"/>
  <c r="AB964" i="13"/>
  <c r="AH964" i="13" s="1"/>
  <c r="P968" i="13"/>
  <c r="S968" i="13"/>
  <c r="U968" i="13"/>
  <c r="W968" i="13"/>
  <c r="AB968" i="13"/>
  <c r="AH968" i="13" s="1"/>
  <c r="AF968" i="13"/>
  <c r="AI968" i="13"/>
  <c r="AJ968" i="13"/>
  <c r="AK968" i="13"/>
  <c r="AL968" i="13"/>
  <c r="AB969" i="13"/>
  <c r="AH969" i="13" s="1"/>
  <c r="AB970" i="13"/>
  <c r="AH970" i="13" s="1"/>
  <c r="AB971" i="13"/>
  <c r="AH971" i="13" s="1"/>
  <c r="AB972" i="13"/>
  <c r="AH972" i="13" s="1"/>
  <c r="AB973" i="13"/>
  <c r="AH973" i="13" s="1"/>
  <c r="AB974" i="13"/>
  <c r="AH974" i="13" s="1"/>
  <c r="P975" i="13"/>
  <c r="S975" i="13"/>
  <c r="U975" i="13"/>
  <c r="AB975" i="13"/>
  <c r="AH975" i="13" s="1"/>
  <c r="AF975" i="13"/>
  <c r="AI975" i="13"/>
  <c r="AK975" i="13"/>
  <c r="AL975" i="13"/>
  <c r="AB976" i="13"/>
  <c r="AH976" i="13" s="1"/>
  <c r="AB977" i="13"/>
  <c r="AH977" i="13" s="1"/>
  <c r="AB978" i="13"/>
  <c r="AH978" i="13" s="1"/>
  <c r="AB979" i="13"/>
  <c r="AH979" i="13" s="1"/>
  <c r="AB980" i="13"/>
  <c r="AH980" i="13" s="1"/>
  <c r="AB981" i="13"/>
  <c r="AH981" i="13" s="1"/>
  <c r="P982" i="13"/>
  <c r="S982" i="13"/>
  <c r="U982" i="13"/>
  <c r="AB982" i="13"/>
  <c r="AH982" i="13" s="1"/>
  <c r="AF982" i="13"/>
  <c r="AI982" i="13"/>
  <c r="AK982" i="13"/>
  <c r="AL982" i="13"/>
  <c r="AB983" i="13"/>
  <c r="AH983" i="13" s="1"/>
  <c r="P984" i="13"/>
  <c r="S984" i="13"/>
  <c r="U984" i="13"/>
  <c r="W984" i="13"/>
  <c r="AB984" i="13"/>
  <c r="AH984" i="13" s="1"/>
  <c r="AF984" i="13"/>
  <c r="AI984" i="13"/>
  <c r="AJ984" i="13"/>
  <c r="AK984" i="13"/>
  <c r="AL984" i="13"/>
  <c r="AB985" i="13"/>
  <c r="AH985" i="13" s="1"/>
  <c r="U986" i="13"/>
  <c r="AB986" i="13"/>
  <c r="AH986" i="13" s="1"/>
  <c r="AI986" i="13"/>
  <c r="AK986" i="13"/>
  <c r="AM986" i="13" s="1"/>
  <c r="AB987" i="13"/>
  <c r="AH987" i="13" s="1"/>
  <c r="P988" i="13"/>
  <c r="S988" i="13"/>
  <c r="U988" i="13"/>
  <c r="AB988" i="13"/>
  <c r="AH988" i="13" s="1"/>
  <c r="AF988" i="13"/>
  <c r="AI988" i="13"/>
  <c r="AK988" i="13"/>
  <c r="AL988" i="13"/>
  <c r="AB989" i="13"/>
  <c r="AH989" i="13" s="1"/>
  <c r="P996" i="13"/>
  <c r="Q996" i="13" s="1"/>
  <c r="S996" i="13"/>
  <c r="U996" i="13"/>
  <c r="AB996" i="13"/>
  <c r="AH996" i="13" s="1"/>
  <c r="AF996" i="13"/>
  <c r="AG996" i="13" s="1"/>
  <c r="AI996" i="13"/>
  <c r="AJ996" i="13"/>
  <c r="AK996" i="13"/>
  <c r="AL996" i="13"/>
  <c r="AB997" i="13"/>
  <c r="AH997" i="13" s="1"/>
  <c r="P998" i="13"/>
  <c r="S998" i="13"/>
  <c r="U998" i="13"/>
  <c r="W998" i="13"/>
  <c r="AB998" i="13"/>
  <c r="AH998" i="13" s="1"/>
  <c r="AF998" i="13"/>
  <c r="AI998" i="13"/>
  <c r="AJ998" i="13"/>
  <c r="AK998" i="13"/>
  <c r="AL998" i="13"/>
  <c r="AB999" i="13"/>
  <c r="AH999" i="13" s="1"/>
  <c r="AB1000" i="13"/>
  <c r="AH1000" i="13" s="1"/>
  <c r="U1001" i="13"/>
  <c r="AB1001" i="13"/>
  <c r="AH1001" i="13" s="1"/>
  <c r="P1002" i="13"/>
  <c r="S1002" i="13"/>
  <c r="U1002" i="13"/>
  <c r="AB1002" i="13"/>
  <c r="AH1002" i="13" s="1"/>
  <c r="AF1002" i="13"/>
  <c r="AI1002" i="13"/>
  <c r="AK1002" i="13"/>
  <c r="AL1002" i="13"/>
  <c r="AB1003" i="13"/>
  <c r="AH1003" i="13" s="1"/>
  <c r="P1004" i="13"/>
  <c r="AK1004" i="13" s="1"/>
  <c r="S1004" i="13"/>
  <c r="U1004" i="13"/>
  <c r="W1004" i="13"/>
  <c r="AB1004" i="13"/>
  <c r="AH1004" i="13" s="1"/>
  <c r="AF1004" i="13"/>
  <c r="AI1004" i="13"/>
  <c r="AJ1004" i="13"/>
  <c r="AL1004" i="13"/>
  <c r="AB1005" i="13"/>
  <c r="AH1005" i="13" s="1"/>
  <c r="P1006" i="13"/>
  <c r="AK1006" i="13" s="1"/>
  <c r="S1006" i="13"/>
  <c r="U1006" i="13"/>
  <c r="AB1006" i="13"/>
  <c r="AH1006" i="13" s="1"/>
  <c r="AF1006" i="13"/>
  <c r="AI1006" i="13"/>
  <c r="AL1006" i="13"/>
  <c r="P1007" i="13"/>
  <c r="S1007" i="13"/>
  <c r="U1007" i="13"/>
  <c r="W1007" i="13"/>
  <c r="AB1007" i="13"/>
  <c r="AH1007" i="13" s="1"/>
  <c r="AF1007" i="13"/>
  <c r="AI1007" i="13"/>
  <c r="AJ1007" i="13"/>
  <c r="AK1007" i="13"/>
  <c r="AL1007" i="13"/>
  <c r="AB1008" i="13"/>
  <c r="AH1008" i="13" s="1"/>
  <c r="AB1009" i="13"/>
  <c r="AH1009" i="13" s="1"/>
  <c r="AB1010" i="13"/>
  <c r="AH1010" i="13" s="1"/>
  <c r="AB1011" i="13"/>
  <c r="AH1011" i="13" s="1"/>
  <c r="U1012" i="13"/>
  <c r="AB1012" i="13"/>
  <c r="AH1012" i="13" s="1"/>
  <c r="AI1012" i="13"/>
  <c r="AK1012" i="13"/>
  <c r="AB1013" i="13"/>
  <c r="AH1013" i="13" s="1"/>
  <c r="AB1014" i="13"/>
  <c r="AH1014" i="13" s="1"/>
  <c r="AB1015" i="13"/>
  <c r="AH1015" i="13" s="1"/>
  <c r="AB1016" i="13"/>
  <c r="AH1016" i="13" s="1"/>
  <c r="P1017" i="13"/>
  <c r="S1017" i="13"/>
  <c r="U1017" i="13"/>
  <c r="AB1017" i="13"/>
  <c r="AH1017" i="13" s="1"/>
  <c r="AF1017" i="13"/>
  <c r="AI1017" i="13"/>
  <c r="AK1017" i="13"/>
  <c r="AL1017" i="13"/>
  <c r="AB1018" i="13"/>
  <c r="AH1018" i="13" s="1"/>
  <c r="AB1019" i="13"/>
  <c r="AH1019" i="13" s="1"/>
  <c r="AB1020" i="13"/>
  <c r="AH1020" i="13" s="1"/>
  <c r="AB1021" i="13"/>
  <c r="AH1021" i="13" s="1"/>
  <c r="U1022" i="13"/>
  <c r="AB1022" i="13"/>
  <c r="AH1022" i="13" s="1"/>
  <c r="AI1022" i="13"/>
  <c r="AK1022" i="13"/>
  <c r="AB1023" i="13"/>
  <c r="AH1023" i="13" s="1"/>
  <c r="AB1024" i="13"/>
  <c r="AH1024" i="13" s="1"/>
  <c r="AB1025" i="13"/>
  <c r="AH1025" i="13" s="1"/>
  <c r="AB1026" i="13"/>
  <c r="AH1026" i="13" s="1"/>
  <c r="P1027" i="13"/>
  <c r="S1027" i="13"/>
  <c r="AI1027" i="13" s="1"/>
  <c r="U1027" i="13"/>
  <c r="AB1027" i="13"/>
  <c r="AH1027" i="13" s="1"/>
  <c r="AF1027" i="13"/>
  <c r="AL1027" i="13"/>
  <c r="AB1028" i="13"/>
  <c r="AH1028" i="13" s="1"/>
  <c r="AB1029" i="13"/>
  <c r="AH1029" i="13" s="1"/>
  <c r="AB1030" i="13"/>
  <c r="AH1030" i="13" s="1"/>
  <c r="AB1031" i="13"/>
  <c r="AH1031" i="13" s="1"/>
  <c r="S1032" i="13"/>
  <c r="U1032" i="13"/>
  <c r="AB1032" i="13"/>
  <c r="AH1032" i="13" s="1"/>
  <c r="AF1032" i="13"/>
  <c r="AI1032" i="13"/>
  <c r="AK1032" i="13"/>
  <c r="AL1032" i="13"/>
  <c r="AB1033" i="13"/>
  <c r="AH1033" i="13" s="1"/>
  <c r="AB1034" i="13"/>
  <c r="AH1034" i="13" s="1"/>
  <c r="P1035" i="13"/>
  <c r="AK1035" i="13" s="1"/>
  <c r="S1035" i="13"/>
  <c r="U1035" i="13"/>
  <c r="W1035" i="13"/>
  <c r="AB1035" i="13"/>
  <c r="AH1035" i="13" s="1"/>
  <c r="AF1035" i="13"/>
  <c r="AG1035" i="13" s="1"/>
  <c r="AI1035" i="13"/>
  <c r="AJ1035" i="13"/>
  <c r="AL1035" i="13"/>
  <c r="AB1036" i="13"/>
  <c r="AH1036" i="13" s="1"/>
  <c r="P1037" i="13"/>
  <c r="AK1037" i="13" s="1"/>
  <c r="S1037" i="13"/>
  <c r="U1037" i="13"/>
  <c r="AB1037" i="13"/>
  <c r="AH1037" i="13" s="1"/>
  <c r="AF1037" i="13"/>
  <c r="AG1037" i="13" s="1"/>
  <c r="AI1037" i="13"/>
  <c r="AJ1037" i="13"/>
  <c r="AL1037" i="13"/>
  <c r="AB1038" i="13"/>
  <c r="AH1038" i="13" s="1"/>
  <c r="AB1039" i="13"/>
  <c r="AH1039" i="13" s="1"/>
  <c r="Q1065" i="13"/>
  <c r="S1065" i="13"/>
  <c r="U1065" i="13"/>
  <c r="W1065" i="13"/>
  <c r="AB1065" i="13"/>
  <c r="AH1065" i="13" s="1"/>
  <c r="AF1065" i="13"/>
  <c r="AI1065" i="13"/>
  <c r="AJ1065" i="13"/>
  <c r="AK1065" i="13"/>
  <c r="AL1065" i="13"/>
  <c r="AB1066" i="13"/>
  <c r="AH1066" i="13" s="1"/>
  <c r="S1067" i="13"/>
  <c r="U1067" i="13"/>
  <c r="AB1067" i="13"/>
  <c r="AH1067" i="13" s="1"/>
  <c r="AF1067" i="13"/>
  <c r="AI1067" i="13"/>
  <c r="AK1067" i="13"/>
  <c r="AL1067" i="13"/>
  <c r="AB1068" i="13"/>
  <c r="AH1068" i="13" s="1"/>
  <c r="S1069" i="13"/>
  <c r="U1069" i="13"/>
  <c r="AB1069" i="13"/>
  <c r="AH1069" i="13" s="1"/>
  <c r="AF1069" i="13"/>
  <c r="AI1069" i="13"/>
  <c r="AK1069" i="13"/>
  <c r="AL1069" i="13"/>
  <c r="Q727" i="13"/>
  <c r="U727" i="13"/>
  <c r="AB727" i="13"/>
  <c r="AH727" i="13" s="1"/>
  <c r="AF727" i="13"/>
  <c r="AI727" i="13"/>
  <c r="AJ727" i="13"/>
  <c r="AK727" i="13"/>
  <c r="AL727" i="13"/>
  <c r="AB728" i="13"/>
  <c r="AH728" i="13" s="1"/>
  <c r="AB729" i="13"/>
  <c r="AH729" i="13" s="1"/>
  <c r="AB730" i="13"/>
  <c r="AH730" i="13" s="1"/>
  <c r="AB731" i="13"/>
  <c r="AH731" i="13" s="1"/>
  <c r="AB732" i="13"/>
  <c r="AH732" i="13" s="1"/>
  <c r="T733" i="13"/>
  <c r="AI733" i="13" s="1"/>
  <c r="AB733" i="13"/>
  <c r="AH733" i="13" s="1"/>
  <c r="AB734" i="13"/>
  <c r="AH734" i="13" s="1"/>
  <c r="U735" i="13"/>
  <c r="AB735" i="13"/>
  <c r="AH735" i="13" s="1"/>
  <c r="AF735" i="13"/>
  <c r="AI735" i="13"/>
  <c r="AK735" i="13"/>
  <c r="AL735" i="13"/>
  <c r="AB736" i="13"/>
  <c r="AH736" i="13" s="1"/>
  <c r="AB737" i="13"/>
  <c r="AH737" i="13" s="1"/>
  <c r="AB738" i="13"/>
  <c r="AH738" i="13" s="1"/>
  <c r="P681" i="13"/>
  <c r="S681" i="13"/>
  <c r="U681" i="13"/>
  <c r="AA681" i="13"/>
  <c r="AB681" i="13" s="1"/>
  <c r="AH681" i="13" s="1"/>
  <c r="AF681" i="13"/>
  <c r="AI681" i="13"/>
  <c r="AJ681" i="13"/>
  <c r="AL681" i="13" s="1"/>
  <c r="AK681" i="13"/>
  <c r="AA682" i="13"/>
  <c r="AB682" i="13" s="1"/>
  <c r="AH682" i="13" s="1"/>
  <c r="AB683" i="13"/>
  <c r="AH683" i="13" s="1"/>
  <c r="AB684" i="13"/>
  <c r="AH684" i="13" s="1"/>
  <c r="AB685" i="13"/>
  <c r="AH685" i="13" s="1"/>
  <c r="AB686" i="13"/>
  <c r="AH686" i="13" s="1"/>
  <c r="U689" i="13"/>
  <c r="AB689" i="13"/>
  <c r="AH689" i="13" s="1"/>
  <c r="AI689" i="13"/>
  <c r="AK689" i="13"/>
  <c r="AB690" i="13"/>
  <c r="AH690" i="13" s="1"/>
  <c r="AB691" i="13"/>
  <c r="AH691" i="13" s="1"/>
  <c r="AB692" i="13"/>
  <c r="AH692" i="13" s="1"/>
  <c r="AB693" i="13"/>
  <c r="AH693" i="13" s="1"/>
  <c r="AB694" i="13"/>
  <c r="AH694" i="13" s="1"/>
  <c r="AH695" i="13"/>
  <c r="AB696" i="13"/>
  <c r="AH696" i="13" s="1"/>
  <c r="P697" i="13"/>
  <c r="U697" i="13"/>
  <c r="AB697" i="13"/>
  <c r="AH697" i="13" s="1"/>
  <c r="AF697" i="13"/>
  <c r="AG681" i="13" s="1"/>
  <c r="AJ697" i="13"/>
  <c r="AK697" i="13"/>
  <c r="AL697" i="13"/>
  <c r="AH698" i="13"/>
  <c r="P549" i="13"/>
  <c r="AK549" i="13" s="1"/>
  <c r="AB549" i="13"/>
  <c r="AB550" i="13"/>
  <c r="AB551" i="13"/>
  <c r="AI551" i="13"/>
  <c r="P555" i="13"/>
  <c r="AK555" i="13" s="1"/>
  <c r="AB555" i="13"/>
  <c r="AI555" i="13"/>
  <c r="P556" i="13"/>
  <c r="AK556" i="13" s="1"/>
  <c r="AF556" i="13"/>
  <c r="P558" i="13"/>
  <c r="V558" i="13"/>
  <c r="V559" i="13"/>
  <c r="AI559" i="13"/>
  <c r="P560" i="13"/>
  <c r="V560" i="13"/>
  <c r="AI560" i="13"/>
  <c r="P561" i="13"/>
  <c r="AI561" i="13"/>
  <c r="P259" i="13"/>
  <c r="S259" i="13"/>
  <c r="U259" i="13"/>
  <c r="W259" i="13"/>
  <c r="AB259" i="13"/>
  <c r="AH259" i="13" s="1"/>
  <c r="AF259" i="13"/>
  <c r="AI259" i="13"/>
  <c r="AJ259" i="13"/>
  <c r="AL259" i="13"/>
  <c r="AB260" i="13"/>
  <c r="AH260" i="13" s="1"/>
  <c r="AB261" i="13"/>
  <c r="AH261" i="13" s="1"/>
  <c r="U262" i="13"/>
  <c r="AB262" i="13"/>
  <c r="AH262" i="13" s="1"/>
  <c r="AI262" i="13"/>
  <c r="AB263" i="13"/>
  <c r="AH263" i="13" s="1"/>
  <c r="P264" i="13"/>
  <c r="AK264" i="13" s="1"/>
  <c r="S264" i="13"/>
  <c r="U264" i="13"/>
  <c r="AB264" i="13"/>
  <c r="AH264" i="13" s="1"/>
  <c r="AF264" i="13"/>
  <c r="AI264" i="13"/>
  <c r="AL264" i="13"/>
  <c r="AB265" i="13"/>
  <c r="AH265" i="13" s="1"/>
  <c r="AB266" i="13"/>
  <c r="AH266" i="13" s="1"/>
  <c r="AB267" i="13"/>
  <c r="AH267" i="13" s="1"/>
  <c r="U268" i="13"/>
  <c r="AB268" i="13"/>
  <c r="AH268" i="13" s="1"/>
  <c r="AI268" i="13"/>
  <c r="AB269" i="13"/>
  <c r="AH269" i="13" s="1"/>
  <c r="AB270" i="13"/>
  <c r="AH270" i="13" s="1"/>
  <c r="P271" i="13"/>
  <c r="AK271" i="13" s="1"/>
  <c r="S271" i="13"/>
  <c r="U271" i="13"/>
  <c r="AB271" i="13"/>
  <c r="AH271" i="13" s="1"/>
  <c r="AF271" i="13"/>
  <c r="AI271" i="13"/>
  <c r="AL271" i="13"/>
  <c r="AB272" i="13"/>
  <c r="AH272" i="13" s="1"/>
  <c r="AB273" i="13"/>
  <c r="AH273" i="13" s="1"/>
  <c r="U274" i="13"/>
  <c r="AB274" i="13"/>
  <c r="AH274" i="13" s="1"/>
  <c r="AI274" i="13"/>
  <c r="AB275" i="13"/>
  <c r="AH275" i="13" s="1"/>
  <c r="AB276" i="13"/>
  <c r="AH276" i="13" s="1"/>
  <c r="AB277" i="13"/>
  <c r="AH277" i="13" s="1"/>
  <c r="P278" i="13"/>
  <c r="AK278" i="13" s="1"/>
  <c r="S278" i="13"/>
  <c r="U278" i="13"/>
  <c r="AB278" i="13"/>
  <c r="AH278" i="13" s="1"/>
  <c r="AF278" i="13"/>
  <c r="AI278" i="13"/>
  <c r="AL278" i="13"/>
  <c r="AB279" i="13"/>
  <c r="AH279" i="13" s="1"/>
  <c r="AB280" i="13"/>
  <c r="AH280" i="13" s="1"/>
  <c r="AB281" i="13"/>
  <c r="AH281" i="13" s="1"/>
  <c r="U282" i="13"/>
  <c r="AB282" i="13"/>
  <c r="AH282" i="13" s="1"/>
  <c r="AI282" i="13"/>
  <c r="AB283" i="13"/>
  <c r="AH283" i="13" s="1"/>
  <c r="AB284" i="13"/>
  <c r="AH284" i="13" s="1"/>
  <c r="S285" i="13"/>
  <c r="U285" i="13"/>
  <c r="AB285" i="13"/>
  <c r="AH285" i="13" s="1"/>
  <c r="AF285" i="13"/>
  <c r="AI285" i="13"/>
  <c r="AK285" i="13"/>
  <c r="AL285" i="13"/>
  <c r="AB286" i="13"/>
  <c r="AH286" i="13" s="1"/>
  <c r="S287" i="13"/>
  <c r="U287" i="13"/>
  <c r="AB287" i="13"/>
  <c r="AH287" i="13" s="1"/>
  <c r="AF287" i="13"/>
  <c r="AI287" i="13"/>
  <c r="AK287" i="13"/>
  <c r="AL287" i="13"/>
  <c r="AB288" i="13"/>
  <c r="AH288" i="13" s="1"/>
  <c r="AM681" i="13" l="1"/>
  <c r="AD959" i="13"/>
  <c r="AH959" i="13" s="1"/>
  <c r="AD872" i="13"/>
  <c r="AH872" i="13" s="1"/>
  <c r="AD843" i="13"/>
  <c r="AH843" i="13" s="1"/>
  <c r="Q892" i="13"/>
  <c r="AK871" i="13"/>
  <c r="Q745" i="13"/>
  <c r="AG739" i="13"/>
  <c r="AM767" i="13"/>
  <c r="AM975" i="13"/>
  <c r="AM1067" i="13"/>
  <c r="Q1007" i="13"/>
  <c r="AM777" i="13"/>
  <c r="Q998" i="13"/>
  <c r="Q954" i="13"/>
  <c r="AM817" i="13"/>
  <c r="AM735" i="13"/>
  <c r="AM996" i="13"/>
  <c r="AM896" i="13"/>
  <c r="AM883" i="13"/>
  <c r="AM772" i="13"/>
  <c r="AM886" i="13"/>
  <c r="AK827" i="13"/>
  <c r="AM827" i="13" s="1"/>
  <c r="AG827" i="13"/>
  <c r="AM984" i="13"/>
  <c r="Q984" i="13"/>
  <c r="AM894" i="13"/>
  <c r="AM761" i="13"/>
  <c r="AM755" i="13"/>
  <c r="AM285" i="13"/>
  <c r="AM1032" i="13"/>
  <c r="AM1007" i="13"/>
  <c r="AM998" i="13"/>
  <c r="AM982" i="13"/>
  <c r="AM892" i="13"/>
  <c r="AG883" i="13"/>
  <c r="AL871" i="13"/>
  <c r="AM871" i="13" s="1"/>
  <c r="AM822" i="13"/>
  <c r="AG727" i="13"/>
  <c r="AK733" i="13"/>
  <c r="AM727" i="13" s="1"/>
  <c r="AM1065" i="13"/>
  <c r="AM988" i="13"/>
  <c r="AG917" i="13"/>
  <c r="Q917" i="13"/>
  <c r="AM917" i="13"/>
  <c r="AM889" i="13"/>
  <c r="AG873" i="13"/>
  <c r="AM862" i="13"/>
  <c r="AM839" i="13"/>
  <c r="AM1035" i="13"/>
  <c r="AK958" i="13"/>
  <c r="AM958" i="13" s="1"/>
  <c r="AK921" i="13"/>
  <c r="AM921" i="13" s="1"/>
  <c r="AM805" i="13"/>
  <c r="Q1035" i="13"/>
  <c r="AG1007" i="13"/>
  <c r="AG1004" i="13"/>
  <c r="AM1006" i="13"/>
  <c r="AM1004" i="13"/>
  <c r="AM1002" i="13"/>
  <c r="AG984" i="13"/>
  <c r="AG968" i="13"/>
  <c r="AM919" i="13"/>
  <c r="Q883" i="13"/>
  <c r="AM868" i="13"/>
  <c r="AM848" i="13"/>
  <c r="AM836" i="13"/>
  <c r="AM825" i="13"/>
  <c r="AM739" i="13"/>
  <c r="AF555" i="13"/>
  <c r="U733" i="13"/>
  <c r="AG1065" i="13"/>
  <c r="Q1037" i="13"/>
  <c r="AM1017" i="13"/>
  <c r="Q862" i="13"/>
  <c r="AM1037" i="13"/>
  <c r="AG998" i="13"/>
  <c r="AK819" i="13"/>
  <c r="AM819" i="13" s="1"/>
  <c r="AM797" i="13"/>
  <c r="Q797" i="13"/>
  <c r="AG761" i="13"/>
  <c r="AG745" i="13"/>
  <c r="AM1069" i="13"/>
  <c r="AG797" i="13"/>
  <c r="AM745" i="13"/>
  <c r="AM742" i="13"/>
  <c r="AM968" i="13"/>
  <c r="AF558" i="13"/>
  <c r="Q1004" i="13"/>
  <c r="AF836" i="13"/>
  <c r="AG836" i="13" s="1"/>
  <c r="AJ836" i="13"/>
  <c r="AH836" i="13"/>
  <c r="AI836" i="13"/>
  <c r="AF834" i="13"/>
  <c r="AG834" i="13" s="1"/>
  <c r="AJ834" i="13"/>
  <c r="AL834" i="13" s="1"/>
  <c r="AH834" i="13"/>
  <c r="AI834" i="13"/>
  <c r="Q968" i="13"/>
  <c r="Q960" i="13"/>
  <c r="AK960" i="13"/>
  <c r="AM789" i="13"/>
  <c r="AK1027" i="13"/>
  <c r="AM1027" i="13" s="1"/>
  <c r="AM954" i="13"/>
  <c r="Q900" i="13"/>
  <c r="AK897" i="13"/>
  <c r="AM897" i="13" s="1"/>
  <c r="V760" i="13"/>
  <c r="AH837" i="13"/>
  <c r="AK829" i="13"/>
  <c r="AM829" i="13" s="1"/>
  <c r="AF549" i="13"/>
  <c r="AI697" i="13"/>
  <c r="Q681" i="13"/>
  <c r="AI558" i="13"/>
  <c r="Q549" i="13"/>
  <c r="AM287" i="13"/>
  <c r="W549" i="13"/>
  <c r="AL549" i="13" s="1"/>
  <c r="AM549" i="13" s="1"/>
  <c r="AI549" i="13"/>
  <c r="AM278" i="13"/>
  <c r="AM271" i="13"/>
  <c r="AM264" i="13"/>
  <c r="AG259" i="13"/>
  <c r="AI556" i="13"/>
  <c r="Q259" i="13"/>
  <c r="AK259" i="13"/>
  <c r="AM259" i="13" s="1"/>
  <c r="AJ954" i="13" l="1"/>
  <c r="AI958" i="13"/>
  <c r="AF958" i="13"/>
  <c r="AG954" i="13" s="1"/>
  <c r="AJ862" i="13"/>
  <c r="AI871" i="13"/>
  <c r="AF871" i="13"/>
  <c r="AG862" i="13" s="1"/>
  <c r="AI839" i="13"/>
  <c r="AF839" i="13"/>
  <c r="AG839" i="13" s="1"/>
  <c r="AJ839" i="13"/>
  <c r="AG549" i="13"/>
  <c r="AJ549" i="13" s="1"/>
  <c r="AK760" i="13"/>
  <c r="AL760" i="13"/>
  <c r="AI151" i="13"/>
  <c r="AI155" i="13"/>
  <c r="AM760" i="13" l="1"/>
  <c r="Q29" i="13"/>
  <c r="U29" i="13"/>
  <c r="AB29" i="13"/>
  <c r="AH29" i="13" s="1"/>
  <c r="AF29" i="13"/>
  <c r="AG29" i="13" s="1"/>
  <c r="AI29" i="13"/>
  <c r="AJ29" i="13"/>
  <c r="AK29" i="13"/>
  <c r="AL29" i="13"/>
  <c r="AB30" i="13"/>
  <c r="AH30" i="13" s="1"/>
  <c r="AB31" i="13"/>
  <c r="AH31" i="13" s="1"/>
  <c r="AB32" i="13"/>
  <c r="AH32" i="13" s="1"/>
  <c r="Q33" i="13"/>
  <c r="U33" i="13"/>
  <c r="AB33" i="13"/>
  <c r="AH33" i="13" s="1"/>
  <c r="AF33" i="13"/>
  <c r="AG33" i="13" s="1"/>
  <c r="AI33" i="13"/>
  <c r="AJ33" i="13"/>
  <c r="AL33" i="13" s="1"/>
  <c r="AK33" i="13"/>
  <c r="AB34" i="13"/>
  <c r="AH34" i="13" s="1"/>
  <c r="AB35" i="13"/>
  <c r="AH35" i="13" s="1"/>
  <c r="AB36" i="13"/>
  <c r="AH36" i="13" s="1"/>
  <c r="Q37" i="13"/>
  <c r="U37" i="13"/>
  <c r="AB37" i="13"/>
  <c r="AH37" i="13" s="1"/>
  <c r="AF37" i="13"/>
  <c r="AG37" i="13"/>
  <c r="AB38" i="13"/>
  <c r="AH38" i="13" s="1"/>
  <c r="AB39" i="13"/>
  <c r="AH39" i="13" s="1"/>
  <c r="AH40" i="13"/>
  <c r="U41" i="13"/>
  <c r="AB41" i="13"/>
  <c r="AH41" i="13" s="1"/>
  <c r="AF41" i="13"/>
  <c r="AH42" i="13"/>
  <c r="Q58" i="13"/>
  <c r="U58" i="13"/>
  <c r="AB58" i="13"/>
  <c r="AH58" i="13" s="1"/>
  <c r="AG58" i="13"/>
  <c r="AB59" i="13"/>
  <c r="AH59" i="13" s="1"/>
  <c r="AB60" i="13"/>
  <c r="AH60" i="13" s="1"/>
  <c r="AH61" i="13"/>
  <c r="U62" i="13"/>
  <c r="AB62" i="13"/>
  <c r="AH62" i="13" s="1"/>
  <c r="AF62" i="13"/>
  <c r="AB63" i="13"/>
  <c r="AH63" i="13" s="1"/>
  <c r="AB64" i="13"/>
  <c r="AH64" i="13" s="1"/>
  <c r="Q65" i="13"/>
  <c r="U65" i="13"/>
  <c r="W65" i="13"/>
  <c r="AB65" i="13"/>
  <c r="AH65" i="13" s="1"/>
  <c r="AF65" i="13"/>
  <c r="AJ65" i="13"/>
  <c r="AK65" i="13"/>
  <c r="AL65" i="13"/>
  <c r="AB66" i="13"/>
  <c r="AH66" i="13" s="1"/>
  <c r="AB67" i="13"/>
  <c r="AH67" i="13" s="1"/>
  <c r="U68" i="13"/>
  <c r="AB68" i="13"/>
  <c r="AH68" i="13" s="1"/>
  <c r="AF68" i="13"/>
  <c r="AJ68" i="13"/>
  <c r="AK68" i="13"/>
  <c r="AL68" i="13"/>
  <c r="U69" i="13"/>
  <c r="AB69" i="13"/>
  <c r="AH69" i="13" s="1"/>
  <c r="AF69" i="13"/>
  <c r="AG69" i="13" s="1"/>
  <c r="AI69" i="13"/>
  <c r="AJ69" i="13"/>
  <c r="AK69" i="13"/>
  <c r="AL69" i="13"/>
  <c r="AB70" i="13"/>
  <c r="P83" i="13"/>
  <c r="S83" i="13"/>
  <c r="U83" i="13"/>
  <c r="AB83" i="13"/>
  <c r="AF83" i="13"/>
  <c r="AI83" i="13"/>
  <c r="AJ83" i="13"/>
  <c r="AL83" i="13"/>
  <c r="AB84" i="13"/>
  <c r="AB85" i="13"/>
  <c r="AH85" i="13" s="1"/>
  <c r="U86" i="13"/>
  <c r="AB86" i="13"/>
  <c r="AH86" i="13" s="1"/>
  <c r="AI86" i="13"/>
  <c r="P87" i="13"/>
  <c r="S87" i="13"/>
  <c r="U87" i="13"/>
  <c r="AB87" i="13"/>
  <c r="AF87" i="13"/>
  <c r="AH87" i="13"/>
  <c r="AI87" i="13"/>
  <c r="AJ87" i="13"/>
  <c r="AK87" i="13"/>
  <c r="AL87" i="13"/>
  <c r="AB88" i="13"/>
  <c r="AB89" i="13"/>
  <c r="AH89" i="13" s="1"/>
  <c r="U90" i="13"/>
  <c r="AB90" i="13"/>
  <c r="AH90" i="13" s="1"/>
  <c r="AI90" i="13"/>
  <c r="P91" i="13"/>
  <c r="S91" i="13"/>
  <c r="U91" i="13"/>
  <c r="AB91" i="13"/>
  <c r="AF91" i="13"/>
  <c r="AH91" i="13"/>
  <c r="AI91" i="13"/>
  <c r="AJ91" i="13"/>
  <c r="AK91" i="13"/>
  <c r="AL91" i="13"/>
  <c r="AB92" i="13"/>
  <c r="AB93" i="13"/>
  <c r="AH93" i="13" s="1"/>
  <c r="U94" i="13"/>
  <c r="AB94" i="13"/>
  <c r="AH94" i="13" s="1"/>
  <c r="AI94" i="13"/>
  <c r="AK94" i="13"/>
  <c r="S143" i="13"/>
  <c r="U143" i="13"/>
  <c r="AB143" i="13"/>
  <c r="AH143" i="13" s="1"/>
  <c r="AF143" i="13"/>
  <c r="AI143" i="13"/>
  <c r="AK143" i="13"/>
  <c r="AB144" i="13"/>
  <c r="AH144" i="13" s="1"/>
  <c r="AB145" i="13"/>
  <c r="AH145" i="13" s="1"/>
  <c r="AB146" i="13"/>
  <c r="AH146" i="13" s="1"/>
  <c r="U147" i="13"/>
  <c r="AB147" i="13"/>
  <c r="AH147" i="13" s="1"/>
  <c r="AI147" i="13"/>
  <c r="AB148" i="13"/>
  <c r="AH148" i="13" s="1"/>
  <c r="Z149" i="13"/>
  <c r="Z150" i="13"/>
  <c r="AB150" i="13" s="1"/>
  <c r="AH150" i="13" s="1"/>
  <c r="S151" i="13"/>
  <c r="U151" i="13"/>
  <c r="AB151" i="13"/>
  <c r="AH151" i="13" s="1"/>
  <c r="AF151" i="13"/>
  <c r="AK151" i="13"/>
  <c r="Z154" i="13"/>
  <c r="AJ151" i="13" s="1"/>
  <c r="U155" i="13"/>
  <c r="AB155" i="13"/>
  <c r="AH155" i="13" s="1"/>
  <c r="AB158" i="13"/>
  <c r="AH158" i="13" s="1"/>
  <c r="P159" i="13"/>
  <c r="Q143" i="13" s="1"/>
  <c r="U159" i="13"/>
  <c r="AB159" i="13"/>
  <c r="AL159" i="13"/>
  <c r="P365" i="13"/>
  <c r="Q365" i="13" s="1"/>
  <c r="S365" i="13"/>
  <c r="U365" i="13"/>
  <c r="AB365" i="13"/>
  <c r="AH365" i="13" s="1"/>
  <c r="AF365" i="13"/>
  <c r="AG365" i="13" s="1"/>
  <c r="AB366" i="13"/>
  <c r="AH366" i="13" s="1"/>
  <c r="U367" i="13"/>
  <c r="AB367" i="13"/>
  <c r="AH367" i="13" s="1"/>
  <c r="AB368" i="13"/>
  <c r="AH368" i="13" s="1"/>
  <c r="P369" i="13"/>
  <c r="Q369" i="13" s="1"/>
  <c r="S369" i="13"/>
  <c r="U369" i="13"/>
  <c r="AB369" i="13"/>
  <c r="AH369" i="13" s="1"/>
  <c r="AF369" i="13"/>
  <c r="AG369" i="13" s="1"/>
  <c r="AI369" i="13"/>
  <c r="AJ369" i="13"/>
  <c r="AK369" i="13"/>
  <c r="AL369" i="13"/>
  <c r="AB370" i="13"/>
  <c r="AH370" i="13" s="1"/>
  <c r="U371" i="13"/>
  <c r="AB371" i="13"/>
  <c r="AH371" i="13" s="1"/>
  <c r="AI371" i="13"/>
  <c r="AK371" i="13"/>
  <c r="AB372" i="13"/>
  <c r="AH372" i="13" s="1"/>
  <c r="AB373" i="13"/>
  <c r="AH373" i="13" s="1"/>
  <c r="AB374" i="13"/>
  <c r="AH374" i="13" s="1"/>
  <c r="S375" i="13"/>
  <c r="U375" i="13"/>
  <c r="AB375" i="13"/>
  <c r="AH375" i="13" s="1"/>
  <c r="AF375" i="13"/>
  <c r="AI375" i="13"/>
  <c r="AJ375" i="13"/>
  <c r="AK375" i="13"/>
  <c r="AL375" i="13"/>
  <c r="AB376" i="13"/>
  <c r="AH376" i="13" s="1"/>
  <c r="AB377" i="13"/>
  <c r="AH377" i="13" s="1"/>
  <c r="U378" i="13"/>
  <c r="AB378" i="13"/>
  <c r="AH378" i="13" s="1"/>
  <c r="AI378" i="13"/>
  <c r="AK378" i="13"/>
  <c r="AB379" i="13"/>
  <c r="AH379" i="13" s="1"/>
  <c r="AB380" i="13"/>
  <c r="AH380" i="13" s="1"/>
  <c r="U381" i="13"/>
  <c r="AB381" i="13"/>
  <c r="AH381" i="13" s="1"/>
  <c r="AF381" i="13"/>
  <c r="AI381" i="13"/>
  <c r="AJ381" i="13"/>
  <c r="AK381" i="13"/>
  <c r="AL381" i="13"/>
  <c r="AB382" i="13"/>
  <c r="AH382" i="13" s="1"/>
  <c r="S383" i="13"/>
  <c r="U383" i="13"/>
  <c r="AB383" i="13"/>
  <c r="AH383" i="13" s="1"/>
  <c r="AF383" i="13"/>
  <c r="AI383" i="13"/>
  <c r="AJ383" i="13"/>
  <c r="AK383" i="13"/>
  <c r="AL383" i="13"/>
  <c r="AB384" i="13"/>
  <c r="AH384" i="13" s="1"/>
  <c r="Q385" i="13"/>
  <c r="S385" i="13"/>
  <c r="U385" i="13"/>
  <c r="AB385" i="13"/>
  <c r="AH385" i="13" s="1"/>
  <c r="AF385" i="13"/>
  <c r="AG385" i="13" s="1"/>
  <c r="AI385" i="13"/>
  <c r="AJ385" i="13"/>
  <c r="AL385" i="13" s="1"/>
  <c r="AK385" i="13"/>
  <c r="AB386" i="13"/>
  <c r="AH386" i="13" s="1"/>
  <c r="U387" i="13"/>
  <c r="AB387" i="13"/>
  <c r="AH387" i="13" s="1"/>
  <c r="AI387" i="13"/>
  <c r="AB388" i="13"/>
  <c r="AH388" i="13" s="1"/>
  <c r="P389" i="13"/>
  <c r="S389" i="13"/>
  <c r="U389" i="13"/>
  <c r="W389" i="13"/>
  <c r="AB389" i="13"/>
  <c r="AF389" i="13"/>
  <c r="AH389" i="13"/>
  <c r="AI389" i="13"/>
  <c r="AJ389" i="13"/>
  <c r="AK389" i="13"/>
  <c r="AL389" i="13"/>
  <c r="U390" i="13"/>
  <c r="AB390" i="13"/>
  <c r="AH390" i="13"/>
  <c r="AI390" i="13"/>
  <c r="AK390" i="13"/>
  <c r="AB391" i="13"/>
  <c r="AH391" i="13"/>
  <c r="P392" i="13"/>
  <c r="AK392" i="13" s="1"/>
  <c r="S392" i="13"/>
  <c r="U392" i="13"/>
  <c r="AB392" i="13"/>
  <c r="AF392" i="13"/>
  <c r="AH392" i="13"/>
  <c r="AI392" i="13"/>
  <c r="AJ392" i="13"/>
  <c r="AL392" i="13"/>
  <c r="AB393" i="13"/>
  <c r="AH393" i="13"/>
  <c r="P394" i="13"/>
  <c r="AL394" i="13" s="1"/>
  <c r="S394" i="13"/>
  <c r="U394" i="13"/>
  <c r="AB394" i="13"/>
  <c r="AH394" i="13" s="1"/>
  <c r="AF394" i="13"/>
  <c r="AI394" i="13"/>
  <c r="AJ394" i="13"/>
  <c r="AB396" i="13"/>
  <c r="AH396" i="13" s="1"/>
  <c r="U397" i="13"/>
  <c r="AB397" i="13"/>
  <c r="AH397" i="13" s="1"/>
  <c r="AI397" i="13"/>
  <c r="AB399" i="13"/>
  <c r="AH399" i="13" s="1"/>
  <c r="P400" i="13"/>
  <c r="AK400" i="13" s="1"/>
  <c r="U400" i="13"/>
  <c r="AB400" i="13"/>
  <c r="AH400" i="13" s="1"/>
  <c r="AF400" i="13"/>
  <c r="AI400" i="13"/>
  <c r="P412" i="13"/>
  <c r="Q412" i="13" s="1"/>
  <c r="S412" i="13"/>
  <c r="U412" i="13"/>
  <c r="AA412" i="13"/>
  <c r="AB412" i="13" s="1"/>
  <c r="AH412" i="13" s="1"/>
  <c r="AF412" i="13"/>
  <c r="AG412" i="13" s="1"/>
  <c r="AI412" i="13"/>
  <c r="AK412" i="13"/>
  <c r="AA413" i="13"/>
  <c r="AB413" i="13" s="1"/>
  <c r="AH413" i="13" s="1"/>
  <c r="U414" i="13"/>
  <c r="Z414" i="13"/>
  <c r="AI414" i="13"/>
  <c r="AK414" i="13"/>
  <c r="Z415" i="13"/>
  <c r="AB415" i="13" s="1"/>
  <c r="AH415" i="13" s="1"/>
  <c r="Z416" i="13"/>
  <c r="AB416" i="13" s="1"/>
  <c r="AH416" i="13" s="1"/>
  <c r="Z417" i="13"/>
  <c r="AB417" i="13" s="1"/>
  <c r="AH417" i="13" s="1"/>
  <c r="P446" i="13"/>
  <c r="Q446" i="13" s="1"/>
  <c r="S446" i="13"/>
  <c r="U446" i="13"/>
  <c r="AB446" i="13"/>
  <c r="AH446" i="13" s="1"/>
  <c r="AK446" i="13"/>
  <c r="AL446" i="13"/>
  <c r="AB447" i="13"/>
  <c r="AH447" i="13" s="1"/>
  <c r="U448" i="13"/>
  <c r="AB448" i="13"/>
  <c r="AK448" i="13"/>
  <c r="AB449" i="13"/>
  <c r="S450" i="13"/>
  <c r="U450" i="13"/>
  <c r="AB450" i="13"/>
  <c r="AH450" i="13" s="1"/>
  <c r="AF450" i="13"/>
  <c r="AI450" i="13"/>
  <c r="AK450" i="13"/>
  <c r="AB451" i="13"/>
  <c r="AH451" i="13" s="1"/>
  <c r="Z452" i="13"/>
  <c r="U453" i="13"/>
  <c r="Z453" i="13"/>
  <c r="AB453" i="13" s="1"/>
  <c r="AH453" i="13" s="1"/>
  <c r="AI453" i="13"/>
  <c r="AK453" i="13"/>
  <c r="AB454" i="13"/>
  <c r="AH454" i="13" s="1"/>
  <c r="S455" i="13"/>
  <c r="U455" i="13"/>
  <c r="AB455" i="13"/>
  <c r="AH455" i="13" s="1"/>
  <c r="AF455" i="13"/>
  <c r="AI455" i="13"/>
  <c r="AJ455" i="13"/>
  <c r="AK455" i="13"/>
  <c r="AL455" i="13"/>
  <c r="AB456" i="13"/>
  <c r="AH456" i="13" s="1"/>
  <c r="P457" i="13"/>
  <c r="Q457" i="13" s="1"/>
  <c r="S457" i="13"/>
  <c r="U457" i="13"/>
  <c r="AB457" i="13"/>
  <c r="AH457" i="13" s="1"/>
  <c r="AF457" i="13"/>
  <c r="AG457" i="13" s="1"/>
  <c r="AI457" i="13"/>
  <c r="AJ457" i="13"/>
  <c r="AL457" i="13"/>
  <c r="AB458" i="13"/>
  <c r="AH458" i="13" s="1"/>
  <c r="U459" i="13"/>
  <c r="AB459" i="13"/>
  <c r="AH459" i="13" s="1"/>
  <c r="AI459" i="13"/>
  <c r="AB460" i="13"/>
  <c r="AH460" i="13" s="1"/>
  <c r="P461" i="13"/>
  <c r="AK461" i="13" s="1"/>
  <c r="S461" i="13"/>
  <c r="U461" i="13"/>
  <c r="AB461" i="13"/>
  <c r="AH461" i="13" s="1"/>
  <c r="AF461" i="13"/>
  <c r="AI461" i="13"/>
  <c r="AB462" i="13"/>
  <c r="AH462" i="13" s="1"/>
  <c r="Z463" i="13"/>
  <c r="Z464" i="13"/>
  <c r="AB464" i="13" s="1"/>
  <c r="AH464" i="13" s="1"/>
  <c r="AB465" i="13"/>
  <c r="AH465" i="13" s="1"/>
  <c r="U466" i="13"/>
  <c r="AB466" i="13"/>
  <c r="AH466" i="13" s="1"/>
  <c r="AI466" i="13"/>
  <c r="AB467" i="13"/>
  <c r="AH467" i="13" s="1"/>
  <c r="AB468" i="13"/>
  <c r="AH468" i="13" s="1"/>
  <c r="P469" i="13"/>
  <c r="S469" i="13"/>
  <c r="U469" i="13"/>
  <c r="AB469" i="13"/>
  <c r="AH469" i="13" s="1"/>
  <c r="AF469" i="13"/>
  <c r="AI469" i="13"/>
  <c r="AJ469" i="13"/>
  <c r="AL469" i="13"/>
  <c r="AB470" i="13"/>
  <c r="AH470" i="13" s="1"/>
  <c r="P471" i="13"/>
  <c r="Q471" i="13" s="1"/>
  <c r="S471" i="13"/>
  <c r="U471" i="13"/>
  <c r="AB471" i="13"/>
  <c r="AH471" i="13" s="1"/>
  <c r="AF471" i="13"/>
  <c r="AG471" i="13" s="1"/>
  <c r="AI471" i="13"/>
  <c r="AJ471" i="13"/>
  <c r="AL471" i="13" s="1"/>
  <c r="AB472" i="13"/>
  <c r="AH472" i="13" s="1"/>
  <c r="AB473" i="13"/>
  <c r="AH473" i="13" s="1"/>
  <c r="U474" i="13"/>
  <c r="AB474" i="13"/>
  <c r="AH474" i="13" s="1"/>
  <c r="AI474" i="13"/>
  <c r="AB475" i="13"/>
  <c r="AH475" i="13" s="1"/>
  <c r="P476" i="13"/>
  <c r="AK476" i="13" s="1"/>
  <c r="S476" i="13"/>
  <c r="U476" i="13"/>
  <c r="W476" i="13"/>
  <c r="AB476" i="13"/>
  <c r="AH476" i="13" s="1"/>
  <c r="AF476" i="13"/>
  <c r="AI476" i="13"/>
  <c r="AJ476" i="13"/>
  <c r="AL476" i="13"/>
  <c r="AB477" i="13"/>
  <c r="AH477" i="13" s="1"/>
  <c r="AB478" i="13"/>
  <c r="AH478" i="13" s="1"/>
  <c r="AB479" i="13"/>
  <c r="AH479" i="13" s="1"/>
  <c r="U480" i="13"/>
  <c r="AB480" i="13"/>
  <c r="AH480" i="13" s="1"/>
  <c r="AI480" i="13"/>
  <c r="AB481" i="13"/>
  <c r="AH481" i="13" s="1"/>
  <c r="AB482" i="13"/>
  <c r="AH482" i="13" s="1"/>
  <c r="AB483" i="13"/>
  <c r="AH483" i="13" s="1"/>
  <c r="P484" i="13"/>
  <c r="AK484" i="13" s="1"/>
  <c r="S484" i="13"/>
  <c r="U484" i="13"/>
  <c r="AB484" i="13"/>
  <c r="AH484" i="13" s="1"/>
  <c r="AF484" i="13"/>
  <c r="AI484" i="13"/>
  <c r="AJ484" i="13"/>
  <c r="AL484" i="13"/>
  <c r="P485" i="13"/>
  <c r="S485" i="13"/>
  <c r="U485" i="13"/>
  <c r="W485" i="13"/>
  <c r="AB485" i="13"/>
  <c r="AH485" i="13" s="1"/>
  <c r="AF485" i="13"/>
  <c r="AI485" i="13"/>
  <c r="AJ485" i="13"/>
  <c r="AB486" i="13"/>
  <c r="AH486" i="13" s="1"/>
  <c r="AB487" i="13"/>
  <c r="AH487" i="13" s="1"/>
  <c r="AB488" i="13"/>
  <c r="AH488" i="13" s="1"/>
  <c r="U489" i="13"/>
  <c r="AB489" i="13"/>
  <c r="AH489" i="13" s="1"/>
  <c r="AI489" i="13"/>
  <c r="AB490" i="13"/>
  <c r="AH490" i="13" s="1"/>
  <c r="P491" i="13"/>
  <c r="AB491" i="13"/>
  <c r="AH491" i="13" s="1"/>
  <c r="AL491" i="13"/>
  <c r="AB492" i="13"/>
  <c r="P493" i="13"/>
  <c r="AK493" i="13" s="1"/>
  <c r="S493" i="13"/>
  <c r="U493" i="13"/>
  <c r="W493" i="13"/>
  <c r="AB493" i="13"/>
  <c r="AH493" i="13" s="1"/>
  <c r="AI493" i="13"/>
  <c r="AJ493" i="13"/>
  <c r="AL493" i="13"/>
  <c r="AB494" i="13"/>
  <c r="AH494" i="13" s="1"/>
  <c r="AB495" i="13"/>
  <c r="AH495" i="13" s="1"/>
  <c r="AB496" i="13"/>
  <c r="AH496" i="13" s="1"/>
  <c r="AB497" i="13"/>
  <c r="AH497" i="13" s="1"/>
  <c r="U498" i="13"/>
  <c r="AB498" i="13"/>
  <c r="AH498" i="13" s="1"/>
  <c r="AI498" i="13"/>
  <c r="AB499" i="13"/>
  <c r="AH499" i="13" s="1"/>
  <c r="AB500" i="13"/>
  <c r="AH500" i="13" s="1"/>
  <c r="P501" i="13"/>
  <c r="AK501" i="13" s="1"/>
  <c r="AB501" i="13"/>
  <c r="AH501" i="13" s="1"/>
  <c r="AF501" i="13"/>
  <c r="AJ501" i="13"/>
  <c r="AB502" i="13"/>
  <c r="AH502" i="13" s="1"/>
  <c r="P503" i="13"/>
  <c r="AK503" i="13" s="1"/>
  <c r="S503" i="13"/>
  <c r="U503" i="13"/>
  <c r="AB503" i="13"/>
  <c r="AH503" i="13" s="1"/>
  <c r="AF503" i="13"/>
  <c r="AG503" i="13" s="1"/>
  <c r="AJ503" i="13"/>
  <c r="AL503" i="13"/>
  <c r="AB504" i="13"/>
  <c r="AH504" i="13" s="1"/>
  <c r="AB505" i="13"/>
  <c r="AH505" i="13" s="1"/>
  <c r="U506" i="13"/>
  <c r="AB506" i="13"/>
  <c r="AH506" i="13" s="1"/>
  <c r="AF506" i="13"/>
  <c r="AG506" i="13"/>
  <c r="AI506" i="13"/>
  <c r="AJ506" i="13"/>
  <c r="AK506" i="13"/>
  <c r="AB507" i="13"/>
  <c r="AH507" i="13" s="1"/>
  <c r="AB508" i="13"/>
  <c r="AH508" i="13" s="1"/>
  <c r="S509" i="13"/>
  <c r="U509" i="13"/>
  <c r="AB509" i="13"/>
  <c r="AH509" i="13" s="1"/>
  <c r="AF509" i="13"/>
  <c r="AI509" i="13"/>
  <c r="AK509" i="13"/>
  <c r="AB510" i="13"/>
  <c r="AH510" i="13" s="1"/>
  <c r="AB511" i="13"/>
  <c r="AH511" i="13" s="1"/>
  <c r="U512" i="13"/>
  <c r="AB512" i="13"/>
  <c r="AH512" i="13" s="1"/>
  <c r="AI512" i="13"/>
  <c r="AB513" i="13"/>
  <c r="AH513" i="13" s="1"/>
  <c r="AB514" i="13"/>
  <c r="AH514" i="13" s="1"/>
  <c r="S515" i="13"/>
  <c r="U515" i="13"/>
  <c r="AB515" i="13"/>
  <c r="AH515" i="13" s="1"/>
  <c r="AF515" i="13"/>
  <c r="AI515" i="13"/>
  <c r="AK515" i="13"/>
  <c r="AB516" i="13"/>
  <c r="AH516" i="13" s="1"/>
  <c r="AB517" i="13"/>
  <c r="AH517" i="13" s="1"/>
  <c r="P518" i="13"/>
  <c r="S518" i="13"/>
  <c r="U518" i="13"/>
  <c r="AB518" i="13"/>
  <c r="AH518" i="13" s="1"/>
  <c r="AF518" i="13"/>
  <c r="AB519" i="13"/>
  <c r="AH519" i="13" s="1"/>
  <c r="AB520" i="13"/>
  <c r="AH520" i="13" s="1"/>
  <c r="AB521" i="13"/>
  <c r="AH521" i="13" s="1"/>
  <c r="U522" i="13"/>
  <c r="V522" i="13"/>
  <c r="AL506" i="13" s="1"/>
  <c r="AB522" i="13"/>
  <c r="AH522" i="13" s="1"/>
  <c r="AB523" i="13"/>
  <c r="AH523" i="13" s="1"/>
  <c r="P524" i="13"/>
  <c r="AK524" i="13" s="1"/>
  <c r="S524" i="13"/>
  <c r="U524" i="13"/>
  <c r="AB524" i="13"/>
  <c r="AH524" i="13" s="1"/>
  <c r="AF524" i="13"/>
  <c r="AB525" i="13"/>
  <c r="AH525" i="13" s="1"/>
  <c r="S526" i="13"/>
  <c r="U526" i="13"/>
  <c r="W526" i="13"/>
  <c r="AB526" i="13"/>
  <c r="AH526" i="13" s="1"/>
  <c r="AF526" i="13"/>
  <c r="AI526" i="13"/>
  <c r="AJ526" i="13"/>
  <c r="AK526" i="13"/>
  <c r="AL526" i="13"/>
  <c r="AB527" i="13"/>
  <c r="AH527" i="13" s="1"/>
  <c r="AA528" i="13"/>
  <c r="AB528" i="13" s="1"/>
  <c r="AH528" i="13" s="1"/>
  <c r="AB529" i="13"/>
  <c r="AH529" i="13" s="1"/>
  <c r="U530" i="13"/>
  <c r="AB530" i="13"/>
  <c r="AH530" i="13" s="1"/>
  <c r="AI530" i="13"/>
  <c r="AK530" i="13"/>
  <c r="AB531" i="13"/>
  <c r="AH531" i="13" s="1"/>
  <c r="AB532" i="13"/>
  <c r="AH532" i="13" s="1"/>
  <c r="AB533" i="13"/>
  <c r="AH533" i="13" s="1"/>
  <c r="S534" i="13"/>
  <c r="AK534" i="13" s="1"/>
  <c r="U534" i="13"/>
  <c r="AB534" i="13"/>
  <c r="AH534" i="13" s="1"/>
  <c r="AF534" i="13"/>
  <c r="AJ534" i="13"/>
  <c r="AL534" i="13"/>
  <c r="AB535" i="13"/>
  <c r="AH535" i="13" s="1"/>
  <c r="AB536" i="13"/>
  <c r="AH536" i="13" s="1"/>
  <c r="AB537" i="13"/>
  <c r="AH537" i="13" s="1"/>
  <c r="S538" i="13"/>
  <c r="AK538" i="13" s="1"/>
  <c r="U538" i="13"/>
  <c r="AB538" i="13"/>
  <c r="AH538" i="13" s="1"/>
  <c r="AF538" i="13"/>
  <c r="AJ538" i="13"/>
  <c r="AL538" i="13"/>
  <c r="AB539" i="13"/>
  <c r="AH539" i="13" s="1"/>
  <c r="AB540" i="13"/>
  <c r="AH540" i="13" s="1"/>
  <c r="P541" i="13"/>
  <c r="Q526" i="13" s="1"/>
  <c r="S541" i="13"/>
  <c r="U541" i="13"/>
  <c r="AB541" i="13"/>
  <c r="AH541" i="13" s="1"/>
  <c r="AF541" i="13"/>
  <c r="AI541" i="13"/>
  <c r="AJ541" i="13"/>
  <c r="AK541" i="13"/>
  <c r="AL541" i="13"/>
  <c r="AB542" i="13"/>
  <c r="AH542" i="13" s="1"/>
  <c r="AB543" i="13"/>
  <c r="AH543" i="13" s="1"/>
  <c r="U544" i="13"/>
  <c r="AB544" i="13"/>
  <c r="AH544" i="13" s="1"/>
  <c r="AI544" i="13"/>
  <c r="AK544" i="13"/>
  <c r="AB545" i="13"/>
  <c r="AH545" i="13" s="1"/>
  <c r="AB546" i="13"/>
  <c r="AH546" i="13" s="1"/>
  <c r="S547" i="13"/>
  <c r="U547" i="13"/>
  <c r="AB547" i="13"/>
  <c r="AH547" i="13" s="1"/>
  <c r="AF547" i="13"/>
  <c r="AI547" i="13"/>
  <c r="AJ547" i="13"/>
  <c r="AK547" i="13"/>
  <c r="AL547" i="13"/>
  <c r="AB548" i="13"/>
  <c r="AH548" i="13" s="1"/>
  <c r="P562" i="13"/>
  <c r="S562" i="13"/>
  <c r="U562" i="13"/>
  <c r="W562" i="13"/>
  <c r="AB562" i="13"/>
  <c r="AH562" i="13" s="1"/>
  <c r="AF562" i="13"/>
  <c r="AI562" i="13"/>
  <c r="AJ562" i="13"/>
  <c r="AL562" i="13" s="1"/>
  <c r="AK562" i="13"/>
  <c r="AB563" i="13"/>
  <c r="AH563" i="13" s="1"/>
  <c r="P564" i="13"/>
  <c r="S564" i="13"/>
  <c r="U564" i="13"/>
  <c r="AB564" i="13"/>
  <c r="AH564" i="13" s="1"/>
  <c r="AF564" i="13"/>
  <c r="AI564" i="13"/>
  <c r="AJ564" i="13"/>
  <c r="AL564" i="13"/>
  <c r="U565" i="13"/>
  <c r="AB565" i="13"/>
  <c r="AH565" i="13" s="1"/>
  <c r="AI565" i="13"/>
  <c r="AB566" i="13"/>
  <c r="AH566" i="13" s="1"/>
  <c r="AB567" i="13"/>
  <c r="AH567" i="13" s="1"/>
  <c r="P568" i="13"/>
  <c r="AK568" i="13" s="1"/>
  <c r="S568" i="13"/>
  <c r="U568" i="13"/>
  <c r="AB568" i="13"/>
  <c r="AH568" i="13" s="1"/>
  <c r="AF568" i="13"/>
  <c r="AI568" i="13"/>
  <c r="AJ568" i="13"/>
  <c r="AL568" i="13" s="1"/>
  <c r="AB569" i="13"/>
  <c r="AH569" i="13" s="1"/>
  <c r="P570" i="13"/>
  <c r="AK570" i="13" s="1"/>
  <c r="S570" i="13"/>
  <c r="U570" i="13"/>
  <c r="AB570" i="13"/>
  <c r="AH570" i="13" s="1"/>
  <c r="AF570" i="13"/>
  <c r="AI570" i="13"/>
  <c r="AJ570" i="13"/>
  <c r="AL570" i="13" s="1"/>
  <c r="U571" i="13"/>
  <c r="AB571" i="13"/>
  <c r="AH571" i="13" s="1"/>
  <c r="AI571" i="13"/>
  <c r="AB572" i="13"/>
  <c r="AH572" i="13" s="1"/>
  <c r="AB573" i="13"/>
  <c r="AH573" i="13" s="1"/>
  <c r="P574" i="13"/>
  <c r="AK574" i="13" s="1"/>
  <c r="S574" i="13"/>
  <c r="U574" i="13"/>
  <c r="AB574" i="13"/>
  <c r="AH574" i="13" s="1"/>
  <c r="AF574" i="13"/>
  <c r="AI574" i="13"/>
  <c r="AJ574" i="13"/>
  <c r="AL574" i="13" s="1"/>
  <c r="AB575" i="13"/>
  <c r="AH575" i="13" s="1"/>
  <c r="P576" i="13"/>
  <c r="AK576" i="13" s="1"/>
  <c r="S576" i="13"/>
  <c r="U576" i="13"/>
  <c r="AB576" i="13"/>
  <c r="AH576" i="13" s="1"/>
  <c r="AJ576" i="13"/>
  <c r="AL576" i="13"/>
  <c r="S577" i="13"/>
  <c r="U577" i="13"/>
  <c r="AB577" i="13"/>
  <c r="AH577" i="13" s="1"/>
  <c r="AJ577" i="13"/>
  <c r="AK577" i="13"/>
  <c r="AL577" i="13"/>
  <c r="P578" i="13"/>
  <c r="AK578" i="13" s="1"/>
  <c r="S578" i="13"/>
  <c r="U578" i="13"/>
  <c r="AB578" i="13"/>
  <c r="AH578" i="13" s="1"/>
  <c r="AJ578" i="13"/>
  <c r="AL578" i="13"/>
  <c r="P579" i="13"/>
  <c r="AK579" i="13" s="1"/>
  <c r="S579" i="13"/>
  <c r="U579" i="13"/>
  <c r="AB579" i="13"/>
  <c r="AH579" i="13" s="1"/>
  <c r="AF579" i="13"/>
  <c r="AI579" i="13"/>
  <c r="AJ579" i="13"/>
  <c r="AL579" i="13"/>
  <c r="AB580" i="13"/>
  <c r="AH580" i="13" s="1"/>
  <c r="AB581" i="13"/>
  <c r="AH581" i="13" s="1"/>
  <c r="P582" i="13"/>
  <c r="AK582" i="13" s="1"/>
  <c r="S582" i="13"/>
  <c r="U582" i="13"/>
  <c r="AB582" i="13"/>
  <c r="AH582" i="13" s="1"/>
  <c r="AF582" i="13"/>
  <c r="AI582" i="13"/>
  <c r="AJ582" i="13"/>
  <c r="AL582" i="13"/>
  <c r="AB583" i="13"/>
  <c r="AH583" i="13" s="1"/>
  <c r="AB584" i="13"/>
  <c r="AH584" i="13" s="1"/>
  <c r="P585" i="13"/>
  <c r="Q585" i="13" s="1"/>
  <c r="S585" i="13"/>
  <c r="U585" i="13"/>
  <c r="AB585" i="13"/>
  <c r="AH585" i="13" s="1"/>
  <c r="AF585" i="13"/>
  <c r="AG585" i="13" s="1"/>
  <c r="AI585" i="13"/>
  <c r="AJ585" i="13"/>
  <c r="AL585" i="13"/>
  <c r="AB586" i="13"/>
  <c r="AH586" i="13" s="1"/>
  <c r="AB587" i="13"/>
  <c r="AH587" i="13" s="1"/>
  <c r="U588" i="13"/>
  <c r="AB588" i="13"/>
  <c r="AH588" i="13" s="1"/>
  <c r="AI588" i="13"/>
  <c r="AB589" i="13"/>
  <c r="AH589" i="13" s="1"/>
  <c r="AB590" i="13"/>
  <c r="AH590" i="13" s="1"/>
  <c r="P591" i="13"/>
  <c r="Q591" i="13" s="1"/>
  <c r="S591" i="13"/>
  <c r="U591" i="13"/>
  <c r="AB591" i="13"/>
  <c r="AH591" i="13" s="1"/>
  <c r="AF591" i="13"/>
  <c r="AG591" i="13" s="1"/>
  <c r="AI591" i="13"/>
  <c r="AJ591" i="13"/>
  <c r="AL591" i="13" s="1"/>
  <c r="AB592" i="13"/>
  <c r="AH592" i="13" s="1"/>
  <c r="AB593" i="13"/>
  <c r="AH593" i="13" s="1"/>
  <c r="AB594" i="13"/>
  <c r="AH594" i="13" s="1"/>
  <c r="AB595" i="13"/>
  <c r="AH595" i="13" s="1"/>
  <c r="AB596" i="13"/>
  <c r="AH596" i="13" s="1"/>
  <c r="P599" i="13"/>
  <c r="AK599" i="13" s="1"/>
  <c r="S599" i="13"/>
  <c r="U599" i="13"/>
  <c r="AB599" i="13"/>
  <c r="AH599" i="13" s="1"/>
  <c r="AI599" i="13"/>
  <c r="AL599" i="13"/>
  <c r="AB600" i="13"/>
  <c r="AH600" i="13" s="1"/>
  <c r="AB601" i="13"/>
  <c r="P602" i="13"/>
  <c r="AK602" i="13" s="1"/>
  <c r="AB602" i="13"/>
  <c r="AH602" i="13" s="1"/>
  <c r="AF602" i="13"/>
  <c r="AI602" i="13"/>
  <c r="AJ602" i="13"/>
  <c r="AL602" i="13"/>
  <c r="AB603" i="13"/>
  <c r="AH603" i="13" s="1"/>
  <c r="P609" i="13"/>
  <c r="AK609" i="13" s="1"/>
  <c r="S609" i="13"/>
  <c r="U609" i="13"/>
  <c r="AB609" i="13"/>
  <c r="AH609" i="13" s="1"/>
  <c r="AF609" i="13"/>
  <c r="AG609" i="13" s="1"/>
  <c r="AI609" i="13"/>
  <c r="AJ609" i="13"/>
  <c r="AL609" i="13" s="1"/>
  <c r="AB610" i="13"/>
  <c r="AH610" i="13" s="1"/>
  <c r="AB611" i="13"/>
  <c r="AH611" i="13" s="1"/>
  <c r="P612" i="13"/>
  <c r="AK612" i="13" s="1"/>
  <c r="S612" i="13"/>
  <c r="U612" i="13"/>
  <c r="AB612" i="13"/>
  <c r="AH612" i="13" s="1"/>
  <c r="AF612" i="13"/>
  <c r="AG612" i="13" s="1"/>
  <c r="AI612" i="13"/>
  <c r="AJ612" i="13"/>
  <c r="AL612" i="13" s="1"/>
  <c r="AB614" i="13"/>
  <c r="AH614" i="13" s="1"/>
  <c r="AB615" i="13"/>
  <c r="AH615" i="13" s="1"/>
  <c r="P616" i="13"/>
  <c r="AK616" i="13" s="1"/>
  <c r="S616" i="13"/>
  <c r="U616" i="13"/>
  <c r="AB616" i="13"/>
  <c r="AH616" i="13" s="1"/>
  <c r="AF616" i="13"/>
  <c r="AG616" i="13" s="1"/>
  <c r="AI616" i="13"/>
  <c r="AJ616" i="13"/>
  <c r="AL616" i="13" s="1"/>
  <c r="AB617" i="13"/>
  <c r="AH617" i="13" s="1"/>
  <c r="AB618" i="13"/>
  <c r="AH618" i="13" s="1"/>
  <c r="P619" i="13"/>
  <c r="AK619" i="13" s="1"/>
  <c r="S619" i="13"/>
  <c r="U619" i="13"/>
  <c r="AB619" i="13"/>
  <c r="AH619" i="13" s="1"/>
  <c r="AF619" i="13"/>
  <c r="AI619" i="13"/>
  <c r="AJ619" i="13"/>
  <c r="AL619" i="13" s="1"/>
  <c r="AB620" i="13"/>
  <c r="AH620" i="13" s="1"/>
  <c r="AB621" i="13"/>
  <c r="AH621" i="13" s="1"/>
  <c r="P622" i="13"/>
  <c r="AK622" i="13" s="1"/>
  <c r="S622" i="13"/>
  <c r="U622" i="13"/>
  <c r="AB622" i="13"/>
  <c r="AH622" i="13" s="1"/>
  <c r="AF622" i="13"/>
  <c r="AI622" i="13"/>
  <c r="AJ622" i="13"/>
  <c r="AL622" i="13" s="1"/>
  <c r="AB623" i="13"/>
  <c r="AH623" i="13" s="1"/>
  <c r="AB624" i="13"/>
  <c r="AH624" i="13" s="1"/>
  <c r="P625" i="13"/>
  <c r="AK625" i="13" s="1"/>
  <c r="S625" i="13"/>
  <c r="U625" i="13"/>
  <c r="AB625" i="13"/>
  <c r="AH625" i="13" s="1"/>
  <c r="AF625" i="13"/>
  <c r="AI625" i="13"/>
  <c r="AJ625" i="13"/>
  <c r="AL625" i="13" s="1"/>
  <c r="AB626" i="13"/>
  <c r="AH626" i="13" s="1"/>
  <c r="AB627" i="13"/>
  <c r="AH627" i="13" s="1"/>
  <c r="P628" i="13"/>
  <c r="Q628" i="13" s="1"/>
  <c r="U628" i="13"/>
  <c r="AB628" i="13"/>
  <c r="AH628" i="13" s="1"/>
  <c r="AF628" i="13"/>
  <c r="AG628" i="13" s="1"/>
  <c r="AI628" i="13"/>
  <c r="AJ628" i="13"/>
  <c r="AL628" i="13" s="1"/>
  <c r="AB629" i="13"/>
  <c r="AH629" i="13" s="1"/>
  <c r="AH630" i="13"/>
  <c r="AH631" i="13"/>
  <c r="AB632" i="13"/>
  <c r="AH632" i="13" s="1"/>
  <c r="P633" i="13"/>
  <c r="Q633" i="13" s="1"/>
  <c r="U633" i="13"/>
  <c r="AB633" i="13"/>
  <c r="AH633" i="13" s="1"/>
  <c r="AF633" i="13"/>
  <c r="AG633" i="13" s="1"/>
  <c r="AI633" i="13"/>
  <c r="AJ633" i="13"/>
  <c r="AL633" i="13" s="1"/>
  <c r="AB634" i="13"/>
  <c r="AH634" i="13" s="1"/>
  <c r="AB635" i="13"/>
  <c r="AH635" i="13" s="1"/>
  <c r="P636" i="13"/>
  <c r="Q636" i="13" s="1"/>
  <c r="S636" i="13"/>
  <c r="U636" i="13"/>
  <c r="AB636" i="13"/>
  <c r="AH636" i="13" s="1"/>
  <c r="AF636" i="13"/>
  <c r="AG636" i="13" s="1"/>
  <c r="AL636" i="13"/>
  <c r="AB637" i="13"/>
  <c r="AH637" i="13" s="1"/>
  <c r="P638" i="13"/>
  <c r="S638" i="13"/>
  <c r="U638" i="13"/>
  <c r="AB638" i="13"/>
  <c r="AH638" i="13" s="1"/>
  <c r="AF638" i="13"/>
  <c r="AI638" i="13"/>
  <c r="AJ638" i="13"/>
  <c r="AK638" i="13"/>
  <c r="AL638" i="13"/>
  <c r="AB639" i="13"/>
  <c r="AH639" i="13" s="1"/>
  <c r="AB640" i="13"/>
  <c r="AH640" i="13" s="1"/>
  <c r="U641" i="13"/>
  <c r="AB641" i="13"/>
  <c r="AH641" i="13" s="1"/>
  <c r="AI641" i="13"/>
  <c r="AK641" i="13"/>
  <c r="AB642" i="13"/>
  <c r="AH642" i="13" s="1"/>
  <c r="AB643" i="13"/>
  <c r="AH643" i="13" s="1"/>
  <c r="U644" i="13"/>
  <c r="AB644" i="13"/>
  <c r="AH644" i="13" s="1"/>
  <c r="AF644" i="13"/>
  <c r="AJ644" i="13"/>
  <c r="AK644" i="13"/>
  <c r="AL644" i="13"/>
  <c r="AB645" i="13"/>
  <c r="AH645" i="13" s="1"/>
  <c r="AB646" i="13"/>
  <c r="AH646" i="13" s="1"/>
  <c r="U647" i="13"/>
  <c r="AB647" i="13"/>
  <c r="AH647" i="13" s="1"/>
  <c r="AF647" i="13"/>
  <c r="AJ647" i="13"/>
  <c r="AK647" i="13"/>
  <c r="AL647" i="13"/>
  <c r="AB648" i="13"/>
  <c r="AH648" i="13" s="1"/>
  <c r="AB649" i="13"/>
  <c r="AH649" i="13" s="1"/>
  <c r="P650" i="13"/>
  <c r="AK650" i="13" s="1"/>
  <c r="U650" i="13"/>
  <c r="AB650" i="13"/>
  <c r="AH650" i="13" s="1"/>
  <c r="AF650" i="13"/>
  <c r="AJ650" i="13"/>
  <c r="AL650" i="13"/>
  <c r="AB651" i="13"/>
  <c r="AH651" i="13" s="1"/>
  <c r="AB652" i="13"/>
  <c r="AH652" i="13" s="1"/>
  <c r="P653" i="13"/>
  <c r="AK653" i="13" s="1"/>
  <c r="U653" i="13"/>
  <c r="AB653" i="13"/>
  <c r="AH653" i="13" s="1"/>
  <c r="AF653" i="13"/>
  <c r="AJ653" i="13"/>
  <c r="AL653" i="13"/>
  <c r="AB654" i="13"/>
  <c r="AH654" i="13" s="1"/>
  <c r="AB655" i="13"/>
  <c r="AH655" i="13" s="1"/>
  <c r="Q656" i="13"/>
  <c r="U656" i="13"/>
  <c r="AB656" i="13"/>
  <c r="AH656" i="13" s="1"/>
  <c r="AK656" i="13"/>
  <c r="AM656" i="13" s="1"/>
  <c r="AB657" i="13"/>
  <c r="AH657" i="13" s="1"/>
  <c r="AB658" i="13"/>
  <c r="Q659" i="13"/>
  <c r="U659" i="13"/>
  <c r="AB659" i="13"/>
  <c r="AH659" i="13" s="1"/>
  <c r="AF659" i="13"/>
  <c r="AG659" i="13" s="1"/>
  <c r="AJ659" i="13"/>
  <c r="AL659" i="13" s="1"/>
  <c r="AK659" i="13"/>
  <c r="AB660" i="13"/>
  <c r="AH660" i="13" s="1"/>
  <c r="AB663" i="13"/>
  <c r="AH663" i="13" s="1"/>
  <c r="P664" i="13"/>
  <c r="U664" i="13"/>
  <c r="AB664" i="13"/>
  <c r="AD664" i="13" s="1"/>
  <c r="AL664" i="13"/>
  <c r="AA665" i="13"/>
  <c r="AB665" i="13" s="1"/>
  <c r="AD665" i="13" s="1"/>
  <c r="AH665" i="13" s="1"/>
  <c r="P666" i="13"/>
  <c r="AK666" i="13" s="1"/>
  <c r="U666" i="13"/>
  <c r="AB666" i="13"/>
  <c r="AD666" i="13" s="1"/>
  <c r="AL666" i="13"/>
  <c r="AB667" i="13"/>
  <c r="AD667" i="13" s="1"/>
  <c r="AH667" i="13" s="1"/>
  <c r="AB668" i="13"/>
  <c r="AH668" i="13" s="1"/>
  <c r="Q669" i="13"/>
  <c r="U669" i="13"/>
  <c r="AB669" i="13"/>
  <c r="AH669" i="13" s="1"/>
  <c r="AF669" i="13"/>
  <c r="AG669" i="13" s="1"/>
  <c r="AI669" i="13" s="1"/>
  <c r="AJ669" i="13"/>
  <c r="AL669" i="13" s="1"/>
  <c r="AK669" i="13"/>
  <c r="AB670" i="13"/>
  <c r="AH670" i="13" s="1"/>
  <c r="AB671" i="13"/>
  <c r="AH671" i="13" s="1"/>
  <c r="P672" i="13"/>
  <c r="Q672" i="13" s="1"/>
  <c r="U672" i="13"/>
  <c r="AB672" i="13"/>
  <c r="AH672" i="13" s="1"/>
  <c r="AF672" i="13"/>
  <c r="AG672" i="13" s="1"/>
  <c r="AI672" i="13" s="1"/>
  <c r="AJ672" i="13"/>
  <c r="AL672" i="13"/>
  <c r="AB673" i="13"/>
  <c r="AH673" i="13" s="1"/>
  <c r="AB674" i="13"/>
  <c r="AH674" i="13" s="1"/>
  <c r="Q675" i="13"/>
  <c r="U675" i="13"/>
  <c r="AB675" i="13"/>
  <c r="AH675" i="13" s="1"/>
  <c r="AF675" i="13"/>
  <c r="AI675" i="13"/>
  <c r="AJ675" i="13"/>
  <c r="AK675" i="13"/>
  <c r="AL675" i="13"/>
  <c r="AB676" i="13"/>
  <c r="AH676" i="13" s="1"/>
  <c r="AB677" i="13"/>
  <c r="AH677" i="13" s="1"/>
  <c r="AB678" i="13"/>
  <c r="AH678" i="13" s="1"/>
  <c r="U679" i="13"/>
  <c r="AB679" i="13"/>
  <c r="AH679" i="13" s="1"/>
  <c r="AF679" i="13"/>
  <c r="AI679" i="13"/>
  <c r="AK679" i="13"/>
  <c r="AL679" i="13"/>
  <c r="AB680" i="13"/>
  <c r="AH680" i="13" s="1"/>
  <c r="Q699" i="13"/>
  <c r="U699" i="13"/>
  <c r="W699" i="13"/>
  <c r="AB699" i="13"/>
  <c r="AH699" i="13" s="1"/>
  <c r="AF699" i="13"/>
  <c r="AI699" i="13"/>
  <c r="AJ699" i="13"/>
  <c r="AL704" i="13" s="1"/>
  <c r="AK699" i="13"/>
  <c r="AL699" i="13"/>
  <c r="AB700" i="13"/>
  <c r="AH700" i="13" s="1"/>
  <c r="AB701" i="13"/>
  <c r="AH701" i="13" s="1"/>
  <c r="AB702" i="13"/>
  <c r="AH702" i="13" s="1"/>
  <c r="AB703" i="13"/>
  <c r="AH703" i="13" s="1"/>
  <c r="U704" i="13"/>
  <c r="AB704" i="13"/>
  <c r="AH704" i="13" s="1"/>
  <c r="AF704" i="13"/>
  <c r="AI704" i="13"/>
  <c r="AK704" i="13"/>
  <c r="AB705" i="13"/>
  <c r="AH705" i="13" s="1"/>
  <c r="U710" i="13"/>
  <c r="AB710" i="13"/>
  <c r="AH710" i="13" s="1"/>
  <c r="AF710" i="13"/>
  <c r="AG710" i="13" s="1"/>
  <c r="AI710" i="13"/>
  <c r="AJ710" i="13"/>
  <c r="AK710" i="13"/>
  <c r="AL710" i="13"/>
  <c r="AB711" i="13"/>
  <c r="AH711" i="13" s="1"/>
  <c r="U712" i="13"/>
  <c r="AB712" i="13"/>
  <c r="AH712" i="13" s="1"/>
  <c r="AF712" i="13"/>
  <c r="AG712" i="13" s="1"/>
  <c r="AI712" i="13"/>
  <c r="AJ712" i="13"/>
  <c r="AK712" i="13"/>
  <c r="AL712" i="13"/>
  <c r="AB713" i="13"/>
  <c r="AH713" i="13" s="1"/>
  <c r="U714" i="13"/>
  <c r="AB714" i="13"/>
  <c r="AH714" i="13" s="1"/>
  <c r="AF714" i="13"/>
  <c r="AG714" i="13"/>
  <c r="AI714" i="13"/>
  <c r="AJ714" i="13"/>
  <c r="AK714" i="13"/>
  <c r="AL714" i="13"/>
  <c r="AB715" i="13"/>
  <c r="AH715" i="13" s="1"/>
  <c r="AB716" i="13"/>
  <c r="AH716" i="13" s="1"/>
  <c r="Q717" i="13"/>
  <c r="U717" i="13"/>
  <c r="W717" i="13"/>
  <c r="AB717" i="13"/>
  <c r="AH717" i="13" s="1"/>
  <c r="AF717" i="13"/>
  <c r="AI717" i="13"/>
  <c r="AJ717" i="13"/>
  <c r="AK717" i="13"/>
  <c r="AL717" i="13"/>
  <c r="AB718" i="13"/>
  <c r="AH718" i="13" s="1"/>
  <c r="U719" i="13"/>
  <c r="AB719" i="13"/>
  <c r="AH719" i="13" s="1"/>
  <c r="AF719" i="13"/>
  <c r="AI719" i="13"/>
  <c r="AK719" i="13"/>
  <c r="AL719" i="13"/>
  <c r="Q720" i="13"/>
  <c r="U720" i="13"/>
  <c r="AB720" i="13"/>
  <c r="AH720" i="13" s="1"/>
  <c r="AF720" i="13"/>
  <c r="AI720" i="13"/>
  <c r="AJ720" i="13"/>
  <c r="AK720" i="13"/>
  <c r="AL720" i="13"/>
  <c r="AB721" i="13"/>
  <c r="AH721" i="13" s="1"/>
  <c r="AB722" i="13"/>
  <c r="AH722" i="13" s="1"/>
  <c r="U723" i="13"/>
  <c r="AB723" i="13"/>
  <c r="AH723" i="13" s="1"/>
  <c r="AF723" i="13"/>
  <c r="AI723" i="13"/>
  <c r="AK723" i="13"/>
  <c r="AL723" i="13"/>
  <c r="U724" i="13"/>
  <c r="AB724" i="13"/>
  <c r="AH724" i="13" s="1"/>
  <c r="AF724" i="13"/>
  <c r="AG724" i="13"/>
  <c r="AI724" i="13"/>
  <c r="AJ724" i="13"/>
  <c r="AK724" i="13"/>
  <c r="AL724" i="13"/>
  <c r="AB725" i="13"/>
  <c r="AH725" i="13" s="1"/>
  <c r="AB726" i="13"/>
  <c r="AH726" i="13" s="1"/>
  <c r="U17" i="13"/>
  <c r="AB17" i="13"/>
  <c r="AD17" i="13" s="1"/>
  <c r="AK17" i="13"/>
  <c r="AM17" i="13" s="1"/>
  <c r="O18" i="13"/>
  <c r="Q18" i="13"/>
  <c r="U18" i="13"/>
  <c r="V18" i="13"/>
  <c r="AB18" i="13"/>
  <c r="AD18" i="13" s="1"/>
  <c r="AB19" i="13"/>
  <c r="AA20" i="13"/>
  <c r="AB20" i="13" s="1"/>
  <c r="O21" i="13"/>
  <c r="U21" i="13" s="1"/>
  <c r="V21" i="13"/>
  <c r="AB21" i="13"/>
  <c r="AD21" i="13" s="1"/>
  <c r="AF21" i="13" s="1"/>
  <c r="Q120" i="13"/>
  <c r="U120" i="13"/>
  <c r="AB120" i="13"/>
  <c r="AH120" i="13" s="1"/>
  <c r="AF120" i="13"/>
  <c r="AI120" i="13"/>
  <c r="AK120" i="13"/>
  <c r="AL120" i="13"/>
  <c r="AB121" i="13"/>
  <c r="AH121" i="13" s="1"/>
  <c r="AB122" i="13"/>
  <c r="AH122" i="13" s="1"/>
  <c r="U123" i="13"/>
  <c r="AB123" i="13"/>
  <c r="AH123" i="13" s="1"/>
  <c r="AI123" i="13"/>
  <c r="U124" i="13"/>
  <c r="AB124" i="13"/>
  <c r="AH124" i="13" s="1"/>
  <c r="AF124" i="13"/>
  <c r="AI124" i="13"/>
  <c r="Z125" i="13"/>
  <c r="AB125" i="13" s="1"/>
  <c r="AH125" i="13" s="1"/>
  <c r="U126" i="13"/>
  <c r="V126" i="13"/>
  <c r="AI126" i="13" s="1"/>
  <c r="AB126" i="13"/>
  <c r="AH126" i="13" s="1"/>
  <c r="U127" i="13"/>
  <c r="AB127" i="13"/>
  <c r="AH127" i="13" s="1"/>
  <c r="AF127" i="13"/>
  <c r="AI127" i="13"/>
  <c r="AK127" i="13"/>
  <c r="AL127" i="13"/>
  <c r="AB128" i="13"/>
  <c r="AH128" i="13" s="1"/>
  <c r="AB129" i="13"/>
  <c r="AH129" i="13" s="1"/>
  <c r="U130" i="13"/>
  <c r="AB130" i="13"/>
  <c r="AH130" i="13" s="1"/>
  <c r="AI130" i="13"/>
  <c r="U131" i="13"/>
  <c r="AB131" i="13"/>
  <c r="AH131" i="13" s="1"/>
  <c r="AF131" i="13"/>
  <c r="AI131" i="13"/>
  <c r="AK131" i="13"/>
  <c r="AL131" i="13"/>
  <c r="AB132" i="13"/>
  <c r="AH132" i="13" s="1"/>
  <c r="AB133" i="13"/>
  <c r="AH133" i="13" s="1"/>
  <c r="U134" i="13"/>
  <c r="AB134" i="13"/>
  <c r="AH134" i="13" s="1"/>
  <c r="AI134" i="13"/>
  <c r="U135" i="13"/>
  <c r="AB135" i="13"/>
  <c r="AH135" i="13" s="1"/>
  <c r="AF135" i="13"/>
  <c r="AI135" i="13"/>
  <c r="AK135" i="13"/>
  <c r="AB136" i="13"/>
  <c r="AH136" i="13" s="1"/>
  <c r="Z137" i="13"/>
  <c r="U138" i="13"/>
  <c r="Z138" i="13"/>
  <c r="AB138" i="13" s="1"/>
  <c r="AH138" i="13" s="1"/>
  <c r="AI138" i="13"/>
  <c r="U139" i="13"/>
  <c r="AB139" i="13"/>
  <c r="AH139" i="13" s="1"/>
  <c r="AF139" i="13"/>
  <c r="AI139" i="13"/>
  <c r="AK139" i="13"/>
  <c r="AL139" i="13"/>
  <c r="AB140" i="13"/>
  <c r="AH140" i="13" s="1"/>
  <c r="AB141" i="13"/>
  <c r="AH141" i="13" s="1"/>
  <c r="U142" i="13"/>
  <c r="AB142" i="13"/>
  <c r="AH142" i="13" s="1"/>
  <c r="AI142" i="13"/>
  <c r="P175" i="13"/>
  <c r="V175" i="13"/>
  <c r="AB175" i="13"/>
  <c r="AF175" i="13"/>
  <c r="AJ175" i="13"/>
  <c r="AB177" i="13"/>
  <c r="AB178" i="13"/>
  <c r="V179" i="13"/>
  <c r="AB179" i="13"/>
  <c r="AB180" i="13"/>
  <c r="AB181" i="13"/>
  <c r="AB182" i="13"/>
  <c r="P183" i="13"/>
  <c r="V183" i="13"/>
  <c r="AB183" i="13"/>
  <c r="AF183" i="13"/>
  <c r="AJ183" i="13"/>
  <c r="AB185" i="13"/>
  <c r="AB186" i="13"/>
  <c r="V187" i="13"/>
  <c r="AB187" i="13"/>
  <c r="AB188" i="13"/>
  <c r="AB189" i="13"/>
  <c r="AB190" i="13"/>
  <c r="P191" i="13"/>
  <c r="V191" i="13"/>
  <c r="AB191" i="13"/>
  <c r="AF191" i="13"/>
  <c r="AJ191" i="13"/>
  <c r="AB193" i="13"/>
  <c r="AB194" i="13"/>
  <c r="V195" i="13"/>
  <c r="AB195" i="13"/>
  <c r="AB196" i="13"/>
  <c r="AB197" i="13"/>
  <c r="AB198" i="13"/>
  <c r="P199" i="13"/>
  <c r="V199" i="13"/>
  <c r="AL199" i="13" s="1"/>
  <c r="AB199" i="13"/>
  <c r="AF199" i="13"/>
  <c r="P200" i="13"/>
  <c r="V200" i="13"/>
  <c r="AL200" i="13" s="1"/>
  <c r="AF200" i="13"/>
  <c r="P201" i="13"/>
  <c r="AK201" i="13" s="1"/>
  <c r="U201" i="13"/>
  <c r="W201" i="13"/>
  <c r="AB201" i="13"/>
  <c r="AF201" i="13"/>
  <c r="AJ201" i="13"/>
  <c r="AL201" i="13" s="1"/>
  <c r="U202" i="13"/>
  <c r="P203" i="13"/>
  <c r="AK203" i="13" s="1"/>
  <c r="AM203" i="13" s="1"/>
  <c r="U203" i="13"/>
  <c r="AB203" i="13"/>
  <c r="AF203" i="13"/>
  <c r="AJ203" i="13"/>
  <c r="AL203" i="13" s="1"/>
  <c r="U204" i="13"/>
  <c r="P205" i="13"/>
  <c r="AK205" i="13" s="1"/>
  <c r="U205" i="13"/>
  <c r="AB205" i="13"/>
  <c r="AF205" i="13"/>
  <c r="AJ205" i="13"/>
  <c r="AL205" i="13" s="1"/>
  <c r="U206" i="13"/>
  <c r="P207" i="13"/>
  <c r="AF207" i="13"/>
  <c r="AJ207" i="13"/>
  <c r="AL207" i="13"/>
  <c r="P208" i="13"/>
  <c r="W208" i="13"/>
  <c r="AB208" i="13"/>
  <c r="AH208" i="13" s="1"/>
  <c r="AF208" i="13"/>
  <c r="AI208" i="13"/>
  <c r="AJ208" i="13"/>
  <c r="AK208" i="13"/>
  <c r="AL208" i="13"/>
  <c r="AB209" i="13"/>
  <c r="AH209" i="13" s="1"/>
  <c r="AB210" i="13"/>
  <c r="AH210" i="13" s="1"/>
  <c r="AI210" i="13"/>
  <c r="AB211" i="13"/>
  <c r="AH211" i="13" s="1"/>
  <c r="P212" i="13"/>
  <c r="AB212" i="13"/>
  <c r="AH212" i="13" s="1"/>
  <c r="AF212" i="13"/>
  <c r="AI212" i="13"/>
  <c r="AJ212" i="13"/>
  <c r="AK212" i="13"/>
  <c r="AL212" i="13"/>
  <c r="AB213" i="13"/>
  <c r="AH213" i="13" s="1"/>
  <c r="AB214" i="13"/>
  <c r="AH214" i="13" s="1"/>
  <c r="AI214" i="13"/>
  <c r="AB215" i="13"/>
  <c r="AH215" i="13" s="1"/>
  <c r="P216" i="13"/>
  <c r="AB216" i="13"/>
  <c r="AH216" i="13" s="1"/>
  <c r="AF216" i="13"/>
  <c r="AI216" i="13"/>
  <c r="AJ216" i="13"/>
  <c r="AK216" i="13"/>
  <c r="AL216" i="13"/>
  <c r="AB217" i="13"/>
  <c r="AH217" i="13" s="1"/>
  <c r="AB218" i="13"/>
  <c r="AH218" i="13" s="1"/>
  <c r="AI218" i="13"/>
  <c r="AB219" i="13"/>
  <c r="AH219" i="13" s="1"/>
  <c r="P220" i="13"/>
  <c r="AB220" i="13"/>
  <c r="AH220" i="13" s="1"/>
  <c r="AF220" i="13"/>
  <c r="AI220" i="13"/>
  <c r="AJ220" i="13"/>
  <c r="AK220" i="13"/>
  <c r="AL220" i="13"/>
  <c r="AB221" i="13"/>
  <c r="AH221" i="13" s="1"/>
  <c r="AB222" i="13"/>
  <c r="AH222" i="13" s="1"/>
  <c r="AI222" i="13"/>
  <c r="AB223" i="13"/>
  <c r="AH223" i="13" s="1"/>
  <c r="P224" i="13"/>
  <c r="AB224" i="13"/>
  <c r="AH224" i="13" s="1"/>
  <c r="AF224" i="13"/>
  <c r="AI224" i="13"/>
  <c r="AJ224" i="13"/>
  <c r="AK224" i="13"/>
  <c r="AL224" i="13"/>
  <c r="AB225" i="13"/>
  <c r="AH225" i="13" s="1"/>
  <c r="AB226" i="13"/>
  <c r="AH226" i="13" s="1"/>
  <c r="AI226" i="13"/>
  <c r="AB227" i="13"/>
  <c r="AH227" i="13" s="1"/>
  <c r="P228" i="13"/>
  <c r="AB228" i="13"/>
  <c r="AH228" i="13" s="1"/>
  <c r="AF228" i="13"/>
  <c r="AI228" i="13"/>
  <c r="AJ228" i="13"/>
  <c r="AK228" i="13"/>
  <c r="AL228" i="13"/>
  <c r="AB229" i="13"/>
  <c r="AH229" i="13" s="1"/>
  <c r="AB230" i="13"/>
  <c r="AH230" i="13" s="1"/>
  <c r="AI230" i="13"/>
  <c r="AB231" i="13"/>
  <c r="AH231" i="13" s="1"/>
  <c r="P232" i="13"/>
  <c r="AB232" i="13"/>
  <c r="AH232" i="13" s="1"/>
  <c r="AF232" i="13"/>
  <c r="AI232" i="13"/>
  <c r="AJ232" i="13"/>
  <c r="AK232" i="13"/>
  <c r="AL232" i="13"/>
  <c r="AB233" i="13"/>
  <c r="AH233" i="13" s="1"/>
  <c r="AB234" i="13"/>
  <c r="AH234" i="13" s="1"/>
  <c r="AI234" i="13"/>
  <c r="AB235" i="13"/>
  <c r="AH235" i="13" s="1"/>
  <c r="P236" i="13"/>
  <c r="AB236" i="13"/>
  <c r="AH236" i="13" s="1"/>
  <c r="AF236" i="13"/>
  <c r="AJ236" i="13"/>
  <c r="AK236" i="13"/>
  <c r="AL236" i="13"/>
  <c r="P237" i="13"/>
  <c r="AB237" i="13"/>
  <c r="AH237" i="13" s="1"/>
  <c r="AF237" i="13"/>
  <c r="AJ237" i="13"/>
  <c r="AK237" i="13"/>
  <c r="AM237" i="13" s="1"/>
  <c r="P238" i="13"/>
  <c r="AB238" i="13"/>
  <c r="AH238" i="13" s="1"/>
  <c r="AB239" i="13"/>
  <c r="AH239" i="13" s="1"/>
  <c r="P240" i="13"/>
  <c r="AK240" i="13" s="1"/>
  <c r="AB240" i="13"/>
  <c r="AH240" i="13" s="1"/>
  <c r="AF240" i="13"/>
  <c r="AG240" i="13"/>
  <c r="AI240" i="13"/>
  <c r="AJ240" i="13"/>
  <c r="AL240" i="13"/>
  <c r="AB241" i="13"/>
  <c r="AH241" i="13" s="1"/>
  <c r="AB242" i="13"/>
  <c r="AH242" i="13" s="1"/>
  <c r="AI242" i="13"/>
  <c r="P243" i="13"/>
  <c r="AK243" i="13" s="1"/>
  <c r="AF243" i="13"/>
  <c r="AH243" i="13"/>
  <c r="AI243" i="13"/>
  <c r="AJ243" i="13"/>
  <c r="AL243" i="13"/>
  <c r="AB244" i="13"/>
  <c r="AH244" i="13" s="1"/>
  <c r="AI244" i="13"/>
  <c r="AB245" i="13"/>
  <c r="AH245" i="13" s="1"/>
  <c r="P246" i="13"/>
  <c r="AK246" i="13" s="1"/>
  <c r="AB246" i="13"/>
  <c r="AH246" i="13" s="1"/>
  <c r="AF246" i="13"/>
  <c r="AI246" i="13"/>
  <c r="AJ246" i="13"/>
  <c r="AL246" i="13"/>
  <c r="AB247" i="13"/>
  <c r="AH247" i="13" s="1"/>
  <c r="AB248" i="13"/>
  <c r="AH248" i="13" s="1"/>
  <c r="AI248" i="13"/>
  <c r="P249" i="13"/>
  <c r="AK249" i="13" s="1"/>
  <c r="AB249" i="13"/>
  <c r="AH249" i="13" s="1"/>
  <c r="AF249" i="13"/>
  <c r="AI249" i="13"/>
  <c r="AJ249" i="13"/>
  <c r="AL249" i="13"/>
  <c r="AB250" i="13"/>
  <c r="AH250" i="13" s="1"/>
  <c r="AB251" i="13"/>
  <c r="AH251" i="13" s="1"/>
  <c r="AI251" i="13"/>
  <c r="P252" i="13"/>
  <c r="AK252" i="13" s="1"/>
  <c r="AB252" i="13"/>
  <c r="AH252" i="13" s="1"/>
  <c r="AF252" i="13"/>
  <c r="AI252" i="13"/>
  <c r="AJ252" i="13"/>
  <c r="AL252" i="13"/>
  <c r="AB253" i="13"/>
  <c r="AH253" i="13" s="1"/>
  <c r="AI253" i="13"/>
  <c r="AB254" i="13"/>
  <c r="AH254" i="13" s="1"/>
  <c r="P255" i="13"/>
  <c r="AK255" i="13" s="1"/>
  <c r="AB255" i="13"/>
  <c r="AH255" i="13" s="1"/>
  <c r="AF255" i="13"/>
  <c r="AI255" i="13"/>
  <c r="AJ255" i="13"/>
  <c r="AL255" i="13"/>
  <c r="AB256" i="13"/>
  <c r="AH256" i="13" s="1"/>
  <c r="AB257" i="13"/>
  <c r="AH257" i="13" s="1"/>
  <c r="AI257" i="13"/>
  <c r="P258" i="13"/>
  <c r="AK258" i="13" s="1"/>
  <c r="AF258" i="13"/>
  <c r="AH258" i="13"/>
  <c r="AJ258" i="13"/>
  <c r="AL258" i="13"/>
  <c r="P289" i="13"/>
  <c r="AK289" i="13" s="1"/>
  <c r="S289" i="13"/>
  <c r="U289" i="13"/>
  <c r="AB289" i="13"/>
  <c r="AH289" i="13" s="1"/>
  <c r="AF289" i="13"/>
  <c r="AJ289" i="13"/>
  <c r="AL289" i="13"/>
  <c r="U290" i="13"/>
  <c r="AB290" i="13"/>
  <c r="AH290" i="13" s="1"/>
  <c r="AB291" i="13"/>
  <c r="AH291" i="13" s="1"/>
  <c r="P292" i="13"/>
  <c r="S292" i="13"/>
  <c r="U292" i="13"/>
  <c r="AB292" i="13"/>
  <c r="AD292" i="13"/>
  <c r="AF292" i="13" s="1"/>
  <c r="AL292" i="13"/>
  <c r="U293" i="13"/>
  <c r="AB293" i="13"/>
  <c r="AH293" i="13" s="1"/>
  <c r="AB294" i="13"/>
  <c r="AH294" i="13" s="1"/>
  <c r="P295" i="13"/>
  <c r="AK295" i="13" s="1"/>
  <c r="S295" i="13"/>
  <c r="U295" i="13"/>
  <c r="AB295" i="13"/>
  <c r="AD295" i="13"/>
  <c r="AF295" i="13" s="1"/>
  <c r="AL295" i="13"/>
  <c r="U296" i="13"/>
  <c r="AB296" i="13"/>
  <c r="AH296" i="13" s="1"/>
  <c r="AB297" i="13"/>
  <c r="AH297" i="13" s="1"/>
  <c r="P298" i="13"/>
  <c r="AK298" i="13" s="1"/>
  <c r="S298" i="13"/>
  <c r="U298" i="13"/>
  <c r="AB298" i="13"/>
  <c r="AD298" i="13"/>
  <c r="AF298" i="13" s="1"/>
  <c r="AL298" i="13"/>
  <c r="U299" i="13"/>
  <c r="AB299" i="13"/>
  <c r="AH299" i="13" s="1"/>
  <c r="AB300" i="13"/>
  <c r="AH300" i="13" s="1"/>
  <c r="P301" i="13"/>
  <c r="S301" i="13"/>
  <c r="U301" i="13"/>
  <c r="V301" i="13"/>
  <c r="AB301" i="13"/>
  <c r="AH301" i="13" s="1"/>
  <c r="AF301" i="13"/>
  <c r="AJ301" i="13"/>
  <c r="P331" i="13"/>
  <c r="S331" i="13"/>
  <c r="AK331" i="13" s="1"/>
  <c r="U331" i="13"/>
  <c r="W331" i="13"/>
  <c r="AB331" i="13"/>
  <c r="AH331" i="13" s="1"/>
  <c r="AF331" i="13"/>
  <c r="AI331" i="13"/>
  <c r="AB332" i="13"/>
  <c r="AH332" i="13" s="1"/>
  <c r="AB333" i="13"/>
  <c r="AH333" i="13" s="1"/>
  <c r="U334" i="13"/>
  <c r="AB334" i="13"/>
  <c r="AH334" i="13" s="1"/>
  <c r="AI334" i="13"/>
  <c r="Z335" i="13"/>
  <c r="Z336" i="13"/>
  <c r="AB336" i="13" s="1"/>
  <c r="AH336" i="13" s="1"/>
  <c r="P337" i="13"/>
  <c r="AK337" i="13" s="1"/>
  <c r="U337" i="13"/>
  <c r="AB337" i="13"/>
  <c r="AH337" i="13" s="1"/>
  <c r="AF337" i="13"/>
  <c r="AI337" i="13"/>
  <c r="AJ337" i="13"/>
  <c r="AL337" i="13"/>
  <c r="P338" i="13"/>
  <c r="U338" i="13" s="1"/>
  <c r="AB340" i="13"/>
  <c r="AB341" i="13"/>
  <c r="AB342" i="13"/>
  <c r="AB343" i="13"/>
  <c r="AB344" i="13"/>
  <c r="AB345" i="13"/>
  <c r="P346" i="13"/>
  <c r="AK346" i="13" s="1"/>
  <c r="S346" i="13"/>
  <c r="U346" i="13"/>
  <c r="AB346" i="13"/>
  <c r="AH346" i="13" s="1"/>
  <c r="AF346" i="13"/>
  <c r="AG346" i="13" s="1"/>
  <c r="AI346" i="13"/>
  <c r="AJ346" i="13"/>
  <c r="AL346" i="13"/>
  <c r="AB347" i="13"/>
  <c r="AH347" i="13" s="1"/>
  <c r="U348" i="13"/>
  <c r="AB348" i="13"/>
  <c r="AH348" i="13" s="1"/>
  <c r="AI348" i="13"/>
  <c r="AB349" i="13"/>
  <c r="AH349" i="13" s="1"/>
  <c r="P350" i="13"/>
  <c r="Q350" i="13" s="1"/>
  <c r="S350" i="13"/>
  <c r="U350" i="13"/>
  <c r="AB350" i="13"/>
  <c r="AF350" i="13"/>
  <c r="AG350" i="13" s="1"/>
  <c r="AJ350" i="13"/>
  <c r="AL350" i="13"/>
  <c r="AB351" i="13"/>
  <c r="U352" i="13"/>
  <c r="AB352" i="13"/>
  <c r="AB353" i="13"/>
  <c r="P354" i="13"/>
  <c r="AK354" i="13" s="1"/>
  <c r="U354" i="13"/>
  <c r="AB354" i="13"/>
  <c r="AH354" i="13" s="1"/>
  <c r="AF354" i="13"/>
  <c r="AG354" i="13" s="1"/>
  <c r="AJ354" i="13"/>
  <c r="AL354" i="13"/>
  <c r="AB355" i="13"/>
  <c r="AH355" i="13" s="1"/>
  <c r="U356" i="13"/>
  <c r="AB356" i="13"/>
  <c r="AH356" i="13" s="1"/>
  <c r="AB357" i="13"/>
  <c r="AH357" i="13" s="1"/>
  <c r="AB358" i="13"/>
  <c r="P359" i="13"/>
  <c r="V359" i="13" s="1"/>
  <c r="AK359" i="13" s="1"/>
  <c r="U359" i="13"/>
  <c r="AB359" i="13"/>
  <c r="AJ359" i="13"/>
  <c r="P360" i="13"/>
  <c r="AK360" i="13" s="1"/>
  <c r="S360" i="13"/>
  <c r="U360" i="13"/>
  <c r="AB360" i="13"/>
  <c r="AF360" i="13"/>
  <c r="AJ360" i="13"/>
  <c r="AL360" i="13" s="1"/>
  <c r="U361" i="13"/>
  <c r="AB361" i="13"/>
  <c r="P362" i="13"/>
  <c r="AK362" i="13" s="1"/>
  <c r="S362" i="13"/>
  <c r="U362" i="13"/>
  <c r="AF362" i="13"/>
  <c r="AG362" i="13" s="1"/>
  <c r="AL362" i="13" s="1"/>
  <c r="AI362" i="13"/>
  <c r="U363" i="13"/>
  <c r="AA364" i="13"/>
  <c r="AB364" i="13" s="1"/>
  <c r="P401" i="13"/>
  <c r="Q401" i="13" s="1"/>
  <c r="S401" i="13"/>
  <c r="U401" i="13"/>
  <c r="AB401" i="13"/>
  <c r="AH401" i="13" s="1"/>
  <c r="AF401" i="13"/>
  <c r="AJ401" i="13"/>
  <c r="AL401" i="13" s="1"/>
  <c r="AB402" i="13"/>
  <c r="AH402" i="13" s="1"/>
  <c r="U403" i="13"/>
  <c r="AB403" i="13"/>
  <c r="AH403" i="13" s="1"/>
  <c r="AB404" i="13"/>
  <c r="AH404" i="13" s="1"/>
  <c r="P405" i="13"/>
  <c r="Q405" i="13" s="1"/>
  <c r="S405" i="13"/>
  <c r="U405" i="13"/>
  <c r="V405" i="13"/>
  <c r="AL405" i="13" s="1"/>
  <c r="AB405" i="13"/>
  <c r="AF405" i="13"/>
  <c r="AG405" i="13" s="1"/>
  <c r="AJ405" i="13" s="1"/>
  <c r="U406" i="13"/>
  <c r="V406" i="13"/>
  <c r="AL406" i="13" s="1"/>
  <c r="AB406" i="13"/>
  <c r="P407" i="13"/>
  <c r="S407" i="13"/>
  <c r="U407" i="13"/>
  <c r="W407" i="13"/>
  <c r="AB407" i="13"/>
  <c r="AH407" i="13" s="1"/>
  <c r="AF407" i="13"/>
  <c r="AI407" i="13"/>
  <c r="AJ407" i="13"/>
  <c r="AL407" i="13"/>
  <c r="AB408" i="13"/>
  <c r="AH408" i="13" s="1"/>
  <c r="U409" i="13"/>
  <c r="AB409" i="13"/>
  <c r="AH409" i="13" s="1"/>
  <c r="AI409" i="13"/>
  <c r="AB410" i="13"/>
  <c r="AH410" i="13" s="1"/>
  <c r="P411" i="13"/>
  <c r="AK411" i="13" s="1"/>
  <c r="U411" i="13"/>
  <c r="AB411" i="13"/>
  <c r="AH411" i="13" s="1"/>
  <c r="AF411" i="13"/>
  <c r="AI411" i="13"/>
  <c r="AJ411" i="13"/>
  <c r="AL411" i="13"/>
  <c r="P418" i="13"/>
  <c r="Q418" i="13" s="1"/>
  <c r="S418" i="13"/>
  <c r="U418" i="13"/>
  <c r="AB418" i="13"/>
  <c r="AH418" i="13" s="1"/>
  <c r="AF418" i="13"/>
  <c r="AG418" i="13" s="1"/>
  <c r="AI418" i="13"/>
  <c r="AJ418" i="13"/>
  <c r="AK418" i="13"/>
  <c r="AL418" i="13"/>
  <c r="AB419" i="13"/>
  <c r="AH419" i="13" s="1"/>
  <c r="U420" i="13"/>
  <c r="AB420" i="13"/>
  <c r="AH420" i="13" s="1"/>
  <c r="AI420" i="13"/>
  <c r="AK420" i="13"/>
  <c r="AB421" i="13"/>
  <c r="AH421" i="13" s="1"/>
  <c r="P422" i="13"/>
  <c r="Q422" i="13" s="1"/>
  <c r="S422" i="13"/>
  <c r="U422" i="13"/>
  <c r="AB422" i="13"/>
  <c r="AF422" i="13"/>
  <c r="AM422" i="13"/>
  <c r="AB423" i="13"/>
  <c r="U424" i="13"/>
  <c r="AB424" i="13"/>
  <c r="AB425" i="13"/>
  <c r="P426" i="13"/>
  <c r="Q426" i="13" s="1"/>
  <c r="S426" i="13"/>
  <c r="U426" i="13"/>
  <c r="AB426" i="13"/>
  <c r="AH426" i="13" s="1"/>
  <c r="AF426" i="13"/>
  <c r="AG426" i="13" s="1"/>
  <c r="AI426" i="13"/>
  <c r="AJ426" i="13"/>
  <c r="AL426" i="13"/>
  <c r="AB427" i="13"/>
  <c r="AH427" i="13" s="1"/>
  <c r="U428" i="13"/>
  <c r="AB428" i="13"/>
  <c r="AH428" i="13" s="1"/>
  <c r="AI428" i="13"/>
  <c r="AB429" i="13"/>
  <c r="AH429" i="13" s="1"/>
  <c r="AB430" i="13"/>
  <c r="AH430" i="13" s="1"/>
  <c r="P431" i="13"/>
  <c r="S431" i="13"/>
  <c r="U431" i="13"/>
  <c r="AB431" i="13"/>
  <c r="AF431" i="13"/>
  <c r="AB432" i="13"/>
  <c r="U433" i="13"/>
  <c r="Z433" i="13"/>
  <c r="AB433" i="13" s="1"/>
  <c r="Z434" i="13"/>
  <c r="AB434" i="13" s="1"/>
  <c r="P435" i="13"/>
  <c r="U435" i="13" s="1"/>
  <c r="S435" i="13"/>
  <c r="Z435" i="13"/>
  <c r="AB435" i="13" s="1"/>
  <c r="AF435" i="13" s="1"/>
  <c r="P436" i="13"/>
  <c r="Q436" i="13" s="1"/>
  <c r="S436" i="13"/>
  <c r="U436" i="13"/>
  <c r="AB436" i="13"/>
  <c r="AH436" i="13" s="1"/>
  <c r="AF436" i="13"/>
  <c r="AG436" i="13" s="1"/>
  <c r="AI436" i="13"/>
  <c r="AJ436" i="13"/>
  <c r="AL436" i="13"/>
  <c r="AB437" i="13"/>
  <c r="AH437" i="13" s="1"/>
  <c r="AB438" i="13"/>
  <c r="AH438" i="13" s="1"/>
  <c r="U439" i="13"/>
  <c r="AB439" i="13"/>
  <c r="AH439" i="13" s="1"/>
  <c r="AI439" i="13"/>
  <c r="AB440" i="13"/>
  <c r="AH440" i="13" s="1"/>
  <c r="AB441" i="13"/>
  <c r="AH441" i="13" s="1"/>
  <c r="P442" i="13"/>
  <c r="Q442" i="13" s="1"/>
  <c r="S442" i="13"/>
  <c r="U442" i="13"/>
  <c r="AB442" i="13"/>
  <c r="AH442" i="13" s="1"/>
  <c r="AF442" i="13"/>
  <c r="AG442" i="13" s="1"/>
  <c r="AI442" i="13"/>
  <c r="AJ442" i="13"/>
  <c r="AL442" i="13"/>
  <c r="AB443" i="13"/>
  <c r="AH443" i="13" s="1"/>
  <c r="U444" i="13"/>
  <c r="AB444" i="13"/>
  <c r="AH444" i="13" s="1"/>
  <c r="AI444" i="13"/>
  <c r="AB445" i="13"/>
  <c r="AH445" i="13" s="1"/>
  <c r="AL174" i="13"/>
  <c r="AK174" i="13"/>
  <c r="AF174" i="13"/>
  <c r="AB174" i="13"/>
  <c r="AL173" i="13"/>
  <c r="AK173" i="13"/>
  <c r="AF173" i="13"/>
  <c r="AB171" i="13"/>
  <c r="AI169" i="13"/>
  <c r="AB169" i="13"/>
  <c r="AB167" i="13"/>
  <c r="AL165" i="13"/>
  <c r="AK165" i="13"/>
  <c r="AJ165" i="13"/>
  <c r="AI165" i="13"/>
  <c r="AF165" i="13"/>
  <c r="AB165" i="13"/>
  <c r="W165" i="13"/>
  <c r="Q165" i="13"/>
  <c r="AL164" i="13"/>
  <c r="AK164" i="13"/>
  <c r="AF164" i="13"/>
  <c r="AB164" i="13"/>
  <c r="AL162" i="13"/>
  <c r="AK162" i="13"/>
  <c r="AB162" i="13"/>
  <c r="AL160" i="13"/>
  <c r="AK160" i="13"/>
  <c r="AJ160" i="13"/>
  <c r="AF160" i="13"/>
  <c r="W160" i="13"/>
  <c r="Q160" i="13"/>
  <c r="AL119" i="13"/>
  <c r="AK119" i="13"/>
  <c r="AF119" i="13"/>
  <c r="AK117" i="13"/>
  <c r="AI117" i="13"/>
  <c r="AB117" i="13"/>
  <c r="AK115" i="13"/>
  <c r="AM115" i="13" s="1"/>
  <c r="AJ115" i="13"/>
  <c r="AL117" i="13" s="1"/>
  <c r="AI115" i="13"/>
  <c r="AF115" i="13"/>
  <c r="W115" i="13"/>
  <c r="Q115" i="13"/>
  <c r="AB113" i="13"/>
  <c r="AI111" i="13"/>
  <c r="AB111" i="13"/>
  <c r="AB109" i="13"/>
  <c r="AL107" i="13"/>
  <c r="AK107" i="13"/>
  <c r="AJ107" i="13"/>
  <c r="AI107" i="13"/>
  <c r="AF107" i="13"/>
  <c r="AG107" i="13" s="1"/>
  <c r="AA107" i="13"/>
  <c r="Q107" i="13"/>
  <c r="AL105" i="13"/>
  <c r="AK105" i="13"/>
  <c r="AI105" i="13"/>
  <c r="AF105" i="13"/>
  <c r="AI103" i="13"/>
  <c r="AB101" i="13"/>
  <c r="AI100" i="13"/>
  <c r="AF100" i="13"/>
  <c r="AB100" i="13"/>
  <c r="V100" i="13"/>
  <c r="AK100" i="13" s="1"/>
  <c r="AI98" i="13"/>
  <c r="AB96" i="13"/>
  <c r="AJ95" i="13"/>
  <c r="AK98" i="13" s="1"/>
  <c r="AI95" i="13"/>
  <c r="AF95" i="13"/>
  <c r="AB95" i="13"/>
  <c r="V95" i="13"/>
  <c r="AL95" i="13" s="1"/>
  <c r="Q95" i="13"/>
  <c r="AK81" i="13"/>
  <c r="AJ81" i="13"/>
  <c r="AL81" i="13" s="1"/>
  <c r="AF81" i="13"/>
  <c r="AG81" i="13" s="1"/>
  <c r="Q81" i="13"/>
  <c r="AL79" i="13"/>
  <c r="AK79" i="13"/>
  <c r="AF79" i="13"/>
  <c r="AB77" i="13"/>
  <c r="AL76" i="13"/>
  <c r="AK76" i="13"/>
  <c r="AJ76" i="13"/>
  <c r="AF76" i="13"/>
  <c r="AB76" i="13"/>
  <c r="W76" i="13"/>
  <c r="Q76" i="13"/>
  <c r="AK74" i="13"/>
  <c r="AJ74" i="13"/>
  <c r="AL74" i="13" s="1"/>
  <c r="AF74" i="13"/>
  <c r="AG74" i="13" s="1"/>
  <c r="Q74" i="13"/>
  <c r="AB72" i="13"/>
  <c r="AK71" i="13"/>
  <c r="AG71" i="13"/>
  <c r="AB71" i="13"/>
  <c r="Q71" i="13"/>
  <c r="AB57" i="13"/>
  <c r="AB56" i="13"/>
  <c r="AL55" i="13"/>
  <c r="AK55" i="13"/>
  <c r="AJ55" i="13"/>
  <c r="AF55" i="13"/>
  <c r="AG55" i="13" s="1"/>
  <c r="AB55" i="13"/>
  <c r="Q55" i="13"/>
  <c r="Z54" i="13"/>
  <c r="AL53" i="13" s="1"/>
  <c r="AK53" i="13"/>
  <c r="AF53" i="13"/>
  <c r="AG53" i="13" s="1"/>
  <c r="AB53" i="13"/>
  <c r="Q53" i="13"/>
  <c r="AL52" i="13"/>
  <c r="AK52" i="13"/>
  <c r="AF52" i="13"/>
  <c r="AB50" i="13"/>
  <c r="AK49" i="13"/>
  <c r="AJ49" i="13"/>
  <c r="AL49" i="13" s="1"/>
  <c r="AF49" i="13"/>
  <c r="AG49" i="13" s="1"/>
  <c r="AB49" i="13"/>
  <c r="W49" i="13"/>
  <c r="Q49" i="13"/>
  <c r="AB48" i="13"/>
  <c r="AB47" i="13"/>
  <c r="AB46" i="13"/>
  <c r="AL45" i="13"/>
  <c r="AK45" i="13"/>
  <c r="AJ45" i="13"/>
  <c r="AF45" i="13"/>
  <c r="AG45" i="13" s="1"/>
  <c r="AA45" i="13"/>
  <c r="AB45" i="13" s="1"/>
  <c r="Q45" i="13"/>
  <c r="AK43" i="13"/>
  <c r="Q43" i="13"/>
  <c r="AL28" i="13"/>
  <c r="AK28" i="13"/>
  <c r="AF28" i="13"/>
  <c r="AB28" i="13"/>
  <c r="AB27" i="13"/>
  <c r="AB26" i="13"/>
  <c r="AL25" i="13"/>
  <c r="AK25" i="13"/>
  <c r="AJ25" i="13"/>
  <c r="AF25" i="13"/>
  <c r="AB25" i="13"/>
  <c r="W25" i="13"/>
  <c r="Q25" i="13"/>
  <c r="AL24" i="13"/>
  <c r="AK24" i="13"/>
  <c r="AF24" i="13"/>
  <c r="AB24" i="13"/>
  <c r="AB23" i="13"/>
  <c r="AL22" i="13"/>
  <c r="AK22" i="13"/>
  <c r="AJ22" i="13"/>
  <c r="AF22" i="13"/>
  <c r="AA22" i="13"/>
  <c r="AB22" i="13" s="1"/>
  <c r="W22" i="13"/>
  <c r="Q22" i="13"/>
  <c r="AL16" i="13"/>
  <c r="AK16" i="13"/>
  <c r="AF16" i="13"/>
  <c r="AB16" i="13"/>
  <c r="AD15" i="13"/>
  <c r="AB15" i="13"/>
  <c r="AL14" i="13"/>
  <c r="AK14" i="13"/>
  <c r="AB14" i="13"/>
  <c r="AD14" i="13" s="1"/>
  <c r="W14" i="13"/>
  <c r="Q14" i="13"/>
  <c r="AB13" i="13"/>
  <c r="AL12" i="13"/>
  <c r="AK12" i="13"/>
  <c r="AF12" i="13"/>
  <c r="AB12" i="13"/>
  <c r="AB11" i="13"/>
  <c r="AB10" i="13"/>
  <c r="AL9" i="13"/>
  <c r="AK9" i="13"/>
  <c r="AJ9" i="13"/>
  <c r="AG9" i="13"/>
  <c r="AF9" i="13"/>
  <c r="AB9" i="13"/>
  <c r="W9" i="13"/>
  <c r="Q9" i="13"/>
  <c r="AB8" i="13"/>
  <c r="AD8" i="13" s="1"/>
  <c r="AL7" i="13"/>
  <c r="AK7" i="13"/>
  <c r="AB7" i="13"/>
  <c r="AB6" i="13"/>
  <c r="AB5" i="13"/>
  <c r="AB4" i="13"/>
  <c r="AL3" i="13"/>
  <c r="AK3" i="13"/>
  <c r="AF3" i="13"/>
  <c r="AH3" i="13" s="1"/>
  <c r="AB3" i="13"/>
  <c r="W3" i="13"/>
  <c r="Q3" i="13"/>
  <c r="AF7" i="13" l="1"/>
  <c r="AH7" i="13" s="1"/>
  <c r="AD601" i="13"/>
  <c r="AH601" i="13" s="1"/>
  <c r="AD448" i="13"/>
  <c r="AH448" i="13" s="1"/>
  <c r="AD449" i="13"/>
  <c r="AI448" i="13" s="1"/>
  <c r="AD658" i="13"/>
  <c r="AH658" i="13" s="1"/>
  <c r="AD159" i="13"/>
  <c r="AH159" i="13" s="1"/>
  <c r="AM7" i="13"/>
  <c r="AM52" i="13"/>
  <c r="AM392" i="13"/>
  <c r="AM375" i="13"/>
  <c r="AM14" i="13"/>
  <c r="AK633" i="13"/>
  <c r="AM633" i="13" s="1"/>
  <c r="AK457" i="13"/>
  <c r="AM457" i="13" s="1"/>
  <c r="Q461" i="13"/>
  <c r="Q612" i="13"/>
  <c r="AK199" i="13"/>
  <c r="Q616" i="13"/>
  <c r="AI501" i="13"/>
  <c r="Q485" i="13"/>
  <c r="AM22" i="13"/>
  <c r="AM719" i="13"/>
  <c r="AK471" i="13"/>
  <c r="AM471" i="13" s="1"/>
  <c r="AM24" i="13"/>
  <c r="AM704" i="13"/>
  <c r="AL461" i="13"/>
  <c r="AM461" i="13" s="1"/>
  <c r="AL191" i="13"/>
  <c r="AM714" i="13"/>
  <c r="AG675" i="13"/>
  <c r="AM547" i="13"/>
  <c r="AM65" i="13"/>
  <c r="AB54" i="13"/>
  <c r="AM160" i="13"/>
  <c r="AM165" i="13"/>
  <c r="AM295" i="13"/>
  <c r="AL183" i="13"/>
  <c r="AM723" i="13"/>
  <c r="AG720" i="13"/>
  <c r="AM675" i="13"/>
  <c r="AK585" i="13"/>
  <c r="AM585" i="13" s="1"/>
  <c r="AM484" i="13"/>
  <c r="AJ53" i="13"/>
  <c r="AM411" i="13"/>
  <c r="AM337" i="13"/>
  <c r="AG22" i="13"/>
  <c r="AM119" i="13"/>
  <c r="AK469" i="13"/>
  <c r="AM469" i="13" s="1"/>
  <c r="AM162" i="13"/>
  <c r="Q431" i="13"/>
  <c r="AK301" i="13"/>
  <c r="Q208" i="13"/>
  <c r="AK200" i="13"/>
  <c r="W175" i="13"/>
  <c r="AM717" i="13"/>
  <c r="AM699" i="13"/>
  <c r="AI503" i="13"/>
  <c r="AJ450" i="13"/>
  <c r="AG450" i="13"/>
  <c r="AL400" i="13"/>
  <c r="AM400" i="13" s="1"/>
  <c r="AM87" i="13"/>
  <c r="AM68" i="13"/>
  <c r="Q331" i="13"/>
  <c r="AM289" i="13"/>
  <c r="AM120" i="13"/>
  <c r="AM724" i="13"/>
  <c r="AM720" i="13"/>
  <c r="AM712" i="13"/>
  <c r="AM638" i="13"/>
  <c r="AG619" i="13"/>
  <c r="AM538" i="13"/>
  <c r="Q503" i="13"/>
  <c r="AK491" i="13"/>
  <c r="AM491" i="13" s="1"/>
  <c r="AM476" i="13"/>
  <c r="AM381" i="13"/>
  <c r="AG375" i="13"/>
  <c r="AM369" i="13"/>
  <c r="AK159" i="13"/>
  <c r="AM159" i="13" s="1"/>
  <c r="AK191" i="13"/>
  <c r="Q609" i="13"/>
  <c r="AM582" i="13"/>
  <c r="AM534" i="13"/>
  <c r="AM526" i="13"/>
  <c r="AM446" i="13"/>
  <c r="AG160" i="13"/>
  <c r="AM131" i="13"/>
  <c r="AM455" i="13"/>
  <c r="AG394" i="13"/>
  <c r="AM173" i="13"/>
  <c r="V435" i="13"/>
  <c r="W431" i="13" s="1"/>
  <c r="AG431" i="13"/>
  <c r="AM418" i="13"/>
  <c r="AG331" i="13"/>
  <c r="AM710" i="13"/>
  <c r="Q666" i="13"/>
  <c r="AK636" i="13"/>
  <c r="AM636" i="13" s="1"/>
  <c r="Q619" i="13"/>
  <c r="AM616" i="13"/>
  <c r="AM602" i="13"/>
  <c r="AK591" i="13"/>
  <c r="AM541" i="13"/>
  <c r="AI538" i="13"/>
  <c r="AI534" i="13"/>
  <c r="AG476" i="13"/>
  <c r="AJ461" i="13"/>
  <c r="AB452" i="13"/>
  <c r="AH452" i="13" s="1"/>
  <c r="AJ412" i="13"/>
  <c r="AM389" i="13"/>
  <c r="AL143" i="13"/>
  <c r="AM143" i="13" s="1"/>
  <c r="AM69" i="13"/>
  <c r="AG65" i="13"/>
  <c r="AM666" i="13"/>
  <c r="AM599" i="13"/>
  <c r="AM493" i="13"/>
  <c r="Q83" i="13"/>
  <c r="AG76" i="13"/>
  <c r="AG95" i="13"/>
  <c r="AM107" i="13"/>
  <c r="AH295" i="13"/>
  <c r="AM232" i="13"/>
  <c r="AM224" i="13"/>
  <c r="AM216" i="13"/>
  <c r="AM208" i="13"/>
  <c r="AM669" i="13"/>
  <c r="Q599" i="13"/>
  <c r="AG579" i="13"/>
  <c r="AM579" i="13"/>
  <c r="AM503" i="13"/>
  <c r="AD492" i="13"/>
  <c r="AF491" i="13" s="1"/>
  <c r="AG485" i="13" s="1"/>
  <c r="AG389" i="13"/>
  <c r="AM383" i="13"/>
  <c r="AL151" i="13"/>
  <c r="AM151" i="13" s="1"/>
  <c r="AG83" i="13"/>
  <c r="AK83" i="13"/>
  <c r="AM83" i="13" s="1"/>
  <c r="AH83" i="13"/>
  <c r="Q407" i="13"/>
  <c r="AG699" i="13"/>
  <c r="AG638" i="13"/>
  <c r="AG562" i="13"/>
  <c r="AG461" i="13"/>
  <c r="AL412" i="13"/>
  <c r="AM412" i="13" s="1"/>
  <c r="Q389" i="13"/>
  <c r="AG115" i="13"/>
  <c r="AM3" i="13"/>
  <c r="AM9" i="13"/>
  <c r="AG25" i="13"/>
  <c r="AM71" i="13"/>
  <c r="AR71" i="13" s="1"/>
  <c r="AM105" i="13"/>
  <c r="AM174" i="13"/>
  <c r="AM354" i="13"/>
  <c r="AM298" i="13"/>
  <c r="Q289" i="13"/>
  <c r="AK292" i="13"/>
  <c r="AM292" i="13" s="1"/>
  <c r="AM139" i="13"/>
  <c r="AF18" i="13"/>
  <c r="AG18" i="13" s="1"/>
  <c r="AL18" i="13"/>
  <c r="AG717" i="13"/>
  <c r="AH664" i="13"/>
  <c r="AF664" i="13"/>
  <c r="AG664" i="13" s="1"/>
  <c r="AJ664" i="13"/>
  <c r="Q638" i="13"/>
  <c r="AM12" i="13"/>
  <c r="AM45" i="13"/>
  <c r="AM117" i="13"/>
  <c r="AK442" i="13"/>
  <c r="AM442" i="13" s="1"/>
  <c r="AK407" i="13"/>
  <c r="AM407" i="13" s="1"/>
  <c r="AG175" i="13"/>
  <c r="AH666" i="13"/>
  <c r="AK401" i="13"/>
  <c r="W289" i="13"/>
  <c r="AL301" i="13"/>
  <c r="AI664" i="13"/>
  <c r="AK664" i="13"/>
  <c r="AM664" i="13" s="1"/>
  <c r="Q664" i="13"/>
  <c r="AM25" i="13"/>
  <c r="AM81" i="13"/>
  <c r="Q362" i="13"/>
  <c r="U207" i="13"/>
  <c r="AK207" i="13"/>
  <c r="Q201" i="13"/>
  <c r="AF666" i="13"/>
  <c r="AG666" i="13" s="1"/>
  <c r="AJ666" i="13"/>
  <c r="AI666" i="13"/>
  <c r="AM659" i="13"/>
  <c r="AM346" i="13"/>
  <c r="AJ331" i="13"/>
  <c r="AH298" i="13"/>
  <c r="AM228" i="13"/>
  <c r="AM212" i="13"/>
  <c r="AG208" i="13"/>
  <c r="AK183" i="13"/>
  <c r="AL175" i="13"/>
  <c r="Q175" i="13"/>
  <c r="AM127" i="13"/>
  <c r="AK124" i="13"/>
  <c r="Q579" i="13"/>
  <c r="Q506" i="13"/>
  <c r="AK518" i="13"/>
  <c r="Q562" i="13"/>
  <c r="Q240" i="13"/>
  <c r="AM220" i="13"/>
  <c r="AG201" i="13"/>
  <c r="AG120" i="13"/>
  <c r="W120" i="13"/>
  <c r="AK672" i="13"/>
  <c r="AM672" i="13" s="1"/>
  <c r="AK628" i="13"/>
  <c r="AK564" i="13"/>
  <c r="AG526" i="13"/>
  <c r="AL135" i="13"/>
  <c r="AM135" i="13" s="1"/>
  <c r="AJ120" i="13"/>
  <c r="AL124" i="13" s="1"/>
  <c r="W18" i="13"/>
  <c r="AL501" i="13"/>
  <c r="AM501" i="13" s="1"/>
  <c r="Q493" i="13"/>
  <c r="Q476" i="13"/>
  <c r="AB463" i="13"/>
  <c r="AH463" i="13" s="1"/>
  <c r="AL450" i="13"/>
  <c r="AM450" i="13" s="1"/>
  <c r="AB414" i="13"/>
  <c r="AH414" i="13" s="1"/>
  <c r="Q394" i="13"/>
  <c r="AK394" i="13" s="1"/>
  <c r="AM394" i="13" s="1"/>
  <c r="AB154" i="13"/>
  <c r="AH154" i="13" s="1"/>
  <c r="AB149" i="13"/>
  <c r="AH149" i="13" s="1"/>
  <c r="AJ143" i="13"/>
  <c r="AM16" i="13"/>
  <c r="AM28" i="13"/>
  <c r="AM53" i="13"/>
  <c r="AM55" i="13"/>
  <c r="AG165" i="13"/>
  <c r="AK436" i="13"/>
  <c r="AM436" i="13" s="1"/>
  <c r="AK426" i="13"/>
  <c r="AM426" i="13" s="1"/>
  <c r="W405" i="13"/>
  <c r="Q354" i="13"/>
  <c r="AM49" i="13"/>
  <c r="AM76" i="13"/>
  <c r="AM79" i="13"/>
  <c r="AM164" i="13"/>
  <c r="AM362" i="13"/>
  <c r="AL100" i="13"/>
  <c r="AM100" i="13" s="1"/>
  <c r="AG407" i="13"/>
  <c r="AL359" i="13"/>
  <c r="AM359" i="13" s="1"/>
  <c r="W354" i="13"/>
  <c r="AG289" i="13"/>
  <c r="AH17" i="13"/>
  <c r="AJ17" i="13"/>
  <c r="AL17" i="13" s="1"/>
  <c r="AF17" i="13"/>
  <c r="AG17" i="13" s="1"/>
  <c r="AG3" i="13"/>
  <c r="AM74" i="13"/>
  <c r="AK350" i="13"/>
  <c r="AM350" i="13" s="1"/>
  <c r="AL331" i="13"/>
  <c r="AM331" i="13" s="1"/>
  <c r="AJ298" i="13"/>
  <c r="AJ295" i="13"/>
  <c r="AJ292" i="13"/>
  <c r="AJ18" i="13"/>
  <c r="AB335" i="13"/>
  <c r="AH335" i="13" s="1"/>
  <c r="AH292" i="13"/>
  <c r="AB137" i="13"/>
  <c r="AH137" i="13" s="1"/>
  <c r="AL21" i="13"/>
  <c r="AK175" i="13"/>
  <c r="AJ14" i="13"/>
  <c r="AG14" i="13"/>
  <c r="AF14" i="13"/>
  <c r="AM98" i="13"/>
  <c r="AM43" i="13"/>
  <c r="AR43" i="13" s="1"/>
  <c r="W95" i="13"/>
  <c r="AJ3" i="13"/>
  <c r="AK95" i="13"/>
  <c r="AM95" i="13" s="1"/>
  <c r="AD1582" i="13" l="1"/>
  <c r="AF493" i="13"/>
  <c r="AG493" i="13" s="1"/>
  <c r="AF599" i="13"/>
  <c r="AG599" i="13" s="1"/>
  <c r="AJ599" i="13"/>
  <c r="AH449" i="13"/>
  <c r="AF446" i="13"/>
  <c r="AG446" i="13" s="1"/>
  <c r="AJ446" i="13"/>
  <c r="AI446" i="13"/>
  <c r="AF159" i="13"/>
  <c r="AG143" i="13" s="1"/>
  <c r="AJ159" i="13"/>
  <c r="AI159" i="13"/>
  <c r="AI656" i="13"/>
  <c r="AF656" i="13"/>
  <c r="AG656" i="13" s="1"/>
  <c r="AJ656" i="13"/>
  <c r="AM124" i="13"/>
  <c r="AM301" i="13"/>
  <c r="AI491" i="13"/>
  <c r="AJ491" i="13"/>
  <c r="AH492" i="13"/>
  <c r="AF1579" i="13" l="1"/>
  <c r="AG1547" i="13" s="1"/>
  <c r="AI1579" i="13"/>
</calcChain>
</file>

<file path=xl/comments1.xml><?xml version="1.0" encoding="utf-8"?>
<comments xmlns="http://schemas.openxmlformats.org/spreadsheetml/2006/main">
  <authors>
    <author>Autor</author>
  </authors>
  <commentList>
    <comment ref="AA3" authorId="0">
      <text>
        <r>
          <rPr>
            <b/>
            <sz val="9"/>
            <color indexed="81"/>
            <rFont val="Tahoma"/>
            <family val="2"/>
          </rPr>
          <t>Anticipo del 40%</t>
        </r>
      </text>
    </comment>
    <comment ref="AA9" authorId="0">
      <text>
        <r>
          <rPr>
            <b/>
            <sz val="9"/>
            <color indexed="81"/>
            <rFont val="Tahoma"/>
            <family val="2"/>
          </rPr>
          <t>Anticipo del 40%</t>
        </r>
      </text>
    </comment>
    <comment ref="Z12" authorId="0">
      <text>
        <r>
          <rPr>
            <b/>
            <sz val="9"/>
            <color indexed="81"/>
            <rFont val="Tahoma"/>
            <family val="2"/>
          </rPr>
          <t>CDR 174 FACT V 22 CTO 05 2010</t>
        </r>
        <r>
          <rPr>
            <sz val="9"/>
            <color indexed="81"/>
            <rFont val="Tahoma"/>
            <family val="2"/>
          </rPr>
          <t xml:space="preserve">
</t>
        </r>
      </text>
    </comment>
    <comment ref="AD12" authorId="0">
      <text>
        <r>
          <rPr>
            <b/>
            <sz val="9"/>
            <color indexed="81"/>
            <rFont val="Tahoma"/>
            <family val="2"/>
          </rPr>
          <t>Soporte de pago con CDR 174 - FACT V 22 CTO 05 2010</t>
        </r>
      </text>
    </comment>
    <comment ref="Z13" authorId="0">
      <text>
        <r>
          <rPr>
            <b/>
            <sz val="9"/>
            <color indexed="81"/>
            <rFont val="Tahoma"/>
            <family val="2"/>
          </rPr>
          <t>CDR 174 - FACT V 21 CTO 05 2010</t>
        </r>
      </text>
    </comment>
    <comment ref="AD13" authorId="0">
      <text>
        <r>
          <rPr>
            <b/>
            <sz val="9"/>
            <color indexed="81"/>
            <rFont val="Tahoma"/>
            <family val="2"/>
          </rPr>
          <t>Soporte de pago con CDR 174 - FACT V 21 CTO 05 2010</t>
        </r>
      </text>
    </comment>
    <comment ref="AA14" authorId="0">
      <text>
        <r>
          <rPr>
            <b/>
            <sz val="9"/>
            <color indexed="81"/>
            <rFont val="Tahoma"/>
            <family val="2"/>
          </rPr>
          <t>Anticipo del 40% sobre $93´932.500</t>
        </r>
      </text>
    </comment>
    <comment ref="AA17" authorId="0">
      <text>
        <r>
          <rPr>
            <b/>
            <sz val="9"/>
            <color indexed="81"/>
            <rFont val="Tahoma"/>
            <family val="2"/>
          </rPr>
          <t>Anticipo del 40%</t>
        </r>
      </text>
    </comment>
    <comment ref="AL17" authorId="0">
      <text>
        <r>
          <rPr>
            <b/>
            <sz val="9"/>
            <color indexed="81"/>
            <rFont val="Tahoma"/>
            <family val="2"/>
          </rPr>
          <t>Contrato Suspendido - Diferencia entre el valor del CDR y el valor del contrato</t>
        </r>
      </text>
    </comment>
    <comment ref="AA22" authorId="0">
      <text>
        <r>
          <rPr>
            <b/>
            <sz val="9"/>
            <color indexed="81"/>
            <rFont val="Tahoma"/>
            <family val="2"/>
          </rPr>
          <t>Anticipo del 40%</t>
        </r>
      </text>
    </comment>
    <comment ref="AD37" authorId="0">
      <text>
        <r>
          <rPr>
            <b/>
            <sz val="9"/>
            <color indexed="81"/>
            <rFont val="Tahoma"/>
            <family val="2"/>
          </rPr>
          <t>PAGO CORRECTO</t>
        </r>
      </text>
    </comment>
    <comment ref="AD38" authorId="0">
      <text>
        <r>
          <rPr>
            <b/>
            <sz val="9"/>
            <color indexed="81"/>
            <rFont val="Tahoma"/>
            <family val="2"/>
          </rPr>
          <t>ESTE PAGO SE REALIZO CON EL CDR 23 (Fuente dpto) ASIGNADO PARA EL CONTRATO N° 019-2010 - SE  DEBE CORREGIR ESTE ERROR POR PARTE DEL FIA</t>
        </r>
      </text>
    </comment>
    <comment ref="AD39" authorId="0">
      <text>
        <r>
          <rPr>
            <b/>
            <sz val="9"/>
            <color indexed="81"/>
            <rFont val="Tahoma"/>
            <family val="2"/>
          </rPr>
          <t>ESTE PAGO SE REALIZO CON EL CDR 011 DESTINADO PARA EL CONTRATO 019-2010. ERROR POR PARTE DEL FIA.</t>
        </r>
      </text>
    </comment>
    <comment ref="AD59" authorId="0">
      <text>
        <r>
          <rPr>
            <b/>
            <sz val="9"/>
            <color indexed="81"/>
            <rFont val="Tahoma"/>
            <family val="2"/>
          </rPr>
          <t>El pago del acta parcial n° 1 se realizo por el CDR 011 y no por el CDR 23. Se debe corregir este Error.</t>
        </r>
        <r>
          <rPr>
            <sz val="9"/>
            <color indexed="81"/>
            <rFont val="Tahoma"/>
            <family val="2"/>
          </rPr>
          <t xml:space="preserve">
</t>
        </r>
      </text>
    </comment>
    <comment ref="AD95" authorId="0">
      <text>
        <r>
          <rPr>
            <b/>
            <sz val="9"/>
            <color indexed="81"/>
            <rFont val="Tahoma"/>
            <family val="2"/>
          </rPr>
          <t>Fuente Nación - CDR 37</t>
        </r>
      </text>
    </comment>
    <comment ref="AD96" authorId="0">
      <text>
        <r>
          <rPr>
            <b/>
            <sz val="9"/>
            <color indexed="81"/>
            <rFont val="Tahoma"/>
            <family val="2"/>
          </rPr>
          <t>Fuente Nación - CDR 37</t>
        </r>
      </text>
    </comment>
    <comment ref="AD97" authorId="0">
      <text>
        <r>
          <rPr>
            <b/>
            <sz val="9"/>
            <color indexed="81"/>
            <rFont val="Tahoma"/>
            <family val="2"/>
          </rPr>
          <t>Fuente Nación - CDR 37</t>
        </r>
      </text>
    </comment>
    <comment ref="AD98" authorId="0">
      <text>
        <r>
          <rPr>
            <b/>
            <sz val="9"/>
            <color indexed="81"/>
            <rFont val="Tahoma"/>
            <family val="2"/>
          </rPr>
          <t>Fuente Departamento - CDR 37</t>
        </r>
      </text>
    </comment>
    <comment ref="AD99" authorId="0">
      <text>
        <r>
          <rPr>
            <b/>
            <sz val="9"/>
            <color indexed="81"/>
            <rFont val="Tahoma"/>
            <family val="2"/>
          </rPr>
          <t>Fuente Departamento - CDR 37</t>
        </r>
      </text>
    </comment>
    <comment ref="AD100" authorId="0">
      <text>
        <r>
          <rPr>
            <b/>
            <sz val="9"/>
            <color indexed="81"/>
            <rFont val="Tahoma"/>
            <family val="2"/>
          </rPr>
          <t>Fuente Nación - CDR 36</t>
        </r>
      </text>
    </comment>
    <comment ref="AD101" authorId="0">
      <text>
        <r>
          <rPr>
            <b/>
            <sz val="9"/>
            <color indexed="81"/>
            <rFont val="Tahoma"/>
            <family val="2"/>
          </rPr>
          <t>Fuente Nación - CDR 36</t>
        </r>
      </text>
    </comment>
    <comment ref="AD102" authorId="0">
      <text>
        <r>
          <rPr>
            <b/>
            <sz val="9"/>
            <color indexed="81"/>
            <rFont val="Tahoma"/>
            <family val="2"/>
          </rPr>
          <t>Fuente Nación - CDR 36</t>
        </r>
      </text>
    </comment>
    <comment ref="AD103" authorId="0">
      <text>
        <r>
          <rPr>
            <b/>
            <sz val="9"/>
            <color indexed="81"/>
            <rFont val="Tahoma"/>
            <family val="2"/>
          </rPr>
          <t>Fuente Departamento - CDR 36</t>
        </r>
      </text>
    </comment>
    <comment ref="AD104" authorId="0">
      <text>
        <r>
          <rPr>
            <b/>
            <sz val="9"/>
            <color indexed="81"/>
            <rFont val="Tahoma"/>
            <family val="2"/>
          </rPr>
          <t>Fuente Departamento - CDR 36</t>
        </r>
      </text>
    </comment>
    <comment ref="AD105" authorId="0">
      <text>
        <r>
          <rPr>
            <b/>
            <sz val="9"/>
            <color indexed="81"/>
            <rFont val="Tahoma"/>
            <family val="2"/>
          </rPr>
          <t>Fuente Nación - CDR 165</t>
        </r>
      </text>
    </comment>
    <comment ref="AD106" authorId="0">
      <text>
        <r>
          <rPr>
            <b/>
            <sz val="9"/>
            <color indexed="81"/>
            <rFont val="Tahoma"/>
            <family val="2"/>
          </rPr>
          <t>Fuente Nación - CDR 165</t>
        </r>
      </text>
    </comment>
    <comment ref="AD107" authorId="0">
      <text>
        <r>
          <rPr>
            <b/>
            <sz val="9"/>
            <color indexed="81"/>
            <rFont val="Tahoma"/>
            <family val="2"/>
          </rPr>
          <t>Fuente Nación - CDR 38. Este pago se debia hacer con Fuente Departamento.</t>
        </r>
      </text>
    </comment>
    <comment ref="AD108" authorId="0">
      <text>
        <r>
          <rPr>
            <b/>
            <sz val="9"/>
            <color indexed="81"/>
            <rFont val="Tahoma"/>
            <family val="2"/>
          </rPr>
          <t>Fuente Nación - CDR 38. Pago con fuente correcta</t>
        </r>
      </text>
    </comment>
    <comment ref="AD109" authorId="0">
      <text>
        <r>
          <rPr>
            <b/>
            <sz val="9"/>
            <color indexed="81"/>
            <rFont val="Tahoma"/>
            <family val="2"/>
          </rPr>
          <t>Fuente nación - CDR 38. Este pago debía Hacerse con fuente Departamento</t>
        </r>
      </text>
    </comment>
    <comment ref="AD110" authorId="0">
      <text>
        <r>
          <rPr>
            <b/>
            <sz val="9"/>
            <color indexed="81"/>
            <rFont val="Tahoma"/>
            <family val="2"/>
          </rPr>
          <t>Fuente departamento - CDR 38. Este pago debia hacerse con fuente nación</t>
        </r>
      </text>
    </comment>
    <comment ref="AD111" authorId="0">
      <text>
        <r>
          <rPr>
            <b/>
            <sz val="9"/>
            <color indexed="81"/>
            <rFont val="Tahoma"/>
            <family val="2"/>
          </rPr>
          <t>Fuente departamento - CDR 38. Pago con fuente correcta</t>
        </r>
      </text>
    </comment>
    <comment ref="AD112" authorId="0">
      <text>
        <r>
          <rPr>
            <b/>
            <sz val="9"/>
            <color indexed="81"/>
            <rFont val="Tahoma"/>
            <family val="2"/>
          </rPr>
          <t>Fuente departamento - CDR 38. Este pago se debia hacer con fuente nación.</t>
        </r>
      </text>
    </comment>
    <comment ref="AD113" authorId="0">
      <text>
        <r>
          <rPr>
            <b/>
            <sz val="9"/>
            <color indexed="81"/>
            <rFont val="Tahoma"/>
            <family val="2"/>
          </rPr>
          <t>Pago por Fuente Nación - CDR 38. Se debia pagar con fuente Departamento</t>
        </r>
      </text>
    </comment>
    <comment ref="AD114" authorId="0">
      <text>
        <r>
          <rPr>
            <b/>
            <sz val="9"/>
            <color indexed="81"/>
            <rFont val="Tahoma"/>
            <family val="2"/>
          </rPr>
          <t>Pago por fuente Nación - CDR 38. Pago con fuente correcta</t>
        </r>
      </text>
    </comment>
    <comment ref="AD115" authorId="0">
      <text>
        <r>
          <rPr>
            <b/>
            <sz val="9"/>
            <color indexed="81"/>
            <rFont val="Tahoma"/>
            <family val="2"/>
          </rPr>
          <t>Pago con fuente nación - CRD 40</t>
        </r>
      </text>
    </comment>
    <comment ref="AD116" authorId="0">
      <text>
        <r>
          <rPr>
            <b/>
            <sz val="9"/>
            <color indexed="81"/>
            <rFont val="Tahoma"/>
            <family val="2"/>
          </rPr>
          <t>Pago por fuente departamento - CDR 40</t>
        </r>
      </text>
    </comment>
    <comment ref="AD117" authorId="0">
      <text>
        <r>
          <rPr>
            <b/>
            <sz val="9"/>
            <color indexed="81"/>
            <rFont val="Tahoma"/>
            <family val="2"/>
          </rPr>
          <t>Pago con fuente nación - CRD 40</t>
        </r>
      </text>
    </comment>
    <comment ref="AD118" authorId="0">
      <text>
        <r>
          <rPr>
            <b/>
            <sz val="9"/>
            <color indexed="81"/>
            <rFont val="Tahoma"/>
            <family val="2"/>
          </rPr>
          <t>Pago por fuente departamento - CDR 40</t>
        </r>
      </text>
    </comment>
    <comment ref="AD120" authorId="0">
      <text>
        <r>
          <rPr>
            <b/>
            <sz val="9"/>
            <color indexed="81"/>
            <rFont val="Tahoma"/>
            <family val="2"/>
          </rPr>
          <t>Pago con fuente Nación</t>
        </r>
      </text>
    </comment>
    <comment ref="AD121" authorId="0">
      <text>
        <r>
          <rPr>
            <b/>
            <sz val="9"/>
            <color indexed="81"/>
            <rFont val="Tahoma"/>
            <family val="2"/>
          </rPr>
          <t>Pago con fuente Nación</t>
        </r>
      </text>
    </comment>
    <comment ref="AD122" authorId="0">
      <text>
        <r>
          <rPr>
            <b/>
            <sz val="9"/>
            <color indexed="81"/>
            <rFont val="Tahoma"/>
            <family val="2"/>
          </rPr>
          <t>Pago con fuente Nación</t>
        </r>
      </text>
    </comment>
    <comment ref="AD123" authorId="0">
      <text>
        <r>
          <rPr>
            <b/>
            <sz val="9"/>
            <color indexed="81"/>
            <rFont val="Tahoma"/>
            <family val="2"/>
          </rPr>
          <t>Pago con fuente departamento</t>
        </r>
      </text>
    </comment>
    <comment ref="AD124" authorId="0">
      <text>
        <r>
          <rPr>
            <b/>
            <sz val="9"/>
            <color indexed="81"/>
            <rFont val="Tahoma"/>
            <family val="2"/>
          </rPr>
          <t>Pago con fuente Nación</t>
        </r>
      </text>
    </comment>
    <comment ref="AD125" authorId="0">
      <text>
        <r>
          <rPr>
            <b/>
            <sz val="9"/>
            <color indexed="81"/>
            <rFont val="Tahoma"/>
            <family val="2"/>
          </rPr>
          <t>Pago con fuente Nación</t>
        </r>
      </text>
    </comment>
    <comment ref="AD127" authorId="0">
      <text>
        <r>
          <rPr>
            <b/>
            <sz val="9"/>
            <color indexed="81"/>
            <rFont val="Tahoma"/>
            <family val="2"/>
          </rPr>
          <t>Pago con fuente Nación</t>
        </r>
      </text>
    </comment>
    <comment ref="AD128" authorId="0">
      <text>
        <r>
          <rPr>
            <b/>
            <sz val="9"/>
            <color indexed="81"/>
            <rFont val="Tahoma"/>
            <family val="2"/>
          </rPr>
          <t>Pago con fuente Nación</t>
        </r>
      </text>
    </comment>
    <comment ref="AD129" authorId="0">
      <text>
        <r>
          <rPr>
            <b/>
            <sz val="9"/>
            <color indexed="81"/>
            <rFont val="Tahoma"/>
            <family val="2"/>
          </rPr>
          <t>Pago fuente Nación</t>
        </r>
      </text>
    </comment>
    <comment ref="AD130" authorId="0">
      <text>
        <r>
          <rPr>
            <b/>
            <sz val="9"/>
            <color indexed="81"/>
            <rFont val="Tahoma"/>
            <family val="2"/>
          </rPr>
          <t>Pago fuente departamento</t>
        </r>
      </text>
    </comment>
    <comment ref="AD131" authorId="0">
      <text>
        <r>
          <rPr>
            <b/>
            <sz val="9"/>
            <color indexed="81"/>
            <rFont val="Tahoma"/>
            <family val="2"/>
          </rPr>
          <t>Pago con fuente Nación</t>
        </r>
      </text>
    </comment>
    <comment ref="AD132" authorId="0">
      <text>
        <r>
          <rPr>
            <b/>
            <sz val="9"/>
            <color indexed="81"/>
            <rFont val="Tahoma"/>
            <family val="2"/>
          </rPr>
          <t>Pago con fuente Nación</t>
        </r>
      </text>
    </comment>
    <comment ref="AD133" authorId="0">
      <text>
        <r>
          <rPr>
            <b/>
            <sz val="9"/>
            <color indexed="81"/>
            <rFont val="Tahoma"/>
            <family val="2"/>
          </rPr>
          <t>Pago con fuente Nación</t>
        </r>
      </text>
    </comment>
    <comment ref="AD134" authorId="0">
      <text>
        <r>
          <rPr>
            <b/>
            <sz val="9"/>
            <color indexed="81"/>
            <rFont val="Tahoma"/>
            <family val="2"/>
          </rPr>
          <t>Pago con fuente Departamento</t>
        </r>
      </text>
    </comment>
    <comment ref="AD135" authorId="0">
      <text>
        <r>
          <rPr>
            <b/>
            <sz val="9"/>
            <color indexed="81"/>
            <rFont val="Tahoma"/>
            <family val="2"/>
          </rPr>
          <t>Pago con fuente Nación</t>
        </r>
      </text>
    </comment>
    <comment ref="AD136" authorId="0">
      <text>
        <r>
          <rPr>
            <b/>
            <sz val="9"/>
            <color indexed="81"/>
            <rFont val="Tahoma"/>
            <family val="2"/>
          </rPr>
          <t>Pago con fuente Nación</t>
        </r>
      </text>
    </comment>
    <comment ref="AD137" authorId="0">
      <text>
        <r>
          <rPr>
            <b/>
            <sz val="9"/>
            <color indexed="81"/>
            <rFont val="Tahoma"/>
            <family val="2"/>
          </rPr>
          <t>Pago con fuente Nación</t>
        </r>
      </text>
    </comment>
    <comment ref="AD138" authorId="0">
      <text>
        <r>
          <rPr>
            <b/>
            <sz val="9"/>
            <color indexed="81"/>
            <rFont val="Tahoma"/>
            <family val="2"/>
          </rPr>
          <t>Pago con fuente departamento</t>
        </r>
      </text>
    </comment>
    <comment ref="AD139" authorId="0">
      <text>
        <r>
          <rPr>
            <b/>
            <sz val="9"/>
            <color indexed="81"/>
            <rFont val="Tahoma"/>
            <family val="2"/>
          </rPr>
          <t>Pago con fuente Nación</t>
        </r>
      </text>
    </comment>
    <comment ref="AD140" authorId="0">
      <text>
        <r>
          <rPr>
            <b/>
            <sz val="9"/>
            <color indexed="81"/>
            <rFont val="Tahoma"/>
            <family val="2"/>
          </rPr>
          <t>Pago con fuente Nación</t>
        </r>
      </text>
    </comment>
    <comment ref="AD141" authorId="0">
      <text>
        <r>
          <rPr>
            <b/>
            <sz val="9"/>
            <color indexed="81"/>
            <rFont val="Tahoma"/>
            <family val="2"/>
          </rPr>
          <t>Pago con fuente Nación</t>
        </r>
      </text>
    </comment>
    <comment ref="AD142" authorId="0">
      <text>
        <r>
          <rPr>
            <b/>
            <sz val="9"/>
            <color indexed="81"/>
            <rFont val="Tahoma"/>
            <family val="2"/>
          </rPr>
          <t>Pago con fuente Departamento</t>
        </r>
      </text>
    </comment>
    <comment ref="AD160" authorId="0">
      <text>
        <r>
          <rPr>
            <b/>
            <sz val="9"/>
            <color indexed="81"/>
            <rFont val="Tahoma"/>
            <family val="2"/>
          </rPr>
          <t>Pago con fuente Nación - CDR 49</t>
        </r>
      </text>
    </comment>
    <comment ref="AD161" authorId="0">
      <text>
        <r>
          <rPr>
            <b/>
            <sz val="9"/>
            <color indexed="81"/>
            <rFont val="Tahoma"/>
            <family val="2"/>
          </rPr>
          <t>Fuente de pago por Departamento - CDR 49</t>
        </r>
      </text>
    </comment>
    <comment ref="AD162" authorId="0">
      <text>
        <r>
          <rPr>
            <b/>
            <sz val="9"/>
            <color indexed="81"/>
            <rFont val="Tahoma"/>
            <family val="2"/>
          </rPr>
          <t>Pago con fuente Nación - CDR 49</t>
        </r>
      </text>
    </comment>
    <comment ref="AD163" authorId="0">
      <text>
        <r>
          <rPr>
            <b/>
            <sz val="9"/>
            <color indexed="81"/>
            <rFont val="Tahoma"/>
            <family val="2"/>
          </rPr>
          <t>Fuente de pago por Departamento - CDR 49</t>
        </r>
      </text>
    </comment>
    <comment ref="AD164" authorId="0">
      <text>
        <r>
          <rPr>
            <b/>
            <sz val="9"/>
            <color indexed="81"/>
            <rFont val="Tahoma"/>
            <family val="2"/>
          </rPr>
          <t>Pago con fuente Nación - CDR 140</t>
        </r>
      </text>
    </comment>
    <comment ref="AD165" authorId="0">
      <text>
        <r>
          <rPr>
            <b/>
            <sz val="9"/>
            <color indexed="81"/>
            <rFont val="Tahoma"/>
            <family val="2"/>
          </rPr>
          <t>Pago con fuente nación - CDR 51. Pago con fuente correcta</t>
        </r>
      </text>
    </comment>
    <comment ref="AD166" authorId="0">
      <text>
        <r>
          <rPr>
            <b/>
            <sz val="9"/>
            <color indexed="81"/>
            <rFont val="Tahoma"/>
            <family val="2"/>
          </rPr>
          <t>Pago con fuente Nación - CDR 51. Este pago se debia hacer con fuente Departamento</t>
        </r>
      </text>
    </comment>
    <comment ref="AD167" authorId="0">
      <text>
        <r>
          <rPr>
            <b/>
            <sz val="9"/>
            <color indexed="81"/>
            <rFont val="Tahoma"/>
            <family val="2"/>
          </rPr>
          <t>Pago con fuente nación - CDR 51.</t>
        </r>
      </text>
    </comment>
    <comment ref="AD168" authorId="0">
      <text>
        <r>
          <rPr>
            <b/>
            <sz val="9"/>
            <color indexed="81"/>
            <rFont val="Tahoma"/>
            <family val="2"/>
          </rPr>
          <t>Pago con fuente Departamento - CDR 51.</t>
        </r>
      </text>
    </comment>
    <comment ref="AD169" authorId="0">
      <text>
        <r>
          <rPr>
            <b/>
            <sz val="9"/>
            <color indexed="81"/>
            <rFont val="Tahoma"/>
            <family val="2"/>
          </rPr>
          <t>Pago con fuente Departamento - CDR 51.</t>
        </r>
      </text>
    </comment>
    <comment ref="AD170" authorId="0">
      <text>
        <r>
          <rPr>
            <b/>
            <sz val="9"/>
            <color indexed="81"/>
            <rFont val="Tahoma"/>
            <family val="2"/>
          </rPr>
          <t>Pago con fuente Departamento - CDR 51.</t>
        </r>
      </text>
    </comment>
    <comment ref="AD171" authorId="0">
      <text>
        <r>
          <rPr>
            <b/>
            <sz val="9"/>
            <color indexed="81"/>
            <rFont val="Tahoma"/>
            <family val="2"/>
          </rPr>
          <t>Pago con fuente Nación - CDR 51.</t>
        </r>
      </text>
    </comment>
    <comment ref="AD172" authorId="0">
      <text>
        <r>
          <rPr>
            <b/>
            <sz val="9"/>
            <color indexed="81"/>
            <rFont val="Tahoma"/>
            <family val="2"/>
          </rPr>
          <t>Pago con fuente Nación - CDR 51.</t>
        </r>
      </text>
    </comment>
    <comment ref="AD173" authorId="0">
      <text>
        <r>
          <rPr>
            <b/>
            <sz val="9"/>
            <color indexed="81"/>
            <rFont val="Tahoma"/>
            <family val="2"/>
          </rPr>
          <t>Pago con fuente Nación - CDR 51.</t>
        </r>
      </text>
    </comment>
    <comment ref="AD174" authorId="0">
      <text>
        <r>
          <rPr>
            <b/>
            <sz val="9"/>
            <color indexed="81"/>
            <rFont val="Tahoma"/>
            <family val="2"/>
          </rPr>
          <t>Pago con fuente Nación - CDR 51.</t>
        </r>
      </text>
    </comment>
    <comment ref="AD175" authorId="0">
      <text>
        <r>
          <rPr>
            <b/>
            <sz val="9"/>
            <color indexed="81"/>
            <rFont val="Tahoma"/>
            <family val="2"/>
          </rPr>
          <t>Pago con fuente Nación</t>
        </r>
      </text>
    </comment>
    <comment ref="AD176" authorId="0">
      <text>
        <r>
          <rPr>
            <b/>
            <sz val="9"/>
            <color indexed="81"/>
            <rFont val="Tahoma"/>
            <family val="2"/>
          </rPr>
          <t>Pago con fuente Departamento</t>
        </r>
      </text>
    </comment>
    <comment ref="AD177" authorId="0">
      <text>
        <r>
          <rPr>
            <b/>
            <sz val="9"/>
            <color indexed="81"/>
            <rFont val="Tahoma"/>
            <family val="2"/>
          </rPr>
          <t>Pago fuente Nación</t>
        </r>
      </text>
    </comment>
    <comment ref="AD178" authorId="0">
      <text>
        <r>
          <rPr>
            <b/>
            <sz val="9"/>
            <color indexed="81"/>
            <rFont val="Tahoma"/>
            <family val="2"/>
          </rPr>
          <t>Pago fuente departamento</t>
        </r>
      </text>
    </comment>
    <comment ref="AD179" authorId="0">
      <text>
        <r>
          <rPr>
            <b/>
            <sz val="9"/>
            <color indexed="81"/>
            <rFont val="Tahoma"/>
            <family val="2"/>
          </rPr>
          <t>Pago con fuente Nación</t>
        </r>
      </text>
    </comment>
    <comment ref="AD180" authorId="0">
      <text>
        <r>
          <rPr>
            <b/>
            <sz val="9"/>
            <color indexed="81"/>
            <rFont val="Tahoma"/>
            <family val="2"/>
          </rPr>
          <t>Pago con fuente departamento</t>
        </r>
      </text>
    </comment>
    <comment ref="AD181" authorId="0">
      <text>
        <r>
          <rPr>
            <b/>
            <sz val="9"/>
            <color indexed="81"/>
            <rFont val="Tahoma"/>
            <family val="2"/>
          </rPr>
          <t>Pago fuente Nación</t>
        </r>
      </text>
    </comment>
    <comment ref="AD182" authorId="0">
      <text>
        <r>
          <rPr>
            <b/>
            <sz val="9"/>
            <color indexed="81"/>
            <rFont val="Tahoma"/>
            <family val="2"/>
          </rPr>
          <t>Pago fuente departamento</t>
        </r>
      </text>
    </comment>
    <comment ref="AD183" authorId="0">
      <text>
        <r>
          <rPr>
            <b/>
            <sz val="9"/>
            <color indexed="81"/>
            <rFont val="Tahoma"/>
            <family val="2"/>
          </rPr>
          <t>Pago fuente Nación</t>
        </r>
      </text>
    </comment>
    <comment ref="AD184" authorId="0">
      <text>
        <r>
          <rPr>
            <b/>
            <sz val="9"/>
            <color indexed="81"/>
            <rFont val="Tahoma"/>
            <family val="2"/>
          </rPr>
          <t>Pago fuente departamento</t>
        </r>
      </text>
    </comment>
    <comment ref="AD185" authorId="0">
      <text>
        <r>
          <rPr>
            <b/>
            <sz val="9"/>
            <color indexed="81"/>
            <rFont val="Tahoma"/>
            <family val="2"/>
          </rPr>
          <t>Pago con fuente Nación</t>
        </r>
      </text>
    </comment>
    <comment ref="AD186" authorId="0">
      <text>
        <r>
          <rPr>
            <b/>
            <sz val="9"/>
            <color indexed="81"/>
            <rFont val="Tahoma"/>
            <family val="2"/>
          </rPr>
          <t>Pago con fuente departamento</t>
        </r>
      </text>
    </comment>
    <comment ref="AD187" authorId="0">
      <text>
        <r>
          <rPr>
            <b/>
            <sz val="9"/>
            <color indexed="81"/>
            <rFont val="Tahoma"/>
            <family val="2"/>
          </rPr>
          <t>Pago con fuente Nación</t>
        </r>
      </text>
    </comment>
    <comment ref="AD188" authorId="0">
      <text>
        <r>
          <rPr>
            <b/>
            <sz val="9"/>
            <color indexed="81"/>
            <rFont val="Tahoma"/>
            <family val="2"/>
          </rPr>
          <t>Pago con fuente Departamento</t>
        </r>
      </text>
    </comment>
    <comment ref="AD189" authorId="0">
      <text>
        <r>
          <rPr>
            <b/>
            <sz val="9"/>
            <color indexed="81"/>
            <rFont val="Tahoma"/>
            <family val="2"/>
          </rPr>
          <t>Pago con fuente Nación</t>
        </r>
      </text>
    </comment>
    <comment ref="AD190" authorId="0">
      <text>
        <r>
          <rPr>
            <b/>
            <sz val="9"/>
            <color indexed="81"/>
            <rFont val="Tahoma"/>
            <family val="2"/>
          </rPr>
          <t>Pago con fuente Departamento</t>
        </r>
      </text>
    </comment>
    <comment ref="AD191" authorId="0">
      <text>
        <r>
          <rPr>
            <b/>
            <sz val="9"/>
            <color indexed="81"/>
            <rFont val="Tahoma"/>
            <family val="2"/>
          </rPr>
          <t>Pago fuente Nación</t>
        </r>
      </text>
    </comment>
    <comment ref="AD192" authorId="0">
      <text>
        <r>
          <rPr>
            <b/>
            <sz val="9"/>
            <color indexed="81"/>
            <rFont val="Tahoma"/>
            <family val="2"/>
          </rPr>
          <t>Pago con fuente departamento</t>
        </r>
      </text>
    </comment>
    <comment ref="AD193" authorId="0">
      <text>
        <r>
          <rPr>
            <b/>
            <sz val="9"/>
            <color indexed="81"/>
            <rFont val="Tahoma"/>
            <family val="2"/>
          </rPr>
          <t>Pago fuente Nación</t>
        </r>
      </text>
    </comment>
    <comment ref="AD194" authorId="0">
      <text>
        <r>
          <rPr>
            <b/>
            <sz val="9"/>
            <color indexed="81"/>
            <rFont val="Tahoma"/>
            <family val="2"/>
          </rPr>
          <t>Pago fuente departamento</t>
        </r>
      </text>
    </comment>
    <comment ref="AD195" authorId="0">
      <text>
        <r>
          <rPr>
            <b/>
            <sz val="9"/>
            <color indexed="81"/>
            <rFont val="Tahoma"/>
            <family val="2"/>
          </rPr>
          <t>Pago con fuente Nación</t>
        </r>
      </text>
    </comment>
    <comment ref="AD196" authorId="0">
      <text>
        <r>
          <rPr>
            <b/>
            <sz val="9"/>
            <color indexed="81"/>
            <rFont val="Tahoma"/>
            <family val="2"/>
          </rPr>
          <t>Pago con fuente Departamento</t>
        </r>
      </text>
    </comment>
    <comment ref="AD197" authorId="0">
      <text>
        <r>
          <rPr>
            <b/>
            <sz val="9"/>
            <color indexed="81"/>
            <rFont val="Tahoma"/>
            <family val="2"/>
          </rPr>
          <t>Pago con fuente Nación</t>
        </r>
      </text>
    </comment>
    <comment ref="AD198" authorId="0">
      <text>
        <r>
          <rPr>
            <b/>
            <sz val="9"/>
            <color indexed="81"/>
            <rFont val="Tahoma"/>
            <family val="2"/>
          </rPr>
          <t>Pago con fuente Departamento</t>
        </r>
      </text>
    </comment>
    <comment ref="AD199" authorId="0">
      <text>
        <r>
          <rPr>
            <b/>
            <sz val="9"/>
            <color indexed="81"/>
            <rFont val="Tahoma"/>
            <family val="2"/>
          </rPr>
          <t>Pago con fuente Nación</t>
        </r>
      </text>
    </comment>
    <comment ref="AD201" authorId="0">
      <text>
        <r>
          <rPr>
            <b/>
            <sz val="9"/>
            <color indexed="81"/>
            <rFont val="Tahoma"/>
            <family val="2"/>
          </rPr>
          <t>Pago con fuente departamento</t>
        </r>
      </text>
    </comment>
    <comment ref="AD203" authorId="0">
      <text>
        <r>
          <rPr>
            <b/>
            <sz val="9"/>
            <color indexed="81"/>
            <rFont val="Tahoma"/>
            <family val="2"/>
          </rPr>
          <t>Pago por fuente departamento</t>
        </r>
      </text>
    </comment>
    <comment ref="AD205" authorId="0">
      <text>
        <r>
          <rPr>
            <b/>
            <sz val="9"/>
            <color indexed="81"/>
            <rFont val="Tahoma"/>
            <family val="2"/>
          </rPr>
          <t>Pago con fuente departamento</t>
        </r>
      </text>
    </comment>
    <comment ref="AB358" authorId="0">
      <text>
        <r>
          <rPr>
            <b/>
            <sz val="9"/>
            <color indexed="81"/>
            <rFont val="Tahoma"/>
            <family val="2"/>
          </rPr>
          <t>Resultado: Valor del acta - amortización de anticipo - valor del 10% del contrato, al que el contratista renuncia</t>
        </r>
      </text>
    </comment>
    <comment ref="AD392" authorId="0">
      <text>
        <r>
          <rPr>
            <b/>
            <sz val="9"/>
            <color indexed="81"/>
            <rFont val="Tahoma"/>
            <family val="2"/>
          </rPr>
          <t xml:space="preserve">CONCEPTO DE PAGO: </t>
        </r>
        <r>
          <rPr>
            <sz val="9"/>
            <color indexed="81"/>
            <rFont val="Tahoma"/>
            <family val="2"/>
          </rPr>
          <t>FRA 2. NACION. CONTRATO DE INTERVENTORIA #69/2010. ELABORACIÓN DEL DISEÑO OPTIMIZACION SISTEMA DE AC</t>
        </r>
      </text>
    </comment>
    <comment ref="AD460" authorId="0">
      <text>
        <r>
          <rPr>
            <b/>
            <sz val="9"/>
            <color indexed="81"/>
            <rFont val="Tahoma"/>
            <family val="2"/>
          </rPr>
          <t>pago no reflejado en el fia</t>
        </r>
        <r>
          <rPr>
            <sz val="9"/>
            <color indexed="81"/>
            <rFont val="Tahoma"/>
            <family val="2"/>
          </rPr>
          <t xml:space="preserve">
</t>
        </r>
      </text>
    </comment>
    <comment ref="AD491" authorId="0">
      <text>
        <r>
          <rPr>
            <b/>
            <sz val="9"/>
            <color indexed="81"/>
            <rFont val="Tahoma"/>
            <family val="2"/>
          </rPr>
          <t xml:space="preserve">CONCEPTO EN EL PAGO: </t>
        </r>
        <r>
          <rPr>
            <sz val="9"/>
            <color indexed="81"/>
            <rFont val="Tahoma"/>
            <family val="2"/>
          </rPr>
          <t>FACT 02 PAGO ACTA PARCIAL NO. 1 CONTRATO ADICIONAL DEL CONTRATO NO. 87 DEL DISEÑO ACUEDUCTO INTERVER</t>
        </r>
      </text>
    </comment>
    <comment ref="AD492" authorId="0">
      <text>
        <r>
          <rPr>
            <b/>
            <sz val="9"/>
            <color indexed="81"/>
            <rFont val="Tahoma"/>
            <family val="2"/>
          </rPr>
          <t xml:space="preserve">CONCEPTO DE PAGO: </t>
        </r>
        <r>
          <rPr>
            <sz val="9"/>
            <color indexed="81"/>
            <rFont val="Tahoma"/>
            <family val="2"/>
          </rPr>
          <t>FACT A 6 PAGO ACTA N°4 CONT 87 ESTUDIOS Y DISEÑOS PARA LA CONSTRUCCION ACUEDUCTO ZONA CAMPESINA DE S</t>
        </r>
      </text>
    </comment>
    <comment ref="W549" authorId="0">
      <text>
        <r>
          <rPr>
            <sz val="9"/>
            <color indexed="81"/>
            <rFont val="Tahoma"/>
            <family val="2"/>
          </rPr>
          <t xml:space="preserve">SE AJUSTO EL VALOR DEL CONTRATO MEDIANTE OTROSI DE28 DE SEP DE 2010. (CONTRATO NO CAUSA IVA)
</t>
        </r>
      </text>
    </comment>
    <comment ref="AB550" authorId="0">
      <text>
        <r>
          <rPr>
            <sz val="9"/>
            <color indexed="81"/>
            <rFont val="Tahoma"/>
            <family val="2"/>
          </rPr>
          <t xml:space="preserve">NO SE SABE POR CUAL CDR SE PAGO ESTO
</t>
        </r>
      </text>
    </comment>
    <comment ref="AD550" authorId="0">
      <text>
        <r>
          <rPr>
            <b/>
            <sz val="9"/>
            <color indexed="81"/>
            <rFont val="Tahoma"/>
            <family val="2"/>
          </rPr>
          <t xml:space="preserve">SEGÚN ORDEN DE PAGO, ES FUENTE DEPTO
</t>
        </r>
        <r>
          <rPr>
            <sz val="9"/>
            <color indexed="81"/>
            <rFont val="Tahoma"/>
            <family val="2"/>
          </rPr>
          <t xml:space="preserve">
</t>
        </r>
      </text>
    </comment>
    <comment ref="AD554" authorId="0">
      <text>
        <r>
          <rPr>
            <sz val="9"/>
            <color indexed="81"/>
            <rFont val="Tahoma"/>
            <family val="2"/>
          </rPr>
          <t xml:space="preserve">SEGÚN O.P ES FUENTE NACION
</t>
        </r>
      </text>
    </comment>
    <comment ref="AD602" authorId="0">
      <text>
        <r>
          <rPr>
            <b/>
            <sz val="9"/>
            <color indexed="81"/>
            <rFont val="Tahoma"/>
            <family val="2"/>
          </rPr>
          <t xml:space="preserve">Concepto de pago: </t>
        </r>
        <r>
          <rPr>
            <sz val="9"/>
            <color indexed="81"/>
            <rFont val="Tahoma"/>
            <family val="2"/>
          </rPr>
          <t>FACT A-4 PAGO ACTA PARCIAL 4 CONTRATO DE CONSUTORIA</t>
        </r>
      </text>
    </comment>
    <comment ref="V664" authorId="0">
      <text>
        <r>
          <rPr>
            <b/>
            <sz val="9"/>
            <color indexed="81"/>
            <rFont val="Tahoma"/>
            <family val="2"/>
          </rPr>
          <t xml:space="preserve">se ajusto el valor del contrato, otrosi 003 de 2011
</t>
        </r>
        <r>
          <rPr>
            <sz val="9"/>
            <color indexed="81"/>
            <rFont val="Tahoma"/>
            <family val="2"/>
          </rPr>
          <t xml:space="preserve">
</t>
        </r>
      </text>
    </comment>
    <comment ref="AD830" authorId="0">
      <text>
        <r>
          <rPr>
            <b/>
            <sz val="9"/>
            <color indexed="81"/>
            <rFont val="Tahoma"/>
            <family val="2"/>
          </rPr>
          <t>Concepto de pago del CDR 174:  ANT 40%. CONTRATO DE CONSULTORÍA #076 DE 2011. ELABORACIÓN DEL DISEÑO DE OPTIMIZACIÓN DEL SISTEMA DE</t>
        </r>
      </text>
    </comment>
    <comment ref="AD831" authorId="0">
      <text>
        <r>
          <rPr>
            <b/>
            <sz val="9"/>
            <color indexed="81"/>
            <rFont val="Tahoma"/>
            <family val="2"/>
          </rPr>
          <t>ANTICIPO 40%. CONTRATO DE CONSULTORÍA #077 DE 2011. ELABORACIÓN DEL DISEÑO DE OPTIMIZACIÓN DEL SISTE</t>
        </r>
      </text>
    </comment>
    <comment ref="AD834" authorId="0">
      <text>
        <r>
          <rPr>
            <b/>
            <sz val="9"/>
            <color indexed="81"/>
            <rFont val="Tahoma"/>
            <family val="2"/>
          </rPr>
          <t>Concepto de pago del CDR 174: ANTICIPO 40%. CONTRATO DE CONSULTORÍA #078 DE 2011. ELABORACIÓN ESTUDIOS Y DISEÑOS ACUEDUCTO PUERTO</t>
        </r>
      </text>
    </comment>
    <comment ref="AD835" authorId="0">
      <text>
        <r>
          <rPr>
            <b/>
            <sz val="9"/>
            <color indexed="81"/>
            <rFont val="Tahoma"/>
            <family val="2"/>
          </rPr>
          <t>Concepto de pago de CDR 174: FACT 21 PAGO PARCIAL CONTRAO DE SERIVCIOS</t>
        </r>
      </text>
    </comment>
    <comment ref="AD839" authorId="0">
      <text>
        <r>
          <rPr>
            <b/>
            <sz val="9"/>
            <color indexed="81"/>
            <rFont val="Tahoma"/>
            <family val="2"/>
          </rPr>
          <t>CONCEPTO DE PAGO DE CDR 174: ANTICIPO 40%. CCOBRO. CONTRATO DE CONSULTORÍA #080 DE 2011. ELABOARACIÓN DE ESTUDIOS Y DISEÑOS SISTE</t>
        </r>
      </text>
    </comment>
    <comment ref="AD840" authorId="0">
      <text>
        <r>
          <rPr>
            <b/>
            <sz val="9"/>
            <color indexed="81"/>
            <rFont val="Tahoma"/>
            <family val="2"/>
          </rPr>
          <t>CONCEPTO DE PAGO DEL CDR 174: FACTURA #090. PAGO #1. CONTRATO DE CONSULTORÍA #080 DE 2011. ELABOARACIÓN D</t>
        </r>
      </text>
    </comment>
    <comment ref="AD844" authorId="0">
      <text>
        <r>
          <rPr>
            <b/>
            <sz val="9"/>
            <color indexed="81"/>
            <rFont val="Tahoma"/>
            <family val="2"/>
          </rPr>
          <t>Concepto de pago del CDR 174: ANTICIPO 40%. CCO. CONTRATO DE CONSULTORÍA #081 DE 2011. ELABOARACIÓN DE ESTUDIOS Y DISEÑOS SISTEMA</t>
        </r>
      </text>
    </comment>
    <comment ref="AD845" authorId="0">
      <text>
        <r>
          <rPr>
            <b/>
            <sz val="9"/>
            <color indexed="81"/>
            <rFont val="Tahoma"/>
            <family val="2"/>
          </rPr>
          <t>Concepto de pago del CDR 174: FACTURA #091. PAGO #1. CONTRATO DE CONSULTORÍA #081 DE 2011. ELABOARACIÓN D</t>
        </r>
      </text>
    </comment>
    <comment ref="AD846" authorId="0">
      <text>
        <r>
          <rPr>
            <b/>
            <sz val="9"/>
            <color indexed="81"/>
            <rFont val="Tahoma"/>
            <family val="2"/>
          </rPr>
          <t xml:space="preserve">Concepto de pago del CDR 174: </t>
        </r>
        <r>
          <rPr>
            <sz val="9"/>
            <color indexed="81"/>
            <rFont val="Tahoma"/>
            <family val="2"/>
          </rPr>
          <t>FRA 109 PAGO ARCIAL DE INTERVNTORIA</t>
        </r>
      </text>
    </comment>
    <comment ref="AD848" authorId="0">
      <text>
        <r>
          <rPr>
            <b/>
            <sz val="9"/>
            <color indexed="81"/>
            <rFont val="Tahoma"/>
            <family val="2"/>
          </rPr>
          <t>Concepto de pago del CDR 174: ANTICIPO 40%. CUENTA COBRO. CONTRATO DE CONSULTORIA #082/2011. ELABORACIÓN DE ESTUDIOS Y DISEÑOS OPT</t>
        </r>
      </text>
    </comment>
    <comment ref="AD849" authorId="0">
      <text>
        <r>
          <rPr>
            <b/>
            <sz val="9"/>
            <color indexed="81"/>
            <rFont val="Tahoma"/>
            <family val="2"/>
          </rPr>
          <t>Pago de concepto de CDR 174: FV 001 PAGO ACTA PARCIAL CNTRATO DE CONSLTORIA</t>
        </r>
      </text>
    </comment>
    <comment ref="AD850" authorId="0">
      <text>
        <r>
          <rPr>
            <b/>
            <sz val="9"/>
            <color indexed="81"/>
            <rFont val="Tahoma"/>
            <family val="2"/>
          </rPr>
          <t>Concepto de pago del CDR 174: FACT 04 PAGO ACTA N0.2 DEL CONTRATO DE CONSULTORIA N0.82 DE 2011</t>
        </r>
      </text>
    </comment>
    <comment ref="AD852" authorId="0">
      <text>
        <r>
          <rPr>
            <b/>
            <sz val="9"/>
            <color indexed="81"/>
            <rFont val="Tahoma"/>
            <family val="2"/>
          </rPr>
          <t>Concepto de pago del CDR 174: ANTICIPO 40%. CONTRATO DE CONSULTORÍA #083 DE 2011. ELABORACIÓN ESTUDIOS Y DISEÑOS SISTEMA DE ALCANT</t>
        </r>
      </text>
    </comment>
    <comment ref="AD853" authorId="0">
      <text>
        <r>
          <rPr>
            <b/>
            <sz val="9"/>
            <color indexed="81"/>
            <rFont val="Tahoma"/>
            <family val="2"/>
          </rPr>
          <t>Concepto de pago del CDR 174: FACT 0011 PAGO ACTA 01 CONTRATO 83/2011, ELABORACION ESTUDIOS Y DISEÑOS DE ALCANTARILLADO MPIO ROSAS</t>
        </r>
      </text>
    </comment>
    <comment ref="AD855" authorId="0">
      <text>
        <r>
          <rPr>
            <b/>
            <sz val="9"/>
            <color indexed="81"/>
            <rFont val="Tahoma"/>
            <family val="2"/>
          </rPr>
          <t>Concepto de pago del CDR 174: ANTICIPO 40%. CONTRATO DE CONSULTORIA #84/2011. ELABORACIÓN DE ESTUDIOS Y DISEÑOS OPTIMIZACIÓN SISTE</t>
        </r>
      </text>
    </comment>
    <comment ref="AD856" authorId="0">
      <text>
        <r>
          <rPr>
            <b/>
            <sz val="9"/>
            <color indexed="81"/>
            <rFont val="Tahoma"/>
            <family val="2"/>
          </rPr>
          <t>Concepto de pago del CDR 174: FRA 01 PAGO PARCIAL CONTRTAO DE SERVICIOS</t>
        </r>
      </text>
    </comment>
    <comment ref="AD858" authorId="0">
      <text>
        <r>
          <rPr>
            <b/>
            <sz val="9"/>
            <color indexed="81"/>
            <rFont val="Tahoma"/>
            <family val="2"/>
          </rPr>
          <t>Pago concepto de CDR 174: ANTICIPO 40%. CONTRATO DE CONSULTORÍA #085 DE 2011. ELABOARACIÓN DE ESTUDIOS Y DISEÑOS SISTEMA DE AC</t>
        </r>
      </text>
    </comment>
    <comment ref="D892" authorId="0">
      <text>
        <r>
          <rPr>
            <b/>
            <sz val="9"/>
            <color indexed="81"/>
            <rFont val="Tahoma"/>
            <family val="2"/>
          </rPr>
          <t>CONTRATO CEDIDO DE DIEGO REYNEL HURTADO ASTAIZA</t>
        </r>
        <r>
          <rPr>
            <sz val="9"/>
            <color indexed="81"/>
            <rFont val="Tahoma"/>
            <family val="2"/>
          </rPr>
          <t xml:space="preserve">
</t>
        </r>
      </text>
    </comment>
    <comment ref="AD1596" authorId="0">
      <text>
        <r>
          <rPr>
            <sz val="9"/>
            <color indexed="81"/>
            <rFont val="Tahoma"/>
            <family val="2"/>
          </rPr>
          <t xml:space="preserve">no aparece en el FIA, HACER REQUERIMIENTO
</t>
        </r>
      </text>
    </comment>
  </commentList>
</comments>
</file>

<file path=xl/comments2.xml><?xml version="1.0" encoding="utf-8"?>
<comments xmlns="http://schemas.openxmlformats.org/spreadsheetml/2006/main">
  <authors>
    <author>Autor</author>
  </authors>
  <commentList>
    <comment ref="U12" authorId="0">
      <text>
        <r>
          <rPr>
            <b/>
            <sz val="9"/>
            <color indexed="81"/>
            <rFont val="Tahoma"/>
            <family val="2"/>
          </rPr>
          <t>Soporte de pago con CDR 174 - FACT V 22 CTO 05 2010</t>
        </r>
      </text>
    </comment>
    <comment ref="U13" authorId="0">
      <text>
        <r>
          <rPr>
            <b/>
            <sz val="9"/>
            <color indexed="81"/>
            <rFont val="Tahoma"/>
            <family val="2"/>
          </rPr>
          <t>Soporte de pago con CDR 174 - FACT V 21 CTO 05 2010</t>
        </r>
      </text>
    </comment>
    <comment ref="AD17" authorId="0">
      <text>
        <r>
          <rPr>
            <b/>
            <sz val="9"/>
            <color indexed="81"/>
            <rFont val="Tahoma"/>
            <family val="2"/>
          </rPr>
          <t>Contrato Suspendido - Diferencia entre el valor del CDR y el valor del contrato</t>
        </r>
      </text>
    </comment>
    <comment ref="U37" authorId="0">
      <text>
        <r>
          <rPr>
            <b/>
            <sz val="9"/>
            <color indexed="81"/>
            <rFont val="Tahoma"/>
            <family val="2"/>
          </rPr>
          <t>PAGO CORRECTO</t>
        </r>
      </text>
    </comment>
    <comment ref="U38" authorId="0">
      <text>
        <r>
          <rPr>
            <b/>
            <sz val="9"/>
            <color indexed="81"/>
            <rFont val="Tahoma"/>
            <family val="2"/>
          </rPr>
          <t>ESTE PAGO SE REALIZO CON EL CDR 23 (Fuente dpto) ASIGNADO PARA EL CONTRATO N° 019-2010 - SE  DEBE CORREGIR ESTE ERROR POR PARTE DEL FIA</t>
        </r>
      </text>
    </comment>
    <comment ref="U39" authorId="0">
      <text>
        <r>
          <rPr>
            <b/>
            <sz val="9"/>
            <color indexed="81"/>
            <rFont val="Tahoma"/>
            <family val="2"/>
          </rPr>
          <t>ESTE PAGO SE REALIZO CON EL CDR 011 DESTINADO PARA EL CONTRATO 019-2010. ERROR POR PARTE DEL FIA.</t>
        </r>
      </text>
    </comment>
    <comment ref="U59" authorId="0">
      <text>
        <r>
          <rPr>
            <b/>
            <sz val="9"/>
            <color indexed="81"/>
            <rFont val="Tahoma"/>
            <family val="2"/>
          </rPr>
          <t>El pago del acta parcial n° 1 se realizo por el CDR 011 y no por el CDR 23. Se debe corregir este Error.</t>
        </r>
        <r>
          <rPr>
            <sz val="9"/>
            <color indexed="81"/>
            <rFont val="Tahoma"/>
            <family val="2"/>
          </rPr>
          <t xml:space="preserve">
</t>
        </r>
      </text>
    </comment>
    <comment ref="U95" authorId="0">
      <text>
        <r>
          <rPr>
            <b/>
            <sz val="9"/>
            <color indexed="81"/>
            <rFont val="Tahoma"/>
            <family val="2"/>
          </rPr>
          <t>Fuente Nación - CDR 37</t>
        </r>
      </text>
    </comment>
    <comment ref="U96" authorId="0">
      <text>
        <r>
          <rPr>
            <b/>
            <sz val="9"/>
            <color indexed="81"/>
            <rFont val="Tahoma"/>
            <family val="2"/>
          </rPr>
          <t>Fuente Nación - CDR 37</t>
        </r>
      </text>
    </comment>
    <comment ref="U97" authorId="0">
      <text>
        <r>
          <rPr>
            <b/>
            <sz val="9"/>
            <color indexed="81"/>
            <rFont val="Tahoma"/>
            <family val="2"/>
          </rPr>
          <t>Fuente Nación - CDR 37</t>
        </r>
      </text>
    </comment>
    <comment ref="U98" authorId="0">
      <text>
        <r>
          <rPr>
            <b/>
            <sz val="9"/>
            <color indexed="81"/>
            <rFont val="Tahoma"/>
            <family val="2"/>
          </rPr>
          <t>Fuente Departamento - CDR 37</t>
        </r>
      </text>
    </comment>
    <comment ref="U99" authorId="0">
      <text>
        <r>
          <rPr>
            <b/>
            <sz val="9"/>
            <color indexed="81"/>
            <rFont val="Tahoma"/>
            <family val="2"/>
          </rPr>
          <t>Fuente Departamento - CDR 37</t>
        </r>
      </text>
    </comment>
    <comment ref="U100" authorId="0">
      <text>
        <r>
          <rPr>
            <b/>
            <sz val="9"/>
            <color indexed="81"/>
            <rFont val="Tahoma"/>
            <family val="2"/>
          </rPr>
          <t>Fuente Nación - CDR 36</t>
        </r>
      </text>
    </comment>
    <comment ref="U101" authorId="0">
      <text>
        <r>
          <rPr>
            <b/>
            <sz val="9"/>
            <color indexed="81"/>
            <rFont val="Tahoma"/>
            <family val="2"/>
          </rPr>
          <t>Fuente Nación - CDR 36</t>
        </r>
      </text>
    </comment>
    <comment ref="U102" authorId="0">
      <text>
        <r>
          <rPr>
            <b/>
            <sz val="9"/>
            <color indexed="81"/>
            <rFont val="Tahoma"/>
            <family val="2"/>
          </rPr>
          <t>Fuente Nación - CDR 36</t>
        </r>
      </text>
    </comment>
    <comment ref="U103" authorId="0">
      <text>
        <r>
          <rPr>
            <b/>
            <sz val="9"/>
            <color indexed="81"/>
            <rFont val="Tahoma"/>
            <family val="2"/>
          </rPr>
          <t>Fuente Departamento - CDR 36</t>
        </r>
      </text>
    </comment>
    <comment ref="U104" authorId="0">
      <text>
        <r>
          <rPr>
            <b/>
            <sz val="9"/>
            <color indexed="81"/>
            <rFont val="Tahoma"/>
            <family val="2"/>
          </rPr>
          <t>Fuente Departamento - CDR 36</t>
        </r>
      </text>
    </comment>
    <comment ref="U105" authorId="0">
      <text>
        <r>
          <rPr>
            <b/>
            <sz val="9"/>
            <color indexed="81"/>
            <rFont val="Tahoma"/>
            <family val="2"/>
          </rPr>
          <t>Fuente Nación - CDR 165</t>
        </r>
      </text>
    </comment>
    <comment ref="U106" authorId="0">
      <text>
        <r>
          <rPr>
            <b/>
            <sz val="9"/>
            <color indexed="81"/>
            <rFont val="Tahoma"/>
            <family val="2"/>
          </rPr>
          <t>Fuente Nación - CDR 165</t>
        </r>
      </text>
    </comment>
    <comment ref="U107" authorId="0">
      <text>
        <r>
          <rPr>
            <b/>
            <sz val="9"/>
            <color indexed="81"/>
            <rFont val="Tahoma"/>
            <family val="2"/>
          </rPr>
          <t>Fuente Nación - CDR 38. Este pago se debia hacer con Fuente Departamento.</t>
        </r>
      </text>
    </comment>
    <comment ref="U108" authorId="0">
      <text>
        <r>
          <rPr>
            <b/>
            <sz val="9"/>
            <color indexed="81"/>
            <rFont val="Tahoma"/>
            <family val="2"/>
          </rPr>
          <t>Fuente Nación - CDR 38. Pago con fuente correcta</t>
        </r>
      </text>
    </comment>
    <comment ref="U109" authorId="0">
      <text>
        <r>
          <rPr>
            <b/>
            <sz val="9"/>
            <color indexed="81"/>
            <rFont val="Tahoma"/>
            <family val="2"/>
          </rPr>
          <t>Fuente nación - CDR 38. Este pago debía Hacerse con fuente Departamento</t>
        </r>
      </text>
    </comment>
    <comment ref="U110" authorId="0">
      <text>
        <r>
          <rPr>
            <b/>
            <sz val="9"/>
            <color indexed="81"/>
            <rFont val="Tahoma"/>
            <family val="2"/>
          </rPr>
          <t>Fuente departamento - CDR 38. Este pago debia hacerse con fuente nación</t>
        </r>
      </text>
    </comment>
    <comment ref="U111" authorId="0">
      <text>
        <r>
          <rPr>
            <b/>
            <sz val="9"/>
            <color indexed="81"/>
            <rFont val="Tahoma"/>
            <family val="2"/>
          </rPr>
          <t>Fuente departamento - CDR 38. Pago con fuente correcta</t>
        </r>
      </text>
    </comment>
    <comment ref="U112" authorId="0">
      <text>
        <r>
          <rPr>
            <b/>
            <sz val="9"/>
            <color indexed="81"/>
            <rFont val="Tahoma"/>
            <family val="2"/>
          </rPr>
          <t>Fuente departamento - CDR 38. Este pago se debia hacer con fuente nación.</t>
        </r>
      </text>
    </comment>
    <comment ref="U113" authorId="0">
      <text>
        <r>
          <rPr>
            <b/>
            <sz val="9"/>
            <color indexed="81"/>
            <rFont val="Tahoma"/>
            <family val="2"/>
          </rPr>
          <t>Pago por Fuente Nación - CDR 38. Se debia pagar con fuente Departamento</t>
        </r>
      </text>
    </comment>
    <comment ref="U114" authorId="0">
      <text>
        <r>
          <rPr>
            <b/>
            <sz val="9"/>
            <color indexed="81"/>
            <rFont val="Tahoma"/>
            <family val="2"/>
          </rPr>
          <t>Pago por fuente Nación - CDR 38. Pago con fuente correcta</t>
        </r>
      </text>
    </comment>
    <comment ref="U115" authorId="0">
      <text>
        <r>
          <rPr>
            <b/>
            <sz val="9"/>
            <color indexed="81"/>
            <rFont val="Tahoma"/>
            <family val="2"/>
          </rPr>
          <t>Pago con fuente nación - CRD 40</t>
        </r>
      </text>
    </comment>
    <comment ref="U116" authorId="0">
      <text>
        <r>
          <rPr>
            <b/>
            <sz val="9"/>
            <color indexed="81"/>
            <rFont val="Tahoma"/>
            <family val="2"/>
          </rPr>
          <t>Pago por fuente departamento - CDR 40</t>
        </r>
      </text>
    </comment>
    <comment ref="U117" authorId="0">
      <text>
        <r>
          <rPr>
            <b/>
            <sz val="9"/>
            <color indexed="81"/>
            <rFont val="Tahoma"/>
            <family val="2"/>
          </rPr>
          <t>Pago con fuente nación - CRD 40</t>
        </r>
      </text>
    </comment>
    <comment ref="U118" authorId="0">
      <text>
        <r>
          <rPr>
            <b/>
            <sz val="9"/>
            <color indexed="81"/>
            <rFont val="Tahoma"/>
            <family val="2"/>
          </rPr>
          <t>Pago por fuente departamento - CDR 40</t>
        </r>
      </text>
    </comment>
    <comment ref="U120" authorId="0">
      <text>
        <r>
          <rPr>
            <b/>
            <sz val="9"/>
            <color indexed="81"/>
            <rFont val="Tahoma"/>
            <family val="2"/>
          </rPr>
          <t>Pago con fuente Nación</t>
        </r>
      </text>
    </comment>
    <comment ref="U121" authorId="0">
      <text>
        <r>
          <rPr>
            <b/>
            <sz val="9"/>
            <color indexed="81"/>
            <rFont val="Tahoma"/>
            <family val="2"/>
          </rPr>
          <t>Pago con fuente Nación</t>
        </r>
      </text>
    </comment>
    <comment ref="U122" authorId="0">
      <text>
        <r>
          <rPr>
            <b/>
            <sz val="9"/>
            <color indexed="81"/>
            <rFont val="Tahoma"/>
            <family val="2"/>
          </rPr>
          <t>Pago con fuente Nación</t>
        </r>
      </text>
    </comment>
    <comment ref="U123" authorId="0">
      <text>
        <r>
          <rPr>
            <b/>
            <sz val="9"/>
            <color indexed="81"/>
            <rFont val="Tahoma"/>
            <family val="2"/>
          </rPr>
          <t>Pago con fuente departamento</t>
        </r>
      </text>
    </comment>
    <comment ref="U124" authorId="0">
      <text>
        <r>
          <rPr>
            <b/>
            <sz val="9"/>
            <color indexed="81"/>
            <rFont val="Tahoma"/>
            <family val="2"/>
          </rPr>
          <t>Pago con fuente Nación</t>
        </r>
      </text>
    </comment>
    <comment ref="U125" authorId="0">
      <text>
        <r>
          <rPr>
            <b/>
            <sz val="9"/>
            <color indexed="81"/>
            <rFont val="Tahoma"/>
            <family val="2"/>
          </rPr>
          <t>Pago con fuente Nación</t>
        </r>
      </text>
    </comment>
    <comment ref="U127" authorId="0">
      <text>
        <r>
          <rPr>
            <b/>
            <sz val="9"/>
            <color indexed="81"/>
            <rFont val="Tahoma"/>
            <family val="2"/>
          </rPr>
          <t>Pago con fuente Nación</t>
        </r>
      </text>
    </comment>
    <comment ref="U128" authorId="0">
      <text>
        <r>
          <rPr>
            <b/>
            <sz val="9"/>
            <color indexed="81"/>
            <rFont val="Tahoma"/>
            <family val="2"/>
          </rPr>
          <t>Pago con fuente Nación</t>
        </r>
      </text>
    </comment>
    <comment ref="U129" authorId="0">
      <text>
        <r>
          <rPr>
            <b/>
            <sz val="9"/>
            <color indexed="81"/>
            <rFont val="Tahoma"/>
            <family val="2"/>
          </rPr>
          <t>Pago fuente Nación</t>
        </r>
      </text>
    </comment>
    <comment ref="U130" authorId="0">
      <text>
        <r>
          <rPr>
            <b/>
            <sz val="9"/>
            <color indexed="81"/>
            <rFont val="Tahoma"/>
            <family val="2"/>
          </rPr>
          <t>Pago fuente departamento</t>
        </r>
      </text>
    </comment>
    <comment ref="U131" authorId="0">
      <text>
        <r>
          <rPr>
            <b/>
            <sz val="9"/>
            <color indexed="81"/>
            <rFont val="Tahoma"/>
            <family val="2"/>
          </rPr>
          <t>Pago con fuente Nación</t>
        </r>
      </text>
    </comment>
    <comment ref="U132" authorId="0">
      <text>
        <r>
          <rPr>
            <b/>
            <sz val="9"/>
            <color indexed="81"/>
            <rFont val="Tahoma"/>
            <family val="2"/>
          </rPr>
          <t>Pago con fuente Nación</t>
        </r>
      </text>
    </comment>
    <comment ref="U133" authorId="0">
      <text>
        <r>
          <rPr>
            <b/>
            <sz val="9"/>
            <color indexed="81"/>
            <rFont val="Tahoma"/>
            <family val="2"/>
          </rPr>
          <t>Pago con fuente Nación</t>
        </r>
      </text>
    </comment>
    <comment ref="U134" authorId="0">
      <text>
        <r>
          <rPr>
            <b/>
            <sz val="9"/>
            <color indexed="81"/>
            <rFont val="Tahoma"/>
            <family val="2"/>
          </rPr>
          <t>Pago con fuente Departamento</t>
        </r>
      </text>
    </comment>
    <comment ref="U135" authorId="0">
      <text>
        <r>
          <rPr>
            <b/>
            <sz val="9"/>
            <color indexed="81"/>
            <rFont val="Tahoma"/>
            <family val="2"/>
          </rPr>
          <t>Pago con fuente Nación</t>
        </r>
      </text>
    </comment>
    <comment ref="U136" authorId="0">
      <text>
        <r>
          <rPr>
            <b/>
            <sz val="9"/>
            <color indexed="81"/>
            <rFont val="Tahoma"/>
            <family val="2"/>
          </rPr>
          <t>Pago con fuente Nación</t>
        </r>
      </text>
    </comment>
    <comment ref="U137" authorId="0">
      <text>
        <r>
          <rPr>
            <b/>
            <sz val="9"/>
            <color indexed="81"/>
            <rFont val="Tahoma"/>
            <family val="2"/>
          </rPr>
          <t>Pago con fuente Nación</t>
        </r>
      </text>
    </comment>
    <comment ref="U138" authorId="0">
      <text>
        <r>
          <rPr>
            <b/>
            <sz val="9"/>
            <color indexed="81"/>
            <rFont val="Tahoma"/>
            <family val="2"/>
          </rPr>
          <t>Pago con fuente departamento</t>
        </r>
      </text>
    </comment>
    <comment ref="U139" authorId="0">
      <text>
        <r>
          <rPr>
            <b/>
            <sz val="9"/>
            <color indexed="81"/>
            <rFont val="Tahoma"/>
            <family val="2"/>
          </rPr>
          <t>Pago con fuente Nación</t>
        </r>
      </text>
    </comment>
    <comment ref="U140" authorId="0">
      <text>
        <r>
          <rPr>
            <b/>
            <sz val="9"/>
            <color indexed="81"/>
            <rFont val="Tahoma"/>
            <family val="2"/>
          </rPr>
          <t>Pago con fuente Nación</t>
        </r>
      </text>
    </comment>
    <comment ref="U141" authorId="0">
      <text>
        <r>
          <rPr>
            <b/>
            <sz val="9"/>
            <color indexed="81"/>
            <rFont val="Tahoma"/>
            <family val="2"/>
          </rPr>
          <t>Pago con fuente Nación</t>
        </r>
      </text>
    </comment>
    <comment ref="U142" authorId="0">
      <text>
        <r>
          <rPr>
            <b/>
            <sz val="9"/>
            <color indexed="81"/>
            <rFont val="Tahoma"/>
            <family val="2"/>
          </rPr>
          <t>Pago con fuente Departamento</t>
        </r>
      </text>
    </comment>
    <comment ref="U160" authorId="0">
      <text>
        <r>
          <rPr>
            <b/>
            <sz val="9"/>
            <color indexed="81"/>
            <rFont val="Tahoma"/>
            <family val="2"/>
          </rPr>
          <t>Pago con fuente Nación - CDR 49</t>
        </r>
      </text>
    </comment>
    <comment ref="U161" authorId="0">
      <text>
        <r>
          <rPr>
            <b/>
            <sz val="9"/>
            <color indexed="81"/>
            <rFont val="Tahoma"/>
            <family val="2"/>
          </rPr>
          <t>Fuente de pago por Departamento - CDR 49</t>
        </r>
      </text>
    </comment>
    <comment ref="U162" authorId="0">
      <text>
        <r>
          <rPr>
            <b/>
            <sz val="9"/>
            <color indexed="81"/>
            <rFont val="Tahoma"/>
            <family val="2"/>
          </rPr>
          <t>Pago con fuente Nación - CDR 49</t>
        </r>
      </text>
    </comment>
    <comment ref="U163" authorId="0">
      <text>
        <r>
          <rPr>
            <b/>
            <sz val="9"/>
            <color indexed="81"/>
            <rFont val="Tahoma"/>
            <family val="2"/>
          </rPr>
          <t>Fuente de pago por Departamento - CDR 49</t>
        </r>
      </text>
    </comment>
    <comment ref="U164" authorId="0">
      <text>
        <r>
          <rPr>
            <b/>
            <sz val="9"/>
            <color indexed="81"/>
            <rFont val="Tahoma"/>
            <family val="2"/>
          </rPr>
          <t>Pago con fuente Nación - CDR 140</t>
        </r>
      </text>
    </comment>
    <comment ref="U165" authorId="0">
      <text>
        <r>
          <rPr>
            <b/>
            <sz val="9"/>
            <color indexed="81"/>
            <rFont val="Tahoma"/>
            <family val="2"/>
          </rPr>
          <t>Pago con fuente nación - CDR 51. Pago con fuente correcta</t>
        </r>
      </text>
    </comment>
    <comment ref="U166" authorId="0">
      <text>
        <r>
          <rPr>
            <b/>
            <sz val="9"/>
            <color indexed="81"/>
            <rFont val="Tahoma"/>
            <family val="2"/>
          </rPr>
          <t>Pago con fuente Nación - CDR 51. Este pago se debia hacer con fuente Departamento</t>
        </r>
      </text>
    </comment>
    <comment ref="U167" authorId="0">
      <text>
        <r>
          <rPr>
            <b/>
            <sz val="9"/>
            <color indexed="81"/>
            <rFont val="Tahoma"/>
            <family val="2"/>
          </rPr>
          <t>Pago con fuente nación - CDR 51.</t>
        </r>
      </text>
    </comment>
    <comment ref="U168" authorId="0">
      <text>
        <r>
          <rPr>
            <b/>
            <sz val="9"/>
            <color indexed="81"/>
            <rFont val="Tahoma"/>
            <family val="2"/>
          </rPr>
          <t>Pago con fuente Departamento - CDR 51.</t>
        </r>
      </text>
    </comment>
    <comment ref="U169" authorId="0">
      <text>
        <r>
          <rPr>
            <b/>
            <sz val="9"/>
            <color indexed="81"/>
            <rFont val="Tahoma"/>
            <family val="2"/>
          </rPr>
          <t>Pago con fuente Departamento - CDR 51.</t>
        </r>
      </text>
    </comment>
    <comment ref="U170" authorId="0">
      <text>
        <r>
          <rPr>
            <b/>
            <sz val="9"/>
            <color indexed="81"/>
            <rFont val="Tahoma"/>
            <family val="2"/>
          </rPr>
          <t>Pago con fuente Departamento - CDR 51.</t>
        </r>
      </text>
    </comment>
    <comment ref="U171" authorId="0">
      <text>
        <r>
          <rPr>
            <b/>
            <sz val="9"/>
            <color indexed="81"/>
            <rFont val="Tahoma"/>
            <family val="2"/>
          </rPr>
          <t>Pago con fuente Nación - CDR 51.</t>
        </r>
      </text>
    </comment>
    <comment ref="U172" authorId="0">
      <text>
        <r>
          <rPr>
            <b/>
            <sz val="9"/>
            <color indexed="81"/>
            <rFont val="Tahoma"/>
            <family val="2"/>
          </rPr>
          <t>Pago con fuente Nación - CDR 51.</t>
        </r>
      </text>
    </comment>
    <comment ref="U173" authorId="0">
      <text>
        <r>
          <rPr>
            <b/>
            <sz val="9"/>
            <color indexed="81"/>
            <rFont val="Tahoma"/>
            <family val="2"/>
          </rPr>
          <t>Pago con fuente Nación - CDR 51.</t>
        </r>
      </text>
    </comment>
    <comment ref="U174" authorId="0">
      <text>
        <r>
          <rPr>
            <b/>
            <sz val="9"/>
            <color indexed="81"/>
            <rFont val="Tahoma"/>
            <family val="2"/>
          </rPr>
          <t>Pago con fuente Nación - CDR 51.</t>
        </r>
      </text>
    </comment>
    <comment ref="U175" authorId="0">
      <text>
        <r>
          <rPr>
            <b/>
            <sz val="9"/>
            <color indexed="81"/>
            <rFont val="Tahoma"/>
            <family val="2"/>
          </rPr>
          <t>Pago con fuente Nación</t>
        </r>
      </text>
    </comment>
    <comment ref="U176" authorId="0">
      <text>
        <r>
          <rPr>
            <b/>
            <sz val="9"/>
            <color indexed="81"/>
            <rFont val="Tahoma"/>
            <family val="2"/>
          </rPr>
          <t>Pago con fuente Departamento</t>
        </r>
      </text>
    </comment>
    <comment ref="U177" authorId="0">
      <text>
        <r>
          <rPr>
            <b/>
            <sz val="9"/>
            <color indexed="81"/>
            <rFont val="Tahoma"/>
            <family val="2"/>
          </rPr>
          <t>Pago fuente Nación</t>
        </r>
      </text>
    </comment>
    <comment ref="U178" authorId="0">
      <text>
        <r>
          <rPr>
            <b/>
            <sz val="9"/>
            <color indexed="81"/>
            <rFont val="Tahoma"/>
            <family val="2"/>
          </rPr>
          <t>Pago fuente departamento</t>
        </r>
      </text>
    </comment>
    <comment ref="U179" authorId="0">
      <text>
        <r>
          <rPr>
            <b/>
            <sz val="9"/>
            <color indexed="81"/>
            <rFont val="Tahoma"/>
            <family val="2"/>
          </rPr>
          <t>Pago con fuente Nación</t>
        </r>
      </text>
    </comment>
    <comment ref="U180" authorId="0">
      <text>
        <r>
          <rPr>
            <b/>
            <sz val="9"/>
            <color indexed="81"/>
            <rFont val="Tahoma"/>
            <family val="2"/>
          </rPr>
          <t>Pago con fuente departamento</t>
        </r>
      </text>
    </comment>
    <comment ref="U181" authorId="0">
      <text>
        <r>
          <rPr>
            <b/>
            <sz val="9"/>
            <color indexed="81"/>
            <rFont val="Tahoma"/>
            <family val="2"/>
          </rPr>
          <t>Pago fuente Nación</t>
        </r>
      </text>
    </comment>
    <comment ref="U182" authorId="0">
      <text>
        <r>
          <rPr>
            <b/>
            <sz val="9"/>
            <color indexed="81"/>
            <rFont val="Tahoma"/>
            <family val="2"/>
          </rPr>
          <t>Pago fuente departamento</t>
        </r>
      </text>
    </comment>
    <comment ref="U183" authorId="0">
      <text>
        <r>
          <rPr>
            <b/>
            <sz val="9"/>
            <color indexed="81"/>
            <rFont val="Tahoma"/>
            <family val="2"/>
          </rPr>
          <t>Pago fuente Nación</t>
        </r>
      </text>
    </comment>
    <comment ref="U184" authorId="0">
      <text>
        <r>
          <rPr>
            <b/>
            <sz val="9"/>
            <color indexed="81"/>
            <rFont val="Tahoma"/>
            <family val="2"/>
          </rPr>
          <t>Pago fuente departamento</t>
        </r>
      </text>
    </comment>
    <comment ref="U185" authorId="0">
      <text>
        <r>
          <rPr>
            <b/>
            <sz val="9"/>
            <color indexed="81"/>
            <rFont val="Tahoma"/>
            <family val="2"/>
          </rPr>
          <t>Pago con fuente Nación</t>
        </r>
      </text>
    </comment>
    <comment ref="U186" authorId="0">
      <text>
        <r>
          <rPr>
            <b/>
            <sz val="9"/>
            <color indexed="81"/>
            <rFont val="Tahoma"/>
            <family val="2"/>
          </rPr>
          <t>Pago con fuente departamento</t>
        </r>
      </text>
    </comment>
    <comment ref="U187" authorId="0">
      <text>
        <r>
          <rPr>
            <b/>
            <sz val="9"/>
            <color indexed="81"/>
            <rFont val="Tahoma"/>
            <family val="2"/>
          </rPr>
          <t>Pago con fuente Nación</t>
        </r>
      </text>
    </comment>
    <comment ref="U188" authorId="0">
      <text>
        <r>
          <rPr>
            <b/>
            <sz val="9"/>
            <color indexed="81"/>
            <rFont val="Tahoma"/>
            <family val="2"/>
          </rPr>
          <t>Pago con fuente Departamento</t>
        </r>
      </text>
    </comment>
    <comment ref="U189" authorId="0">
      <text>
        <r>
          <rPr>
            <b/>
            <sz val="9"/>
            <color indexed="81"/>
            <rFont val="Tahoma"/>
            <family val="2"/>
          </rPr>
          <t>Pago con fuente Nación</t>
        </r>
      </text>
    </comment>
    <comment ref="U190" authorId="0">
      <text>
        <r>
          <rPr>
            <b/>
            <sz val="9"/>
            <color indexed="81"/>
            <rFont val="Tahoma"/>
            <family val="2"/>
          </rPr>
          <t>Pago con fuente Departamento</t>
        </r>
      </text>
    </comment>
    <comment ref="U191" authorId="0">
      <text>
        <r>
          <rPr>
            <b/>
            <sz val="9"/>
            <color indexed="81"/>
            <rFont val="Tahoma"/>
            <family val="2"/>
          </rPr>
          <t>Pago fuente Nación</t>
        </r>
      </text>
    </comment>
    <comment ref="U192" authorId="0">
      <text>
        <r>
          <rPr>
            <b/>
            <sz val="9"/>
            <color indexed="81"/>
            <rFont val="Tahoma"/>
            <family val="2"/>
          </rPr>
          <t>Pago con fuente departamento</t>
        </r>
      </text>
    </comment>
    <comment ref="U193" authorId="0">
      <text>
        <r>
          <rPr>
            <b/>
            <sz val="9"/>
            <color indexed="81"/>
            <rFont val="Tahoma"/>
            <family val="2"/>
          </rPr>
          <t>Pago fuente Nación</t>
        </r>
      </text>
    </comment>
    <comment ref="U194" authorId="0">
      <text>
        <r>
          <rPr>
            <b/>
            <sz val="9"/>
            <color indexed="81"/>
            <rFont val="Tahoma"/>
            <family val="2"/>
          </rPr>
          <t>Pago fuente departamento</t>
        </r>
      </text>
    </comment>
    <comment ref="U195" authorId="0">
      <text>
        <r>
          <rPr>
            <b/>
            <sz val="9"/>
            <color indexed="81"/>
            <rFont val="Tahoma"/>
            <family val="2"/>
          </rPr>
          <t>Pago con fuente Nación</t>
        </r>
      </text>
    </comment>
    <comment ref="U196" authorId="0">
      <text>
        <r>
          <rPr>
            <b/>
            <sz val="9"/>
            <color indexed="81"/>
            <rFont val="Tahoma"/>
            <family val="2"/>
          </rPr>
          <t>Pago con fuente Departamento</t>
        </r>
      </text>
    </comment>
    <comment ref="U197" authorId="0">
      <text>
        <r>
          <rPr>
            <b/>
            <sz val="9"/>
            <color indexed="81"/>
            <rFont val="Tahoma"/>
            <family val="2"/>
          </rPr>
          <t>Pago con fuente Nación</t>
        </r>
      </text>
    </comment>
    <comment ref="U198" authorId="0">
      <text>
        <r>
          <rPr>
            <b/>
            <sz val="9"/>
            <color indexed="81"/>
            <rFont val="Tahoma"/>
            <family val="2"/>
          </rPr>
          <t>Pago con fuente Departamento</t>
        </r>
      </text>
    </comment>
    <comment ref="U199" authorId="0">
      <text>
        <r>
          <rPr>
            <b/>
            <sz val="9"/>
            <color indexed="81"/>
            <rFont val="Tahoma"/>
            <family val="2"/>
          </rPr>
          <t>Pago con fuente Nación</t>
        </r>
      </text>
    </comment>
    <comment ref="U201" authorId="0">
      <text>
        <r>
          <rPr>
            <b/>
            <sz val="9"/>
            <color indexed="81"/>
            <rFont val="Tahoma"/>
            <family val="2"/>
          </rPr>
          <t>Pago con fuente departamento</t>
        </r>
      </text>
    </comment>
    <comment ref="U203" authorId="0">
      <text>
        <r>
          <rPr>
            <b/>
            <sz val="9"/>
            <color indexed="81"/>
            <rFont val="Tahoma"/>
            <family val="2"/>
          </rPr>
          <t>Pago por fuente departamento</t>
        </r>
      </text>
    </comment>
    <comment ref="U205" authorId="0">
      <text>
        <r>
          <rPr>
            <b/>
            <sz val="9"/>
            <color indexed="81"/>
            <rFont val="Tahoma"/>
            <family val="2"/>
          </rPr>
          <t>Pago con fuente departamento</t>
        </r>
      </text>
    </comment>
    <comment ref="U392" authorId="0">
      <text>
        <r>
          <rPr>
            <b/>
            <sz val="9"/>
            <color indexed="81"/>
            <rFont val="Tahoma"/>
            <family val="2"/>
          </rPr>
          <t xml:space="preserve">CONCEPTO DE PAGO: </t>
        </r>
        <r>
          <rPr>
            <sz val="9"/>
            <color indexed="81"/>
            <rFont val="Tahoma"/>
            <family val="2"/>
          </rPr>
          <t>FRA 2. NACION. CONTRATO DE INTERVENTORIA #69/2010. ELABORACIÓN DEL DISEÑO OPTIMIZACION SISTEMA DE AC</t>
        </r>
      </text>
    </comment>
    <comment ref="U460" authorId="0">
      <text>
        <r>
          <rPr>
            <b/>
            <sz val="9"/>
            <color indexed="81"/>
            <rFont val="Tahoma"/>
            <family val="2"/>
          </rPr>
          <t>pago no reflejado en el fia</t>
        </r>
        <r>
          <rPr>
            <sz val="9"/>
            <color indexed="81"/>
            <rFont val="Tahoma"/>
            <family val="2"/>
          </rPr>
          <t xml:space="preserve">
</t>
        </r>
      </text>
    </comment>
    <comment ref="U491" authorId="0">
      <text>
        <r>
          <rPr>
            <b/>
            <sz val="9"/>
            <color indexed="81"/>
            <rFont val="Tahoma"/>
            <family val="2"/>
          </rPr>
          <t xml:space="preserve">CONCEPTO EN EL PAGO: </t>
        </r>
        <r>
          <rPr>
            <sz val="9"/>
            <color indexed="81"/>
            <rFont val="Tahoma"/>
            <family val="2"/>
          </rPr>
          <t>FACT 02 PAGO ACTA PARCIAL NO. 1 CONTRATO ADICIONAL DEL CONTRATO NO. 87 DEL DISEÑO ACUEDUCTO INTERVER</t>
        </r>
      </text>
    </comment>
    <comment ref="U492" authorId="0">
      <text>
        <r>
          <rPr>
            <b/>
            <sz val="9"/>
            <color indexed="81"/>
            <rFont val="Tahoma"/>
            <family val="2"/>
          </rPr>
          <t xml:space="preserve">CONCEPTO DE PAGO: </t>
        </r>
        <r>
          <rPr>
            <sz val="9"/>
            <color indexed="81"/>
            <rFont val="Tahoma"/>
            <family val="2"/>
          </rPr>
          <t>FACT A 6 PAGO ACTA N°4 CONT 87 ESTUDIOS Y DISEÑOS PARA LA CONSTRUCCION ACUEDUCTO ZONA CAMPESINA DE S</t>
        </r>
      </text>
    </comment>
    <comment ref="R549" authorId="0">
      <text>
        <r>
          <rPr>
            <sz val="9"/>
            <color indexed="81"/>
            <rFont val="Tahoma"/>
            <family val="2"/>
          </rPr>
          <t xml:space="preserve">SE AJUSTO EL VALOR DEL CONTRATO MEDIANTE OTROSI DE28 DE SEP DE 2010. (CONTRATO NO CAUSA IVA)
</t>
        </r>
      </text>
    </comment>
    <comment ref="U550" authorId="0">
      <text>
        <r>
          <rPr>
            <b/>
            <sz val="9"/>
            <color indexed="81"/>
            <rFont val="Tahoma"/>
            <family val="2"/>
          </rPr>
          <t xml:space="preserve">SEGÚN ORDEN DE PAGO, ES FUENTE DEPTO
</t>
        </r>
        <r>
          <rPr>
            <sz val="9"/>
            <color indexed="81"/>
            <rFont val="Tahoma"/>
            <family val="2"/>
          </rPr>
          <t xml:space="preserve">
</t>
        </r>
      </text>
    </comment>
    <comment ref="U554" authorId="0">
      <text>
        <r>
          <rPr>
            <sz val="9"/>
            <color indexed="81"/>
            <rFont val="Tahoma"/>
            <family val="2"/>
          </rPr>
          <t xml:space="preserve">SEGÚN O.P ES FUENTE NACION
</t>
        </r>
      </text>
    </comment>
    <comment ref="U602" authorId="0">
      <text>
        <r>
          <rPr>
            <b/>
            <sz val="9"/>
            <color indexed="81"/>
            <rFont val="Tahoma"/>
            <family val="2"/>
          </rPr>
          <t xml:space="preserve">Concepto de pago: </t>
        </r>
        <r>
          <rPr>
            <sz val="9"/>
            <color indexed="81"/>
            <rFont val="Tahoma"/>
            <family val="2"/>
          </rPr>
          <t>FACT A-4 PAGO ACTA PARCIAL 4 CONTRATO DE CONSUTORIA</t>
        </r>
      </text>
    </comment>
    <comment ref="Q664" authorId="0">
      <text>
        <r>
          <rPr>
            <b/>
            <sz val="9"/>
            <color indexed="81"/>
            <rFont val="Tahoma"/>
            <family val="2"/>
          </rPr>
          <t xml:space="preserve">se ajusto el valor del contrato, otrosi 003 de 2011
</t>
        </r>
        <r>
          <rPr>
            <sz val="9"/>
            <color indexed="81"/>
            <rFont val="Tahoma"/>
            <family val="2"/>
          </rPr>
          <t xml:space="preserve">
</t>
        </r>
      </text>
    </comment>
    <comment ref="U830" authorId="0">
      <text>
        <r>
          <rPr>
            <b/>
            <sz val="9"/>
            <color indexed="81"/>
            <rFont val="Tahoma"/>
            <family val="2"/>
          </rPr>
          <t>Concepto de pago del CDR 174:  ANT 40%. CONTRATO DE CONSULTORÍA #076 DE 2011. ELABORACIÓN DEL DISEÑO DE OPTIMIZACIÓN DEL SISTEMA DE</t>
        </r>
      </text>
    </comment>
    <comment ref="U831" authorId="0">
      <text>
        <r>
          <rPr>
            <b/>
            <sz val="9"/>
            <color indexed="81"/>
            <rFont val="Tahoma"/>
            <family val="2"/>
          </rPr>
          <t>ANTICIPO 40%. CONTRATO DE CONSULTORÍA #077 DE 2011. ELABORACIÓN DEL DISEÑO DE OPTIMIZACIÓN DEL SISTE</t>
        </r>
      </text>
    </comment>
    <comment ref="U834" authorId="0">
      <text>
        <r>
          <rPr>
            <b/>
            <sz val="9"/>
            <color indexed="81"/>
            <rFont val="Tahoma"/>
            <family val="2"/>
          </rPr>
          <t>Concepto de pago del CDR 174: ANTICIPO 40%. CONTRATO DE CONSULTORÍA #078 DE 2011. ELABORACIÓN ESTUDIOS Y DISEÑOS ACUEDUCTO PUERTO</t>
        </r>
      </text>
    </comment>
    <comment ref="U835" authorId="0">
      <text>
        <r>
          <rPr>
            <b/>
            <sz val="9"/>
            <color indexed="81"/>
            <rFont val="Tahoma"/>
            <family val="2"/>
          </rPr>
          <t>Concepto de pago de CDR 174: FACT 21 PAGO PARCIAL CONTRAO DE SERIVCIOS</t>
        </r>
      </text>
    </comment>
    <comment ref="U839" authorId="0">
      <text>
        <r>
          <rPr>
            <b/>
            <sz val="9"/>
            <color indexed="81"/>
            <rFont val="Tahoma"/>
            <family val="2"/>
          </rPr>
          <t>CONCEPTO DE PAGO DE CDR 174: ANTICIPO 40%. CCOBRO. CONTRATO DE CONSULTORÍA #080 DE 2011. ELABOARACIÓN DE ESTUDIOS Y DISEÑOS SISTE</t>
        </r>
      </text>
    </comment>
    <comment ref="U840" authorId="0">
      <text>
        <r>
          <rPr>
            <b/>
            <sz val="9"/>
            <color indexed="81"/>
            <rFont val="Tahoma"/>
            <family val="2"/>
          </rPr>
          <t>CONCEPTO DE PAGO DEL CDR 174: FACTURA #090. PAGO #1. CONTRATO DE CONSULTORÍA #080 DE 2011. ELABOARACIÓN D</t>
        </r>
      </text>
    </comment>
    <comment ref="U844" authorId="0">
      <text>
        <r>
          <rPr>
            <b/>
            <sz val="9"/>
            <color indexed="81"/>
            <rFont val="Tahoma"/>
            <family val="2"/>
          </rPr>
          <t>Concepto de pago del CDR 174: ANTICIPO 40%. CCO. CONTRATO DE CONSULTORÍA #081 DE 2011. ELABOARACIÓN DE ESTUDIOS Y DISEÑOS SISTEMA</t>
        </r>
      </text>
    </comment>
    <comment ref="U845" authorId="0">
      <text>
        <r>
          <rPr>
            <b/>
            <sz val="9"/>
            <color indexed="81"/>
            <rFont val="Tahoma"/>
            <family val="2"/>
          </rPr>
          <t>Concepto de pago del CDR 174: FACTURA #091. PAGO #1. CONTRATO DE CONSULTORÍA #081 DE 2011. ELABOARACIÓN D</t>
        </r>
      </text>
    </comment>
    <comment ref="U846" authorId="0">
      <text>
        <r>
          <rPr>
            <b/>
            <sz val="9"/>
            <color indexed="81"/>
            <rFont val="Tahoma"/>
            <family val="2"/>
          </rPr>
          <t xml:space="preserve">Concepto de pago del CDR 174: </t>
        </r>
        <r>
          <rPr>
            <sz val="9"/>
            <color indexed="81"/>
            <rFont val="Tahoma"/>
            <family val="2"/>
          </rPr>
          <t>FRA 109 PAGO ARCIAL DE INTERVNTORIA</t>
        </r>
      </text>
    </comment>
    <comment ref="U848" authorId="0">
      <text>
        <r>
          <rPr>
            <b/>
            <sz val="9"/>
            <color indexed="81"/>
            <rFont val="Tahoma"/>
            <family val="2"/>
          </rPr>
          <t>Concepto de pago del CDR 174: ANTICIPO 40%. CUENTA COBRO. CONTRATO DE CONSULTORIA #082/2011. ELABORACIÓN DE ESTUDIOS Y DISEÑOS OPT</t>
        </r>
      </text>
    </comment>
    <comment ref="U849" authorId="0">
      <text>
        <r>
          <rPr>
            <b/>
            <sz val="9"/>
            <color indexed="81"/>
            <rFont val="Tahoma"/>
            <family val="2"/>
          </rPr>
          <t>Pago de concepto de CDR 174: FV 001 PAGO ACTA PARCIAL CNTRATO DE CONSLTORIA</t>
        </r>
      </text>
    </comment>
    <comment ref="U850" authorId="0">
      <text>
        <r>
          <rPr>
            <b/>
            <sz val="9"/>
            <color indexed="81"/>
            <rFont val="Tahoma"/>
            <family val="2"/>
          </rPr>
          <t>Concepto de pago del CDR 174: FACT 04 PAGO ACTA N0.2 DEL CONTRATO DE CONSULTORIA N0.82 DE 2011</t>
        </r>
      </text>
    </comment>
    <comment ref="U852" authorId="0">
      <text>
        <r>
          <rPr>
            <b/>
            <sz val="9"/>
            <color indexed="81"/>
            <rFont val="Tahoma"/>
            <family val="2"/>
          </rPr>
          <t>Concepto de pago del CDR 174: ANTICIPO 40%. CONTRATO DE CONSULTORÍA #083 DE 2011. ELABORACIÓN ESTUDIOS Y DISEÑOS SISTEMA DE ALCANT</t>
        </r>
      </text>
    </comment>
    <comment ref="U853" authorId="0">
      <text>
        <r>
          <rPr>
            <b/>
            <sz val="9"/>
            <color indexed="81"/>
            <rFont val="Tahoma"/>
            <family val="2"/>
          </rPr>
          <t>Concepto de pago del CDR 174: FACT 0011 PAGO ACTA 01 CONTRATO 83/2011, ELABORACION ESTUDIOS Y DISEÑOS DE ALCANTARILLADO MPIO ROSAS</t>
        </r>
      </text>
    </comment>
    <comment ref="U855" authorId="0">
      <text>
        <r>
          <rPr>
            <b/>
            <sz val="9"/>
            <color indexed="81"/>
            <rFont val="Tahoma"/>
            <family val="2"/>
          </rPr>
          <t>Concepto de pago del CDR 174: ANTICIPO 40%. CONTRATO DE CONSULTORIA #84/2011. ELABORACIÓN DE ESTUDIOS Y DISEÑOS OPTIMIZACIÓN SISTE</t>
        </r>
      </text>
    </comment>
    <comment ref="U856" authorId="0">
      <text>
        <r>
          <rPr>
            <b/>
            <sz val="9"/>
            <color indexed="81"/>
            <rFont val="Tahoma"/>
            <family val="2"/>
          </rPr>
          <t>Concepto de pago del CDR 174: FRA 01 PAGO PARCIAL CONTRTAO DE SERVICIOS</t>
        </r>
      </text>
    </comment>
    <comment ref="U858" authorId="0">
      <text>
        <r>
          <rPr>
            <b/>
            <sz val="9"/>
            <color indexed="81"/>
            <rFont val="Tahoma"/>
            <family val="2"/>
          </rPr>
          <t>Pago concepto de CDR 174: ANTICIPO 40%. CONTRATO DE CONSULTORÍA #085 DE 2011. ELABOARACIÓN DE ESTUDIOS Y DISEÑOS SISTEMA DE AC</t>
        </r>
      </text>
    </comment>
    <comment ref="U1599" authorId="0">
      <text>
        <r>
          <rPr>
            <sz val="9"/>
            <color indexed="81"/>
            <rFont val="Tahoma"/>
            <family val="2"/>
          </rPr>
          <t xml:space="preserve">no aparece en el FIA, HACER REQUERIMIENTO
</t>
        </r>
      </text>
    </comment>
  </commentList>
</comments>
</file>

<file path=xl/comments3.xml><?xml version="1.0" encoding="utf-8"?>
<comments xmlns="http://schemas.openxmlformats.org/spreadsheetml/2006/main">
  <authors>
    <author>Autor</author>
  </authors>
  <commentList>
    <comment ref="AA5" authorId="0">
      <text>
        <r>
          <rPr>
            <b/>
            <sz val="9"/>
            <color indexed="81"/>
            <rFont val="Tahoma"/>
            <family val="2"/>
          </rPr>
          <t>Anticipo del 40%</t>
        </r>
      </text>
    </comment>
    <comment ref="AL5" authorId="0">
      <text>
        <r>
          <rPr>
            <b/>
            <sz val="9"/>
            <color indexed="81"/>
            <rFont val="Tahoma"/>
            <family val="2"/>
          </rPr>
          <t>Contrato Suspendido - Diferencia entre el valor del CDR y el valor del contrato</t>
        </r>
      </text>
    </comment>
    <comment ref="AA6" authorId="0">
      <text>
        <r>
          <rPr>
            <b/>
            <sz val="9"/>
            <color indexed="81"/>
            <rFont val="Tahoma"/>
            <family val="2"/>
          </rPr>
          <t>Anticipo del 40%</t>
        </r>
      </text>
    </comment>
    <comment ref="AD7" authorId="0">
      <text>
        <r>
          <rPr>
            <b/>
            <sz val="9"/>
            <color indexed="81"/>
            <rFont val="Tahoma"/>
            <family val="2"/>
          </rPr>
          <t>ESTE PAGO SE REALIZO CON EL CDR 23 (Fuente dpto) ASIGNADO PARA EL CONTRATO N° 019-2010 - SE  DEBE CORREGIR ESTE ERROR POR PARTE DEL FIA</t>
        </r>
      </text>
    </comment>
    <comment ref="AD8" authorId="0">
      <text>
        <r>
          <rPr>
            <b/>
            <sz val="9"/>
            <color indexed="81"/>
            <rFont val="Tahoma"/>
            <family val="2"/>
          </rPr>
          <t>ESTE PAGO SE REALIZO CON EL CDR 011 DESTINADO PARA EL CONTRATO 019-2010. ERROR POR PARTE DEL FIA.</t>
        </r>
      </text>
    </comment>
    <comment ref="AD14" authorId="0">
      <text>
        <r>
          <rPr>
            <b/>
            <sz val="9"/>
            <color indexed="81"/>
            <rFont val="Tahoma"/>
            <family val="2"/>
          </rPr>
          <t>Pago con fuente nación - CRD 40</t>
        </r>
      </text>
    </comment>
    <comment ref="AD15" authorId="0">
      <text>
        <r>
          <rPr>
            <b/>
            <sz val="9"/>
            <color indexed="81"/>
            <rFont val="Tahoma"/>
            <family val="2"/>
          </rPr>
          <t>Pago con fuente nación - CRD 40</t>
        </r>
      </text>
    </comment>
  </commentList>
</comments>
</file>

<file path=xl/comments4.xml><?xml version="1.0" encoding="utf-8"?>
<comments xmlns="http://schemas.openxmlformats.org/spreadsheetml/2006/main">
  <authors>
    <author>Autor</author>
  </authors>
  <commentList>
    <comment ref="AD19" authorId="0">
      <text>
        <r>
          <rPr>
            <b/>
            <sz val="9"/>
            <color indexed="81"/>
            <rFont val="Tahoma"/>
            <family val="2"/>
          </rPr>
          <t xml:space="preserve">CONCEPTO DE PAGO: </t>
        </r>
        <r>
          <rPr>
            <sz val="9"/>
            <color indexed="81"/>
            <rFont val="Tahoma"/>
            <family val="2"/>
          </rPr>
          <t>FRA 2. NACION. CONTRATO DE INTERVENTORIA #69/2010. ELABORACIÓN DEL DISEÑO OPTIMIZACION SISTEMA DE AC</t>
        </r>
      </text>
    </comment>
  </commentList>
</comments>
</file>

<file path=xl/comments5.xml><?xml version="1.0" encoding="utf-8"?>
<comments xmlns="http://schemas.openxmlformats.org/spreadsheetml/2006/main">
  <authors>
    <author>Autor</author>
  </authors>
  <commentList>
    <comment ref="AA3" authorId="0">
      <text>
        <r>
          <rPr>
            <b/>
            <sz val="9"/>
            <color indexed="81"/>
            <rFont val="Tahoma"/>
            <family val="2"/>
          </rPr>
          <t>Anticipo del 40%</t>
        </r>
      </text>
    </comment>
    <comment ref="AA9" authorId="0">
      <text>
        <r>
          <rPr>
            <b/>
            <sz val="9"/>
            <color indexed="81"/>
            <rFont val="Tahoma"/>
            <family val="2"/>
          </rPr>
          <t>Anticipo del 40%</t>
        </r>
      </text>
    </comment>
    <comment ref="Z12" authorId="0">
      <text>
        <r>
          <rPr>
            <b/>
            <sz val="9"/>
            <color indexed="81"/>
            <rFont val="Tahoma"/>
            <family val="2"/>
          </rPr>
          <t>CDR 174 FACT V 22 CTO 05 2010</t>
        </r>
        <r>
          <rPr>
            <sz val="9"/>
            <color indexed="81"/>
            <rFont val="Tahoma"/>
            <family val="2"/>
          </rPr>
          <t xml:space="preserve">
</t>
        </r>
      </text>
    </comment>
    <comment ref="AD12" authorId="0">
      <text>
        <r>
          <rPr>
            <b/>
            <sz val="9"/>
            <color indexed="81"/>
            <rFont val="Tahoma"/>
            <family val="2"/>
          </rPr>
          <t>Soporte de pago con CDR 174 - FACT V 22 CTO 05 2010</t>
        </r>
      </text>
    </comment>
    <comment ref="Z13" authorId="0">
      <text>
        <r>
          <rPr>
            <b/>
            <sz val="9"/>
            <color indexed="81"/>
            <rFont val="Tahoma"/>
            <family val="2"/>
          </rPr>
          <t>CDR 174 - FACT V 21 CTO 05 2010</t>
        </r>
      </text>
    </comment>
    <comment ref="AD13" authorId="0">
      <text>
        <r>
          <rPr>
            <b/>
            <sz val="9"/>
            <color indexed="81"/>
            <rFont val="Tahoma"/>
            <family val="2"/>
          </rPr>
          <t>Soporte de pago con CDR 174 - FACT V 21 CTO 05 2010</t>
        </r>
      </text>
    </comment>
    <comment ref="AA14" authorId="0">
      <text>
        <r>
          <rPr>
            <b/>
            <sz val="9"/>
            <color indexed="81"/>
            <rFont val="Tahoma"/>
            <family val="2"/>
          </rPr>
          <t>Anticipo del 40% sobre $93´932.500</t>
        </r>
      </text>
    </comment>
    <comment ref="AA17" authorId="0">
      <text>
        <r>
          <rPr>
            <b/>
            <sz val="9"/>
            <color indexed="81"/>
            <rFont val="Tahoma"/>
            <family val="2"/>
          </rPr>
          <t>Anticipo del 40%</t>
        </r>
      </text>
    </comment>
    <comment ref="AL17" authorId="0">
      <text>
        <r>
          <rPr>
            <b/>
            <sz val="9"/>
            <color indexed="81"/>
            <rFont val="Tahoma"/>
            <family val="2"/>
          </rPr>
          <t>Contrato Suspendido - Diferencia entre el valor del CDR y el valor del contrato</t>
        </r>
      </text>
    </comment>
    <comment ref="AA22" authorId="0">
      <text>
        <r>
          <rPr>
            <b/>
            <sz val="9"/>
            <color indexed="81"/>
            <rFont val="Tahoma"/>
            <family val="2"/>
          </rPr>
          <t>Anticipo del 40%</t>
        </r>
      </text>
    </comment>
    <comment ref="AD37" authorId="0">
      <text>
        <r>
          <rPr>
            <b/>
            <sz val="9"/>
            <color indexed="81"/>
            <rFont val="Tahoma"/>
            <family val="2"/>
          </rPr>
          <t>PAGO CORRECTO</t>
        </r>
      </text>
    </comment>
    <comment ref="AD38" authorId="0">
      <text>
        <r>
          <rPr>
            <b/>
            <sz val="9"/>
            <color indexed="81"/>
            <rFont val="Tahoma"/>
            <family val="2"/>
          </rPr>
          <t>ESTE PAGO SE REALIZO CON EL CDR 23 (Fuente dpto) ASIGNADO PARA EL CONTRATO N° 019-2010 - SE  DEBE CORREGIR ESTE ERROR POR PARTE DEL FIA</t>
        </r>
      </text>
    </comment>
    <comment ref="AD39" authorId="0">
      <text>
        <r>
          <rPr>
            <b/>
            <sz val="9"/>
            <color indexed="81"/>
            <rFont val="Tahoma"/>
            <family val="2"/>
          </rPr>
          <t>ESTE PAGO SE REALIZO CON EL CDR 011 DESTINADO PARA EL CONTRATO 019-2010. ERROR POR PARTE DEL FIA.</t>
        </r>
      </text>
    </comment>
    <comment ref="AD57" authorId="0">
      <text>
        <r>
          <rPr>
            <b/>
            <sz val="9"/>
            <color indexed="81"/>
            <rFont val="Tahoma"/>
            <family val="2"/>
          </rPr>
          <t>El pago del acta parcial n° 1 se realizo por el CDR 011 y no por el CDR 23. Se debe corregir este Error.</t>
        </r>
        <r>
          <rPr>
            <sz val="9"/>
            <color indexed="81"/>
            <rFont val="Tahoma"/>
            <family val="2"/>
          </rPr>
          <t xml:space="preserve">
</t>
        </r>
      </text>
    </comment>
    <comment ref="AD91" authorId="0">
      <text>
        <r>
          <rPr>
            <b/>
            <sz val="9"/>
            <color indexed="81"/>
            <rFont val="Tahoma"/>
            <family val="2"/>
          </rPr>
          <t>Fuente Nación - CDR 37</t>
        </r>
      </text>
    </comment>
    <comment ref="AD92" authorId="0">
      <text>
        <r>
          <rPr>
            <b/>
            <sz val="9"/>
            <color indexed="81"/>
            <rFont val="Tahoma"/>
            <family val="2"/>
          </rPr>
          <t>Fuente Nación - CDR 37</t>
        </r>
      </text>
    </comment>
    <comment ref="AD93" authorId="0">
      <text>
        <r>
          <rPr>
            <b/>
            <sz val="9"/>
            <color indexed="81"/>
            <rFont val="Tahoma"/>
            <family val="2"/>
          </rPr>
          <t>Fuente Nación - CDR 37</t>
        </r>
      </text>
    </comment>
    <comment ref="AD94" authorId="0">
      <text>
        <r>
          <rPr>
            <b/>
            <sz val="9"/>
            <color indexed="81"/>
            <rFont val="Tahoma"/>
            <family val="2"/>
          </rPr>
          <t>Fuente Departamento - CDR 37</t>
        </r>
      </text>
    </comment>
    <comment ref="AD95" authorId="0">
      <text>
        <r>
          <rPr>
            <b/>
            <sz val="9"/>
            <color indexed="81"/>
            <rFont val="Tahoma"/>
            <family val="2"/>
          </rPr>
          <t>Fuente Departamento - CDR 37</t>
        </r>
      </text>
    </comment>
    <comment ref="AD96" authorId="0">
      <text>
        <r>
          <rPr>
            <b/>
            <sz val="9"/>
            <color indexed="81"/>
            <rFont val="Tahoma"/>
            <family val="2"/>
          </rPr>
          <t>Fuente Nación - CDR 36</t>
        </r>
      </text>
    </comment>
    <comment ref="AD97" authorId="0">
      <text>
        <r>
          <rPr>
            <b/>
            <sz val="9"/>
            <color indexed="81"/>
            <rFont val="Tahoma"/>
            <family val="2"/>
          </rPr>
          <t>Fuente Nación - CDR 36</t>
        </r>
      </text>
    </comment>
    <comment ref="AD98" authorId="0">
      <text>
        <r>
          <rPr>
            <b/>
            <sz val="9"/>
            <color indexed="81"/>
            <rFont val="Tahoma"/>
            <family val="2"/>
          </rPr>
          <t>Fuente Nación - CDR 36</t>
        </r>
      </text>
    </comment>
    <comment ref="AD99" authorId="0">
      <text>
        <r>
          <rPr>
            <b/>
            <sz val="9"/>
            <color indexed="81"/>
            <rFont val="Tahoma"/>
            <family val="2"/>
          </rPr>
          <t>Fuente Departamento - CDR 36</t>
        </r>
      </text>
    </comment>
    <comment ref="AD100" authorId="0">
      <text>
        <r>
          <rPr>
            <b/>
            <sz val="9"/>
            <color indexed="81"/>
            <rFont val="Tahoma"/>
            <family val="2"/>
          </rPr>
          <t>Fuente Departamento - CDR 36</t>
        </r>
      </text>
    </comment>
    <comment ref="AD101" authorId="0">
      <text>
        <r>
          <rPr>
            <b/>
            <sz val="9"/>
            <color indexed="81"/>
            <rFont val="Tahoma"/>
            <family val="2"/>
          </rPr>
          <t>Fuente Nación - CDR 165</t>
        </r>
      </text>
    </comment>
    <comment ref="AD102" authorId="0">
      <text>
        <r>
          <rPr>
            <b/>
            <sz val="9"/>
            <color indexed="81"/>
            <rFont val="Tahoma"/>
            <family val="2"/>
          </rPr>
          <t>Fuente Nación - CDR 165</t>
        </r>
      </text>
    </comment>
    <comment ref="AD103" authorId="0">
      <text>
        <r>
          <rPr>
            <b/>
            <sz val="9"/>
            <color indexed="81"/>
            <rFont val="Tahoma"/>
            <family val="2"/>
          </rPr>
          <t>Fuente Nación - CDR 38. Este pago se debia hacer con Fuente Departamento.</t>
        </r>
      </text>
    </comment>
    <comment ref="AD104" authorId="0">
      <text>
        <r>
          <rPr>
            <b/>
            <sz val="9"/>
            <color indexed="81"/>
            <rFont val="Tahoma"/>
            <family val="2"/>
          </rPr>
          <t>Fuente Nación - CDR 38. Pago con fuente correcta</t>
        </r>
      </text>
    </comment>
    <comment ref="AD105" authorId="0">
      <text>
        <r>
          <rPr>
            <b/>
            <sz val="9"/>
            <color indexed="81"/>
            <rFont val="Tahoma"/>
            <family val="2"/>
          </rPr>
          <t>Fuente nación - CDR 38. Este pago debía Hacerse con fuente Departamento</t>
        </r>
      </text>
    </comment>
    <comment ref="AD106" authorId="0">
      <text>
        <r>
          <rPr>
            <b/>
            <sz val="9"/>
            <color indexed="81"/>
            <rFont val="Tahoma"/>
            <family val="2"/>
          </rPr>
          <t>Fuente departamento - CDR 38. Este pago debia hacerse con fuente nación</t>
        </r>
      </text>
    </comment>
    <comment ref="AD107" authorId="0">
      <text>
        <r>
          <rPr>
            <b/>
            <sz val="9"/>
            <color indexed="81"/>
            <rFont val="Tahoma"/>
            <family val="2"/>
          </rPr>
          <t>Fuente departamento - CDR 38. Pago con fuente correcta</t>
        </r>
      </text>
    </comment>
    <comment ref="AD108" authorId="0">
      <text>
        <r>
          <rPr>
            <b/>
            <sz val="9"/>
            <color indexed="81"/>
            <rFont val="Tahoma"/>
            <family val="2"/>
          </rPr>
          <t>Fuente departamento - CDR 38. Este pago se debia hacer con fuente nación.</t>
        </r>
      </text>
    </comment>
    <comment ref="AD109" authorId="0">
      <text>
        <r>
          <rPr>
            <b/>
            <sz val="9"/>
            <color indexed="81"/>
            <rFont val="Tahoma"/>
            <family val="2"/>
          </rPr>
          <t>Pago por Fuente Nación - CDR 38. Se debia pagar con fuente Departamento</t>
        </r>
      </text>
    </comment>
    <comment ref="AD110" authorId="0">
      <text>
        <r>
          <rPr>
            <b/>
            <sz val="9"/>
            <color indexed="81"/>
            <rFont val="Tahoma"/>
            <family val="2"/>
          </rPr>
          <t>Pago por fuente Nación - CDR 38. Pago con fuente correcta</t>
        </r>
      </text>
    </comment>
    <comment ref="AD111" authorId="0">
      <text>
        <r>
          <rPr>
            <b/>
            <sz val="9"/>
            <color indexed="81"/>
            <rFont val="Tahoma"/>
            <family val="2"/>
          </rPr>
          <t>Pago con fuente nación - CRD 40</t>
        </r>
      </text>
    </comment>
    <comment ref="AD112" authorId="0">
      <text>
        <r>
          <rPr>
            <b/>
            <sz val="9"/>
            <color indexed="81"/>
            <rFont val="Tahoma"/>
            <family val="2"/>
          </rPr>
          <t>Pago por fuente departamento - CDR 40</t>
        </r>
      </text>
    </comment>
    <comment ref="AD113" authorId="0">
      <text>
        <r>
          <rPr>
            <b/>
            <sz val="9"/>
            <color indexed="81"/>
            <rFont val="Tahoma"/>
            <family val="2"/>
          </rPr>
          <t>Pago con fuente nación - CRD 40</t>
        </r>
      </text>
    </comment>
    <comment ref="AD114" authorId="0">
      <text>
        <r>
          <rPr>
            <b/>
            <sz val="9"/>
            <color indexed="81"/>
            <rFont val="Tahoma"/>
            <family val="2"/>
          </rPr>
          <t>Pago por fuente departamento - CDR 40</t>
        </r>
      </text>
    </comment>
    <comment ref="AD116" authorId="0">
      <text>
        <r>
          <rPr>
            <b/>
            <sz val="9"/>
            <color indexed="81"/>
            <rFont val="Tahoma"/>
            <family val="2"/>
          </rPr>
          <t>Pago con fuente Nación</t>
        </r>
      </text>
    </comment>
    <comment ref="AD117" authorId="0">
      <text>
        <r>
          <rPr>
            <b/>
            <sz val="9"/>
            <color indexed="81"/>
            <rFont val="Tahoma"/>
            <family val="2"/>
          </rPr>
          <t>Pago con fuente Nación</t>
        </r>
      </text>
    </comment>
    <comment ref="AD118" authorId="0">
      <text>
        <r>
          <rPr>
            <b/>
            <sz val="9"/>
            <color indexed="81"/>
            <rFont val="Tahoma"/>
            <family val="2"/>
          </rPr>
          <t>Pago con fuente Nación</t>
        </r>
      </text>
    </comment>
    <comment ref="AD119" authorId="0">
      <text>
        <r>
          <rPr>
            <b/>
            <sz val="9"/>
            <color indexed="81"/>
            <rFont val="Tahoma"/>
            <family val="2"/>
          </rPr>
          <t>Pago con fuente departamento</t>
        </r>
      </text>
    </comment>
    <comment ref="AD120" authorId="0">
      <text>
        <r>
          <rPr>
            <b/>
            <sz val="9"/>
            <color indexed="81"/>
            <rFont val="Tahoma"/>
            <family val="2"/>
          </rPr>
          <t>Pago con fuente Nación</t>
        </r>
      </text>
    </comment>
    <comment ref="AD121" authorId="0">
      <text>
        <r>
          <rPr>
            <b/>
            <sz val="9"/>
            <color indexed="81"/>
            <rFont val="Tahoma"/>
            <family val="2"/>
          </rPr>
          <t>Pago con fuente Nación</t>
        </r>
      </text>
    </comment>
    <comment ref="AD123" authorId="0">
      <text>
        <r>
          <rPr>
            <b/>
            <sz val="9"/>
            <color indexed="81"/>
            <rFont val="Tahoma"/>
            <family val="2"/>
          </rPr>
          <t>Pago con fuente Nación</t>
        </r>
      </text>
    </comment>
    <comment ref="AD124" authorId="0">
      <text>
        <r>
          <rPr>
            <b/>
            <sz val="9"/>
            <color indexed="81"/>
            <rFont val="Tahoma"/>
            <family val="2"/>
          </rPr>
          <t>Pago con fuente Nación</t>
        </r>
      </text>
    </comment>
    <comment ref="AD125" authorId="0">
      <text>
        <r>
          <rPr>
            <b/>
            <sz val="9"/>
            <color indexed="81"/>
            <rFont val="Tahoma"/>
            <family val="2"/>
          </rPr>
          <t>Pago fuente Nación</t>
        </r>
      </text>
    </comment>
    <comment ref="AD126" authorId="0">
      <text>
        <r>
          <rPr>
            <b/>
            <sz val="9"/>
            <color indexed="81"/>
            <rFont val="Tahoma"/>
            <family val="2"/>
          </rPr>
          <t>Pago fuente departamento</t>
        </r>
      </text>
    </comment>
    <comment ref="AD127" authorId="0">
      <text>
        <r>
          <rPr>
            <b/>
            <sz val="9"/>
            <color indexed="81"/>
            <rFont val="Tahoma"/>
            <family val="2"/>
          </rPr>
          <t>Pago con fuente Nación</t>
        </r>
      </text>
    </comment>
    <comment ref="AD128" authorId="0">
      <text>
        <r>
          <rPr>
            <b/>
            <sz val="9"/>
            <color indexed="81"/>
            <rFont val="Tahoma"/>
            <family val="2"/>
          </rPr>
          <t>Pago con fuente Nación</t>
        </r>
      </text>
    </comment>
    <comment ref="AD129" authorId="0">
      <text>
        <r>
          <rPr>
            <b/>
            <sz val="9"/>
            <color indexed="81"/>
            <rFont val="Tahoma"/>
            <family val="2"/>
          </rPr>
          <t>Pago con fuente Nación</t>
        </r>
      </text>
    </comment>
    <comment ref="AD130" authorId="0">
      <text>
        <r>
          <rPr>
            <b/>
            <sz val="9"/>
            <color indexed="81"/>
            <rFont val="Tahoma"/>
            <family val="2"/>
          </rPr>
          <t>Pago con fuente Departamento</t>
        </r>
      </text>
    </comment>
    <comment ref="AD131" authorId="0">
      <text>
        <r>
          <rPr>
            <b/>
            <sz val="9"/>
            <color indexed="81"/>
            <rFont val="Tahoma"/>
            <family val="2"/>
          </rPr>
          <t>Pago con fuente Nación</t>
        </r>
      </text>
    </comment>
    <comment ref="AD132" authorId="0">
      <text>
        <r>
          <rPr>
            <b/>
            <sz val="9"/>
            <color indexed="81"/>
            <rFont val="Tahoma"/>
            <family val="2"/>
          </rPr>
          <t>Pago con fuente Nación</t>
        </r>
      </text>
    </comment>
    <comment ref="AD133" authorId="0">
      <text>
        <r>
          <rPr>
            <b/>
            <sz val="9"/>
            <color indexed="81"/>
            <rFont val="Tahoma"/>
            <family val="2"/>
          </rPr>
          <t>Pago con fuente Nación</t>
        </r>
      </text>
    </comment>
    <comment ref="AD134" authorId="0">
      <text>
        <r>
          <rPr>
            <b/>
            <sz val="9"/>
            <color indexed="81"/>
            <rFont val="Tahoma"/>
            <family val="2"/>
          </rPr>
          <t>Pago con fuente departamento</t>
        </r>
      </text>
    </comment>
    <comment ref="AD135" authorId="0">
      <text>
        <r>
          <rPr>
            <b/>
            <sz val="9"/>
            <color indexed="81"/>
            <rFont val="Tahoma"/>
            <family val="2"/>
          </rPr>
          <t>Pago con fuente Nación</t>
        </r>
      </text>
    </comment>
    <comment ref="AD136" authorId="0">
      <text>
        <r>
          <rPr>
            <b/>
            <sz val="9"/>
            <color indexed="81"/>
            <rFont val="Tahoma"/>
            <family val="2"/>
          </rPr>
          <t>Pago con fuente Nación</t>
        </r>
      </text>
    </comment>
    <comment ref="AD137" authorId="0">
      <text>
        <r>
          <rPr>
            <b/>
            <sz val="9"/>
            <color indexed="81"/>
            <rFont val="Tahoma"/>
            <family val="2"/>
          </rPr>
          <t>Pago con fuente Nación</t>
        </r>
      </text>
    </comment>
    <comment ref="AD138" authorId="0">
      <text>
        <r>
          <rPr>
            <b/>
            <sz val="9"/>
            <color indexed="81"/>
            <rFont val="Tahoma"/>
            <family val="2"/>
          </rPr>
          <t>Pago con fuente Departamento</t>
        </r>
      </text>
    </comment>
    <comment ref="AD152" authorId="0">
      <text>
        <r>
          <rPr>
            <b/>
            <sz val="9"/>
            <color indexed="81"/>
            <rFont val="Tahoma"/>
            <family val="2"/>
          </rPr>
          <t>Pago con fuente Nación - CDR 49</t>
        </r>
      </text>
    </comment>
    <comment ref="AD153" authorId="0">
      <text>
        <r>
          <rPr>
            <b/>
            <sz val="9"/>
            <color indexed="81"/>
            <rFont val="Tahoma"/>
            <family val="2"/>
          </rPr>
          <t>Fuente de pago por Departamento - CDR 49</t>
        </r>
      </text>
    </comment>
    <comment ref="AD154" authorId="0">
      <text>
        <r>
          <rPr>
            <b/>
            <sz val="9"/>
            <color indexed="81"/>
            <rFont val="Tahoma"/>
            <family val="2"/>
          </rPr>
          <t>Pago con fuente Nación - CDR 49</t>
        </r>
      </text>
    </comment>
    <comment ref="AD155" authorId="0">
      <text>
        <r>
          <rPr>
            <b/>
            <sz val="9"/>
            <color indexed="81"/>
            <rFont val="Tahoma"/>
            <family val="2"/>
          </rPr>
          <t>Fuente de pago por Departamento - CDR 49</t>
        </r>
      </text>
    </comment>
    <comment ref="AD156" authorId="0">
      <text>
        <r>
          <rPr>
            <b/>
            <sz val="9"/>
            <color indexed="81"/>
            <rFont val="Tahoma"/>
            <family val="2"/>
          </rPr>
          <t>Pago con fuente Nación - CDR 140</t>
        </r>
      </text>
    </comment>
    <comment ref="AD157" authorId="0">
      <text>
        <r>
          <rPr>
            <b/>
            <sz val="9"/>
            <color indexed="81"/>
            <rFont val="Tahoma"/>
            <family val="2"/>
          </rPr>
          <t>Pago con fuente nación - CDR 51. Pago con fuente correcta</t>
        </r>
      </text>
    </comment>
    <comment ref="AD158" authorId="0">
      <text>
        <r>
          <rPr>
            <b/>
            <sz val="9"/>
            <color indexed="81"/>
            <rFont val="Tahoma"/>
            <family val="2"/>
          </rPr>
          <t>Pago con fuente Nación - CDR 51. Este pago se debia hacer con fuente Departamento</t>
        </r>
      </text>
    </comment>
    <comment ref="AD159" authorId="0">
      <text>
        <r>
          <rPr>
            <b/>
            <sz val="9"/>
            <color indexed="81"/>
            <rFont val="Tahoma"/>
            <family val="2"/>
          </rPr>
          <t>Pago con fuente nación - CDR 51.</t>
        </r>
      </text>
    </comment>
    <comment ref="AD160" authorId="0">
      <text>
        <r>
          <rPr>
            <b/>
            <sz val="9"/>
            <color indexed="81"/>
            <rFont val="Tahoma"/>
            <family val="2"/>
          </rPr>
          <t>Pago con fuente Departamento - CDR 51.</t>
        </r>
      </text>
    </comment>
    <comment ref="AD161" authorId="0">
      <text>
        <r>
          <rPr>
            <b/>
            <sz val="9"/>
            <color indexed="81"/>
            <rFont val="Tahoma"/>
            <family val="2"/>
          </rPr>
          <t>Pago con fuente Departamento - CDR 51.</t>
        </r>
      </text>
    </comment>
    <comment ref="AD162" authorId="0">
      <text>
        <r>
          <rPr>
            <b/>
            <sz val="9"/>
            <color indexed="81"/>
            <rFont val="Tahoma"/>
            <family val="2"/>
          </rPr>
          <t>Pago con fuente Departamento - CDR 51.</t>
        </r>
      </text>
    </comment>
    <comment ref="AD163" authorId="0">
      <text>
        <r>
          <rPr>
            <b/>
            <sz val="9"/>
            <color indexed="81"/>
            <rFont val="Tahoma"/>
            <family val="2"/>
          </rPr>
          <t>Pago con fuente Nación - CDR 51.</t>
        </r>
      </text>
    </comment>
    <comment ref="AD164" authorId="0">
      <text>
        <r>
          <rPr>
            <b/>
            <sz val="9"/>
            <color indexed="81"/>
            <rFont val="Tahoma"/>
            <family val="2"/>
          </rPr>
          <t>Pago con fuente Nación - CDR 51.</t>
        </r>
      </text>
    </comment>
    <comment ref="AD165" authorId="0">
      <text>
        <r>
          <rPr>
            <b/>
            <sz val="9"/>
            <color indexed="81"/>
            <rFont val="Tahoma"/>
            <family val="2"/>
          </rPr>
          <t>Pago con fuente Nación - CDR 51.</t>
        </r>
      </text>
    </comment>
    <comment ref="AD166" authorId="0">
      <text>
        <r>
          <rPr>
            <b/>
            <sz val="9"/>
            <color indexed="81"/>
            <rFont val="Tahoma"/>
            <family val="2"/>
          </rPr>
          <t>Pago con fuente Nación - CDR 51.</t>
        </r>
      </text>
    </comment>
    <comment ref="AD167" authorId="0">
      <text>
        <r>
          <rPr>
            <b/>
            <sz val="9"/>
            <color indexed="81"/>
            <rFont val="Tahoma"/>
            <family val="2"/>
          </rPr>
          <t>Pago con fuente Nación</t>
        </r>
      </text>
    </comment>
    <comment ref="AD168" authorId="0">
      <text>
        <r>
          <rPr>
            <b/>
            <sz val="9"/>
            <color indexed="81"/>
            <rFont val="Tahoma"/>
            <family val="2"/>
          </rPr>
          <t>Pago con fuente Departamento</t>
        </r>
      </text>
    </comment>
    <comment ref="AD169" authorId="0">
      <text>
        <r>
          <rPr>
            <b/>
            <sz val="9"/>
            <color indexed="81"/>
            <rFont val="Tahoma"/>
            <family val="2"/>
          </rPr>
          <t>Pago fuente Nación</t>
        </r>
      </text>
    </comment>
    <comment ref="AD170" authorId="0">
      <text>
        <r>
          <rPr>
            <b/>
            <sz val="9"/>
            <color indexed="81"/>
            <rFont val="Tahoma"/>
            <family val="2"/>
          </rPr>
          <t>Pago fuente departamento</t>
        </r>
      </text>
    </comment>
    <comment ref="AD171" authorId="0">
      <text>
        <r>
          <rPr>
            <b/>
            <sz val="9"/>
            <color indexed="81"/>
            <rFont val="Tahoma"/>
            <family val="2"/>
          </rPr>
          <t>Pago con fuente Nación</t>
        </r>
      </text>
    </comment>
    <comment ref="AD172" authorId="0">
      <text>
        <r>
          <rPr>
            <b/>
            <sz val="9"/>
            <color indexed="81"/>
            <rFont val="Tahoma"/>
            <family val="2"/>
          </rPr>
          <t>Pago con fuente departamento</t>
        </r>
      </text>
    </comment>
    <comment ref="AD173" authorId="0">
      <text>
        <r>
          <rPr>
            <b/>
            <sz val="9"/>
            <color indexed="81"/>
            <rFont val="Tahoma"/>
            <family val="2"/>
          </rPr>
          <t>Pago fuente Nación</t>
        </r>
      </text>
    </comment>
    <comment ref="AD174" authorId="0">
      <text>
        <r>
          <rPr>
            <b/>
            <sz val="9"/>
            <color indexed="81"/>
            <rFont val="Tahoma"/>
            <family val="2"/>
          </rPr>
          <t>Pago fuente departamento</t>
        </r>
      </text>
    </comment>
    <comment ref="AD175" authorId="0">
      <text>
        <r>
          <rPr>
            <b/>
            <sz val="9"/>
            <color indexed="81"/>
            <rFont val="Tahoma"/>
            <family val="2"/>
          </rPr>
          <t>Pago fuente Nación</t>
        </r>
      </text>
    </comment>
    <comment ref="AD176" authorId="0">
      <text>
        <r>
          <rPr>
            <b/>
            <sz val="9"/>
            <color indexed="81"/>
            <rFont val="Tahoma"/>
            <family val="2"/>
          </rPr>
          <t>Pago fuente departamento</t>
        </r>
      </text>
    </comment>
    <comment ref="AD177" authorId="0">
      <text>
        <r>
          <rPr>
            <b/>
            <sz val="9"/>
            <color indexed="81"/>
            <rFont val="Tahoma"/>
            <family val="2"/>
          </rPr>
          <t>Pago con fuente Nación</t>
        </r>
      </text>
    </comment>
    <comment ref="AD178" authorId="0">
      <text>
        <r>
          <rPr>
            <b/>
            <sz val="9"/>
            <color indexed="81"/>
            <rFont val="Tahoma"/>
            <family val="2"/>
          </rPr>
          <t>Pago con fuente departamento</t>
        </r>
      </text>
    </comment>
    <comment ref="AD179" authorId="0">
      <text>
        <r>
          <rPr>
            <b/>
            <sz val="9"/>
            <color indexed="81"/>
            <rFont val="Tahoma"/>
            <family val="2"/>
          </rPr>
          <t>Pago con fuente Nación</t>
        </r>
      </text>
    </comment>
    <comment ref="AD180" authorId="0">
      <text>
        <r>
          <rPr>
            <b/>
            <sz val="9"/>
            <color indexed="81"/>
            <rFont val="Tahoma"/>
            <family val="2"/>
          </rPr>
          <t>Pago con fuente Departamento</t>
        </r>
      </text>
    </comment>
    <comment ref="AD181" authorId="0">
      <text>
        <r>
          <rPr>
            <b/>
            <sz val="9"/>
            <color indexed="81"/>
            <rFont val="Tahoma"/>
            <family val="2"/>
          </rPr>
          <t>Pago con fuente Nación</t>
        </r>
      </text>
    </comment>
    <comment ref="AD182" authorId="0">
      <text>
        <r>
          <rPr>
            <b/>
            <sz val="9"/>
            <color indexed="81"/>
            <rFont val="Tahoma"/>
            <family val="2"/>
          </rPr>
          <t>Pago con fuente Departamento</t>
        </r>
      </text>
    </comment>
    <comment ref="AD183" authorId="0">
      <text>
        <r>
          <rPr>
            <b/>
            <sz val="9"/>
            <color indexed="81"/>
            <rFont val="Tahoma"/>
            <family val="2"/>
          </rPr>
          <t>Pago fuente Nación</t>
        </r>
      </text>
    </comment>
    <comment ref="AD184" authorId="0">
      <text>
        <r>
          <rPr>
            <b/>
            <sz val="9"/>
            <color indexed="81"/>
            <rFont val="Tahoma"/>
            <family val="2"/>
          </rPr>
          <t>Pago con fuente departamento</t>
        </r>
      </text>
    </comment>
    <comment ref="AD185" authorId="0">
      <text>
        <r>
          <rPr>
            <b/>
            <sz val="9"/>
            <color indexed="81"/>
            <rFont val="Tahoma"/>
            <family val="2"/>
          </rPr>
          <t>Pago fuente Nación</t>
        </r>
      </text>
    </comment>
    <comment ref="AD186" authorId="0">
      <text>
        <r>
          <rPr>
            <b/>
            <sz val="9"/>
            <color indexed="81"/>
            <rFont val="Tahoma"/>
            <family val="2"/>
          </rPr>
          <t>Pago fuente departamento</t>
        </r>
      </text>
    </comment>
    <comment ref="AD187" authorId="0">
      <text>
        <r>
          <rPr>
            <b/>
            <sz val="9"/>
            <color indexed="81"/>
            <rFont val="Tahoma"/>
            <family val="2"/>
          </rPr>
          <t>Pago con fuente Nación</t>
        </r>
      </text>
    </comment>
    <comment ref="AD188" authorId="0">
      <text>
        <r>
          <rPr>
            <b/>
            <sz val="9"/>
            <color indexed="81"/>
            <rFont val="Tahoma"/>
            <family val="2"/>
          </rPr>
          <t>Pago con fuente Departamento</t>
        </r>
      </text>
    </comment>
    <comment ref="AD189" authorId="0">
      <text>
        <r>
          <rPr>
            <b/>
            <sz val="9"/>
            <color indexed="81"/>
            <rFont val="Tahoma"/>
            <family val="2"/>
          </rPr>
          <t>Pago con fuente Nación</t>
        </r>
      </text>
    </comment>
    <comment ref="AD190" authorId="0">
      <text>
        <r>
          <rPr>
            <b/>
            <sz val="9"/>
            <color indexed="81"/>
            <rFont val="Tahoma"/>
            <family val="2"/>
          </rPr>
          <t>Pago con fuente Departamento</t>
        </r>
      </text>
    </comment>
    <comment ref="AD191" authorId="0">
      <text>
        <r>
          <rPr>
            <b/>
            <sz val="9"/>
            <color indexed="81"/>
            <rFont val="Tahoma"/>
            <family val="2"/>
          </rPr>
          <t>Pago con fuente Nación</t>
        </r>
      </text>
    </comment>
    <comment ref="AD193" authorId="0">
      <text>
        <r>
          <rPr>
            <b/>
            <sz val="9"/>
            <color indexed="81"/>
            <rFont val="Tahoma"/>
            <family val="2"/>
          </rPr>
          <t>Pago con fuente departamento</t>
        </r>
      </text>
    </comment>
    <comment ref="AD195" authorId="0">
      <text>
        <r>
          <rPr>
            <b/>
            <sz val="9"/>
            <color indexed="81"/>
            <rFont val="Tahoma"/>
            <family val="2"/>
          </rPr>
          <t>Pago por fuente departamento</t>
        </r>
      </text>
    </comment>
    <comment ref="AD197" authorId="0">
      <text>
        <r>
          <rPr>
            <b/>
            <sz val="9"/>
            <color indexed="81"/>
            <rFont val="Tahoma"/>
            <family val="2"/>
          </rPr>
          <t>Pago con fuente departamento</t>
        </r>
      </text>
    </comment>
    <comment ref="AB350" authorId="0">
      <text>
        <r>
          <rPr>
            <b/>
            <sz val="9"/>
            <color indexed="81"/>
            <rFont val="Tahoma"/>
            <family val="2"/>
          </rPr>
          <t>Resultado: Valor del acta - amortización de anticipo - valor del 10% del contrato, al que el contratista renuncia</t>
        </r>
      </text>
    </comment>
    <comment ref="AD384" authorId="0">
      <text>
        <r>
          <rPr>
            <b/>
            <sz val="9"/>
            <color indexed="81"/>
            <rFont val="Tahoma"/>
            <family val="2"/>
          </rPr>
          <t xml:space="preserve">CONCEPTO DE PAGO: </t>
        </r>
        <r>
          <rPr>
            <sz val="9"/>
            <color indexed="81"/>
            <rFont val="Tahoma"/>
            <family val="2"/>
          </rPr>
          <t>FRA 2. NACION. CONTRATO DE INTERVENTORIA #69/2010. ELABORACIÓN DEL DISEÑO OPTIMIZACION SISTEMA DE AC</t>
        </r>
      </text>
    </comment>
    <comment ref="AD481" authorId="0">
      <text>
        <r>
          <rPr>
            <b/>
            <sz val="9"/>
            <color indexed="81"/>
            <rFont val="Tahoma"/>
            <family val="2"/>
          </rPr>
          <t xml:space="preserve">CONCEPTO EN EL PAGO: </t>
        </r>
        <r>
          <rPr>
            <sz val="9"/>
            <color indexed="81"/>
            <rFont val="Tahoma"/>
            <family val="2"/>
          </rPr>
          <t>FACT 02 PAGO ACTA PARCIAL NO. 1 CONTRATO ADICIONAL DEL CONTRATO NO. 87 DEL DISEÑO ACUEDUCTO INTERVER</t>
        </r>
      </text>
    </comment>
    <comment ref="AD482" authorId="0">
      <text>
        <r>
          <rPr>
            <b/>
            <sz val="9"/>
            <color indexed="81"/>
            <rFont val="Tahoma"/>
            <family val="2"/>
          </rPr>
          <t xml:space="preserve">CONCEPTO DE PAGO: </t>
        </r>
        <r>
          <rPr>
            <sz val="9"/>
            <color indexed="81"/>
            <rFont val="Tahoma"/>
            <family val="2"/>
          </rPr>
          <t>FACT A 6 PAGO ACTA N°4 CONT 87 ESTUDIOS Y DISEÑOS PARA LA CONSTRUCCION ACUEDUCTO ZONA CAMPESINA DE S</t>
        </r>
      </text>
    </comment>
    <comment ref="W539" authorId="0">
      <text>
        <r>
          <rPr>
            <sz val="9"/>
            <color indexed="81"/>
            <rFont val="Tahoma"/>
            <family val="2"/>
          </rPr>
          <t xml:space="preserve">SE AJUSTO EL VALOR DEL CONTRATO MEDIANTE OTROSI DE28 DE SEP DE 2010. (CONTRATO NO CAUSA IVA)
</t>
        </r>
      </text>
    </comment>
    <comment ref="AB540" authorId="0">
      <text>
        <r>
          <rPr>
            <sz val="9"/>
            <color indexed="81"/>
            <rFont val="Tahoma"/>
            <family val="2"/>
          </rPr>
          <t xml:space="preserve">NO SE SABE POR CUAL CDR SE PAGO ESTO
</t>
        </r>
      </text>
    </comment>
    <comment ref="AD540" authorId="0">
      <text>
        <r>
          <rPr>
            <b/>
            <sz val="9"/>
            <color indexed="81"/>
            <rFont val="Tahoma"/>
            <family val="2"/>
          </rPr>
          <t xml:space="preserve">SEGÚN ORDEN DE PAGO, ES FUENTE DEPTO
</t>
        </r>
        <r>
          <rPr>
            <sz val="9"/>
            <color indexed="81"/>
            <rFont val="Tahoma"/>
            <family val="2"/>
          </rPr>
          <t xml:space="preserve">
</t>
        </r>
      </text>
    </comment>
    <comment ref="AD544" authorId="0">
      <text>
        <r>
          <rPr>
            <sz val="9"/>
            <color indexed="81"/>
            <rFont val="Tahoma"/>
            <family val="2"/>
          </rPr>
          <t xml:space="preserve">SEGÚN O.P ES FUENTE NACION
</t>
        </r>
      </text>
    </comment>
    <comment ref="AD592" authorId="0">
      <text>
        <r>
          <rPr>
            <b/>
            <sz val="9"/>
            <color indexed="81"/>
            <rFont val="Tahoma"/>
            <family val="2"/>
          </rPr>
          <t xml:space="preserve">Concepto de pago: </t>
        </r>
        <r>
          <rPr>
            <sz val="9"/>
            <color indexed="81"/>
            <rFont val="Tahoma"/>
            <family val="2"/>
          </rPr>
          <t>FACT A-4 PAGO ACTA PARCIAL 4 CONTRATO DE CONSUTORIA</t>
        </r>
      </text>
    </comment>
    <comment ref="V654" authorId="0">
      <text>
        <r>
          <rPr>
            <b/>
            <sz val="9"/>
            <color indexed="81"/>
            <rFont val="Tahoma"/>
            <family val="2"/>
          </rPr>
          <t xml:space="preserve">se ajusto el valor del contrato, otrosi 003 de 2011
</t>
        </r>
        <r>
          <rPr>
            <sz val="9"/>
            <color indexed="81"/>
            <rFont val="Tahoma"/>
            <family val="2"/>
          </rPr>
          <t xml:space="preserve">
</t>
        </r>
      </text>
    </comment>
    <comment ref="AD818" authorId="0">
      <text>
        <r>
          <rPr>
            <b/>
            <sz val="9"/>
            <color indexed="81"/>
            <rFont val="Tahoma"/>
            <family val="2"/>
          </rPr>
          <t>Concepto de pago del CDR 174:  ANT 40%. CONTRATO DE CONSULTORÍA #076 DE 2011. ELABORACIÓN DEL DISEÑO DE OPTIMIZACIÓN DEL SISTEMA DE</t>
        </r>
      </text>
    </comment>
    <comment ref="AD819" authorId="0">
      <text>
        <r>
          <rPr>
            <b/>
            <sz val="9"/>
            <color indexed="81"/>
            <rFont val="Tahoma"/>
            <family val="2"/>
          </rPr>
          <t>ANTICIPO 40%. CONTRATO DE CONSULTORÍA #077 DE 2011. ELABORACIÓN DEL DISEÑO DE OPTIMIZACIÓN DEL SISTE</t>
        </r>
      </text>
    </comment>
    <comment ref="AD822" authorId="0">
      <text>
        <r>
          <rPr>
            <b/>
            <sz val="9"/>
            <color indexed="81"/>
            <rFont val="Tahoma"/>
            <family val="2"/>
          </rPr>
          <t>Concepto de pago del CDR 174: ANTICIPO 40%. CONTRATO DE CONSULTORÍA #078 DE 2011. ELABORACIÓN ESTUDIOS Y DISEÑOS ACUEDUCTO PUERTO</t>
        </r>
      </text>
    </comment>
    <comment ref="AD823" authorId="0">
      <text>
        <r>
          <rPr>
            <b/>
            <sz val="9"/>
            <color indexed="81"/>
            <rFont val="Tahoma"/>
            <family val="2"/>
          </rPr>
          <t>Concepto de pago de CDR 174: FACT 21 PAGO PARCIAL CONTRAO DE SERIVCIOS</t>
        </r>
      </text>
    </comment>
    <comment ref="AD827" authorId="0">
      <text>
        <r>
          <rPr>
            <b/>
            <sz val="9"/>
            <color indexed="81"/>
            <rFont val="Tahoma"/>
            <family val="2"/>
          </rPr>
          <t>CONCEPTO DE PAGO DE CDR 174: ANTICIPO 40%. CCOBRO. CONTRATO DE CONSULTORÍA #080 DE 2011. ELABOARACIÓN DE ESTUDIOS Y DISEÑOS SISTE</t>
        </r>
      </text>
    </comment>
    <comment ref="AD828" authorId="0">
      <text>
        <r>
          <rPr>
            <b/>
            <sz val="9"/>
            <color indexed="81"/>
            <rFont val="Tahoma"/>
            <family val="2"/>
          </rPr>
          <t>CONCEPTO DE PAGO DEL CDR 174: FACTURA #090. PAGO #1. CONTRATO DE CONSULTORÍA #080 DE 2011. ELABOARACIÓN D</t>
        </r>
      </text>
    </comment>
    <comment ref="AD832" authorId="0">
      <text>
        <r>
          <rPr>
            <b/>
            <sz val="9"/>
            <color indexed="81"/>
            <rFont val="Tahoma"/>
            <family val="2"/>
          </rPr>
          <t>Concepto de pago del CDR 174: ANTICIPO 40%. CCO. CONTRATO DE CONSULTORÍA #081 DE 2011. ELABOARACIÓN DE ESTUDIOS Y DISEÑOS SISTEMA</t>
        </r>
      </text>
    </comment>
    <comment ref="AD833" authorId="0">
      <text>
        <r>
          <rPr>
            <b/>
            <sz val="9"/>
            <color indexed="81"/>
            <rFont val="Tahoma"/>
            <family val="2"/>
          </rPr>
          <t>Concepto de pago del CDR 174: FACTURA #091. PAGO #1. CONTRATO DE CONSULTORÍA #081 DE 2011. ELABOARACIÓN D</t>
        </r>
      </text>
    </comment>
    <comment ref="AD834" authorId="0">
      <text>
        <r>
          <rPr>
            <b/>
            <sz val="9"/>
            <color indexed="81"/>
            <rFont val="Tahoma"/>
            <family val="2"/>
          </rPr>
          <t xml:space="preserve">Concepto de pago del CDR 174: </t>
        </r>
        <r>
          <rPr>
            <sz val="9"/>
            <color indexed="81"/>
            <rFont val="Tahoma"/>
            <family val="2"/>
          </rPr>
          <t>FRA 109 PAGO ARCIAL DE INTERVNTORIA</t>
        </r>
      </text>
    </comment>
    <comment ref="AD836" authorId="0">
      <text>
        <r>
          <rPr>
            <b/>
            <sz val="9"/>
            <color indexed="81"/>
            <rFont val="Tahoma"/>
            <family val="2"/>
          </rPr>
          <t>Concepto de pago del CDR 174: ANTICIPO 40%. CUENTA COBRO. CONTRATO DE CONSULTORIA #082/2011. ELABORACIÓN DE ESTUDIOS Y DISEÑOS OPT</t>
        </r>
      </text>
    </comment>
    <comment ref="AD837" authorId="0">
      <text>
        <r>
          <rPr>
            <b/>
            <sz val="9"/>
            <color indexed="81"/>
            <rFont val="Tahoma"/>
            <family val="2"/>
          </rPr>
          <t>Pago de concepto de CDR 174: FV 001 PAGO ACTA PARCIAL CNTRATO DE CONSLTORIA</t>
        </r>
      </text>
    </comment>
    <comment ref="AD838" authorId="0">
      <text>
        <r>
          <rPr>
            <b/>
            <sz val="9"/>
            <color indexed="81"/>
            <rFont val="Tahoma"/>
            <family val="2"/>
          </rPr>
          <t>Concepto de pago del CDR 174: FACT 04 PAGO ACTA N0.2 DEL CONTRATO DE CONSULTORIA N0.82 DE 2011</t>
        </r>
      </text>
    </comment>
    <comment ref="AD840" authorId="0">
      <text>
        <r>
          <rPr>
            <b/>
            <sz val="9"/>
            <color indexed="81"/>
            <rFont val="Tahoma"/>
            <family val="2"/>
          </rPr>
          <t>Concepto de pago del CDR 174: ANTICIPO 40%. CONTRATO DE CONSULTORÍA #083 DE 2011. ELABORACIÓN ESTUDIOS Y DISEÑOS SISTEMA DE ALCANT</t>
        </r>
      </text>
    </comment>
    <comment ref="AD841" authorId="0">
      <text>
        <r>
          <rPr>
            <b/>
            <sz val="9"/>
            <color indexed="81"/>
            <rFont val="Tahoma"/>
            <family val="2"/>
          </rPr>
          <t>Concepto de pago del CDR 174: FACT 0011 PAGO ACTA 01 CONTRATO 83/2011, ELABORACION ESTUDIOS Y DISEÑOS DE ALCANTARILLADO MPIO ROSAS</t>
        </r>
      </text>
    </comment>
    <comment ref="AD843" authorId="0">
      <text>
        <r>
          <rPr>
            <b/>
            <sz val="9"/>
            <color indexed="81"/>
            <rFont val="Tahoma"/>
            <family val="2"/>
          </rPr>
          <t>Concepto de pago del CDR 174: ANTICIPO 40%. CONTRATO DE CONSULTORIA #84/2011. ELABORACIÓN DE ESTUDIOS Y DISEÑOS OPTIMIZACIÓN SISTE</t>
        </r>
      </text>
    </comment>
    <comment ref="AD844" authorId="0">
      <text>
        <r>
          <rPr>
            <b/>
            <sz val="9"/>
            <color indexed="81"/>
            <rFont val="Tahoma"/>
            <family val="2"/>
          </rPr>
          <t>Concepto de pago del CDR 174: FRA 01 PAGO PARCIAL CONTRTAO DE SERVICIOS</t>
        </r>
      </text>
    </comment>
    <comment ref="AD846" authorId="0">
      <text>
        <r>
          <rPr>
            <b/>
            <sz val="9"/>
            <color indexed="81"/>
            <rFont val="Tahoma"/>
            <family val="2"/>
          </rPr>
          <t>Pago concepto de CDR 174: ANTICIPO 40%. CONTRATO DE CONSULTORÍA #085 DE 2011. ELABOARACIÓN DE ESTUDIOS Y DISEÑOS SISTEMA DE AC</t>
        </r>
      </text>
    </comment>
    <comment ref="D880" authorId="0">
      <text>
        <r>
          <rPr>
            <b/>
            <sz val="9"/>
            <color indexed="81"/>
            <rFont val="Tahoma"/>
            <family val="2"/>
          </rPr>
          <t>CONTRATO CEDIDO DE DIEGO REYNEL HURTADO ASTAIZA</t>
        </r>
        <r>
          <rPr>
            <sz val="9"/>
            <color indexed="81"/>
            <rFont val="Tahoma"/>
            <family val="2"/>
          </rPr>
          <t xml:space="preserve">
</t>
        </r>
      </text>
    </comment>
  </commentList>
</comments>
</file>

<file path=xl/sharedStrings.xml><?xml version="1.0" encoding="utf-8"?>
<sst xmlns="http://schemas.openxmlformats.org/spreadsheetml/2006/main" count="21083" uniqueCount="2909">
  <si>
    <t>Numero de contrato</t>
  </si>
  <si>
    <t>Municipio</t>
  </si>
  <si>
    <t>Objeto del contrato</t>
  </si>
  <si>
    <t>NIT</t>
  </si>
  <si>
    <t>Estado de contrato</t>
  </si>
  <si>
    <t>Padilla</t>
  </si>
  <si>
    <t>Consorcio Cauca Saneamiento Ambiental</t>
  </si>
  <si>
    <t>Nación</t>
  </si>
  <si>
    <t>Almaguer</t>
  </si>
  <si>
    <t>Argelia</t>
  </si>
  <si>
    <t>Balboa</t>
  </si>
  <si>
    <t>Bolívar</t>
  </si>
  <si>
    <t>Buenos Aires</t>
  </si>
  <si>
    <t>Cajibío</t>
  </si>
  <si>
    <t>Caldono</t>
  </si>
  <si>
    <t>Caloto</t>
  </si>
  <si>
    <t>Corinto</t>
  </si>
  <si>
    <t>Florencia</t>
  </si>
  <si>
    <t>Guachené</t>
  </si>
  <si>
    <t>Inzá</t>
  </si>
  <si>
    <t>Jambaló</t>
  </si>
  <si>
    <t>La sierra</t>
  </si>
  <si>
    <t>La Vega</t>
  </si>
  <si>
    <t>López de Micay</t>
  </si>
  <si>
    <t>Mercaderes</t>
  </si>
  <si>
    <t>Miranda</t>
  </si>
  <si>
    <t>Morales</t>
  </si>
  <si>
    <t>Villa Rica</t>
  </si>
  <si>
    <t>Piamonte</t>
  </si>
  <si>
    <t>Piendamó</t>
  </si>
  <si>
    <t>Puerto Tejada</t>
  </si>
  <si>
    <t>Puracé</t>
  </si>
  <si>
    <t>Páez</t>
  </si>
  <si>
    <t>Rosas</t>
  </si>
  <si>
    <t>San Sebastián</t>
  </si>
  <si>
    <t>Santa Rosa</t>
  </si>
  <si>
    <t>Santander de Quilichao</t>
  </si>
  <si>
    <t xml:space="preserve">Silvia </t>
  </si>
  <si>
    <t>Sucre</t>
  </si>
  <si>
    <t>Suaréz</t>
  </si>
  <si>
    <t>Timbiquí</t>
  </si>
  <si>
    <t>Timbío</t>
  </si>
  <si>
    <t>Toribío</t>
  </si>
  <si>
    <t>Totoró</t>
  </si>
  <si>
    <t>Guapi</t>
  </si>
  <si>
    <t>Patía</t>
  </si>
  <si>
    <t>Popayán</t>
  </si>
  <si>
    <t>Sotará</t>
  </si>
  <si>
    <t>En ejecución</t>
  </si>
  <si>
    <t>Suspendido</t>
  </si>
  <si>
    <t>Terminado sin liquidar</t>
  </si>
  <si>
    <t>El tambo</t>
  </si>
  <si>
    <t>Fecha de contrato</t>
  </si>
  <si>
    <t>Digito de verificación</t>
  </si>
  <si>
    <t>Fuente CDR</t>
  </si>
  <si>
    <t xml:space="preserve">Valor Final de contrato </t>
  </si>
  <si>
    <t>DATOS GENERALES DEL CONTRATO</t>
  </si>
  <si>
    <t>CERTIFICADO DE DISPONIBILIDAD DE RECURSOS</t>
  </si>
  <si>
    <t>Nombre Contratista</t>
  </si>
  <si>
    <t>Valor total de CDR</t>
  </si>
  <si>
    <t>Valor de CDR por fuente</t>
  </si>
  <si>
    <t>Condiciones de pago pactadas</t>
  </si>
  <si>
    <t>Anticipo del 40% del valor inicial del contrato por $93.932.500  y dos pagos del 30% cada uno</t>
  </si>
  <si>
    <t>CONDICIONES DEL CONTRATO</t>
  </si>
  <si>
    <t>Municipio de ejecución del Contrato</t>
  </si>
  <si>
    <t>Tipo de gasto</t>
  </si>
  <si>
    <t>Inicial</t>
  </si>
  <si>
    <t>Adicional 01</t>
  </si>
  <si>
    <t>Estado Actual del Contrato</t>
  </si>
  <si>
    <t>Estructura Operativa</t>
  </si>
  <si>
    <t>Interventoría</t>
  </si>
  <si>
    <t>Inversión</t>
  </si>
  <si>
    <t>Pre-inversión</t>
  </si>
  <si>
    <t>ANT 40%. CONTRATO DE CONSULTORÍA #076 DE 2011. ELABORACIÓN DEL DISEÑO DE OPTIMIZACIÓN DEL SISTEMA DE</t>
  </si>
  <si>
    <t>PA FIA - RECURSOS DE LA NACION</t>
  </si>
  <si>
    <t>FACT 0010 PAGO ACTA 1 DEL CONT 77 CONCEPTO ELABORACION DEL DISEÑO DE OPTIMIZACION SESTEMA DE ACUEDUC</t>
  </si>
  <si>
    <t>ANTICIPO 40%. CONTRATO DE CONSULTORÍA #077 DE 2011. ELABORACIÓN DEL DISEÑO DE OPTIMIZACIÓN DEL SISTE</t>
  </si>
  <si>
    <t>FACT 21 PAGO PARCIAL CONTRAO DE SERIVCIOS</t>
  </si>
  <si>
    <t>FRA 01 PAGO PARCIAL CONTRTAO DE SERVICIOS</t>
  </si>
  <si>
    <t>ANTICIPO 40%. CONTRATO DE CONSULTORÍA #078 DE 2011. ELABORACIÓN ESTUDIOS Y DISEÑOS ACUEDUCTO PUERTO</t>
  </si>
  <si>
    <t>FACT 02 PAGO ACTA PARCIAL NO. 1 CONTRATO ADICIONAL DEL CONTRATO NO. 87 DEL DISEÑO ACUEDUCTO INTERVER</t>
  </si>
  <si>
    <t>FV 002 PAGO ACTA NUMERO 01 CONTRAO DE CONSULTORIA N 79</t>
  </si>
  <si>
    <t>ANTICIPO 40%. CONTRATO DE CONSULTORIA #84/2011. ELABORACIÓN DE ESTUDIOS Y DISEÑOS OPTIMIZACIÓN SISTE</t>
  </si>
  <si>
    <t>ANTICIPO 40%. CONTRATO DE CONSULTORIA #79/2011. ELABORACIÓN ESTUDIOS Y DISEÑOS OPTIMIZACIÓN SISTEMA</t>
  </si>
  <si>
    <t>ANTICIPO 40%. CUENTA COBRO. CONTRATO DE CONSULTORIA #082/2011. ELABORACIÓN DE ESTUDIOS Y DISEÑOS OPT</t>
  </si>
  <si>
    <t>PAGO ACTA 1 ADICIONAL ELABORACION DEL DISEÑO OPTIMIZACION SISTEMA DE ACUEDUCTO DEL CORREGIMIENTO D</t>
  </si>
  <si>
    <t>FV 001 PAGO ACTA PARCIAL CNTRATO DE CONSLTORIA</t>
  </si>
  <si>
    <t>ANTICIPO 40%. CONTRATO DE CONSULTORÍA #083 DE 2011. ELABORACIÓN ESTUDIOS Y DISEÑOS SISTEMA DE ALCANT</t>
  </si>
  <si>
    <t>ANTICIPO 40%. CCOBRO. CONTRATO DE CONSULTORÍA #080 DE 2011. ELABOARACIÓN DE ESTUDIOS Y DISEÑOS SISTE</t>
  </si>
  <si>
    <t>FACT 0100. PAGO ACTA No2 DEL CONT # 80 DEL 2011 Y ADICION CONCEPTO ELABORACION ESTUDIOS Y DISEÑOS SI</t>
  </si>
  <si>
    <t>FACT #5. PAGO #1. CONTRATO DE CONSULTORIA #067/2010. ELABORACIÓN DISEÑO ACUEDUCTO INTERVEREDAL CARG</t>
  </si>
  <si>
    <t>FACTURA #090. PAGO #1. CONTRATO DE CONSULTORÍA #080 DE 2011. ELABOARACIÓN D</t>
  </si>
  <si>
    <t>FACT A-4 PAGO ACTA PARCIAL 4 CONTRATO DE CONSUTORIA</t>
  </si>
  <si>
    <t>ANTICIPO 40%. CCO. CONTRATO DE CONSULTORÍA #081 DE 2011. ELABOARACIÓN DE ESTUDIOS Y DISEÑOS SISTEMA</t>
  </si>
  <si>
    <t>ANTICIPO 40%. CONTRATO DE CONSULTORÍA #085 DE 2011. ELABOARACIÓN DE ESTUDIOS Y DISEÑOS SISTEMA DE AC</t>
  </si>
  <si>
    <t>FACTURA #091. PAGO #1. CONTRATO DE CONSULTORÍA #081 DE 2011. ELABOARACIÓN D</t>
  </si>
  <si>
    <t>FACT 04 PAGO ACTA N0.2 DEL CONTRATO DE CONSULTORIA N0.82 DE 2011</t>
  </si>
  <si>
    <t>FRA 109 PAGO ARCIAL DE INTERVNTORIA</t>
  </si>
  <si>
    <t>FACT V 21 CTO 05 2010</t>
  </si>
  <si>
    <t>FRA 2. NACION. CONTRATO DE INTERVENTORIA #69/2010. ELABORACIÓN DEL DISEÑO OPTIMIZACION SISTEMA DE AC</t>
  </si>
  <si>
    <t>FACT 14 - TIMBIQUI POR CONCEPTO DE CONTRATO N0. 032 DE 2012 DE INTERVENTORIA</t>
  </si>
  <si>
    <t>FACT 3 PAGO ACTA N0.02 DEL CONTRATO DE CONSULTORIA N0. 79 DE 2011</t>
  </si>
  <si>
    <t>FACT A 6 PAGO ACTA N°4 CONT 87 ESTUDIOS Y DISEÑOS PARA LA CONSTRUCCION ACUEDUCTO ZONA CAMPESINA DE S</t>
  </si>
  <si>
    <t>MPIO TIMBIQUI FRA 17 PAGO PARCIAL CONTRATRO 32 DE INTERVENTORIA</t>
  </si>
  <si>
    <t>FACT 11 - OP 69 PAG No2 CONTRATO DE CONSULTORIA #32 DE 2012. INTERVENTORIA</t>
  </si>
  <si>
    <t>FACT 11 - OP 68 PAG No2 CONTRATO DE CONSULTORIA #32 DE 2012. INTERVENTORIA</t>
  </si>
  <si>
    <t>DOC EQUIVALENTE 01 ACTA PARCIAL N 1 Y FINAL ADICIONAL DEL CONTRATO 54 DE 2010</t>
  </si>
  <si>
    <t>FACTURA #009. PAGO #001. CONTRATO DE CONSULTORIA #32 DE 2012. INTERVENTORIA</t>
  </si>
  <si>
    <t>SALDO PAGO PARCIAL CONTRATO A PRESTACIUON DE SERVIVCIOS</t>
  </si>
  <si>
    <t>FACT 28</t>
  </si>
  <si>
    <t>FACT 13 - LA SIERRA PAGO PARCIAL CONTRATO DE INTERVENTORIA</t>
  </si>
  <si>
    <t>AG No2 CONTRATO DE CONSULTORIA #32 DE 2012. INTERVENTORIA</t>
  </si>
  <si>
    <t>DOC EQUIV N.2. CONTRATO INTERV.#44 DE 2010. INTERVENTORIA DISEÑO OPTIMIZACIÓN ACUEDUCTO CORREGIMIENT</t>
  </si>
  <si>
    <t>MPIO ROSAS FRA 17 PAGO PACIAL DE CONTRATO DE INTERVENTORIA</t>
  </si>
  <si>
    <t>FACT 13 - CAJIBIO PAGO PARCIAL CONTRATIO DE INTERVENTOIRIA</t>
  </si>
  <si>
    <t>PAGO PARCIAL 1 FRA 01. PAGO ACTA PARCIAL # 1 DEL CONTRATO DE INTERVENTORIA # 048-2010</t>
  </si>
  <si>
    <t>FACT 13 - ROSAS PAGO PARCIAL CONTRATO DE INTERVENTORIA</t>
  </si>
  <si>
    <t>FACT 11 - OP 73 PAG No2 CONTRATO DE CONSULTORIA #32 DE 2012. INTERVENTORIA</t>
  </si>
  <si>
    <t>MPIO LA SIERRA FRA 17 PAGOPARCIAL CONTRATOP DE INTERVENTORIA</t>
  </si>
  <si>
    <t>FACT 11 - OP 70 PAG No2 CONTRATO DE CONSULTORIA #32 DE 2012. INTERVENTORIA</t>
  </si>
  <si>
    <t>FACT V 22 CTO 05 2010</t>
  </si>
  <si>
    <t>FACT 11 - OP 71 PAG No2 CONTRATO DE CONSULTORIA #32 DE 2012. INTERVENTORIA</t>
  </si>
  <si>
    <t>MPIO PURACE FRA 17 PAGO DE INTERVENTORIA</t>
  </si>
  <si>
    <t>FACT 11 - OP 72 PAG No2 CONTRATO DE CONSULTORIA #32 DE 2012. INTERVENTORIA</t>
  </si>
  <si>
    <t>MPIO TORIBIO FRA 17 PAGO PARCIAL CONTRATO DE INTERVENTORIA</t>
  </si>
  <si>
    <t>FACT 13 - TORIBIO PAGO PARCIAL CONTRATO DE INTERVENTORIA</t>
  </si>
  <si>
    <t>Inicial / Adicional</t>
  </si>
  <si>
    <t>Fuente de CDR</t>
  </si>
  <si>
    <t>Almaguer - SGP</t>
  </si>
  <si>
    <t>Argelia - SGP</t>
  </si>
  <si>
    <t>Balboa - SGP</t>
  </si>
  <si>
    <t>Bolívar - SGP</t>
  </si>
  <si>
    <t>Buenos Aires - SGP</t>
  </si>
  <si>
    <t>Cajibío - SGP</t>
  </si>
  <si>
    <t>Caldono - SGP</t>
  </si>
  <si>
    <t>Caloto - SGP</t>
  </si>
  <si>
    <t>Corinto - SGP</t>
  </si>
  <si>
    <t>Departamento - SGP</t>
  </si>
  <si>
    <t>El tambo - SGP</t>
  </si>
  <si>
    <t>Florencia - SGP</t>
  </si>
  <si>
    <t>Guachené - SGP</t>
  </si>
  <si>
    <t>Guapi - SGP</t>
  </si>
  <si>
    <t>Inzá - SGP</t>
  </si>
  <si>
    <t>Jambaló - SGP</t>
  </si>
  <si>
    <t>La sierra - SGP</t>
  </si>
  <si>
    <t>La Vega - SGP</t>
  </si>
  <si>
    <t>López de Micay - SGP</t>
  </si>
  <si>
    <t>Mercaderes - SGP</t>
  </si>
  <si>
    <t>Miranda - SGP</t>
  </si>
  <si>
    <t>Morales - SGP</t>
  </si>
  <si>
    <t>Padilla - SGP</t>
  </si>
  <si>
    <t>Páez - SGP</t>
  </si>
  <si>
    <t>Patía - SGP</t>
  </si>
  <si>
    <t>Piamonte - SGP</t>
  </si>
  <si>
    <t>Piendamó - SGP</t>
  </si>
  <si>
    <t>Popayán - SGP</t>
  </si>
  <si>
    <t>Puerto Tejada - SGP</t>
  </si>
  <si>
    <t>Puracé - SGP</t>
  </si>
  <si>
    <t>Rosas - SGP</t>
  </si>
  <si>
    <t>San Sebastián - SGP</t>
  </si>
  <si>
    <t>Santa Rosa - SGP</t>
  </si>
  <si>
    <t>Santander de Quilichao - SGP</t>
  </si>
  <si>
    <t>Silvia - SGP</t>
  </si>
  <si>
    <t>Sotará - SGP</t>
  </si>
  <si>
    <t>Suaréz - SGP</t>
  </si>
  <si>
    <t>Sucre - SGP</t>
  </si>
  <si>
    <t>Timbío - SGP</t>
  </si>
  <si>
    <t>Timbiquí - SGP</t>
  </si>
  <si>
    <t>Toribío - SGP</t>
  </si>
  <si>
    <t>Totoró - SGP</t>
  </si>
  <si>
    <t>Villa Rica - SGP</t>
  </si>
  <si>
    <t>Adicional 02</t>
  </si>
  <si>
    <t>Adicional 03</t>
  </si>
  <si>
    <t>Adicional 04</t>
  </si>
  <si>
    <t>Prestar sus servicios profesionales para elaborar el diseño para la optimización sistema de acueducto de la cabecera municipal de padilla - cauca.</t>
  </si>
  <si>
    <t>Consorcio Valencia</t>
  </si>
  <si>
    <t>Elaboracion diseño alcantarillado corregimiento el Chamizo municipio de Padilla Cauca</t>
  </si>
  <si>
    <t>Consultoria</t>
  </si>
  <si>
    <t>Anticipo del 40% del total del contrato, segundo pago del 30%, tercer pago del 20% y un cuarto pago del 10%</t>
  </si>
  <si>
    <t>Fecha de pago</t>
  </si>
  <si>
    <t>N/A</t>
  </si>
  <si>
    <t>425 A</t>
  </si>
  <si>
    <t>Liquidado sin pagar</t>
  </si>
  <si>
    <t>Liquidado y pagado</t>
  </si>
  <si>
    <t>Soporte de pago</t>
  </si>
  <si>
    <t>Fuente de pago</t>
  </si>
  <si>
    <t>Valor de Pago</t>
  </si>
  <si>
    <t>Fecha de expedición de CDR</t>
  </si>
  <si>
    <t>Incod Limitada</t>
  </si>
  <si>
    <t>Anticipo entregado / Amortización</t>
  </si>
  <si>
    <t>PAGOS ORDENADOS POR EMCASERVICIOS VS FIA</t>
  </si>
  <si>
    <t>Elaboración de los diseños de las obras del sistema de acueducto Regional de Patía - Cauca.</t>
  </si>
  <si>
    <t>Anticipo del 40%, segundo pago del 30% y tercer pago del 30%.</t>
  </si>
  <si>
    <t>Observaciones</t>
  </si>
  <si>
    <t>Dayana Silva</t>
  </si>
  <si>
    <t>Mauricio Giron</t>
  </si>
  <si>
    <t>Actualizado por</t>
  </si>
  <si>
    <t>Consorcio MZ</t>
  </si>
  <si>
    <t>Anticipo del 40%, segundo pago del 30%, tercer pago del 20% y un cuarto del 10%</t>
  </si>
  <si>
    <t>Diseño optimización sistema de alcantarillado cabecera municipal de Patía - Cauca</t>
  </si>
  <si>
    <t>Consultoria - Suspendido</t>
  </si>
  <si>
    <t>Tipo de contrato</t>
  </si>
  <si>
    <t>DATOS PARA CONCILIACIÓN FIA</t>
  </si>
  <si>
    <t>OTROS DATOS</t>
  </si>
  <si>
    <t>Jose Giovanny Tobar</t>
  </si>
  <si>
    <t>Elaboración de los estudios y diseños para la optimización del sistema de acueducto de la cabecera municipal de Mercaderes.</t>
  </si>
  <si>
    <t>Consultoría</t>
  </si>
  <si>
    <t>Ultima actuación según expediente</t>
  </si>
  <si>
    <t>Jose Guillermo Narvaez</t>
  </si>
  <si>
    <t>Elaboración del diseño del plan maestro de alcantarillado del centro poblado de Puerto Rico, municipio de Argelia.</t>
  </si>
  <si>
    <t>Acta n° 1</t>
  </si>
  <si>
    <t>Acta n° 2</t>
  </si>
  <si>
    <t>Acta n° 3</t>
  </si>
  <si>
    <t>Orden de pago 009</t>
  </si>
  <si>
    <t>Acta de liquidación del 27/01/2012</t>
  </si>
  <si>
    <t>Elaboración de los estudios y diseños para la construcción del acueducto interveredal de Asnazu, Municipio de Suarez.</t>
  </si>
  <si>
    <t>Orden de pago</t>
  </si>
  <si>
    <t>Liquidado con pago parcial</t>
  </si>
  <si>
    <t>Acta de pago n° 1 y final del 09/11/2013</t>
  </si>
  <si>
    <t>Acta de suspensión n° 7  del 20/12/2011</t>
  </si>
  <si>
    <t>Acta de liquidación del 23/07/13</t>
  </si>
  <si>
    <t>Elaboración de los estudios y diseños para el plan maestro de alcantarillado del centro poblado del Mango, Municipios de Argelia.</t>
  </si>
  <si>
    <t>Juan Carlos Collazos</t>
  </si>
  <si>
    <t>Orden de pago n° 008</t>
  </si>
  <si>
    <t>Acta de suspensión N° 5 del 19/12/2016</t>
  </si>
  <si>
    <t>Consorcio La Toma</t>
  </si>
  <si>
    <t>Elaboración de los estudios y diseños para el plan maestro de alcantarillado del centro poblado de Asnazu, municipio de Suarez.</t>
  </si>
  <si>
    <t>Orden de pago n° 010</t>
  </si>
  <si>
    <t>Acta n° 01 de 01/07/2011 - Factura de venta n° 003</t>
  </si>
  <si>
    <t>La diferencia de $146 ya se libero en CDR n° 20</t>
  </si>
  <si>
    <t>Acta de liquidación del 24/09/2012</t>
  </si>
  <si>
    <t>Acta n° 02 (final) de 19/09/2012 y orden de pago n° 47</t>
  </si>
  <si>
    <t>004-2010</t>
  </si>
  <si>
    <t>005-2010</t>
  </si>
  <si>
    <t>006-2010</t>
  </si>
  <si>
    <t>009-2010</t>
  </si>
  <si>
    <t>010-2010</t>
  </si>
  <si>
    <t>014-2010</t>
  </si>
  <si>
    <t>015-2010</t>
  </si>
  <si>
    <t>016-2010</t>
  </si>
  <si>
    <t>017-2010</t>
  </si>
  <si>
    <t>018-2010</t>
  </si>
  <si>
    <t>022-2010</t>
  </si>
  <si>
    <t>024-2010</t>
  </si>
  <si>
    <t>Consorcio Sinai</t>
  </si>
  <si>
    <t>Elaboración de los estudios y diseños del plan maestro de alcantarillado del centro poblado el SINAI, municipio de Argelia.</t>
  </si>
  <si>
    <t>Orden de pago 017 y Acta de pago parcial n° 1</t>
  </si>
  <si>
    <t>Orden de pago n° 017</t>
  </si>
  <si>
    <t>Falta por amortizar $7.121.541 del anticipo, ademas según ultimo oficio del tercer tomo el contrato vencio el 23/12/2011 y se perdio competencia el 23/06/2014 - Asi entonces se debe ordenar liberar el valor de $10.692.211</t>
  </si>
  <si>
    <t>Informe oficina Juridica del 22 de septiembre del año 2016</t>
  </si>
  <si>
    <t>Vencido sin liquidar</t>
  </si>
  <si>
    <t>Consorcio C y G Ingeobras</t>
  </si>
  <si>
    <t>Elaboración de los estudios y diseños del acueducto de la vereda Palo Blanco, Municipio de Buenos Aires.</t>
  </si>
  <si>
    <t>Orden de pago n° 004</t>
  </si>
  <si>
    <t>Acta n° 1 del 12/08/ 2011 - Factura de venta n° 002 - Orden de pago n° 004</t>
  </si>
  <si>
    <t>Acta n° 1 adicional  del 05/12/2011 - Factura de venta n° 004</t>
  </si>
  <si>
    <t>Orden de pago n° 125 del 28/10/2013 - Factura de venta n° 009</t>
  </si>
  <si>
    <t>Orden de pago n° 125 del 28/10/2013 - Factura de venta n° 008</t>
  </si>
  <si>
    <t>Acta de liquidación del 15/08/2013</t>
  </si>
  <si>
    <t>025-2010</t>
  </si>
  <si>
    <t>Consorcio G y A</t>
  </si>
  <si>
    <t>Elaboración de los Estudios y diseños para la PTAR del Centro poblado de San Miguel, municipio de La Vega.</t>
  </si>
  <si>
    <t>Orden de pago n° 003 del 05/04/2010</t>
  </si>
  <si>
    <t>Acta n° 1 del 10/12/2010 - Factua de venta n° 001 - Orden de pago 003 del enero de 2011</t>
  </si>
  <si>
    <t>Documentos faltantes</t>
  </si>
  <si>
    <t>023-2010</t>
  </si>
  <si>
    <t>Elaboración de los estudios y diseños del plan maestro de alcantarillado de la cabecera del corregimiento La Belleza, Municipio de Argelia.</t>
  </si>
  <si>
    <t>Falta orden de pago del 40% de anticipo</t>
  </si>
  <si>
    <t>Comprobante de pago n° 164</t>
  </si>
  <si>
    <t>Acta de terminación y recibo a satisfacción contrato de consultoria n° 023-2010 del 15/12/2016</t>
  </si>
  <si>
    <t>035-2010</t>
  </si>
  <si>
    <t>Interventoria administrativa, financiera, tecnica y ambiental a los siguientes proyectos: A) Diseño optimización sistema de acueducto de la cabecera municipal de Santa Rosa. B) Diseño optimización sistema de acueducto cabecera municipal de Mercaderes.</t>
  </si>
  <si>
    <t>Fredy Esteban Cardenas Hernandez</t>
  </si>
  <si>
    <t>Primer pago equivalente al 40% del valor del contrato, un segundo pago en un acta parcial y un tercer pago en un acta final.</t>
  </si>
  <si>
    <t>Orden de pago n° 237 - Factura de venta n° 106</t>
  </si>
  <si>
    <t>Orden de pago n° 009 - Anticipo del 40%</t>
  </si>
  <si>
    <t>Orden de pago n° 238 - Factura de venta n° 106</t>
  </si>
  <si>
    <t>Orden de pago n° 240 - Factura de Venta n° 107</t>
  </si>
  <si>
    <t>Acta de liquidación del 07/10/2014</t>
  </si>
  <si>
    <t>036-2010</t>
  </si>
  <si>
    <t>Jorge Ivan Becerra Cordoba</t>
  </si>
  <si>
    <t>Prestar sus servicios profesionales para realizar la interventoria administrativa, Financiera, tecnica y ambiental al siguiente proyecto: Diseño optimización sistema de alcantarillado de la cabecera municipal de Mercaderes.</t>
  </si>
  <si>
    <t>40% de anticipo, un segundo pago en un acta parcial, y un tercer pago en un acta final.</t>
  </si>
  <si>
    <t>Orden de pago n° 3</t>
  </si>
  <si>
    <t>CDR SEGÚN PORTAL FIA</t>
  </si>
  <si>
    <t>Diferencia Valores CDR</t>
  </si>
  <si>
    <t>Acta de pago parcial n° 1 del 27/10/2010 - orden de pago - Factura n° 078</t>
  </si>
  <si>
    <t>Acta parcial n° 2 del 29/03/2011 - Factura de venta n° 087 - Orden de pago</t>
  </si>
  <si>
    <t>Acta final n° 3 del 29/09/2011 - Factura de venta n° 092 - Orden de pago</t>
  </si>
  <si>
    <t>Acta de liquidación del 15/12/2011</t>
  </si>
  <si>
    <t>037-2010</t>
  </si>
  <si>
    <t>Andres Miguel Paz Bustos</t>
  </si>
  <si>
    <t>Prestar sus servicios profesionales de ingeniero civil para realizar la interventoria administrativa, financiera, tecnica y ambiental al siguiente proyecto: Diseño Optimización sistema de acueducto interveredal de Michicao, Cajibio.</t>
  </si>
  <si>
    <t>Diferencia por confusión de fuentes</t>
  </si>
  <si>
    <t>Orden de pago n° 004 del 15/06/2010</t>
  </si>
  <si>
    <t>Informe oficina Juridica del 16 de diciembre del año 2016</t>
  </si>
  <si>
    <t>040-2010</t>
  </si>
  <si>
    <t>Beatriz Eugenia Perafan</t>
  </si>
  <si>
    <t>Prestar sus servicios profesionales para realizar la interventoria administrativa, financiera, tecnica y ambiental al siguiente proyecto: Estudios y diseños para la optimización y ampliación del sistema de acueducto interveredal de la zona de Santa Leticia, Purace.</t>
  </si>
  <si>
    <t>Orden de pago 270 del 11/12/2014 - Acta parcial n° 1 del 28/11/2014 - Factura n° 1</t>
  </si>
  <si>
    <t>Acta de terminación del 03/06/2016</t>
  </si>
  <si>
    <t>041-2010</t>
  </si>
  <si>
    <t>Bernardo Antonio Salazar Fernandez</t>
  </si>
  <si>
    <t>Prestar sus servicios profesionales para realizar la interventoria administrativa, financiera, tecnica, y ambiental al siguiente proyecto: Diseño acueducto del sur occidente Sotara - Timbio, Municipio de Sotara.</t>
  </si>
  <si>
    <t>Acta n° 1 del 14/09/2010 - Orden de pago</t>
  </si>
  <si>
    <t>Orden de pago de sep/2010 - Factura de venta n° 0142 - Acta n° 2 del 29/10/2010</t>
  </si>
  <si>
    <t>Acta de liquidación del 05/09/2013</t>
  </si>
  <si>
    <t>Factura de venta n° 0156 - Orden de pago n° 152 del 28/01/2014</t>
  </si>
  <si>
    <t>Acta n° 3 del 15/12/2011 - Orden de pago del 19/12/2011 - Factura de venta n° 0145</t>
  </si>
  <si>
    <t>Elaboración de los estudios y diseños para la construcción del acueducto del corregimiento de La Toma, municipio de Suarez.</t>
  </si>
  <si>
    <t>Orden de pago n° 006 del 05/04/2010</t>
  </si>
  <si>
    <t>Adicional n° 3</t>
  </si>
  <si>
    <t>Acta n° 1 del 01/08/2011 - Factura n° 006 - Orden de pago 03/10/2011</t>
  </si>
  <si>
    <t>Total de CDRs asociados al contrato</t>
  </si>
  <si>
    <t>Valor del contrato imputado al CDR</t>
  </si>
  <si>
    <t>Documento Soporte del pago / Detalle del pago</t>
  </si>
  <si>
    <t>Valor pago neto ordenado</t>
  </si>
  <si>
    <t>Total de pagos FIA por CDR</t>
  </si>
  <si>
    <t>Diferencia pagos ordenados vs pagos FIA</t>
  </si>
  <si>
    <t>Saldo a liberar por no uso del CDR</t>
  </si>
  <si>
    <t>Contrato liquidado y pagado</t>
  </si>
  <si>
    <t>Se debe liberar el valor de 12.064 del CDR N° 1 - Del CDR n° 174 solo se puede liberar cuando se acaben de consolidar todos los CDRs</t>
  </si>
  <si>
    <t>Saldo a favor del contratista (Positivo)  / Emcaservicios (Negativo)</t>
  </si>
  <si>
    <r>
      <rPr>
        <b/>
        <sz val="12"/>
        <color rgb="FFFF0000"/>
        <rFont val="Calibri"/>
        <family val="2"/>
        <scheme val="minor"/>
      </rPr>
      <t>Consultoria Suspendida</t>
    </r>
    <r>
      <rPr>
        <sz val="12"/>
        <color theme="1"/>
        <rFont val="Calibri"/>
        <family val="2"/>
        <scheme val="minor"/>
      </rPr>
      <t xml:space="preserve"> - En espera de la titulación de los predios en que se proyectan la PTAR de la Villa Olimpica y la PTAR de Pablo Sexto.</t>
    </r>
  </si>
  <si>
    <t>Valor a liberar por saldos sin ejecutar del contrato (Incluye anticipos sin legalización por parte del contratista)</t>
  </si>
  <si>
    <r>
      <rPr>
        <b/>
        <sz val="12"/>
        <color rgb="FFFF0000"/>
        <rFont val="Calibri"/>
        <family val="2"/>
        <scheme val="minor"/>
      </rPr>
      <t>Según acta n° 5 se suspende temporalmente el contrato de consultoría</t>
    </r>
    <r>
      <rPr>
        <sz val="12"/>
        <color theme="1"/>
        <rFont val="Calibri"/>
        <family val="2"/>
        <scheme val="minor"/>
      </rPr>
      <t xml:space="preserve"> porque el Municipio de Argelia no ha legalizado la titularidad del predio necesario para la construcción de la futura PTAR, estructura indispensable para el tratamiento de las aguas residuales domesticas.</t>
    </r>
  </si>
  <si>
    <t>Acta de suspensión n° 5 del 02/09/2011</t>
  </si>
  <si>
    <t>El contrato ya cuenta con acta de liquidación, pero no se ha hecho el pago completo al contratista (Saldo a favor del contratista $25´191.588), se debe liberar del CDR el valor del $23.760.</t>
  </si>
  <si>
    <t>Total pagos realizados por FIA (Por contrato)</t>
  </si>
  <si>
    <r>
      <rPr>
        <b/>
        <sz val="12"/>
        <color rgb="FFFF0000"/>
        <rFont val="Calibri"/>
        <family val="2"/>
        <scheme val="minor"/>
      </rPr>
      <t>Contrato Terminado sin liquidar</t>
    </r>
    <r>
      <rPr>
        <sz val="12"/>
        <color theme="1"/>
        <rFont val="Calibri"/>
        <family val="2"/>
        <scheme val="minor"/>
      </rPr>
      <t xml:space="preserve"> - Se puede liberar del CDR n° 16 el valor de $15.631, diferencia entre el valor del CDR y el valor contratado. La ultima actuación es un acta de terminación donde se deja constancia que se recibio por parte del contratista el 100% del trabajo, pero hasta la fecha solo se ha pagado el 40% del anticipo, hay un valor a favor del contratista por $18´748.422</t>
    </r>
  </si>
  <si>
    <t>Pagos Realizados por FIA (Hipervinculo)</t>
  </si>
  <si>
    <r>
      <rPr>
        <b/>
        <sz val="12"/>
        <color rgb="FFFF0000"/>
        <rFont val="Calibri"/>
        <family val="2"/>
        <scheme val="minor"/>
      </rPr>
      <t>Contrato vencido sin liquidar</t>
    </r>
    <r>
      <rPr>
        <sz val="12"/>
        <color theme="1"/>
        <rFont val="Calibri"/>
        <family val="2"/>
        <scheme val="minor"/>
      </rPr>
      <t xml:space="preserve"> - Falta por amortizar $2.000.000 del anticipo. Se debe liberar el valor de $3.046.750 del CDR 025</t>
    </r>
  </si>
  <si>
    <r>
      <t xml:space="preserve">Contrato liquidado y pagado -  Del CDR n° 37 </t>
    </r>
    <r>
      <rPr>
        <b/>
        <sz val="12"/>
        <color rgb="FFFF0000"/>
        <rFont val="Calibri"/>
        <family val="2"/>
        <scheme val="minor"/>
      </rPr>
      <t>se debe liberar la suma de $141</t>
    </r>
    <r>
      <rPr>
        <sz val="12"/>
        <color theme="1"/>
        <rFont val="Calibri"/>
        <family val="2"/>
        <scheme val="minor"/>
      </rPr>
      <t xml:space="preserve"> por fuente departamento. </t>
    </r>
    <r>
      <rPr>
        <i/>
        <sz val="12"/>
        <color theme="1"/>
        <rFont val="Calibri"/>
        <family val="2"/>
        <scheme val="minor"/>
      </rPr>
      <t>En los pagos realizados de los CDRs n° 37 y n° 36 no se respetaron los topes estipulados por fuente.</t>
    </r>
  </si>
  <si>
    <t>Contrato liquidado y pagado -  En los pagos realizados del CDR n° 38  no se respetaron los topes estipulados por fuente.</t>
  </si>
  <si>
    <r>
      <rPr>
        <b/>
        <sz val="12"/>
        <color rgb="FFFF0000"/>
        <rFont val="Calibri"/>
        <family val="2"/>
        <scheme val="minor"/>
      </rPr>
      <t>Contrato vencido sin liquidar -</t>
    </r>
    <r>
      <rPr>
        <sz val="12"/>
        <color theme="1"/>
        <rFont val="Calibri"/>
        <family val="2"/>
        <scheme val="minor"/>
      </rPr>
      <t xml:space="preserve"> Quedo un saldo por amortizar del anticipo por $453.601. Se debe liberar del CDR numero 40 el monto de $702.800 y liberar el valor total del CDR 158, es decir $5´669.964.</t>
    </r>
  </si>
  <si>
    <r>
      <rPr>
        <b/>
        <sz val="12"/>
        <color rgb="FFFF0000"/>
        <rFont val="Calibri"/>
        <family val="2"/>
        <scheme val="minor"/>
      </rPr>
      <t xml:space="preserve">Contrato terminado sin liquidar - </t>
    </r>
    <r>
      <rPr>
        <sz val="12"/>
        <color theme="1"/>
        <rFont val="Calibri"/>
        <family val="2"/>
        <scheme val="minor"/>
      </rPr>
      <t>Falta por amortizar $546.453 del anticipo, segun información de juridica las polizas del reinicio se aceptaron despues de haber realizado el acta de terminación. Cuando se proceda  con la liquidacion se debe hacer el pago asi: Del CDR 49 (Fuente Nación $269.263 - Fuente departamento $550.413) y del CDR 140 el valor de $4´494.565</t>
    </r>
  </si>
  <si>
    <t>Año</t>
  </si>
  <si>
    <t>Cantidad de contratos con CDRs</t>
  </si>
  <si>
    <t>Numeros de Contratos</t>
  </si>
  <si>
    <r>
      <t xml:space="preserve">Contrato suspendido - </t>
    </r>
    <r>
      <rPr>
        <sz val="12"/>
        <rFont val="Calibri"/>
        <family val="2"/>
        <scheme val="minor"/>
      </rPr>
      <t>Falta por amortizar del anticipo el valor de $4´622.600. El CDR N° 17 hay disponible el valor de $6´933.900. Del CDR n° 160 no se han realizado pagos, es decir que esta disponible la cantidad de $57´782.500</t>
    </r>
  </si>
  <si>
    <t>Contrato liquidado y pagado, se debe liberar $91 del CDR n° 2</t>
  </si>
  <si>
    <t>Mes de actualización</t>
  </si>
  <si>
    <t>Julio</t>
  </si>
  <si>
    <t>Acta n° 1 Adicional del 15/12/2011 - Factura de venta n° 0146 - Orden de pago del 19/12/11</t>
  </si>
  <si>
    <t>Cuenta de cobro - Orden de pago n° 008 del 15/06/2010</t>
  </si>
  <si>
    <t>Julio - Soportes escaneados</t>
  </si>
  <si>
    <t>Cuenta de cobro del 05/06/2010 - Orden de pago n° 007 del 15/06/2010 - Comprobante de egreso 212</t>
  </si>
  <si>
    <t>Acta n° 1 del 28/11/2014 - Orden de pago n° 270 del 11/12/2014 - Factura n° 2</t>
  </si>
  <si>
    <t>Vencido Sin Liquidar</t>
  </si>
  <si>
    <t>Ismael Enrique Agredo Vivas</t>
  </si>
  <si>
    <t>Prestar servicios profesionales para realizar la interventoría a los siguientes proyectos:
-Diseño plan maestro de alcantarillado de El Mango -Argelia.
-Diseño plan maestro de alcantarillado El Sinai - Argelia.
-Diseño plan maestro de alcantarillado Puerto Rico -Argelia.
-Diseño PTAP San Miguel - La Vega.
-Diseño alcantarillado Párraga -Rosas.</t>
  </si>
  <si>
    <t>Tulio Fernando Rivera Burbano</t>
  </si>
  <si>
    <t>Documentos completos - Soportes revisados y escanedos el 08/08/2017</t>
  </si>
  <si>
    <t>Documentos completos - Soportes revisados y escaneados el 08/08/2017</t>
  </si>
  <si>
    <t>Falta factura de los $6´005.900 o cuenta de cobro - Soportes revisados y escaneados el 04/08/2017 - SOLICITAR AL FIA el documento faltante</t>
  </si>
  <si>
    <t>042-2010</t>
  </si>
  <si>
    <t xml:space="preserve">Prestar sus servicios profesionales para realizar la interventoria administrativa, financiera, tecnica y ambiental a los siguientes proyectos: A) Diseño optimización sistema de alcantarillado cabecera municipal de Bolivar. B) Diseño optimización sistema de acueducto cabecera municipal de Patia. C) Diseño Optimización sistema de alcantarillado cabecera municipal de Patia. </t>
  </si>
  <si>
    <t>76325476</t>
  </si>
  <si>
    <t>Numero de CDR (Hipervinculo)</t>
  </si>
  <si>
    <t>Anticipo del 40% Orden de pago n° 07 del 15/06/2010 - Cuenta de cobro</t>
  </si>
  <si>
    <t xml:space="preserve"> Acta n° 01 del 17/04/2015 - Factura n° 019 - Orden de pago n° 360 del 15/02/2016 </t>
  </si>
  <si>
    <t xml:space="preserve">Cuenta de cobro - Anticipo del 40% Orden de pago n° 07 del 15/06/2010 </t>
  </si>
  <si>
    <t xml:space="preserve"> Acta n° 01 del 17/04/2015 - Factura n° 019 - Orden de pago n° 354 del 15/02/2016 </t>
  </si>
  <si>
    <t>Acta n° 02 adicional 01 del 17/04/2015 - Factura n° 020 - Orden de pago n° 361 del 15/02/2016</t>
  </si>
  <si>
    <t>Acta n° 3 del 17/04/2015 - Factura n° 021 - Orden de pago n° 359 del 15/02/2016</t>
  </si>
  <si>
    <t>Acta n° 3 del 17/04/2015 - Factura n° 021 - Orden de pago n° 362 del 15/02/2016</t>
  </si>
  <si>
    <t>Acta n° 04 del 17/04/2015 - Factura n° 023 - Orden de pago n° 363 del 15/02/2016</t>
  </si>
  <si>
    <t>Acta n° 04 del 17/04/2015 - Factura n° 023 - Orden de pago n° 364 del 15/02/2016</t>
  </si>
  <si>
    <t>Agosto - Soportes escaneados</t>
  </si>
  <si>
    <t>Otro si para ampliación de plazo - realizada el 19 de marzo de 2017</t>
  </si>
  <si>
    <t>Falta cuenta de cobro del 40% del anticipo, SOLICITAR AL FIA el documento faltante - Soportes revisados y escaneados el 10/08/2017</t>
  </si>
  <si>
    <t>Valor facturado</t>
  </si>
  <si>
    <t>Total saldo a liberar (Saldo del CDR según portal)</t>
  </si>
  <si>
    <t>consultoria</t>
  </si>
  <si>
    <t>Informe de Juridica del 22 de septiembre del año 2016</t>
  </si>
  <si>
    <t>Cuenta de cobro - Orden de pago N° 02 del 15/06/2010</t>
  </si>
  <si>
    <t xml:space="preserve">Acta n° 1 del 30/09/2010 - Orden de pago oct/2010 - Factura # 077 </t>
  </si>
  <si>
    <t xml:space="preserve">Acta n° 1 del 30/09/2010 - Orden de pago 05/10/2010 - Factura # 077 </t>
  </si>
  <si>
    <t xml:space="preserve">Acta n° 1 del 30/09/2010 - Orden de pago 10/2010 - Factura # 077 </t>
  </si>
  <si>
    <t>Acta n° 3 del 20/01/2011 - Factura n° 088 - Orden de pago ene/2011</t>
  </si>
  <si>
    <t>Acta n° 04 de 08/02/2011 - Factura n° 089 - Orden de pago de enero/2011</t>
  </si>
  <si>
    <t>Orden de pago  de enero/2011</t>
  </si>
  <si>
    <t xml:space="preserve">Documentos que faltan: plan de pagos, Factura n° 077, acta n° 2 del 17/12/2010 y factura n° 085 </t>
  </si>
  <si>
    <t>Orden de pago de enero/2011</t>
  </si>
  <si>
    <t>043-2010</t>
  </si>
  <si>
    <t>Miguel Angel Revelo David</t>
  </si>
  <si>
    <t>Prestar sus servicios profesionales para realizar la interventoria administrativa, financiera, tecnica y ambiental a los siguientes proyectos: A) Diseño optimización plan maestro de alcantarillado cabecera municipal de Balboa. B) Diseño plan maestro de alcantarillado del centro poblado el Plateado municipio de Argelia. C) Diseño optimización sistema de alcantarillado Cabecera municipal de Bolivar.</t>
  </si>
  <si>
    <t>Orden de pago del 27/08/2010</t>
  </si>
  <si>
    <t xml:space="preserve">Orden de pago de agosto </t>
  </si>
  <si>
    <t>Acta de suspensión n° 5 del 22/03/2013</t>
  </si>
  <si>
    <t>Falta  Cuenta de cobro del pago del 40% del anticipo</t>
  </si>
  <si>
    <t>Verde = Contratos revisados y documentos escaneados</t>
  </si>
  <si>
    <t>044-2010</t>
  </si>
  <si>
    <t>Harold Bravo Solano</t>
  </si>
  <si>
    <t xml:space="preserve">Prestar sus servicios profesionales de ingeniero civil para realizar la interventoria administrativa, financiera, tecnica y ambiental a los siguientes proyectos: A) Diseño optimización de alcantarillado y PTAR centro poblado el Ortigal Miranda. B) Diseño optimización sistema de acueducto cabecera municipal de Buenos Aires. C) Diseño optimización sistema de alcantarillado Cabecera municipal de Santa Rosa. D) Diseño optimización sistema de acueducto el saladito municipio de Timbio. F) Diseño optimización sistema de acueducto Aires del campo municipio de Timbio. G) Diseño optimización acueducto corregimiento de Marsella municipio de Florencia. </t>
  </si>
  <si>
    <t>Fuente con la que FIA realizo el pago</t>
  </si>
  <si>
    <t>Orden de pago del 30/08/2010 (Orden 1)</t>
  </si>
  <si>
    <t>Orden de pago del 30/08/2010 (Orden 2)</t>
  </si>
  <si>
    <t>Orden de pago del 30/08/2010 (Orden 3)</t>
  </si>
  <si>
    <t>Orden de pago del 30/08/2010 (Orden 4)</t>
  </si>
  <si>
    <t>Orden de pago 30/08/2010 (Orden 5)</t>
  </si>
  <si>
    <t>Acta n° 1 del 21/07/2011 - Factura n° 1  - Orden de pago del 07/09/2011</t>
  </si>
  <si>
    <t>Acta n° 2 del 21/07/2011 - Factura n° 2 - Orden de pago 05/10/2011</t>
  </si>
  <si>
    <t>Acta n° 3 del 21/07/2011 - Factura n° 3 - Orden de pago 06/10/2011</t>
  </si>
  <si>
    <t>Acta n° 4 del 21/07/2011 - Factura n° 4 - Orden del 05/10/2011</t>
  </si>
  <si>
    <t>Acta n° 5 del 21/07/2011 - Factura n° 5 - Orden de pago del 05/10/2011</t>
  </si>
  <si>
    <t>Factura n° 1 adicional - Orden de pago del 15/03/2012</t>
  </si>
  <si>
    <t>Acta n° 2 adicional del 27/12/2011 -  Factura n° 2 adicional - Orden de pago del 15/03/2012</t>
  </si>
  <si>
    <t>Factura n° 3 adicional - Orden de pago del 15/03/2012</t>
  </si>
  <si>
    <t>Factura n° 6 - Orden de pago del 15 /03/ 2012</t>
  </si>
  <si>
    <t>Acta n° 7 del 30/04/2012 - Factura n° 11 - Orden de pago n° 12 de 01/10/2012</t>
  </si>
  <si>
    <t xml:space="preserve">Oficio dirigido al contratista Harold Bravo Solano el 08/06/2017 </t>
  </si>
  <si>
    <t xml:space="preserve">Faltan los siguientes documentos: cuenta de cobro del anticipo - CDR 174 - Plan de pagos del CDR 58 - Acta n° 1 adicional - Acta n° 3 adicional - Acta n° 6 </t>
  </si>
  <si>
    <t>045-2010</t>
  </si>
  <si>
    <t>Hollman Samboni</t>
  </si>
  <si>
    <t>Prestar sus servicios profesionales para realizar la interventoria administrativa, financiera, tecnica y ambiental a los siguientes proyectos: A) Diseño mejoramiento de la PTAP de la cabecera municipal de San Sebastian. B) Estudio y rediseño para las redes de alcantarillado sanitario de la cabecera corregimental de Santiago municipio de San Sebastian. C) Estudio y rediseño para las redes de alcantarillado sanitario de la cabecera corregimental de Valencia municipio de San Sebastian. D) Diseño adecuación PTAP cabecera municipal de la Vega. E) Diseño PTAR centro poblado Arbela municipio de La Vega. F) Diseño PTAR centro poblado Altamira municipio de la Vega.</t>
  </si>
  <si>
    <t>Orden de pago del 27/08/2010 CDR 52, 53, 54- Comprobante de egreso 381</t>
  </si>
  <si>
    <t>Orden de pago del 27/08/2010 CDR 55, 56, 57- Comprobante de egreso 381</t>
  </si>
  <si>
    <t>Falta cuenta de cobro del 40% del anticipo - Falta CDR 197</t>
  </si>
  <si>
    <t>Acta n° 2 del 08/05/2012 - Factura n° 78 - Orden de pago n° 92 del 11/06/2013 (CDR 52, 53 y 54)</t>
  </si>
  <si>
    <t>Acta n°3 del 08/05/2012  - Factura n° 78 - Orden de pago n° 93 del 11/06/2013 (CDR 55, 56 y 57)</t>
  </si>
  <si>
    <t>Acta de suspensión n° 09 del 21/02/2013</t>
  </si>
  <si>
    <t>054-2010</t>
  </si>
  <si>
    <t>Vladimir Martinez Peña</t>
  </si>
  <si>
    <t>Prestar sus servicios profesionales para realizar la interventoria administrativa, financiera, tecnica, y ambiental a los siguientes proyectos: A) Diseño acueducto interveredal zona campesina de Usenda - Silvia. B) Diseño alcantarillado Pluvial cabecera municipal de Suarez.</t>
  </si>
  <si>
    <t>Acta de liquidación del 26/08/2013</t>
  </si>
  <si>
    <t>Orden de pago del 27/08/2010 CDR 81</t>
  </si>
  <si>
    <t>Acta de pago parcial n° 1 del 18/07/2011 - Factura n° 01 - Orden de pago del 01/11/2011</t>
  </si>
  <si>
    <t>Acta de recibo n° 2 y final del 25/01/2013 - Factura n° 02 - Orden de pago 113 del 08/10/2013</t>
  </si>
  <si>
    <t>Acta de recibo n° 2 y final del 25/01/2013 - Factura n° 01 - Orden de pago 114 del 08/10/2013</t>
  </si>
  <si>
    <t>Falta: cuenta de cobro del anticipo del 40% - CDR 174</t>
  </si>
  <si>
    <t>047-2010</t>
  </si>
  <si>
    <t>Prestar sus servicios profesionales para realizar la Interventoria administrativa, financiera, tecnica y ambiental a los siguientes proyectos: A) Diseño optimización sistema de alcantarillado cabecera municipal de Morales. B) Diseño y estudios para el plan maestro de alcantarillado del centro poblado de Santa Rosa, Municipio de Morales. C) Diseño optimización sistema de acueducto cabecera de Piendamó. D) Diseño optimización sistema de alcantarillado cabecera de Piendamó.</t>
  </si>
  <si>
    <t>Ever Alirio Cruz Ortega</t>
  </si>
  <si>
    <t>Cuenta de cobro por la suma de $4´053.474 CDR 72 y 73 - Orden de pago de diciembre/2010</t>
  </si>
  <si>
    <t>Cuenta de cobor por la suma de $ 3´757.320 CDR 74 y 75 - Orden de pago de diciembre/2010</t>
  </si>
  <si>
    <t>Acta de liquidación del 18 de octubre de 2016</t>
  </si>
  <si>
    <t>Documentos soportes completos hasta el momento.</t>
  </si>
  <si>
    <t>Consorcio ME</t>
  </si>
  <si>
    <t>008-2010</t>
  </si>
  <si>
    <t>Prestar sus servicios profesionales para elaborar el diseño optimización sistema de acueducto cabecera municipal de Patia - Cauca</t>
  </si>
  <si>
    <t>Orden de pago n° 07 del 05/04/2010</t>
  </si>
  <si>
    <t>Acta n° 1 del 29/10/2010 - Factura n° 003 - Orden de pago sin numero de dic/2010</t>
  </si>
  <si>
    <t>Falta: Orden de pago correspondiente al acta n° 2 y factura n° 012 - Falta factura y orden de pago correspondiente al acta final n° 3</t>
  </si>
  <si>
    <t>Acta n° 2 del 07/12/2012 - Factura n° 012 - FALTA Orden de pago</t>
  </si>
  <si>
    <t>Acta n° 3 y final del 08/03/2012 - FALTA factura y orden de pago</t>
  </si>
  <si>
    <t>Diseño y optimización del sistema de alcantarillado cabecera municipal de Bolivar -Cauca</t>
  </si>
  <si>
    <t>AN Construdiseños Ltda.</t>
  </si>
  <si>
    <t>Acta de liquidación del 07 de diciembre del año 2012</t>
  </si>
  <si>
    <t>Cuenta de cobro - Orden de pago n° 019 del 05/04/2010</t>
  </si>
  <si>
    <t>Acta de suspensión n° 4 del 31/08/2011</t>
  </si>
  <si>
    <t>SGP - Dpto</t>
  </si>
  <si>
    <t>Acta de liquidación.</t>
  </si>
  <si>
    <t>059-2010</t>
  </si>
  <si>
    <t>Elaboración diseños adecuación PTAP cabecera municipal de la Vega (Cauca)</t>
  </si>
  <si>
    <t>Consorcio Saneamiento Basico La Vega</t>
  </si>
  <si>
    <t>900368656</t>
  </si>
  <si>
    <t>6</t>
  </si>
  <si>
    <t>Orden de pago sin numero del 30/08/2010 por el valor de $28´664.000</t>
  </si>
  <si>
    <t>Acta n° 1 del 26/07/2011 - Factura n° 002 por $35´380.000 - Orden de pago sin numero del 10/08/2011</t>
  </si>
  <si>
    <t>Acta n° 2 del 27/07/2011 - Factura n° 004 por $28´664.000 - Orden de pago sin numero del 01/12/2011</t>
  </si>
  <si>
    <t>Acta n° 03 y final del 10/02/2013 - Factura n° 006 por $7´166.000 - Orden de pago n° 126 por 28/10/2013</t>
  </si>
  <si>
    <t>76317899</t>
  </si>
  <si>
    <t>Numero de Contrato</t>
  </si>
  <si>
    <t>Elaboración del diseño de la PTAR del centro poblado de Arbela municipio de la Vega - Cauca.</t>
  </si>
  <si>
    <t>Jose Orlando Gutierrez</t>
  </si>
  <si>
    <t>Acta de recibo final del 29 de febrero de 2016</t>
  </si>
  <si>
    <t>40% de anticipo, segundo pago del 30% y un tercer pago del 30%</t>
  </si>
  <si>
    <t>Orden de pago sin numero del 27/08/2010 por 40% de anticipo - $ 13´044.201</t>
  </si>
  <si>
    <t>062-2010</t>
  </si>
  <si>
    <t>Diseño plan maestro de alcantarillado del centro poblado El Plateado del municipio de Argelia - Cauca</t>
  </si>
  <si>
    <t>Consorcio Argelia - Jorge Ivan Becerra</t>
  </si>
  <si>
    <t>Acta de iquidación del 23/07/2015</t>
  </si>
  <si>
    <t>Orden de pago sin numero del 30/08/2010 por el valor de $22´741.707</t>
  </si>
  <si>
    <t>Acta n° 01 del 28/03/2011 - Factura n° 01 por el valor de $28´427.134 - Orden de pago sin numero del 02/06/2010</t>
  </si>
  <si>
    <t>Acta de recibo final del 12 de julio de 2013</t>
  </si>
  <si>
    <t>061-2010</t>
  </si>
  <si>
    <t>Consorcio Altamira</t>
  </si>
  <si>
    <t>Elaboración diseños PTAR centro Poblado de Altamira municipio de la Vega</t>
  </si>
  <si>
    <t>Orden de pago sin numero del 30/08/2010</t>
  </si>
  <si>
    <t>063-2010</t>
  </si>
  <si>
    <t>Consorcio GZ</t>
  </si>
  <si>
    <t>Elaboración diseño de la optimización del sistema de acueducto de la cabecera municipal de Bolivar - Cauca</t>
  </si>
  <si>
    <t>Rojo = Contratos revisados y falta escanear documentos soportes (Dayana)</t>
  </si>
  <si>
    <t>Azul = Contratos revisados y falta escanear documentos soportes (Mauricio)</t>
  </si>
  <si>
    <t>Orden de pago sin numero del 16/09/2010</t>
  </si>
  <si>
    <t>071-2010</t>
  </si>
  <si>
    <t>Medisam Ltda</t>
  </si>
  <si>
    <t>Elaboración del estudio y rediseño para las redes de alcantarillado sanitario de la cabecera corregimental de Santiago - Municipio de San Sebastián</t>
  </si>
  <si>
    <t>inicial</t>
  </si>
  <si>
    <t>40% de anticipo, un segundo pago del 30% y un tercer pago por 30%</t>
  </si>
  <si>
    <t>Orden de pago sin numero del 27/08/2010 - 40% de anticipo correspondiente a $14´379.360</t>
  </si>
  <si>
    <t>Acta n° 1 del 23/11/2010 por $25´163.880 - Factura n° 0349 - Orden de pago sin numero de dic/2010</t>
  </si>
  <si>
    <t>Acta de suspensión n° 2 del 18/01/2011</t>
  </si>
  <si>
    <t>064-2010</t>
  </si>
  <si>
    <t>Elaboración del diseño de optimizacion sistema de alcantarillado de la cabecera municipal de Santa Rosa</t>
  </si>
  <si>
    <t>Acta de cierre del 29 de agosto del año 2017</t>
  </si>
  <si>
    <t>Acta de cierren del 29/08/2017</t>
  </si>
  <si>
    <t>Cuenta de cobro por el valor de $30´450.000 por anticipo del 40% - Orden de pago sin numero del 30/08/2010</t>
  </si>
  <si>
    <t>073-2010</t>
  </si>
  <si>
    <t>Consorcio PDA Miranda</t>
  </si>
  <si>
    <t>Elaboración diseño optimización sistema de alcantarillado y PTAR del centro poblado El Ortigal - Miranda</t>
  </si>
  <si>
    <t>Orden de pago sin numero de sep/2010 por el valor de $13´978.000</t>
  </si>
  <si>
    <t>Acta de pago n° 1 y final por el valor de $52´345.000 - Factura n° 01 por el valor de $34´945.000 - Orden de pago n° 421 del 22/03/2016</t>
  </si>
  <si>
    <t>Acta de pago n° 1 y final por el valor de $52´345.000 - Factura n° 02 por el valor de $17´400.000 - Orden de pago n° 422 del 22/03/2016</t>
  </si>
  <si>
    <t>Acta de liquidación del 02/02/2016</t>
  </si>
  <si>
    <t>Documentos soportes completos.</t>
  </si>
  <si>
    <t>Acta de cierre del 29 de agosto de 2017</t>
  </si>
  <si>
    <t>Consorcio Carmonval</t>
  </si>
  <si>
    <t>072-2010</t>
  </si>
  <si>
    <t>Elaboración estudios y rediseño para las redes de alcantarillado sanitario de la cabecera corregimental de Valencia del municipio de San Sebastian - Cauca</t>
  </si>
  <si>
    <t>Acta de suspensión n° 3 del 08 de novembre de 2011</t>
  </si>
  <si>
    <t>Documentos completos hasta el momento</t>
  </si>
  <si>
    <t>075-2010</t>
  </si>
  <si>
    <t>Consorcio Collazos</t>
  </si>
  <si>
    <t>Elaboración diseño acueducto interveredal zona baja Jambalo</t>
  </si>
  <si>
    <t>Acta de terminación y recibo a satisfacción del 05/06/2017</t>
  </si>
  <si>
    <t>077-2010</t>
  </si>
  <si>
    <t>Elaboración diseño y estudio plan maestro alcantarillado centro Poblado Santa Rosa Municipio de Morales</t>
  </si>
  <si>
    <t>Orden de pago sin numero de septiembre/2010 por el valor de $22´860.136</t>
  </si>
  <si>
    <t>Acta n° 1 del 17/12/2010 - Factura n° 008 por el valor de $47´625.285 - Orden de pago sin numero de enero/2011</t>
  </si>
  <si>
    <t>Acta n° 02 y final 25/11/2011 - Factura n° 016 por el valor de $9´525.957 - Orden de pago sin numero del 19/12/2011</t>
  </si>
  <si>
    <t>Acta de liquidación del 07 de abril de 2012</t>
  </si>
  <si>
    <t>Documentos completos</t>
  </si>
  <si>
    <t>FRA 058 PAGO 1 FINAL CTO 76 2010 CDR 100 NACION R3292</t>
  </si>
  <si>
    <t>076-2010</t>
  </si>
  <si>
    <t>Jairo Enrique Garces Collazos</t>
  </si>
  <si>
    <t>Elaboración diseño optimización sistema de alcantarillado cabecera municipal de Morales</t>
  </si>
  <si>
    <t>Orden de pago sin numero del 21/09/2010 por el valor de $35´944.968 Anticipo del 40%</t>
  </si>
  <si>
    <t xml:space="preserve">Acta de pago n° 1 y final del 29/11/2013 - </t>
  </si>
  <si>
    <t>Falta factura y orden de pago por el valor de $89´612.419</t>
  </si>
  <si>
    <t>Acta de liquidación del 29/01/2016</t>
  </si>
  <si>
    <t>078-2010</t>
  </si>
  <si>
    <t>085-2010</t>
  </si>
  <si>
    <t>Consorcio Topaz</t>
  </si>
  <si>
    <t>Elaboración del diseño de optimización sistema de acueducto cabecera municipal de Piendamo</t>
  </si>
  <si>
    <t xml:space="preserve">Orden de pago sin numero del 30/08/2010 por el valor de $23´970.240 de anticipo del 40% </t>
  </si>
  <si>
    <t>Acta de pago n° 01 y final del 18/08/2015 por el valor de $77´180.600 - Factura de venta n° 7 por el valor de $59´925.600 - Orden de pago n° 417 del 25/02/2016</t>
  </si>
  <si>
    <t>Acta de pago n° 01 y final del 18/08/2015 por el valor de $77´180.600 - Factura de venta n° 12 por el valor de $17´255.000 - Orden de pago n° 417 del 25/02/2016</t>
  </si>
  <si>
    <t>Acta de liquidacion de 18 de agosto de 2015</t>
  </si>
  <si>
    <t xml:space="preserve">Documentos completos </t>
  </si>
  <si>
    <t>079-2010</t>
  </si>
  <si>
    <t>Consorcio CS-2008</t>
  </si>
  <si>
    <t>Elaboración del diseño de optimización sistema de alcantarillado de la cabecera municipal de Piendamo</t>
  </si>
  <si>
    <t>Orden de pago sin numero del 27/08/2010 pago de anticipo del 40% por el valor de $30´450.000</t>
  </si>
  <si>
    <t>40% de anticipo, segundo pago hasta del 90% del valor del contraro y un tercer pago del 10%</t>
  </si>
  <si>
    <t>Acta de liquidación del 10 de julio del año 2014</t>
  </si>
  <si>
    <t>Acta n° 1 del 04/10/2011 - Factura n° 043 del 01/12/2011 por el valor de  $68´512.500 - Orden de pago sin numero del 13/12/2011</t>
  </si>
  <si>
    <t>Acta n° 2 y final del 08/02/2013</t>
  </si>
  <si>
    <t>080-2010</t>
  </si>
  <si>
    <t>Consorcio ARC Timbio</t>
  </si>
  <si>
    <t>Elaboración diseño optimización sistema de acueducto de la cabecera municipal de Timbio</t>
  </si>
  <si>
    <t>Orden de pago sin numero de sep/2010 por el valor de $11´426.000 correspondiente al 40% de anticipo</t>
  </si>
  <si>
    <t>Acta de liquidación del 08 de marzo de 2017</t>
  </si>
  <si>
    <t>Acta n° 01 y final del 24/09/2014 por el valor de $28´565.000</t>
  </si>
  <si>
    <t>081-2010</t>
  </si>
  <si>
    <t>Consorcio diseños Giraldo</t>
  </si>
  <si>
    <t>Elaboración diseño optimización sistema de acueducto el saladito municipio de Timbio</t>
  </si>
  <si>
    <t>Septiembre - Soportes escaneados</t>
  </si>
  <si>
    <t>Acta de liquidación del 2 de Octubre de 2014</t>
  </si>
  <si>
    <t>Orden de pago sin numero del 30/08/2010  correspondiente al 40% de anticipo, por el valor de $15´073.371</t>
  </si>
  <si>
    <t>Acta de recibo final del 18/07/2013 valor a pagar $37´683.428</t>
  </si>
  <si>
    <t>Documentos soportes completos hasta el momento</t>
  </si>
  <si>
    <t>083-2010</t>
  </si>
  <si>
    <t>Consorcio PDA Santander</t>
  </si>
  <si>
    <t>Elaboración del diseño de acueducto interveredal el Palmar - Santander de Quilichao</t>
  </si>
  <si>
    <t>Acta de liquidación del 22 de diciembre del año 2016</t>
  </si>
  <si>
    <t>Orden de pago sin numero de septiembre/2010 por el valor de $19´720.000 correspondiente al 40% de anticipo</t>
  </si>
  <si>
    <t>Acta de pago n° 1 y final - Factura n° 1 por el valor de $49´300.000 - Orden de pago n° 30 del 05/07/2017</t>
  </si>
  <si>
    <t>Los documentos escaneados estan completos - Pero en la carpeta del contrato se debe anexar el plan de pagos, la factura n° 1 por $49´300.000 y la orden de pago por el mismo valor</t>
  </si>
  <si>
    <t>084-2010</t>
  </si>
  <si>
    <t>Consorcio Aguas Santander</t>
  </si>
  <si>
    <t>Elaboración del diseño de acueducto interveredal zona Norte - Santander de Quilichao</t>
  </si>
  <si>
    <t>Orden de pago sin numero de septiembre/2010 por el valor de $17´632.000 correspondiente al 40% de anticipo</t>
  </si>
  <si>
    <t>Falta acta de pago parcial n° 1 - Factura n° 1 por el valor de $30´856.000 - Orden de pago sin numero de junio/2011</t>
  </si>
  <si>
    <t>Acta de recibo parcial n° 2 del 22/07/2011 - Factura n° 3 por el valor de $28´472.000 - Orden de pago si numero del 07/03/2012 (Pago con CDR 108 y 203)</t>
  </si>
  <si>
    <t>Acta de recibo final n° 3 del 16/10/2013 - Factura n° 22 por el valor de $6´592.000 - Orden de pago n° 28 del 05/06/2017 (CDR 108 y 203)</t>
  </si>
  <si>
    <t>En los documentos escaneados falto el acta de pago parcial n° 1 - a la carpeta del contrato se debe anexar dicho documento, además anexar la factura n° 22 por el valor de $6´592.000 y la orden de pago de julio de 2017 por el mismo valor</t>
  </si>
  <si>
    <t>Acta de liquidación del 05 de abril del año 2016</t>
  </si>
  <si>
    <t>Elaboración del diseño de acueducto interveredal Munchique parte baja municipio de Santander de Quilichao</t>
  </si>
  <si>
    <t>Acta n° 1 del 26/08/2011 - Factura n° 1 por el valor de $39´671.959 - Orden de pago sin numero del 07/09/2011</t>
  </si>
  <si>
    <t>Falta anexar acta de cierre</t>
  </si>
  <si>
    <t>086-2010</t>
  </si>
  <si>
    <t>Consorcio LAC</t>
  </si>
  <si>
    <t>Elaboración del diseño de acueducto interveredal Paramillo municipio de Santander de Quilichao</t>
  </si>
  <si>
    <t>Cuenta de cobro - Orden de pago sin numero de sep/2010 por el valor de  $17´632.000 - corresponde al 40% de anticipo</t>
  </si>
  <si>
    <t>Falta acta parcial de pago n° 1 por el valor de $30´856.000 y factura por el mismo valor</t>
  </si>
  <si>
    <t>Orden de pago sin numero de sep/2010 por el valor de $30´856.000</t>
  </si>
  <si>
    <t>Acta de recibo parcial n° 2 del 07/07/2011 - Factura de venta n° 2 por el valor de $28´652.000 - Orden de pago sin numero del 17/11/2011 (Pago con CDR 110 y 202)</t>
  </si>
  <si>
    <t>Acta de liquidación del 21/03/2014</t>
  </si>
  <si>
    <t>Acta de recibo final del 16/10/2013 - Factura n° 5 por el valor de $6´612.000 - Orden de pago n° 162 del 09/04/2014</t>
  </si>
  <si>
    <t>Solo esta la OP para el pago del anticipo, faltan los demas soportes del pago</t>
  </si>
  <si>
    <t>082-2010</t>
  </si>
  <si>
    <t>Consorcio Agredo</t>
  </si>
  <si>
    <t>Elaboración del diseño de optimización sistema de acueducto Aires del Campo - Timbio</t>
  </si>
  <si>
    <t>Acta de liquidación del 15 octubre de 2013</t>
  </si>
  <si>
    <t>Orden de pago sin numero del 30/08/2010 por el valor de $23´076.620 correspondiente al 40% de anticipo</t>
  </si>
  <si>
    <t>087-2010</t>
  </si>
  <si>
    <t>Consorcio A y A</t>
  </si>
  <si>
    <t>Elaboración del diseño de acueducto interveredal zona campesina Usenda Silvia</t>
  </si>
  <si>
    <t>Acta de inicio - Orden de pago sin numero del 27/08/2010 por el valor de $111.538.400</t>
  </si>
  <si>
    <t>Acta de pago parcial n° 1 del 17/06/2011 - Factura de venta n° 1 por $250´961.400 - Orden de pago sin numero del 15/07/2011</t>
  </si>
  <si>
    <t>Acta de pago final n° 3 del 22/01/2013 - Factura de venta n° 5 por el valor de $27´884.600 - Orden de pago n° 96 del 22/07/2013</t>
  </si>
  <si>
    <t>Acta de pago parcial n° 1 de adicional del 14/07/2011 - Factura de venta n° 2 por el valor de $40´402.800 - Orden de pago sin numero del 10/08/2011</t>
  </si>
  <si>
    <t>Acta de liquidación del 17 de junio del año 2013</t>
  </si>
  <si>
    <t>Acta de pago final n° 4 adicional del 22/01/2013 - Factura de venta n° 6 por el valor de $4´489.200 - Orden de pago n° 97 del 22/07/2013</t>
  </si>
  <si>
    <t>Documentos soportes completos</t>
  </si>
  <si>
    <t>091-2010</t>
  </si>
  <si>
    <t>Carlos Fabian Suarez Villaquiran</t>
  </si>
  <si>
    <t>Elaboración diseños de optimización sistema de acueducto cabecera municipal de Buenos Aires (Cauca)</t>
  </si>
  <si>
    <t>Acta de iniciación - Orden de pago sin numero del 30/08/2010 por el valor de $6´148.000</t>
  </si>
  <si>
    <t>Acta n° 1 del 24/11/2010 - Factura de venta n° 045 por el valor de $7´685.000 - Orden de pago sin numero del 11/01/2011</t>
  </si>
  <si>
    <t>Acta n° 2 y final del 29/12/2011 - Factura de venta n° 054 por el valor de $7´685.000 - Orden de pago sin numero del 07/03/2012</t>
  </si>
  <si>
    <t>Acta de liquidación del 26 de enero del año 2012</t>
  </si>
  <si>
    <t>088-2010</t>
  </si>
  <si>
    <t>Consorcio Saneamiento del Cauca</t>
  </si>
  <si>
    <t>Elaboración del diseño optimización sistema de acueducto del corregimiento de Marsella Florencia</t>
  </si>
  <si>
    <t>Acta de iniciación - Orden de pago del 05/04/2010 por el valor de $24´000.000</t>
  </si>
  <si>
    <t>Acta n° 1 del 08/07/2011 - Factura n° 003 por el valor de $30´000.000 - Orden de pago sin numero del 12/08/2011</t>
  </si>
  <si>
    <t>Acta n° 2 contrato principal del 15/12/2011 - Factura n° 007 por el valor de $24´000.000 - FALTA ORDEN DE PAGO</t>
  </si>
  <si>
    <t>Falta Orden de pago por el valor de $24´000.000 correspondiente al acta n° 2</t>
  </si>
  <si>
    <t>Acta n° 03 y final contrato principal del 25/01/2013 - Factura n° 013 por el valor de $6´000.000 - Orden de pago n° 132 del 12/11/2012</t>
  </si>
  <si>
    <t>Acta n° 1 contrato adicional del 15/12/2011 - Factura n° 006 por el valor de $27´000.000 - Orden de pago del 19/12/2011</t>
  </si>
  <si>
    <t>Acta n° 2 y final del 25/01/2013 - Factura n° 012 por el valor de $3´000.000 - Orden de pago n° 133 del 12/11/2012</t>
  </si>
  <si>
    <t>066-2010</t>
  </si>
  <si>
    <t>Consorcio Molina</t>
  </si>
  <si>
    <t>Elaboración del diseño plan maestro de alcantarillado de la cabecera municipal de Totoro</t>
  </si>
  <si>
    <t>Acta de inicio - Orden de pago de diciembre/2010 por el valor de $13´437.242 correspondiente al 40% de anticipo</t>
  </si>
  <si>
    <t>Acta de liquidación del 07 de septiembre de 2012</t>
  </si>
  <si>
    <t>Acta n° 1 del 14/03/2011 por el valor de 16´796.553 - Orden de pago de abril/2011</t>
  </si>
  <si>
    <t>Acta n° 3 y final del 24/07/2012 por el valor de $3´359.320,60</t>
  </si>
  <si>
    <t>Acta n° 2 del 24/07/2012 por el valor de $13´437.242, 40</t>
  </si>
  <si>
    <t>Falta: factura por el valor de $16´796.553 - Orden de pago y factura por el valor de $13´437.242,40 - Orden de pago y factura por el valor de $3´359.310,60 - Plan de pagos</t>
  </si>
  <si>
    <t>Julio Cesar Lara Silva</t>
  </si>
  <si>
    <t>065-2010</t>
  </si>
  <si>
    <t>Elaboración del diseño de optimización plan maestro de alcantarillado de la cabecera municipal de Balboa</t>
  </si>
  <si>
    <t>Acta de liquidación del 11/06/2013</t>
  </si>
  <si>
    <t>Cuenta de cobro - Orden de pago del 23/06/2011 por el valor de $24´534.000 correspondiente al 40% de anticipo</t>
  </si>
  <si>
    <t>Acta n° 1 del 22/07/2013 - Factura n° 0194 por el valor de $61´335.000 - Orden de pago n° 127 del 30/10/2013</t>
  </si>
  <si>
    <t>067-2010</t>
  </si>
  <si>
    <t>Elaboración diseño acueducto interveredal Cargachiquillos, municipio de Totoro - Cauca</t>
  </si>
  <si>
    <t>Consorcio Cauca 2010</t>
  </si>
  <si>
    <t>Falta orden de pago por el valor de $82,702.263</t>
  </si>
  <si>
    <t>Acta n° 3 del 24/01/2012 - Factura n° 5 por el valor de $22´007.416 - Orden de pago del 15/05/2012 (CDR 174)</t>
  </si>
  <si>
    <t>Acta de inicio - Orden de pago del 27/08/2010 por el valor de $39´712.971 correspondiente al 40% de anticipo (CDR 91)</t>
  </si>
  <si>
    <t>Acta n° 1 del 31/03/2011 y factura de n° 01 por el valor de $82´702.263 (CDR 91)</t>
  </si>
  <si>
    <t>Acta n° 2 del 24/01/2012 - Factura n° 4 por el valor de $22´598.346 - Orden de pago del 15/05/2012 (CDR 167)</t>
  </si>
  <si>
    <t>Acta n° 4 del 14/03/2013 - Factura n° 27 por el valor de $16´580.165 - Orden de pago n° 223 del 21/11/2014 (CDR 91)</t>
  </si>
  <si>
    <t>Acta n° 5 del 14/03/2013 - Factura n° 19 por el valor de $2´510.927 - Orden de pago n° 234 del 21/11/2014 (CDR 167)</t>
  </si>
  <si>
    <t>Acta n° 6 y final del 14/03/2013 - Factura n° 20 por el valor de $2´445.268 - Orden de pago n° 235 del 21/11/2014 (CDR 174)</t>
  </si>
  <si>
    <t>Acta de liquidación del 15 de agosto del año 2014</t>
  </si>
  <si>
    <t>Acta de liquidación del 7 de julio de 2014</t>
  </si>
  <si>
    <t>070-2010</t>
  </si>
  <si>
    <t>068-2010</t>
  </si>
  <si>
    <t>069-2010</t>
  </si>
  <si>
    <t>Consorcio alcantarillado Guachené</t>
  </si>
  <si>
    <t>Elaboración del diseño sistema de alcantarillado de la cabecera municipal de Guachené.</t>
  </si>
  <si>
    <t>Acta de suspensión n° 05 del 23 de Noviembre de 2012</t>
  </si>
  <si>
    <t>Acta de iniciación - Orden de pago de septiembre/2010 por el valor de $29´232.000 correspondiente al valor del anticipo</t>
  </si>
  <si>
    <t>Acta recibo parcial n° 1 del 20/11/2012 - Factura n° 3 por el valor de $65´772.000 - Orden de pago n° 54 del 03/01/2013</t>
  </si>
  <si>
    <t>Documentos completos hasta el dia 13/09/2017</t>
  </si>
  <si>
    <t>Consorcio C&amp;C Guachené</t>
  </si>
  <si>
    <t>Elaboración del diseño sistema de acueducto de la cabecera municipal de Guachene</t>
  </si>
  <si>
    <t>Acta de liquidación del 27 de junio de 2014</t>
  </si>
  <si>
    <t>Acta de recibo parcial n° 1 del contrato principal n° 69 del 2010 02/03/2012 - Factura n° 1 por el valor de $39´119.828 - Orden de pago del 13/03/2012</t>
  </si>
  <si>
    <t>Acta de recibo parcial n° 1 del contrato adicional del contrato n° 69 de 2010 del 02/03/2012 - Factura n° 2 por el valor de $7´880.895 - Orden de pago del 13/03/2012</t>
  </si>
  <si>
    <r>
      <rPr>
        <b/>
        <sz val="12"/>
        <color theme="1"/>
        <rFont val="Calibri"/>
        <family val="2"/>
        <scheme val="minor"/>
      </rPr>
      <t xml:space="preserve">Contrato liquidado con pago parcial: </t>
    </r>
    <r>
      <rPr>
        <sz val="12"/>
        <color theme="1"/>
        <rFont val="Calibri"/>
        <family val="2"/>
        <scheme val="minor"/>
      </rPr>
      <t>Una vez se pague el saldo al contratista, se pueden liberar $33.524 ($13.410 Fuente departamento y $20.114 de fuente nación. Se deben hacer los respectivos ajustes dada la confusión de fuentes del FIA al momento del pago.</t>
    </r>
  </si>
  <si>
    <t>Consorcio San Sebastian 2010</t>
  </si>
  <si>
    <t xml:space="preserve">Elaboración del diseño para el mejoramientode la PTAP de la cabecera municipal de San Sebastian </t>
  </si>
  <si>
    <t>Acta de iniciación - Orden de pago del 27/08/2010 por el valor de $22´968.000 correspondiente al valor del 40% del contrato</t>
  </si>
  <si>
    <t>039-2010</t>
  </si>
  <si>
    <t>Jose Gregorio Guzman Anacona</t>
  </si>
  <si>
    <t>Prestar sus servicios profesionales para realizar la interventoria administrativa, financiera, tecnica y ambiental a los siguientes proyectos: A) Diseño acueducto La Toma - Suarez. B) Diseño acueducto interveredal Asnazu - Suarez.</t>
  </si>
  <si>
    <t>40% de anticipo, segundo pago mediante acta parcial y un tercer pago por acta final.</t>
  </si>
  <si>
    <t>Acta de iniciación - Cuenta de cobro por el valor de $6´385.159,60 - Orden de pago n° 6 del 15/06/2010 por el valor de $6´385.160 (Pago con CDR 45 y 46)</t>
  </si>
  <si>
    <t>Acta de iniciación - Cuenta de cobro por el valor de $6´385.159,60 - Orden de pago n° 6 del 15/06/2010 por el valor d43e $6´385.160 (Pago con CDR 45 de´$3´698.080  y CDR 46 de $2´687.080)</t>
  </si>
  <si>
    <t>Acta n° del 03/11/2010 - Factura n° 060 por el valor de $11´174.029 - Orden de pago de dic/2010 (Pago por CDR 45 de $6´480.937 y pago por CDR 46 de $4´693.092</t>
  </si>
  <si>
    <t>Acta n° 2 del 30/08/2011 - Factura n° 065 Por el valor de $3´192.580 - Orden de pago del 04/11/2011 (Pago por CDR 45 El valor de $1´849.040 y el CDR 46 el valor de $1´343.540)</t>
  </si>
  <si>
    <t>Acta n° 3 del 30/08/2011 - Factura n° 065 Por el valor de $3´192.580 - Orden de pago del 04/11/2011 (Pago por CDR 45 El valor de $1´849.040 y el CDR 46 el valor de $1´343.540)</t>
  </si>
  <si>
    <t>Acta de liquidación del 14 de agosto del año 2017</t>
  </si>
  <si>
    <t>074-2010</t>
  </si>
  <si>
    <t>Elaboración del diseño de optimización sistema de alcantarillado de la cabecera municipal de Cajibio</t>
  </si>
  <si>
    <t>40% de anticipo, primer pago de 90% y segundo pago del 10%</t>
  </si>
  <si>
    <t>Acta de iniciación - Orden de pago de sep/2010 por el valor de $24´719.890</t>
  </si>
  <si>
    <t>Acta n° 1 del 17/08/2011 - Factura de venta n° 4 por el valor de $55´619.753,40 - Orden de pago del 15/09/2011</t>
  </si>
  <si>
    <t>Acta n° 02 y final del 30/08/2012 - Factura de venta n° 10 por el valor de $6´179.972,60 - Orden de pago n° 116 del 16/10/2013</t>
  </si>
  <si>
    <t>Acta de liquidación del 11 de junio del año 2013</t>
  </si>
  <si>
    <r>
      <t xml:space="preserve">Contrato liquidado y pagado: </t>
    </r>
    <r>
      <rPr>
        <sz val="12"/>
        <color theme="1"/>
        <rFont val="Calibri"/>
        <family val="2"/>
        <scheme val="minor"/>
      </rPr>
      <t>Se debe liberar el valor de 29.118 del CDR n° 98. Hubo confusión en el pago de fuentes, se debe determinar de que fuente se libera dicha cantidad.</t>
    </r>
  </si>
  <si>
    <t>098-2010</t>
  </si>
  <si>
    <t>Consorcio Obras Sanitarias</t>
  </si>
  <si>
    <t>Construcción sistema de alcantarillado y PTAR cabecera municipal de la Vega - Cauca.</t>
  </si>
  <si>
    <t>40% de anticipo, primer pago parcial a partir de un avance del 50% del valor contratado, y asi hasta completar el 90% de avance del valor contratado. El 10% restante con acta de recibo final de la obra</t>
  </si>
  <si>
    <t>Obra Publica</t>
  </si>
  <si>
    <t>Acta n° 4 y final del 14/08/2017</t>
  </si>
  <si>
    <r>
      <rPr>
        <b/>
        <sz val="12"/>
        <color theme="1"/>
        <rFont val="Calibri"/>
        <family val="2"/>
        <scheme val="minor"/>
      </rPr>
      <t>Contrato liquidado con pago parcial</t>
    </r>
    <r>
      <rPr>
        <sz val="12"/>
        <color theme="1"/>
        <rFont val="Calibri"/>
        <family val="2"/>
        <scheme val="minor"/>
      </rPr>
      <t>: El contrato cuenta con acta n° 4 y final del 14/08/2017, donde se ordena amortizar el valor de $638.516,40 por anticipo (CDR 45 $362.105 y CDR 46 $276.411), y un pago neto al contratista de $5´580.373 (El pago se debe realizar por los CDRs 45, 46 y 161), hasta la fecha el contratista no ha presentado los documentos requeridos para dicho pago.</t>
    </r>
  </si>
  <si>
    <t>Falta factura y orden de pago correspondiente al acta n° 4 y final</t>
  </si>
  <si>
    <t>Acta de liquidación del 30 de julio del año 2013</t>
  </si>
  <si>
    <t>Terminado con acta de cierre</t>
  </si>
  <si>
    <t>Acta de iniciación - Orden de pago de septiembre/2010 por el valor de $427´908.652 (Valor cancelado por CDR 01 y CDR 118)</t>
  </si>
  <si>
    <t>Acta de recibo y pago parcial n° 1 - Factura de venta 1 por el valor de $649´502.744 - Orden de pago del 21/09/2011 (Pago de acta realizado por CDR 02 y 150)</t>
  </si>
  <si>
    <t>Acta de recibo y pago parcial n° 3 del 17/08/2012 - Factura de venta n° 9 por el valor de $336´793.811 - Orden de pago n° 29 del 14/11/2012 (Pago de factura por los CDRs 1, 118, 2 y 150)</t>
  </si>
  <si>
    <t>Acta de recibo y pago parcial n° 4 del 08/05/2012 - Factura de venta n° 51 por el valor de $151´909.996 - Orden de pago n° 29 del 08/04/2012</t>
  </si>
  <si>
    <t>Acta de recibo y pago parcial n° 2</t>
  </si>
  <si>
    <t xml:space="preserve">Falta: Factura de venta y orden de pago correspondiente al acta de pago parcial n° 2 por el valor de $296´907.829,99 </t>
  </si>
  <si>
    <t>La vega - SGP</t>
  </si>
  <si>
    <r>
      <rPr>
        <b/>
        <sz val="12"/>
        <color theme="1"/>
        <rFont val="Calibri"/>
        <family val="2"/>
        <scheme val="minor"/>
      </rPr>
      <t>Contrato suspendido:</t>
    </r>
    <r>
      <rPr>
        <sz val="12"/>
        <color theme="1"/>
        <rFont val="Calibri"/>
        <family val="2"/>
        <scheme val="minor"/>
      </rPr>
      <t xml:space="preserve"> Según informe tecnico entregado el 19 de octubre de 2016 la obra se ha ejecutado en un 94%, dando como resultado un Saldo por ejecutar $160´961.983. De los CDRs 1, 2, 150 y 233 según comparación del valor de expedición de los mismos vs los valores imputados al contrato se deben liberar saldos, es decir por el no uso del CDR. Aun no se puede determinar si se deben liberar saldos por la no ejecución hasta que no se realice acta de recibo final o acta de liquidación.</t>
    </r>
  </si>
  <si>
    <t>Acta de suspensión n° 03</t>
  </si>
  <si>
    <t>102-2010</t>
  </si>
  <si>
    <t>Consorcio Rios</t>
  </si>
  <si>
    <t>La interventoria tecnica, administrativa y financiera a las obras y suministros de los siguientes proyectos: 1) Construcción segunda etapa acueducto interveredal del corregimiento de Puerto Rico, municipio de Argelia. 2) Terminación plan maestro de alcantarillado cabecera municipal de la Vega. 3) Construcción acueducto rural Patugo, municipio Purace Cauca.</t>
  </si>
  <si>
    <t>Un primer pago equivalente al 40% del valor total del contrato con la legalización del mismo, previa aprobación del cronograma de trabajo. El saldo mediante pagos parciales mensuales.</t>
  </si>
  <si>
    <t>Cuenta de cobro 40% por anticipo - Orden de pago de junio/2011 por el valor de $12´096.662 (Municipio Argelia - Se cancela por CDR 3 valor $7´125.265  Y 156 valor $4´971.397)</t>
  </si>
  <si>
    <t>Cuenta de cobro 40% por anticipo - Orden de pago de junio/2011 por el valor de $12´096.662 (Municipio Argelia - Se cancela por CDR 3 valor $7´125.265  Y 156  valor $4´971.397)</t>
  </si>
  <si>
    <t>Cuenta de cobro por el 40% de anticipo - Orden de pago de junio/2011 por el valor de $41´087.716 (Municipio de La Vega)</t>
  </si>
  <si>
    <t>Cuenta de cobro por el 40% de anticipo - Orden de pago de junio/2011 por el valor de $15´890.976 (Municipio de Purace - Se paga por el CDR 3 valor $7´132.707 y CDR 157 valor $8´758.269)</t>
  </si>
  <si>
    <t>Acta de recibo parcial n° 1 del 09/12/2011 (Municipio Purace) - Factura de venta n° 7 por el valor de $33´106.200 - Orden de pago del 07/03/2012 (Se cancela por CDR 157 por el valor de $14´859.806 y CDR 3 por el valor de 18´246.394)</t>
  </si>
  <si>
    <t>Acta de recibo parcial n° 1 del 09/12/2011 por el valor de $25´200.970 se cancela por CDR 3 Y 156</t>
  </si>
  <si>
    <t>Acta de recibo parcial n° 1 del 09/12/2011 por el valor de $85´599.816,7</t>
  </si>
  <si>
    <t>Acta de suspensión n° 3 del 20/08/2013</t>
  </si>
  <si>
    <t>Falta: Factura n° 3 y orden de pago por el valor de $25´200.970 del municipio de Argelia. Factura n° 4 y orden de pago por el valor de $85´599.816,7 del municipio de La Vega. Y CDR 156 de Argelia.</t>
  </si>
  <si>
    <t>103-2010</t>
  </si>
  <si>
    <t>La interventoria tecnica, administrativa y financiera a la obra y suministros del siguiente proyecto: "Construcción e implementación del plan maestro de alcantarillado en el area urbana del municipio de Santander de Quilichao"</t>
  </si>
  <si>
    <t>Un primer pago equivalente al 40% del valor total del contrato con la legalización del mismo, el saldo mediante pagos parciales mensuales, previa presentación y aceptación por el supervisor designado.</t>
  </si>
  <si>
    <t>Cuenta de cobro - Orden de pago del 08/11/2011 por el valor de $61´971.840 correspondiente al 40% de anticipo (Valor cancelado por: CDR 223 valor $26´462.373 y CDR 02 valor $35´509.467)</t>
  </si>
  <si>
    <t>Acta n° 1 del 30/09/2014 - Factura de venta n° 1  por el valor de $136´508.471</t>
  </si>
  <si>
    <t>Acta de terminación del 06/02/2015</t>
  </si>
  <si>
    <t>Acta de terminación del 06/02/2015 saldo a pagar a contratista $16´856.340 (Pago por CDR 223 y 02)</t>
  </si>
  <si>
    <r>
      <rPr>
        <b/>
        <sz val="12"/>
        <color theme="1"/>
        <rFont val="Calibri"/>
        <family val="2"/>
        <scheme val="minor"/>
      </rPr>
      <t>Contrato terminado sin liquidar:</t>
    </r>
    <r>
      <rPr>
        <sz val="12"/>
        <color theme="1"/>
        <rFont val="Calibri"/>
        <family val="2"/>
        <scheme val="minor"/>
      </rPr>
      <t xml:space="preserve">  De acuerdo a la información consignada en el acta de terminación del 06 de febrero del año 2015 el acta n° 2 y final se expide por un valor de $16´856.340 del cual se debe amortizar un saldo del anticipo por $7´368.452, el valor neto a pagar al contratista (saldo a favor) es de $9´487.888, ademas se indica que el valor de $1´564.789 no se ejecuto. En conclusión una vez se liquide el contrato y se hagan los pagos que corresponden, se deben liberar los siguientes saldos: Del CDR 223 el valor de $617.714 (Valor no ejecutado), del CDR 02 el valor de $161.815 por no uso del mismo y $947.075 (valor no ejecutado), es decir un total de $1´108.890</t>
    </r>
  </si>
  <si>
    <t>Falta: Orden de pago por el valor de $136´508.471 correspondiente al acta de pago pacial n° 1. Falta acta n° 2 y final</t>
  </si>
  <si>
    <t>104-2010</t>
  </si>
  <si>
    <t>Consorcio Santa Monica</t>
  </si>
  <si>
    <t>La interventoria tecnica, administrativa y financiera a la obra y suministros del siguiente proyecto: "Construcción mejoramiento plan maestro de alcantarillado zona urbana del municipio de Silvia"</t>
  </si>
  <si>
    <t>Un primer pago equivalente al 40% del valor total con la legalización del contrato, el saldo mediante pagos parciales mensuales previa presentación y aprobación y aceptación del supervisor.</t>
  </si>
  <si>
    <t>Acta de inicio del 07/10/2010 - Cuenta de cobro del 11/08/2011 - Orden de pago del 11/08/2011 por el valor de $58´133.453 correspondiente al valor del 40%</t>
  </si>
  <si>
    <t xml:space="preserve">Acta de recibo parcial n° 1 del 09/12/2011 - Factura de venta n° 04 por el valor de $127´166.928 - Orden de pago del 15/12/2011 </t>
  </si>
  <si>
    <t>Acta de liquidación final del 08/10/2013 - Factura de venta n° 12 por el valor de $18´166.704 - Orden de pago n° 163 del 09/04/2014</t>
  </si>
  <si>
    <t>Acta de liquidación del 08/10/2013</t>
  </si>
  <si>
    <t>105-2010</t>
  </si>
  <si>
    <t>Consorcio LML</t>
  </si>
  <si>
    <t>La interventoria tecnica, administrativa y financiera a la obra y suministros del siguiente proyecto: "Construcción sistema de abastecimiento de agua potable en los distritos 4 y 5 interveredal Tunia, Municipio de Piendamo"</t>
  </si>
  <si>
    <t>Un primer pago equivalente al 40% del valor total del contrato, el saldo mediante pagos parciales mensuales, previa presentación y aceptación del supervisor.</t>
  </si>
  <si>
    <t>Acta de iniciación del 17/11/2010 - Cuenta de cobro por el 40% de anticipo - Orden de pago por el valor de $92´507.680</t>
  </si>
  <si>
    <t>Factura n° 003 por el valor de $57´817.300 - Orden de pago de marzo/2015</t>
  </si>
  <si>
    <t>Acta de pago parcial n° 4 del 17/03/2011, acta n° 5 del 17/04/2011 y acta n° 6 del 17/05/2011 cada una por el valor de $19´272.433,3 - Orden de pago del 21/06/2011</t>
  </si>
  <si>
    <t>Acta de pago parcial n° 7 del 17/06/2011, acta n° 8 del 17/07/2011 y acta n° 9 del 17/08/2011 cada una por el valor de $19´272.433,3 - Factura n° 005 por el valor de $57´817.300 - Orden de pago del 19/09/2011</t>
  </si>
  <si>
    <t>Acta n° 12 del 30/12/2011 por el valor de $21´200.000</t>
  </si>
  <si>
    <t>Falta: Actas parciales n° 1, 2 y 3 - Factura n° 004 por el valor de $57´817.300. Faltan actas parciales n° 10 y 11, factura correspondiente a estas a estas actas y orden de pago de las mismas.</t>
  </si>
  <si>
    <t>Acta de suspensión n° 2 del 28 de diciembre del año 2011</t>
  </si>
  <si>
    <r>
      <t xml:space="preserve">Contrato suspendido: </t>
    </r>
    <r>
      <rPr>
        <sz val="12"/>
        <color theme="1"/>
        <rFont val="Calibri"/>
        <family val="2"/>
        <scheme val="minor"/>
      </rPr>
      <t>No se pueden liberar saldos hasta que se reinicie la interventoria o exista acta de cierre o de liquidación.</t>
    </r>
  </si>
  <si>
    <t>107-2010</t>
  </si>
  <si>
    <t>Elaboración diseño optimización sistema de alcantarillado cabecera municipal Caloto - Cauca</t>
  </si>
  <si>
    <t>40% de anticipo, primer pago del 30% del valor del contrato, segundo pago del 30% del valor total del contrato. Para proceder a cancelar el ultimo pago, una vez finalizado el contrato, se requiere la presentación por parte del contratista del proyecto en original y acta de liquidación.</t>
  </si>
  <si>
    <t>Acta de iniciación del 29/10/2010 - Cuenta de cobro - Orden de pago por el valor correspondiente al 40% de anticipo $22´944.800</t>
  </si>
  <si>
    <t>Acta de recibo final de 5 de mayo del año 2016</t>
  </si>
  <si>
    <t>Acta de pago parcial n° 1 contrato principal del 01/03/2013 - Factura de venta n° 3 por el valor de $40´153.400 - Orden de pago n° 105 del 26/09/2013</t>
  </si>
  <si>
    <t>Acta de pago parcial n° 1 contrato adicional del 01/03/2013 - Factura de venta n° 4 por el valor de $20´076.700 - Orden de pago n° 106 del 26/09/2013</t>
  </si>
  <si>
    <t>Acta de recibo final del 05/05/2016</t>
  </si>
  <si>
    <t>Completos hasta la fecha de revisión - 26/09/2017</t>
  </si>
  <si>
    <t>109-2010</t>
  </si>
  <si>
    <t>AN Construdiseños Ltda</t>
  </si>
  <si>
    <t>Elaboración diseño optimización sistema de acueducto cabecera municipal incluye PTAP de Piamonte - Cauca</t>
  </si>
  <si>
    <t>40% de anticipo, primer pago del 30%, segundo pago del 30% y para proceder a cancelar el ultimo pago, una vez finalizado el contrato, el contratista debera presentar el proyecto original y el acta de liquidación</t>
  </si>
  <si>
    <t>Acta de iniciación de consultoria del 27/12/2010 - Cuenta de cobro - Orden de pago por el valor de $15´950.000</t>
  </si>
  <si>
    <t>Acta de suspensión n° 5 del 4 de enero del año 2013</t>
  </si>
  <si>
    <t>Hasta la fecha de revisión los documentos soportes se encuentran completos - Revisión el 27/09/2017</t>
  </si>
  <si>
    <r>
      <t xml:space="preserve">Contrato suspendido: </t>
    </r>
    <r>
      <rPr>
        <sz val="12"/>
        <color theme="1"/>
        <rFont val="Calibri"/>
        <family val="2"/>
        <scheme val="minor"/>
      </rPr>
      <t>No se puede determinar si hay saldos a liberar, ademas el contrato cuenta con un proceso de multas.</t>
    </r>
  </si>
  <si>
    <r>
      <rPr>
        <b/>
        <sz val="12"/>
        <color theme="1"/>
        <rFont val="Calibri"/>
        <family val="2"/>
        <scheme val="minor"/>
      </rPr>
      <t>Contrato liquidado con pago parcial:</t>
    </r>
    <r>
      <rPr>
        <sz val="12"/>
        <color theme="1"/>
        <rFont val="Calibri"/>
        <family val="2"/>
        <scheme val="minor"/>
      </rPr>
      <t xml:space="preserve"> Falta por amortizar el valor de $6´718.621, el contratista tiene un saldo a favor de $10´077.932. Del CDR 90 se puede liberar: $18.758 de fuente departamento y $28.136 de fuente nación</t>
    </r>
  </si>
  <si>
    <t>Acta de liquidación del 27/06/2014</t>
  </si>
  <si>
    <t>Acta de liquidación del 07/07/2014</t>
  </si>
  <si>
    <t>Acta de liquidación final del 15/10/2013 - Factura de venta por $8´174.705,10 (Pago con CDR 106 y 188)</t>
  </si>
  <si>
    <t>Acta de pago parcial n° 1 del 26 de marzo de 2012 (Pago con CDR 106 y 188)</t>
  </si>
  <si>
    <r>
      <rPr>
        <b/>
        <sz val="12"/>
        <color theme="1"/>
        <rFont val="Calibri"/>
        <family val="2"/>
        <scheme val="minor"/>
      </rPr>
      <t xml:space="preserve">Contrato liquidado con pago parcial: </t>
    </r>
    <r>
      <rPr>
        <sz val="12"/>
        <color theme="1"/>
        <rFont val="Calibri"/>
        <family val="2"/>
        <scheme val="minor"/>
      </rPr>
      <t>A pesar que en el acta de liquidación aparecen pendientes de pago $8.174.051, en el portal FIA solo hay un saldo de $5.885.492 . Dado que no están las órdenes de pago no  es posible determinar porque se pagó de más $2.307.662. Cabe resaltar que en el primer pago se amortizo todo el anticipo.</t>
    </r>
  </si>
  <si>
    <r>
      <rPr>
        <b/>
        <sz val="12"/>
        <color theme="1"/>
        <rFont val="Calibri"/>
        <family val="2"/>
        <scheme val="minor"/>
      </rPr>
      <t>Contrato liquidado con pago parcial:</t>
    </r>
    <r>
      <rPr>
        <sz val="12"/>
        <color theme="1"/>
        <rFont val="Calibri"/>
        <family val="2"/>
        <scheme val="minor"/>
      </rPr>
      <t xml:space="preserve"> El pago parcial n° 1 no se hizo completo el contratista tiene un valor de $477.000 a favor.</t>
    </r>
  </si>
  <si>
    <r>
      <rPr>
        <b/>
        <sz val="12"/>
        <color theme="1"/>
        <rFont val="Calibri"/>
        <family val="2"/>
        <scheme val="minor"/>
      </rPr>
      <t>Contrato suspendido:</t>
    </r>
    <r>
      <rPr>
        <sz val="12"/>
        <color theme="1"/>
        <rFont val="Calibri"/>
        <family val="2"/>
        <scheme val="minor"/>
      </rPr>
      <t xml:space="preserve"> No se pueden liberar saldos hasta que no se reinicie la interventoria y exista acta de recibido final y acta de liquidación</t>
    </r>
  </si>
  <si>
    <r>
      <rPr>
        <b/>
        <sz val="12"/>
        <color theme="1"/>
        <rFont val="Calibri"/>
        <family val="2"/>
        <scheme val="minor"/>
      </rPr>
      <t>Contrato liquidado y pagado:</t>
    </r>
    <r>
      <rPr>
        <sz val="12"/>
        <color theme="1"/>
        <rFont val="Calibri"/>
        <family val="2"/>
        <scheme val="minor"/>
      </rPr>
      <t xml:space="preserve"> Sin saldos por liberar</t>
    </r>
  </si>
  <si>
    <r>
      <rPr>
        <b/>
        <sz val="12"/>
        <color theme="1"/>
        <rFont val="Calibri"/>
        <family val="2"/>
        <scheme val="minor"/>
      </rPr>
      <t>Contrato liquidado y pagado:</t>
    </r>
    <r>
      <rPr>
        <sz val="12"/>
        <color theme="1"/>
        <rFont val="Calibri"/>
        <family val="2"/>
        <scheme val="minor"/>
      </rPr>
      <t xml:space="preserve"> Se debe liberar el valor de $75.029 de fuente departamento y $112.543 de fuente nación del CDR 91. </t>
    </r>
    <r>
      <rPr>
        <b/>
        <sz val="12"/>
        <color rgb="FFFF0000"/>
        <rFont val="Calibri"/>
        <family val="2"/>
        <scheme val="minor"/>
      </rPr>
      <t>Al parecer el pago de $22´007.416 que se realizo por el CDR 174 se realizo doble, Revisar este punto con el consorcio FIA.</t>
    </r>
  </si>
  <si>
    <r>
      <rPr>
        <b/>
        <sz val="12"/>
        <color theme="1"/>
        <rFont val="Calibri"/>
        <family val="2"/>
        <scheme val="minor"/>
      </rPr>
      <t>Contrato suspendido:</t>
    </r>
    <r>
      <rPr>
        <sz val="12"/>
        <color theme="1"/>
        <rFont val="Calibri"/>
        <family val="2"/>
        <scheme val="minor"/>
      </rPr>
      <t xml:space="preserve"> Falta por amortizar el valor de $2´923.200 del anticipo. Hasta tanto no se liquide no se puede determinar si hay saldos por liberar.</t>
    </r>
  </si>
  <si>
    <r>
      <rPr>
        <b/>
        <sz val="12"/>
        <color theme="1"/>
        <rFont val="Calibri"/>
        <family val="2"/>
        <scheme val="minor"/>
      </rPr>
      <t xml:space="preserve">Contrato liquidado con pago parcial: </t>
    </r>
    <r>
      <rPr>
        <sz val="12"/>
        <color theme="1"/>
        <rFont val="Calibri"/>
        <family val="2"/>
        <scheme val="minor"/>
      </rPr>
      <t>Una vez se le pague el saldo al contratista, se pueden liberar $16.572 ($6.629 fuente departamento y $9.943 de fuente nación).  Los saldos a liberar por fuente de financiación se calcularon proporcionalmente. En el pago se debe amortizar todo el valor del anticipo.</t>
    </r>
  </si>
  <si>
    <r>
      <rPr>
        <b/>
        <sz val="12"/>
        <color theme="1"/>
        <rFont val="Calibri"/>
        <family val="2"/>
        <scheme val="minor"/>
      </rPr>
      <t>Contrato liquidado y pagado:</t>
    </r>
    <r>
      <rPr>
        <sz val="12"/>
        <color theme="1"/>
        <rFont val="Calibri"/>
        <family val="2"/>
        <scheme val="minor"/>
      </rPr>
      <t xml:space="preserve"> De acuerdo a los documentos soportes Emcaservicios ordeno el pago neto de $29´580.000, según el portal FIA en los pagos relacionados solo se desembolso el valor de $11´832.000 por fuente departamento, no se refleja el pago de $17´748.000 por fuente nación. Hay una inconsistencia en esta información, ya que en el portal FIA la suma de los pagos da un total de $49´300.000, cuando en realidad los tres pagos relacionados suman $31´552.000</t>
    </r>
  </si>
  <si>
    <r>
      <t xml:space="preserve">Contrato liquidado y pagado: </t>
    </r>
    <r>
      <rPr>
        <sz val="12"/>
        <color theme="1"/>
        <rFont val="Calibri"/>
        <family val="2"/>
        <scheme val="minor"/>
      </rPr>
      <t>Sin saldos por liberar</t>
    </r>
  </si>
  <si>
    <r>
      <rPr>
        <b/>
        <sz val="12"/>
        <color theme="1"/>
        <rFont val="Calibri"/>
        <family val="2"/>
        <scheme val="minor"/>
      </rPr>
      <t>Contrato terminado sin liquidar:</t>
    </r>
    <r>
      <rPr>
        <sz val="12"/>
        <color theme="1"/>
        <rFont val="Calibri"/>
        <family val="2"/>
        <scheme val="minor"/>
      </rPr>
      <t xml:space="preserve"> Según acta de cierre, no se le reconocen $4.407.995 al contratista dado que se perdió competencia para liquidar el contrato.  Una vez hechos los cruces por la confusión de fuentes, se pueden liberar $2.644.826. El contratista debe hacer devolución de $1´763.216 del anticipo.</t>
    </r>
  </si>
  <si>
    <r>
      <rPr>
        <b/>
        <sz val="12"/>
        <color theme="1"/>
        <rFont val="Calibri"/>
        <family val="2"/>
        <scheme val="minor"/>
      </rPr>
      <t>Contrato liquidado y pagado:</t>
    </r>
    <r>
      <rPr>
        <sz val="12"/>
        <color theme="1"/>
        <rFont val="Calibri"/>
        <family val="2"/>
        <scheme val="minor"/>
      </rPr>
      <t xml:space="preserve"> Se deben liberar $2 de fuente nación</t>
    </r>
  </si>
  <si>
    <r>
      <rPr>
        <b/>
        <sz val="12"/>
        <color theme="1"/>
        <rFont val="Calibri"/>
        <family val="2"/>
        <scheme val="minor"/>
      </rPr>
      <t>Contrato liquidado y pagado:</t>
    </r>
    <r>
      <rPr>
        <sz val="12"/>
        <color theme="1"/>
        <rFont val="Calibri"/>
        <family val="2"/>
        <scheme val="minor"/>
      </rPr>
      <t xml:space="preserve"> sin saldos por liberar</t>
    </r>
  </si>
  <si>
    <r>
      <rPr>
        <b/>
        <sz val="12"/>
        <color theme="1"/>
        <rFont val="Calibri"/>
        <family val="2"/>
        <scheme val="minor"/>
      </rPr>
      <t>Contrato liquidado y pagado:</t>
    </r>
    <r>
      <rPr>
        <sz val="12"/>
        <color theme="1"/>
        <rFont val="Calibri"/>
        <family val="2"/>
        <scheme val="minor"/>
      </rPr>
      <t xml:space="preserve"> Se debe liberar $1 de fuente nación del CDR 175</t>
    </r>
  </si>
  <si>
    <t>Pagos que faltan por CDR</t>
  </si>
  <si>
    <r>
      <rPr>
        <b/>
        <sz val="12"/>
        <color theme="1"/>
        <rFont val="Calibri"/>
        <family val="2"/>
        <scheme val="minor"/>
      </rPr>
      <t xml:space="preserve">Contrato liquidado y pagado: </t>
    </r>
    <r>
      <rPr>
        <sz val="12"/>
        <color theme="1"/>
        <rFont val="Calibri"/>
        <family val="2"/>
        <scheme val="minor"/>
      </rPr>
      <t>Sin saldos a liberar</t>
    </r>
  </si>
  <si>
    <r>
      <rPr>
        <b/>
        <sz val="12"/>
        <color theme="1"/>
        <rFont val="Calibri"/>
        <family val="2"/>
        <scheme val="minor"/>
      </rPr>
      <t>Contrato vencido sin liquidar:</t>
    </r>
    <r>
      <rPr>
        <sz val="12"/>
        <color theme="1"/>
        <rFont val="Calibri"/>
        <family val="2"/>
        <scheme val="minor"/>
      </rPr>
      <t xml:space="preserve"> Falta por amortizar el valor de $613.267 del anticipo del CDR n° 41 por fuente departamento y liberar el valor de $952.108 del mismo CDR. Del CDR n° 43 se debe liberar $3. Del CDR n° 44 se debe liberar el valor de $4.656</t>
    </r>
  </si>
  <si>
    <r>
      <rPr>
        <b/>
        <sz val="12"/>
        <color theme="1"/>
        <rFont val="Calibri"/>
        <family val="2"/>
        <scheme val="minor"/>
      </rPr>
      <t>Contrato en ejecución:</t>
    </r>
    <r>
      <rPr>
        <sz val="12"/>
        <color theme="1"/>
        <rFont val="Calibri"/>
        <family val="2"/>
        <scheme val="minor"/>
      </rPr>
      <t xml:space="preserve"> Falta por amortizar el valor de $2´349.073 por anticipo. Del CDR 33, 34, 35 y 194 hay saldos disponibles para utilizar para los pagos finales</t>
    </r>
  </si>
  <si>
    <r>
      <rPr>
        <b/>
        <sz val="12"/>
        <color theme="1"/>
        <rFont val="Calibri"/>
        <family val="2"/>
        <scheme val="minor"/>
      </rPr>
      <t>Contrato suspendido:</t>
    </r>
    <r>
      <rPr>
        <sz val="12"/>
        <color theme="1"/>
        <rFont val="Calibri"/>
        <family val="2"/>
        <scheme val="minor"/>
      </rPr>
      <t xml:space="preserve"> Hasta el momento se ha hecho solo un pago del 40% del anticipo, por lo tanto esta pendiente por amortizar el valor de $8´988.000 cuando se realice la liquidación del contrato. Del CDR n° 66 se puede liberar $394 de fuente departamento y $590 de fuente nación.</t>
    </r>
  </si>
  <si>
    <r>
      <rPr>
        <b/>
        <sz val="12"/>
        <rFont val="Calibri"/>
        <family val="2"/>
        <scheme val="minor"/>
      </rPr>
      <t>Contrato terminado sin liquidar:</t>
    </r>
    <r>
      <rPr>
        <sz val="12"/>
        <rFont val="Calibri"/>
        <family val="2"/>
        <scheme val="minor"/>
      </rPr>
      <t xml:space="preserve"> Según ultimo documento en el tomo n° 3 el contrato esta terminado sin liquidar. Falta por amortizar del anticipo el valor de $856.317</t>
    </r>
  </si>
  <si>
    <r>
      <rPr>
        <b/>
        <sz val="12"/>
        <color theme="1"/>
        <rFont val="Calibri"/>
        <family val="2"/>
        <scheme val="minor"/>
      </rPr>
      <t>Contrato suspendido:</t>
    </r>
    <r>
      <rPr>
        <sz val="12"/>
        <color theme="1"/>
        <rFont val="Calibri"/>
        <family val="2"/>
        <scheme val="minor"/>
      </rPr>
      <t xml:space="preserve"> se realizo acta de suspensión n° 9. PARA REALIZAR LA CONCILIACIÓN CON CONSORCIO FIA GUIARSE CON EL PLAN DE PAGOS, la información en las dos ordenes de pago correspondiente a las facturas n° 078 no esta completa.</t>
    </r>
  </si>
  <si>
    <r>
      <rPr>
        <b/>
        <sz val="12"/>
        <color theme="1"/>
        <rFont val="Calibri"/>
        <family val="2"/>
        <scheme val="minor"/>
      </rPr>
      <t>Contrato liquidado y pagado:</t>
    </r>
    <r>
      <rPr>
        <sz val="12"/>
        <color theme="1"/>
        <rFont val="Calibri"/>
        <family val="2"/>
        <scheme val="minor"/>
      </rPr>
      <t xml:space="preserve"> Además de liberar $704 fuente Dpto SGP, se debe realizar el ajuste por la confusión en las fuentes, pues se pago de más $11.179.382,40 por fuente Dpto SGP, igual valor fue pagado de menos por la fuente Nación.</t>
    </r>
  </si>
  <si>
    <r>
      <rPr>
        <b/>
        <sz val="12"/>
        <color theme="1"/>
        <rFont val="Calibri"/>
        <family val="2"/>
        <scheme val="minor"/>
      </rPr>
      <t>Contrato terminado sin liquidar:</t>
    </r>
    <r>
      <rPr>
        <sz val="12"/>
        <color theme="1"/>
        <rFont val="Calibri"/>
        <family val="2"/>
        <scheme val="minor"/>
      </rPr>
      <t xml:space="preserve"> Se pueden liberar $19.566.302. ($11.793.781 fuente nación y $7.826.521 fuente Dpto).
El contratista está debiendo $3.261.050, valor sin legalizar del anticipo, más los respectivos impuestos y retenciones.</t>
    </r>
  </si>
  <si>
    <r>
      <rPr>
        <b/>
        <sz val="12"/>
        <color theme="1"/>
        <rFont val="Calibri"/>
        <family val="2"/>
        <scheme val="minor"/>
      </rPr>
      <t>Contrato terminado con acta de cierre:</t>
    </r>
    <r>
      <rPr>
        <sz val="12"/>
        <color theme="1"/>
        <rFont val="Calibri"/>
        <family val="2"/>
        <scheme val="minor"/>
      </rPr>
      <t xml:space="preserve"> Según acta de cierre, no se le reconocen $34.256.250 al contratista dado que se perdió competencia para liquidar el contrato.  El CDR 007-2010, expedido para el mismo objeto, aparece anulado en el portal del FIA.</t>
    </r>
  </si>
  <si>
    <r>
      <rPr>
        <b/>
        <sz val="12"/>
        <color theme="1"/>
        <rFont val="Calibri"/>
        <family val="2"/>
        <scheme val="minor"/>
      </rPr>
      <t>Contrato suspendido:</t>
    </r>
    <r>
      <rPr>
        <sz val="12"/>
        <color theme="1"/>
        <rFont val="Calibri"/>
        <family val="2"/>
        <scheme val="minor"/>
      </rPr>
      <t xml:space="preserve"> Acta de suspensión n° 2 del 18/01/2011 - Hay una cuenta de cobro por el valor de $10´784.520 equivalente al pago n° 2 pero aun no se ha realizado el acta final ni expedido la orden de pago.</t>
    </r>
  </si>
  <si>
    <r>
      <rPr>
        <b/>
        <sz val="12"/>
        <color theme="1"/>
        <rFont val="Calibri"/>
        <family val="2"/>
        <scheme val="minor"/>
      </rPr>
      <t>Contrato suspendido:</t>
    </r>
    <r>
      <rPr>
        <sz val="12"/>
        <color theme="1"/>
        <rFont val="Calibri"/>
        <family val="2"/>
        <scheme val="minor"/>
      </rPr>
      <t xml:space="preserve"> no se podría liberar valor alguno, el contratista no ha legalizado siquiera el anticipo.</t>
    </r>
  </si>
  <si>
    <r>
      <rPr>
        <b/>
        <sz val="12"/>
        <color theme="1"/>
        <rFont val="Calibri"/>
        <family val="2"/>
        <scheme val="minor"/>
      </rPr>
      <t>Contrato liquidado y pagado:</t>
    </r>
    <r>
      <rPr>
        <sz val="12"/>
        <color theme="1"/>
        <rFont val="Calibri"/>
        <family val="2"/>
        <scheme val="minor"/>
      </rPr>
      <t xml:space="preserve"> Sin saldos a liberar</t>
    </r>
  </si>
  <si>
    <r>
      <rPr>
        <b/>
        <sz val="12"/>
        <color theme="1"/>
        <rFont val="Calibri"/>
        <family val="2"/>
        <scheme val="minor"/>
      </rPr>
      <t>Contrato terminado sin liquidar:</t>
    </r>
    <r>
      <rPr>
        <sz val="12"/>
        <color theme="1"/>
        <rFont val="Calibri"/>
        <family val="2"/>
        <scheme val="minor"/>
      </rPr>
      <t xml:space="preserve"> Falta por amortizar el 40% del anticipo $39´483.876 y pagar al contratista el valor de $59´225.815 - Del CDR 99 se puede liberar el valor de $35.309</t>
    </r>
  </si>
  <si>
    <r>
      <rPr>
        <b/>
        <sz val="12"/>
        <color theme="1"/>
        <rFont val="Calibri"/>
        <family val="2"/>
        <scheme val="minor"/>
      </rPr>
      <t>Contrato liquidado y pagado:</t>
    </r>
    <r>
      <rPr>
        <sz val="12"/>
        <color theme="1"/>
        <rFont val="Calibri"/>
        <family val="2"/>
        <scheme val="minor"/>
      </rPr>
      <t xml:space="preserve"> Se deben liberar $182.849,80 por el no uso del CDR</t>
    </r>
  </si>
  <si>
    <r>
      <rPr>
        <b/>
        <sz val="12"/>
        <color theme="1"/>
        <rFont val="Calibri"/>
        <family val="2"/>
        <scheme val="minor"/>
      </rPr>
      <t>Contrato liquidado y pagado:</t>
    </r>
    <r>
      <rPr>
        <sz val="12"/>
        <color theme="1"/>
        <rFont val="Calibri"/>
        <family val="2"/>
        <scheme val="minor"/>
      </rPr>
      <t xml:space="preserve"> No hay saldos a liberar.</t>
    </r>
  </si>
  <si>
    <r>
      <rPr>
        <b/>
        <sz val="12"/>
        <color theme="1"/>
        <rFont val="Calibri"/>
        <family val="2"/>
        <scheme val="minor"/>
      </rPr>
      <t>Contrato liquidado con pago parcial:</t>
    </r>
    <r>
      <rPr>
        <sz val="12"/>
        <color theme="1"/>
        <rFont val="Calibri"/>
        <family val="2"/>
        <scheme val="minor"/>
      </rPr>
      <t xml:space="preserve"> El contrato cuenta con acta de recibo n° 2 y final, ademas de acta de liquidación, falta que el contratista realice  factura por el valor de $7´612.500 dinero del cual se debe amortizar la suma de $3´045.000 total valor a pagar neto $4,567.500</t>
    </r>
  </si>
  <si>
    <r>
      <rPr>
        <b/>
        <sz val="12"/>
        <color theme="1"/>
        <rFont val="Calibri"/>
        <family val="2"/>
        <scheme val="minor"/>
      </rPr>
      <t>Contrato liquidado con pago parcial:</t>
    </r>
    <r>
      <rPr>
        <sz val="12"/>
        <color theme="1"/>
        <rFont val="Calibri"/>
        <family val="2"/>
        <scheme val="minor"/>
      </rPr>
      <t xml:space="preserve"> Solo se ha hecho el desembolso del anticipo por el 40% del total del contrato. El contratista no ha entregado la factura por el valor de $28´565.000, se debe descontar el valor de $11´426.000, total valor a favor del contratista $17´139.000</t>
    </r>
  </si>
  <si>
    <t>007-2010</t>
  </si>
  <si>
    <r>
      <rPr>
        <b/>
        <sz val="12"/>
        <color theme="1"/>
        <rFont val="Calibri"/>
        <family val="2"/>
        <scheme val="minor"/>
      </rPr>
      <t>Contrato suspendido:</t>
    </r>
    <r>
      <rPr>
        <sz val="12"/>
        <color theme="1"/>
        <rFont val="Calibri"/>
        <family val="2"/>
        <scheme val="minor"/>
      </rPr>
      <t xml:space="preserve"> En Emcaservicios envio un oficio al contratista para realizar el acta de reinicio, las polizas respectivas, para posteriormente hacer la liquidación del contrato. Por ahora solo se puede determinar la liberación de $3´007.300, cantidad que sale de restar el valor del CDR menos el valor contratado</t>
    </r>
  </si>
  <si>
    <r>
      <rPr>
        <b/>
        <sz val="12"/>
        <color theme="1"/>
        <rFont val="Calibri"/>
        <family val="2"/>
        <scheme val="minor"/>
      </rPr>
      <t>Contrato liquidado con pago parcial:</t>
    </r>
    <r>
      <rPr>
        <sz val="12"/>
        <color theme="1"/>
        <rFont val="Calibri"/>
        <family val="2"/>
        <scheme val="minor"/>
      </rPr>
      <t xml:space="preserve"> solo se ha realizado el pago del anticipo por el 40%, no se han hecho mas pagos, es decir que esta pendiente por amortizar el anticipo.</t>
    </r>
  </si>
  <si>
    <r>
      <rPr>
        <b/>
        <sz val="12"/>
        <color theme="1"/>
        <rFont val="Calibri"/>
        <family val="2"/>
        <scheme val="minor"/>
      </rPr>
      <t>Contrato liquidado y pagado:</t>
    </r>
    <r>
      <rPr>
        <sz val="12"/>
        <color theme="1"/>
        <rFont val="Calibri"/>
        <family val="2"/>
        <scheme val="minor"/>
      </rPr>
      <t xml:space="preserve"> Se deben liberar $3.</t>
    </r>
  </si>
  <si>
    <r>
      <rPr>
        <b/>
        <sz val="12"/>
        <color theme="1"/>
        <rFont val="Calibri"/>
        <family val="2"/>
        <scheme val="minor"/>
      </rPr>
      <t>Contrato suspendido:</t>
    </r>
    <r>
      <rPr>
        <sz val="12"/>
        <color theme="1"/>
        <rFont val="Calibri"/>
        <family val="2"/>
        <scheme val="minor"/>
      </rPr>
      <t xml:space="preserve"> Se suscribio el acta de suspensión n° 5 el 22/03/2013, no se ha podido llegar a un acuerdo con el contratista (Representante legal del Consorcio GZ) para poder firmar el acta de terminación y proceder con la liquidación de dicho contrato. Hay hallazgos de la contraloria sobre este caso y el abogado de la señora Claudia solicito la copia de todos los documentos para proceder con acciones judiciales. Hasta tanto no se liquide el contrato no se puede determinar si hay saldos a liberar.</t>
    </r>
  </si>
  <si>
    <t>060-2010</t>
  </si>
  <si>
    <t>038-2010</t>
  </si>
  <si>
    <t>Acta de recibo final</t>
  </si>
  <si>
    <r>
      <rPr>
        <b/>
        <sz val="12"/>
        <color theme="1"/>
        <rFont val="Calibri"/>
        <family val="2"/>
        <scheme val="minor"/>
      </rPr>
      <t>Contrato terminado sin liquidar:</t>
    </r>
    <r>
      <rPr>
        <sz val="12"/>
        <color theme="1"/>
        <rFont val="Calibri"/>
        <family val="2"/>
        <scheme val="minor"/>
      </rPr>
      <t xml:space="preserve"> Según acta de recibo final no se ejecuto la suma de $978.315 (por fuente nación $586.989 y fuente Dpto $391.326), es decir que esta cantidad se debe liberar, el contratista tiene un saldo a favor de $18´587.987, se debe amortizar todo el valor del anticipo $13´044.201</t>
    </r>
  </si>
  <si>
    <t>Acta n° 2 y final</t>
  </si>
  <si>
    <r>
      <rPr>
        <b/>
        <sz val="12"/>
        <color theme="1"/>
        <rFont val="Calibri"/>
        <family val="2"/>
        <scheme val="minor"/>
      </rPr>
      <t>Contrato liquidado con pago parcial:</t>
    </r>
    <r>
      <rPr>
        <sz val="12"/>
        <color theme="1"/>
        <rFont val="Calibri"/>
        <family val="2"/>
        <scheme val="minor"/>
      </rPr>
      <t xml:space="preserve"> El contrato contiene acta de liquidación, y acta ° 2 final por el valor de $28´961.989,01, menos $11´370.853,20 que falta por amortizar del anticipo, valor a pagar $17´591.135,81, finalmente se descuenta el valor de  $5´738.912,30 porque el contratista renuncia a esta cantidad teniendo en cuenta que el proyecto no pudo ser viabilizado por parte del ministerio. Ademas se debe liberar el valor total del CDR 162, que se expidio por el valor de $23´822.241. Cabe anotar que el valor del contrato no estaba totalmente financiado con el CDR 87, existe una diferencia de $534.855,81.</t>
    </r>
  </si>
  <si>
    <t>110-2010</t>
  </si>
  <si>
    <t>830040053</t>
  </si>
  <si>
    <t>Elaboración diseño optimización sistema de alcantarillado cabecera municipal incluye PTAR de Piamonte - Cauca</t>
  </si>
  <si>
    <t>40% de anticipo, un pago del 30%, otro pago del 30%, para el pago del saldo se requiere la presentacion del proyecto en original y suscribir el acta de liquidación.</t>
  </si>
  <si>
    <t>Los documentos escaneados estan completos hasta la fecha de revisión 02/10/2017</t>
  </si>
  <si>
    <t>Acta de iniciación de consultoria del 27/12/2010 - Cuenta de cobro - Orden de pago por el valor de $16´298.000 correspondiente al 40% de anticipo</t>
  </si>
  <si>
    <r>
      <rPr>
        <b/>
        <sz val="12"/>
        <color theme="1"/>
        <rFont val="Calibri"/>
        <family val="2"/>
        <scheme val="minor"/>
      </rPr>
      <t xml:space="preserve">Contrato suspendido: </t>
    </r>
    <r>
      <rPr>
        <sz val="12"/>
        <color theme="1"/>
        <rFont val="Calibri"/>
        <family val="2"/>
        <scheme val="minor"/>
      </rPr>
      <t>Aun no se puede determinar si se deben liberar saldos, hasta que no se reinicie la consultoria. El contrato tiene un proceso de multas por incumplimiento</t>
    </r>
  </si>
  <si>
    <t>111-2010</t>
  </si>
  <si>
    <t>Elaboración diseño optimización sistema de alcantarillado de Miraflores incluye PTAR de Piamonte - Cauca</t>
  </si>
  <si>
    <t>40% de anticipo, primer pago del 30% del valor del contrato, contra entrega del documento tecnico, segundo pago del 30%, y para proceder con el pago del saldo se requiere del proyecto terminado original y el acta de liquidación</t>
  </si>
  <si>
    <t>Acta de suspensión n° 5 del 4 de abril del año 2013</t>
  </si>
  <si>
    <t>Documentos completos hasta la fecha de revisión el 02/10/2013</t>
  </si>
  <si>
    <t>Acta de iniciación de consultoria del 27/12/2010 - Orden de pago por $14´616.000 correspondiente al 40% de anticipo</t>
  </si>
  <si>
    <r>
      <t>Contrato suspendido:</t>
    </r>
    <r>
      <rPr>
        <sz val="12"/>
        <color theme="1"/>
        <rFont val="Calibri"/>
        <family val="2"/>
        <scheme val="minor"/>
      </rPr>
      <t xml:space="preserve"> Aun no se puede determinar si se deben liberar saldos, hasta que no se reinicie la consultoria. El contrato tiene un proceso de multas por incumplimiento</t>
    </r>
  </si>
  <si>
    <t>120-2010</t>
  </si>
  <si>
    <t>Prestar sus servicios profesionales para realizar la interventoria administrativa, financiera, tecnica y ambiental a los siguientes proyectos: A) Diseño optimización sistema de acueducto cabecera municipal de Puerto Tejada. B) Diseño alcantarillado cabecera municipal de Caloto. C) Diseño acueducto cabecera municipal de Caloto</t>
  </si>
  <si>
    <t>40% de anticipo, primer pago por acta parcial, segundo pago por acta final</t>
  </si>
  <si>
    <t>Acta de suspensión n° 03 del 11 de mayo del año 2016</t>
  </si>
  <si>
    <r>
      <t xml:space="preserve">Contrato suspendido: </t>
    </r>
    <r>
      <rPr>
        <sz val="12"/>
        <color theme="1"/>
        <rFont val="Calibri"/>
        <family val="2"/>
        <scheme val="minor"/>
      </rPr>
      <t>Aun no se puede determinar si se deben liberar saldos, hasta que no se reinicie la interventoría.</t>
    </r>
  </si>
  <si>
    <t>Acta de iniciación del 29/10/2010 - Cuenta de cobro - Orden de pago por el valor de $4´428.000 correspondiente al 40% de anticipo</t>
  </si>
  <si>
    <t>Acta de iniciación del 29/10/2010 - Cuenta de cobro - Orden de pago por el valor de $1´582.400 correspondiente al 40% de anticipo</t>
  </si>
  <si>
    <t>Acta de iniciación del 29/10/2010 - Cuenta de cobro - Orden de pago por el valor de $2´662.208 correspondiente al 40% de anticipo</t>
  </si>
  <si>
    <t>123-2010</t>
  </si>
  <si>
    <t>Yenny Rocio Anacona Idrobo</t>
  </si>
  <si>
    <t>Un primer pago del 40% del valor total del contrato con la lealización del mismo, un segundo pago en un acta parcial, y un tercer pago en un acta final .</t>
  </si>
  <si>
    <t>Prestar sus servicios profesionales para realizar La interventoria administrativa, financiera, tecnica y ambiental al siguiente proyecto: A) Diseños complementarios al sistema de acueducto regional del norte del Cauca (EARPA)</t>
  </si>
  <si>
    <t>Acta de reinicio del 28 de agosto del año 2017</t>
  </si>
  <si>
    <t>Acta de inicio del 25/10/2010 - Cuenta de cobro - Orden de pago de abril/2012 por el valor de $5´544.000, corresponde al 40% de anticipo</t>
  </si>
  <si>
    <t>Acta n° 1 del 10/10/2011 - Factura de venta n° 055 por el valor de $12´474.000 - Orden de pago del 15/11/2011</t>
  </si>
  <si>
    <r>
      <t xml:space="preserve">Contrato en ejecución: </t>
    </r>
    <r>
      <rPr>
        <sz val="12"/>
        <color theme="1"/>
        <rFont val="Calibri"/>
        <family val="2"/>
        <scheme val="minor"/>
      </rPr>
      <t>Cuando el contrato se liquide se debe realizar el acta por el valor de $1´386.000, del cual se debe amortizar el saldo del anticipo por $554.400, valor neto a pagar $831.600</t>
    </r>
  </si>
  <si>
    <t>Documentos completos hasta el momento de la revisión 03/10/2017</t>
  </si>
  <si>
    <t>126-2010</t>
  </si>
  <si>
    <t>Prestar sus servicios profesionales para realizar la interventoria administrativa, financiera, tecnica y ambiental al siguiente proyecto: A) Diseños construcción acueducto Rio Bermejo municipios de Balboa, Patía y Mercaderes, Cauca.</t>
  </si>
  <si>
    <t>Gerardina Guzman Hoyos</t>
  </si>
  <si>
    <t>40% de anticipo, primer pago por medio de acta parcial, y el segundo pago con actal final.</t>
  </si>
  <si>
    <t>Acta de suspensión n° 07 del 24 de septiembre del año 2015</t>
  </si>
  <si>
    <t>Acta de iniciación del 29/10/2010 - Cuenta de cobro - Orden de pago por el valor de $5´203.714 equivalente al 40% de anticipo</t>
  </si>
  <si>
    <t>Acta n° 1 del 10/09/2014 - Factura de venta n° 152 por el valor de $8´456.035 - Orden de pago n° 262 del 09/12/2014</t>
  </si>
  <si>
    <t>Documentos completos hasta la fecha de revisión el 03/10/2017</t>
  </si>
  <si>
    <r>
      <t xml:space="preserve">Contrato suspendido: </t>
    </r>
    <r>
      <rPr>
        <sz val="12"/>
        <color theme="1"/>
        <rFont val="Calibri"/>
        <family val="2"/>
        <scheme val="minor"/>
      </rPr>
      <t>Hasta el momento solo se puede determinar la liberación de $566 del CDR 189 por no uso del mismo. Cuando se reinicie la interventoria y se liquide el contrato el acta final se debe expedir por el valor de $4´553.249, menos la amortización del saldo del anticipo por $1´821.301, valor neto a pagar $2´731.948</t>
    </r>
  </si>
  <si>
    <t>129-2010</t>
  </si>
  <si>
    <t>Jhon Emilio Alvarez Sanchez</t>
  </si>
  <si>
    <t>Elaboración actualización y diseños complementarios del proyecto acueducto interveredal de Topa Inzá (Cauca)</t>
  </si>
  <si>
    <t>Desembolso de anticipo del 40% del valor total del contrato, primer pago del 30%, segundo pago del 30% y el saldo cuando el contrato haya finalizado el contratista debera presentar el proyecto en original y el acta de liquidación suscrita.</t>
  </si>
  <si>
    <t>Acta de inicio del 27/12/2010 - Cuenta de cobro - Orden de pago del 30/06/2011 por el valor de $9´200.000 correspondiente al 40% de anticipo</t>
  </si>
  <si>
    <t>Acta n° 1 del 24/02/2012 - Factura de venta n° 0218 por el valor de $20´700.000 - Orden de pago del 12/06/2012</t>
  </si>
  <si>
    <r>
      <t xml:space="preserve">Contrato terminado con acta de cierre: </t>
    </r>
    <r>
      <rPr>
        <sz val="12"/>
        <color theme="1"/>
        <rFont val="Calibri"/>
        <family val="2"/>
        <scheme val="minor"/>
      </rPr>
      <t>La empresa perdio competencia para liquidar, por tal razón no se reconocera el valor de $2´300.000 a favor del contratista, del cual se pierde $920.000 de saldo de anticipo, los cuales no se alcanzaron a legalizar. En conclusión se debe liberar del CDR el valor de $1´380.000</t>
    </r>
  </si>
  <si>
    <t>130-2010</t>
  </si>
  <si>
    <t>Fredy Antonio Velasco Benavides</t>
  </si>
  <si>
    <t>Prestar sus servicios profesionales para realizar la interventoria administrativa, financiera, tecnica y ambiental a los siguientes proyectos: A) Diseño plan maestro de alcantarillado del centro poblado Asnazu - Suarez. B) Diseño acueducto cabecera municipal de Piamonte. C) Diseño alcantarillado cabecera municipal de Piamonte. D) Diseño alcantarillado Miraflores municipio de Piamonte. E) Diseño complementarios del proyecto de acueducto interveredal de Topa - Inza.</t>
  </si>
  <si>
    <t>40% de anticipo, Un primer pago en un acta parcial, un segundo pago en un acta final, suscripción del acta de recibo final y acta de liquidación.</t>
  </si>
  <si>
    <t>Cuenta de cobro por $1´450.000</t>
  </si>
  <si>
    <t>Falta: Orden de pago del 40% del CDR 47 correspondiente a $1´450.000</t>
  </si>
  <si>
    <t>Cuenta de cobro por $1´100.000 - Orden de pago del 19/09/2011</t>
  </si>
  <si>
    <t>Cuenta de cobro por $1´124.000 - Orden de pago del 19/09/2011</t>
  </si>
  <si>
    <t>Cuenta de cobro por $1´008.000 - Orden de pago del 19/09/2011</t>
  </si>
  <si>
    <t>Cuenta de cobro por $736.000 - Orden de pago de septiembre/2011</t>
  </si>
  <si>
    <t>Acta parcial N° 1 del 08/09/2011 - Factura de venta n° 148 por el valor de $3´262.500 - Orden de pago del 11/10/2011</t>
  </si>
  <si>
    <t>Acta para pago  N° 2 y final de recibo y terminación interventoria de Suarez del 08/02/2013 - Factura de venta n° 168 por el valor de $362.500 - Orden de pago n° 083 del 20/06/2013</t>
  </si>
  <si>
    <t>Acta parcial N° 2 del 09/12/2011 - Factura de venta n° 160 por el valor de $1´656.000 - Orden de pago del 05/03/2012</t>
  </si>
  <si>
    <t>Acta de suspensión n° 10 del 08 de enero del año 2013</t>
  </si>
  <si>
    <r>
      <t xml:space="preserve">Contrato suspendido: </t>
    </r>
    <r>
      <rPr>
        <sz val="12"/>
        <color theme="1"/>
        <rFont val="Calibri"/>
        <family val="2"/>
        <scheme val="minor"/>
      </rPr>
      <t>Cuando el contrato de interventoria se liquide se puede liberar $579.988 del CDR 47, de los otros CDRs no se puede determinar la liberación de saldos hasta tanto la interventoría no finalice.</t>
    </r>
  </si>
  <si>
    <t>131-2010</t>
  </si>
  <si>
    <t>Hector Marino Arcos Caicedo</t>
  </si>
  <si>
    <t>Elaboración diseño de optimización de la planta de tratamiento de agua potable del acueducto regional de Patía (Cauca)</t>
  </si>
  <si>
    <t>40% de anticipo, segundo pago del 30% y un tercer pago del 30%, para proceder con el ultimo pago el contratista debera presentar el proyecto original.</t>
  </si>
  <si>
    <t>Acta de iniciación del 14/05/2012 - Cuenta de cobro - Orden de pago del 19/06/2012 por el valor de $9´200.000 correspondiente al 40% de anticipo</t>
  </si>
  <si>
    <t>Acta n° 1 del 03/09/2013 - Factura N° 2013-004 por el valor del $16´100.000 - Orden de pago n° 131 del 22/11/2013</t>
  </si>
  <si>
    <t>Acta de liquidación del 31/07/2017</t>
  </si>
  <si>
    <t>Acta de liquidación del 31 de julio del año 2017</t>
  </si>
  <si>
    <t>Documentos completos hasta la fecha de revisión 05/10/2017</t>
  </si>
  <si>
    <r>
      <t xml:space="preserve">Contrato liquidado con pago parcial: </t>
    </r>
    <r>
      <rPr>
        <sz val="12"/>
        <color theme="1"/>
        <rFont val="Calibri"/>
        <family val="2"/>
        <scheme val="minor"/>
      </rPr>
      <t>Hay un saldo a favor del contratista por el valor de $6´900.000, del cual se debe amortizar $2´760.000 de anticipo, valor neto a pagar $4´140.000</t>
    </r>
  </si>
  <si>
    <t>138-2010</t>
  </si>
  <si>
    <t>Consorcio Hidroestructuras</t>
  </si>
  <si>
    <t>Elaboración diseños complementarios al sistema de acueducto regional del norte del Cauca (EARPA)</t>
  </si>
  <si>
    <t>40% de anticipo, segundo pago del 30%, tercer pago del 30%, para proceder con el ultimo pago el contratista debera entregar el proyecto original terminado y el acta de liquidación suscrita.</t>
  </si>
  <si>
    <t>Acta de inicio del 06/12/2010 - Cuenta de cobro - Orden de pago por el valor de $79´950.277,54</t>
  </si>
  <si>
    <t>Acta N° 1 del 15/10/2011 - Orden de pago del 15/11/2011 por el valor de $179´888.124</t>
  </si>
  <si>
    <t>Falta: Factura por el valor de $179´888.124</t>
  </si>
  <si>
    <r>
      <rPr>
        <b/>
        <sz val="12"/>
        <color theme="1"/>
        <rFont val="Calibri"/>
        <family val="2"/>
        <scheme val="minor"/>
      </rPr>
      <t>Contrato en ejecución:</t>
    </r>
    <r>
      <rPr>
        <sz val="12"/>
        <color theme="1"/>
        <rFont val="Calibri"/>
        <family val="2"/>
        <scheme val="minor"/>
      </rPr>
      <t xml:space="preserve"> Cuando el contrato se liquide se debe realizar el acta por el valor de $19´987.570, menos saldo de anticipo por amortizar $7´995.028, valor neto a pagar $11´992.542</t>
    </r>
  </si>
  <si>
    <t>012-2010</t>
  </si>
  <si>
    <t>011-2010</t>
  </si>
  <si>
    <t>Consorcio CRA Perez Carrasco</t>
  </si>
  <si>
    <t>Elaboración de los estudios y diseños para la optimización del sistema de alcantarillado de la cabecera municipal de Mercaderes.</t>
  </si>
  <si>
    <t>40% de anticipo, segundo pago del 30%, tercer pago del 20%, ultimo pago del 10%</t>
  </si>
  <si>
    <t>Acta de liquidación final 09 de diciembre del año 2011</t>
  </si>
  <si>
    <t>Acta de iniciación del 26/04/2010 - Orden de pago n° 18 del 05/04/2010 por el valor de $82´466.812 correspondiente al 40% de anticipo.</t>
  </si>
  <si>
    <t>Acta parcial n° 1 del 26/10/2010 - Factura de venta n° 1  por el valor de $144´316.921 - Orden de pago de dic/2010</t>
  </si>
  <si>
    <t>Acta N° 2 del 10/05/2011 - Factura de venta n° 02 por el valor de $27´420.215 - Orden de pago del 24/06/2011</t>
  </si>
  <si>
    <t>Acta n° 03 y final del 28/09/2011 - Factura de venta n° 4 por el valor de $34´429.895 - Orden de pago de 19/12/2011</t>
  </si>
  <si>
    <r>
      <t xml:space="preserve">Contrato liquidado y pagado: </t>
    </r>
    <r>
      <rPr>
        <sz val="12"/>
        <color theme="1"/>
        <rFont val="Calibri"/>
        <family val="2"/>
        <scheme val="minor"/>
      </rPr>
      <t>Comparando la información del CDR n° 09 expedido vs la pagina del consorcio FIA, se puede inferir que el saldo de $22.970 ya se libero.</t>
    </r>
  </si>
  <si>
    <t>Elaboración de los estudios y diseños para la construcción del acueducto de Parraga, municipio de Rosas.</t>
  </si>
  <si>
    <t>Acta de suspensión n° 4 del 31 de agosto del año 2011</t>
  </si>
  <si>
    <t>Acta de iniciación del 30/04/2010 - Cuenta de cobro - Orden de pago n° 19 del 05/04/2010 por el valor de $33´055.538 correspondiente al 40% de anticipo</t>
  </si>
  <si>
    <t>Acta N° 1 del 01/09/2010 - Factura de venta N° 0298 por el valor de $41´319.423 - Orden de pago de octubre/2010</t>
  </si>
  <si>
    <r>
      <t xml:space="preserve">Contrato suspendido: </t>
    </r>
    <r>
      <rPr>
        <sz val="12"/>
        <color theme="1"/>
        <rFont val="Calibri"/>
        <family val="2"/>
        <scheme val="minor"/>
      </rPr>
      <t>No se puede determinar si hay saldos por liberar hasta que el contrato no se reinicie.</t>
    </r>
  </si>
  <si>
    <t>013-2010</t>
  </si>
  <si>
    <t>Ricardo Martinez Maecha</t>
  </si>
  <si>
    <t>Elaboración de los estudios y diseños para la optimización del sistema del acueducto interveredal Rio Michicao, municipio de Cajibio</t>
  </si>
  <si>
    <t xml:space="preserve"> 40% de anticipo, segundo pago del 30%, tercer pago del 20% y un ultimo pago del 10%.</t>
  </si>
  <si>
    <t>Acta de iniciodel 08/04/2010 - Cuenta de cobro - Orden de pago n° 11 del 05/04/2010 por $56´812.006 correspondiente al 40% de anticipo</t>
  </si>
  <si>
    <t>Acta de recibo y pago parcial n° 1 del 11/05/2010 - Factura de venta n° 054 por el valor de $118´357.700 - Orden de pago de dic/2010</t>
  </si>
  <si>
    <t>Acta de recibo y pago parcial n° 2 del 01/02/2012 - Factura de venta n° 057 por el valor de $9´469.313 - Orden de pago del 05/03/2012</t>
  </si>
  <si>
    <t>Acta de recibo y pago parcial n° 1 adicional del 01/02/2012 - Factura de venta n° 058 por el valor de $63´787.095- Orden de pago del 05/03/2012</t>
  </si>
  <si>
    <r>
      <rPr>
        <b/>
        <sz val="12"/>
        <color rgb="FFFF0000"/>
        <rFont val="Calibri"/>
        <family val="2"/>
        <scheme val="minor"/>
      </rPr>
      <t xml:space="preserve">Contrato en ejecución: </t>
    </r>
    <r>
      <rPr>
        <sz val="12"/>
        <color rgb="FFFF0000"/>
        <rFont val="Calibri"/>
        <family val="2"/>
        <scheme val="minor"/>
      </rPr>
      <t xml:space="preserve">no se puede determinar la liberación de saldos, hasta tanto el consorcio FIA no corrija el error cometido con los siguientes pagos: A) acta parcial n° 1  pago neto de  $71´014.620 se pago con CDR N° 23 creado para el contrato 019 de 2010. B) Acta parcial N° 2 pago neto de $5´681.588 pagado con el CDR 011 creado para el contrato 019 de 2010. Los dos pagos mencionados se debian hacer por el CDR 11 creado para este contrato. </t>
    </r>
  </si>
  <si>
    <t>Acta de reinicio n° 2 del 09 de octubre de 2017</t>
  </si>
  <si>
    <t>019-2010</t>
  </si>
  <si>
    <t>Elaboración de los estudios y diseños para la optimización y ampliación del sistema de acueducto interveredal de Santa Leticia, municipio de Purace.</t>
  </si>
  <si>
    <t>Acta de iniciación del 14/04/2010 - Orden de pago N° 012 del 05/04/2010 por el valor de $68´306.458 correspondiente al 40% de anticipo</t>
  </si>
  <si>
    <t>Acta de recibo y pago parcial n° 1 del 26/04/2011 - Factura de venta n° 055 por el valor de $119´536.504 - Orden de pago n° 012 del 05/04/2011</t>
  </si>
  <si>
    <t>Acta de recibo y pago parcial n° 2 del 07/12/2012 - Factura de venta n° 069 por el valor de $34´153.229 - Orden de pago n° 115 del 16/10/2013</t>
  </si>
  <si>
    <t>Acta de recibo y pago parcial n° 1 del adicional del 24/11/2014 - Factura de venta n° 71 por el valor de $25´612.045 - Orden de pago n° 269 del 11/12/2014</t>
  </si>
  <si>
    <t>Acta de recibo y pago parcial n° 2 del adicional del 19/05/2015 - Factura de venta n° 78 por el valor de $25´612.045 - Orden de pago n° 318 del 07/07/2015</t>
  </si>
  <si>
    <t>Documentos completos hasta la fecha de revisión 13/10/2017</t>
  </si>
  <si>
    <t>Acta de reinicio n° 8 del 02 de junio del año 2016</t>
  </si>
  <si>
    <r>
      <rPr>
        <b/>
        <sz val="12"/>
        <color rgb="FFFF0000"/>
        <rFont val="Calibri"/>
        <family val="2"/>
        <scheme val="minor"/>
      </rPr>
      <t xml:space="preserve">Contrato vencido sin liquidar: </t>
    </r>
    <r>
      <rPr>
        <sz val="12"/>
        <color rgb="FFFF0000"/>
        <rFont val="Calibri"/>
        <family val="2"/>
        <scheme val="minor"/>
      </rPr>
      <t>Oficio dirigido al contratista el 28 de septiembre de 2016 se informa que el contrato termino el 06 de junio de 2016 por vencimiento de plazo. No se puede determinar si existen saldos a liberar ya que este contrato presenta confusón en el pago de las actas, es decir, los pagos se hicieron por otros CDRs. Ver contrato n° 013-2010</t>
    </r>
  </si>
  <si>
    <t>020-2010</t>
  </si>
  <si>
    <t>Elaboración de los estudios y diseños para la construcción del acueducto del sur occidente, municipios de Sotara y Timbio</t>
  </si>
  <si>
    <t>Acta de iniciación del 06/04/2010 - Cuenta de cobro - Orden de pago n° 014 del 05/04/2010 por el valor de $60´056.448 correspondiente al 40% de anticipo</t>
  </si>
  <si>
    <t xml:space="preserve">Acta n° 1 del 29/10/2010 - Factura de venta n° 007 por el valor de $125´117.600 - Orden de pago de dic/2010 </t>
  </si>
  <si>
    <t>Acta n° 2 del 15/12/2011 - Factura de venta n° 021 por el valor de $25´023.520 - Orden de pago del 19/12/2011</t>
  </si>
  <si>
    <t>Acta n° 3 y final del 15/12/2011 - Factura de venta n° 023 por el valor de $60´134.100 - Orden de pago de 19/12/2011</t>
  </si>
  <si>
    <t>Acta de liquidación final del 28 de agosto del año 2013</t>
  </si>
  <si>
    <r>
      <rPr>
        <b/>
        <sz val="12"/>
        <color theme="1"/>
        <rFont val="Calibri"/>
        <family val="2"/>
        <scheme val="minor"/>
      </rPr>
      <t xml:space="preserve">Contrato liquidado y pagado: </t>
    </r>
    <r>
      <rPr>
        <sz val="12"/>
        <color theme="1"/>
        <rFont val="Calibri"/>
        <family val="2"/>
        <scheme val="minor"/>
      </rPr>
      <t>Se debe liberar del CDR N° 28 la suma de $6.380 por no uso del mismo, y $300 del CDR N° 206 por no ejecución.</t>
    </r>
  </si>
  <si>
    <t>021-2010</t>
  </si>
  <si>
    <t>Consorcio Santa Rosa</t>
  </si>
  <si>
    <t>Estudios y diseños para la optimización del sistema de acueducto de la cabecera municipal de Santa Rosa</t>
  </si>
  <si>
    <t>40% de anticipo, segundo pago del 30%, tercer pago del 20% y un ultimo pago del 10%</t>
  </si>
  <si>
    <t>Acta de liquidación del 02 de octubre del año 2014</t>
  </si>
  <si>
    <t>Docuementos completos hasta la fecha de revisión</t>
  </si>
  <si>
    <t>Acta de iniciación del 18/05/2010 - Cuenta de cobro - Orden de pago n° 016 del 05/04/2010 por el valor de $31´856.616 correspondiente al 40% de anticipo</t>
  </si>
  <si>
    <t>Acta de liquidación del 02/10/2014</t>
  </si>
  <si>
    <r>
      <t xml:space="preserve">Contrato liquidado con pago parcial: </t>
    </r>
    <r>
      <rPr>
        <sz val="12"/>
        <color theme="1"/>
        <rFont val="Calibri"/>
        <family val="2"/>
        <scheme val="minor"/>
      </rPr>
      <t>Solo se ha hecho el desembolso del 40% de anticipo, el acta n° 1 y final se debe realizar por el valor de 79´641.540 menos la amortización del anticipo, el valor neto a pagar es de $47´784.924. Se puede liberar del CDR 006 la suma de $12.760 por fuente Dpto, por no uso del CDR.</t>
    </r>
  </si>
  <si>
    <t>034-2010</t>
  </si>
  <si>
    <t>Pablo Enrique Torres Valencia</t>
  </si>
  <si>
    <t>Prestar sus servicios profesionales para realizar la interventoria administrativa, financiera, tecnica y ambiental a los siguientes proyectos: A) Diseño alcantarillado corregimiento el Chamizo. B) Diseño optimización sistema de acueducto de la cabecera municipal de Padilla. C) Diseño acueducto vereda Palo Blanco Buenos Aires.</t>
  </si>
  <si>
    <t>40%  de anticipo, segundo pago por acta parcial, tercer pago por acta final.</t>
  </si>
  <si>
    <t>Acta de iniciación del 02/06/2010 - Orden de pago n° 5 del 15/06/2010 por el valor de $8´000.000 (Anticipo cancelado por los CDRs 31, 32 y 48)</t>
  </si>
  <si>
    <t>Acta de terminación del 16/08/2013 - Factura de Venta n° 027 por el valor de $20´000.000 - Orden de pago n° 267 del 09/01/2015 (Factura cancelada por los CDRs 31, 32 y 48)</t>
  </si>
  <si>
    <t>Acta de terminación del 16/08/2013 - Factura de Venta n° 027 por el valor de $20´000.000 - Orden de pago n° 268 del 09/01/2015 (Factura cancelada por los CDRs 31, 32 y 48)</t>
  </si>
  <si>
    <t xml:space="preserve">Documentos soportes completos </t>
  </si>
  <si>
    <t>Acta de liquidación del 28 de noviembre del año 2014</t>
  </si>
  <si>
    <r>
      <t>Contrato liquidado y pagado: L</t>
    </r>
    <r>
      <rPr>
        <sz val="12"/>
        <color theme="1"/>
        <rFont val="Calibri"/>
        <family val="2"/>
        <scheme val="minor"/>
      </rPr>
      <t>os saldos por el no uso del CDR n° 48 ya se liberaron.</t>
    </r>
  </si>
  <si>
    <t>099-2010</t>
  </si>
  <si>
    <t>Consorcio Construir</t>
  </si>
  <si>
    <t>Construcción acueducto interveredal Puerto Rico, II etapa, Municipio Argelia - Cauca.</t>
  </si>
  <si>
    <t>40% de anticipo, se pagaran actas parciales asi: a partir de un avance del 50% del valor contratado, y asi hasta completar el 90% y el 10% restante con el acta de recibo final de la obra.</t>
  </si>
  <si>
    <t>Acta de iniciación del 01/10/2010 - Orden de pago de oct/2010 por el valor de $120´856.521 (Orden de pago cancelada por CDR 001 y 117)</t>
  </si>
  <si>
    <t>Acta de recibo y pago parcial N° 1 Obra inicial del  20/06/2011 - Factura de venta N° 002 por el valor de $167´306.348 - Orden de pago del 05/07/2011 (Pago de fac realizado por CDR 001 y 117)</t>
  </si>
  <si>
    <t>Acta de recibo y pago parcial N° 2 obra inicial del 26/11/2011 - Factura de venta N° 010 por el valor de $104´048.656 - Orden de pago del 25/06/2012 (Pago de fac realizado por CDR 001 y 117)</t>
  </si>
  <si>
    <t>Acta de recibo y pago final N° 4 obra inicial del 17/12/2012 - Factura de venta N° 031 por el valor de $30´770.708 - Orden de pago N° 124 del 22/10/2013 (Pago de fac realizado por CDR 001 y 117)</t>
  </si>
  <si>
    <t>Acta de recibo y pago parcial N° 2 adicional suministro del 26/11/2011 - Factura de venta N° 013 por el valor de $28´152.588 - Orden de pago del 25/06/2012 (Pago de fac realizado por el CDR 05 y 227)</t>
  </si>
  <si>
    <t>Acta de recibo y pago parcial N° 3 adicional suministro del 28/11/2012 - Factura de venta N° 017 por el valor de $24´650.034 - Orden de pago N° 52 del 27/12/2012 (Pago de fac realizado por los CDRs 05 y 227)</t>
  </si>
  <si>
    <t>Acta de recibo y pago final N° 4 adicional suministro del 17/12/2012 - Factura de venta N° 028 por el valor de $5´865.552 - Orden de pago N° 110 del 22/10/2013 (Pago de fac realizado por los CDRs 05 y 227)</t>
  </si>
  <si>
    <t>Acta de liquidación contrato de obra del 05 de agosto del año 2013</t>
  </si>
  <si>
    <t>Factura de venta N° 029 por el valor de $11´585.413 - Orden de pago N° 108 del 22/10/2013 (Pago de Fac por CDR 236)</t>
  </si>
  <si>
    <t>Acta de recibo y pago parcial N° 3 Obra inicial del 28/11/2012 - Factura de venta N° 018 por el valor de $80´791.611 - Orden de pago N° 53 del 17/12/2012 (Pago de Fac por CDR 236)</t>
  </si>
  <si>
    <t>Falta: Acta n° 4 (obra civil contrato adicional obra civil) por el valor de $11´585.413</t>
  </si>
  <si>
    <r>
      <t xml:space="preserve">Contrato liquidado y pagado: </t>
    </r>
    <r>
      <rPr>
        <sz val="12"/>
        <color theme="1"/>
        <rFont val="Calibri"/>
        <family val="2"/>
        <scheme val="minor"/>
      </rPr>
      <t>En conciliación con el consorcio FIA se debe determinar el por qué los CDRs 001, 005 y 227 no coinciden los valores de los documentos expedidos vs los valores en la pagina del consorcio - Se deben liberar los siguientes saldos: A) CDR 117 el valor de $5´413.011 (Fuente dpto $2´919.968 y fuente Nación $2´493.043). B) CDR 001 el valor de $8´169.693 (Fuente SGP Argelia). C) CDR 005 el valor del $43 (Fuente SGP Argelia). D) CDR 227 el valor de $832.861 (Fuente nación $29 y Fuente dpto $832.832). E) CDR 236 el valor de $196 fuente nación.</t>
    </r>
  </si>
  <si>
    <t>003-2011</t>
  </si>
  <si>
    <t>133</t>
  </si>
  <si>
    <t>Acta de liquidación final de fecha 23 de agosto de 2013</t>
  </si>
  <si>
    <t>004-2011</t>
  </si>
  <si>
    <t>Consorcio Obras Buenos Aires</t>
  </si>
  <si>
    <t>900316215</t>
  </si>
  <si>
    <t>9</t>
  </si>
  <si>
    <t>Terminación construcción segunda etapa del acueducto de Palo Blanco y nueve veredas en el municipio de Buenos Aires - Cauca.</t>
  </si>
  <si>
    <t>septiembre - Soportes escaneados</t>
  </si>
  <si>
    <t>Acta de iniciación del 11/07/2011 - Orden de pago del 29/08/2011 Correspondiente al 40% de anticipo, valor $37´270.000</t>
  </si>
  <si>
    <t>Acta de recibo parcial de Obra N° 1 y final del 27/01/2012 - Factura de venta n° 2 por el valor de $93´174.130 - Orden de pago del 23/07/2012</t>
  </si>
  <si>
    <t>Acta de liquidación de obra del 3 de abril del año 2012</t>
  </si>
  <si>
    <r>
      <t xml:space="preserve">Contrato liquidado y pagado: </t>
    </r>
    <r>
      <rPr>
        <sz val="12"/>
        <rFont val="Calibri"/>
        <family val="2"/>
        <scheme val="minor"/>
      </rPr>
      <t>Del CDR 001 de fuente SGP Buenos Aires se debe liberar un total de $1.840</t>
    </r>
  </si>
  <si>
    <t>Didier Fernando Castillo Urrea</t>
  </si>
  <si>
    <t>10548073</t>
  </si>
  <si>
    <t>Construcción rehabilitación acueducto cabecera municipal de Timbio - Cauca.</t>
  </si>
  <si>
    <t>Anticipo del 50%, el 50% restante por medio de actas parciales, amortizando el anticipo.</t>
  </si>
  <si>
    <t>Acta de inicio del 18/04/2011 - Cuenta de cobro - Orden de pago de abril/2012 correspondiente al 50% de anticipo</t>
  </si>
  <si>
    <t xml:space="preserve">Acta de recibo parcial de obra N° 1 del 13/11/2012 - Factura de venta N° 19 por el valor del $170´508.277 - Orden de pago n° 50 del 11/12/2012 </t>
  </si>
  <si>
    <t xml:space="preserve">Acta de recibo parcial N° 2 y final de obra del 16/10/2012 </t>
  </si>
  <si>
    <t>Documentos completos hasta la fecha de revisión 18/10/2017</t>
  </si>
  <si>
    <r>
      <t xml:space="preserve">Contrato liquidado con pago parcial: </t>
    </r>
    <r>
      <rPr>
        <sz val="12"/>
        <rFont val="Calibri"/>
        <family val="2"/>
        <scheme val="minor"/>
      </rPr>
      <t>El contratista tiene un saldo a favor de $9´750.151,5. Una vez se cancele lo adeudado al contratista, se pueden liberar $110.480 del CDR 133 (Fuente Nación)</t>
    </r>
  </si>
  <si>
    <t>005-2011</t>
  </si>
  <si>
    <t>Jose Alberto Mosquera B.</t>
  </si>
  <si>
    <t>14991757</t>
  </si>
  <si>
    <t>Construcción rehabilitación acueducto veredal Higueron Guayabales municipio de Timbio - Cauca</t>
  </si>
  <si>
    <t>Acta de liquidación de obra del 10 de julio del año 2014</t>
  </si>
  <si>
    <t>Acta de inicio del 11/04/2011 - Orden de pago de abril/2012 por el valor de $70´478.655 correspondiente al 50% de anticipo.</t>
  </si>
  <si>
    <t>Acta de recibo parcial de obra n° 1 del 05/07/2012 - Factura de venta N° 062 por el valor de $125´662.963 - Orden de pago del 28/08/2012</t>
  </si>
  <si>
    <t xml:space="preserve">Acta de recibo N° 2 y final del 18/12/2012 - Factura de venta N° 070 por el valor de $15´294.236 - Orden de pago n° 209 del 13/08/2014 </t>
  </si>
  <si>
    <r>
      <t xml:space="preserve">Contrato liquidado y pagado: </t>
    </r>
    <r>
      <rPr>
        <sz val="12"/>
        <rFont val="Calibri"/>
        <family val="2"/>
        <scheme val="minor"/>
      </rPr>
      <t>La fiduciaria pago $1 de más al Contratista, quedan por liberar $110.</t>
    </r>
  </si>
  <si>
    <t>007-2011</t>
  </si>
  <si>
    <t>Guillermo Andres Beltran Romero</t>
  </si>
  <si>
    <t>Construcción rehabilitación acueducto regional del norte - Rio Palo (EARPA) - Cauca.</t>
  </si>
  <si>
    <t>50% de anticipo, el 50% restante se pagara por actas parciales amortizando el anticipo.</t>
  </si>
  <si>
    <t>Acta de inicio del 12/04/2011 - Cuenta de cobro - Orden de pago de correspondiente al 50% de anticipo, valor $186´882.855</t>
  </si>
  <si>
    <t xml:space="preserve">Acta de recibo y pago parcial N° 1 del 27/07/2011 - Factura de venta N° 412 por el valor de $189´808.327 - Orden de pago de agosto/2011 </t>
  </si>
  <si>
    <t>Acta de recibo y pago parcial N° 2 del 07/10/2011 - Factura de venta N° 427 por el valor de $128´018.691 - Orden de pago del 21/10/2011</t>
  </si>
  <si>
    <t>Acta de recibo y pago parcial N° 3 del 13/07/2012 por el valor de $105´524.809 (Se cancela por los CDRs 127 Y 241) - Factura de venta N° 447 por el valor de $55´938.691 - Orden de pago del 25/07/2012</t>
  </si>
  <si>
    <t>Acta de recibo y pago parcial N° 3 del 13/07/2012 por el valor de $105´524.809 (Se cancela por los CDRs 127 Y 241) - Factura de venta N° 448 por el valor de $49´586.118 - Orden de pago del 25/07/2012</t>
  </si>
  <si>
    <t>Acta de recibo y pago parcial N° 4 y final del 21/01/2013 - Factura de venta N° 456 por el valor de $51´917.997 - Orden de pago n° 76 del 17/05/2013</t>
  </si>
  <si>
    <r>
      <t xml:space="preserve">Contrato liquidado y pagado: </t>
    </r>
    <r>
      <rPr>
        <sz val="12"/>
        <color theme="1"/>
        <rFont val="Calibri"/>
        <family val="2"/>
        <scheme val="minor"/>
      </rPr>
      <t>Del CDR 127 Se deben liberar $2 y del CDR 241 al parecer ya se liberaron los $25.771.585 a favor de Emcaservicios (por la no ejecución), ya que en el portal FIA aparace el valor de  $101´504.115 que corresponde al valor pagado.</t>
    </r>
  </si>
  <si>
    <t>Acta de liquidación final y su modificación de fecha 12 de junio de 2014</t>
  </si>
  <si>
    <t>006-2011</t>
  </si>
  <si>
    <t>Ivan Pabon</t>
  </si>
  <si>
    <t>76305386</t>
  </si>
  <si>
    <t>Construcción rehabilitación acueducto veredal Las Cruces, municipio Timbio - Cauca.</t>
  </si>
  <si>
    <t xml:space="preserve">Acta de inicio del 11/04/2011 </t>
  </si>
  <si>
    <t>Acta de recibo parcial de obra n° 1 del 01/11/2012 - Factura de venta por el valor de $170´556.627 - Orden de pago n° 45 del 02/01/2013</t>
  </si>
  <si>
    <t>Acta de recibo parcial n° 2 y final de obra del 10/11/2012 - Factura de venta n° 154 por el valor de $20´593.369 - Orden de pago n° 171 del 16/06/2014</t>
  </si>
  <si>
    <r>
      <t xml:space="preserve">Contrato liquidado y pagado: </t>
    </r>
    <r>
      <rPr>
        <sz val="12"/>
        <rFont val="Calibri"/>
        <family val="2"/>
        <scheme val="minor"/>
      </rPr>
      <t>Del CDR 135 Se pueden liberar $704.665</t>
    </r>
  </si>
  <si>
    <r>
      <t xml:space="preserve">Falta: </t>
    </r>
    <r>
      <rPr>
        <sz val="12"/>
        <rFont val="Calibri"/>
        <family val="2"/>
        <scheme val="minor"/>
      </rPr>
      <t>Orden de pago del anticipo del 50% por el valor de $95´005.000</t>
    </r>
  </si>
  <si>
    <t>011-2011</t>
  </si>
  <si>
    <t>Realizar la interventoria tecnica, administrativa y financiera del contrato de obra publica N° 06 de 2011: Denominada "Construcción rehabilitación, acueducto vereda Las Cruces, Municipio de Timbio - Cauca"</t>
  </si>
  <si>
    <t>40% de anticipo, segundo pago en un acta parcial y un tercer pago en un acta final.</t>
  </si>
  <si>
    <t>Acta de inicio del 11/04/2011</t>
  </si>
  <si>
    <t>Falta: Orden de pago del 40% de anticipo por el valor de $5´322.000</t>
  </si>
  <si>
    <t>Acta parcial N° 1 del 13/11/2012 - Factura de venta N° 087 por el valor de $11´841.450 - Orden de pago n° 51 del 17/12/ 2012</t>
  </si>
  <si>
    <t>Acta de terminación de interventoria del 23 de noviembre del año 2012</t>
  </si>
  <si>
    <r>
      <rPr>
        <b/>
        <sz val="12"/>
        <color theme="1"/>
        <rFont val="Calibri"/>
        <family val="2"/>
        <scheme val="minor"/>
      </rPr>
      <t>Contrato vencido sin liquidar:</t>
    </r>
    <r>
      <rPr>
        <sz val="12"/>
        <color theme="1"/>
        <rFont val="Calibri"/>
        <family val="2"/>
        <scheme val="minor"/>
      </rPr>
      <t xml:space="preserve"> El contrato cuenta con acta de terminacion del mes de noviembre del año 2012, pero a la fecha ya esta vencido. Se debe liberar el valor de $124.826 por no uso del CDR y $ 1´463.550 que no se podria reconocer al contratista por haber perdido competencia para liquidar, en total se deben liberar $1´588.376</t>
    </r>
  </si>
  <si>
    <t>012-2011</t>
  </si>
  <si>
    <t>Carlos Manuel Velasco Hoyos</t>
  </si>
  <si>
    <t>Realizar la interventoria técnica, administrativa y financiera del contrato de obra pública N° 5 de 2011; Cuyo objeto es: "Construcción rehabilitación acueducto veredal Higueron - Guayabal municipios de Timbio y Sotará - Cauca"</t>
  </si>
  <si>
    <r>
      <rPr>
        <b/>
        <sz val="12"/>
        <color theme="1"/>
        <rFont val="Calibri"/>
        <family val="2"/>
        <scheme val="minor"/>
      </rPr>
      <t>Falta:</t>
    </r>
    <r>
      <rPr>
        <sz val="12"/>
        <color theme="1"/>
        <rFont val="Calibri"/>
        <family val="2"/>
        <scheme val="minor"/>
      </rPr>
      <t xml:space="preserve"> Orden de pago del anticipo del 40% por el valor de $3´920.000</t>
    </r>
  </si>
  <si>
    <t>Acta de liquidación de interventoria del 07 de noviembre del año 2014</t>
  </si>
  <si>
    <t>Acta 01 y final del 18/12/2012 - Factura de venta N° 348 por el valor de $9´800.000 - Orden de pago n° 252 del 02/12/2014</t>
  </si>
  <si>
    <r>
      <rPr>
        <b/>
        <sz val="12"/>
        <color theme="1"/>
        <rFont val="Calibri"/>
        <family val="2"/>
        <scheme val="minor"/>
      </rPr>
      <t xml:space="preserve">Contrato liquidado y pagado: </t>
    </r>
    <r>
      <rPr>
        <sz val="12"/>
        <color theme="1"/>
        <rFont val="Calibri"/>
        <family val="2"/>
        <scheme val="minor"/>
      </rPr>
      <t>El CDR 132 se expidio por el valor de $9´884.850 pero en la pagina del consorcio FIA aparece un valor por fuente de $9´800.000, es decir que ya se libero la diferencia de $84.850</t>
    </r>
  </si>
  <si>
    <t>013-2011</t>
  </si>
  <si>
    <t>Luis Fernando Soto Guzman</t>
  </si>
  <si>
    <t>Realizar la interventoría técnica, administrativa y financiera del contrato de obra pública n° 04-2011 denominada: "Construcción rehabilitación acueducto cabecera municipal de Timbio - Cauca"</t>
  </si>
  <si>
    <t>Acta de inicio de interventoria del 15/04/2011 - Orden de pago de abril/2012 por el valor de $5´232.528 correspondiente al 40% de anticipo</t>
  </si>
  <si>
    <t>Acta parcial N° 01 del 13/11/2012 - Factura de venta N° 0127 por el valor de $11´642.375 - Orden de pago n° 55 del 17/12/2012</t>
  </si>
  <si>
    <t>Acta de liquidación del 19 de marzo del año 2014</t>
  </si>
  <si>
    <t>Acta de liquidación del 19/03/2014</t>
  </si>
  <si>
    <t>Documentos completos hasta la fecha de revisión 20/10/2017</t>
  </si>
  <si>
    <r>
      <rPr>
        <b/>
        <sz val="12"/>
        <color theme="1"/>
        <rFont val="Calibri"/>
        <family val="2"/>
        <scheme val="minor"/>
      </rPr>
      <t>Contrato liquidado con pago parcial:</t>
    </r>
    <r>
      <rPr>
        <sz val="12"/>
        <color theme="1"/>
        <rFont val="Calibri"/>
        <family val="2"/>
        <scheme val="minor"/>
      </rPr>
      <t xml:space="preserve"> El contratista tiene de $1´438.945 a favor, menos un saldo por amortizar del anticipo de $575.578, es decir que se debe cancelar al contratista el valor de $863.367. Ademas se debe liberar del CDR 134 el valor de $227.063 por no uso del CDR</t>
    </r>
  </si>
  <si>
    <t>027-2011</t>
  </si>
  <si>
    <t>Realizar la interventoría técnica, administrativa y financiera: Del contrato de Obra pública N° 03-2011; cuyo objeto es: "Terminación construcción segunda etapa del acueducto de Palo Blanco y nueve veredas en el municipio de Buenos Aires - Cauca"</t>
  </si>
  <si>
    <t>40% de anticipo, segundo pago del 30%  en un acta parcial, tercer pago del 30% con la liquidación final del contrato.</t>
  </si>
  <si>
    <t>Acta de liquidación del 11/09/2013</t>
  </si>
  <si>
    <t>Acta de Inicio del 28/06/2011 - Cuenta de cobro - Orden de pago del 12/07/2011 por el valor de $3´590.270 correspondiente al 40% de anticipo</t>
  </si>
  <si>
    <t>Acta N° 1 del 31/01/2012 - Factura de venta n° 076 por el valor de $8´078.107 - Orden de pago del 20/06/2012</t>
  </si>
  <si>
    <t>Acta de recibo final del 05/04/2012</t>
  </si>
  <si>
    <r>
      <t xml:space="preserve">Contrato liquidado con pago parcial: </t>
    </r>
    <r>
      <rPr>
        <sz val="12"/>
        <color theme="1"/>
        <rFont val="Calibri"/>
        <family val="2"/>
        <scheme val="minor"/>
      </rPr>
      <t>El contratista tiene un saldo a favor de $897.567, menos saldo pendiente de amortizar del anticipo por el valor de $359.026,8. Es decir que el valor neto a pagar al contratista es de  $538.540,2. Finalmente del CDR 002 de fuente SGP Buenos Aires se debe liberar el valor de $341.923 por no uso del CDR.</t>
    </r>
  </si>
  <si>
    <t>009-2011</t>
  </si>
  <si>
    <t>Seta Sociedad Española de Tratamiento de Aguas SL</t>
  </si>
  <si>
    <t>Construcción rehabilitación y obras de protección acueducto regional Plan del Patía, municipio de Patía - Cauca.</t>
  </si>
  <si>
    <t>Acta de iniciación del 15/04/2011 - Cuenta de cobro - Orden de pago abril/2012 por el valor de $221´619.164 correspondiente al 50% de anticipo</t>
  </si>
  <si>
    <r>
      <rPr>
        <b/>
        <sz val="12"/>
        <color theme="1"/>
        <rFont val="Calibri"/>
        <family val="2"/>
        <scheme val="minor"/>
      </rPr>
      <t>FALTA:</t>
    </r>
    <r>
      <rPr>
        <sz val="12"/>
        <color theme="1"/>
        <rFont val="Calibri"/>
        <family val="2"/>
        <scheme val="minor"/>
      </rPr>
      <t xml:space="preserve"> Factura n° 5 por el valor de $156´294.981 - Factura N° 9 por el valor de $205´895.475</t>
    </r>
  </si>
  <si>
    <t>Acta parcial de obra N° 5 y final del 25/04/2013 - Factura de venta N° A-41 por el valor de $94´785.068 - Orden de pago N° 101 del 26/09/2013</t>
  </si>
  <si>
    <t>Acta parcial de obra N° 1 del 27/07/2011 - Orden de pago del 31/08/2011 por el valor de $156´294.981</t>
  </si>
  <si>
    <t>Acta parcial de obra N° 2 del 24/10/2011 - Orden de pago del 15/11/2011 por el valor de $205´895.475</t>
  </si>
  <si>
    <t>Acta parcial de obra N° 3 del 30/07/2012  - Factura de venta n° A-30 por el valor de $69´463.669 - Orden de pago n° 1 del 29/08/2012 por el mismo valor de la factura</t>
  </si>
  <si>
    <t>Acta de liquidación final de contrato de obra del 05 de agosto del año 2013</t>
  </si>
  <si>
    <t>Acta parcial de obra N° 4 del 17/09/2012 - Factura de venta N° A-33  por el valor de $133´531.644 - Orden de pago n° 18 del 22/10/2012 (Se pago por los CDRs 129 y 243)</t>
  </si>
  <si>
    <r>
      <rPr>
        <b/>
        <sz val="12"/>
        <color theme="1"/>
        <rFont val="Calibri"/>
        <family val="2"/>
        <scheme val="minor"/>
      </rPr>
      <t xml:space="preserve">Contrato liquidado y pagado: </t>
    </r>
    <r>
      <rPr>
        <sz val="12"/>
        <color theme="1"/>
        <rFont val="Calibri"/>
        <family val="2"/>
        <scheme val="minor"/>
      </rPr>
      <t>Del CDR 243 se deben liberar $69.402</t>
    </r>
  </si>
  <si>
    <t>015-2011</t>
  </si>
  <si>
    <t>Mabel Vargas Agredo</t>
  </si>
  <si>
    <t>Realizar la interventoría técnica, administrativa y financiera del contrato de obra pública n° 09-2011; Cuyo objeto es: "Construcción rehabilitación y obras de protección acueducto regional plan del Patíal, Municipio de Patía - Cauca"</t>
  </si>
  <si>
    <t>Acta de iniciación del 15/04/2011 - Cuenta de cobro - Orden de pago de abril/2012 por el valor de $12´400.000 correspondiennte al 40% de anticipo</t>
  </si>
  <si>
    <t>Acta de recibo parcial n° 1 del 26/10/2011 - Factura de venta n° 0142 por el valor de $25´175.100 - Orden de pago del 06/03/2012</t>
  </si>
  <si>
    <t>Acta N° 02 y final del 25/04/2013 - Factura de venta n° 065 por el valor de $21´001.033 - Orden de pago n° 150 del 16/12/2013 (Orden cancelada por los CDRs 130 y 244)</t>
  </si>
  <si>
    <t>Acta de liquidación final del 05 de agosto de 2013</t>
  </si>
  <si>
    <r>
      <t xml:space="preserve">Contrato liquidado y pagado: </t>
    </r>
    <r>
      <rPr>
        <sz val="12"/>
        <color theme="1"/>
        <rFont val="Calibri"/>
        <family val="2"/>
        <scheme val="minor"/>
      </rPr>
      <t>La diferencia entre el valor del CDR expedido vs el valor que aparece en el portal FIA se puede deducir que los $31.174 del CDR  130 ya se libero.</t>
    </r>
  </si>
  <si>
    <t>014-2011</t>
  </si>
  <si>
    <t>Realizar la interventoría técnica, administrativa y financiera del contrato de obra pública N° 07-2011 denominada: "Construcción rehabilitación acueducto regional del norte - Rio Palo (EARPA) Departamento Cauca"</t>
  </si>
  <si>
    <t>Acta de liquidación final de obra del 02 de abril del año 2013</t>
  </si>
  <si>
    <t>Acta de recibo y liquidación final del 02 de mayo del año 2013</t>
  </si>
  <si>
    <t>Acta de inicio del 12/04/2011 - Cuenta de cobro - Orden de pago por el valor de $10´440.000 correspondiente al 40% de anticipo</t>
  </si>
  <si>
    <t>Acta N° 1 unica y final del 12/03/2013 - Factura de venta n° 59 por el valor de $33´205.165,95 - Orden de pago n° 81 del 14/06/2013 (Orden cancelada por los CDRs 128 y 242)</t>
  </si>
  <si>
    <r>
      <rPr>
        <b/>
        <sz val="12"/>
        <color theme="1"/>
        <rFont val="Calibri"/>
        <family val="2"/>
        <scheme val="minor"/>
      </rPr>
      <t>Contrato liquidado y pagado:</t>
    </r>
    <r>
      <rPr>
        <sz val="12"/>
        <color theme="1"/>
        <rFont val="Calibri"/>
        <family val="2"/>
        <scheme val="minor"/>
      </rPr>
      <t xml:space="preserve"> Del CDR 128 se debe liberar el valor de $63.600 por no uso del mismo. Del CDR 242 se dede liberar el valor de $1´804.133,05 por concepto de valor sin ejecutar, es decir a favor de Emcaservicios.</t>
    </r>
  </si>
  <si>
    <t>008-2011</t>
  </si>
  <si>
    <t>Jairo Eduardo Muñoz Ledezma</t>
  </si>
  <si>
    <t>Construcción optimización del sistema de acueducto de la cabecera municipal de Padilla - Cauca.</t>
  </si>
  <si>
    <t>Obra públia</t>
  </si>
  <si>
    <t>50% de anticipo, el 50% restante se pagara por medio de actas parciales amortizando el porcentaje.</t>
  </si>
  <si>
    <t>Otro si del 29 de septiembre de 2017, adición de plazo</t>
  </si>
  <si>
    <t>Acta de inicio del 12/04/2011 - Cuenta de cobro por el valor de $616´759.500 (Valor correspodiente al 50% del CDR 125 Y CDR 01) - Orden de pago por el valor de $588´759.500.</t>
  </si>
  <si>
    <t>Acta de inicio del 12/04/2011 - Cuenta de cobro por el valor de $616´759.500 (Valor correspodiente al 50% del CDR 125 Y CDR 01) - Orden de pago por el valor de $28´000.000 (Esta Orden presenta error en el numero del CDR)</t>
  </si>
  <si>
    <t>Acta N° 01 del 18/07/2011 - Factura de venta N° 113 por el valor de $368´914.748 - Orden de pago del 04/08/2011</t>
  </si>
  <si>
    <t>Acta N° 02 del 31/08/2011 - Factura de venta N° 117 por el valor de $168´959.332 - Orden de pago del 09/09/2011</t>
  </si>
  <si>
    <t>Acta N° 03 del 28/10/2011 - Factura de venta N° 119 por el valor de $325´779.590 - Orden de pago del 02/11/2011</t>
  </si>
  <si>
    <t>Acta N° 4 del 18/03/2013 - Factura de venta N° 143 por el valor de $151´503.914 - Orden de pago n° 144 del 10/12/2013</t>
  </si>
  <si>
    <t>Acta N° 05 del 10/02/2014 - Factura de venta N° 149 por el valor de $83´977.644 - Orden de pago n° 302 del 29/05/2015</t>
  </si>
  <si>
    <t>Documentos soportes completos hasta la fecha de revisión 24/10/2017</t>
  </si>
  <si>
    <t>Octubre - Documentos escaneados</t>
  </si>
  <si>
    <r>
      <t xml:space="preserve">Contrato en Ejecución: </t>
    </r>
    <r>
      <rPr>
        <sz val="12"/>
        <color theme="1"/>
        <rFont val="Calibri"/>
        <family val="2"/>
        <scheme val="minor"/>
      </rPr>
      <t>El anticipo del 50% del CDR 125 se cancelo solo por fuente Departamento, es decir no se respetaron los valores por Fuente, lo que genero la confusión de las fuentes al pagar las actas parciales. Según la información en la pagina del consorcio FIA y base de datos de los pagos por terceros, el 50% de anticipo del CDR 001 Fuente SGP-Padilla no se ha cancelado.  Falta por amortizar el valor de $39´278.377,96. No se puede determinar el valor a liberar por CDR hasta tanto el contrato no se liquide.</t>
    </r>
  </si>
  <si>
    <t>Acta de liquidación del 17 de mayo de 2013</t>
  </si>
  <si>
    <t>032-2011</t>
  </si>
  <si>
    <t>Julio Cesar Ariza Moreno</t>
  </si>
  <si>
    <t>Construcción de la adecuación del acueducto de la cabecera municipal de Argelia - Cauca.</t>
  </si>
  <si>
    <t>50% de anticipo, Se pagaran actas parciales a partir de un avance del 50% del valor del contrato, así hasta completar un 90%, y el 10% restante en un acta final.</t>
  </si>
  <si>
    <t>Acta N° 01 del 28/02/2012 - Factura de venta N° 001 por el valor de $294´660.204 - Orden de pago del 20/06/2012 (Orden de pago cancelada por los CDRs 152 y 002)</t>
  </si>
  <si>
    <t>Acta de inicio del 18/07/2011 - Cuenta de cobro - Orden de pago del 29/07/2011 por el valor de $385´064.500 (Orden de pago cancelada por los CDR 152 y 002)</t>
  </si>
  <si>
    <t>Acta de recibo parcial N° 3 del 05/09/2012 - Factura de venta N° 004 por el valor de $96´753.390 - Orden de pago N° 082 del 05/06/2013  (Orden de pago cancelada por los CDRs 152 y 002)</t>
  </si>
  <si>
    <t>Acta de recibo parcial N° 2 del 24/05/2012 - Factura de venta N° 003 por el valor de $378´715.406 (Factura cancelada por los CDRs 152 y 002)</t>
  </si>
  <si>
    <t>Falta: Orden de pago por el valor de $378.715.406</t>
  </si>
  <si>
    <t>056-2011</t>
  </si>
  <si>
    <t>Carlos Alberto Rozo Nader</t>
  </si>
  <si>
    <t>Construcción primera etapa alcantarillado sanitario cabecera municipal de Guapi, Departamento del Cauca.</t>
  </si>
  <si>
    <t>50% de anticipo, el anticipo debera ser amortizado mediante actas parciales con una ejecución hasta del 90% del contrato y el 10% restante mediante liquidación final.</t>
  </si>
  <si>
    <t>Acta de inicio del 02/11/2011 - Cuenta de cobro - Orden de pago del 01/11/2011 por el valor de $783´339.369 (Orden cancelada por los CDRs 176 y 001)</t>
  </si>
  <si>
    <t>Acta N° 1 de recibo parcial de obra del 31/07/2012 - Factura de venta N° 0673 por el valor de $1.399´216.208 - Orden de pago N° 32 del 11/12/2012 (Orden cancelada por los CDRs 176 y 001)</t>
  </si>
  <si>
    <t>Acta N° 2 de recibo final de obra del 04/08/2012 - Factura de venta N° 0699 por el valor de $167´462.363 - Orden de pago N° 107 del 26/09/2013 (Orden de pago cancelada por los CDRs 176 y 001)</t>
  </si>
  <si>
    <t>Documentos soportes completos hasta la fecha de revisión 26/10/2017</t>
  </si>
  <si>
    <t>Acta de liquidación final contrato de obra del 30 de agosto del año 2013</t>
  </si>
  <si>
    <r>
      <rPr>
        <b/>
        <sz val="12"/>
        <color theme="1"/>
        <rFont val="Calibri"/>
        <family val="2"/>
        <scheme val="minor"/>
      </rPr>
      <t>Contrato liquidado y pagado:</t>
    </r>
    <r>
      <rPr>
        <sz val="12"/>
        <color theme="1"/>
        <rFont val="Calibri"/>
        <family val="2"/>
        <scheme val="minor"/>
      </rPr>
      <t xml:space="preserve"> Del CDR 001 con fuente SGP Guapi se debe liberar el valor de $50,9 y del CDR 176 el valor de $114,6</t>
    </r>
  </si>
  <si>
    <r>
      <rPr>
        <b/>
        <sz val="12"/>
        <color theme="1"/>
        <rFont val="Calibri"/>
        <family val="2"/>
        <scheme val="minor"/>
      </rPr>
      <t>Contrato liquidado y pagado:</t>
    </r>
    <r>
      <rPr>
        <sz val="12"/>
        <color theme="1"/>
        <rFont val="Calibri"/>
        <family val="2"/>
        <scheme val="minor"/>
      </rPr>
      <t xml:space="preserve"> Se observa confusión de fuentes en el CDR 152,  por fuente Departamento-SGP, se pagaron de más $51.872.960, el mismo valor pagado de menos por fuente nación. Según portal FIA, el valor sobrante del CDR 152 ($3.327.808) y el valor sobrante de CDR 002  ($7´359.345), ya se liberaron.</t>
    </r>
  </si>
  <si>
    <t>058-2011</t>
  </si>
  <si>
    <t>Union Temporal Toribio 2011</t>
  </si>
  <si>
    <t>Optimización acueducto interveredal La Isabelilla Toribio, Departamento del Cauca.</t>
  </si>
  <si>
    <t>Acta N° 1 del 28/03/2012 - Factura de venta N° 1 por el valor de $375.810.218 - Orden de pago del 26/07/2012 (Factura cancelada por los CDRs 001 y 180)</t>
  </si>
  <si>
    <t>Acta de Inicio del 02/11/2011 - Cuenta de cobro - Orden de pago del 01/11/2011 por el valor de $617´955.141 (Orden de pago cancelada por los CDRs 001 y 180)</t>
  </si>
  <si>
    <t>Acta parcial de obra N° 2 - 02/11/2012 - Factura de venta N° 101 por el valor de $342´294.732 - Orden de pago n° 66 del 22/04/2013 (Factura cancelada por los CDRs 001 y 180)</t>
  </si>
  <si>
    <t>Acta N° 3 (No concuerda con el valor de la factura y la orden) - Factura de venta N° 104 por el valor de $172´490.163 - Orden de pago N° 174 del 26/05/2014 (Factura cancelada por los CDRs 001 y 180)</t>
  </si>
  <si>
    <t>Acta N° 4 del 03/09/2014 por el valor de $376´539.567,38 (Acta cancelada por los CDRs 001, 180 y 298) - Factura de venta N° 106 por el valor $345´315.169 - Orden de pago N° 231 del 19/11/2014 (Factura cancelada por los CDRs 001 y 180)</t>
  </si>
  <si>
    <t>Acta N° 4 del 03/09/2014 por el valor de $376´539.567,38 (Acta cancelada por los CDRs 001, 180 y 298) - Factura de venta N° 107 por el valor de $31´224.398,38 - Orden de pago N° 232 del 19/11/2014</t>
  </si>
  <si>
    <t>Acta N° 5 del 12/09/2014 - Factura de venta N° 108 por el valor de $123´074.579,31 - Orden de pago N° 267 del 11/12/2014</t>
  </si>
  <si>
    <t xml:space="preserve">Acta N° 6 del 13/01/2015 - Factura de venta N° 116 por el valor de $190´535.868,58 - Orden de pago N° 437 del 15/07/2016 </t>
  </si>
  <si>
    <t>Acta N° 07 y final del 20/01/2015 - Factura de venta N° 118 por el valor de $179´237.068,73 - Orden de pago N° 612 del 01/12/2016</t>
  </si>
  <si>
    <t>Acta de terminación de obra del 20 de enero del año 2015</t>
  </si>
  <si>
    <t>En los tomos se debe anexar los siguientes documentos:</t>
  </si>
  <si>
    <r>
      <rPr>
        <b/>
        <sz val="12"/>
        <color theme="1"/>
        <rFont val="Calibri"/>
        <family val="2"/>
        <scheme val="minor"/>
      </rPr>
      <t>Contrato terminado sin liquidar:</t>
    </r>
    <r>
      <rPr>
        <sz val="12"/>
        <color theme="1"/>
        <rFont val="Calibri"/>
        <family val="2"/>
        <scheme val="minor"/>
      </rPr>
      <t xml:space="preserve"> Una vez se liquide el contrao se debe tener en cuenta lo siguiente; Del CDR 001 se pago $0,28 centavos de mas, del CDR 180 se puede liberar $ 0,78 centavos.</t>
    </r>
  </si>
  <si>
    <t>060-2011</t>
  </si>
  <si>
    <t>Consorcio SH - RL Sandra Yaneth Hoyos Rebolledo</t>
  </si>
  <si>
    <t>Interventoría tecnica, ambiental, administrativa y financiera de la construcción adecuación del acueducto de la cabecera municipal de Argelia - Cauca.</t>
  </si>
  <si>
    <t>50% de anticipo, el resto se pagara en actas mensuales y previa amortización del anticipo, el ultimo pago no puede ser inferior al 10% del valor del contrato.</t>
  </si>
  <si>
    <t>Acta de inicio del 02/11/2011 - Cuenta de cobro - Orden de pago del 30/11/2011 correspondiente al 50% de de anticipo</t>
  </si>
  <si>
    <t>Acta Parcial N° 01 del 02/12/2011 - Factura de venta N° 04 por el valor de $8´923.613 - Orden de pago del 14/03/2012</t>
  </si>
  <si>
    <t>Acta parcial N° 02 del 02/01/2012 - Factura de venta N° 05 por el valor de $8´923.613 - Orden de pago del 14/03/2012</t>
  </si>
  <si>
    <t>Acta parcial N° 03 del 02/02/2012 - Factura de venta N° 06 por el valor de $8´923.613 - Orden de pago del 14/03/2012</t>
  </si>
  <si>
    <t>Acta parcial N° 04 del 02/03/2012 - Factura de venta N° 08 por el valor de $8,923.613 - Orden de pago del 14/03/2012</t>
  </si>
  <si>
    <t>Acta parcial N° 05 del 02/04/2012 - Factura de venta N° 19 por el valor de $8´923.613 - Orden de pago del 14/08/2012</t>
  </si>
  <si>
    <t>Acta parcial N° 06 del 02/05/2012 - Factura de venta N° 20 por el valor de $8´923.613 - Orden de pago del 14/08/2012</t>
  </si>
  <si>
    <t>Acta parcial N° 07 y final del 05/09/2012 - Factura de venta N° 22 por el valor de $8´923.614 - Orden de pago N° 97 del 02/09/2013</t>
  </si>
  <si>
    <t>Acta de liquidación del 24 de junio del año 2013</t>
  </si>
  <si>
    <r>
      <t xml:space="preserve">Contrato liquidado y pagado: </t>
    </r>
    <r>
      <rPr>
        <sz val="12"/>
        <color theme="1"/>
        <rFont val="Calibri"/>
        <family val="2"/>
        <scheme val="minor"/>
      </rPr>
      <t xml:space="preserve">Se pueden liberar $2 del CDR 178 que no se le pagaron al contratista. Inicialmente se expidio el CDR 153 (Fuente Dpto) por el mismo valor pero no se utilizo, se debe confirmar con el consorcio FIA que se haya anulado. </t>
    </r>
  </si>
  <si>
    <t>057-2011</t>
  </si>
  <si>
    <t>Construcción sistema de acueducto cabecera municipal de Totoro</t>
  </si>
  <si>
    <t>Consorcio CAA - Francisco Javier Polanco Florez</t>
  </si>
  <si>
    <t>Acta de liquidación del 26 de Noviembre del año 2014</t>
  </si>
  <si>
    <t>Acta de inicio del 08/11/2011 - Cuenta de cobro de anticipo - Orden de pago del 09/12/2011 por el valor de $217´878.547 correspondiente al 50% de anticipo (Orden cancelada por los CDRs 183 y 001)</t>
  </si>
  <si>
    <t>Acta N° 1 del 21/02/2012 - Factura de venta N° 1 por el valor de $137´305.430 - Orden de pago del 20/03/2012 (Factura cancelada por los CDRs 183 y 001)</t>
  </si>
  <si>
    <t>Acta N° 2 del 11/03/2012 - Factura de venta N° 2 por el valor de $99´462.822 - Orden de pago del 08/05/2012 (Factura cancelada por los CDRs 183 y 001)</t>
  </si>
  <si>
    <t>Acta N° 3 del 03/05/2012 - Factura de venta N° 3 por el valor de $154´716.724,73 - Orden de pago del 17/05/2012 (Factura cancelada por los CDRs 183 y 001)</t>
  </si>
  <si>
    <t>Acta N° 4 del 03/03/2014 - Factura de venta N° 4 por el valor de $44´272.116,13 - Orden de pago n° 197  del 29/07/2014 (Factura cancelada por los CDRs 183 y 001)</t>
  </si>
  <si>
    <t>Acta N° 5 y final del 03/03/2014 - Factura de venta N° 5 por el valor de $52´169.204 - Orden de pago n° 245 del 27/11/2014 (Factura cancelada por los CDRs 183 y 001)</t>
  </si>
  <si>
    <r>
      <rPr>
        <b/>
        <sz val="12"/>
        <color theme="1"/>
        <rFont val="Calibri"/>
        <family val="2"/>
        <scheme val="minor"/>
      </rPr>
      <t xml:space="preserve">Contrato liquidado y pagado: </t>
    </r>
    <r>
      <rPr>
        <sz val="12"/>
        <color theme="1"/>
        <rFont val="Calibri"/>
        <family val="2"/>
        <scheme val="minor"/>
      </rPr>
      <t>Se observa confusión de fuentes en el CDR 183,  por fuente Departamento-SGP se pago de más el valor de $36.860.408,01 y por fuente nación se dejo el valor de $38´272.946,01 sin utilizar. En conclusión del CDR 183 se debe liberar el valor de $1´412.538 - Del CDR 001 fuente SGP Totoro se debe liberar el valor de $4´058.795.</t>
    </r>
  </si>
  <si>
    <t>FRA 1, CONTRATO DE INTERVENTORIA #59 DE 2011, INTERVENTORIA TECNICA AMBIENTAL ADMINISTRATIVA Y FIN</t>
  </si>
  <si>
    <t>FRA 2, CONTRATO DE INTERVENTORIA #59 DE 2011, INTERVENTORIA TECNICA AMBIENTAL ADMINISTRATIVA Y FIN</t>
  </si>
  <si>
    <t>FRA 3, CONTRATO DE INTERVENTORIA #59 DE 2011, INTERVENTORIA TECNICA AMBIENTAL ADMINISTRATIVA Y FIN</t>
  </si>
  <si>
    <t>25274386</t>
  </si>
  <si>
    <t>Interventoría técnica, ambiental, administrativa y financiera a las siguientes obras: "Construcción primera etapa alcantarillado sanitario cabecera municipal de Guapi, Departamento del Cauca.</t>
  </si>
  <si>
    <t>50% de anticipo y el resto en actas parciales autorizadas por interventoria</t>
  </si>
  <si>
    <t>059-2011</t>
  </si>
  <si>
    <t>071-2011</t>
  </si>
  <si>
    <t>Consorcio Fernando Chilito García y otro</t>
  </si>
  <si>
    <t>"Construcción rehabilitación acueductos Honduras - Belen, municipio de Morales - Cauca"</t>
  </si>
  <si>
    <t>50% de anticipo, el 50% restante se pagara por medio de actas parciales amortizando el anticipo y/o acta final de entrega de obra</t>
  </si>
  <si>
    <t>Acta de inicio del 02/11/2011 - Cuenta de cobro - Orden de pago del 30/11/2011</t>
  </si>
  <si>
    <t>Acta de liquidación final del contrato de interventoría del 10 de septiembre del año 2013</t>
  </si>
  <si>
    <r>
      <rPr>
        <b/>
        <sz val="12"/>
        <rFont val="Calibri"/>
        <family val="2"/>
        <scheme val="minor"/>
      </rPr>
      <t>Contrato liquidado y pagado:</t>
    </r>
    <r>
      <rPr>
        <sz val="12"/>
        <rFont val="Calibri"/>
        <family val="2"/>
        <scheme val="minor"/>
      </rPr>
      <t xml:space="preserve"> Del CDR 177 se debe liberar el valor de $1,50.</t>
    </r>
  </si>
  <si>
    <t>Falta: Las actas n° 1, n° 2 y n° 3, ademas de sus respectivas facturas y ordenes de pago.</t>
  </si>
  <si>
    <t>Acta parcial N° 4 del 02/03/2012 - Factura de venta n° 15 por el valor de $15´855.453 - Orden de pago del 14/08/2012</t>
  </si>
  <si>
    <t>Acta parcial n° 5 del 02/04/2012 - Factura de venta n° 17 por el valor de $15´855.453 - Orden de pago del 14/08/2012</t>
  </si>
  <si>
    <t>Acta parcial N° 6 del 02/05/2012 - Factura de venta N° 18 por el valor de $15´855.453 - Orden de pago del 14/08/2012</t>
  </si>
  <si>
    <t>Acta final N° 07 del 01/08/2012 - Factura de venta N° 26 por el valor de $15´855.452 - Orden de pago n° 145 del 11/12/2013</t>
  </si>
  <si>
    <t>50% ANTICIPO Y EL RESTO EN ACTAS PARCIALES AUTORIZADAS POR INTERVENTORIA</t>
  </si>
  <si>
    <t>061-2011</t>
  </si>
  <si>
    <t>Acta de inicio del 06/02/2012 - Cuenta de cobro - Orden de pago del 21/06/2012</t>
  </si>
  <si>
    <t>Acta de liquidación final contrato de obra del 29 de agosto del año 2013</t>
  </si>
  <si>
    <t>Acta de obra N° 1 y final del 24/05/2013 - Factura de venta N° 1 por el valor de $209´738.150 - Orden de pago n° 134 del 21/11/2013</t>
  </si>
  <si>
    <r>
      <t xml:space="preserve">Contrato liquidado y pagado: </t>
    </r>
    <r>
      <rPr>
        <sz val="12"/>
        <color theme="1"/>
        <rFont val="Calibri"/>
        <family val="2"/>
        <scheme val="minor"/>
      </rPr>
      <t>Se debe liberar el valor de $168 del CDR 221 por no uso del mismo - En la pagina del Consorcio FIA en el detalle de los pagos no se refleja la cancelación del valor del acta n° 1 y final, pero en la parte superior de la suma de los pagos si esta incluido, además se pudo constatar en la relación de pagos por terceros que este si se hizo.</t>
    </r>
  </si>
  <si>
    <t>Realizar la interventoría técnica, ambiental, administrativa y financiera a las siguientes obras: "Construcción sistema de acueducto cabecera municipal de Totoro - Cauca" y "Construcción optimización del acueducto interveredal Isabelilla, municipio de Toribio - Cauca"</t>
  </si>
  <si>
    <t>Consorcio JR - RL: James Marino Parra Tobar</t>
  </si>
  <si>
    <t>8</t>
  </si>
  <si>
    <t>Acta de inicio del 02/11/2011 -  Cuenta de cobro por $51´000.000 correspondiente al 50% de anticipo del valor inicial del contrato - Orden de pago del 05/12/2011 por el valor de $35´577.600</t>
  </si>
  <si>
    <t>Acta de inicio del 02/11/2011 -  Cuenta de cobro por $51´000.000 correspondiente al 50% de anticipo del valor inicial del contrato</t>
  </si>
  <si>
    <t>Falta: Orden de pago del 50% de anticipo de Totoro por el valor de $15´422.400</t>
  </si>
  <si>
    <t>Acta de recibo parcial N° 01 del 02/12/2011 - Factura de Venta N° 11 - Orden de pago del 08/05/2012</t>
  </si>
  <si>
    <t>Acta de recibo parcial N° 01 del 02/12/2011 - Factura de Venta N° 10  - Orden de pago del 08/05/2012</t>
  </si>
  <si>
    <t>Acta de Recibo parcial N° 02 del 02/01/2012 - Factura de venta N° 13 - Orden de pago del 08/05/2012</t>
  </si>
  <si>
    <t>Acta de Recibo parcial N° 02 del 02/01/2012 - Factura de venta N° 12 - Orden de pago del 08/05/2012</t>
  </si>
  <si>
    <t>Acta de recibo parcial N° 3 del 02/02/2012 - Factura de venta N° 15 - Orden de pago del 08/05/2012</t>
  </si>
  <si>
    <t>Acta de recibo parcial N° 3 del 02/02/2012 - Factura de venta N° 14 - Orden de pago del 08/05/2012</t>
  </si>
  <si>
    <t xml:space="preserve">Acta de recibo parcial N° 04 del 02/03/2012 - Factura de Venta N° 16 - Orden de pago del 13/08/2012 </t>
  </si>
  <si>
    <t>Acta de recibo parcial N° 05 del 02/04/2012 - Factura de venta N° 18 - Orden de pago del 13/08/2012</t>
  </si>
  <si>
    <t>Acta de recibo parcial N° 05 del 02/04/2012 - Factura de venta N° 19- Orden de pago del 13/08/2012</t>
  </si>
  <si>
    <t>Acta de recibo parcial N° 06 del 02/05/2012 - Factura de venta N° 20 - Orden de pago del 13/08/2012</t>
  </si>
  <si>
    <t>Acta de recibo parcial N° 06 del 02/05/2012 - Factura de venta N° 21 - Orden de pago del 13/08/2012</t>
  </si>
  <si>
    <t>Acta de recibo parcial N° 07 del 26/08/2014 - Factura de venta N° 30 - Orden de pago N° 218 del 15/10/2014 (Valores incorrectos en factura y orden de pago)</t>
  </si>
  <si>
    <t>Acta de recibo parcial N° 07 del 26/08/2014 - Factura de venta N° 29 - Orden de pago N° 218 del 15/10/2014  (Valores incorrectos en factura y orden de pago)</t>
  </si>
  <si>
    <t>Acta de Recibo parcial N° 08 del 27/08/2014 - Factura de venta N° 31 - Orden de pago N° 219 del 15/10/2014</t>
  </si>
  <si>
    <t>Acta de Recibo parcial N° 08 del 27/08/2014 - Factura de venta N° 32 - Orden de pago N° 220 del 15/10/2014</t>
  </si>
  <si>
    <t>Acta de recibo N° 09 y final del 20/01/2015 - Factura de venta N° 35 por el valor de $16´134.751,20 - Orden de pago n° 2 del 09/03/2017 (Factura cancelada por los CDRs 6 y 299)</t>
  </si>
  <si>
    <t>Acta de recibo N° 09 y final del 20/01/2015 - Factura de venta N° 35 por el valor de $16´134.751,20 - Orden de pago n° 3 del 09/03/2017 (Factura cancelada por los CDRs 6 y 299)</t>
  </si>
  <si>
    <t>Acta de liquidación contrato de interventoría del 01 de diciembre del año 2016</t>
  </si>
  <si>
    <r>
      <rPr>
        <b/>
        <sz val="12"/>
        <color theme="1"/>
        <rFont val="Calibri"/>
        <family val="2"/>
        <scheme val="minor"/>
      </rPr>
      <t>Contrato liquidado y pagado:</t>
    </r>
    <r>
      <rPr>
        <sz val="12"/>
        <color theme="1"/>
        <rFont val="Calibri"/>
        <family val="2"/>
        <scheme val="minor"/>
      </rPr>
      <t xml:space="preserve"> Existen errores en las facturas y ordenes de pago correspondientes al acta parcial N° 7. Como se puede apreciar existen saldos menores por liberar en los CDRs 182 -181</t>
    </r>
  </si>
  <si>
    <t>077-2011</t>
  </si>
  <si>
    <t>Elaboración del diseño de optimización del sistema de acueducto de Santa Barbara, municipio de Cajibio - Cauca.</t>
  </si>
  <si>
    <t>40% de anticipo el cual debe ser amortizado mediante actas parciales, hasta un valor correspondiente al 90% del valor total del contrato en recibos parciales, un valor correspondiente al 10% en un acta final.</t>
  </si>
  <si>
    <t>Acta de suspensión temporal N° 4 del 25 de abril del año 2013</t>
  </si>
  <si>
    <t>Acta de inicio del 12/04/2012 - Cuenta de cobro - Orden de pago del 24/04/2012 correspondiente al 40% de anticipo</t>
  </si>
  <si>
    <t>Acta N° 01 del 23/04/2013 - Factura de venta N° 010 - Orden de pago N° 77 del 17/05/2013</t>
  </si>
  <si>
    <t>Documentos soportes completos hasta la fecha de revisión</t>
  </si>
  <si>
    <r>
      <t xml:space="preserve">Contrato suspendido: </t>
    </r>
    <r>
      <rPr>
        <sz val="12"/>
        <color theme="1"/>
        <rFont val="Calibri"/>
        <family val="2"/>
        <scheme val="minor"/>
      </rPr>
      <t>Falta por amortizar del anticipo el valor de $16´185.533,36, aun queda un saldo del CDR por el valor de  $24´278.299,53 - No se puede determinar si hay saldos a liberar hasta que  el contrato se reinicie</t>
    </r>
  </si>
  <si>
    <t>Acta de liquidación del 21-10-2014</t>
  </si>
  <si>
    <t>CONSTRUCCION REHABILITACION ACUEDUCTO VEREDAS LA VENTA – EL COFRE, MUNICIPIO DE CAJIBIO, DEPARTAMENTO DEL CAUCA</t>
  </si>
  <si>
    <t>Acta de liquidación final del 13/09/2012</t>
  </si>
  <si>
    <t>Obra pública</t>
  </si>
  <si>
    <t>072-2011</t>
  </si>
  <si>
    <t>073-2011</t>
  </si>
  <si>
    <t>074-2011</t>
  </si>
  <si>
    <t>075-2011</t>
  </si>
  <si>
    <t>Consorcio FZ</t>
  </si>
  <si>
    <t>Construcción rehabilitación acueducto interveredal El Tablon - Chapio, municipio de Purace, Departamento del Cauca.</t>
  </si>
  <si>
    <t>50% de anticipo, el 50% restante se pagara en actas parcialesy/o acta final de entrega de obra.</t>
  </si>
  <si>
    <t>Acta de iniciación del 28/12/2011 - Cuenta de cobro - Orden de pago del 07/05/2012 correspondiente al 50% de anticipo</t>
  </si>
  <si>
    <t>Acta de recibo N° 1 y final del 26/06/2012 - Factura de venta N° 3 - Orden de pago N° 107 del 09/01/2014</t>
  </si>
  <si>
    <t>Acta de liquidación del 21 de junio del año 2013</t>
  </si>
  <si>
    <r>
      <rPr>
        <b/>
        <sz val="12"/>
        <color theme="1"/>
        <rFont val="Calibri"/>
        <family val="2"/>
        <scheme val="minor"/>
      </rPr>
      <t>Contrato liquidado y pagado:</t>
    </r>
    <r>
      <rPr>
        <sz val="12"/>
        <color theme="1"/>
        <rFont val="Calibri"/>
        <family val="2"/>
        <scheme val="minor"/>
      </rPr>
      <t xml:space="preserve"> Se debe liberar el valor de $790.979</t>
    </r>
  </si>
  <si>
    <t>Manuel Antonio Muñoz Ledezma</t>
  </si>
  <si>
    <t>Construcción rehabilitación de viaductos sistema de acueducto veredal Michicao, municipio de Cajibío, Departamento del Cauca.</t>
  </si>
  <si>
    <t>Obra Pública</t>
  </si>
  <si>
    <r>
      <rPr>
        <b/>
        <sz val="12"/>
        <rFont val="Calibri"/>
        <family val="2"/>
        <scheme val="minor"/>
      </rPr>
      <t>Contrato liquidado y pagado:</t>
    </r>
    <r>
      <rPr>
        <sz val="12"/>
        <rFont val="Calibri"/>
        <family val="2"/>
        <scheme val="minor"/>
      </rPr>
      <t xml:space="preserve"> No existen saldos a liberar en el CDR 213</t>
    </r>
  </si>
  <si>
    <t>Acta de inicio del 28/12/2011 - Cuenta de cobro - Orden de pago del 27/12/2011</t>
  </si>
  <si>
    <t>Acta parcial de obra N° 1 del 11/07/2012 - Factura de venta N° 481 - Orden de pago n° 19 del 22/10/2012</t>
  </si>
  <si>
    <t>Acta de recibo fin de obra N° 2 del 18/07/2012 - Factura de venta N° 0506 - Orden de pago n° 87 del 14/06/2013</t>
  </si>
  <si>
    <t>Adolfo Leon Valderrama Belalcazar</t>
  </si>
  <si>
    <t>Acta de iniciación del 28/12/2011 - Cuenta de cobro - Orden de pago del 07/03/2012 correspondiente al 50% de anticipo</t>
  </si>
  <si>
    <t>Acta de recibo unica y final de obra del 22/06/2012 - Factura de venta N° 0231 - Orden de pago n° 48 del 04/01/2013</t>
  </si>
  <si>
    <r>
      <rPr>
        <b/>
        <sz val="12"/>
        <rFont val="Calibri"/>
        <family val="2"/>
        <scheme val="minor"/>
      </rPr>
      <t>Contrato liquidado y pagado:</t>
    </r>
    <r>
      <rPr>
        <sz val="12"/>
        <rFont val="Calibri"/>
        <family val="2"/>
        <scheme val="minor"/>
      </rPr>
      <t xml:space="preserve"> No existen saldos a liberar en el CDR 211</t>
    </r>
  </si>
  <si>
    <t>Acta de liquidación final contrato de obra del 13 de septiembre del año 2012</t>
  </si>
  <si>
    <t>Consorcio Realizar</t>
  </si>
  <si>
    <t>Construcción rehabilitación acueducto veredal Arbela, municipio de La Vega, departamento del Cauca.</t>
  </si>
  <si>
    <t>50% de anticipo, el 50% restante mediante actas parciales y/o acta de final de entrega de obra.</t>
  </si>
  <si>
    <t>Acta de inicio del 06/02/2012 - Cuenta de cobro - Orden de pago del 06/08/2012 correspondiente al 50% de anticipo</t>
  </si>
  <si>
    <t xml:space="preserve">Acta de recibo unica y final de obra del 25/08/2014 - Factura de venta N° 1 por el valor de $90´737.264 - Orden de pago n° 226 del 31/10/2014 </t>
  </si>
  <si>
    <t xml:space="preserve">Acta de recibo unica y final de obra del 25/08/2014 - Factura de venta N° 2 por el valor de $42´720.615 - Orden de pago n° 227 del 31/10/2014 </t>
  </si>
  <si>
    <r>
      <rPr>
        <b/>
        <sz val="12"/>
        <color theme="1"/>
        <rFont val="Calibri"/>
        <family val="2"/>
        <scheme val="minor"/>
      </rPr>
      <t>Contrato liquidado y pagado:</t>
    </r>
    <r>
      <rPr>
        <sz val="12"/>
        <color theme="1"/>
        <rFont val="Calibri"/>
        <family val="2"/>
        <scheme val="minor"/>
      </rPr>
      <t xml:space="preserve"> No existen saldos a liberar en los  CDRs de 215 y 306</t>
    </r>
  </si>
  <si>
    <t>Acta de liquidación del 7 de mayo de 2014</t>
  </si>
  <si>
    <t>Consorcio Narvaez</t>
  </si>
  <si>
    <t>Elaboración estudios y diseños acueducto Puerto Saija Municipio de Timbiquí - Cauca</t>
  </si>
  <si>
    <t>076-2011</t>
  </si>
  <si>
    <t>078-2011</t>
  </si>
  <si>
    <t>079-2011</t>
  </si>
  <si>
    <t>Elaboración del diseño de optimización del sistema de acueducto de la cabecera municipal de Puerto Tejada - Cauca.</t>
  </si>
  <si>
    <t>40% de anticipo, hasta un valor correspondiente al 90% del valor total del contrato en recibos parciales, un valor correspondiente al 10% en un acta final.</t>
  </si>
  <si>
    <t>Acta de suspensión N° 4 del 8 de enero del año 2013</t>
  </si>
  <si>
    <t>Falta: Cuenta de cobro y orden de pago del anticipo</t>
  </si>
  <si>
    <r>
      <rPr>
        <b/>
        <sz val="12"/>
        <color theme="1"/>
        <rFont val="Calibri"/>
        <family val="2"/>
        <scheme val="minor"/>
      </rPr>
      <t>Contrato suspendido:</t>
    </r>
    <r>
      <rPr>
        <sz val="12"/>
        <color theme="1"/>
        <rFont val="Calibri"/>
        <family val="2"/>
        <scheme val="minor"/>
      </rPr>
      <t xml:space="preserve"> No se encontraron actas parciales de recibo de obra, falta por legalizar el anticipo</t>
    </r>
  </si>
  <si>
    <t>Acta de inicio del 25/01/2012</t>
  </si>
  <si>
    <t>40% de anticipo el cual debe ser amortiza mediante actas parciales, hasta un valor correspondiente al 90% del valor total del contrato en recibos parciales y un valor correspondiente al 10% en un acta final.</t>
  </si>
  <si>
    <t>21/07/2011</t>
  </si>
  <si>
    <r>
      <rPr>
        <b/>
        <sz val="12"/>
        <color theme="1"/>
        <rFont val="Calibri"/>
        <family val="2"/>
        <scheme val="minor"/>
      </rPr>
      <t>Contrato suspendido:</t>
    </r>
    <r>
      <rPr>
        <sz val="12"/>
        <color theme="1"/>
        <rFont val="Calibri"/>
        <family val="2"/>
        <scheme val="minor"/>
      </rPr>
      <t xml:space="preserve"> falta por amortizar del anticipo $6.844.255</t>
    </r>
  </si>
  <si>
    <t>Acta de inicio del 12/04/2012 - Cuenta de cobro - Orden de pago del 12/04/2012</t>
  </si>
  <si>
    <t>Acta N° 1 del 02/04/2014 - Factura de venta N° 022- Orden de pago n° 180 del 09/07/2014</t>
  </si>
  <si>
    <t>Falta: El acta de suspensión del contrato</t>
  </si>
  <si>
    <t>Elaboración estudios y diseños optimización sistema de alcantarillado cabecera municipal - Coconuco (Incluye PTAR), municipio de Purace - Cauca</t>
  </si>
  <si>
    <t>40% de anticipo, el cual se amortizara mediante actas parciales, se pagara hasta un valor correspondiente al 90% del valor total del contrato, en recibos parciales, y un valor correspondiente al 10% mediante un acta final</t>
  </si>
  <si>
    <t>Acta de inicio del 11/04/2012 - Cuenta de cobro - Orden de pago del 30/04/2012</t>
  </si>
  <si>
    <t>Acta N° 1 del 29/06/2013 - Factura N° 2 - Orden de pago n° 130 del 01/11/2013</t>
  </si>
  <si>
    <t>Acta No.2 y Final del 07/05/2014 - Factura N° 3 - Orden de pago n° 195 del 25/07/2014</t>
  </si>
  <si>
    <t>900485124</t>
  </si>
  <si>
    <t>0</t>
  </si>
  <si>
    <r>
      <rPr>
        <b/>
        <sz val="12"/>
        <rFont val="Calibri"/>
        <family val="2"/>
        <scheme val="minor"/>
      </rPr>
      <t>Contrato liquidado:</t>
    </r>
    <r>
      <rPr>
        <sz val="12"/>
        <rFont val="Calibri"/>
        <family val="2"/>
        <scheme val="minor"/>
      </rPr>
      <t xml:space="preserve"> no hay saldos por liberar.</t>
    </r>
  </si>
  <si>
    <t>080-2011</t>
  </si>
  <si>
    <t>Ingenieria Estructural construcciones Ltda</t>
  </si>
  <si>
    <t>Elaboración estudios y diseños sistema de acueducto: veredas La Playa, Soto, La Luz, Buena Vista y La Laguna, municipio de Toribio - Cauca.</t>
  </si>
  <si>
    <t>Acta N° 01 del 17/10/2012 - Factura N° 090 - Orden de pago n° 27 del 14/11/2012</t>
  </si>
  <si>
    <t>Acta N° 2 del 15/04/2013 - Factura N° 100 - Orden de pago n° 79 del 17/05/2013</t>
  </si>
  <si>
    <t>Acta N° 3 y final del 09/06/2017</t>
  </si>
  <si>
    <t>Acta de recibo a entera satisfacción N° 3 y final contrato de consultoria n° 080 de 2011 del 10/06/2016</t>
  </si>
  <si>
    <t>Documentos soportes completos hasta la fecha de revisión 23/11/2017</t>
  </si>
  <si>
    <r>
      <rPr>
        <b/>
        <sz val="12"/>
        <color theme="1"/>
        <rFont val="Calibri"/>
        <family val="2"/>
        <scheme val="minor"/>
      </rPr>
      <t xml:space="preserve">Contrato terminado sin liquidar: </t>
    </r>
    <r>
      <rPr>
        <sz val="12"/>
        <color theme="1"/>
        <rFont val="Calibri"/>
        <family val="2"/>
        <scheme val="minor"/>
      </rPr>
      <t>En el acta n° 3 y final esta por un valor de $9´000.000, valor de anticipo por amortizar por el valor de $2´401.107,20, valor a pagar al contratista $6´598.892,80</t>
    </r>
  </si>
  <si>
    <t>081-2011</t>
  </si>
  <si>
    <t>Elaboración Estudios y diseños sistema de alcantarillado vereda La Playa, municipio de Toribio - Cauca.</t>
  </si>
  <si>
    <t>40% de anticipo el cual se amortizara mediante actas parciales. Pago de hasta un valor correspondiente al 90% del valor total del contrato, en recibos parciales y un valor correspondiente al 10% en un acta final.</t>
  </si>
  <si>
    <t>Acta de suspensión Temporal N° 4 del 1 de julio del año 2013</t>
  </si>
  <si>
    <t>Acta de inicio del 12/04/2012 - Cuenta de cobro del anticipo - Orden de pago del 24/04/2012</t>
  </si>
  <si>
    <t>Acta N° 01 del 17/10/2012 - Factura de venta N° 091 - Orden de pago n° 28 del 14/11/2012</t>
  </si>
  <si>
    <t>Acta N° 02 del 29/06/2013 - Factura de venta N° 109 - Orden de pago n° 153 del 29/01/2014</t>
  </si>
  <si>
    <t>Documentos completos hasta la fecha de revisión 27/11/2017</t>
  </si>
  <si>
    <r>
      <rPr>
        <b/>
        <sz val="12"/>
        <color theme="1"/>
        <rFont val="Calibri"/>
        <family val="2"/>
        <scheme val="minor"/>
      </rPr>
      <t xml:space="preserve">Contrato Suspendido: </t>
    </r>
    <r>
      <rPr>
        <sz val="12"/>
        <color theme="1"/>
        <rFont val="Calibri"/>
        <family val="2"/>
        <scheme val="minor"/>
      </rPr>
      <t>Falta por amortizar el valor de $1´884.814,40</t>
    </r>
  </si>
  <si>
    <t>082-2011</t>
  </si>
  <si>
    <t>La Sierra</t>
  </si>
  <si>
    <t>Elaboración estudios y diseños optimización sistema de acueducto cabecera municipal de La Sierra - Cauca</t>
  </si>
  <si>
    <t>Acta de iniciación del 11/04/2012 - Cuenta de cobro del anticipo - Orden de pago del 30/04/2012</t>
  </si>
  <si>
    <t>Acta N° 01 del 29/06/2013 - Factura de venta N° 001 - Orden de pago n° 129 del 01/11/2013</t>
  </si>
  <si>
    <t>Acta N° 02 del 06/05/2014 - Factura de venta N° 004 - Orden de pago n° 194 del 25/07/2014</t>
  </si>
  <si>
    <t>Acta de recibo a entera satisfacción n° 3 y final contrato de consultoría n° 082 de 2011</t>
  </si>
  <si>
    <t>Documentos soportes completos hasta la fecha de revisión 27/11/2017</t>
  </si>
  <si>
    <r>
      <t>Contrato terminado sin liquidar:</t>
    </r>
    <r>
      <rPr>
        <sz val="12"/>
        <color theme="1"/>
        <rFont val="Calibri"/>
        <family val="2"/>
        <scheme val="minor"/>
      </rPr>
      <t xml:space="preserve"> Cuando se liquide el contrato la orden de pago se debe realizar por el valor de $6´887.499,90 y amortizar el saldo del anticipo por $2´755.000,36, valor a pagar al contratista $4´132.499,54</t>
    </r>
  </si>
  <si>
    <t>083-2011</t>
  </si>
  <si>
    <t>Hydroproyectos SAS</t>
  </si>
  <si>
    <t>Elaboración estudios y diseños sistema de alcantarillado cabecera municipal (Incluye PTAR) municipio de Rosas - Cauca.</t>
  </si>
  <si>
    <t>Acta de suspensión temporal N° 03 del 19/12/2012</t>
  </si>
  <si>
    <t>Acta de inicio del 12/04/2012 - Cuenta de cobro de anticipo - Orden de pago del 24/04/2012</t>
  </si>
  <si>
    <t>Acta N° 1 del 15/04/2013 - Factura de venta n° 011 - Orden de pago n° 78 del 17/05/2013</t>
  </si>
  <si>
    <t>084-2011</t>
  </si>
  <si>
    <t>Consorcio Moron Sierra</t>
  </si>
  <si>
    <t>Elaboración estudios y diseños optimización sistema de acueducto cabecera municipal de Rosas - Cauca</t>
  </si>
  <si>
    <t>Acta N° 1 del 06/05/2014 - Factura de venta n° 001 - Orden de pago n° 199 del 29/07/2014</t>
  </si>
  <si>
    <t>Acta de suspensión N° 4 del 8 de mayo del año 2014</t>
  </si>
  <si>
    <r>
      <rPr>
        <b/>
        <sz val="12"/>
        <color theme="1"/>
        <rFont val="Calibri"/>
        <family val="2"/>
        <scheme val="minor"/>
      </rPr>
      <t>Contrato suspendido:</t>
    </r>
    <r>
      <rPr>
        <sz val="12"/>
        <color theme="1"/>
        <rFont val="Calibri"/>
        <family val="2"/>
        <scheme val="minor"/>
      </rPr>
      <t xml:space="preserve"> Aun no se puede determinar si hay saldos por liberar hasta cuando no se liquide el contrato. Falta por amortizar el valor de $3´601.800,36 del anticipo.</t>
    </r>
  </si>
  <si>
    <t>085-2011</t>
  </si>
  <si>
    <t>Elaboración estudios y diseños sistema de acueducto el Rosal municipio de San Sebastian Cauca</t>
  </si>
  <si>
    <t>Acta de suspensión Temporal N° 2 del 22 de junio del año 2012</t>
  </si>
  <si>
    <t>Acta de inicio del 12/04/2012</t>
  </si>
  <si>
    <r>
      <rPr>
        <b/>
        <sz val="12"/>
        <color theme="1"/>
        <rFont val="Calibri"/>
        <family val="2"/>
        <scheme val="minor"/>
      </rPr>
      <t>Falta:</t>
    </r>
    <r>
      <rPr>
        <sz val="12"/>
        <color theme="1"/>
        <rFont val="Calibri"/>
        <family val="2"/>
        <scheme val="minor"/>
      </rPr>
      <t xml:space="preserve"> Cuenta de cobro del anticipo y orden de pago del anticipo</t>
    </r>
  </si>
  <si>
    <r>
      <rPr>
        <b/>
        <sz val="12"/>
        <color theme="1"/>
        <rFont val="Calibri"/>
        <family val="2"/>
        <scheme val="minor"/>
      </rPr>
      <t xml:space="preserve">Contrato Suspendido: </t>
    </r>
    <r>
      <rPr>
        <sz val="12"/>
        <color theme="1"/>
        <rFont val="Calibri"/>
        <family val="2"/>
        <scheme val="minor"/>
      </rPr>
      <t>Solo se ha realizado el desembolso del 40% del anticipo y no se ha legalizado, según informe del contratista del 28/07/2017 solo ha podido ejecutar el 8.28% del contrato</t>
    </r>
  </si>
  <si>
    <t>086-2011</t>
  </si>
  <si>
    <t>Elaboración estudios y diseños sistema de acueducto vereda Naiciona, municipio Lopez de Micay - Cauca</t>
  </si>
  <si>
    <t>Acta de terminación y liquidación por mutuo acuerdo del contrato de consultoría n° 86 de 2011 del 06 de julio del año 2012</t>
  </si>
  <si>
    <t>Liquidado sin ejecutar</t>
  </si>
  <si>
    <r>
      <rPr>
        <b/>
        <sz val="12"/>
        <color theme="1"/>
        <rFont val="Calibri"/>
        <family val="2"/>
        <scheme val="minor"/>
      </rPr>
      <t xml:space="preserve">Contrato liquidado sin ejecutar: </t>
    </r>
    <r>
      <rPr>
        <sz val="12"/>
        <color theme="1"/>
        <rFont val="Calibri"/>
        <family val="2"/>
        <scheme val="minor"/>
      </rPr>
      <t>El contrato se celebro pero se termino por mutuo acuerdo, ya que la Organización Mundial de la salud ejecuto dicho proyecto. El contrato se iba a llevar a cabo con dineros del CDR 174, razon por la cual no hay necesidad de liberar dineros.</t>
    </r>
  </si>
  <si>
    <t>089-2011</t>
  </si>
  <si>
    <t>Construcción alcantarillado sanitario centro poblado de La Cuchilla y tramos de la cabecera municipal y construcción segunda etapa PTAR del municipio de La Sierra, departamento del Cauca.</t>
  </si>
  <si>
    <t>50% de anticipo, el cual debera ser amortizado mediante actas de entrega y recibo de obra, el ultimo pago se efectuara con el acta de liquidación final del contrato y no podra ser por un valor menor del 10% del valor del contrato.</t>
  </si>
  <si>
    <t>Acta de recibo parcial de obra N° 1 del 02/05/2013 - Factura de venta N° 0698 por el valor de $207´706.850 - Orden de pago n° 105 del 25/09/2013 (Factura cancelado por los CDRs 1 y 235)</t>
  </si>
  <si>
    <t>Acta de recibo parcial de obra N° 2 del 14/10/2014 - Factura de venta N° 0720 por el valor de $269´900.707 - Orden de pago n° 251 del 02/12/2014 (Factura cancelada por los CDRs 1 y 235)</t>
  </si>
  <si>
    <t>Acta de recibo parcial de obra N° 1 del 02/05/2013 - Factura de venta N° 0698 por el valor de $207´706.850 - Orden de pago n° 105 del 25/09/2013 (Factura cancelada por los CDRs 1 y 235)</t>
  </si>
  <si>
    <t>Acta de recibo parcial de obra N° 3 del 24/11/2014 - Factura de venta N° 0724 por el valor de $204´925.020 - Orden de pago n° 255 del 04/12/2014 (Factura cancelada por los CDRs 1 y 235)</t>
  </si>
  <si>
    <t>Acta de recibo parcial de obra N° 4 del 25/02/2015 - Factura de venta N° 0750 por el valor de $377´530.162 - Orden de pago n° 303 del 29/05/2015 (Factura cancelada por lso CDRs 1 y 235)</t>
  </si>
  <si>
    <t>Documentos soportes completos hasta la fecha de revisión 29/11/2017</t>
  </si>
  <si>
    <t>090-2011</t>
  </si>
  <si>
    <t>Realizar la interventoría técnica, administrativa y financiera de las siguientes obras: A) Rehabilitación de viaductos sistema de acueducto veredal Michicao, municipio de Cajibio. B) Rehabilitación acueducto vereda La Venta - El Cofre, municipio de Cajibio. C) Rehabilitación acueducto interveredal el Tablón - Chapio, municipio de Puracé.</t>
  </si>
  <si>
    <t>Diego Reinel Hurtado Astaiza</t>
  </si>
  <si>
    <t>50% de anticipo, el saldo del 50% restante, se cancelará acorde con las actas parciales y/o final que presente el Contratista. El acta de liquidación final deberá suscribirse por los contratantes y el interventor y no podrá ser por un valor inferior al 10% del valor del contrato.</t>
  </si>
  <si>
    <t>Acta de liquidación final de interventoría del 20 de junio del año 2014</t>
  </si>
  <si>
    <t>Acta de inicio de interventoría del 27/12/2011 - Cuenta de cobro del anticipo, por el 50% del valor total del contrato - Orden de pago (Cancelada por los CDRs 212, 214 y 220)</t>
  </si>
  <si>
    <t>Acta parcial N° 1 del 01/08/2012 - Cuenta de cobro por el valor de $16´110.000</t>
  </si>
  <si>
    <t>Acta parcial N° 1 del 01/08/2012 - Cuenta de cobro por el valor de $16´110.000 - Orden de pago n° 46 del 07/12/2012</t>
  </si>
  <si>
    <r>
      <rPr>
        <b/>
        <sz val="12"/>
        <color theme="1"/>
        <rFont val="Calibri"/>
        <family val="2"/>
        <scheme val="minor"/>
      </rPr>
      <t>Contrato liquidado y pagado:</t>
    </r>
    <r>
      <rPr>
        <sz val="12"/>
        <color theme="1"/>
        <rFont val="Calibri"/>
        <family val="2"/>
        <scheme val="minor"/>
      </rPr>
      <t xml:space="preserve"> No hay saldos a liberar, todo esta en orden, es decir en cero. Los valores de las actas de recibo de interventoria n° 2 y final no coinciden con los valores realmente  amortizados y cancelados.</t>
    </r>
  </si>
  <si>
    <t>Acta de recibo N° 2 y final del 04/10/2013 - Factura n° 3 por el valor de $1´790.000 - Orden de pago n° 192 del 23/07/2014 (Factura cancelada por los CDRs 212, 214 y 220)</t>
  </si>
  <si>
    <t>Acta de recibo N° 2 y final del 04/10/2013 - Factura n° 3 por el valor de $1´790.000 - Orden de pago n° 193 del 23/07/2014 (Factura cancelada por los CDRs 212, 214 y 220)</t>
  </si>
  <si>
    <r>
      <rPr>
        <b/>
        <sz val="12"/>
        <color theme="1"/>
        <rFont val="Calibri"/>
        <family val="2"/>
        <scheme val="minor"/>
      </rPr>
      <t xml:space="preserve">Falta: </t>
    </r>
    <r>
      <rPr>
        <sz val="12"/>
        <color theme="1"/>
        <rFont val="Calibri"/>
        <family val="2"/>
        <scheme val="minor"/>
      </rPr>
      <t>Ordenes de pago correspondiente al pago del acta parcial N° 1, del CDR 212 por el valor de $7´200.000 y del CDR 214 por el valor de $5´400.000. En los tomos no se encuentran los CDRs 212, 214 y 220</t>
    </r>
  </si>
  <si>
    <t>Acta de suspensión n° 2 del 26 de febrero del año 2015</t>
  </si>
  <si>
    <r>
      <rPr>
        <b/>
        <sz val="12"/>
        <color theme="1"/>
        <rFont val="Calibri"/>
        <family val="2"/>
        <scheme val="minor"/>
      </rPr>
      <t xml:space="preserve">Contrato suspendido: </t>
    </r>
    <r>
      <rPr>
        <sz val="12"/>
        <color theme="1"/>
        <rFont val="Calibri"/>
        <family val="2"/>
        <scheme val="minor"/>
      </rPr>
      <t>No se puede determinar si existen saldos por liberar hasta que el contrato no sea liquidado.</t>
    </r>
  </si>
  <si>
    <t>088-2011</t>
  </si>
  <si>
    <t>Consorcio acueducto cabecera Patia 2011</t>
  </si>
  <si>
    <t>Optimización del sistema de acueducto de la cabecera municipal de Patia, cauca.</t>
  </si>
  <si>
    <t>interventoria</t>
  </si>
  <si>
    <t>091-2011</t>
  </si>
  <si>
    <t>900489278</t>
  </si>
  <si>
    <t>4</t>
  </si>
  <si>
    <t>Acta de terminación de obra y recibido a satisfacción del 13 de junio del año 2015</t>
  </si>
  <si>
    <t>Acta de inicio del 14/01/2013 - Cuenta de cobro del 50% de anticipo $436´093.517 - Orden de pago n° 137 del 26/11/2013 (Anticipo cancelado por los CDRs 1 y 185)</t>
  </si>
  <si>
    <t>Acta de pago N° 1 DEL 06/03/2014 - Factura de venta N° 001 por el valor de $697´721.028,58 - Orden de pago n° 198 del 29/07/2014 (Factura cancelada por los CDRs 1 y 185)</t>
  </si>
  <si>
    <t>Acta de pago parcial N° 2 del 29/05/2015 por el valor de $476´627.650,47 - Factura de venta N° 004 por el valor de $174´466.005,42 - Orden de pago N° 331 del 01/09/2015 (Factura cancelada por los CDRs 1 y 185)</t>
  </si>
  <si>
    <t>Acta de pago parcial N° 2 del 29/05/2015 por el valor de $476´627.650,47 - Factura de venta N° 005  - Orden de pago N° 332 del 01/09/2015</t>
  </si>
  <si>
    <r>
      <rPr>
        <b/>
        <sz val="12"/>
        <color theme="1"/>
        <rFont val="Calibri"/>
        <family val="2"/>
        <scheme val="minor"/>
      </rPr>
      <t xml:space="preserve">Falta: </t>
    </r>
    <r>
      <rPr>
        <sz val="12"/>
        <color theme="1"/>
        <rFont val="Calibri"/>
        <family val="2"/>
        <scheme val="minor"/>
      </rPr>
      <t>El acta n° 03 y final, ademas su respectiva factura de venta.</t>
    </r>
  </si>
  <si>
    <r>
      <rPr>
        <b/>
        <sz val="12"/>
        <color theme="1"/>
        <rFont val="Calibri"/>
        <family val="2"/>
        <scheme val="minor"/>
      </rPr>
      <t xml:space="preserve">Contrato terminado sin liquidar: </t>
    </r>
    <r>
      <rPr>
        <sz val="12"/>
        <color theme="1"/>
        <rFont val="Calibri"/>
        <family val="2"/>
        <scheme val="minor"/>
      </rPr>
      <t>UNA VEZ LIQUIDADO EL CONTRATO, Y PAGADO LO ADEUDADO AL CONTRATISTA SE PUEDEN LIBERAR $5.249, DEL CDR 12 PATIA. POR FALTA DE DOCUMENTACIÓN DEL CONTRATISTA, LA ENTIDAD NO HA PODIDO EMITIR LA RESPECTIVA ORDEN DE PAGO AL FIA (POR EL SALDO ADEUDADO AL CONTRATISTA)</t>
    </r>
  </si>
  <si>
    <t>Realizar la interventoría técnica, administrativa y financiera de las siguientes obras: A) Rehabilitación acueducto veredal Arbela, municipio de la Vega. B) Rehabilitación acueductos Honduras y Belen municipio de Morales.</t>
  </si>
  <si>
    <t>50% de anticipo, el saldo del 50% restante, se cancelará acorde con las actas parciales y/o final que presente el Contratista. El acta de liquidación final deberá suscribirse por los contratantes y el interventor y no podrá ser por un valor inferior al 10%</t>
  </si>
  <si>
    <t>Oficio de la oficina jurídica solicitando liberación de saldos</t>
  </si>
  <si>
    <t>Acta de inicio del 06/02/2012 - Cuenta de cobro del anticipo - Orden de pago del 23/05/2012 (Cuenta de cobro cancelada por los CDRs 216 y 222)</t>
  </si>
  <si>
    <t>Acta parcial de interventoria N° 1 del 27/11/2013 - Factura N° 2 - Orden de pago n° 191 del 23/07/2014</t>
  </si>
  <si>
    <t>Acta de recibo n° 2 de interventoria del 21/09/2014 - Factura n° 03 - Orden de pago n° 276 del 19/01/2015</t>
  </si>
  <si>
    <t>Acta de recibo N° 3 y final de interventoria del 21/09/2014 - Factura N° 4 - Orden de pago n° 277 del 19/01/2015</t>
  </si>
  <si>
    <r>
      <rPr>
        <b/>
        <sz val="12"/>
        <color theme="1"/>
        <rFont val="Calibri"/>
        <family val="2"/>
        <scheme val="minor"/>
      </rPr>
      <t>Contrato liquidado y pagado:</t>
    </r>
    <r>
      <rPr>
        <sz val="12"/>
        <color theme="1"/>
        <rFont val="Calibri"/>
        <family val="2"/>
        <scheme val="minor"/>
      </rPr>
      <t xml:space="preserve"> No hay saldos para liberar.</t>
    </r>
  </si>
  <si>
    <t>095-2011</t>
  </si>
  <si>
    <t>Consorcio Pubenza 2012</t>
  </si>
  <si>
    <t>Interventoría técnica, ambiental, administrativa y financiera a la obra: "Construcción redes de acueducto para las veredas nor y sur occidentales de la ciudad de Popayán - Cauca"</t>
  </si>
  <si>
    <t>Acta de inicio del 24/09/2012 - Cuenta de cobro del anticipo - Orden de pago N° 49 del 11/12/2012</t>
  </si>
  <si>
    <t>Acta parcial N° 1 del 02/05/2013 - Factura de venta N° 3 - Orden de pago n° 85 del 29/05/2013</t>
  </si>
  <si>
    <t>Acta parcial N° 2 del 22/07/2013 - Factura de venta N° 5 - Orden de pago n° 98 del 27/08/2013</t>
  </si>
  <si>
    <t>Documentos soportes completos hasta la fecha de revisión 30/11/2017</t>
  </si>
  <si>
    <r>
      <rPr>
        <b/>
        <sz val="12"/>
        <rFont val="Calibri"/>
        <family val="2"/>
        <scheme val="minor"/>
      </rPr>
      <t>Contrato vencido sin liquidar:</t>
    </r>
    <r>
      <rPr>
        <sz val="12"/>
        <rFont val="Calibri"/>
        <family val="2"/>
        <scheme val="minor"/>
      </rPr>
      <t xml:space="preserve"> la oficina juridica recomienda liberar saldos, dado que se perdio competencia para liquidar el contrato. se sugiere elaborar la correspondiente acta de cierre del expediente contractual. </t>
    </r>
  </si>
  <si>
    <t>096-2011</t>
  </si>
  <si>
    <t>Consorcio Redes Popayán</t>
  </si>
  <si>
    <t>Interventoría técnica, ambiental, administrativa y financiera a las siguientes obras: "Construcción obras de optimización y ampliación alcantarillado y obras complementarias de los sistemas de tratamiento de aguas residuales, cabecera municipal de Totoro" y "Construcción alcantarillado sanitario y PTAR para el centro poblado de Santa Rosa, municipio de Morales"</t>
  </si>
  <si>
    <t>Acta de iniciación del 08/02/2012 - Cuenta de cobro del anticipo - Orden de pago del 18/05/2012</t>
  </si>
  <si>
    <t>Acta parcial N° 1 del 16/04/2012  por el valor de $10´126.800 (Cancelada por los CDRs 230 y 4)- Factura de venta N° 16 - Orden de pago n° 3 del 10/09/2012</t>
  </si>
  <si>
    <t>Acta parcial N° 1 del 16/04/2012  por el valor de $10´126.800 (Cancelada por los CDRs 230 y 4)- Factura de venta N° 31 - Orden de pago n° 2 del 10/09/2012</t>
  </si>
  <si>
    <t>Acta parcial N° 2 del 16/05/2012  por el valor de $10´126.800 (Cancelada por los CDRs 230 y 4)- Factura de venta N° 19 - Orden de pago n° 5 del 10/09/2012</t>
  </si>
  <si>
    <t>Acta parcial N° 2 del 16/05/2012  por el valor de $10´126.800 (Cancelada por los CDRs 230 y 4)- Factura de venta N° 32- Orden de pago n° 4 del 10/09/2012</t>
  </si>
  <si>
    <t>Acta parcial N° 3 del 16/06/2012  por el valor de $10´126.800 (Cancelada por los CDRs 230 y 4)- Factura de venta N° 020 - Orden de pago n° 7 del 10/09/2012</t>
  </si>
  <si>
    <t>Acta parcial N° 3 del 16/06/2012  por el valor de $10´126.800 (Cancelada por los CDRs 230 y 4)- Factura de venta N° 033- Orden de pago n° 6 del 10/09/2012</t>
  </si>
  <si>
    <t>Acta parcial N° 4 del 16/07/2012  por el valor de $10´126.800 (Cancelada por los CDRs 230 y 4)- Factura de venta N° 038 - Orden de pago n° 21 del 23/10/2012</t>
  </si>
  <si>
    <t>Acta parcial N° 4 del 16/07/2012  por el valor de $10´126.800 (Cancelada por los CDRs 230 y 4)- Factura de venta N° 037 - Orden de pago n° 20 del 23/10/2012</t>
  </si>
  <si>
    <t>Acta parcial N° 5 del 16/08/2012  por el valor de $10´126.800 (Cancelada por los CDRs 230 y 4)- Factura de venta N° 039 - Orden de pago n° 21 del 23/10/2012</t>
  </si>
  <si>
    <t>Acta parcial N° 5 del 16/08/2012  por el valor de $10´126.800 (Cancelada por los CDRs 230 y 4)- Factura de venta N° 040 - Orden de pago n° 22 del 23/10/2012</t>
  </si>
  <si>
    <t>Acta parcial N° 6 del 16/09/2012  por el valor de $10´126.800 (Cancelada por los CDRs 230 y 4)- Factura de venta N° 041 - Orden de pago n° 24 del 23/10/2012</t>
  </si>
  <si>
    <t>Acta parcial N° 6 del 16/09/2012  por el valor de $10´126.800 (Cancelada por los CDRs 230 y 4)- Factura de venta N° 042 - Orden de pago n° 23 del 23/10/2012</t>
  </si>
  <si>
    <t>Acta parcial N° 7 del 16/10/2012  por el valor de $10´126.800 (Cancelada por los CDRs 230 y 4)- Factura de venta N° 050 - Orden de pago n° 89 del 25/06/2013</t>
  </si>
  <si>
    <t>Acta parcial N° 7 del 16/10/2012  por el valor de $10´126.800 (Cancelada por los CDRs 230 y 4)- Factura de venta N° 049 - Orden de pago n° 88 del 25/06/2013</t>
  </si>
  <si>
    <t>097-2011</t>
  </si>
  <si>
    <t>Consorcio Guadalupe</t>
  </si>
  <si>
    <t>Construcción alcantarillado sanitario y planta de tratamiento de aguas residuales para el centro poblado de Santa Rosa, municipio de Morales, Cauca.</t>
  </si>
  <si>
    <t>50% de anticipo, el anticipo debe ser amortizado mediante actas de entrega y recibo de obra. El ultimo pago, se efectuará con el acta de liquidación final del contrato y no podrá ser por un valor menor del 10%.</t>
  </si>
  <si>
    <t>Acta de recibo y pago parcial N° 1 del 30/07/2012 - Factura de venta N° 1 por el valor de $206´353.085 - Orden de pago del 23/08/2012 (Factura cancelada por los CDRs 228 y 3)</t>
  </si>
  <si>
    <t>Acta de recibo y pago N° 2 y final del 17/10/012 - Factura de venta N° 3 por el valor de $194´526.782 - Orden de pago n° 62 del 27/02/2013 (Factura cancelada por los CDRs 228 y 3)</t>
  </si>
  <si>
    <t>Acta de liquidación final de obra del 04 de febrero del año 2013</t>
  </si>
  <si>
    <r>
      <rPr>
        <b/>
        <sz val="12"/>
        <color theme="1"/>
        <rFont val="Calibri"/>
        <family val="2"/>
        <scheme val="minor"/>
      </rPr>
      <t xml:space="preserve">Contrato liquidado y pagado: </t>
    </r>
    <r>
      <rPr>
        <sz val="12"/>
        <color theme="1"/>
        <rFont val="Calibri"/>
        <family val="2"/>
        <scheme val="minor"/>
      </rPr>
      <t>Se debe liberar el valor de $1´735.629 del CDR 228 (Fuente Nación) y el valor de $432.544 del CDR 3 (Fuente SGP Morales)</t>
    </r>
  </si>
  <si>
    <t>Acta de liquidación del 10 de abril de 2013</t>
  </si>
  <si>
    <t>098-2011</t>
  </si>
  <si>
    <t>032-2012</t>
  </si>
  <si>
    <t>Realizar la interventoría técnica a los siguientes contratos de consultoría: 77-2011, 78-2011, 79-2011, 80-2011, 81-2011, 82-2011, 83-2011, 84-2011 y 85-2011</t>
  </si>
  <si>
    <t>Sisba Ingenieria S.A.S</t>
  </si>
  <si>
    <t>El valor del contrato será pagado al contratista mediante actas parciales aprobadas por el supervisor del contrato, pagadas de conformidad con el avance de la interventoría sobre los diseños que se estan ejecutando.</t>
  </si>
  <si>
    <t>Acta de suspensión N° 6 del 11 de febrero del año 2016</t>
  </si>
  <si>
    <t>Octubre - Soportes escanedos</t>
  </si>
  <si>
    <t xml:space="preserve">Acta N° 10 del contrato n° 77-2011, Acta N° 11 del contrato n° 79-2011, Acta N° 12 del contrato n° 80-2011, Acta N° 13 del contrato 81-2011, Acta N° 14 del contrato n° 82-2011, Acta N° 15 del contrato n° 83-2011 y Acta N° 16 del contrato n° 84-2011 - Factura de venta N° 11 - </t>
  </si>
  <si>
    <t>Acta N° 18 del 30/06/2013 (Contrato n° 78-2011) - Factura de venta N° 14 - Orden de pago N° 122 del 18/10/2013</t>
  </si>
  <si>
    <t>Acta N° 17 del contrato 77-2011, Acta N° 19 del contrato 81-2011, Acta N° 20 del contrato 82-2011, Acta N° 21 del contrato 83-2011 y Acta N° 22 del contrato 84-2011 - Factura de venta N° 13 - Ordenes de pago N° 117, 118, 119, 120 y 121</t>
  </si>
  <si>
    <t>Acta N° 23 del contrato 78-2011, Acta N° 24 del contrato 79-2011, Acta N° 25 del contrato del 81-2011, Acta N° 26 del contrato 82-2011 y Acta N° 27 del contrato 84-2011 - Factura de venta N° 17 - Ordenes de pago N° 182, 183, 184, 185 y 186</t>
  </si>
  <si>
    <t>Acta N° 1 del Contrato N° 77-2011, Acta N° 2 del Contrato N° 78-2011, Acta N° 3  del Contrato N° 79-2011, Acta N° 4 del Contrato N° 80-2011, Acta N° 5 del Contrato N° 81-2011, Acta N° 6 del Contrato N° 82-2011, Acta N° 7 del Contrato N° 83-2011, Acta N° 8 del Contrato N° 84-2011 y Acta N° 9 del contrato N° 85-2011 - Factura de venta N° 09 - Ordenes de pago N° 35, 34, 38, 42, 41, 36, 37, 39 y 40</t>
  </si>
  <si>
    <t>Construcción obras de optimización y ampliación alcantarillado y obras complementarias de los sistemas de tratamiento de aguas residuales, cabecera municipal de Totoró - Cauca</t>
  </si>
  <si>
    <t xml:space="preserve">50% de anticipo, el cual debera ser amortizado mediante actas de entrega y recibo de obra, el ultimo pago se efectuará con el acta de liquidación final del contrato y no podrá ser por un valor menor del 10% del valor del contrato. </t>
  </si>
  <si>
    <r>
      <rPr>
        <b/>
        <sz val="12"/>
        <rFont val="Calibri"/>
        <family val="2"/>
        <scheme val="minor"/>
      </rPr>
      <t>Contrato liquidado y pagado:</t>
    </r>
    <r>
      <rPr>
        <sz val="12"/>
        <rFont val="Calibri"/>
        <family val="2"/>
        <scheme val="minor"/>
      </rPr>
      <t xml:space="preserve"> Dado que se liquidó el contrato es factible liberar la suma de $8.813.466, del CDR 229 (FUENTE NACION)</t>
    </r>
  </si>
  <si>
    <t>Falta: Orden de pago del 50% del anticipo y el acta n° 3</t>
  </si>
  <si>
    <t>Acta de inicio del 23/03/2012</t>
  </si>
  <si>
    <t>Acta parcial de obra N° 1 del 30/06/2012 - Factura de venta N° 471 - Orden de pago del 25/07/2012</t>
  </si>
  <si>
    <t>Acta parcial de obra N° 2 del 31/07/2012 - Factura de venta N° 474 - Orden de pago del 29/08/2012</t>
  </si>
  <si>
    <t>Factura de venta N° 485 - Orden de pago n° 13 del 10/10/2012</t>
  </si>
  <si>
    <t>Acta parcial de obra N° 4 del 15/10/2012 - Factura de venta N° 486 - Orden de pago N° 26 del 09/11/2012</t>
  </si>
  <si>
    <t xml:space="preserve">Acta parcial de obra N° 5 y final del 17/10/2012 - Factura de venta N° 498 - Orden de pago n° 84 del 04/06/2013 </t>
  </si>
  <si>
    <t>037-2012</t>
  </si>
  <si>
    <t>Consorcio Saneamiento Cauca 2</t>
  </si>
  <si>
    <t>Realizar la interventoría técnica, ambiental, administrativa y financiera al contrato de obra n° 88 de 2011 cuyo objeto es: Construcción optimzación del sistema de acueducto de la cabecera municipal de Patía (El Bordo) Cauca.</t>
  </si>
  <si>
    <t>Contratos revisados</t>
  </si>
  <si>
    <t>Acta de terminación del 26 de junio del año 2015</t>
  </si>
  <si>
    <t>Acta parcial N° 1 del 07/03/2014 - Factura de Venta N° 1 - Orden de pago n° 164 del 10/04/2014</t>
  </si>
  <si>
    <t>Acta parcial N° 2 del 13/03/2014 - Factura de venta N° 3 - Orden de pago n° 200 del 01/08/2014</t>
  </si>
  <si>
    <t>Acta parcial N° 3 del 14/08/2014 - Factura de venta N° 4 - Orden de pago n° 248 del 01/12/2014</t>
  </si>
  <si>
    <t>Acta parcial N° 4 del 29/05/2015 por el valor de $27´265.458 - Factura de venta N° 8 - Orden de pago n° 326 del 18/08/2015 (Acta cancelada por los CDRs 186 y 13)</t>
  </si>
  <si>
    <t>Acta parcial N° 4 del 29/05/2015 por el valor de $27´265.458 - Factura de venta N° 9 - Orden de pago n° 327 del 18/08/2015 (Acta cancelada por los CDRs 186 y 13)</t>
  </si>
  <si>
    <t>Acta N° 5 y final</t>
  </si>
  <si>
    <r>
      <rPr>
        <b/>
        <sz val="12"/>
        <color theme="1"/>
        <rFont val="Calibri"/>
        <family val="2"/>
        <scheme val="minor"/>
      </rPr>
      <t>Falta:</t>
    </r>
    <r>
      <rPr>
        <sz val="12"/>
        <color theme="1"/>
        <rFont val="Calibri"/>
        <family val="2"/>
        <scheme val="minor"/>
      </rPr>
      <t xml:space="preserve"> Acta N° 5</t>
    </r>
  </si>
  <si>
    <r>
      <t xml:space="preserve">Contrato Suspendido: </t>
    </r>
    <r>
      <rPr>
        <sz val="12"/>
        <color rgb="FFFF0000"/>
        <rFont val="Calibri"/>
        <family val="2"/>
        <scheme val="minor"/>
      </rPr>
      <t>Hay confusión en el pago de las primeras 9 actas parciales, las cuales suman el valor de la factura N° 8 pero los pagos dan el valor de la Factura N° 9, y en el consorcio FIA no aparecen los pagos correspondientes a las actas parciales n° 2, 3 y 9, además  en las observaciones del FIA del documento soporte de los 6 pagos de las otras actas es la factura n° 9. Se debe hacer la aclaración para determinar si a la fecha hay o no un saldo a favor del contratista</t>
    </r>
  </si>
  <si>
    <t>Acta de liquidación del 30 de abril del año 2013</t>
  </si>
  <si>
    <r>
      <rPr>
        <b/>
        <u/>
        <sz val="12"/>
        <color theme="6" tint="-0.249977111117893"/>
        <rFont val="Calibri"/>
        <family val="2"/>
        <scheme val="minor"/>
      </rPr>
      <t xml:space="preserve">3 - 4 - 5 - 6 </t>
    </r>
    <r>
      <rPr>
        <u/>
        <sz val="12"/>
        <color theme="6" tint="-0.249977111117893"/>
        <rFont val="Calibri"/>
        <family val="2"/>
        <scheme val="minor"/>
      </rPr>
      <t>-</t>
    </r>
    <r>
      <rPr>
        <b/>
        <u/>
        <sz val="12"/>
        <color theme="6" tint="-0.249977111117893"/>
        <rFont val="Calibri"/>
        <family val="2"/>
        <scheme val="minor"/>
      </rPr>
      <t xml:space="preserve"> 7 - 8 - 9</t>
    </r>
    <r>
      <rPr>
        <sz val="12"/>
        <rFont val="Calibri"/>
        <family val="2"/>
        <scheme val="minor"/>
      </rPr>
      <t xml:space="preserve"> </t>
    </r>
    <r>
      <rPr>
        <sz val="12"/>
        <color theme="1"/>
        <rFont val="Calibri"/>
        <family val="2"/>
        <scheme val="minor"/>
      </rPr>
      <t>- 10</t>
    </r>
    <r>
      <rPr>
        <b/>
        <sz val="12"/>
        <color theme="3" tint="0.39997558519241921"/>
        <rFont val="Calibri"/>
        <family val="2"/>
        <scheme val="minor"/>
      </rPr>
      <t xml:space="preserve"> </t>
    </r>
    <r>
      <rPr>
        <b/>
        <u/>
        <sz val="12"/>
        <color theme="6" tint="-0.249977111117893"/>
        <rFont val="Calibri"/>
        <family val="2"/>
        <scheme val="minor"/>
      </rPr>
      <t>- 11 -12 - 13 - 14 - 15 - 27 - 32 - 56 - 57 - 58</t>
    </r>
    <r>
      <rPr>
        <u/>
        <sz val="12"/>
        <color theme="6" tint="-0.249977111117893"/>
        <rFont val="Calibri"/>
        <family val="2"/>
        <scheme val="minor"/>
      </rPr>
      <t xml:space="preserve"> </t>
    </r>
    <r>
      <rPr>
        <b/>
        <u/>
        <sz val="12"/>
        <color theme="6" tint="-0.249977111117893"/>
        <rFont val="Calibri"/>
        <family val="2"/>
        <scheme val="minor"/>
      </rPr>
      <t>- 59 - 60 - 61 - 71 -</t>
    </r>
    <r>
      <rPr>
        <u/>
        <sz val="12"/>
        <rFont val="Calibri"/>
        <family val="2"/>
        <scheme val="minor"/>
      </rPr>
      <t xml:space="preserve"> </t>
    </r>
    <r>
      <rPr>
        <b/>
        <u/>
        <sz val="12"/>
        <color theme="6" tint="-0.249977111117893"/>
        <rFont val="Calibri"/>
        <family val="2"/>
        <scheme val="minor"/>
      </rPr>
      <t>72 - 73 - 74 - 75 - 76</t>
    </r>
    <r>
      <rPr>
        <u/>
        <sz val="12"/>
        <color theme="6" tint="-0.249977111117893"/>
        <rFont val="Calibri"/>
        <family val="2"/>
        <scheme val="minor"/>
      </rPr>
      <t xml:space="preserve"> </t>
    </r>
    <r>
      <rPr>
        <b/>
        <u/>
        <sz val="12"/>
        <color theme="6" tint="-0.249977111117893"/>
        <rFont val="Calibri"/>
        <family val="2"/>
        <scheme val="minor"/>
      </rPr>
      <t>- 77 - 78 - 79 - 80 - 81 - 82 -</t>
    </r>
    <r>
      <rPr>
        <u/>
        <sz val="12"/>
        <color theme="6" tint="-0.249977111117893"/>
        <rFont val="Calibri"/>
        <family val="2"/>
        <scheme val="minor"/>
      </rPr>
      <t xml:space="preserve"> </t>
    </r>
    <r>
      <rPr>
        <b/>
        <u/>
        <sz val="12"/>
        <color theme="6" tint="-0.249977111117893"/>
        <rFont val="Calibri"/>
        <family val="2"/>
        <scheme val="minor"/>
      </rPr>
      <t>83 - 84 - 85 - 86 - 88 - 89 - 90 - 91 - 95 - 96 - 97 - 98</t>
    </r>
  </si>
  <si>
    <t>038-2012</t>
  </si>
  <si>
    <t>Consorcio Saneamiento Cauca</t>
  </si>
  <si>
    <t>Realizar la interventoría técnica, ambiental, administrativa y financiera al contrato de obra n° 89 de 2011 cuyo objeto es: Construcción alcantarillado sanitario centro poblado de la Cuchilla y tramos de la cabecera municipal y II etapa PTAR del municipio de la Sierra, Cauca.</t>
  </si>
  <si>
    <t>El valor del contrato será pagado al contratista mediante actas parciales, aprobadas por el supervisor del contrato, pagadas de conformidad con el avance de la interventoría sobre las obras que se estan ejecutando.</t>
  </si>
  <si>
    <t>Acta de suspensión N° 3 del 26 de febrero del año 2015</t>
  </si>
  <si>
    <t>Acta parcial N° 1 del 30/04/2013 - Factura de venta N° 1 - Orden de pago n° 103 del 26/09/2012</t>
  </si>
  <si>
    <t>Acta parcial N° 2 del 14/10/2014 - Factura de venta N° 2 - Orden de pago n° 247 del 01/12/2014</t>
  </si>
  <si>
    <t>Acta parcial N° 3 del 24/11/2014 - Factura de venta N° 3 - Orden de pago n° 257 del 04/12/2014</t>
  </si>
  <si>
    <t>Acta parcial N° 4 - Factura de venta N° 5 - Orden de pago N° 306 del 01/06/2015</t>
  </si>
  <si>
    <r>
      <rPr>
        <b/>
        <sz val="12"/>
        <color theme="1"/>
        <rFont val="Calibri"/>
        <family val="2"/>
        <scheme val="minor"/>
      </rPr>
      <t>Contrato suspendido:</t>
    </r>
    <r>
      <rPr>
        <sz val="12"/>
        <color theme="1"/>
        <rFont val="Calibri"/>
        <family val="2"/>
        <scheme val="minor"/>
      </rPr>
      <t xml:space="preserve"> Aun no se puede determinar el valor total a liberar hasta tanto el contrato no se liquide.</t>
    </r>
  </si>
  <si>
    <t>Documentos soportes completos hasta la fecha de revisión 06/12/2017</t>
  </si>
  <si>
    <t>32 - 37 - 38</t>
  </si>
  <si>
    <t>019-2013</t>
  </si>
  <si>
    <t>Construcción obras de ampliación y optimización del sistema de alcantarillado del centro poblado del corregimiento de Aznazú, municipio de Suarez por el sistema de precios unitarios sin formula de reajuste de precios</t>
  </si>
  <si>
    <t>Emcaservicios pagará el precio del contrato por medio de actas parciales y/o final de obra, las cuales se suscribiran de conformidad con las cantidades efectivamente ejecutadas, aplicando para el efecto los precios unitarios propuestos. El último pago, se efectuará con el acta de liquidación final y no podrá ser inferior al 10%</t>
  </si>
  <si>
    <t>Acta de pago N° 01 - Factura de venta N° 0524 por el valor de $275´725.333 - Orden de pago N° 123 del 18/10/2013 (Factura cancelada por los CDRs 261 y 4)</t>
  </si>
  <si>
    <t>Acta de recibo parcial de obra N° 03 - Factura de venta N° 0529 por el valor de $165´019.058 - Orden de pago N° 143 del 19/12/2013 (Factura cancelada por los CDRs 261 y 4)</t>
  </si>
  <si>
    <t>Acta de recibo parcial de obra N° 02 - Factura de venta N° 0526 por el valor de $202´753.727 - Orden de pago N° 135 deñ 22/11/2013 (Factura cancelada por los CDRs 261 y 4)</t>
  </si>
  <si>
    <t>Acta de recibo parcial de obra N° 04 - Factura de venta N° 0535 por el valor de $244´135.501 - Orden de pago N° 154 del 07/02/2014 (Factura cancelada por los CDRs 261 y 4)</t>
  </si>
  <si>
    <t>Acta de recibo parcial de obra N° 05 - Factura de venta N° 0536 por el valor de $108´890.476 - Orden de pago N° 159 del 20/03/2014 (Factura cancelada por los CDRS 261 y 4)</t>
  </si>
  <si>
    <t>Acta de recibo parcial de obra N° 06 - Factura de venta N° 0538 por el valor de $102´625.931 - Orden de pago N° 166 del 25/04/2014 (Factura de venta cancelada por los CDRs 261 y 4)</t>
  </si>
  <si>
    <t>Acta de recibo parcial de obra N° 07 - Factura de venta N° 0552 por el valor de $127´620.614,68 - Orden de pago N° 222 del 23/10/2014 (Factura cancelada por los CDRs 261 y 4)</t>
  </si>
  <si>
    <t xml:space="preserve">Anexo adicional acta de recibo parcial de obra N° 7 - Factura de venta N° 0553 - Orden de pago N° 223 del 23/10/2014 </t>
  </si>
  <si>
    <t>Acta de recibo parcial de obra N° 08 y final - Factura de venta N° 0570 - Orden de pago N° 302 del 29/05/2015</t>
  </si>
  <si>
    <t>Acta de liquidación de obra del 28 de mayo del año 2015</t>
  </si>
  <si>
    <r>
      <rPr>
        <b/>
        <sz val="12"/>
        <color theme="1"/>
        <rFont val="Calibri"/>
        <family val="2"/>
        <scheme val="minor"/>
      </rPr>
      <t xml:space="preserve">Contrato liquidado y pagado: </t>
    </r>
    <r>
      <rPr>
        <sz val="12"/>
        <color theme="1"/>
        <rFont val="Calibri"/>
        <family val="2"/>
        <scheme val="minor"/>
      </rPr>
      <t>Se debe liberar $129 del CDR 5, Fuente SGP Suaréz</t>
    </r>
  </si>
  <si>
    <t>020-2013</t>
  </si>
  <si>
    <t>Yamil Fabian Hamdann Gonzalez</t>
  </si>
  <si>
    <t>Obras de rehabilitación acueducto interveredal de Chalguayaco, municipio de Bolivar, departamento del Cauca, por el sistema de precios unitarios sin formula de reajuste.</t>
  </si>
  <si>
    <t>Acta de recibo parcial de obra N° 1 - Factura de venta  N° 0141 por el valor de $71´107.584 - Orden de pago n° 137 del 02/12/2013</t>
  </si>
  <si>
    <t>Acta de pago N° 02 por el valor de $38´467.435,64  (Cancelada por los CDRs 253 y 3) - Factura de venta N° 0151 por el valor de $23´935.597 - Orden de pago N° 201</t>
  </si>
  <si>
    <t>Acta de pago N° 02 por el valor de $38´467.435,64  (Cancelada por los CDRs 253 y 3)- Factura de venta N° 0152 por el valor de $14´531.838,64 - Orden de pago N° 202</t>
  </si>
  <si>
    <t>Acta de pago N° 03 y final - Factura de venta N° 160 - Orden de pago N° 255 del 04/12/2014</t>
  </si>
  <si>
    <t>Acta de liquidación de obra del 27 de noviembre del año 2014</t>
  </si>
  <si>
    <r>
      <t xml:space="preserve">Contrato liquidado y pagado: </t>
    </r>
    <r>
      <rPr>
        <sz val="12"/>
        <color theme="1"/>
        <rFont val="Calibri"/>
        <family val="2"/>
        <scheme val="minor"/>
      </rPr>
      <t>Hubo confusión  en el pago por fuentes del acta parcial N° 2 del CDR 253, lo que ocasiono que por una fuente se pagara mas dinero y en la otra sobrara. En conclusión se debe liberar el valor de $422.508 (Fuente Nación) y $459.991 (Fuente Dpto) total a liberar $882.499 por no uso del CDR, y se debe liberar la suma de $12.561, 36 del CDR 3 por la no ejecución del contrato.</t>
    </r>
  </si>
  <si>
    <t>022-2013</t>
  </si>
  <si>
    <t>Juan Carlos Collazos Palta</t>
  </si>
  <si>
    <t>Construcción obras de mitigación alcantarillado barrio La Unión de la cabecera municipal de Caloto departamento del Cauca, por el sistema de precios unitarios sin formula de reajuste</t>
  </si>
  <si>
    <t>Emcaservicios pagará el precio del contrato por medio de actas parciales y/o final de obra, las cuales se suscribiran de conformidad con las cantidades efectivamente ejecutadas, aplicando para el efecto los precios unitarios propuestos. El último pago, se efectuará con el acta de liquidación final del contrato y no podrá ser inferior al 10% del valor del contrato.</t>
  </si>
  <si>
    <t>Acta de liquidación del 23 de abril del año 2014</t>
  </si>
  <si>
    <t>Acta de recibo parcial de obra N° 1 - Factura de venta N° 111 - Orden de pago N° 128 del 05/11/2013</t>
  </si>
  <si>
    <t>Acta de recibo N° 2 y final - Factura de venta N° 131 - Orden de pago N° 176 del 10/06/2014</t>
  </si>
  <si>
    <r>
      <rPr>
        <b/>
        <sz val="12"/>
        <color theme="1"/>
        <rFont val="Calibri"/>
        <family val="2"/>
        <scheme val="minor"/>
      </rPr>
      <t>Contrato liquidado y pagado:</t>
    </r>
    <r>
      <rPr>
        <sz val="12"/>
        <color theme="1"/>
        <rFont val="Calibri"/>
        <family val="2"/>
        <scheme val="minor"/>
      </rPr>
      <t xml:space="preserve"> Se debe liberar el valor de $16 del CDR 251 fuente departamento</t>
    </r>
  </si>
  <si>
    <t>DOC EQUIV 3. CONTRATO INTERV. #44 DE 2010. INTERVENTORIA DISEÑO OPTIMIZACIÓN ALCANTARILLADO Y PTAR</t>
  </si>
  <si>
    <t>DOC EQUIVALENTE 1. CONTRATO INTERV. #44 DE 2010. PAGO ADICIONAL. INTERVENTORIA DISEÑO OPTIMIZACIÓN</t>
  </si>
  <si>
    <t>FACT #5. PAGO #1. CONTRATO DE CONSULTORIA #067/2010. ELABORACIÓN DISEÑO ACUEDUCTO INTERVEREDAL CARGACHIQUILLOS MUNICIPIO DE TOTORO - CAUCA.</t>
  </si>
  <si>
    <t>FACT 0011 PAGO ACTA 01 CONTRATO 83/2011 ELABORACION ESTUDIOS Y DISEÑOS DE ALCANTARILLADO MPIO ROSAS</t>
  </si>
  <si>
    <t>PAGO PARCIAL#2. CONTRATO INTERV. #046/2010. INTERV. TECNICA ADM. FIINANC. Y AMBIENTAL DISEÑO ACUEDU</t>
  </si>
  <si>
    <t>024-2013</t>
  </si>
  <si>
    <t>Victor Gabriel Parra Jurado</t>
  </si>
  <si>
    <t>Obras de reconstrucción del acueducto interveredal de Arboleda Tabloncito y el Palmar corregimiento de Arboleda Mercaderes Cauca, por el sistema de precios unitarios sin formula de reajuste</t>
  </si>
  <si>
    <t>Emcaservicios pagará el precio del contrato por medio de actas parciales y/o final de obra, las cuales se suscribiran de conformidad con las cantidades efectivamente ejecutadas, aplicando para el efecto los precios unitarios propuestos. El último pago, se efectuara con el acta final del contrato y no podra ser inferior al 10% del valor del mismo.</t>
  </si>
  <si>
    <t>Acta de liquidación de obra del 27 de julio del año 2015</t>
  </si>
  <si>
    <t>Acta de pago N° 1 - Factura de venta N° 129 - Orden de pago n° 179 del 27/06/2014</t>
  </si>
  <si>
    <t>Acta de pago N° 2 y final por el valor de $37´699.124,54 (Cancelada por los CDRs 259 y 10)  - Factura de venta N° 148 - Orden de pago N° 323 del 30/07/2014</t>
  </si>
  <si>
    <t>Acta de pago N° 2 y final por el valor de $37´699.124,54 (Cancelada por los CDRs 259 y 10)  - Factura de venta N° 149 - Orden de pago N° 324 del 30/07/2014</t>
  </si>
  <si>
    <r>
      <t xml:space="preserve">Contrato liquidado y pagado: </t>
    </r>
    <r>
      <rPr>
        <sz val="12"/>
        <color theme="1"/>
        <rFont val="Calibri"/>
        <family val="2"/>
        <scheme val="minor"/>
      </rPr>
      <t>Se debe liberar el valor de $1´719.736 del CDR 259 (Fuente Nación), por el no uso del mismo, y el valor de $87,16 del CDR 10 (Fuente Mercaderes)</t>
    </r>
  </si>
  <si>
    <t>025-2013</t>
  </si>
  <si>
    <t>CONSORCIO JGAS</t>
  </si>
  <si>
    <t>inversión</t>
  </si>
  <si>
    <t>Emcaservicios pagará el precio del contrato por medio de actas parciales y/o final de obra, las cuales se suscribiran de conformidad con las cantidades efectivamente ejecutadas, aplicando para el efecto los precios unitarios propuestos. El último pago, se efectuara con el acta de liquidacion final y no podra ser inferior al 10% del valor del contrato.</t>
  </si>
  <si>
    <t>Acta de pago N° 1 - Factura de venta N° 001  por el valor de $1.378´607.355 - Orden de pago n° 115 del 08/10/2013 (Factura cancelada por los CDRs 240, 239 y 4)</t>
  </si>
  <si>
    <t>Acta de pago N° 2 - Factura de venta N° 002 por el valor de $892´501.558 -  Orden de pago N° 167 del 25/04/2014 (Factura cancedala por los CDRs 240, 239 y 4)</t>
  </si>
  <si>
    <t>Acta de pago parcial N° 3 - Factura de venta N° 03 por el valor de $236´395.841 - Orden de pago N° 249 del 02/12/2014 (Factura cancelada por los CDRs 240, 239 y 4)</t>
  </si>
  <si>
    <t xml:space="preserve">Acta de pago parcial N° 4 por el valor de $515´370.732 (Acta cancelada por los CDRs 240, 239, 4 y 310)  - Factura de venta N° 005  - Orden de pago n° 310 del 03/06/2015 </t>
  </si>
  <si>
    <t>Acta de pago parcial N° 4 por el valor de $515´370.732 (Acta cancelada por los CDRs 240, 239, 4 y 310)  - Factura de venta N° 004 por el valor de $339´664.514 - Orden de pago n° 309 del 03/06/2015 (Factura cancelada por los CDRs 240, 239 y 4)</t>
  </si>
  <si>
    <t>Acta de pago parcial N° 4 por el valor de $515´370.732 (Acta cancelada por los CDRs 240, 239, 4 y 310)  - Factura de venta N° 004 por el valor de $339´664.514 - Orden de pago n° 309 de l03/06/2015 (Factura cancelada por los CDRs 240, 239 y 4)</t>
  </si>
  <si>
    <t>Acta de pago parcial N° 05 - Factura de venta N° 006 - Orden de pago N° 357 del 12/12/2015</t>
  </si>
  <si>
    <t>Acta de pago N° 6 y final - Factura de venta N° 7 por el valor de $354´696.687 - Orden de pago N° 433 del 01/06/2016 (Factura cancelada por los CDRs 240, 239, 4 y 310)</t>
  </si>
  <si>
    <t>Acta de liquidación de obra del 11 de marzo del año 2016</t>
  </si>
  <si>
    <t>Documentos soportes competos</t>
  </si>
  <si>
    <r>
      <rPr>
        <b/>
        <sz val="12"/>
        <color rgb="FFFF0000"/>
        <rFont val="Calibri"/>
        <family val="2"/>
        <scheme val="minor"/>
      </rPr>
      <t>Contrato liquidado y pagado:</t>
    </r>
    <r>
      <rPr>
        <sz val="12"/>
        <color rgb="FFFF0000"/>
        <rFont val="Calibri"/>
        <family val="2"/>
        <scheme val="minor"/>
      </rPr>
      <t xml:space="preserve"> Hubo confusión de fuentes en los pagos del CDR 240, además se evidencia que en los CDRs 240, 239 y 4 no se respetaron los topes de los valores contratados, este caso se debe revisar con el Consorcio FIA, y así poder liberar los valores correspondientes a los CDRs 240, 239 y 4</t>
    </r>
  </si>
  <si>
    <t>023-2013</t>
  </si>
  <si>
    <t>Consorcio ALC - Puerto Rico</t>
  </si>
  <si>
    <r>
      <t xml:space="preserve">Contrato suspendido: </t>
    </r>
    <r>
      <rPr>
        <sz val="12"/>
        <color theme="1"/>
        <rFont val="Calibri"/>
        <family val="2"/>
        <scheme val="minor"/>
      </rPr>
      <t>Aun no se puede determinar si hay dinero por liberar, hasta que el contrato no sea liquidado.</t>
    </r>
  </si>
  <si>
    <r>
      <rPr>
        <b/>
        <sz val="12"/>
        <color theme="1"/>
        <rFont val="Calibri"/>
        <family val="2"/>
        <scheme val="minor"/>
      </rPr>
      <t xml:space="preserve">Contrato liquidado sin terminar: </t>
    </r>
    <r>
      <rPr>
        <sz val="12"/>
        <color theme="1"/>
        <rFont val="Calibri"/>
        <family val="2"/>
        <scheme val="minor"/>
      </rPr>
      <t>No se pueden liberar saldos mientras no se liquide el contrato.  No está en el expediente la acta final de interventoría.</t>
    </r>
  </si>
  <si>
    <t>Construcción de las redes del sistema de alcantarillado sanitario del centro poblado de Puerto Rico, municipio de Argelia - Cauca, por el sistema de precios unitarios sin formula de reajuste</t>
  </si>
  <si>
    <t xml:space="preserve">Emcaservicios pagará el precio del contrato por medio de actas parciales y/o final de obra, las cuales se suscribiran de conformidad con las cantidades efectivamente ejecutadas, aplicando para el efecto los precios unitarios propuestos. El último pago, se efectuará con el acta de liquidación final del contrato y no podra ser inferior al 10% del mismo. </t>
  </si>
  <si>
    <t>Acta de liquidación de contrato de obra n° 23 de 2013 del 01 de septiembre del año 2015</t>
  </si>
  <si>
    <r>
      <rPr>
        <b/>
        <sz val="12"/>
        <color theme="1"/>
        <rFont val="Calibri"/>
        <family val="2"/>
        <scheme val="minor"/>
      </rPr>
      <t>Falta:</t>
    </r>
    <r>
      <rPr>
        <sz val="12"/>
        <color theme="1"/>
        <rFont val="Calibri"/>
        <family val="2"/>
        <scheme val="minor"/>
      </rPr>
      <t xml:space="preserve"> Acta parcial n° 1</t>
    </r>
  </si>
  <si>
    <t>Factura de venta N° 2 - Orden de pago N° 148 del 11/12/2013</t>
  </si>
  <si>
    <t>Acta N° 2 - Factura de venta N° 3 - Orden de pago n° 170 del 16/05/2014</t>
  </si>
  <si>
    <t>Acta N° 3 - Factura de venta N° 2 - Orden de pago n° 228 del 07/11/2014</t>
  </si>
  <si>
    <t>Acta N° 4  por el valor de $228´540.426 (Acta pagada por los CDRs 263 y 14) - Factura de venta N° 3 por el valor de $52´739.695 - Orden de pago n° 312 del 16/06/2015</t>
  </si>
  <si>
    <t>Acta N° 4  por el valor de $228´540.426 (Acta pagada por los CDRs 263 y 14) - Factura de venta N° 4 por el valor de $175´800.731 - Orden de pago n° 313 del 16/06/2015</t>
  </si>
  <si>
    <t>Acta N° 5 y final - Factura de venta N° 7 - Orden de pago n° 414 del 14/12/2015</t>
  </si>
  <si>
    <r>
      <rPr>
        <b/>
        <sz val="12"/>
        <color theme="1"/>
        <rFont val="Calibri"/>
        <family val="2"/>
        <scheme val="minor"/>
      </rPr>
      <t xml:space="preserve">Contrato liquidado con pago parcial: </t>
    </r>
    <r>
      <rPr>
        <sz val="12"/>
        <color theme="1"/>
        <rFont val="Calibri"/>
        <family val="2"/>
        <scheme val="minor"/>
      </rPr>
      <t xml:space="preserve">Al parecer el consorcio FIA libero el valor de $3.134 del CDR 14 (Fuente SGP Argelia) que no se ejecuto. Por otra se debe </t>
    </r>
    <r>
      <rPr>
        <b/>
        <sz val="12"/>
        <color rgb="FFFF0000"/>
        <rFont val="Calibri"/>
        <family val="2"/>
        <scheme val="minor"/>
      </rPr>
      <t>revisar por que el FIA no pago el valor completo del Acta N° 1, aparece un valor a favor del contratista de $8´531.272 del CDR 263 (Fuente Nación)</t>
    </r>
  </si>
  <si>
    <t>030-2013</t>
  </si>
  <si>
    <t>Enrique Cabrera Balcazar</t>
  </si>
  <si>
    <t>Reconstrucción del acueducto veredal del corregimiento de San Joaquin, municipio de Mercaderes, departamento del Cauca, por el sistema de precios unitarios sin formula de reajuste</t>
  </si>
  <si>
    <t xml:space="preserve">Emcaservicios pagará el precio del contrato por medio de actas parciales y/o final de obra, las cuales se suscribiran de conformidad con las cantidades efectivamente ejecutadas, aplicando para el efecto los precios unitarios propuestos. El último pago, se efectuará con el acta de liquidación final del contrato y no podrá ser inferior al 10% del mismo. </t>
  </si>
  <si>
    <t>Acta N° 1 de pago parcial - Factura de venta N° 0103 - Orden de pago N° 156 del 26/02/2014</t>
  </si>
  <si>
    <t>Acta de pago N° 2 y final - Factura de venta N° 0106 - Orden de pago N° 161 del 08/04/2014</t>
  </si>
  <si>
    <r>
      <rPr>
        <b/>
        <sz val="12"/>
        <color theme="1"/>
        <rFont val="Calibri"/>
        <family val="2"/>
        <scheme val="minor"/>
      </rPr>
      <t>Contrato liquidado y pagado:</t>
    </r>
    <r>
      <rPr>
        <sz val="12"/>
        <color theme="1"/>
        <rFont val="Calibri"/>
        <family val="2"/>
        <scheme val="minor"/>
      </rPr>
      <t xml:space="preserve"> Se debe liberar el valor de $849.961 del CDR 257 de fuente Nación ($370.751 por no uso del CDR y $479.210 por la no ejecución)</t>
    </r>
  </si>
  <si>
    <t>032-2013</t>
  </si>
  <si>
    <t>Omar Velez Hoyos</t>
  </si>
  <si>
    <t>Construcción de las obras de optimización sistema de acueducto cabecera municipal de Buenos Aires, Cauca por el sistema de precios unitarios sin formula de reajuste de precios</t>
  </si>
  <si>
    <t>Emcaservicios pagará el precio del contrato por medio de actas parciales y/o final de obra, las cuales se suscribiran de conformidad con las cantidades efectivamente ejecutadas, aplicando para el efecto los precios unitarios propuestos. El último pago, se efectuará con el acta de liquidación final y no podrá ser inferior al 10% del valor del contrato</t>
  </si>
  <si>
    <t>Acta de liquidación de obra del 15 de febrero del año 2016</t>
  </si>
  <si>
    <t>Acta de recibo parcial de obra N° 1 - Factura de venta N° 0644 - Orden de pago N° 214 del 09/10/2014</t>
  </si>
  <si>
    <t>Acta de recibo parcial de obra N° 2 - Factura de venta N° 0659 - Orden de pago N° 301 del 22/05/2015</t>
  </si>
  <si>
    <t>Acta de recibo parcial de obra N° 3 y final - Factura de venta N° 0690 - Orden de pago N° 429 del 16/05/2016</t>
  </si>
  <si>
    <r>
      <rPr>
        <b/>
        <sz val="12"/>
        <color theme="1"/>
        <rFont val="Calibri"/>
        <family val="2"/>
        <scheme val="minor"/>
      </rPr>
      <t>Contrato liquidado y pagado:</t>
    </r>
    <r>
      <rPr>
        <sz val="12"/>
        <color theme="1"/>
        <rFont val="Calibri"/>
        <family val="2"/>
        <scheme val="minor"/>
      </rPr>
      <t xml:space="preserve"> Se debe liberar el valor de $3´322.904 por el no uso del CDR y $3.902 por no ejecución, es decir, un total de $3´326.806 del CDR 255 (Fuente Nación), </t>
    </r>
  </si>
  <si>
    <t>053-2013</t>
  </si>
  <si>
    <t>Rehabilitación del acueducto de la cabecera municipal de la Sierra y rehabilitación acueductos Soto, La Luz, Buenavista, La Laguna, La Playa y El Triunfo del municipio de Toribio, Departamento del Cauca, por el sistema de precios unitarios sin formaula de reajuste</t>
  </si>
  <si>
    <t xml:space="preserve">Emcaservicios pagará el precio del contrato por medio de actas parciales y/o final de obra, las cuales se suscribiran de conformidad con las cantidades efectivamente ejecutadas, aplicando para el efecto los precios unitarios propuestos. El último pago, se efectuará con el acta de liquidación final y no podrá ser inferior al 10% del valor del contrato. </t>
  </si>
  <si>
    <t>Acta de recibo parcial de obra N° 1 - Factura de venta N° 141 por el valor de $181´622.545 (Factura cancelada por los CDRs 275 y 249) - Orden de pago N° 261 del 05/12/2014</t>
  </si>
  <si>
    <t>Acta de recibo parcial de obra N° 1 - Factura de venta N° 141 por el valor de $181´622.545 (Factura cancelada por los CDRs 275 y 249) - Orden de pago N° 262 del 05/12/2014</t>
  </si>
  <si>
    <r>
      <rPr>
        <b/>
        <sz val="12"/>
        <color theme="1"/>
        <rFont val="Calibri"/>
        <family val="2"/>
        <scheme val="minor"/>
      </rPr>
      <t xml:space="preserve">Falta: </t>
    </r>
    <r>
      <rPr>
        <sz val="12"/>
        <color theme="1"/>
        <rFont val="Calibri"/>
        <family val="2"/>
        <scheme val="minor"/>
      </rPr>
      <t>Factura 193 por el valor de $71´514.797 y la orden de pago del mismo valor, documentos que corresponden al acta n° 2 y final de obra</t>
    </r>
  </si>
  <si>
    <t>Acta de pago N° 2 y final de obra por el valor de $71´514.797 (Acta cancelada por los CDRs 275, 249 y 7)</t>
  </si>
  <si>
    <t>Acta de liquidación del 19 de junio del año 2017</t>
  </si>
  <si>
    <r>
      <rPr>
        <b/>
        <sz val="12"/>
        <color theme="1"/>
        <rFont val="Calibri"/>
        <family val="2"/>
        <scheme val="minor"/>
      </rPr>
      <t xml:space="preserve">Contrato liquidado y pagado: </t>
    </r>
    <r>
      <rPr>
        <sz val="12"/>
        <color theme="1"/>
        <rFont val="Calibri"/>
        <family val="2"/>
        <scheme val="minor"/>
      </rPr>
      <t>Se debe liberar las siguientes cantidades</t>
    </r>
    <r>
      <rPr>
        <b/>
        <sz val="12"/>
        <color theme="1"/>
        <rFont val="Calibri"/>
        <family val="2"/>
        <scheme val="minor"/>
      </rPr>
      <t xml:space="preserve"> A)</t>
    </r>
    <r>
      <rPr>
        <sz val="12"/>
        <color theme="1"/>
        <rFont val="Calibri"/>
        <family val="2"/>
        <scheme val="minor"/>
      </rPr>
      <t xml:space="preserve"> Del CDR 275 (Fuente Nación) el valor de $1´774.114 (Por no uso del CDR $1´622.966 y por la no ejecución $151.148). </t>
    </r>
    <r>
      <rPr>
        <b/>
        <sz val="12"/>
        <color theme="1"/>
        <rFont val="Calibri"/>
        <family val="2"/>
        <scheme val="minor"/>
      </rPr>
      <t xml:space="preserve">B) </t>
    </r>
    <r>
      <rPr>
        <sz val="12"/>
        <color theme="1"/>
        <rFont val="Calibri"/>
        <family val="2"/>
        <scheme val="minor"/>
      </rPr>
      <t xml:space="preserve">Del CDR 249 (Fuente Dpto) el valor de $1´133.331 por no uso del CDR. </t>
    </r>
    <r>
      <rPr>
        <b/>
        <sz val="12"/>
        <color theme="1"/>
        <rFont val="Calibri"/>
        <family val="2"/>
        <scheme val="minor"/>
      </rPr>
      <t xml:space="preserve">C) </t>
    </r>
    <r>
      <rPr>
        <sz val="12"/>
        <color theme="1"/>
        <rFont val="Calibri"/>
        <family val="2"/>
        <scheme val="minor"/>
      </rPr>
      <t>Del CDR 7 (Fuente SGP La Sierra) el valor de $5´942.533 por la no ejecución del contrato</t>
    </r>
  </si>
  <si>
    <t>043-2013</t>
  </si>
  <si>
    <t>Consorcio Interventoría Cauca 2013</t>
  </si>
  <si>
    <t>Interventoría técnica, administrativa, financiera, social y ambiental de los siguientes contratos de obra: 20, 21, 24, 25 y 30 de 2013</t>
  </si>
  <si>
    <t>046-2010</t>
  </si>
  <si>
    <t>Gonzalo David Guerrero</t>
  </si>
  <si>
    <t>Interventoría administrativa, financiera, técnica y ambiental a los siguientes proyectos: 1) diseño plan maestro de alcantarillado cabecera municipal de Totoro. 2) diseño acueducto interveredal cargachiquillos municipio municipio de totoro. 3) diseño optimizacion sistema alcantarillado cabecera municipal de cajibio. 4) diseño acueducto interveredal zona baja jambalo.</t>
  </si>
  <si>
    <t>Octubre - Soportes escaneados</t>
  </si>
  <si>
    <t>40% de anticipo, segundo pago en un acta parcial, un tercer pago en un acta final</t>
  </si>
  <si>
    <t>Acta de liquidación del 23 de julio del año 2017</t>
  </si>
  <si>
    <t>Acta de iniciación del 03/08/2010 - Orden de pago del 27/08/2010</t>
  </si>
  <si>
    <t>Acta de iniciación del 03/08/2010 - Orden de pago del 27/08/2010 por el valor de $3´672.000 (Orden cancelada por los CDRs 68 y 69)</t>
  </si>
  <si>
    <t xml:space="preserve">Acta N° 1 - Factura de venta N° 1003 por el valor de $1´925.600 - Orden de pago </t>
  </si>
  <si>
    <t>Acta N° 2 - Factura de venta N° 1004 por el valor de $2´984.840,60 - Orden de pago del 16/01/2011</t>
  </si>
  <si>
    <t>Acta N° 3 - Factura de venta N° 1017 por el valor de $3´405.000 - Orden de pago del 01/06/2010</t>
  </si>
  <si>
    <t>Acta N° 4 - Factura de venta N° 1018 por el valor de $3´430.000 - Orden de pago del 01/06/2010</t>
  </si>
  <si>
    <t>Acta N° 5 - Factura de venta N° 1016 por el valor de $2´284.380 - Orden de pago del 01/06/2010</t>
  </si>
  <si>
    <t>Acta N° 6 - Factura de venta N° 1036 por el valor de $1´004.371 - Orden de pago del 19/06/2012</t>
  </si>
  <si>
    <t>Acta N° 7 - Factura de venta N° 1037 - Orden de pago del 19/06/2012</t>
  </si>
  <si>
    <t>Acta N° 8 - Factura de venta N° 1038 por el valor de $394.400 - Orden de pago del 08/03/2012</t>
  </si>
  <si>
    <t>Acta N° 9 - Factura de venta N° 1039 por el valor de $2´247.300 - Orden de pago del 08/03/2012</t>
  </si>
  <si>
    <t>Acta N° 10 - Factura de venta N° 1040 por el valor de $852.811,60 - Orden de pago del 08/03/20112</t>
  </si>
  <si>
    <t>Acta N° 11 y final</t>
  </si>
  <si>
    <t>Documentos sopotes completos</t>
  </si>
  <si>
    <r>
      <rPr>
        <b/>
        <sz val="12"/>
        <color theme="1"/>
        <rFont val="Calibri"/>
        <family val="2"/>
        <scheme val="minor"/>
      </rPr>
      <t xml:space="preserve">Contrato liquidado con pago parcial: </t>
    </r>
    <r>
      <rPr>
        <sz val="12"/>
        <color theme="1"/>
        <rFont val="Calibri"/>
        <family val="2"/>
        <scheme val="minor"/>
      </rPr>
      <t>No hay saldos a liberar, falta realizar el acta N° 11 y final por el valor de $4´712.203,80, menos el valor de $1´091.890,16 que falta por amortizar del anticipo, valor neto a pagar al contratista $3´620.313,64}</t>
    </r>
  </si>
  <si>
    <t>100-2010</t>
  </si>
  <si>
    <t>Luis Felipe Córdoba</t>
  </si>
  <si>
    <t>Construcción acueducto rural de Patugó - Resguardo de Coconuco - Puracé</t>
  </si>
  <si>
    <t>LIQUIDADO</t>
  </si>
  <si>
    <t>ACTA DE LIQUIDACIÓN DE 2017</t>
  </si>
  <si>
    <t>PAGO ACTA PARCIAL 2, FACT 1110, CONTRATO DE OBRA PUBLICA CONSTRUCCION AVUEDUCTO PATUGO PURACE,</t>
  </si>
  <si>
    <t>En el caso del CDR 151 se observa confusión de fuentes.</t>
  </si>
  <si>
    <t>FACTURA #1127, PAGO #3, CONTRATO DE OBRA #100 DE 2010, CONSTRUCCIÓN ACUEDUCTO RURAL PATUGO MUNICIPI</t>
  </si>
  <si>
    <t>El acta de liquidación no contempla saldos a favor del contratista, pero al cruzar con los CDR se observa un saldo de $142.621.903 a favor del contratista.</t>
  </si>
  <si>
    <t>ACTA PARCIAL DE OBRA NO, 01 CONTRATO 100/2010, fra 1101, TERMINACION CONSTRUCCION DE ACUEDUCTO RURAL PATUGO MUN</t>
  </si>
  <si>
    <t>No se entiende por que el acta 3 (factura 1127) no se pagó completamente.</t>
  </si>
  <si>
    <t>PAGO ANTICIPO DEL 40% DEL VALOR TOTAL DEL CONTRATO No,100 DEL 2010, CONSTRUCCIÓN ACUEDUCTO RURAL PATUGO MUNICIPIO DE PURACE,</t>
  </si>
  <si>
    <t>Una vez se le pague lo adeudado al contratista se podrían liberar $6.246.942</t>
  </si>
  <si>
    <t>ACTA 4 Y FINAL</t>
  </si>
  <si>
    <t>Construcción de las obras de optimización y ampliación del acueducto regional del plan Patia-1ra etapa, por el sistema de precios unitarios sin formula de reajuste</t>
  </si>
  <si>
    <t>Orden de pago N° 90 del 20/06/2013 por el valor de $75´154.602 correspondiente al 40% de anticipo del valor inicial del contrato (Orden de pago cancelada por los CDRs 254, 232, 260, 5 y 258)</t>
  </si>
  <si>
    <t>Acta de liquidación de interventoría del 09 de mayo del año 2017</t>
  </si>
  <si>
    <t>Acta de pago N° 01 - Factura de venta N° 003 por el valor de $76´371.802 (Factura Cancelada por los CDRs 254, 232 y 5)- Orden de pago N° 140 del 10/12/2013</t>
  </si>
  <si>
    <t>Acta de pago N° 01 - Factura de venta N° 003 por el valor de $76´371.802 (Factura Cancelada por los CDRs 254, 232 y 5)- Orden de pago N° 141 del 10/12/2013</t>
  </si>
  <si>
    <t>Acta de pago N° 01 - Factura de venta N° 003 por el valor de $76´371.802 (Factura Cancelada por los CDRs 254, 232 y 5)- Orden de pago N° 139 del 10/12/2013</t>
  </si>
  <si>
    <t>Acta de recibo parcial de interventoria N° 2 - Factura de venta N° 09 por el valor de $46´423.304 (Factura cancelada por los CDRs 232, 260, 5 y 258) - Orden de pago N° 189 del 22/07/2014)</t>
  </si>
  <si>
    <t>Acta de recibo parcial de interventoria N° 2 - Factura de venta N° 09 por el valor de $46´423.304 (Factura cancelada por los CDRs 232, 260, 5 y 258) - Orden de pago N° 188 del 22/07/2014)</t>
  </si>
  <si>
    <t>Acta de recibo parcial de interventoria N° 2 - Factura de venta N° 09 por el valor de $46´423.304 (Factura cancelada por los CDRs 232, 260, 5 y 258) - Orden de pago N° 190 del 22/07/2014)</t>
  </si>
  <si>
    <t>Acta de recibo parcial de Interventoría N° 3 - Factura de venta N° 17 por el valor de $40´559734  (Factura cancelada por los CDRs 254, 232, 260, 5 y 258) - Orden de pago N° 285</t>
  </si>
  <si>
    <t>Acta de recibo parcial de Interventoría N° 3 - Factura de venta N° 17 por el valor de $40´559734  (Factura cancelada por los CDRs 254, 232, 260, 5 y 258) - Orden de pago N° 289</t>
  </si>
  <si>
    <t>Acta de recibo parcial de Interventoría N° 3 - Factura de venta N° 17 por el valor de $40´559734  (Factura cancelada por los CDRs 254, 232, 260, 5 y 258) - Orden de pago N° 286</t>
  </si>
  <si>
    <t>Acta de recibo parcial de Interventoría N° 3 - Factura de venta N° 17 por el valor de $40´559734  (Factura cancelada por los CDRs 254, 232, 260, 5 y 258) - Orden de pago N° 287</t>
  </si>
  <si>
    <t>Acta de recibo parcial de Interventoría N° 3 - Factura de venta N° 18 - Orden de pago N° 288</t>
  </si>
  <si>
    <t xml:space="preserve">Acta de recibo parcial de interventoría N° 4  - Factura de venta N° 36 por el valor de $21´333.894 (Factura cancelada por los CDRs 260, 5 y 258) - Orden de pago N° 422 (Orden de pago cancelada por los CDRs 260 y 258) </t>
  </si>
  <si>
    <t xml:space="preserve">Acta de recibo parcial de interventoría N° 4  - Factura de venta N° 36 por el valor de $21´333.894 (Factura cancelada por los CDRs 260, 5 y 258) - Orden de pago N° 421 </t>
  </si>
  <si>
    <t>Acta de recibo parcial de interventoría N° 5 - Factura de venta N° 26 por el valor de $13´701.464 (Cancelada por los CDRs 311 y 11) - Orden de pago N° 368</t>
  </si>
  <si>
    <t>Acta de recibo parcial de interventoría N° 5 - Factura de venta N° 26 por el valor de $13´701.464 (Cancelada por los CDRs 311 y 11) - Orden de pago N° 369</t>
  </si>
  <si>
    <t>Acta de interventoría N° 6 y final - Factura de venta N° 46 por el valor de $39´884.033 (Cancelada por los CDRs 232 y 311) - Orden de pago N° 25</t>
  </si>
  <si>
    <t>Acta de interventoría N° 6 y final - Factura de venta N° 46 por el valor de $39´884.033 (Cancelada por los CDRs 232 y 311) - Orden de pago N° 26</t>
  </si>
  <si>
    <r>
      <rPr>
        <b/>
        <sz val="12"/>
        <color theme="1"/>
        <rFont val="Calibri"/>
        <family val="2"/>
        <scheme val="minor"/>
      </rPr>
      <t xml:space="preserve">Contrato liquidado y pagado: </t>
    </r>
    <r>
      <rPr>
        <sz val="12"/>
        <color theme="1"/>
        <rFont val="Calibri"/>
        <family val="2"/>
        <scheme val="minor"/>
      </rPr>
      <t>Se debe liberar las siguientes cantidades; CDR 254 $7.415,92 - CDR 232 $25.166,33 - CDR 260 $15.716,16 - CDR 5 $104.930,48 y CDR 311 $1</t>
    </r>
  </si>
  <si>
    <t>057-2013</t>
  </si>
  <si>
    <t>Diego Genaro Muñoz Gutierrez</t>
  </si>
  <si>
    <t>Construcción de alcantarillado sanitario, sistema de tratamiento de aguas residuales y obras para el manejo del drenaje pluvial, vereda el chamizo, municipio de Padilla.</t>
  </si>
  <si>
    <t>Noviembre - Soportes escanedos</t>
  </si>
  <si>
    <t>50% de anticipo, el cual será amortizado con cada acta parcial, el ultimo pago se efectuará con el acta de liquidación final del contrato y no podrá ser inferior al 10% del valor del mismo.</t>
  </si>
  <si>
    <t>Acta de inicio del 26/08/2013 - Cuenta de cobro por el valor de $335´050.454 correspondiente al 50% del valor inicial del contrato - Orden de pago N° 111 del 17/12/2013 (Orden cancelada por los CDRs 290 y 4)</t>
  </si>
  <si>
    <t>Acta de recibo parcial de obra N° 01 - Factura de venta N° 0216 por el valor de $277´021.061 - Orden de pago N° 253 del 03/12/2014 (Factura cancelada por los CDRs 290 y 4)</t>
  </si>
  <si>
    <t>Acta de recibo parcial N° 2 y final - Factura de venta N° 0239</t>
  </si>
  <si>
    <t>Acta de liquidación del 29 de junio del año 2017</t>
  </si>
  <si>
    <r>
      <t>Contrato liquidado con pago parcial:</t>
    </r>
    <r>
      <rPr>
        <sz val="12"/>
        <color theme="1"/>
        <rFont val="Calibri"/>
        <family val="2"/>
        <scheme val="minor"/>
      </rPr>
      <t xml:space="preserve"> El contratista tiene saldo a favor por $371´353.966. Cuando se realice el pago del acta N° 2 y final se debe liberar el valor de $4´349.292,99 del CDR 290 (Fuente Nación), $909.291,99 del CDR 4 (Fuente SGP Padilla) y $3´840.268,02 del CDR 8 (Fuente SGP Padilla)</t>
    </r>
  </si>
  <si>
    <t>056-2013</t>
  </si>
  <si>
    <t>Armando Alfonso Paz Martinez</t>
  </si>
  <si>
    <t>Obras de ampliación sistema de alcantarillado sanitario y obras complementarias planta de tratamiento de aguas residuales cabecera municipal de Argelia Cauca, por el sistema de precios unitarios sin formula de reajuste</t>
  </si>
  <si>
    <t>Acta N° 1 - Factura de venta N° 094 por el valor de $240´057.204 - Orden de pago N° 146 (Factura cancelada por los CDRs 271 y 7)</t>
  </si>
  <si>
    <t>Acta N° 2 - Factura de venta N° 100 por el valor de $299´906.478 - Orden de pago N° 155 (Factura cancelada por los CDRs 271 y 7)</t>
  </si>
  <si>
    <t>Acta N° 3 - Factura de venta N° 101 por el valor de $246´447.262 - Orden de pago N° 172 (Factura cancelada por los CDRs 271 y 7)</t>
  </si>
  <si>
    <t>Acta N° 4 - Factura de venta N° 118 por el valor de $87´383.211 - Orden de pago N° 448 - (Factura cancelada por los CDRs 271 y 7)</t>
  </si>
  <si>
    <t>Acta N° 5 - Factura de venta N° 119 por el valor de $175´995.915 - Orden de pago N° 449 (Factura cancelada por los CDRs 271, 7 y 20)</t>
  </si>
  <si>
    <t xml:space="preserve">Acta Final - Factura de venta N° 122 por el valor de $251´933.283 - Orden de pago N° 22 </t>
  </si>
  <si>
    <t>Acta de liquidación del 17 de mayo del año 2017</t>
  </si>
  <si>
    <r>
      <rPr>
        <b/>
        <sz val="12"/>
        <color theme="1"/>
        <rFont val="Calibri"/>
        <family val="2"/>
        <scheme val="minor"/>
      </rPr>
      <t>Contrato liquidado y pagado:</t>
    </r>
    <r>
      <rPr>
        <sz val="12"/>
        <color theme="1"/>
        <rFont val="Calibri"/>
        <family val="2"/>
        <scheme val="minor"/>
      </rPr>
      <t xml:space="preserve"> No hay saldos por liberar. Se puede observar que no se respetaron los valores del contratados por cada CDR</t>
    </r>
  </si>
  <si>
    <t>FV 0032 ACTA N 4 CTO 55-2013 CDR 8 SGP R- 6641</t>
  </si>
  <si>
    <t>ACTA N 4 CTO 55-2013 CDR 6 SGP R-6641</t>
  </si>
  <si>
    <t>Acta 3, FRA 0021</t>
  </si>
  <si>
    <t>ACTA N 4 CTO 55-2013 CDR 5 SGP R-6641</t>
  </si>
  <si>
    <t>acta 2,FRA 0020</t>
  </si>
  <si>
    <t>acta 1 fra 07</t>
  </si>
  <si>
    <t>anticipo 40%</t>
  </si>
  <si>
    <t>ACTA N 4 CTO 55-2013 CDR 252 SGP R-6641</t>
  </si>
  <si>
    <t>FRA 07 FRA 07 PAGO ACTA N0 1 DEL CONTRATO DE INTERVENTORIA N0 55-2013</t>
  </si>
  <si>
    <t>CTA C 1 OPAGO ANTICVIPO 40% DE CONTRATO DE INTERVENTORIA 55-2013</t>
  </si>
  <si>
    <t>ACTA N 4 CTO 55-2013 CDR 262 SGP R-6641</t>
  </si>
  <si>
    <t>ANTICIPO DE 40% CONTRATO DE INTERVENTORIA 55-2013</t>
  </si>
  <si>
    <t>acta 2,FRA 0020 (este pago es de la Sierra- ERROR)</t>
  </si>
  <si>
    <t>ANTICIPO 40% CONTRATO D INTERVENTORIA N 55-2013</t>
  </si>
  <si>
    <t>ANTICIPO 40% BDE CONTRATO DE INTERVENTORIA N 55-2013</t>
  </si>
  <si>
    <t>CTA COBRO 01 PAGO FALTANTE AL ANTICIPO DEL 40% DEL CONTRATO 55</t>
  </si>
  <si>
    <t>CTA COBRO 01 ANRTICIPO 40% CONTRATO DE INTERVENTORIA N 55-2013</t>
  </si>
  <si>
    <t>EL PAGO POR $3.169.083, QUE SE REALIZO POR EL CDR 250, EN REALIDAD DEBIO REALIZARSE POR EL CDR 276</t>
  </si>
  <si>
    <t>CONTRATO SUSPENDIDO, NO  SE PUEDE LIBERAR RECURSOS</t>
  </si>
  <si>
    <t>NO SE ENCUENTRA EL ACTA 4, NI LOS SOPORTES DE PAGO</t>
  </si>
  <si>
    <t>ANTICIPO 40% CONTRATO DE INTERVENTORIA N 55-2013</t>
  </si>
  <si>
    <t>40% anticipo y pagos parciales</t>
  </si>
  <si>
    <t>ACTA DE SUSPENSION No. 03 DEL 23-DIC-2015</t>
  </si>
  <si>
    <t>INTERVENTORIA TECNICA, ADMINISTRATIVA, AMBIENTAL Y FINANCIERA  A LOS CTOS 019,022,032, 052, 053, 055, 077 DE 2013</t>
  </si>
  <si>
    <t>CONSORCIO INTERVENTORIA CAUCA 2013 R.L EDUARDO A. QUINTERO CHAVEZ</t>
  </si>
  <si>
    <t>055-2013</t>
  </si>
  <si>
    <t>069-2013</t>
  </si>
  <si>
    <t>Interventoría técnica, administrativa, financiera, social y ambiental de los siguientes contratos: 23 y 56 de 2013</t>
  </si>
  <si>
    <t>Acta de suspensión N°6 del 22 de junio del año 2016</t>
  </si>
  <si>
    <r>
      <rPr>
        <b/>
        <sz val="12"/>
        <color theme="1"/>
        <rFont val="Calibri"/>
        <family val="2"/>
        <scheme val="minor"/>
      </rPr>
      <t>Contrato Suspendido:</t>
    </r>
    <r>
      <rPr>
        <sz val="12"/>
        <color theme="1"/>
        <rFont val="Calibri"/>
        <family val="2"/>
        <scheme val="minor"/>
      </rPr>
      <t xml:space="preserve"> Aun no se puede determinar el valor neto a liberar hasta tanto el contrato no se liquide. </t>
    </r>
  </si>
  <si>
    <t>Cuenta de cobro de anticipo del 40% del valor inicial del contrato - Orden de pago N° 112</t>
  </si>
  <si>
    <t>Acta N° 1 - Factura de venta N° 0141 por el valor de $25´187.646 - Orden de pago N° 147 (Se cancela por los CDRs 264 y 272)</t>
  </si>
  <si>
    <t>Acta N° 2 - Factura de venta N° 0149 por el valor de $18´951.898,18 - Orden de pago N° 158 (Factura cancelada por los CDRs 264 y 272)</t>
  </si>
  <si>
    <t>Acta N° 3 - Factura de venta N° 150 por el valor de $27´569.664,77 - Orden de pago N° 173 (Factura cancelada por los CDRs 264 y 272)</t>
  </si>
  <si>
    <t>Acta N° 5 - Factura de venta N° 184 por el valor de $3´168.002,90 - Orden de pago N° 333 (Factura cancelada por los CDRs 264, 7 y 272)</t>
  </si>
  <si>
    <t>Acta N° 6 - Factura de venta N° 185 - Orden de pago N° 334</t>
  </si>
  <si>
    <t>Acta N° 7 - Factura de venta N° 188 - Orden de pago N° 411</t>
  </si>
  <si>
    <t>Acta N° 4 - Factura de venta N° 176 por el valor de $6´969.606,38 - Orden de pago N° 233 (Factura de venta cancelada por los CDRs 264 y 272)</t>
  </si>
  <si>
    <t>Acta N° 8</t>
  </si>
  <si>
    <t>Falta Acta parcial N°4 y Acta N° 8</t>
  </si>
  <si>
    <t>Acta de liquidación del 10 de mayo de 2016</t>
  </si>
  <si>
    <t>CONSTRUCCION REHABILITACION DE ALCANTARILLADO RESGUARDO INDIGENA DE RIO BLANCO</t>
  </si>
  <si>
    <t>CONSORCIO C Y B 2013 R.L. JUAN CARLOS COLLAZOS PALTA</t>
  </si>
  <si>
    <t>077-2013</t>
  </si>
  <si>
    <r>
      <rPr>
        <b/>
        <sz val="12"/>
        <rFont val="Calibri"/>
        <family val="2"/>
        <scheme val="minor"/>
      </rPr>
      <t xml:space="preserve">Contrato liquidado y pagado: </t>
    </r>
    <r>
      <rPr>
        <sz val="12"/>
        <rFont val="Calibri"/>
        <family val="2"/>
        <scheme val="minor"/>
      </rPr>
      <t>SE DEBEN LIBERAR $1.676.258</t>
    </r>
  </si>
  <si>
    <t>Acta N° 1 de recibo parcial de obra - Factura de venta N° 2 - Orden de pago N° 317</t>
  </si>
  <si>
    <t>Acta de pago N° 2 y final de obra - Factura de venta N° 8 -  Orden de pago N° 434</t>
  </si>
  <si>
    <t>082-2013</t>
  </si>
  <si>
    <t>Consorcio Mercaderes 2013</t>
  </si>
  <si>
    <t>Construcción obras de optimización del sistema de acueducto del municipio de Mercaderes Cauca, por el sistema de precios unitarios sin Formula de reajuste</t>
  </si>
  <si>
    <t>Emcaservicios pagará el precio del contrato por medio de actas parciales y/o final de obra, las cuales se suscribiran de conformidad con las cantidades efectivamente ejecutadas, aplicando para el efecto los precios unitarios propuestos. El último pago, se efectuara con el acta de liquidacion y no podra ser inferior al 10%</t>
  </si>
  <si>
    <t>Acta parcial de pago N° 1 - Factura de venta N° 4 por el valor de $1.282´239.693,80 - Orden de pago N° 196 (Factura cancelada por los CDRs 283 y 2)</t>
  </si>
  <si>
    <t>Acta parcial de pago N° 2 - Factura de venta N° 5 por el valor de $1.237´677.101 - Orden de pago N° 241 (Factura cancelada por los CDRs 283 y 2)</t>
  </si>
  <si>
    <t>Acta parcial de pago N° 3 - Factura de venta N° 8 por el valor de $893´811.814 - Orden de pago N° 294 (Factura cancelada por los CDRs 283 y 2)</t>
  </si>
  <si>
    <t>Acta parcial de pago N° 4 por el valor de $889´169.608 - Factura de venta N° 11 por el valor de $379´782.409,20 - Orden de pago N° 327 (Factura cancelada por los CDRs 283 y 2)</t>
  </si>
  <si>
    <t>Acta parcial de pago N° 4 por el valor de $889´169.608 - Factura de venta N° 12 - Orden de pago N° 328</t>
  </si>
  <si>
    <t>Acta parcial de pago N° 5 - Factura de venta N° 13 - Orden de pago N° 351</t>
  </si>
  <si>
    <t>Acta Final de obra</t>
  </si>
  <si>
    <t>Acta de entrega y recibo final de obra del 8 de enero del año 2016</t>
  </si>
  <si>
    <t>Documentos completos hasta la fecha de revisión</t>
  </si>
  <si>
    <r>
      <rPr>
        <b/>
        <sz val="12"/>
        <color theme="1"/>
        <rFont val="Calibri"/>
        <family val="2"/>
        <scheme val="minor"/>
      </rPr>
      <t>Contrato terminado sin liquidar:</t>
    </r>
    <r>
      <rPr>
        <sz val="12"/>
        <color theme="1"/>
        <rFont val="Calibri"/>
        <family val="2"/>
        <scheme val="minor"/>
      </rPr>
      <t xml:space="preserve"> Cuando el contrato se liquide se deben liberar saldos en cada uno de los CDRs.</t>
    </r>
  </si>
  <si>
    <t>080-2013</t>
  </si>
  <si>
    <t>Consorcio Gonzalez Bravo</t>
  </si>
  <si>
    <t>Construcción acueducto zona campesina (Fase Usenda) del municipio de Silvia, departamento del Cauca, por el sistema de precios unitarios sin formula de reajuste</t>
  </si>
  <si>
    <t>Emcaservicios pagará el precio del contrato por medio de actas parciales y/o final de obra, las cuales se suscribiran de conformidad con las cantidades efectivamente ejecutadas, aplicando para el efecto los precios unitarios propuestos. El último pago, se efectuara con el acta de liquidación y no podrá ser inferior al 10% del valor del contrato</t>
  </si>
  <si>
    <r>
      <rPr>
        <b/>
        <sz val="12"/>
        <color theme="1"/>
        <rFont val="Calibri"/>
        <family val="2"/>
        <scheme val="minor"/>
      </rPr>
      <t xml:space="preserve">Contrato terminado sin liquidar: </t>
    </r>
    <r>
      <rPr>
        <sz val="12"/>
        <color theme="1"/>
        <rFont val="Calibri"/>
        <family val="2"/>
        <scheme val="minor"/>
      </rPr>
      <t>El contrato cuenta con acta de recibo final, donde se nombra el acta n° 2 y final por un valor de $25´812.900, es decir, cantidad  a favor del contratista, de esta suma se debe amortizar $6´883.440 de anticipo, en conclusión el valor a pagar neto es de $18´929.460 (que corresponden a $10´325.160 por el CDR 144 y $8´604.300 por el CDR 174).</t>
    </r>
  </si>
  <si>
    <t>Acta de suspensión N° 9 del 28 de marzo del año 2017</t>
  </si>
  <si>
    <r>
      <rPr>
        <b/>
        <sz val="12"/>
        <color theme="1"/>
        <rFont val="Calibri"/>
        <family val="2"/>
        <scheme val="minor"/>
      </rPr>
      <t>Falta:</t>
    </r>
    <r>
      <rPr>
        <sz val="12"/>
        <color theme="1"/>
        <rFont val="Calibri"/>
        <family val="2"/>
        <scheme val="minor"/>
      </rPr>
      <t xml:space="preserve"> Actas N° 5 y N° 6 y sus respectivos soportes de pago, es decir, facturas y ordenes de pago.</t>
    </r>
  </si>
  <si>
    <t>Acta de recibo parcial N° 1 - Factura de venta N° 1 por el valor de $700´993.253,95 - Orden de pago N° 225 (Factura cancelada por los CDRs 288 y 3)</t>
  </si>
  <si>
    <t>Acta de recibo Parcial N° 2 - Factura de venta N° 2 por el valor de $346´636.213,81 - Orden de pago N° 254 (Factura cancelada por los CDRs 288 y 3)</t>
  </si>
  <si>
    <t>Acta de recibo parcial N° 3 - Factura de venta N° 3 por el valor de $603´042.341,04 - Orden de pago N° 356 (Factura cancelada por los CDRs 288 y 3)</t>
  </si>
  <si>
    <t>Acta de recibo parcial N° 4 - Factura de venta N° 4 por el valor de $432.761.196,54 - Orden de pago N° 370 (Factura cancelada por los CDRs 288 y 3)</t>
  </si>
  <si>
    <t>Acta N° 5 - Factura N° 5 por el valor de $781´187.261 (Faltan soportes - Factura cancelada por los CDRs 288, 3, 341 y 12)</t>
  </si>
  <si>
    <t>Acta N° 6 - Factura de venta N° 8 por el valor de $425´343.246 (Faltan soportes - Factura cancelada por los CDRs 3, 341 y 12)</t>
  </si>
  <si>
    <r>
      <t xml:space="preserve">Contrato Suspendido: </t>
    </r>
    <r>
      <rPr>
        <sz val="12"/>
        <color theme="1"/>
        <rFont val="Calibri"/>
        <family val="2"/>
        <scheme val="minor"/>
      </rPr>
      <t xml:space="preserve">Aun no se puede determinar el valor neto a liberar hasta tanto el contrato no se liquide. </t>
    </r>
  </si>
  <si>
    <t>086-2013</t>
  </si>
  <si>
    <t>Jose Giovanni Tobar Paz</t>
  </si>
  <si>
    <t>Construcción obras de emergencia para la estabilización tuberia de aducción del acueducto regional Piendamo Morales - Cauca</t>
  </si>
  <si>
    <t>Emcaservicios pagará el precio del contrato por medio de actas parciales y/o final de obra, las cuales se suscribiran de conformidad con las cantidades efectivamente ejecutadas, aplicando para el efecto los precios unitarios propuestos. El último pago, se efectuará  con el acta de liquidación y no podrá ser inferior al 10% del valor del contrato.</t>
  </si>
  <si>
    <t>Acta de recibo parcial de obra N° 1 - Factura de venta N° 114 - Orden de pago N° 210</t>
  </si>
  <si>
    <t>Acta de recibo parcial N° 2 y final de obra - Factura de venta N° 115 - Orden de pago N° 242</t>
  </si>
  <si>
    <t>Acta de liquidación del 26 de noviembre del año 2014</t>
  </si>
  <si>
    <r>
      <rPr>
        <b/>
        <sz val="12"/>
        <color theme="1"/>
        <rFont val="Calibri"/>
        <family val="2"/>
        <scheme val="minor"/>
      </rPr>
      <t>Contrato liquidado y pagado:</t>
    </r>
    <r>
      <rPr>
        <sz val="12"/>
        <color theme="1"/>
        <rFont val="Calibri"/>
        <family val="2"/>
        <scheme val="minor"/>
      </rPr>
      <t xml:space="preserve"> El saldo por no uso de CDR ya ha sido liberado.</t>
    </r>
  </si>
  <si>
    <t>089-2013</t>
  </si>
  <si>
    <t>EUCO Ltda</t>
  </si>
  <si>
    <t>Interventoría técnica, administrativa, financiera, social y ambiental del siguiente contrato: Construcción obras optimización del sistema de acueducto del municipio de Mercaderes Cauca.</t>
  </si>
  <si>
    <t>Acta de suspensión N° 4 del 12 de enero del año 2016</t>
  </si>
  <si>
    <t>Acta de inicio - Cuenta de cobro por el 40% del valor del contrato inicial - Orden de pago N° 187 (Cancelado por los CDRs 284 y 285)</t>
  </si>
  <si>
    <t>Acta parcial de pago N° 01 - Factura de venta N° 0631 por el valor de $80´695.553,12 - Orden de pago N° 212 (Factura cancelada por los CDRs 284 y 285)</t>
  </si>
  <si>
    <t>Acta parcial de pago N° 02 - Factura de venta N° 0810 por el valor de $77´902.245 - Orden de pago N° 290 (Factura cancelada por los CDRs 284 y 285)</t>
  </si>
  <si>
    <t>Acta parcial de pago N° 03 - Factura de venta N° 0831 por el valor de $56´248.142 - Orden de pago N° 295 (Factura cancelada por los CDRs 284 y 285)</t>
  </si>
  <si>
    <t>Acta parcial de pago N° 04 y N° 05 adicional - Factura de venta N° 0934 por el valor de $14´338.980 - Orden de pago N° 337 (Factura cancelada por los CDRs 284 y 285)</t>
  </si>
  <si>
    <t>Acta parcial de pago N° 04 y N° 05 adicional - Factura de venta N° 0935 por el valor de $40´594.711 - Orden de pago N° 337</t>
  </si>
  <si>
    <t>Acta parcial de pago N° 06 - Factura de venta N° 0953 - Orden de pago N° 365</t>
  </si>
  <si>
    <t>Acta final de interventoría</t>
  </si>
  <si>
    <t>Elaboracion de los estudios de suelos para los sitios de disposicion final de desechos solidos en los municipio de Totoro, Piendamo, El Tambo, Rosas y La Sierra para el departamento del cauca de conformidad con los estudios previos y la invitacion formulada para la entidad</t>
  </si>
  <si>
    <t>German Cujar Chamorro</t>
  </si>
  <si>
    <t>Cumplido del supervisor del 20 de mayo del año 2013</t>
  </si>
  <si>
    <t>Cuenta de cobro - Orden de pago N° 91 del 21/06/2013</t>
  </si>
  <si>
    <r>
      <t xml:space="preserve">Contrato liquidado y pagado: </t>
    </r>
    <r>
      <rPr>
        <sz val="12"/>
        <color theme="1"/>
        <rFont val="Calibri"/>
        <family val="2"/>
        <scheme val="minor"/>
      </rPr>
      <t>Se debe liberar el valor de $95´005.000 del CDR 269 de fuente Nación</t>
    </r>
  </si>
  <si>
    <t>027-2014</t>
  </si>
  <si>
    <t>Interventoría técnica, administrativa, financiera, social y ambiental del siguiente contrato de obra N° 23 de 2014</t>
  </si>
  <si>
    <t>El valor del contrato será pagado mediante actas parciales, pagadas de conformidad con el avance de las obras intervenidas, Emcaservicios dará hasta el 10% del valor del contrato como anticipo, el ultimo pago se efectuara con el acta de liquidación y no podrá ser inferior al 10%</t>
  </si>
  <si>
    <t>Acta de suspensión N° 6 del 30 de diciembre del año 2016</t>
  </si>
  <si>
    <t>Acta de inicio - Cuenta de cobro por el 10% del valor del contrato inicial, anticipo - Orden de pago N° 169</t>
  </si>
  <si>
    <t>Acta parcial N° 1 - Factura de venta N° 174 - Orden de pago N° 215</t>
  </si>
  <si>
    <t>Acta parcial N° 2 - Factura de venta N° 179 - Orden de pago N° 284</t>
  </si>
  <si>
    <t>Acta parcial N° 3 - Factura de venta N° 182 -  Orden de pago N° 299</t>
  </si>
  <si>
    <r>
      <rPr>
        <b/>
        <sz val="12"/>
        <color theme="1"/>
        <rFont val="Calibri"/>
        <family val="2"/>
        <scheme val="minor"/>
      </rPr>
      <t>Contrato Suspendido</t>
    </r>
    <r>
      <rPr>
        <sz val="12"/>
        <color theme="1"/>
        <rFont val="Calibri"/>
        <family val="2"/>
        <scheme val="minor"/>
      </rPr>
      <t xml:space="preserve">: Aun no se puede determinar el valor neto a liberar hasta tanto el contrato no se liquide. </t>
    </r>
  </si>
  <si>
    <t>024-2014</t>
  </si>
  <si>
    <t>Jhon Bairo Lara Osorio</t>
  </si>
  <si>
    <t>INTERVENTORIA TECNICA, ADMINISTRATIVA, AMBIENTAL Y FINANCIERA AL CTO. DE OBRA 86 DE 2013 CUYO OBJETO ES LA CONSTRUCCION DE OBRAS DE EMERGENCIA PARA LA ESTABILIZACION DE TUBERIA DE ADUCCION DE ACUEDUCTO REGIONAL PIENDAMO MORALES</t>
  </si>
  <si>
    <t>Acta de recibo N° y final de interventoría - Factura de venta N° 244</t>
  </si>
  <si>
    <r>
      <t xml:space="preserve">Contrato Liquidado y pagado: </t>
    </r>
    <r>
      <rPr>
        <sz val="12"/>
        <color theme="1"/>
        <rFont val="Calibri"/>
        <family val="2"/>
        <scheme val="minor"/>
      </rPr>
      <t>Se debe liberar el valor de $456.459 del CDR 297 de fuente Nación</t>
    </r>
  </si>
  <si>
    <t>026-2014</t>
  </si>
  <si>
    <t>INTERVENTORIA TECNICA, ADMINISTRATIVA, AMBIENTAL Y FINANCIERA AL CONTRATO DE OBRA 088 DE 2013 CUYO OBJETO ES LA CONSTRUCCION OBRAS DE OPTIMIZACION PLANTA DE TRATAMIENTO DE AGUA POTABLE Y REDES DE DISTRIBUCION DE LA CABECERA MUNICIPAL DE SAN SEBASTIAN - CAUCA</t>
  </si>
  <si>
    <t>Diego Fernando Ruiz Muñoz</t>
  </si>
  <si>
    <t>El valor del contrato será pagado mediante actas parciales, pagadas de conformidad con el avance de las obras intervenidas, Emcaservicios dará hasta el 10% del valor del contrato como anticipo, el ultimo pago se efectuara con el acta de liquidación y no podrá ser inferior al 10% del valor del contrato</t>
  </si>
  <si>
    <t>Contrato en ejecución:</t>
  </si>
  <si>
    <t>Acta de reinicio N° 1 del 5 de julio del año 2017</t>
  </si>
  <si>
    <r>
      <rPr>
        <b/>
        <u/>
        <sz val="12"/>
        <color theme="6" tint="-0.249977111117893"/>
        <rFont val="Calibri"/>
        <family val="2"/>
        <scheme val="minor"/>
      </rPr>
      <t xml:space="preserve">19-  20 </t>
    </r>
    <r>
      <rPr>
        <sz val="12"/>
        <color theme="6" tint="-0.249977111117893"/>
        <rFont val="Calibri"/>
        <family val="2"/>
        <scheme val="minor"/>
      </rPr>
      <t>-</t>
    </r>
    <r>
      <rPr>
        <sz val="12"/>
        <rFont val="Calibri"/>
        <family val="2"/>
        <scheme val="minor"/>
      </rPr>
      <t xml:space="preserve"> 21 -</t>
    </r>
    <r>
      <rPr>
        <b/>
        <u/>
        <sz val="12"/>
        <color theme="6" tint="-0.249977111117893"/>
        <rFont val="Calibri"/>
        <family val="2"/>
        <scheme val="minor"/>
      </rPr>
      <t xml:space="preserve"> 22- 23- 24 - 25 - 30 -  32 - 43 - 53</t>
    </r>
    <r>
      <rPr>
        <b/>
        <u/>
        <sz val="12"/>
        <rFont val="Calibri"/>
        <family val="2"/>
        <scheme val="minor"/>
      </rPr>
      <t xml:space="preserve"> -</t>
    </r>
    <r>
      <rPr>
        <b/>
        <u/>
        <sz val="12"/>
        <color theme="6" tint="-0.249977111117893"/>
        <rFont val="Calibri"/>
        <family val="2"/>
        <scheme val="minor"/>
      </rPr>
      <t xml:space="preserve"> 55 - 56 - 57 - 69 - 77 - 80 - 82 - 86 - 87-</t>
    </r>
    <r>
      <rPr>
        <sz val="12"/>
        <rFont val="Calibri"/>
        <family val="2"/>
        <scheme val="minor"/>
      </rPr>
      <t xml:space="preserve"> 88 </t>
    </r>
    <r>
      <rPr>
        <b/>
        <u/>
        <sz val="12"/>
        <color theme="6" tint="-0.249977111117893"/>
        <rFont val="Calibri"/>
        <family val="2"/>
        <scheme val="minor"/>
      </rPr>
      <t>- 89 - 430</t>
    </r>
    <r>
      <rPr>
        <sz val="12"/>
        <rFont val="Calibri"/>
        <family val="2"/>
        <scheme val="minor"/>
      </rPr>
      <t xml:space="preserve"> </t>
    </r>
  </si>
  <si>
    <t>087-2013</t>
  </si>
  <si>
    <t>INTERVENTORIA TECNICA, ADMINISTRATIVA, AMBIENTAL Y FINANCIERA  AL CONTRATO DE OBRA 080 DE 2013</t>
  </si>
  <si>
    <t>Consorcio Interventoría Usenda</t>
  </si>
  <si>
    <t>Acta de suspensión N° 8 del 28 de marzo del año 2017</t>
  </si>
  <si>
    <t>Acta de inicio - Cuenta de cobro por el valor del 40% de anticipo - Orden de pago N° 160 (Valor de anticipo cancelado por los CDRs 2 y 289)</t>
  </si>
  <si>
    <t>Acta de recibo parcial N° 1 - Factura de Venta N° 3 por el valor de $61´880.246 - Orden de pago N° 263 (Factura cancelada por los CDRs 4 y 289)</t>
  </si>
  <si>
    <t>Acta de recibo parcial N° 2 - Factura de Venta N° 6 por el valor de $61´880.248 - Orden de pago N° 410 (Factura cancelada por los CDRs 4 y 289)</t>
  </si>
  <si>
    <t>Acta de recibo parcial N° 3 - Factura de Venta N° 20 por el valor de $23´573.426 - Orden de pago N° 31 (Factura cancelada por los CDRs 4 y 289)</t>
  </si>
  <si>
    <t>Acta de recibo parcial N° 4 - Factura de Venta N° 18  - Orden de pago N° 32</t>
  </si>
  <si>
    <r>
      <rPr>
        <b/>
        <sz val="12"/>
        <color theme="1"/>
        <rFont val="Calibri"/>
        <family val="2"/>
        <scheme val="minor"/>
      </rPr>
      <t xml:space="preserve">Contrato Suspendido: </t>
    </r>
    <r>
      <rPr>
        <sz val="12"/>
        <color theme="1"/>
        <rFont val="Calibri"/>
        <family val="2"/>
        <scheme val="minor"/>
      </rPr>
      <t xml:space="preserve">Aun no se puede determinar el valor neto a liberar hasta tanto el contrato no se liquide. </t>
    </r>
  </si>
  <si>
    <t>028-2014</t>
  </si>
  <si>
    <t>INTERVENTORIA TECNICA, ADMINISTRATIVA, AMBIENTAL Y FINANCIERA AL CTO DE OBRA 034 DE 2014.</t>
  </si>
  <si>
    <t>Consorcio GNO</t>
  </si>
  <si>
    <t>10% de anticipo, el cual se debe amortizar en las actas parciales, el ultimo pago se efectuara con el acta de liquidación final y no podrá ser inferior al 10% del valor del contrato</t>
  </si>
  <si>
    <t>Acta de suspensión N° 3 del 22 de diciembre del año 2015</t>
  </si>
  <si>
    <t>Acta de inicio - Cuenta de cobro - Orden de pago N° 203</t>
  </si>
  <si>
    <t>Acta parcial N° 1 - Factura de venta N° 1 - Orden de pago N° 250</t>
  </si>
  <si>
    <t>Acta parcial N° 2 - Factura de venta N° 2 - Orden de pago N° 297</t>
  </si>
  <si>
    <t>Acta parcial N° 3 - Factura de venta N° 3 - Orden de pago N° 340</t>
  </si>
  <si>
    <t>Acta parcial N° 4 - Factura de venta N° 4 - Orden de pago N° 341</t>
  </si>
  <si>
    <t>Acta parcial N° 5 - Factura de venta N° 5 - Orden de pago N° 419</t>
  </si>
  <si>
    <t>INTERVENTORIA TECNICA, ADMINISTRATIVA, AMBIENTAL Y FINANCIERA  AL CONTRATO DE OBRA 035 DE 2014 "CONSTRUCCION OBRAS DE OPTIMIZACION SISTEMA DE ACUEDUCTO DE LA CABECERA MUNICIPAL DE BOLIVAR"</t>
  </si>
  <si>
    <t>CONSORCIO BOLIVAR R.L. JIMMY ASTUDILLO</t>
  </si>
  <si>
    <t>030-2014</t>
  </si>
  <si>
    <r>
      <rPr>
        <b/>
        <sz val="12"/>
        <rFont val="Calibri"/>
        <family val="2"/>
        <scheme val="minor"/>
      </rPr>
      <t>Contrato En Ejecución:</t>
    </r>
    <r>
      <rPr>
        <sz val="12"/>
        <rFont val="Calibri"/>
        <family val="2"/>
        <scheme val="minor"/>
      </rPr>
      <t xml:space="preserve"> Existe presunto incumplimiento por parte del contratista</t>
    </r>
  </si>
  <si>
    <t>Otro Sí del 7 de diciembre del año 2016</t>
  </si>
  <si>
    <t>031-2014</t>
  </si>
  <si>
    <t>Elaboración de los estudios y diseños para la construcción del relleno sanitario regional con aprovechamiento Quitapereza en el municipio de Santander de Quilichao Cauca</t>
  </si>
  <si>
    <t>El valor del contrato será pagado mediante actas parciales, pagadas de conformidad con el avance de la consultoría que se esta ejecutando, Emcaservicios dará hasta el 10% del valor del contrato como anticipo, el ultimo pago se efectuara con el acta de liquidación y no podrá ser inferior al 10% del valor del contrato.</t>
  </si>
  <si>
    <t>Analisis Ambiental SAS</t>
  </si>
  <si>
    <t>Acta de suspensión N° 2 del 16 de febrero del año 2015</t>
  </si>
  <si>
    <t>Acta de inicio - Cuenta de cobro - Orden de pago N° 243</t>
  </si>
  <si>
    <t>Acta N° 1 - Factura de venta - Orden de pago N° 308</t>
  </si>
  <si>
    <t>034-2014</t>
  </si>
  <si>
    <t>Eduardo Gironza Lozano</t>
  </si>
  <si>
    <t>Construcción obras de optimización del plan maestro de alcantarillado sanitario cabecera municipal de Balboa - Cauca, por el sistema de precios unitarios sin formula de reajuste de precios</t>
  </si>
  <si>
    <t>Emcaservicios pagará el precio del contrato por medio de actas parciales y/o final de obra, las cuales se suscribiran de conformidad con las cantidades efectivamente ejecutadas, aplicando para el efecto los precios unitarios propuestos. 30% de anticipo.</t>
  </si>
  <si>
    <t>Acta de inicio - Cuenta de cobro - Orden de pago N° 239 (Anticipo cancelado por los CDRs 293 y 2)</t>
  </si>
  <si>
    <t>Acta de pago N° 1 - Factura de venta N° 1080 por el valor de $712.981.642 - Orden de pago N° 259 (Factura cancelada por los CDRs 293 y 2)</t>
  </si>
  <si>
    <t>Acta de pago N° 2 - Factura de venta N° 1121 por el valor de $820´036.645 - Orden de pago N° 298 (Factura cancelada por los CDRs 293 y 2)</t>
  </si>
  <si>
    <t>Acta de pago N° 3 - Factura de venta N° 1161 por el valor de $489´855.296 - Orden de pago N° 321 (Factura cancelada por los CDRs 293 y 2)</t>
  </si>
  <si>
    <t>Acta de pago N° 4 - Factura de venta N° 1209 por el valor de $219´463017 - Orden de pago N° 336 (Factura cancelada por los CDRs 293 y 2)</t>
  </si>
  <si>
    <t>Falta: Acta N° 5, factura y orden de pago</t>
  </si>
  <si>
    <t>CONSORCIO BOLIVAR 2014 R.L. CARLOS ALBERTO ROZO NADER</t>
  </si>
  <si>
    <t>CONSTRUCCION OBRAS DE OPTIMIZACION SISTEMA DE ACUEDUCTO DE LA CABECERA MUNICIPAL DE BOLIVAR</t>
  </si>
  <si>
    <t>ANTICIPO DEL 30% Y ACTAS PARCIALES DE OBRA</t>
  </si>
  <si>
    <t>ANTICIPO 30% C COB 1</t>
  </si>
  <si>
    <t>FACT 001 DEL CTO DE OBRA 35 2014</t>
  </si>
  <si>
    <t>FACT DE VENTA 007 CTO 035/2014 OBRA RAD-6120 OBRA</t>
  </si>
  <si>
    <t>FACT DE VENTA 007 CTO 035/2014 OBRA RAD-6120</t>
  </si>
  <si>
    <t>035-2014</t>
  </si>
  <si>
    <t xml:space="preserve"> </t>
  </si>
  <si>
    <r>
      <t xml:space="preserve">23 </t>
    </r>
    <r>
      <rPr>
        <b/>
        <u/>
        <sz val="12"/>
        <color theme="6" tint="-0.249977111117893"/>
        <rFont val="Calibri"/>
        <family val="2"/>
        <scheme val="minor"/>
      </rPr>
      <t>- 24 - 26 - 27 - 28 - 30 - 31</t>
    </r>
    <r>
      <rPr>
        <sz val="12"/>
        <color theme="1"/>
        <rFont val="Calibri"/>
        <family val="2"/>
        <scheme val="minor"/>
      </rPr>
      <t xml:space="preserve"> - 32 - 33 </t>
    </r>
    <r>
      <rPr>
        <b/>
        <u/>
        <sz val="12"/>
        <color theme="6" tint="-0.249977111117893"/>
        <rFont val="Calibri"/>
        <family val="2"/>
        <scheme val="minor"/>
      </rPr>
      <t>- 34 - 35 -</t>
    </r>
    <r>
      <rPr>
        <sz val="12"/>
        <color theme="1"/>
        <rFont val="Calibri"/>
        <family val="2"/>
        <scheme val="minor"/>
      </rPr>
      <t xml:space="preserve"> 36 </t>
    </r>
    <r>
      <rPr>
        <b/>
        <u/>
        <sz val="12"/>
        <color theme="6" tint="-0.249977111117893"/>
        <rFont val="Calibri"/>
        <family val="2"/>
        <scheme val="minor"/>
      </rPr>
      <t>- 60 - 70</t>
    </r>
  </si>
  <si>
    <t>060-2014</t>
  </si>
  <si>
    <t>Rodrigo Alfredo Carreño Garcia</t>
  </si>
  <si>
    <t>EL CONTRATISTA SE OBLIGA PARA CON EMCASERVICIOS A REALIZAR LA INTERVENTORÍA TÉCNICA, ADMINISTRATIVA, SOCIAL Y AMBIENTAL DEL SIGUIENTE CONTRATO DE CONSULTORÍA  A LA ELABORACIÓN DE LOS ESTUDIOS Y DISEÑOS PARA LA CONSTRUCCIÓN DEL RELLENO SANITARIO REGIONAL CON APROVECHAMIENTO QUITAPEREZA EN EL MUNICIPIO DE SANTANDER DE QUILICHAO-CAUCA"</t>
  </si>
  <si>
    <r>
      <rPr>
        <b/>
        <sz val="12"/>
        <color theme="1"/>
        <rFont val="Calibri"/>
        <family val="2"/>
        <scheme val="minor"/>
      </rPr>
      <t>Contrato suspendido:</t>
    </r>
    <r>
      <rPr>
        <sz val="12"/>
        <color theme="1"/>
        <rFont val="Calibri"/>
        <family val="2"/>
        <scheme val="minor"/>
      </rPr>
      <t xml:space="preserve"> Aun no se ha hecho uso del CDR</t>
    </r>
  </si>
  <si>
    <t>070-2014</t>
  </si>
  <si>
    <t>Consorcio Coconuco</t>
  </si>
  <si>
    <t>Optimización y ampliación sistema de alcantarillado sanitario cabecera municipal de Coconuco municipio de Purace, departamento del Cauca</t>
  </si>
  <si>
    <t>20% de anticipo, el cual debe ser amortizado mediante actas parciales.</t>
  </si>
  <si>
    <t>Acta de suspensión N° 2 del 19 de mayo del año 2016</t>
  </si>
  <si>
    <t>Acta de inicio - Cuenta de cobro - Orden de pago N° 275</t>
  </si>
  <si>
    <t>Acta parcial de pago N° 1 - Factura de venta N° 3 por el valor de $1.278´963.995 - Orden de pago N° 300 (Factura cancelada por los CDRs 304 y 8)</t>
  </si>
  <si>
    <t>Acta parcial de pago N° 2 - Factura de venta N° 6 por el valor de $707´389.773 - Orden de pago N° 336 (Factura cancelada por los CDRs 304 y 8)</t>
  </si>
  <si>
    <t>024-2015</t>
  </si>
  <si>
    <t>Union Temporal Triple a Suroccidente</t>
  </si>
  <si>
    <t>Elaboración de los estudios y diseños para la disposición final de los residuos solidos en la cabecera municipal de Lopez de Micay - Cauca.</t>
  </si>
  <si>
    <t>El valor del contrato será pagado mediante actas parciales, pagadas de conformidad con el avance de la consultoría que se esta ejecutando, Emcaservicios dará hasta el 10% del valor del contrato como anticipo, el ultimo pago se efectuara con el acta de liquidación y no podra ser inferior al 10% del valor del contrato</t>
  </si>
  <si>
    <t>Acta de recibo a entera satisfacción N° 1 y final contrato de consultoría N° 024-2015 del 27 de enero del año 2017</t>
  </si>
  <si>
    <t>Acta de inicio - Cuenta de cobro - Orden de pago N° 321</t>
  </si>
  <si>
    <t>Acta de pago N° 1 - Factura de venta N° 3 - Orden de pago N° 420</t>
  </si>
  <si>
    <t>Acta de pago N° 2 - Factura de venta N° 12 - Orden de pago N° 27</t>
  </si>
  <si>
    <r>
      <rPr>
        <b/>
        <sz val="12"/>
        <color theme="1"/>
        <rFont val="Calibri"/>
        <family val="2"/>
        <scheme val="minor"/>
      </rPr>
      <t>Contrato terminado sin liquidar:</t>
    </r>
    <r>
      <rPr>
        <sz val="12"/>
        <color theme="1"/>
        <rFont val="Calibri"/>
        <family val="2"/>
        <scheme val="minor"/>
      </rPr>
      <t xml:space="preserve"> Una vez se liquide el contrato, se debe proceder con la liberación del valor  $2´490.995 del CDR 4 con fuente SGP Lopez de Micay</t>
    </r>
  </si>
  <si>
    <t>033-2015</t>
  </si>
  <si>
    <t>Analisis Ambiental Ltda</t>
  </si>
  <si>
    <t>Elaboración del análisis de factibilidad de tecnologías de disposición final de residuos solidos para el municipio de Guapi y elaboración de estudios y diseños de la alternativa seleccionada</t>
  </si>
  <si>
    <t>El valor del contrato será pagado mediante actas parciales pagadas de conformidad con el avance de la consultoría que se esta ejecutando, Emcaservicios entregara hasta el 10% del valor del contrato como anticipo, el ultimo pago se efectuara con el acta de liquidación y no podrá ser inferior al 10% del valor del contrato.</t>
  </si>
  <si>
    <t>Acta de suspensión N° 2 del 13 de mayo del año 2017</t>
  </si>
  <si>
    <t>Acta de inicio - Cuenta de cobro  - Orden de pago N° 412</t>
  </si>
  <si>
    <t>Acta parcial N° 1 - Factura de venta N° 3831 - Orden de pago N° 14</t>
  </si>
  <si>
    <r>
      <t>Contrato Suspendido:</t>
    </r>
    <r>
      <rPr>
        <sz val="12"/>
        <color theme="1"/>
        <rFont val="Calibri"/>
        <family val="2"/>
        <scheme val="minor"/>
      </rPr>
      <t xml:space="preserve"> Aun no se puede determinar el valor neto a liberar hasta tanto el contrato no se liquide. </t>
    </r>
  </si>
  <si>
    <t>043-2015</t>
  </si>
  <si>
    <t>Ronald Edison Ceron</t>
  </si>
  <si>
    <t>Realizar interventoria administrativa, financiera, social y ambiental del contrato de consultoria elaboracion de estudios y diseños para la disposicion final de residuos solidos en la cabecera municipal de Lopez de Micay</t>
  </si>
  <si>
    <t xml:space="preserve">10% de anticipoque debera ser amortizado por cada acta parcial, actas que deberan ser autorizadas por cada supervisor  y pago según acta final </t>
  </si>
  <si>
    <t>suspendido</t>
  </si>
  <si>
    <t>Acta de suspensión N° 6 del 27 de enero del año 2017</t>
  </si>
  <si>
    <t>Acta de pago de Interventoría N° 1 - Cuenta de cobro - Orden de pago N° 432</t>
  </si>
  <si>
    <t>051-2015</t>
  </si>
  <si>
    <t>Emquilichao E.S.P</t>
  </si>
  <si>
    <t>Construccion de acueducto y terminacion de planta de tratamiento convencional interveredal Quinamayo Alegrias Santander de Quilichao.</t>
  </si>
  <si>
    <t xml:space="preserve">50% DEL VALOR DEL CONTRATO COMO ANTICIPO, LO DEMAS EN ACTAS APROVADOS POR EL INTERVENTOR </t>
  </si>
  <si>
    <t>Acta de inicio - Cuenta de cobro - Orden de pago N° 418</t>
  </si>
  <si>
    <t>Otro sí N° 2 del 24 de junio del año 2016</t>
  </si>
  <si>
    <t>Falta: Las actas N° 1 y N° 2, con sus respectivas facturas y ordenes de pago</t>
  </si>
  <si>
    <r>
      <rPr>
        <b/>
        <sz val="12"/>
        <color theme="1"/>
        <rFont val="Calibri"/>
        <family val="2"/>
        <scheme val="minor"/>
      </rPr>
      <t xml:space="preserve">Contrato En Ejecución: </t>
    </r>
    <r>
      <rPr>
        <sz val="12"/>
        <color theme="1"/>
        <rFont val="Calibri"/>
        <family val="2"/>
        <scheme val="minor"/>
      </rPr>
      <t>Aun no se puede determinar si hay saldos a liberar, hasta tanto el contrato no se liquide.</t>
    </r>
  </si>
  <si>
    <t>Consorcio Bolivar 2015</t>
  </si>
  <si>
    <t>Realizar interventoria tecnica, administrativa, financiera, social y ambiental del contrato de obra: "Construccion obras de optimizacion y ampliacion del sistema de alcantarillado sanitario y pluvial de la cabecera municipal de Bolivar Cauca"</t>
  </si>
  <si>
    <t>120-2015</t>
  </si>
  <si>
    <t>10% anticipo  y Actas parciales</t>
  </si>
  <si>
    <t>Acta de suspensión N° 3 del 28 de julio del año 2017</t>
  </si>
  <si>
    <t>Acta de inicio - Cuenta de cobro - Orden de pago N° 372</t>
  </si>
  <si>
    <t>Acta parcial de interventoría N° 1 - Factura de Venta N° 2 - Orden de pago N° 23</t>
  </si>
  <si>
    <t>FACT V 53 CTO 40-2015 R-6244 HONORARIOS, ACTA PARCIAL 1</t>
  </si>
  <si>
    <t>solicitud de adición de recursos</t>
  </si>
  <si>
    <t>Interventoría a la obra civíl y sumininistro - obras relacionadas a la construcción planta de tratamiento de agua potable acueducto del Saladito municipio de Timbio. - Cto 40/15 - CDR309 (28-08-14)</t>
  </si>
  <si>
    <t>76309969</t>
  </si>
  <si>
    <t>JOSÉ FERNANDO CASTILLO CAÑADA</t>
  </si>
  <si>
    <t>FACT 07 CTO DE OBRA</t>
  </si>
  <si>
    <t>FACT 03 DEL CTO 22 2015</t>
  </si>
  <si>
    <t>CTA DE COBRO 1 ANTICIPO 40%</t>
  </si>
  <si>
    <t>NACION FACT 07 CTO DE OBRA</t>
  </si>
  <si>
    <t>NACION FACT 03 DEL CTO 22 2015</t>
  </si>
  <si>
    <t>NACION CTA DE COBRO 1 ANTICIPO 40%</t>
  </si>
  <si>
    <t>SGP FACT 07 CTO DE OBRA</t>
  </si>
  <si>
    <t>SGP FACT 03 DEL CTO 22 2015</t>
  </si>
  <si>
    <t>SGP CTA DE COBRO 1 ANTICIPO 40%</t>
  </si>
  <si>
    <t>Construcción Planta de Tratamiento de Agua Potable Acueducto El Saladito Municipio de Timbio Cauca,- Cto 22/15 - CDR 7 y 308 (28/08/14)</t>
  </si>
  <si>
    <t>CONSORCIO SM</t>
  </si>
  <si>
    <t>022-2015</t>
  </si>
  <si>
    <t>040-2015</t>
  </si>
  <si>
    <t>Otro sí del 5 de sept. De 2017</t>
  </si>
  <si>
    <r>
      <rPr>
        <b/>
        <sz val="12"/>
        <rFont val="Calibri"/>
        <family val="2"/>
        <scheme val="minor"/>
      </rPr>
      <t>Contrato en Ejecución:</t>
    </r>
    <r>
      <rPr>
        <sz val="12"/>
        <rFont val="Calibri"/>
        <family val="2"/>
        <scheme val="minor"/>
      </rPr>
      <t xml:space="preserve"> NO SE PUEDEN LIBERAR SALDOS TODAVÍA</t>
    </r>
  </si>
  <si>
    <r>
      <rPr>
        <b/>
        <sz val="12"/>
        <rFont val="Calibri"/>
        <family val="2"/>
        <scheme val="minor"/>
      </rPr>
      <t xml:space="preserve">Contrato en Ejecución: </t>
    </r>
    <r>
      <rPr>
        <sz val="12"/>
        <rFont val="Calibri"/>
        <family val="2"/>
        <scheme val="minor"/>
      </rPr>
      <t>NO SE PUEDEN LIBERAR SALDOS TODAVÍA</t>
    </r>
  </si>
  <si>
    <t>2,222,345.07</t>
  </si>
  <si>
    <t>PAGO N1 CTO 107-2015 INTERVENTORIA CDR 15 R-8041</t>
  </si>
  <si>
    <t>357,526.46</t>
  </si>
  <si>
    <t>CTA COBRO 1 DEL CTO 107 2015</t>
  </si>
  <si>
    <t>1,898,557.07</t>
  </si>
  <si>
    <t>PAGO 1 CTO 107-2015 INTERVENTORIA CDR 15 R-8042</t>
  </si>
  <si>
    <t>41,089.37</t>
  </si>
  <si>
    <t>PAGO 1 CTO 107-2015 INTERVENTORIA CDR 5 R-8037</t>
  </si>
  <si>
    <t>3,021,673.24</t>
  </si>
  <si>
    <t>PAGO 1 CTO 107-2015 INTERVENTORIA CDR 5 R-8038</t>
  </si>
  <si>
    <t>1,793,658.07</t>
  </si>
  <si>
    <t>PAGO 1 CTO 107-2015 INTERVENTORIA CDR 8 R-8044</t>
  </si>
  <si>
    <t>236,105.67</t>
  </si>
  <si>
    <t>237,850.72</t>
  </si>
  <si>
    <t>1,419,605.07</t>
  </si>
  <si>
    <t>PAGO 1 CTO 107-2015 INTERVENTORIA CDR 6 R-8040</t>
  </si>
  <si>
    <t>456,130.07</t>
  </si>
  <si>
    <t>PAGO 1 CTO 107-2015 INTERVENTORIA CDR 7 R-8039</t>
  </si>
  <si>
    <t>3,121,862.07</t>
  </si>
  <si>
    <t>CTA COBRO 2 CTO 107 2015 PAGO 1 CDR 17 R8043</t>
  </si>
  <si>
    <t>CTA COBRO 1 DEL CTO DEL CTO 107 2015</t>
  </si>
  <si>
    <t>Acta de suspensión N° 3 del 17 de junio de 2016</t>
  </si>
  <si>
    <t>Interventoría Formulación y/o ajuste PSMV Argelia, Cauca - Cto 107/15 - CDR 17 (26/05/15)</t>
  </si>
  <si>
    <t>10.301.085-4</t>
  </si>
  <si>
    <t>FELIPE ANDRÉS YANZA NARVÁEZ</t>
  </si>
  <si>
    <t>107-2015</t>
  </si>
  <si>
    <r>
      <rPr>
        <b/>
        <sz val="12"/>
        <rFont val="Calibri"/>
        <family val="2"/>
        <scheme val="minor"/>
      </rPr>
      <t xml:space="preserve">CONTRATO SUSPENDIDO: </t>
    </r>
    <r>
      <rPr>
        <sz val="12"/>
        <rFont val="Calibri"/>
        <family val="2"/>
        <scheme val="minor"/>
      </rPr>
      <t>NO SE PUEDEN LIBERAR SALDOS</t>
    </r>
  </si>
  <si>
    <t>126-2015</t>
  </si>
  <si>
    <t>Diciembre - Soportes escaneados</t>
  </si>
  <si>
    <t>interventoria tecnica, administrativa, financiera, ambiental y social al siguiente contrato de Consultoria: realizar la formulacion y/o ajustes del plan de saneamiento y manejo de vertimientos - PSMV, para los municipios de Timbio, Buenos Aires, Inza, Piamonte, Suarez, Lopez de Micay, Guapi, Cajibio, Piendamo y del programa de ahorro y uso eficiente del agua - PUEAA, para los municipios de Cajibio y Piendamo en el departamento del Cauca.</t>
  </si>
  <si>
    <t>Felipe Andres Yanza Narvaez</t>
  </si>
  <si>
    <t>10% de anticipo, el valor del contrato será pagado mediante actas parciales.</t>
  </si>
  <si>
    <t>Acta de suspensión N° 03 del 01 de julio del año 2016</t>
  </si>
  <si>
    <r>
      <rPr>
        <b/>
        <sz val="12"/>
        <color theme="1"/>
        <rFont val="Calibri"/>
        <family val="2"/>
        <scheme val="minor"/>
      </rPr>
      <t>Contrato Suspendido:</t>
    </r>
    <r>
      <rPr>
        <sz val="12"/>
        <color theme="1"/>
        <rFont val="Calibri"/>
        <family val="2"/>
        <scheme val="minor"/>
      </rPr>
      <t xml:space="preserve"> Aun no se puede determinar el valor del saldo a liberar, hasta tanto el contrato no se liquide.</t>
    </r>
  </si>
  <si>
    <t>Acta de Inicio - Cuenta de cobro - Orden de pago N° 297 correspondiente a anticipo</t>
  </si>
  <si>
    <t>Acta N° 1 - Cuenta de cobro - Orden de pago</t>
  </si>
  <si>
    <t>Acta N° 2 - Cuenta de cobro - Orden de pago</t>
  </si>
  <si>
    <t>127-2015</t>
  </si>
  <si>
    <t>Realizar obras de rehabilitacion de los acueductos de la cabecera municipal y centro poblado el Carmelo en el municipio de Santa Rosa - Departamento del Cauca.</t>
  </si>
  <si>
    <t>50% anticipo y actas parciales</t>
  </si>
  <si>
    <t>129-2015</t>
  </si>
  <si>
    <t xml:space="preserve">Consorcio Haw Jambalo </t>
  </si>
  <si>
    <t>Realizar las obras del sistema de acueducto interveredal y obras de optimizacion tanque de almacenamiento zona baja Jambalo</t>
  </si>
  <si>
    <t>20% anticipo y actas parciales</t>
  </si>
  <si>
    <r>
      <rPr>
        <b/>
        <sz val="12"/>
        <rFont val="Calibri"/>
        <family val="2"/>
        <scheme val="minor"/>
      </rPr>
      <t>Contrato liquidado y pagado:</t>
    </r>
    <r>
      <rPr>
        <sz val="12"/>
        <rFont val="Calibri"/>
        <family val="2"/>
        <scheme val="minor"/>
      </rPr>
      <t xml:space="preserve"> Se puede liberar el valor de $10´410.079 del CDR 4 de fuente SGP Santa Rosa</t>
    </r>
  </si>
  <si>
    <t>Acta de inicio - Cuenta de cobro - Orden de pago N° 436 pago de anticipo</t>
  </si>
  <si>
    <t>Acta unica y final N° 1 - Factura de venta N° 138 - Orden de pago N° 41</t>
  </si>
  <si>
    <t>Acta de liquidación del 17 de julio del año 2017</t>
  </si>
  <si>
    <t>111-2015</t>
  </si>
  <si>
    <t>Ingenieros Consultores S.A.</t>
  </si>
  <si>
    <t>Interventoría técnica, administrativa, financiera, social y ambiental del siguiente contrato de obra: "Construcción y optimización sistema de acueducto: Veredas La Playa, Soto, La Luz, Buena Vista y la Laguna municipio de Toribio"</t>
  </si>
  <si>
    <t>El valor del contrato se pagará mediante actas parciales y se dará hasta un 10% de anticipo.</t>
  </si>
  <si>
    <t>Acta de suspensión N° 02 del 19 de octubre del año 2016</t>
  </si>
  <si>
    <r>
      <rPr>
        <b/>
        <sz val="12"/>
        <color theme="1"/>
        <rFont val="Calibri"/>
        <family val="2"/>
        <scheme val="minor"/>
      </rPr>
      <t xml:space="preserve">Contrato Suspendido: </t>
    </r>
    <r>
      <rPr>
        <sz val="12"/>
        <color theme="1"/>
        <rFont val="Calibri"/>
        <family val="2"/>
        <scheme val="minor"/>
      </rPr>
      <t>Aun no se puede determinar el valor del saldo a liberar, hasta tanto el contrato no se liquide.</t>
    </r>
  </si>
  <si>
    <t>Acta de inicio - Cuenta de cobro - Orden de pago N° 416</t>
  </si>
  <si>
    <t>Acta parcial de pago N° 1 - Factura de venta N° 1350 - Orden de pago N° 453</t>
  </si>
  <si>
    <t>Acta parcial de pago N° 2 - Factura de venta N° 1352 - Orden de pago N° 603</t>
  </si>
  <si>
    <t>Acta de inicio - Cuenta de cobro - Orden de pago N° 423 (Cuenta cancelada por los CDRs 7 y 324)</t>
  </si>
  <si>
    <t>Acta parcial N° 1 - Factura de venta N° 005 por el valor de $1.063´599.482 - Orden de pago N° 3 (Factura cancelada por los CDRs 7 y 324)</t>
  </si>
  <si>
    <t>Acta parcial N° 2 - Factura de venta N° 007 por el valor de $890´940.138 - Orden de pago N° 19 (Factura cancelada por los CDRs 7 y 324)</t>
  </si>
  <si>
    <t>Acta parcial N° 3 - Factura de venta N° 009 por el valor de $458´480.304 - Orden de pago N° 36 (Factura cancelada por los CDRs 7 y 324)</t>
  </si>
  <si>
    <r>
      <rPr>
        <b/>
        <sz val="12"/>
        <rFont val="Calibri"/>
        <family val="2"/>
        <scheme val="minor"/>
      </rPr>
      <t xml:space="preserve">CONTRATO EN EJECUCIÓN: </t>
    </r>
    <r>
      <rPr>
        <sz val="12"/>
        <rFont val="Calibri"/>
        <family val="2"/>
        <scheme val="minor"/>
      </rPr>
      <t>EL PORTAL FIA PRESENTA INCONSISTENCIA, NO APARECE EL PAGO POR $176.634.633, FUENTE NACION (ACTA 3)</t>
    </r>
  </si>
  <si>
    <t>110-2015</t>
  </si>
  <si>
    <t>Consorcio Minimos Ambientales 2'15-II</t>
  </si>
  <si>
    <t>Realizar la formulación y/o ajuste del plan de saneamiento y manejo de vertimientos - PSMV, para los municipios de Buenos Aires, Inzá, Piamonte, Suarez, Lopez de Micay, Guapi, Cajibio, Piendamo y del programa de ahorro y uso eficiente del agua - PUEAA, para el municipio de Cajibio en el departamento del Cauca</t>
  </si>
  <si>
    <t>Acta de suspensión N° 3 del 01 de julio del año 2016</t>
  </si>
  <si>
    <t>Acta de inicio - Cuenta de Cobro - Orden de pago N° 411 por $45´831.441 correspondiente al 10% del valor del contrato</t>
  </si>
  <si>
    <t>Acta N° 1 - Factura de venta N° 4 - Orden de pago N° 453</t>
  </si>
  <si>
    <t>Acta N° 1 - Factura de venta N° 4 - Orden de pago N° 458</t>
  </si>
  <si>
    <t>Acta N° 1 - Factura de venta N° 4 - Orden de pago N° 452</t>
  </si>
  <si>
    <t>Acta N° 1 - Factura de venta N° 4 - Orden de pago N° 454</t>
  </si>
  <si>
    <t>Acta N° 1 - Factura de venta N° 4 - Orden de pago N° 457</t>
  </si>
  <si>
    <t>Acta N° 1 - Factura de venta N° 4 - Orden de pago N° 456</t>
  </si>
  <si>
    <t>Acta N° 1 - Factura de venta N° 4 - Orden de pago N° 459</t>
  </si>
  <si>
    <t>Acta N° 1 - Factura de venta N° 4 - Orden de pago N° 462</t>
  </si>
  <si>
    <t>Acta N° 1 - Factura de venta N° 4 - Orden de pago N° 455</t>
  </si>
  <si>
    <t>Acta N° 2 - Factura de venta N° 3 - Orden de pago N° 471</t>
  </si>
  <si>
    <t>Acta N° 2 - Factura de venta N° 3 - Orden de pago N° 468</t>
  </si>
  <si>
    <t>Acta N° 2 - Factura de venta N° 3 - Orden de pago N° 463</t>
  </si>
  <si>
    <t>Acta N° 2 - Factura de venta N° 3 - Orden de pago N° 464</t>
  </si>
  <si>
    <t>Acta N° 2 - Factura de venta N° 3 - Orden de pago N° 470</t>
  </si>
  <si>
    <t>Acta N° 2 - Factura de venta N° 3 - Orden de pago N° 467</t>
  </si>
  <si>
    <t>Acta N° 2 - Factura de venta N° 3 - Orden de pago N° 469</t>
  </si>
  <si>
    <t>Acta N° 2 - Factura de venta N° 3 - Orden de pago N° 465</t>
  </si>
  <si>
    <t>Acta N° 2 - Factura de venta N° 3 - Orden de pago N° 466</t>
  </si>
  <si>
    <t>Contrato Suspendido: Aun no se puede determinar el valor del saldo a liberar, hasta tanto el contrato no se liquide.</t>
  </si>
  <si>
    <t xml:space="preserve">La Vega </t>
  </si>
  <si>
    <t xml:space="preserve">Puerto Tejada </t>
  </si>
  <si>
    <t xml:space="preserve">Patía </t>
  </si>
  <si>
    <t xml:space="preserve">Caloto </t>
  </si>
  <si>
    <t xml:space="preserve">Inzá </t>
  </si>
  <si>
    <t xml:space="preserve">Sotará </t>
  </si>
  <si>
    <t xml:space="preserve">Puracé </t>
  </si>
  <si>
    <t xml:space="preserve">Mercaderes </t>
  </si>
  <si>
    <t xml:space="preserve">Jambaló </t>
  </si>
  <si>
    <t>Realizar la formulacion y/o ajustes del: Plan de saneamineto y manejo de vertimientos - PSMV, para los municipios de: Argelia, Mercaderes, Patia, Jambalo, Puerto Tejada, Caloto y La Vega; y el programa de ahorro y uso eficiente de agua -PUEAA, Para los municipios de: Mercaderes, Purace, Inza y Sotara en el departamento del Cauca.</t>
  </si>
  <si>
    <t xml:space="preserve">Argelia </t>
  </si>
  <si>
    <t>054-2015</t>
  </si>
  <si>
    <r>
      <rPr>
        <b/>
        <sz val="12"/>
        <rFont val="Calibri"/>
        <family val="2"/>
        <scheme val="minor"/>
      </rPr>
      <t>Contrato suspendido:</t>
    </r>
    <r>
      <rPr>
        <sz val="12"/>
        <rFont val="Calibri"/>
        <family val="2"/>
        <scheme val="minor"/>
      </rPr>
      <t xml:space="preserve"> Aun no se puede determinar el valor total a liberar hasta tanto el contrato no se liquide. Se aprecia un saldo a liberar por no uso de los CDRs</t>
    </r>
  </si>
  <si>
    <t>Consorcio Ambiental 2015</t>
  </si>
  <si>
    <t>Acta de inicio - Cuenta de cobro - Orden de pago N° 346</t>
  </si>
  <si>
    <t>Acta N° 1 - Factura de venta N° 2 por el valor de $222´037.920 - Orden de pago N° 396</t>
  </si>
  <si>
    <t>Acta N° 1 - Factura de venta N° 2 por el valor de $222´037.920 - Orden de pago N° 387</t>
  </si>
  <si>
    <t>Acta N° 1 - Factura de venta N° 2 por el valor de $222´037.920 - Orden de pago N° 388</t>
  </si>
  <si>
    <t>Acta N° 1 - Factura de venta N° 2 por el valor de $222´037.920 - Orden de pago N° 395</t>
  </si>
  <si>
    <t>Acta N° 1 - Factura de venta N° 2 por el valor de $222´037.920 - Orden de pago N° 394</t>
  </si>
  <si>
    <t>Acta N° 1 - Factura de venta N° 2 por el valor de $222´037.920 - Orden de pago N° 393</t>
  </si>
  <si>
    <t>Acta N° 1 - Factura de venta N° 2 por el valor de $222´037.920 - Orden de pago N° 392A</t>
  </si>
  <si>
    <t>Acta N° 1 - Factura de venta N° 2 por el valor de $222´037.920 - Orden de pago N° 391</t>
  </si>
  <si>
    <t>Acta N° 1 - Factura de venta N° 2 por el valor de $222´037.920 - Orden de pago N° 392</t>
  </si>
  <si>
    <t>Acta N° 1 - Factura de venta N° 2 por el valor de $222´037.920 - Orden de pago N° 389</t>
  </si>
  <si>
    <t>Acta N° 1 - Factura de venta N° 2 por el valor de $222´037.920 - Orden de pago N° 390</t>
  </si>
  <si>
    <t>050-2015</t>
  </si>
  <si>
    <t>APC Acueducto Piendamo Morales Organización Autorizada</t>
  </si>
  <si>
    <t>Estudios y diseños ampliación del acueducto regional para la zona rural plana de la zona de morales, cabeceras de los municipios de Morales, Piendamo y centro poblado La Toma Suarez</t>
  </si>
  <si>
    <t>50% de anticipo, los pagos se haran según las actas de avance y recibo parcial</t>
  </si>
  <si>
    <t>Cuenta de cobro - Orden de pago N° 441</t>
  </si>
  <si>
    <t>Cuenta de cobro por el valor de $185´185.185 - Orden de pago N° 70 (Orden cancelada por los CDRs 8 y 13</t>
  </si>
  <si>
    <t>Acta parcial N° 1 - Factura de venta N° 22 - Orden de pago N° 69</t>
  </si>
  <si>
    <t>Otro Sí N° 5 del 7 de julio del año 2017</t>
  </si>
  <si>
    <r>
      <rPr>
        <b/>
        <sz val="12"/>
        <color theme="1"/>
        <rFont val="Calibri"/>
        <family val="2"/>
        <scheme val="minor"/>
      </rPr>
      <t>Contrato En ejecución</t>
    </r>
    <r>
      <rPr>
        <sz val="12"/>
        <color theme="1"/>
        <rFont val="Calibri"/>
        <family val="2"/>
        <scheme val="minor"/>
      </rPr>
      <t>: Aun no se puede determinar los valores a liberar hasta tanto el contrato no se liquide.</t>
    </r>
  </si>
  <si>
    <t>117-2015</t>
  </si>
  <si>
    <t>Realizar la interventoría técnica, administrativa, financiera, social y ambiental del siguiente contrato de Consultoría: "Elaboración de los ajustes del proyecto Construcción de obras de optimización del sistema de alcantarillado II Etapa - Municipio de Guapi - Departamento del Cauca"</t>
  </si>
  <si>
    <t>Edgar Felipe Zuñiga Paredes</t>
  </si>
  <si>
    <t>El valor del contrato se pagará mediante actas parciales de conformidad con el porcentaje de ejecucción del contrato intervenido</t>
  </si>
  <si>
    <t>Acta Parcial N° 1 - Factura de venta N° 202 - Orden de pago N° 23</t>
  </si>
  <si>
    <t>Otro Sí N° 1 del 19 de diciembre del año 2016</t>
  </si>
  <si>
    <r>
      <rPr>
        <b/>
        <sz val="12"/>
        <color theme="1"/>
        <rFont val="Calibri"/>
        <family val="2"/>
        <scheme val="minor"/>
      </rPr>
      <t xml:space="preserve">Contrato En ejecución: </t>
    </r>
    <r>
      <rPr>
        <sz val="12"/>
        <color theme="1"/>
        <rFont val="Calibri"/>
        <family val="2"/>
        <scheme val="minor"/>
      </rPr>
      <t>Aun no se puede determinar los valores a liberar hasta tanto el contrato no se liquide.</t>
    </r>
  </si>
  <si>
    <t>121-2015</t>
  </si>
  <si>
    <t>Realizar la interventoría técnica, administrativa, financiera, social y ambiental del siguiente contrato de Obra: "Construcción acueducto y terminación planta de tratamiento convencional interveredal Quinamayo - Alegrías Santander de Quilichao"</t>
  </si>
  <si>
    <t>Consorcio Planta Santander</t>
  </si>
  <si>
    <t>Acta de suspensión N° 1 del 24 de junio del año 2017</t>
  </si>
  <si>
    <t>Acta de pago parcial N° 1 - Factura de venta N° 002 - Orden de pago N° 72</t>
  </si>
  <si>
    <r>
      <rPr>
        <b/>
        <sz val="12"/>
        <color theme="1"/>
        <rFont val="Calibri"/>
        <family val="2"/>
        <scheme val="minor"/>
      </rPr>
      <t xml:space="preserve">Contrato suspendido: </t>
    </r>
    <r>
      <rPr>
        <sz val="12"/>
        <color theme="1"/>
        <rFont val="Calibri"/>
        <family val="2"/>
        <scheme val="minor"/>
      </rPr>
      <t>Aun no se puede determinar si hay saldos por liberar, hasta tanto el contrato no se liquide</t>
    </r>
  </si>
  <si>
    <t>019-2015</t>
  </si>
  <si>
    <t>Construcción obras complementarias tanque de almacenamiento del acueducto de la cabecera municipal de Suarez - Cauca, por el sistema de precios unitarios sin formula de reajuste de precios</t>
  </si>
  <si>
    <t>El valor del contrato se pagará por medio de actas parciales, las cuales se suscribirán de conformidad con las cantidades efectivamente ejecutadas, aplicando para el efecto los precios unitarios propuestos, y se entregara hasta el 20% del valor del contrato a titulo de anticipo</t>
  </si>
  <si>
    <t>Acta de liquidación del 15 de julio del año 2015</t>
  </si>
  <si>
    <t>Acta de recibo parcial de obra N° 1 - Factura de venta N° 0115</t>
  </si>
  <si>
    <t>Acta de recibo final de obra - Factura de venta N° 0118</t>
  </si>
  <si>
    <r>
      <rPr>
        <b/>
        <sz val="12"/>
        <color theme="1"/>
        <rFont val="Calibri"/>
        <family val="2"/>
        <scheme val="minor"/>
      </rPr>
      <t xml:space="preserve">Contrato liquidado y pagado: </t>
    </r>
    <r>
      <rPr>
        <sz val="12"/>
        <color theme="1"/>
        <rFont val="Calibri"/>
        <family val="2"/>
        <scheme val="minor"/>
      </rPr>
      <t>No tiene CDRs - CDP N° 1002 del 28/11/2014 y CDP N° 12 del 07/01/2015</t>
    </r>
  </si>
  <si>
    <t>109-2015</t>
  </si>
  <si>
    <t>Elaboración de todos los ajustes y actualización de los diseños existentes del proyecto "Construcción y optimización acueducto Palo Blanco y nueve veredas III Etapa municipio de Buenos Aires"</t>
  </si>
  <si>
    <t>FACT DE VENTA 333 CTO 80 DE 2011 CONSULTORIA ACTA 3 Y FINAL CDR 174 NACION R 8350</t>
  </si>
  <si>
    <t>FRA AYA2 PAGO 2 FINAL CTO 107 2010 CDR 174 NACION R7758</t>
  </si>
  <si>
    <t>FRA AYA1 PAGO 2 ADICION 1 CTO 108 2010 CDR 174 NACION R7285</t>
  </si>
  <si>
    <t>FRA 0290 PAGO TOTAL CTO MINIMA CUANTIA 109 DE 2015 CDR 174 NACION R7116</t>
  </si>
  <si>
    <t>Acta de liquidación del 08 de agosto del año 2017</t>
  </si>
  <si>
    <r>
      <rPr>
        <b/>
        <sz val="12"/>
        <color theme="1"/>
        <rFont val="Calibri"/>
        <family val="2"/>
        <scheme val="minor"/>
      </rPr>
      <t>Contrato liquidado y pagado:</t>
    </r>
    <r>
      <rPr>
        <sz val="12"/>
        <color theme="1"/>
        <rFont val="Calibri"/>
        <family val="2"/>
        <scheme val="minor"/>
      </rPr>
      <t xml:space="preserve"> No hay saldos para liberar</t>
    </r>
  </si>
  <si>
    <t>Acta de pago N° 1 y final - Factura de venta N° 0290 - Orden de pago N° 57</t>
  </si>
  <si>
    <t>NO SE ENCUENTRA EL TOMO 1 DEL CONTRATO</t>
  </si>
  <si>
    <t>Consorcio Padilla NJG</t>
  </si>
  <si>
    <t>40% ANTICIPO Y ACTAS PARCIALES</t>
  </si>
  <si>
    <t>Obra</t>
  </si>
  <si>
    <t>Construccion y optimizacion sistema de acueducto: veredas la Playa, Soto, La Luz, Buena Vista y la Laguna del municipio de Toribio.</t>
  </si>
  <si>
    <t>Consorcio Buena Vista</t>
  </si>
  <si>
    <t>116-2015</t>
  </si>
  <si>
    <t>Realizar la interventoria tecnica administrativa, financiera, social y ambiental del contrato de consultoria cuyo objeto es elaboracion del analisis de factibilidad de tecnologias de disposicion final de residuos solidos para el municipio de Guapi y elaboracion de estudios y diseños de la alternativa seleccionada.</t>
  </si>
  <si>
    <t>Ronald Edinson Ceron</t>
  </si>
  <si>
    <t>113-2015</t>
  </si>
  <si>
    <t>FALTA TOMO 3, NO HAY SOPORTES</t>
  </si>
  <si>
    <t>Realizar interventoria tecnica, administrativa, financiera, social y ambiental del contrato de obra "Construccion sistema de acueducto interveredal y obras de optimizacion tanque de almacenamiento zona baja Municipio de Jambalo</t>
  </si>
  <si>
    <t>Consorcio Jambalo 2015</t>
  </si>
  <si>
    <t>112-2015</t>
  </si>
  <si>
    <t>Acta de suspensión N° 3 del 11 de octubre del año 2017</t>
  </si>
  <si>
    <r>
      <rPr>
        <b/>
        <sz val="12"/>
        <color theme="1"/>
        <rFont val="Calibri"/>
        <family val="2"/>
        <scheme val="minor"/>
      </rPr>
      <t>Contrato suspendido:</t>
    </r>
    <r>
      <rPr>
        <sz val="12"/>
        <color theme="1"/>
        <rFont val="Calibri"/>
        <family val="2"/>
        <scheme val="minor"/>
      </rPr>
      <t xml:space="preserve"> NO SE PUEDEN LIBERAR SALDOS DE NINGUNO DE LOS 2 CDR's</t>
    </r>
  </si>
  <si>
    <t>Acta de inicio - Cuenta de cobro - Orden de pago N° 349</t>
  </si>
  <si>
    <t>Acta parcial N° 1 - Cuenta de cobro - Orden de pago N° 49</t>
  </si>
  <si>
    <t>042-2015</t>
  </si>
  <si>
    <t xml:space="preserve">Realizar la interventoria tecnica, administrativa, financiera, social y ambiental del contrato de obra Optimizacion del alcantarillado sanitario municipio de Padilla </t>
  </si>
  <si>
    <r>
      <rPr>
        <b/>
        <sz val="12"/>
        <color theme="1"/>
        <rFont val="Calibri"/>
        <family val="2"/>
        <scheme val="minor"/>
      </rPr>
      <t>CONTRATO SUSPENDIDO:</t>
    </r>
    <r>
      <rPr>
        <sz val="12"/>
        <color theme="1"/>
        <rFont val="Calibri"/>
        <family val="2"/>
        <scheme val="minor"/>
      </rPr>
      <t xml:space="preserve"> POR SUSPENSIÓN DE LA OBRA, EN TRAMITE DE ADICION</t>
    </r>
  </si>
  <si>
    <t>Acta de suspensión No. 3  del 22 de octubre de 2016</t>
  </si>
  <si>
    <t>Acta de inicio - Cuenta de cobro - Orden de pago N° 335</t>
  </si>
  <si>
    <t>Acta de recibo parcial N° 1 - Factura de Venta N° 002 - Orden de pago N° 352</t>
  </si>
  <si>
    <t>Acta de recibo parcial N° 2 - Factura de Venta N° 003 - Orden de pago N° 372</t>
  </si>
  <si>
    <t>Acta de recibo parcial N° 3 - Factura de Venta N° 005 - Orden de pago N° 442</t>
  </si>
  <si>
    <t>Acta de recibo parcial N° 4 - Factura de Venta N° 009 - Orden de pago N° 600</t>
  </si>
  <si>
    <t>Acta de suspensión N° 2 del 10 de octubre del año 2016</t>
  </si>
  <si>
    <t>Acta de inicio - Cuenta de cobro - Orden de pago N° 371 (Cuenta cancelada por los CDRs 5 y 316)</t>
  </si>
  <si>
    <t>Acta de pago N° 1 - Factura de venta N° 06 por el valor de $1.068´926.682 (Factura cancelada por los CDRs 5 y 316)</t>
  </si>
  <si>
    <t>Acta de pago N° 2 - Factura de venta N° 07 por el valor de $1.970´140.081 - Orden de pago N° 449 (Factura cancelada por los CDRs 5 y 316)</t>
  </si>
  <si>
    <r>
      <rPr>
        <b/>
        <sz val="12"/>
        <rFont val="Calibri"/>
        <family val="2"/>
        <scheme val="minor"/>
      </rPr>
      <t>Contrato Suspendido:</t>
    </r>
    <r>
      <rPr>
        <sz val="12"/>
        <rFont val="Calibri"/>
        <family val="2"/>
        <scheme val="minor"/>
      </rPr>
      <t xml:space="preserve"> Aun no se puede liberar dinero de los CDRs hasta que el contrato no se liquide</t>
    </r>
  </si>
  <si>
    <t>Falta orden de pago del acta N° 1</t>
  </si>
  <si>
    <r>
      <rPr>
        <b/>
        <u/>
        <sz val="12"/>
        <color theme="6" tint="-0.249977111117893"/>
        <rFont val="Calibri"/>
        <family val="2"/>
        <scheme val="minor"/>
      </rPr>
      <t>19 - 22 - 24 - 33 - 40 - 42 - 43 - 50 - 51 - 54 - 107 - 109 - 110 - 111 - 112 - 113 - 116 - 117</t>
    </r>
    <r>
      <rPr>
        <sz val="12"/>
        <color theme="1"/>
        <rFont val="Calibri"/>
        <family val="2"/>
        <scheme val="minor"/>
      </rPr>
      <t xml:space="preserve"> - 118 - 119 </t>
    </r>
    <r>
      <rPr>
        <b/>
        <u/>
        <sz val="12"/>
        <color theme="6" tint="-0.249977111117893"/>
        <rFont val="Calibri"/>
        <family val="2"/>
        <scheme val="minor"/>
      </rPr>
      <t xml:space="preserve">- 120 - 121 - 126 - 127 - 129 </t>
    </r>
  </si>
  <si>
    <t>10% de anticipo</t>
  </si>
  <si>
    <t>NO SE PUEDEN LIBERAR SALDOS DE NINGUNO DE LOS 2 CDR's</t>
  </si>
  <si>
    <t>OSCAR ALBERTO QUINTANA BOLAÑOS</t>
  </si>
  <si>
    <t xml:space="preserve">interventoria administrativa financiera tecnica y ambiental a los siguientes proyectos 1 diseño acueducto interveredal el palmar santander de quilichao 2 diseño acueducto interveredal zona norte de santander de quilichao 3 diseño acueducto interveredal munchique parte baja santander paramillo cabecera municipal de guachene </t>
  </si>
  <si>
    <t>40% ANTICIPO CONTRATO DE OBRA 048 DE 2010, -MUNCIPIO SANTANDER DE QUILICHAO -MUNCIPIO DE GUACHENE</t>
  </si>
  <si>
    <t>CTA COBRO 2 DEL CONTRATO DE PRESTACION DE SERVICIOS # 048-2010</t>
  </si>
  <si>
    <t>CTA COBRO 2 DEL CONTRATO DE PRESATACION DE SERVICIOS # 048-2010</t>
  </si>
  <si>
    <t>PAGO ANTICIPO DEL 40% DEL CONTRATO NO,048 DE 2010 - INTERVENTORIA DISEÑO ALCANTARILLADO CABECERA MUNICIPAL DE GUACHENE-CAUCA</t>
  </si>
  <si>
    <t>PAGO FUENTE SGP FRA 01, PAGO ACTA PARCIAL # 1 DEL CONTRATO DE INTERVENTORIA # 048-2010</t>
  </si>
  <si>
    <t>PAGO FUENTE NACION FRA 01, PAGO ACTA PARCIAL # 1 DEL CONTRATO DE INTERVENTORIA # 048-2010</t>
  </si>
  <si>
    <t>CTACOBRO 1 - 02/01/13 PAGO ACTA PARCIAL # 1 DEL CONTRATO DE INTERVENTORIA #</t>
  </si>
  <si>
    <t>CTACOBRO 1 -02/01/13 PAGO ACTA PARCIAL # 1 DEL CONTRATO DE INTERVENTORIA #</t>
  </si>
  <si>
    <t>048-2010</t>
  </si>
  <si>
    <r>
      <rPr>
        <b/>
        <sz val="12"/>
        <color rgb="FFFF0000"/>
        <rFont val="Calibri"/>
        <family val="2"/>
        <scheme val="minor"/>
      </rPr>
      <t>4</t>
    </r>
    <r>
      <rPr>
        <sz val="12"/>
        <rFont val="Calibri"/>
        <family val="2"/>
        <scheme val="minor"/>
      </rPr>
      <t xml:space="preserve"> </t>
    </r>
    <r>
      <rPr>
        <b/>
        <sz val="12"/>
        <color rgb="FFFF0000"/>
        <rFont val="Calibri"/>
        <family val="2"/>
        <scheme val="minor"/>
      </rPr>
      <t>- 5 - 6</t>
    </r>
    <r>
      <rPr>
        <sz val="12"/>
        <rFont val="Calibri"/>
        <family val="2"/>
        <scheme val="minor"/>
      </rPr>
      <t xml:space="preserve"> -</t>
    </r>
    <r>
      <rPr>
        <b/>
        <u/>
        <sz val="12"/>
        <color theme="6" tint="-0.249977111117893"/>
        <rFont val="Calibri"/>
        <family val="2"/>
        <scheme val="minor"/>
      </rPr>
      <t xml:space="preserve"> 7 - 8 </t>
    </r>
    <r>
      <rPr>
        <sz val="12"/>
        <rFont val="Calibri"/>
        <family val="2"/>
        <scheme val="minor"/>
      </rPr>
      <t xml:space="preserve">- </t>
    </r>
    <r>
      <rPr>
        <b/>
        <sz val="12"/>
        <color rgb="FFFF0000"/>
        <rFont val="Calibri"/>
        <family val="2"/>
        <scheme val="minor"/>
      </rPr>
      <t>9 - 10</t>
    </r>
    <r>
      <rPr>
        <sz val="12"/>
        <rFont val="Calibri"/>
        <family val="2"/>
        <scheme val="minor"/>
      </rPr>
      <t xml:space="preserve"> </t>
    </r>
    <r>
      <rPr>
        <b/>
        <u/>
        <sz val="12"/>
        <color rgb="FFFFC000"/>
        <rFont val="Calibri"/>
        <family val="2"/>
        <scheme val="minor"/>
      </rPr>
      <t>-</t>
    </r>
    <r>
      <rPr>
        <b/>
        <u/>
        <sz val="12"/>
        <color theme="6" tint="-0.249977111117893"/>
        <rFont val="Calibri"/>
        <family val="2"/>
        <scheme val="minor"/>
      </rPr>
      <t xml:space="preserve"> 11 - 12 - 13</t>
    </r>
    <r>
      <rPr>
        <sz val="12"/>
        <color theme="6" tint="-0.249977111117893"/>
        <rFont val="Calibri"/>
        <family val="2"/>
        <scheme val="minor"/>
      </rPr>
      <t xml:space="preserve"> </t>
    </r>
    <r>
      <rPr>
        <sz val="12"/>
        <rFont val="Calibri"/>
        <family val="2"/>
        <scheme val="minor"/>
      </rPr>
      <t xml:space="preserve">- </t>
    </r>
    <r>
      <rPr>
        <b/>
        <sz val="12"/>
        <color rgb="FFFF0000"/>
        <rFont val="Calibri"/>
        <family val="2"/>
        <scheme val="minor"/>
      </rPr>
      <t>14 - 15</t>
    </r>
    <r>
      <rPr>
        <sz val="12"/>
        <rFont val="Calibri"/>
        <family val="2"/>
        <scheme val="minor"/>
      </rPr>
      <t xml:space="preserve"> </t>
    </r>
    <r>
      <rPr>
        <b/>
        <sz val="12"/>
        <color rgb="FFFF0000"/>
        <rFont val="Calibri"/>
        <family val="2"/>
        <scheme val="minor"/>
      </rPr>
      <t xml:space="preserve">- </t>
    </r>
    <r>
      <rPr>
        <b/>
        <u/>
        <sz val="12"/>
        <color theme="6" tint="-0.249977111117893"/>
        <rFont val="Calibri"/>
        <family val="2"/>
        <scheme val="minor"/>
      </rPr>
      <t>16</t>
    </r>
    <r>
      <rPr>
        <b/>
        <sz val="12"/>
        <color rgb="FFFF0000"/>
        <rFont val="Calibri"/>
        <family val="2"/>
        <scheme val="minor"/>
      </rPr>
      <t xml:space="preserve"> - 17</t>
    </r>
    <r>
      <rPr>
        <sz val="12"/>
        <rFont val="Calibri"/>
        <family val="2"/>
        <scheme val="minor"/>
      </rPr>
      <t xml:space="preserve"> </t>
    </r>
    <r>
      <rPr>
        <b/>
        <sz val="12"/>
        <color rgb="FFFF0000"/>
        <rFont val="Calibri"/>
        <family val="2"/>
        <scheme val="minor"/>
      </rPr>
      <t>- 18</t>
    </r>
    <r>
      <rPr>
        <sz val="12"/>
        <rFont val="Calibri"/>
        <family val="2"/>
        <scheme val="minor"/>
      </rPr>
      <t xml:space="preserve"> - </t>
    </r>
    <r>
      <rPr>
        <b/>
        <u/>
        <sz val="12"/>
        <color theme="6" tint="-0.249977111117893"/>
        <rFont val="Calibri"/>
        <family val="2"/>
        <scheme val="minor"/>
      </rPr>
      <t>19 - 20 - 21</t>
    </r>
    <r>
      <rPr>
        <sz val="12"/>
        <rFont val="Calibri"/>
        <family val="2"/>
        <scheme val="minor"/>
      </rPr>
      <t xml:space="preserve"> - </t>
    </r>
    <r>
      <rPr>
        <b/>
        <sz val="12"/>
        <color rgb="FFFF0000"/>
        <rFont val="Calibri"/>
        <family val="2"/>
        <scheme val="minor"/>
      </rPr>
      <t xml:space="preserve">22 - 23 </t>
    </r>
    <r>
      <rPr>
        <sz val="12"/>
        <rFont val="Calibri"/>
        <family val="2"/>
        <scheme val="minor"/>
      </rPr>
      <t>-</t>
    </r>
    <r>
      <rPr>
        <b/>
        <sz val="12"/>
        <color rgb="FFFF0000"/>
        <rFont val="Calibri"/>
        <family val="2"/>
        <scheme val="minor"/>
      </rPr>
      <t xml:space="preserve"> 24 </t>
    </r>
    <r>
      <rPr>
        <sz val="12"/>
        <rFont val="Calibri"/>
        <family val="2"/>
        <scheme val="minor"/>
      </rPr>
      <t>-</t>
    </r>
    <r>
      <rPr>
        <b/>
        <sz val="12"/>
        <color rgb="FFFF0000"/>
        <rFont val="Calibri"/>
        <family val="2"/>
        <scheme val="minor"/>
      </rPr>
      <t xml:space="preserve"> 25 </t>
    </r>
    <r>
      <rPr>
        <u/>
        <sz val="12"/>
        <color theme="6" tint="-0.249977111117893"/>
        <rFont val="Calibri"/>
        <family val="2"/>
        <scheme val="minor"/>
      </rPr>
      <t xml:space="preserve">- </t>
    </r>
    <r>
      <rPr>
        <b/>
        <u/>
        <sz val="12"/>
        <color theme="6" tint="-0.249977111117893"/>
        <rFont val="Calibri"/>
        <family val="2"/>
        <scheme val="minor"/>
      </rPr>
      <t>34</t>
    </r>
    <r>
      <rPr>
        <sz val="12"/>
        <rFont val="Calibri"/>
        <family val="2"/>
        <scheme val="minor"/>
      </rPr>
      <t xml:space="preserve"> -</t>
    </r>
    <r>
      <rPr>
        <b/>
        <sz val="12"/>
        <color rgb="FFFF0000"/>
        <rFont val="Calibri"/>
        <family val="2"/>
        <scheme val="minor"/>
      </rPr>
      <t xml:space="preserve"> 35</t>
    </r>
    <r>
      <rPr>
        <sz val="12"/>
        <rFont val="Calibri"/>
        <family val="2"/>
        <scheme val="minor"/>
      </rPr>
      <t xml:space="preserve">  - </t>
    </r>
    <r>
      <rPr>
        <b/>
        <sz val="12"/>
        <color rgb="FFFF0000"/>
        <rFont val="Calibri"/>
        <family val="2"/>
        <scheme val="minor"/>
      </rPr>
      <t>36</t>
    </r>
    <r>
      <rPr>
        <sz val="12"/>
        <rFont val="Calibri"/>
        <family val="2"/>
        <scheme val="minor"/>
      </rPr>
      <t xml:space="preserve"> </t>
    </r>
    <r>
      <rPr>
        <b/>
        <sz val="12"/>
        <color rgb="FFFF0000"/>
        <rFont val="Calibri"/>
        <family val="2"/>
        <scheme val="minor"/>
      </rPr>
      <t>- 37</t>
    </r>
    <r>
      <rPr>
        <sz val="12"/>
        <rFont val="Calibri"/>
        <family val="2"/>
        <scheme val="minor"/>
      </rPr>
      <t xml:space="preserve"> - </t>
    </r>
    <r>
      <rPr>
        <b/>
        <u/>
        <sz val="12"/>
        <color theme="6" tint="-0.249977111117893"/>
        <rFont val="Calibri"/>
        <family val="2"/>
        <scheme val="minor"/>
      </rPr>
      <t>38</t>
    </r>
    <r>
      <rPr>
        <u/>
        <sz val="12"/>
        <color theme="6" tint="-0.249977111117893"/>
        <rFont val="Calibri"/>
        <family val="2"/>
        <scheme val="minor"/>
      </rPr>
      <t xml:space="preserve"> </t>
    </r>
    <r>
      <rPr>
        <b/>
        <u/>
        <sz val="12"/>
        <color theme="6" tint="-0.249977111117893"/>
        <rFont val="Calibri"/>
        <family val="2"/>
        <scheme val="minor"/>
      </rPr>
      <t>- 39</t>
    </r>
    <r>
      <rPr>
        <u/>
        <sz val="12"/>
        <color theme="6" tint="-0.249977111117893"/>
        <rFont val="Calibri"/>
        <family val="2"/>
        <scheme val="minor"/>
      </rPr>
      <t xml:space="preserve"> </t>
    </r>
    <r>
      <rPr>
        <b/>
        <u/>
        <sz val="12"/>
        <color theme="6" tint="-0.249977111117893"/>
        <rFont val="Calibri"/>
        <family val="2"/>
        <scheme val="minor"/>
      </rPr>
      <t>-40 - 41 - 42 - 43 - 44 - 45 - 46 - 47 - 48 - 54 - 59 - 60 - 61 - 62 - 63 - 64 - 65</t>
    </r>
    <r>
      <rPr>
        <u/>
        <sz val="12"/>
        <color theme="6" tint="-0.249977111117893"/>
        <rFont val="Calibri"/>
        <family val="2"/>
        <scheme val="minor"/>
      </rPr>
      <t xml:space="preserve"> </t>
    </r>
    <r>
      <rPr>
        <b/>
        <u/>
        <sz val="12"/>
        <color theme="6" tint="-0.249977111117893"/>
        <rFont val="Calibri"/>
        <family val="2"/>
        <scheme val="minor"/>
      </rPr>
      <t>- 66 - 67 - 68 - 69 - 70 -</t>
    </r>
    <r>
      <rPr>
        <u/>
        <sz val="12"/>
        <color theme="6" tint="-0.249977111117893"/>
        <rFont val="Calibri"/>
        <family val="2"/>
        <scheme val="minor"/>
      </rPr>
      <t xml:space="preserve"> </t>
    </r>
    <r>
      <rPr>
        <b/>
        <u/>
        <sz val="12"/>
        <color theme="6" tint="-0.249977111117893"/>
        <rFont val="Calibri"/>
        <family val="2"/>
        <scheme val="minor"/>
      </rPr>
      <t>71</t>
    </r>
    <r>
      <rPr>
        <u/>
        <sz val="12"/>
        <color theme="6" tint="-0.249977111117893"/>
        <rFont val="Calibri"/>
        <family val="2"/>
        <scheme val="minor"/>
      </rPr>
      <t xml:space="preserve"> -</t>
    </r>
    <r>
      <rPr>
        <b/>
        <u/>
        <sz val="12"/>
        <color theme="6" tint="-0.249977111117893"/>
        <rFont val="Calibri"/>
        <family val="2"/>
        <scheme val="minor"/>
      </rPr>
      <t xml:space="preserve"> 72</t>
    </r>
    <r>
      <rPr>
        <u/>
        <sz val="12"/>
        <color theme="6" tint="-0.249977111117893"/>
        <rFont val="Calibri"/>
        <family val="2"/>
        <scheme val="minor"/>
      </rPr>
      <t xml:space="preserve"> - </t>
    </r>
    <r>
      <rPr>
        <b/>
        <u/>
        <sz val="12"/>
        <color theme="6" tint="-0.249977111117893"/>
        <rFont val="Calibri"/>
        <family val="2"/>
        <scheme val="minor"/>
      </rPr>
      <t>73</t>
    </r>
    <r>
      <rPr>
        <u/>
        <sz val="12"/>
        <color theme="6" tint="-0.249977111117893"/>
        <rFont val="Calibri"/>
        <family val="2"/>
        <scheme val="minor"/>
      </rPr>
      <t xml:space="preserve"> </t>
    </r>
    <r>
      <rPr>
        <b/>
        <u/>
        <sz val="12"/>
        <color theme="6" tint="-0.249977111117893"/>
        <rFont val="Calibri"/>
        <family val="2"/>
        <scheme val="minor"/>
      </rPr>
      <t>- 74 - 75 - 76 - 77 - 78</t>
    </r>
    <r>
      <rPr>
        <u/>
        <sz val="12"/>
        <rFont val="Calibri"/>
        <family val="2"/>
        <scheme val="minor"/>
      </rPr>
      <t xml:space="preserve"> -</t>
    </r>
    <r>
      <rPr>
        <u/>
        <sz val="12"/>
        <color theme="6" tint="-0.249977111117893"/>
        <rFont val="Calibri"/>
        <family val="2"/>
        <scheme val="minor"/>
      </rPr>
      <t xml:space="preserve"> </t>
    </r>
    <r>
      <rPr>
        <b/>
        <u/>
        <sz val="12"/>
        <color theme="6" tint="-0.249977111117893"/>
        <rFont val="Calibri"/>
        <family val="2"/>
        <scheme val="minor"/>
      </rPr>
      <t xml:space="preserve">79 - 80 - 81 - 82 - 83 - 84 - </t>
    </r>
    <r>
      <rPr>
        <b/>
        <i/>
        <u/>
        <sz val="12"/>
        <color theme="6" tint="-0.249977111117893"/>
        <rFont val="Calibri"/>
        <family val="2"/>
        <scheme val="minor"/>
      </rPr>
      <t>85</t>
    </r>
    <r>
      <rPr>
        <b/>
        <u/>
        <sz val="12"/>
        <color theme="6" tint="-0.249977111117893"/>
        <rFont val="Calibri"/>
        <family val="2"/>
        <scheme val="minor"/>
      </rPr>
      <t xml:space="preserve"> - 86 - 87 - 88  - 91  - 98 - 99 - 100 </t>
    </r>
    <r>
      <rPr>
        <u/>
        <sz val="12"/>
        <rFont val="Calibri"/>
        <family val="2"/>
        <scheme val="minor"/>
      </rPr>
      <t>-</t>
    </r>
    <r>
      <rPr>
        <b/>
        <u/>
        <sz val="12"/>
        <color rgb="FFFFC000"/>
        <rFont val="Calibri"/>
        <family val="2"/>
        <scheme val="minor"/>
      </rPr>
      <t xml:space="preserve"> </t>
    </r>
    <r>
      <rPr>
        <b/>
        <u/>
        <sz val="12"/>
        <color theme="6" tint="-0.249977111117893"/>
        <rFont val="Calibri"/>
        <family val="2"/>
        <scheme val="minor"/>
      </rPr>
      <t>102 - 103 - 104 - 105</t>
    </r>
    <r>
      <rPr>
        <u/>
        <sz val="12"/>
        <rFont val="Calibri"/>
        <family val="2"/>
        <scheme val="minor"/>
      </rPr>
      <t xml:space="preserve"> </t>
    </r>
    <r>
      <rPr>
        <sz val="12"/>
        <rFont val="Calibri"/>
        <family val="2"/>
        <scheme val="minor"/>
      </rPr>
      <t xml:space="preserve">- 106 </t>
    </r>
    <r>
      <rPr>
        <b/>
        <u/>
        <sz val="12"/>
        <color theme="6" tint="-0.249977111117893"/>
        <rFont val="Calibri"/>
        <family val="2"/>
        <scheme val="minor"/>
      </rPr>
      <t>- 107 -</t>
    </r>
    <r>
      <rPr>
        <sz val="12"/>
        <rFont val="Calibri"/>
        <family val="2"/>
        <scheme val="minor"/>
      </rPr>
      <t xml:space="preserve"> 108 -</t>
    </r>
    <r>
      <rPr>
        <u/>
        <sz val="12"/>
        <rFont val="Calibri"/>
        <family val="2"/>
        <scheme val="minor"/>
      </rPr>
      <t xml:space="preserve"> </t>
    </r>
    <r>
      <rPr>
        <b/>
        <u/>
        <sz val="12"/>
        <color theme="6" tint="-0.249977111117893"/>
        <rFont val="Calibri"/>
        <family val="2"/>
        <scheme val="minor"/>
      </rPr>
      <t>109 - 110 - 111 - 120 - 123 - 126 - 129 - 130 - 131 - 138</t>
    </r>
    <r>
      <rPr>
        <u/>
        <sz val="12"/>
        <rFont val="Calibri"/>
        <family val="2"/>
        <scheme val="minor"/>
      </rPr>
      <t xml:space="preserve"> </t>
    </r>
  </si>
  <si>
    <r>
      <rPr>
        <b/>
        <sz val="12"/>
        <color theme="3" tint="0.39997558519241921"/>
        <rFont val="Calibri"/>
        <family val="2"/>
        <scheme val="minor"/>
      </rPr>
      <t>27</t>
    </r>
    <r>
      <rPr>
        <sz val="12"/>
        <color theme="1"/>
        <rFont val="Calibri"/>
        <family val="2"/>
        <scheme val="minor"/>
      </rPr>
      <t xml:space="preserve"> - 28 - </t>
    </r>
    <r>
      <rPr>
        <b/>
        <sz val="12"/>
        <color theme="3" tint="0.39997558519241921"/>
        <rFont val="Calibri"/>
        <family val="2"/>
        <scheme val="minor"/>
      </rPr>
      <t>30</t>
    </r>
    <r>
      <rPr>
        <sz val="12"/>
        <color theme="1"/>
        <rFont val="Calibri"/>
        <family val="2"/>
        <scheme val="minor"/>
      </rPr>
      <t xml:space="preserve"> - 32 - 181 - 182 - 187 - 189 - 190 - 274 - 276</t>
    </r>
  </si>
  <si>
    <t>Acta de suspensión N° 12 del 23 de diciembre del año 2016</t>
  </si>
  <si>
    <r>
      <rPr>
        <b/>
        <sz val="12"/>
        <rFont val="Calibri"/>
        <family val="2"/>
        <scheme val="minor"/>
      </rPr>
      <t xml:space="preserve">Contrato Suspendido: </t>
    </r>
    <r>
      <rPr>
        <sz val="12"/>
        <rFont val="Calibri"/>
        <family val="2"/>
        <scheme val="minor"/>
      </rPr>
      <t>Aun no se pueden liberar saldos hasta que el contrato no se liquide</t>
    </r>
  </si>
  <si>
    <t>FRA 4 PAGO 2 CTO 27 2016 CDR 9 SGP R8090</t>
  </si>
  <si>
    <t>FACT 2 CTO 27 2016 OBRA PAGO 1 CDR 9 SGP R1803</t>
  </si>
  <si>
    <t>La Sierra - SGP</t>
  </si>
  <si>
    <t>CTA COBRO 1 CONTRATO 27 2016</t>
  </si>
  <si>
    <t>FRA 4 PAGO 2 CTO 27 2016 CDR 333 NACION R8090</t>
  </si>
  <si>
    <t>FACT 2 CTO 27 2016 OBRA PAGO 1 CDR 333 NACION R1803</t>
  </si>
  <si>
    <t>CTA COBRO 1 NACION CONTRATO 27 2016</t>
  </si>
  <si>
    <t>FRA 4 PAGO 2 CTO 27 2016 CDR 333 SGP R8090</t>
  </si>
  <si>
    <t>FACT 2 CTO 27 2016 OBRA PAGO 1 CDR 333 SGP R1803</t>
  </si>
  <si>
    <t>Contrato en ejecución, no se pueden liberar saldos todavía</t>
  </si>
  <si>
    <t>CTA COBRO 1 SGP CONTRATO 27 2016</t>
  </si>
  <si>
    <t>Optimización red planta de tratamiento agua potable cabecera municipal de la Sierra</t>
  </si>
  <si>
    <t>CONSORCIO ACUEDUCTO LA SIERRA</t>
  </si>
  <si>
    <t>Contrato liquidado, es procedente liberar $430.631, por no uso del cdr 5</t>
  </si>
  <si>
    <t>FV 12 ACTA UNICA CTO 030-2016 CDR 5 SGP R- 7292</t>
  </si>
  <si>
    <t>Acta de liquidación del 24-7-17</t>
  </si>
  <si>
    <t>Interventoría del contrato de obra rehabilitación de los acueductos de la cabecera municipal y centro poblado El Carmelo en el Municipio de Santa Rosa</t>
  </si>
  <si>
    <t>LUCY ELVIRA LLANTEN ESCOBAR</t>
  </si>
  <si>
    <t>030-2016</t>
  </si>
  <si>
    <t>027-2016</t>
  </si>
  <si>
    <t>Acta de liquidación</t>
  </si>
  <si>
    <r>
      <rPr>
        <b/>
        <sz val="12"/>
        <color theme="1"/>
        <rFont val="Calibri"/>
        <family val="2"/>
        <scheme val="minor"/>
      </rPr>
      <t xml:space="preserve">Contrato liquidado y pagado: </t>
    </r>
    <r>
      <rPr>
        <sz val="12"/>
        <color theme="1"/>
        <rFont val="Calibri"/>
        <family val="2"/>
        <scheme val="minor"/>
      </rPr>
      <t>No hay saldos para liberar</t>
    </r>
  </si>
  <si>
    <t>Falta: Acta n° 1 y final Orden de pago y factura correspondiente a la misma acta</t>
  </si>
  <si>
    <t>Acta de inicio - Cuenta de cobro correspondiente al 40% de anticipo - Orden de pago</t>
  </si>
  <si>
    <t>primer pago del 40% segundo pago de 30% y un tercer pago del 30%</t>
  </si>
  <si>
    <t>Acta de liquidación del 20 de octubre del año 2017</t>
  </si>
  <si>
    <t>Elaboración diseño optimización del sistema de acueducto de la cabecera municipal de Caloto - Cauca.</t>
  </si>
  <si>
    <t>Gerardo Alfredo Tobar Paz</t>
  </si>
  <si>
    <t>106-2010</t>
  </si>
  <si>
    <t>108-2010</t>
  </si>
  <si>
    <t>Acta N° 02 - Factura A y A 1 - Orden de pago N° 54 (Factura cancelada por los CDRs 166 y 174)</t>
  </si>
  <si>
    <t>Acta N° 1 - Factura N° 7 - Orden de pago N° 258</t>
  </si>
  <si>
    <r>
      <rPr>
        <b/>
        <sz val="12"/>
        <rFont val="Calibri"/>
        <family val="2"/>
        <scheme val="minor"/>
      </rPr>
      <t>Contrato suspendido:</t>
    </r>
    <r>
      <rPr>
        <sz val="12"/>
        <rFont val="Calibri"/>
        <family val="2"/>
        <scheme val="minor"/>
      </rPr>
      <t xml:space="preserve"> NO SE PUEDEN LIBERAR SALDOS TODAVÍA</t>
    </r>
  </si>
  <si>
    <t>Acta de inicio - Cuenta de cobro por anticipo - Orden de pago</t>
  </si>
  <si>
    <t>Acta de suspensión N° 7 del 24 de septiembre del año 2015</t>
  </si>
  <si>
    <t>ELABORACION DISEÑO CONSTRUCCION ACUEDUCTO RIO BERMEJO MPIOS DE BALBOA, PATIA Y MERCADERES</t>
  </si>
  <si>
    <t>CONSORCIO A Y A</t>
  </si>
  <si>
    <t>Acta parcial N° 2 - Factura de venta N° 48 - Orden de pago N° 59</t>
  </si>
  <si>
    <t>Acta de recibo parcial N° 1 - Factura de venta N° 13 - Orden de pago</t>
  </si>
  <si>
    <r>
      <rPr>
        <b/>
        <sz val="12"/>
        <color theme="1"/>
        <rFont val="Calibri"/>
        <family val="2"/>
        <scheme val="minor"/>
      </rPr>
      <t>Contrato en ejecución:</t>
    </r>
    <r>
      <rPr>
        <sz val="12"/>
        <color theme="1"/>
        <rFont val="Calibri"/>
        <family val="2"/>
        <scheme val="minor"/>
      </rPr>
      <t xml:space="preserve"> Aun no se puede liberar saldos hasta que el contrato no se liquide.</t>
    </r>
  </si>
  <si>
    <t>Falta: Orden de pago y cuenta de cobro del anticipo</t>
  </si>
  <si>
    <t>Acta de inicio</t>
  </si>
  <si>
    <t xml:space="preserve">primer pago del 40% por anticipo, un segundo pago en un acta parcial, y un tercer pago en un acta final. </t>
  </si>
  <si>
    <t>Otro Sí N° 8 del 29 de septiembre del año 2017</t>
  </si>
  <si>
    <t>Realizar interventoría técnica, administrativa y financiera del contrato de obra pública N° 08; Cuyo objeto es: "Construcción optimización del sistema de acueducto de la cabecera municipal de Padilla - Cauca"</t>
  </si>
  <si>
    <t>Carlos Francisco Perez Valdes</t>
  </si>
  <si>
    <t>010-2011</t>
  </si>
  <si>
    <t>Acta N° 6 y final - Factura de venta N° 305 - Orden de pago N° 260</t>
  </si>
  <si>
    <t>Acta de recibo parcial de obra N° 5 - Factura de venta N° 230 - Orden de pago N° 260</t>
  </si>
  <si>
    <t>Acta de recibo parcial de obra N° 4 - Factura de venta N° 213 - Orden de pago N° 170</t>
  </si>
  <si>
    <t>Acta de recibo parcial de obra N° 3 - Factura de venta N° 207 - Orden de pago N° 157</t>
  </si>
  <si>
    <t>Acta de recibo parcial de obra N° 2 - Factura de venta N° 200 - Orden de pago N° 142</t>
  </si>
  <si>
    <r>
      <rPr>
        <b/>
        <sz val="12"/>
        <rFont val="Calibri"/>
        <family val="2"/>
        <scheme val="minor"/>
      </rPr>
      <t>Contrato liquidado y pagado:</t>
    </r>
    <r>
      <rPr>
        <sz val="12"/>
        <rFont val="Calibri"/>
        <family val="2"/>
        <scheme val="minor"/>
      </rPr>
      <t xml:space="preserve"> Se deben liberar $6.618.386 del CDR 231</t>
    </r>
  </si>
  <si>
    <r>
      <rPr>
        <b/>
        <sz val="12"/>
        <rFont val="Calibri"/>
        <family val="2"/>
        <scheme val="minor"/>
      </rPr>
      <t xml:space="preserve">Falta: </t>
    </r>
    <r>
      <rPr>
        <sz val="12"/>
        <rFont val="Calibri"/>
        <family val="2"/>
        <scheme val="minor"/>
      </rPr>
      <t>Orden de pago del acta N° 6 y final</t>
    </r>
  </si>
  <si>
    <t>Acta de recibo parcial de obra N° 1 - Factura de venta N° 199 - Orden de pago N° 136</t>
  </si>
  <si>
    <t>Actas parciales (sin anticipo)</t>
  </si>
  <si>
    <t>Acta de liquidación del 29 de noviembre del año 2016</t>
  </si>
  <si>
    <t>OPTIMIZACION DEL SISTEMA DE ACUEDUCTO CON PLANTA DE TRATAMIENTO EN COHETANDO CENTRO</t>
  </si>
  <si>
    <t>Juan Carlos Valencia</t>
  </si>
  <si>
    <t>021-2013</t>
  </si>
  <si>
    <t>Acta parcial N° 5 y final - Factura de venta N° 203274 - Orden de pago N° 325</t>
  </si>
  <si>
    <t>Acta parcial N° 4 - Factura de venta N° 194546 - Orden de pago N° 320</t>
  </si>
  <si>
    <t>Acta parcial N° 3 - Facturas de venta N° 181836, N° 181799 y N° 181837 - Orden de pago N° 236</t>
  </si>
  <si>
    <t>Acta parcial N° 2 - Factura de venta N° 173003 - Orden de pago N° 181</t>
  </si>
  <si>
    <r>
      <rPr>
        <b/>
        <sz val="12"/>
        <color theme="1"/>
        <rFont val="Calibri"/>
        <family val="2"/>
        <scheme val="minor"/>
      </rPr>
      <t>Contrato terminado sin liquidar:</t>
    </r>
    <r>
      <rPr>
        <sz val="12"/>
        <color theme="1"/>
        <rFont val="Calibri"/>
        <family val="2"/>
        <scheme val="minor"/>
      </rPr>
      <t xml:space="preserve"> SE REQUIERE LA LIQUIDACIÒN, ADEMÀS DEL CONTRATO DE OBRA PARA DETERMINAR SALDOS A LIBERAR DEL C.D.R.</t>
    </r>
  </si>
  <si>
    <t>Acta parcial N° 1 - Facturas de venta N° 170001, N° 169992 y N° 169987 - Orden de pago N° 177</t>
  </si>
  <si>
    <t>Compraventa</t>
  </si>
  <si>
    <t>COMPRA DE TUBERIA Y ACCESORIOS PARA AGUA POTABLE REDES DE ACUEDUCTO POPAYAN</t>
  </si>
  <si>
    <t>34535384</t>
  </si>
  <si>
    <t>ELIZABETH CRISTINA MUÑOZ</t>
  </si>
  <si>
    <r>
      <rPr>
        <b/>
        <sz val="12"/>
        <color theme="1"/>
        <rFont val="Calibri"/>
        <family val="2"/>
        <scheme val="minor"/>
      </rPr>
      <t>CONTRATO EN EJECUCIÒN:</t>
    </r>
    <r>
      <rPr>
        <sz val="12"/>
        <color theme="1"/>
        <rFont val="Calibri"/>
        <family val="2"/>
        <scheme val="minor"/>
      </rPr>
      <t xml:space="preserve"> NO PRESENT PAGOS,  NO SE HA REPORTADO AL FIA</t>
    </r>
  </si>
  <si>
    <t>Acta de reinicio del 28 de Diciembre de 2017</t>
  </si>
  <si>
    <t>CONSTRUCCION OBRAS DE OPTIMIZACION PLANTA DE TRATAMIENTO DE AGUA POTABLE Y REDES DE DISTRIBUCION DE LA CABECERA MUNICIPAL DE SAN SEBASTIAN - CAUCA.</t>
  </si>
  <si>
    <t>JOSE ALFONSO GRIMALDO CAMAYO</t>
  </si>
  <si>
    <t>088-2013</t>
  </si>
  <si>
    <t>FV 14 PAGO 6 CDR 6 SGP R-10792</t>
  </si>
  <si>
    <t xml:space="preserve">Acta parcial de obra N° 5 - Factura de venta N° 12  - Orden de pago N° 42 </t>
  </si>
  <si>
    <t>Acta parcial de obra N° 4 - Factura de venta N° 11  por el valor de $610´202.476 - Orden de pago N° 450 (Factura cancelada por los CDRs 273 y 6)</t>
  </si>
  <si>
    <t>Acta parcial de obra N° 3 - Factura de venta N° 10  por el valor de $467´550.800 - Orden de pago N° 450</t>
  </si>
  <si>
    <t>Acta parcial de obra N° 2 - Factura de venta N° 3 por el valor de $819´372.692 - Orden de pago N° 398</t>
  </si>
  <si>
    <t>Acta parcial de obra N° 1 - Factura de venta N° 1 por el valor de $1.456´756.941 - Orden de pago N° 316</t>
  </si>
  <si>
    <r>
      <rPr>
        <b/>
        <sz val="12"/>
        <color theme="1"/>
        <rFont val="Calibri"/>
        <family val="2"/>
        <scheme val="minor"/>
      </rPr>
      <t>Contrato en ejecución:</t>
    </r>
    <r>
      <rPr>
        <sz val="12"/>
        <color theme="1"/>
        <rFont val="Calibri"/>
        <family val="2"/>
        <scheme val="minor"/>
      </rPr>
      <t xml:space="preserve"> se observa inconsistencia en el portal FIA, no aparece el pago por $145.021.422,61, fuente nacion correspondiente al acta No. 4.  No se pueden liberar saldos todavía.</t>
    </r>
  </si>
  <si>
    <t>Falta: Acta N° 6 y sus respectivos soportes de pago</t>
  </si>
  <si>
    <t>Cuenta de cobro por el valor de $1.207´002.236 (40% de anticipo) - Orden de pago N° 179</t>
  </si>
  <si>
    <t>ANTICIPO DEL 40% Y ACTAS PARCIALES DE OBRA</t>
  </si>
  <si>
    <t>CONSTRUCCION DE LAS REDES DE ACUEDUCTO PARA LAS VEREDAS NOR Y SUR OCCIDENTALES DE LA CIUDAD DE POPAYAN - II ETAPA</t>
  </si>
  <si>
    <t>10524372</t>
  </si>
  <si>
    <t>CONSORCIO VEREDAL II - R.L. ING. ARMANDO ESCOBAR ROJAS</t>
  </si>
  <si>
    <t>032-2014</t>
  </si>
  <si>
    <t>Acta parcial N° 5 - Factura de venta N° 17 - Orden de pago N° 601</t>
  </si>
  <si>
    <t>Acta parcial N° 4 - Factura de venta N° 16 por el valor de $52´767.936 - Orden de pago N° 510 (Factura cancelada por los CDRs 6 y 7)</t>
  </si>
  <si>
    <t>Acta parcial N° 1 - Factura de Venta N° 06 - Orden de pago N° 366</t>
  </si>
  <si>
    <r>
      <rPr>
        <b/>
        <sz val="12"/>
        <color theme="1"/>
        <rFont val="Calibri"/>
        <family val="2"/>
        <scheme val="minor"/>
      </rPr>
      <t>Contrato terminado sin liquidar:</t>
    </r>
    <r>
      <rPr>
        <sz val="12"/>
        <color theme="1"/>
        <rFont val="Calibri"/>
        <family val="2"/>
        <scheme val="minor"/>
      </rPr>
      <t xml:space="preserve"> Una vez se realice el acta final y se efectue el pago de la misma se podrá establecer el valor total a liberar.</t>
    </r>
  </si>
  <si>
    <t>Falta: El acta de terminación</t>
  </si>
  <si>
    <t>Acta de inicio - Cuenta de cobro por el 40% de anticipo del valor inicial del contrato - Orden de pago N° 245</t>
  </si>
  <si>
    <t>40% de anticipo el valor restante se cancelará mediante actas mensuales</t>
  </si>
  <si>
    <t>Interventoría ténica administrativa financiera y ambiental al proyecto "Construcción de redes de acueducto veredas nor y suroccidentales municipio de Popayán II Etapa"</t>
  </si>
  <si>
    <t>Consorcio Acueductos</t>
  </si>
  <si>
    <t>033-2014</t>
  </si>
  <si>
    <t>Acta parcial de pago N° 2 - Factura de venta N° 0186 - Orden de pago N° 339</t>
  </si>
  <si>
    <t>Acta parcial de pago N° 1 - Factura de venta N° 0183 - Orden de pago N° 315</t>
  </si>
  <si>
    <r>
      <rPr>
        <b/>
        <sz val="12"/>
        <color theme="1"/>
        <rFont val="Calibri"/>
        <family val="2"/>
        <scheme val="minor"/>
      </rPr>
      <t xml:space="preserve">Contrato Suspendido: </t>
    </r>
    <r>
      <rPr>
        <sz val="12"/>
        <color theme="1"/>
        <rFont val="Calibri"/>
        <family val="2"/>
        <scheme val="minor"/>
      </rPr>
      <t>Aun no se puede liberar dinero de los CDRs hasta que el contrato no se liquide</t>
    </r>
  </si>
  <si>
    <r>
      <rPr>
        <b/>
        <sz val="12"/>
        <color theme="1"/>
        <rFont val="Calibri"/>
        <family val="2"/>
        <scheme val="minor"/>
      </rPr>
      <t xml:space="preserve">Falta: </t>
    </r>
    <r>
      <rPr>
        <sz val="12"/>
        <color theme="1"/>
        <rFont val="Calibri"/>
        <family val="2"/>
        <scheme val="minor"/>
      </rPr>
      <t>CDR</t>
    </r>
  </si>
  <si>
    <t>Acta de inicio - Cuenta de cobro N° 001 correspondiente al 10% de anticipo - Orden de pago N° 264</t>
  </si>
  <si>
    <t>El valor del contrato se pagara mediante actas parciales de conformidad con el avance de las obras intervenidas, y se entregara el 10% del valor del contrato como anticipo.</t>
  </si>
  <si>
    <t>Interventoría Técnica, administrativa, financiera, social y ambiental del siguiente contrato de obra: "Construcción obras de optimización y ampliación sistema de alcantarillado sanitario cabecera municipal Coconuco municipio de Purace"</t>
  </si>
  <si>
    <t>036-2014</t>
  </si>
  <si>
    <t>Acta parcial N° 3 - Factura de venta N° 12 por el valor de $458´961.850 - Orden de pago N° 21 (Factura cancelada por los CDRs 322 y 6)</t>
  </si>
  <si>
    <t>Acta parcial N° 2 - Factura de venta N° 10 por el valor de $876´577.916 - Orden de pago N° 490 (Factura cancelada por los CDRs 322 y 6)</t>
  </si>
  <si>
    <t>Acta parcial N° 1</t>
  </si>
  <si>
    <t>Acta de inicio - Cuenta de cobro N° 001 correspondiente al 30% de anticipo - Orden de pago N° 358 (Cuenta cancelada por los CDRs 322 y 6)</t>
  </si>
  <si>
    <r>
      <rPr>
        <b/>
        <sz val="12"/>
        <rFont val="Calibri"/>
        <family val="2"/>
        <scheme val="minor"/>
      </rPr>
      <t>Contrato Suspendido</t>
    </r>
    <r>
      <rPr>
        <sz val="12"/>
        <rFont val="Calibri"/>
        <family val="2"/>
        <scheme val="minor"/>
      </rPr>
      <t>: Aun no se puede liberar dinero de los CDRs hasta que el contrato no se liquide</t>
    </r>
  </si>
  <si>
    <t>Falta: Factura y orden de pago del acta parcial n° 1</t>
  </si>
  <si>
    <t>El valor del contrato se pagará por medio de actas parciales y/o final de obra se suscribiran de conformidad con las cantidades efectivamente ejecutadas aplicando para el efecto los preios unitarios propuestos y se entregara el 30% del valor del contrato como anticipo</t>
  </si>
  <si>
    <t>Construcción obras de optimización y ampliación del sistema de alcantarillado sanitario y pluvial de la cabecera municipal de Bolivar Cauca</t>
  </si>
  <si>
    <t>Consorcio ML 2015</t>
  </si>
  <si>
    <t>118-2015</t>
  </si>
  <si>
    <t>Acta parcial N° 1 - Factura de pago N° 81 - Orden de pago N° 603</t>
  </si>
  <si>
    <t>Acta de inicio - Cuenta de cobro N° 001 correspondiente al 10% de anticipo - Orden de pago N° 367</t>
  </si>
  <si>
    <t xml:space="preserve">El valor del contrato será pagado al contratista mediante actas parciales pagadas de conformidad con el avance de la consultoria  se entregara el 10% del valor del contrato a titulo de anticipo el ultimo pago se hara con el acta de liquidación y no podrá ser inferior al 10% del valor del contrato. </t>
  </si>
  <si>
    <t>Elaboración de los ajustes del proyecto " Construcción de obras de optimización del sistema de alcantarillado II Etapa - Municipio de Guapi - Departamento del Cauca.</t>
  </si>
  <si>
    <t>119-2015</t>
  </si>
  <si>
    <t>Acta final - Factura de venta N° 6 por el valor de $530´100.88320 - Orden de pago N° 37 (Factura cancelada por los 18 CDRs que tiene el contrato)</t>
  </si>
  <si>
    <t>Acta N° 1 - Factura de venta N° 5 por el valor de $521´247.87456 - Orden de pago N° 510</t>
  </si>
  <si>
    <t>Acta de inicio - Cuenta de cobro por el valor de $107´963.520 correspondiente al 10% de anticipo - Orden de pago N° 430 (Cuenta cancelada por los 18 CDRs de este contrato)</t>
  </si>
  <si>
    <t>Acta N° 1 - Factura de venta N° 5 por el valor de $521´247.87456 - Orden de pago N° 509</t>
  </si>
  <si>
    <t>Acta N° 1 - Factura de venta N° 5 por el valor de $521´247.87456 - Orden de pago N° 508</t>
  </si>
  <si>
    <t>Acta N° 1 - Factura de venta N° 5 por el valor de $521´247.87456 - Orden de pago N° 511</t>
  </si>
  <si>
    <t>Acta N° 1 - Factura de venta N° 5 por el valor de $521´247.87456 - Orden de pago N° 506</t>
  </si>
  <si>
    <t>Acta N° 1 - Factura de venta N° 5 por el valor de $521´247.87456 - Orden de pago N° 405</t>
  </si>
  <si>
    <t>Acta N° 1 - Factura de venta N° 5 por el valor de $521´247.87456 - Orden de pago N° 404</t>
  </si>
  <si>
    <t>Acta N° 1 - Factura de venta N° 5 por el valor de $521´247.87456 - Orden de pago N° 503</t>
  </si>
  <si>
    <t>Acta N° 1 - Factura de venta N° 5 por el valor de $521´247.87456 - Orden de pago N° 502</t>
  </si>
  <si>
    <t>Acta N° 1 - Factura de venta N° 5 por el valor de $521´247.87456 - Orden de pago N° 501</t>
  </si>
  <si>
    <t>Acta N° 1 - Factura de venta N° 5 por el valor de $521´247.87456 - Orden de pago N° 500</t>
  </si>
  <si>
    <t>Acta N° 1 - Factura de venta N° 5 por el valor de $521´247.87456 - Orden de pago N° 499</t>
  </si>
  <si>
    <t>Acta N° 1 - Factura de venta N° 5 por el valor de $521´247.87456 - Orden de pago N° 498</t>
  </si>
  <si>
    <t>Acta N° 1 - Factura de venta N° 5 por el valor de $521´247.87456 - Orden de pago N° 497</t>
  </si>
  <si>
    <t>Acta N° 1 - Factura de venta N° 5 por el valor de $521´247.87456 - Orden de pago N° 496</t>
  </si>
  <si>
    <t>Contrato liquidado y pagado: Hay saldos para liberar de cada uno de los 18 CDRs del contrato ver la columna AM</t>
  </si>
  <si>
    <t>El valor del contrato será pagado al contratista mediante actas parciales pagadas de conformidad con el avance de la consultoría y se entregara hasta un 10% del valor del contrato como anticipo. El ultimo pago se cancelara con el acta de liquidación final y no podrá ser inferior al 10% del valor del contrato.</t>
  </si>
  <si>
    <t>Acta de liquidación del 5 de mayo del año 2017</t>
  </si>
  <si>
    <t>Realizar la actualización de los planes de gestión integral de residuos sólidos (PGIRS) para los municipios de: Patía Mercaderes Sotará Inzá Piamonte Caloto Argelia Totoró Buenos Aires Suarez La vega Silvia Timbio Rosas Cajibio Lopez de Micay Guapi y Santa Rosa en el departamento del Cauca.</t>
  </si>
  <si>
    <t xml:space="preserve">Consorcio PGIRS Cauca </t>
  </si>
  <si>
    <t>028-2016</t>
  </si>
  <si>
    <t>Acta parcial N° 1 - Factura de venta N° 2 - Orden de pago N° 78</t>
  </si>
  <si>
    <t>Acta de Inicio - Cuenta de cobro - Orden de pago N° 29 Correspondiente a anticipo</t>
  </si>
  <si>
    <t>El valor del contrato será pagado al contratista mediante actas parciales pagadas de conformidad con el avance de las obras intervenidas y se entregara hasta un 10% del valor del contrato como anticipo. El ultimo pago se cancelara con el acta de liquidación final y no podrá ser menor al 10%</t>
  </si>
  <si>
    <t>Otro sí N° 2 del 19 de diciembre del año 2017</t>
  </si>
  <si>
    <t>Interventoría técnica administrativa financiera social y ambiental del siguiente contrato de obra: "Construcción de las obras de rehabilitación y optimización sistema de acueducto del municipio de Puerto Tejada"</t>
  </si>
  <si>
    <t>Consorcio Tejada</t>
  </si>
  <si>
    <t>032-2016</t>
  </si>
  <si>
    <t>Acta N° 2 y final - Factura de venta N° 5 - Orden de pago N° 83</t>
  </si>
  <si>
    <t>Acta parcial N° 1 - Factura de venta N° 4 - Orden de pago N° 35</t>
  </si>
  <si>
    <r>
      <t xml:space="preserve">Contrato liquidado y pagado: </t>
    </r>
    <r>
      <rPr>
        <sz val="12"/>
        <color theme="1"/>
        <rFont val="Calibri"/>
        <family val="2"/>
        <scheme val="minor"/>
      </rPr>
      <t>Se debe liberar el valor de $1´116.481 del CDR 15 con fuente SGP Buenos Aires</t>
    </r>
  </si>
  <si>
    <t>Acta de inicio - Cuenta de cobro por anticipo - Orden de pago N° 2</t>
  </si>
  <si>
    <t>Acta de liquidación del 15 de noviembre del año 2017</t>
  </si>
  <si>
    <t>OBRAS DE OPTIMIZACIÓN DEL ACUEDUCTO CABECERA MUNICIPAL DE BUENOS AIRES CAUCA</t>
  </si>
  <si>
    <t>CONSORCIO INFRA</t>
  </si>
  <si>
    <t>182-2016</t>
  </si>
  <si>
    <t xml:space="preserve">Acta parcial N° 1 - Factura de venta N° 1  </t>
  </si>
  <si>
    <t>Contrato terminado sin liquidar: Una vez se realice el acta final y se efectue el pago de la misma se podrá establecer el valor total a liberar.</t>
  </si>
  <si>
    <t xml:space="preserve">Acta de inicio - Cuenta de cobro - Orden de pago N° 56 </t>
  </si>
  <si>
    <t>El contrato se pagara por el sistema de precios unitarios mediante actas parciales y/o final de obra el ultimo pago se hara por el acta de liquidación y no podra ser inferior al 10% del valor del contrato.</t>
  </si>
  <si>
    <t>Acta de recibo a satisfacción del 03 de diciembre del año 2017</t>
  </si>
  <si>
    <t>Construcción obra de optimización del acueducto de Arboleda municipio de Mercaderes de conformidad con los estudios elaborados por la entidad.</t>
  </si>
  <si>
    <t>V&amp;L Ingenieros Constructores S.A.S</t>
  </si>
  <si>
    <t>181-2016</t>
  </si>
  <si>
    <t>Acta parcial N° 2 - Factura de venta N° 2  por el valor de $747´447.614- Orden de pago N° 90 (Factura cancelada por los CDRs 340 y 8)</t>
  </si>
  <si>
    <t>FV 1 ACTA 12 CTO 187-2016 CDR 8 SGP R-8349</t>
  </si>
  <si>
    <t>PAGO 1 CTO 187-2016 CDR 340 R-2170 -ANTICIPO</t>
  </si>
  <si>
    <t>FV 1ACTA 1 CTO 187-2016 CDR 340 SGP R-8349</t>
  </si>
  <si>
    <t>NO SE PUEDEN LIBERAR SALDOS CONTRATO EN EJECUCIÓN</t>
  </si>
  <si>
    <t>REALIZAR LA CONSTRUCCION DE LAS OBRAS DE REHABILITACION Y OPTIMIZACION SISTEMA DE ACUEDUCTO DEL MUNICIPIO DE PTO TEJADA</t>
  </si>
  <si>
    <t>CONSORCIO PUERTO</t>
  </si>
  <si>
    <t>187-2016</t>
  </si>
  <si>
    <t>Acta N° 2 y final - Factura de venta N° 101 - Orden de pago N° 97</t>
  </si>
  <si>
    <r>
      <rPr>
        <b/>
        <sz val="12"/>
        <color theme="1"/>
        <rFont val="Calibri"/>
        <family val="2"/>
        <scheme val="minor"/>
      </rPr>
      <t>Contrato liquidado y pagado:</t>
    </r>
    <r>
      <rPr>
        <sz val="12"/>
        <color theme="1"/>
        <rFont val="Calibri"/>
        <family val="2"/>
        <scheme val="minor"/>
      </rPr>
      <t xml:space="preserve"> Se debe liberar el valor de $682.956 del CDR 16 con fuente SGP Buenos Aires</t>
    </r>
  </si>
  <si>
    <t xml:space="preserve">Acta parcial N° 1 - Factura de venta N° 100 - </t>
  </si>
  <si>
    <t>Acta de liquidación del 24 de noviembre del año 2017</t>
  </si>
  <si>
    <t>Interventoría técnica administrativa financiera social y ambiental del siguiente contrato de obra: "Construcción de obras y suministro de opmitización del sistema de acueducto cabecera municipal de Buenos Aires"</t>
  </si>
  <si>
    <t>Francisco Fernando Astaiza Valencia</t>
  </si>
  <si>
    <t>190-2016</t>
  </si>
  <si>
    <r>
      <rPr>
        <b/>
        <sz val="12"/>
        <color theme="1"/>
        <rFont val="Calibri"/>
        <family val="2"/>
        <scheme val="minor"/>
      </rPr>
      <t xml:space="preserve">Contrato En ejecución: </t>
    </r>
    <r>
      <rPr>
        <sz val="12"/>
        <color theme="1"/>
        <rFont val="Calibri"/>
        <family val="2"/>
        <scheme val="minor"/>
      </rPr>
      <t>Aun no se puede determinar los valores a liberar hasta tanto el contrato no se liquide. El contrato no se ha reportado al FIA.</t>
    </r>
  </si>
  <si>
    <t>No esta el CDR en la carpeta</t>
  </si>
  <si>
    <t>Otro Sí N° 1 del 14 de septiembre del año 2017</t>
  </si>
  <si>
    <t>Interventoría técnica administrativa financiera social y ambiental del siguiente contrato de obra: "Construcción obra de optimización del acueducto de Arboleda municipio de Mercaderes"</t>
  </si>
  <si>
    <t>Consorcio Interventoría Acueductos</t>
  </si>
  <si>
    <t>189-2016</t>
  </si>
  <si>
    <t>Acta parcial N° 2 - Factura de venta N° 2 - Orden de pago N° 87</t>
  </si>
  <si>
    <r>
      <rPr>
        <b/>
        <sz val="12"/>
        <color theme="1"/>
        <rFont val="Calibri"/>
        <family val="2"/>
        <scheme val="minor"/>
      </rPr>
      <t>Contrato en ejecución:</t>
    </r>
    <r>
      <rPr>
        <sz val="12"/>
        <color theme="1"/>
        <rFont val="Calibri"/>
        <family val="2"/>
        <scheme val="minor"/>
      </rPr>
      <t xml:space="preserve"> Aun no se pueden liberar saldos hasta que el contrato no se liquide. </t>
    </r>
  </si>
  <si>
    <r>
      <rPr>
        <b/>
        <sz val="12"/>
        <color theme="1"/>
        <rFont val="Calibri"/>
        <family val="2"/>
        <scheme val="minor"/>
      </rPr>
      <t xml:space="preserve">Falta: </t>
    </r>
    <r>
      <rPr>
        <sz val="12"/>
        <color theme="1"/>
        <rFont val="Calibri"/>
        <family val="2"/>
        <scheme val="minor"/>
      </rPr>
      <t>Factura y orden de pago que corresponden al acta N° 1</t>
    </r>
  </si>
  <si>
    <t>Cuenta de cobro - Orden de pago</t>
  </si>
  <si>
    <t>El valor del contrato sera pagado mediante actas parciales pagadas de conformidad con el avance de las obras intervenidas, 10% de anticipo.</t>
  </si>
  <si>
    <t>Otro Sí N° 1 del 19 de octubre del año 2017</t>
  </si>
  <si>
    <t>Interventoría Técnica, administrativa, financiera, social y ambiental del siguiente contrato de obra: "Construcción obras de optimización y ampliación sistema de alcantarillado sanitario de la cabecera municipal de Caloto Fase I"</t>
  </si>
  <si>
    <t>Consorcio Interventoría Caloto</t>
  </si>
  <si>
    <t>274-2016</t>
  </si>
  <si>
    <r>
      <rPr>
        <b/>
        <sz val="12"/>
        <color theme="1"/>
        <rFont val="Calibri"/>
        <family val="2"/>
        <scheme val="minor"/>
      </rPr>
      <t>CONTRATO EN EJECUCIÓN</t>
    </r>
    <r>
      <rPr>
        <sz val="12"/>
        <color theme="1"/>
        <rFont val="Calibri"/>
        <family val="2"/>
        <scheme val="minor"/>
      </rPr>
      <t xml:space="preserve">.  NO SE HA REPORTADO AL FIA EL CONTRATO ADICIONAL.  </t>
    </r>
  </si>
  <si>
    <t>FALTA EL CDR 3564</t>
  </si>
  <si>
    <t>Acta parcial de consultoria N° 1 - Factura de venta N° 0178 -Orden de pago N° 46</t>
  </si>
  <si>
    <t>Elaboración de ajustes estudios y diseños optimización del plan maestro de alcantarillado del Municipio de la Vega</t>
  </si>
  <si>
    <t>GERARDO ALFREDO PAZOS ZUÑIGA</t>
  </si>
  <si>
    <t>051-2017</t>
  </si>
  <si>
    <t>Acta parcial N° 7- Factura de venta N° 7 por el valor de $541´647.503 - Orden de pago N° 96 (Factura cancelada por los CDRs 343 y 9)</t>
  </si>
  <si>
    <t>Acta parcial N° 6- Factura de venta N° 6 por el valor de $454´880.283 - Orden de pago N° 82 (Factura cancelada por los CDRs 343 y 9)</t>
  </si>
  <si>
    <t>Acta parcial N° 5 (Factura cancelada por los CDRs 343 y 9)</t>
  </si>
  <si>
    <t>Acta parcial N° 4- Factura de venta N° 4 por el valor de $499´167.053 - Orden de pago N° 40 (Factura cancelada por los CDRs 343 y 9)</t>
  </si>
  <si>
    <t>No estan los soportes en los tomos del contrato, estos pagos pertenecen al acta N° 3 (Factura cancelada por los CDRs 343 y 9)</t>
  </si>
  <si>
    <t>Acta parcial N° 2 - Factura de venta N° 2 por el valor de $393´530.800 - Orden de pago N° 40 (Factura cancelada por los CDRs 343 y 9)</t>
  </si>
  <si>
    <t>Acta parcial N° 1 - Factura de venta N° 1 por el valor de $393´191.201 - Orden de pago N° 33 (Factura cancelada por los CDRs 343 y 9)</t>
  </si>
  <si>
    <t>Acta de inicio - Cuenta de cobro por el valor de $945´112.722 - Orden de pago N° 12 (Cuenta cancelada por los CDRs 343 y 9)</t>
  </si>
  <si>
    <r>
      <t xml:space="preserve">Contrato en ejecución: </t>
    </r>
    <r>
      <rPr>
        <sz val="12"/>
        <color rgb="FFFF0000"/>
        <rFont val="Calibri"/>
        <family val="2"/>
        <scheme val="minor"/>
      </rPr>
      <t xml:space="preserve">Aun no se pueden liberar saldos hasta que el contrato no se liquide. </t>
    </r>
    <r>
      <rPr>
        <b/>
        <sz val="12"/>
        <color rgb="FFFF0000"/>
        <rFont val="Calibri"/>
        <family val="2"/>
        <scheme val="minor"/>
      </rPr>
      <t>ERROR DETECTADO:</t>
    </r>
    <r>
      <rPr>
        <sz val="12"/>
        <color rgb="FFFF0000"/>
        <rFont val="Calibri"/>
        <family val="2"/>
        <scheme val="minor"/>
      </rPr>
      <t xml:space="preserve"> En el portal FIA encontramos que los 14 pagos relacionados no suman el valor que esta como total de pagos, es decir no se reflejan dos pagos correspondientes al acta 1 y acta 2 de fuente nacion, estos dos pagos suman el valor de $31´399.591,78. Por lo anterior se debe solicitar información a la fiducia si este valor se pago o esta pendiente a favor del contratista.</t>
    </r>
  </si>
  <si>
    <t xml:space="preserve">Falta: Acta n° 3 y sus soportes, Orden de pago del acta N° 4, Factura y orden de pago del acta N° 5 </t>
  </si>
  <si>
    <t>Otro sí N° 1 del 9 de octubre del año 2017</t>
  </si>
  <si>
    <t>REALIZAR  LA CONSTRUCCION OBRAS DE OPTIMIZACION Y AMPLIACION SISEMA DE ALCANTARILLADO SANITARIO DE LA  CABECERA MUNICIPAL DE CALOTO FASE I</t>
  </si>
  <si>
    <t>CONSORCIO CALOTO ACP</t>
  </si>
  <si>
    <t>276-2016</t>
  </si>
  <si>
    <t>031-2016</t>
  </si>
  <si>
    <t>consorcio interventoria acueducto cauca 2016</t>
  </si>
  <si>
    <t>Interventoría al contrato de consultoría "estudios y diseños acueducto regional Morales, Piendamó y Suarez"</t>
  </si>
  <si>
    <t>FRA 1 PAGO 1 CTO 031 DE 2016 CDR 6 SGP R9936</t>
  </si>
  <si>
    <t>115-2015</t>
  </si>
  <si>
    <t>Estudios y diseños acueducto regional Morales, Piendamó y Suarez, contratato por AAPOPAYAN</t>
  </si>
  <si>
    <t>037-2016</t>
  </si>
  <si>
    <t>LUIS FERNANDO SOTO GUZMAN</t>
  </si>
  <si>
    <t>REALIZAR LA INTERVENTORIA TECNICA, ADMINISTRATIVA, FINANCIERA, SOCIAL Y AMBIENTL DEL SIGUIENTE CONTRATO DE OBRA: CONSTRUCCION OBRAS DE OPTIMIZACION RED DE ADUCCION Y PLANTA DE TRATAMIENTO DE AGUA POTABLE DE LA CABECERA MUNICIPAL LA SIERRA CAUCA DEPARTAMENTO DEL CAUCA</t>
  </si>
  <si>
    <t>CTA COBRO 01 CTO 037-16 INTERVENTORIA</t>
  </si>
  <si>
    <t>FACT 200 CTO 37 2016 INTEVENTORIA PAGO 1 CDR 10 R879</t>
  </si>
  <si>
    <t>ACTA 2 CTO 037-2016 CDR 10 SGP R-8409</t>
  </si>
  <si>
    <t>Proyecto en ejecución, mientras no se liquiden los contratos 031-2016 y 115-2015, no es posible efectuar liberaciones.</t>
  </si>
  <si>
    <t>Contrato en ejecución</t>
  </si>
  <si>
    <r>
      <t xml:space="preserve">Contrato liquidado y pagado: CASO PENDIENTE DE REVISAR CON EL SUPERVISOR Y CONTRATISTA, LOS VALORES DEL ACTA DE LIQUIDACIÓN NO CONCUERDAN CON LOS PAGOS REALIZADOS Y LOS DOCUMENTOS SOPORTES, </t>
    </r>
    <r>
      <rPr>
        <sz val="22"/>
        <color rgb="FFFF0000"/>
        <rFont val="Calibri"/>
        <family val="2"/>
        <scheme val="minor"/>
      </rPr>
      <t>ADEMAS DICHA ACTA NO ESTA FIRMADA POR EL GERENTE DE EMCASERVICIOS</t>
    </r>
  </si>
  <si>
    <t>76307421</t>
  </si>
  <si>
    <t>HACER REQUERIMIENTO</t>
  </si>
  <si>
    <t>MC No.01-2013</t>
  </si>
  <si>
    <t>No</t>
  </si>
  <si>
    <t>No. CONTRATO</t>
  </si>
  <si>
    <t>VALOR CONTRATO</t>
  </si>
  <si>
    <t>CONTRATISTA</t>
  </si>
  <si>
    <t>SALDO CONTRATO A LIBERAR</t>
  </si>
  <si>
    <t>FECHA EXPEDICIÓN CDR</t>
  </si>
  <si>
    <t>No. CDR</t>
  </si>
  <si>
    <t>SALDO CDR A LIBERAR</t>
  </si>
  <si>
    <t>ORIGEN DE LOS RECURSOS</t>
  </si>
  <si>
    <t>FUENTE DE RECURSOS</t>
  </si>
  <si>
    <t>DANE</t>
  </si>
  <si>
    <t xml:space="preserve"> (Departamento/ Municipio)</t>
  </si>
  <si>
    <t>SGP Agua potable y Saneamiento basico</t>
  </si>
  <si>
    <t>20-2010</t>
  </si>
  <si>
    <t>Nacion (Audiencias Públicas)</t>
  </si>
  <si>
    <t>25-2010</t>
  </si>
  <si>
    <t>DEPARTAMENTO-CAUCA</t>
  </si>
  <si>
    <t>77-2013</t>
  </si>
  <si>
    <t xml:space="preserve">CONSORCIO C Y B 2013 </t>
  </si>
  <si>
    <t>57-2011</t>
  </si>
  <si>
    <t xml:space="preserve">CONSORCIO CAA -FRANCISCO JAVIER POLANCO FLOREZ </t>
  </si>
  <si>
    <t>TOTORO-CAUCA</t>
  </si>
  <si>
    <t>59-2011</t>
  </si>
  <si>
    <t>56-2011</t>
  </si>
  <si>
    <t>GUAPI-CAUCA</t>
  </si>
  <si>
    <t>MORALES-CAUCA</t>
  </si>
  <si>
    <t>SUAREZ-CAUCA</t>
  </si>
  <si>
    <t>Nación (Audiencias Públicas)</t>
  </si>
  <si>
    <t>BOLÍVAR-CAUCA</t>
  </si>
  <si>
    <t>MERCADERES-CAUCA</t>
  </si>
  <si>
    <t>PATIA (EL BORDO)-CAUCA</t>
  </si>
  <si>
    <t>MC 01-2013</t>
  </si>
  <si>
    <t>LA SIERRA-CAUCA</t>
  </si>
  <si>
    <t>PADILLA-CAUCA</t>
  </si>
  <si>
    <t>SANTA ROSA-CAUCA</t>
  </si>
  <si>
    <t>BUENOS AIRES-CAUCA</t>
  </si>
  <si>
    <t>CAJIBIO-CAUCA</t>
  </si>
  <si>
    <t>LOPEZ DE MICAY-CAUCA</t>
  </si>
  <si>
    <t>TIMBIO-CAUCA</t>
  </si>
  <si>
    <t>ROSAS-CAUCA</t>
  </si>
  <si>
    <t>SILVIA-CAUCA</t>
  </si>
  <si>
    <t>PIAMONTE-CAUCA</t>
  </si>
  <si>
    <t>CALOTO-CAUCA</t>
  </si>
  <si>
    <t>ARGELIA-CAUCA</t>
  </si>
  <si>
    <t>LA VEGA-CAUCA</t>
  </si>
  <si>
    <t>INZA-CAUCA</t>
  </si>
  <si>
    <t>SOTARA-CAUCA</t>
  </si>
  <si>
    <t>TOTALES</t>
  </si>
  <si>
    <t>AÑO CTO</t>
  </si>
  <si>
    <t>37 CONTRATOS</t>
  </si>
  <si>
    <t>SOLICITUD DE LIBERACIÓN DE CDRs AL CONSORCIO FIA</t>
  </si>
  <si>
    <t>FECHA</t>
  </si>
  <si>
    <t>Contrato liquidado con pagado, sin saldos a liberar.</t>
  </si>
  <si>
    <t>TOTAL CDRs  REVISADOS</t>
  </si>
  <si>
    <t>LIBERACIÓN DE CDRs</t>
  </si>
  <si>
    <t>CONTRATOS REVISADOS 2010-2017</t>
  </si>
  <si>
    <t>75 (37 CONTRATOS)</t>
  </si>
  <si>
    <t>FUENTE</t>
  </si>
  <si>
    <t>SGP-DPTO DEL CAUCA</t>
  </si>
  <si>
    <t>NACIÓN -AUDICIENCIAS PÚBLICAS</t>
  </si>
  <si>
    <t>SGP-MUNICIPIOS</t>
  </si>
  <si>
    <t>DPTO</t>
  </si>
  <si>
    <t>NACION</t>
  </si>
  <si>
    <t>MPIOS</t>
  </si>
  <si>
    <t>CAUCA</t>
  </si>
  <si>
    <t>CON-99-2010</t>
  </si>
  <si>
    <t>CDR-116-0-2010</t>
  </si>
  <si>
    <t>PA FIA - SGP - AGUA POTABLE Y SANEAMIENTO BASICO</t>
  </si>
  <si>
    <t>CONSORCIO  GERENCIA PDA CAUCA</t>
  </si>
  <si>
    <t>ANTICIPO DEL 50% DEL CONTRATO 101 GERENCIA ASESORA  PDA CAUCA</t>
  </si>
  <si>
    <t>BANCO DE OCCIDENTE-CUENTA CORRIENTE-263051559</t>
  </si>
  <si>
    <t xml:space="preserve"> GERENCIA ASESORA</t>
  </si>
  <si>
    <t xml:space="preserve">FACT 5 CONTRATO DE SONSULTORIA PARA EJECUTAR LAS LABORES DE GERENCIA ASESORA ENCARGADA DE ADELANTAR </t>
  </si>
  <si>
    <t>BANCO DE OCCIDENTE-CUENTA DE AHORRO-263838419</t>
  </si>
  <si>
    <t>FACT 4 CONTRATO DE CONSULTORIA 101 DE  EJECUTAR LABORES DE GERNCIA ASESORA</t>
  </si>
  <si>
    <t>FACT 002 CONTRATO DE CONSULTORIA NO. 101 LABORES DE GERENCIA ASESORA ENCARGADA DE ADELANTAR LAS ACCI</t>
  </si>
  <si>
    <t xml:space="preserve">FACTURAS #21-22-23-24-25-26. PAGO #4. CONTRATO DE CONSULTORIA #101 DE 2010. EJECUTAR LAS LABORES DE </t>
  </si>
  <si>
    <t>CDRs</t>
  </si>
  <si>
    <t>Detalle Fuentes y Pagos</t>
  </si>
  <si>
    <t>Volver</t>
  </si>
  <si>
    <t>Numero CDR</t>
  </si>
  <si>
    <t>Fuente</t>
  </si>
  <si>
    <t>Valor Fuente</t>
  </si>
  <si>
    <t>Valor Pagos</t>
  </si>
  <si>
    <t>Totales</t>
  </si>
  <si>
    <t>PA FIA - SGP</t>
  </si>
  <si>
    <t>Mostrar</t>
  </si>
  <si>
    <t>registros</t>
  </si>
  <si>
    <t>Buscar:</t>
  </si>
  <si>
    <t>Fecha</t>
  </si>
  <si>
    <t>Concepto</t>
  </si>
  <si>
    <t>Valor Pago</t>
  </si>
  <si>
    <t>PAGO ANTICIPO DEL 50% DEL CONTRATO No. 101 cuyo objeto es ejecutar las labores de gerencia asesora encargada de adelantar las acciones y actividades tecnicas legales, financieras, administrativas y ambientales de apoyo a los actores vinculados al plan emp</t>
  </si>
  <si>
    <t>FACTURAS #21-22-23-24-25-26. PAGO #4. CONTRATO DE CONSULTORIA #101 DE 2010.</t>
  </si>
  <si>
    <t>FACT 5 CONTRATO DE SONSULTORIA PARA EJECUTAR LAS LABORES DE GERENCIA ASESORA ENCARGADA DE ADELANTAR</t>
  </si>
  <si>
    <t>FACT 4 CONTRATO DE CONSULTORIA 101 DE EJECUTAR LABORES DE GERNCIA ASESORA</t>
  </si>
  <si>
    <t>Total general</t>
  </si>
  <si>
    <t>2010</t>
  </si>
  <si>
    <t>2011</t>
  </si>
  <si>
    <t>2013</t>
  </si>
  <si>
    <t>2014</t>
  </si>
  <si>
    <t>2015</t>
  </si>
  <si>
    <t>2016</t>
  </si>
  <si>
    <t>Total 2010</t>
  </si>
  <si>
    <t>Total 2011</t>
  </si>
  <si>
    <t>Total 2013</t>
  </si>
  <si>
    <t>Total 2014</t>
  </si>
  <si>
    <t>Total 2015</t>
  </si>
  <si>
    <t>Total 2016</t>
  </si>
  <si>
    <t>No.</t>
  </si>
  <si>
    <t>DEPARTAMENTO</t>
  </si>
  <si>
    <t>MUNICIPIO</t>
  </si>
  <si>
    <t>NUMERO DE CONTRATO</t>
  </si>
  <si>
    <t>NO. CDR</t>
  </si>
  <si>
    <t>NIT TERCERO CAUSACIO</t>
  </si>
  <si>
    <t>TERCERO CAUSACION</t>
  </si>
  <si>
    <t>NIT BENEFICIARIO</t>
  </si>
  <si>
    <t>BENEFICIARIO</t>
  </si>
  <si>
    <t>DECRIPCION DEL PAGO</t>
  </si>
  <si>
    <t>VALOR BRUTO</t>
  </si>
  <si>
    <t>DESCUENTOS</t>
  </si>
  <si>
    <t>ANTICIPOS</t>
  </si>
  <si>
    <t>VALOR NETO</t>
  </si>
  <si>
    <t>VLR BRUTO-ANTICIPOS</t>
  </si>
  <si>
    <t>FECHA DE PAGO</t>
  </si>
  <si>
    <t>DATOS DE TRANSFERENCIA</t>
  </si>
  <si>
    <t>CDR</t>
  </si>
  <si>
    <t>OBSERVACION / PROYECTO</t>
  </si>
  <si>
    <t>VALOR CDR</t>
  </si>
  <si>
    <t>FECHA EXPEDICION CDR</t>
  </si>
  <si>
    <t>101-2010</t>
  </si>
  <si>
    <t>TOTAL FACTURADO</t>
  </si>
  <si>
    <t>FACT 69 PAGO ACTA N 02 CONTRATO DE PRESTACION DE SERVICIOS PROFEIOENELES</t>
  </si>
  <si>
    <t>FV 203 ACTA 3 FINAL CTO 13 -2010 CDR 11 SGP R-10797</t>
  </si>
  <si>
    <t>FRA,055 CONT- CONS, 19/2010, DISEÑOS Y OPTIMIZACION ACUEDUCO INTERVEREDAL STA, LETICIA - PURACE - CA</t>
  </si>
  <si>
    <t>FRA, 57, PAGO DOS, CONTRATO DE CONSULTORIA #13 DE 2010, ELABORACIÓN ESTUDIOS Y DISEÑOS PARA OPTIMIZA</t>
  </si>
  <si>
    <t>0011</t>
  </si>
  <si>
    <t>saldo cdr</t>
  </si>
  <si>
    <t>900380353</t>
  </si>
  <si>
    <t>VALOR A LIBERAR</t>
  </si>
  <si>
    <t>TOTAL A LIBERAR</t>
  </si>
  <si>
    <t>NOTA: EL VALOR A LIBERAR INCLUYE EL SALDO DEL CDR 116 POR VALOR DE $1.058.363.367, CORRESPONDIENTE AL CONTRATO 101-2010, CON EL CONSORCIO GERENCIA ASESORA.</t>
  </si>
  <si>
    <t>RECURSOS A LIBERAR</t>
  </si>
  <si>
    <t>CDRs A LIBERAR</t>
  </si>
  <si>
    <t>211 (EQUIVALENTES A 468 CDRs)</t>
  </si>
  <si>
    <t>ultimas novedades</t>
  </si>
  <si>
    <t>informa manzano que fue liquidado en feb-2018</t>
  </si>
  <si>
    <t>liquidado en febrero 2018 según manzano</t>
  </si>
  <si>
    <t>183-2017</t>
  </si>
  <si>
    <t>CONSTRUCCION DE CELDA DE CONTINGENCIA VEREDA TEMUEI GUAPI, PARA LA DISPOSICIÓN DE RESIDUOS SÓLIDOS</t>
  </si>
  <si>
    <t>123-2017</t>
  </si>
  <si>
    <t>CONSTRUCION DE SOLUCIONES INDIVIDUALES DE EVACUACIÓN Y TRATAMIENTO DE EXCRETAS PARA FAMILIAS VULNERABLES DE LA ZONA CENTRO MUNICIPIO DE SOTARA</t>
  </si>
  <si>
    <t>131-2017</t>
  </si>
  <si>
    <t>CONSTRUCCION Y OPTIMIZACIÓN DEL ACUEDUCTO DE PALO BLANCO Y 9 VEREDAS MÁS TERCERA FASE MUNICIPIO DE BUENOS AIRES</t>
  </si>
  <si>
    <t>127-2017</t>
  </si>
  <si>
    <t>CONSTRUCCIÓN OBRAAS DE OPTIMIZACIÓN DEL SISTEMA DE ALCANTARILLADO SANITARIO Y CONSTRUCCIÓN DEL SISTEMA DE TRATAMIENTO DE AGUAS RESIDUALES DEL PLATEADO ARGELIA</t>
  </si>
  <si>
    <t>liquidado en marzo 2018</t>
  </si>
  <si>
    <t>FRA 1 PAGO ACTA N0, 1 DEL CONTRATO 103</t>
  </si>
  <si>
    <t>ANTICIPO DEL CONTRATO INTERVENTORIA #103/2010, INTERV, TECNICA ADTIVA Y FINANCIERA DE LA OBRA Y SU</t>
  </si>
  <si>
    <t>saldo a liberar</t>
  </si>
  <si>
    <t>ANTICIPO 40%</t>
  </si>
  <si>
    <t>PA FIA - SGP STDER</t>
  </si>
  <si>
    <t>LIQUIDADO MARZO-18</t>
  </si>
  <si>
    <t>196,348,841.00</t>
  </si>
  <si>
    <t>178,657,961.00</t>
  </si>
  <si>
    <t>ANTICIPO CTO 181-2016 CDR 337 NACION R- 7114</t>
  </si>
  <si>
    <t>96,700,567.00</t>
  </si>
  <si>
    <t>FV V1 PAGO 1 CDR 337 NACION R-10801</t>
  </si>
  <si>
    <t>81,957,394.00</t>
  </si>
  <si>
    <t>liquidado en febrero 2018 Karol giron, no hay saldos a liquidar</t>
  </si>
  <si>
    <t>82,638,845.00</t>
  </si>
  <si>
    <t>57,847,192.00</t>
  </si>
  <si>
    <t>liquidado según manzano</t>
  </si>
  <si>
    <t>39,139,451.00</t>
  </si>
  <si>
    <t>27,394,079.30</t>
  </si>
  <si>
    <t>liquidado según manzano marzo 2018, con saldos a liberar</t>
  </si>
  <si>
    <t>101,703,000.00</t>
  </si>
  <si>
    <t>39,478,280.00</t>
  </si>
  <si>
    <t>liquidado marzo 2018, sin saldos a liberar</t>
  </si>
  <si>
    <t>liquidado marzo 2018, con saldos a liberar</t>
  </si>
  <si>
    <t>liquidado en marzo 2018 sin saldos a liberar</t>
  </si>
  <si>
    <t>liquidado mar-18 con saldo</t>
  </si>
  <si>
    <t>liquidado marzo-18, con saldo</t>
  </si>
  <si>
    <t>liquidado sin saldos</t>
  </si>
  <si>
    <t>liquidado marzo -18sin saldos</t>
  </si>
  <si>
    <t>liquidado en marzo 18 con saldos a liberar</t>
  </si>
  <si>
    <t>liq sin saldos</t>
  </si>
  <si>
    <t>liquidado a marzo -18-con saldo</t>
  </si>
  <si>
    <t>Total saldo a liberar del cdr</t>
  </si>
  <si>
    <t>FECHA ACTA DE LIQUIDACIÓN</t>
  </si>
  <si>
    <t>acta de cierre</t>
  </si>
  <si>
    <t>13 contratos</t>
  </si>
  <si>
    <t>CONTRATO</t>
  </si>
  <si>
    <t>152-2017</t>
  </si>
  <si>
    <t>realizar la construccion y optimizacion del acueducto de palo blanco y nueve veredas mas, tercera fase,  municipio de buenos aires departaento del cauca</t>
  </si>
  <si>
    <t>EL CONTRATISTA SE OBLIGA PARA CON EMCASERVICIOS A REALIZAR LA INTERVENTORIA TECNICA, ADMINISTRATIVA, FINANCIERA, SOCIAL Y AMBIENTAL DEL SIGUIENTE CONTRATO DE OBRA: "CONSTRUCCION DE OBRAS DE OPTIMIZACION DEL SISTEMA DE TRATAMIENTO DE  AGUA POTABLE, ACUEDUCTO REGIONAL PATIA, DEPARTAMENTO DEL CAUCA"</t>
  </si>
  <si>
    <t>145-2017</t>
  </si>
  <si>
    <t>CONSORCIO ML</t>
  </si>
  <si>
    <t>CONSORCIO ORION 78</t>
  </si>
  <si>
    <t>CONSORCIO AGUAS DEL PLATEADO</t>
  </si>
  <si>
    <t>CONSORCIO orion 77</t>
  </si>
  <si>
    <t>CONSORCIO HLS</t>
  </si>
  <si>
    <t>JUAN CARLOS COLLAZOS PALTA</t>
  </si>
  <si>
    <t>CONSORCIO INTERBATERIAS</t>
  </si>
  <si>
    <t>CONSORCIO PERSISTIR</t>
  </si>
  <si>
    <t>RAUL HERNANDO LOPEZ CAJAS</t>
  </si>
  <si>
    <t>LUIS FERNANDO MONCAYO CADENA</t>
  </si>
  <si>
    <t>MARLON EDUARDO ZAMBRANO MALAGON</t>
  </si>
  <si>
    <t>CONSORCIO INTERDISEÑOS</t>
  </si>
  <si>
    <t>CONSORCIO INER-CAUCA</t>
  </si>
  <si>
    <t>CONSORCIO INTER CAUCA</t>
  </si>
  <si>
    <t>CONSORCIO PGIRS -PUEA 2017</t>
  </si>
  <si>
    <t>FRANCISCO FERNANDO ASTAIZA VALENCIA</t>
  </si>
  <si>
    <t>UNION TEMPORAL SANEAMIENTO AMBIENTAL DEL CAUCA 2017</t>
  </si>
  <si>
    <t>CONSORCIO CAUCA</t>
  </si>
  <si>
    <t>CONSORCIO FS 2018</t>
  </si>
  <si>
    <t>contrato de obra</t>
  </si>
  <si>
    <t>contrato de Consultoria</t>
  </si>
  <si>
    <t>Contrato de obra</t>
  </si>
  <si>
    <t>Contrato de Consultoria</t>
  </si>
  <si>
    <t>Interventoria</t>
  </si>
  <si>
    <t>Contrato de Obra</t>
  </si>
  <si>
    <t>Contrato  de Consultoria</t>
  </si>
  <si>
    <t>Comsultoria</t>
  </si>
  <si>
    <t>124-2017</t>
  </si>
  <si>
    <t>128-2017</t>
  </si>
  <si>
    <t>189-2017</t>
  </si>
  <si>
    <t>190-2017</t>
  </si>
  <si>
    <t>204-2017</t>
  </si>
  <si>
    <t>205-2017</t>
  </si>
  <si>
    <t>206-2017</t>
  </si>
  <si>
    <t>225-2017</t>
  </si>
  <si>
    <t>236-2017</t>
  </si>
  <si>
    <t>249-2017</t>
  </si>
  <si>
    <t>257-2017</t>
  </si>
  <si>
    <t>258-2017</t>
  </si>
  <si>
    <t>322-2017</t>
  </si>
  <si>
    <t>334-2017</t>
  </si>
  <si>
    <t>335-2017</t>
  </si>
  <si>
    <t>344-2017</t>
  </si>
  <si>
    <t>346-2017</t>
  </si>
  <si>
    <t>348-2017</t>
  </si>
  <si>
    <t>349-2017</t>
  </si>
  <si>
    <t>C COB 001 ANTICIPO CDR 2379 SGP R-10800</t>
  </si>
  <si>
    <t xml:space="preserve">CONSTRUCCION DE SOLUCIONES INDIVIDUALES DE EVACUACION Y TRATAMIENTO DE EXCRETAS PARA FAMILIAS VULNERABLES DE LA ZONA CENTRO DEL MUNICIPIO DE SOTARA </t>
  </si>
  <si>
    <t>Sotará SGP</t>
  </si>
  <si>
    <t>FV 2 ACTA 1 CTO 123-2017 CDR 2370 SGP R-3070</t>
  </si>
  <si>
    <t>ESTUDIOS Y DISEÑOS DEL ALCANTARILLADO VEREDA VITOYO DEL MUNICIPIO DE JAMBALO CAUCA</t>
  </si>
  <si>
    <t>Jambaló SGP</t>
  </si>
  <si>
    <t>CTA DE COBRO 01 ANT. 30% CTO 124-2017 CDR 2392 SGP R-8968</t>
  </si>
  <si>
    <t>construccion de obras de optimizacion y ampliacion del sistema de alcantarillado sanitario y construccion del sistema de tratamiento de aguas residuales del centro poblado de el plateado- argelia, departamento del cauca</t>
  </si>
  <si>
    <t>estudios y diseños para el sistema de alcantarillado sanitario brisas de san jose municipio de guachene, departamento del cauca</t>
  </si>
  <si>
    <t>Guachené -SGP</t>
  </si>
  <si>
    <t>CTA DE COBRO 1 ANT. 30% CTO 128/2017 CDR 2394 SGP R-8986</t>
  </si>
  <si>
    <t>C COO 1 ANTICIPO CDR 2372 SGP R-10799</t>
  </si>
  <si>
    <t>ESTUDIOS Y DISEÑOS VIADUCTOS SISTEMA DE ACUEDUCTO PUERTO RICO MUNICIPIO DE ARGELIA CAUCA</t>
  </si>
  <si>
    <t>INTERVENTORIA TECNICA, ADMINISTRATIVA, FINANCIERA, SOCIAL Y AMBIENTAL DEL SIGUIENTE CONTRATO DE OBRA:"CONSTRUCCION DE SOLUCIONES INDIVIDUALES DE EVACUACION Y TRATAMIENTO DE EXCRETAS PARA FAMILIAS VULNERABLES DE LA ZONA CENTRO DEL MUNICIPIO DE SOTARA"</t>
  </si>
  <si>
    <t xml:space="preserve"> 2017-03-28</t>
  </si>
  <si>
    <t xml:space="preserve">CONSTRUCCION DE CELDA DE CONTINGENCIA EN LA VEREDA TEMUEY DEL MUNICIPIO DE GUAPI PARA LA DISPOSICION DE RESIDUOS SOLIDOS DE LA CABECERA </t>
  </si>
  <si>
    <t>Guapi-SGP</t>
  </si>
  <si>
    <t>PAG CTA 01 ANTI CONT183/2017 CDR 2366 SGP R 1157</t>
  </si>
  <si>
    <t>INTERVENTORIA TÉCNICA, ADMINISTRATIVA, FINANCIERA, SOCIAL Y AMBIENTAL DE LOS SIGUIENTES CONTRATOS DE CONSULTORIA:1."ELABORACION DE LOS ESTUDIOS Y DISEÑOS PARA LA CONSTRUCCION DEL ACUEDUCTO INTERVEREDAL CORREGIMIENTO LA BERMEJA EN EL MUNICIPIO DE BALBOA, DEPARTAMENTO DEL CAUCA". 2."ELABORACION DE LOS ESTUDIOS Y DISEÑOS PARA LA OPTIMIZACION Y CONSTRUCCION DEL ALCANTARILLADO SANITARIO CORREGIMIENTO EL ESTRECHO MUNICPIO DE PATIA, DEPARTAMENTO DEL CAUCA". 3."ELABORACION DE LOS ESTUDIOS Y DISEÑOS PARA LA CONSTRUCCION Y OPTIMIZACION DEL SISTEMA DE ALCANTARILLADO DE LA CUCHILLA Y CABECERA MUNICIPAL DE LA SIERRA, DEPARTAMENTO DEL CAUCA".</t>
  </si>
  <si>
    <t>Patía -SGP</t>
  </si>
  <si>
    <t xml:space="preserve"> ESTUDIOS Y DISEÑOS PARA LA CONSTRUCCIÓN DE LA BOCATOMA, DESARENADOR, LINEAS DE ADUCCIÓN Y CONDUCCIÓN DEL SISTEMA DE ACUEDUCTO EN LA CABECERA MUNICIPAL DE PÁEZ, DEPARTAMENTO DEL CAUCA</t>
  </si>
  <si>
    <t>PAEZ -SGP</t>
  </si>
  <si>
    <t>ESTUDIOS Y DISEÑOS PARA LA OPTIMIZACION Y CONSTRUCCION DEL ALCANTARILLADO SANITARIO CORREGIMIENTO EL ESTRECHO MUNICIPIO DE PATIA, DEPARTAMENTO DEL CAUCA, DE CONFORMIDAD CON LOS ESTUDIOS PREVIOS ELABORADOS POR LA ENTIDAD</t>
  </si>
  <si>
    <t>ESTUDIOS Y DISEÑOS PARA LA CONSTRUCCION DEL ACUEDUCTO INTERVEREDAL CORREGIMIENTO LA BERMEJA EN EL MUNICIPIO DE BALBOA, DEPARTAMENTO DEL CAUCA</t>
  </si>
  <si>
    <t xml:space="preserve">ESTUDIOS Y DISEÑOS PARA LA CONSTRUCCION  Y OPTIMIZACION DEL SISTEMA DE ALCANTARILLADO DE LA CUCHILLA Y CABECERA MUNICIPAL DE LA SIERRA, DEPARTAMENTO DEL CAUCA, DE CONFORMIDAD CON LOS ESTUDIOS Y DOCUMENTOS  PREVIOS  ELABORADOS POR LA ENTIDAD  </t>
  </si>
  <si>
    <t>INTERVENTORIA CONTRATOS DE CONSULTORIA: 1. "ESTUDIOS Y DISEÑOS ALCANTARILLADO VEREDA VITOYO- JAMBALO". 2. "ESTUDIOS Y DISEÑOS ALCANTARILLADO SANITARIO BRISAS DE SAN JOSE - GUACHENE". 3. "ESTUDIOS Y DISEÑOS VIADUCTOS SISTEMA DE ACUEDUCTO PUERTO RICO -ARGELIA".</t>
  </si>
  <si>
    <t xml:space="preserve"> INTERVENTORIA CONTRATO DE OBRA: " CONSTRUCCION DE CELDA DE CONTINGENCIA EN LA VEREDA TEMUEY DEL MUNICIPIO DE GUAPI  PARA LA DISPOSICION DE RESIDUOS SOLIDOS DE LA CABECERA MUNICIPAL</t>
  </si>
  <si>
    <t>ESTUDIOS Y DISEÑOS OPTIMIZACION DEL ACUEDUCTO INTERVEREDAL BELLAVISTA, NARANJAL, LA ESMERALDA, LOS MANGOS DEL MUNICIPIO DE SUAREZ, DEPARTAMENTO DEL CAUCA</t>
  </si>
  <si>
    <t>INTERVENTORIA CONTRATO DE OBRA: "CONSTRUCCION Y OPTIMIZACION DEL ACUEDUCTO DE PALO BLANCO Y NUEVE VEREDAS MAS, TERCERA FASE. MUNICIPIO DE BUENOS AIRES, DEPARTAMENTO DEL CAUCA"</t>
  </si>
  <si>
    <t>INTERVENTORIA CONTRATO DE OBRA:"CONSTRUCCION OBRAS DE OPTIMIZACION Y AMPLIACION DEL SISTEMA DE ALCANTARILLADO SANITARIO Y CONSTRUCCION DEL SISTEMA DE TRATAMIENTO DE AGUAS RESIDUALES DEL CENTRO POBLADO DE EL PLATEADO -  ARGELIA, DEPARTAMENTO DEL CAUCA".</t>
  </si>
  <si>
    <t>318-2017</t>
  </si>
  <si>
    <t>UNIVERSIDAD DEL CAUCA</t>
  </si>
  <si>
    <t>ESTUDIOS Y DISEÑOS PARA DETERMINAR LA COTA DE INUNDACION PARA LA PTAR DE GUAPI Y LOS ESTUDIOS GEOTECNICOS PARA EL PLAN MAESTRO ALCANTARILLADO GUAPI</t>
  </si>
  <si>
    <t>FORMULACION DE LOS PLANES DE GESTION INTEGRAL DE RESIDUOS SOLIDOS (PGIRS), PARA LOS MUNICIPIOS DE PUERTO TEJADA, PIENDAMO Y LA SIERRA, FORMULACION DEL PROGRAMA DE USO EFICIENTE Y AHORRO DEL AGUA PARA LOS MUNICIPIOS DE ROSAS, SAN SEBASTIAN, TORIBIO, TOTORO, GUAPI, LA SIERRA, LA VEGA, LOPEZ DE MICAY, SANTA ROSA, SUAREZ, PAEZ Y PADILLA</t>
  </si>
  <si>
    <t>INTERVENTORIA CONTRATO DE CONSULTORIA: ELABORACION DE LOS ESTUDIOS Y DISEÑOS OPTIMIZACION DEL ACUEDUCTO INTERVEREDAL BELLA VISTA, NARANJAL, LA ESMERALDA, LOS MANGOS DEL MUNICIPIO DE SUAREZ, DEPARTAMENTO DEL CAUCA</t>
  </si>
  <si>
    <t>INTERVENTORIA CONTRATOS DE CONSULTORIA: 1. "ESTUDIOS Y DISEÑOS PARA LA AMPLIACION DEL ACUEDUCTO INTERVEREDAL INCLUYENDO PTAP, CORREGIMIENTO DE SANTA MARTA, MUNICIPIO SANTA ROSA, DEPARTAMENTO DEL CAUCA". 2: "ESTUDIOS Y DISEÑOS PARA LA CONSTRUCCION DEL PLAN MAESTRO DE ALCANTARILLADO SANITARIO INCLUYENDO PTAR, CENTRO POBLADO DE SAN JUAN DE VILLALOBOS, MUNICIPIO SANTA ROSA CAUCA"</t>
  </si>
  <si>
    <t>CITEC LTDA.</t>
  </si>
  <si>
    <t>ESTUDIOS DE SUELOS PARA ESTABILIZACIÓN DE SUELO SOBRE TUBERÍAS DE CONDUCCIÓN PTAR, MUNICIPIO DE BALBOA</t>
  </si>
  <si>
    <t>Balboa-SGP</t>
  </si>
  <si>
    <t xml:space="preserve"> 2017-11-15</t>
  </si>
  <si>
    <t>FORMULACION DEL PLAN DE SANEAMIENTO Y MANEJO DE VERTIMIENTOS - PSMV, PARA LOS MUNICIPIOS DE MORALES, ROSAS, SAN SEBASTIAN, SOTARA, TOTORO Y ELABORACION DEL DOCUMENTO TECNICO PARA LA SOLICITUD DEL PERMISO DE VERTIMIENTOS PARA LAS VEREDAS EL TRAPICHE Y VITOYO EN EL MUNICIPIO DE JAMBALO Y VEREDA LOS ROBLES EN EL MUNICIPIO DE PADILLA EN EL DEPARTAMENTO DEL CAUCA</t>
  </si>
  <si>
    <t>347-2017</t>
  </si>
  <si>
    <t>AUTOSUPERIOR S.A.</t>
  </si>
  <si>
    <t>ARGELIA-SGP</t>
  </si>
  <si>
    <t>LA SIERRA -SGP</t>
  </si>
  <si>
    <t>ESTUDIOS Y DISEÑOS PARA LA AMPLIACION DEL ACUEDUCTO INTERVEREDAL INCLUYENDO PTAP, CORREGIMIENTO DE SANTA MARTA, MUNICIPIO DE SANTA ROSA, DEPARTAMENTO DEL CAUCA Y ESTUDIOS Y DISEÑOS PARA LA CONSTRUCCION DEL PLAN MAESTRO DE ALCANTARILLADO SANITARIO INCLUYENDO PTAR, CENTRO POBLADO DE SAN JUAN DE VILLALOBOS, MUNICIPIO SANTA ROSA CAUCA</t>
  </si>
  <si>
    <t>ACTA2Y FINAL</t>
  </si>
  <si>
    <t>OMAR VELEZ HOYOS</t>
  </si>
  <si>
    <t>Contrato Plan</t>
  </si>
  <si>
    <t>Mostrar </t>
  </si>
  <si>
    <t> registros</t>
  </si>
  <si>
    <t>SGP CTA DE COBRO 01 ANTICIPO 40%</t>
  </si>
  <si>
    <t>NACION CTA DE COBRO 01 ANTICIPO 40%</t>
  </si>
  <si>
    <t>FACT V 0692 CTO 44 2015</t>
  </si>
  <si>
    <t>FV 0678 DEL CTO 44/2015</t>
  </si>
  <si>
    <t>FACT 700 CTO 44-2015 OBRA PAGO 5 CDR 312 NACION R1597</t>
  </si>
  <si>
    <t>SGP FACT 668 DEL CTO 44 2015</t>
  </si>
  <si>
    <t>FACTURA 0677 SGP</t>
  </si>
  <si>
    <t>NAC, FACT 668 DEL CTO 44 2015</t>
  </si>
  <si>
    <t>OPTIMIZACIÓN DEL ALCANTARILLADO SANITARIO MUNICIPIO DE PADILLA</t>
  </si>
  <si>
    <t>CONTRATO PLAN - RECURSOS NACION</t>
  </si>
  <si>
    <t>FACT 700 CTO 44 2015 OBRA PAGO ACTA 5 CDR 326 R1597</t>
  </si>
  <si>
    <t>FV V0678 DEL CTO 44/2015</t>
  </si>
  <si>
    <t>FACT 668 DEL CTO 44 2015</t>
  </si>
  <si>
    <t>FACTURA 0677</t>
  </si>
  <si>
    <t>Mostrando del 1 al 6 de un total de 6 registros</t>
  </si>
  <si>
    <t>PrimeroAnteriorSiguienteÚltimo</t>
  </si>
  <si>
    <t>FACT 700 CTO 44-2015 OBRA PAGO 5 CDR 312 SGP R1597</t>
  </si>
  <si>
    <t>FACTURA 0677 NACION</t>
  </si>
  <si>
    <t>FACT VTA 170001, 169992 Y 169987 PAGO ACTA N0. 1 DEL CONTRATO 55</t>
  </si>
  <si>
    <t>NACION FRA FC173003</t>
  </si>
  <si>
    <t>NACION ANT 40% C COB 1</t>
  </si>
  <si>
    <t>SGP ANT 40% C COB 1</t>
  </si>
  <si>
    <t>FACTS 181836-181799-181837</t>
  </si>
  <si>
    <t>AUD PUBFRA 1PAGO ACTA DEL CTO 32 DE 2014</t>
  </si>
  <si>
    <t>SGP FRA 1 PAGO ACTA DEL CTO 32 DE 2014</t>
  </si>
  <si>
    <t>SGP FRA FC 194546 PAGO PARCIAL CONTRATO DE COMPRAS</t>
  </si>
  <si>
    <t>AUD PUB FRA FC 194546 PAGO PARCIAL CONTRATO DE SER</t>
  </si>
  <si>
    <t>SGP FRA FC 203274 DEL CTO 55/2013</t>
  </si>
  <si>
    <t>AUD PUB FRA FC 203274 DEL CTO 55/2013</t>
  </si>
  <si>
    <t>FV 03 DEL CTO 32 2014</t>
  </si>
  <si>
    <t>FV 10 ACTA N 3 CTO 32-2014 CDR 273 NACION R-824</t>
  </si>
  <si>
    <t>FV 10 ACTA N 3 CTO 32-2014 CDR 273 SGP R-824</t>
  </si>
  <si>
    <t>FV 11 ACTA N4 CTO 32-2014 CDR 273 SGP R-1935</t>
  </si>
  <si>
    <t>CESION DE DERECHOS CTO 70-2010 CDR 94 OTROS RECURSOS R-9059</t>
  </si>
  <si>
    <t>CESION DE DERECHOS CTO 70-2010 CDR 94 SGP R-9059</t>
  </si>
  <si>
    <t>FV 001 ACTA 1 FINAL CTO 70-2010 CDR 94 RECURSOS NACION R-9058</t>
  </si>
  <si>
    <t>FV 001 ACTA 1 FINAL CTO 70-2010 CDR 94 SGP R-9058</t>
  </si>
  <si>
    <t>PAGO ANTICIPO DEL 40%DEL CONTRATO No,70 DE JULIO DE 2010 OBJETO ADELANTAR LA ELABORACION DE DISEÑO PARA EL MEJORAMIENTO DE LA PTAP CABECERA MUNICIPAL DE SAN SEBASTIAN</t>
  </si>
  <si>
    <t>DIDIER FERNANDO CASTILLO</t>
  </si>
  <si>
    <t>CTA COBRO 001 CTO 115-2015</t>
  </si>
  <si>
    <t>ACTA 1 CTO 115-2015 CDR 6 SGP R- 8637</t>
  </si>
  <si>
    <t>ANTICIPO ADICIONAL</t>
  </si>
  <si>
    <t>129-2017</t>
  </si>
  <si>
    <t>AUTO SUPERIOR</t>
  </si>
  <si>
    <t>FV 2379 ACTA 1 CTO 129-2017 CDR 2475 SGP R-8820</t>
  </si>
  <si>
    <t>FV 2380 ACTA 1 CTO 129-2017 CDR 2475 SGP R-8820</t>
  </si>
  <si>
    <t>FV 2381 ACTA 1 CTO 129-2017 CDR 2475 SGP R-8820</t>
  </si>
  <si>
    <t>FACT 5503 ADIC CONT 033/2015 CDR 2295 SGP R 2626</t>
  </si>
  <si>
    <t>074-2014</t>
  </si>
  <si>
    <t>EMPRESA DE ACUEDUCTO Y ALCANTARILLADO DE SILVIA EAAS E.S.P</t>
  </si>
  <si>
    <t>ANTICIPO 30% C COB 001-2015</t>
  </si>
  <si>
    <t>FV 0165 PURACE ACTA 2 CTO 074-2014 CDR 13 SGP R-2942</t>
  </si>
  <si>
    <t>FV 0165 PURACE ACTA 1 CTO 074-2014 CDR 13 SGP R-2942</t>
  </si>
  <si>
    <t>ANTICIPO 30% C COB 001 DE 2015</t>
  </si>
  <si>
    <t>FV 0165 SILVIA ACTA 2 CTO 074-2014 CDR 6 R-2944</t>
  </si>
  <si>
    <t>FV 0165 SILVIA ACTA 1 CTO 074-2014 CDR 6 R-2944</t>
  </si>
  <si>
    <t>FV 0165 TOTORO ACTA 2 CTO 074-2014 CDR 8 R-2943</t>
  </si>
  <si>
    <t>FV 0165 TOTORO ACTA 1 CTO 074-2014 CDR 8 R-2943</t>
  </si>
  <si>
    <t>PAGO 2 CTO 129-2015 CDR 324 R- 3143</t>
  </si>
  <si>
    <t>FV 007 PAGO 2 CTO 129-2015 CDR 324 SGP R- 3143</t>
  </si>
  <si>
    <t>FV 05 PAGO 1 CTO 129-2015 CDR 324 R-882</t>
  </si>
  <si>
    <t>FV 005 PAGO CTO 129-2015 CDR 324 R-882</t>
  </si>
  <si>
    <t>CTA COBRO 001 DEL CTO 129 2015</t>
  </si>
  <si>
    <t>FV 0009 ACTA 3 CTO 129-2015 CDR 324 SGP R- 5558</t>
  </si>
  <si>
    <t>180-2015</t>
  </si>
  <si>
    <t>INVERSIONES CLH S.A.</t>
  </si>
  <si>
    <t xml:space="preserve">CONSTRUCCIÃ“N ACUEDUCTO Y TERMINACIÃ“N PLANTA DE TRATAMIENTO CONVENCIONAL INTERVEREDAL QUINAMAYO-ALEGRIAS, MUNICIPIO DE SANTANDER </t>
  </si>
  <si>
    <t>CTA COBRO 01 ANTICIPO DEL 50 POR CIENTO DEL CTO 180 2015</t>
  </si>
  <si>
    <t>FRA 30958 PAGO 1 CTO 180 2015 CDR 9 SGP R3293</t>
  </si>
  <si>
    <t>ACTA N 2 CTO 180-2015 CDR 9 SGP R-6509</t>
  </si>
  <si>
    <t>PAF-ATF-I-003-2013 ZONAI</t>
  </si>
  <si>
    <t>ACTA 20B</t>
  </si>
  <si>
    <t>ACTA 21A</t>
  </si>
  <si>
    <t>CONSORCIO AGUAS DE COLOMBIA GRUPO 5</t>
  </si>
  <si>
    <t>INTERVENTORÍA A LA CONSTRUCCIÓN REDES DE ACUEDUCTO Y ALCANTARILLADO DEL PROYECTO URBANÍSTICO DE INTERÉS SOCIAL ALTOS DE SAN LUÍS MUNICIPIO DE SANTANDER DE QUILICHAO</t>
  </si>
  <si>
    <t>EL PAGO POR $3.169.083, QUE SE REALIZO POR EL CDR 250, EN REALIDAD DEBIO REALIZARSE POR EL CDR 276.  EL PAGO POR $8.023.252,8, NO APARECE EN EL FIA.</t>
  </si>
  <si>
    <t>PGO 40% CONTRATO 039 Interventoria administrativa, financiera, técnica y ambiental al acueducto la toma y acueducto Interveredal Asnazu-Suarez</t>
  </si>
  <si>
    <t>PAGO ACTA PARCIAL DEL CONTRATO No.039 DEL 30 DE ABRIL/2010, SERVICIOS PROFESIONALES PRESTADOS.</t>
  </si>
  <si>
    <t>FACT 65 CONTRATO DE INTERVENTORIA DISEÑO ACUEDUCTO LA TOMA SUAREZ</t>
  </si>
  <si>
    <t>CTA COBRO 4 PAGO 4 FINAL CTO 039 2010 CDR 45 NACION R6844</t>
  </si>
  <si>
    <t>CTA COBRO 4 PAGO 4 FINAL CTO 039 2010 CDR 45 SGP R6844</t>
  </si>
  <si>
    <t>CTA COBRO 4 PAGO 4 FINAL CTO 039 2010 CDR 46 SGP R6844</t>
  </si>
  <si>
    <t>CTA COBRO 4 PAGO 4 FINAL CTO 039 2010 CDR 46 NACION R6844</t>
  </si>
  <si>
    <t>ACTA 2 Y FINAL</t>
  </si>
  <si>
    <t>ANTICIPO</t>
  </si>
  <si>
    <t xml:space="preserve"> ORDEN N 14488 ACTA 1 CTO 318-2017 CDR 4030 SGP R- 2433</t>
  </si>
  <si>
    <t>FV 62 CTO 40-2015 CDR 309 SGP R10317</t>
  </si>
  <si>
    <t>ACTA2</t>
  </si>
  <si>
    <t>Argelia -SGP</t>
  </si>
  <si>
    <t>23-2014</t>
  </si>
  <si>
    <t>Timbio -SGP</t>
  </si>
  <si>
    <t>CONSORCIO CONCISAN</t>
  </si>
  <si>
    <t>900455242-3</t>
  </si>
  <si>
    <t>FACT 5 PAGO ACTA N0. 1 DEL CONTRATO 23/2014</t>
  </si>
  <si>
    <t>FACT 12 OAGO ACTA N0.2 DEL CONTRATO 23/2014</t>
  </si>
  <si>
    <t>FV 0019 PAGO 3 CDR 4 SGP R-10791</t>
  </si>
  <si>
    <t>Adecuación y terminación de la Planta de tratamiento de Agua Potable, Acueducto interveredal Sachacoco, Municipio de Timbio.</t>
  </si>
  <si>
    <t>FV 0019 PAGO 3 CDR 295 NACION R-10791</t>
  </si>
  <si>
    <t>FACT 5 PAGO ACTA N0, 1 DEL CONTRATO 23/2014</t>
  </si>
  <si>
    <t>FACT 12 PAGO ACTA N0, 2 DEL CONTRATO 23/2014</t>
  </si>
  <si>
    <t>ACTA 3 FINAL CTO 13-2010 CDR 159 NACION R-10797</t>
  </si>
  <si>
    <t xml:space="preserve">ACTA 4 Y FINAL </t>
  </si>
  <si>
    <t>acta 4</t>
  </si>
  <si>
    <t>ACTA 3 Y FINAL</t>
  </si>
  <si>
    <t>ACTA 8</t>
  </si>
  <si>
    <t>ACTA 9</t>
  </si>
  <si>
    <t>ACTA 2</t>
  </si>
  <si>
    <t>acta3</t>
  </si>
  <si>
    <t>Acta3</t>
  </si>
  <si>
    <t>044-2015</t>
  </si>
  <si>
    <t>Acta 6</t>
  </si>
  <si>
    <t>PAGO ANT. DEL 50% DEL VALOR DEL CONTRATO NO. 08 DE 2011 (RECURSOS DPTO) - CONSTRUCCIÓN OPTIMIZAC</t>
  </si>
  <si>
    <t>FACT 113 CONTRATO DE CONTRUCCION Y OPTIMIZACION SISTEMA DE ACUEDUCTO CABECERA MUNICIPAL DE PADILLA</t>
  </si>
  <si>
    <t>FACT 119 CONTRUCCION Y OPTIMIZACION SISTEMA DE ACUEDUCTO CABECERA MUNICIPAL DE PADILLA</t>
  </si>
  <si>
    <t>FACT115 CONSTRUCCION Y OPTIMIZACION SISTEMA DE ACUEDUCTO CABECERA MUNICIPAL DE PADILLA.</t>
  </si>
  <si>
    <t>FV 143 SGP</t>
  </si>
  <si>
    <t>FV 143 NACION</t>
  </si>
  <si>
    <t>ANTICIPO DEL ADICIONAL</t>
  </si>
  <si>
    <t>ACT No. 1</t>
  </si>
  <si>
    <t>SGP CTA DE COBRO 001 DEL CTO 118 2015</t>
  </si>
  <si>
    <t>NACION CTA DE COBRO 001 DEL CTO 118 2015</t>
  </si>
  <si>
    <t>FACT V 4 CTO 118-15 R-7246</t>
  </si>
  <si>
    <t>ACT DE VENTA 10 SGP CTO 118 2015 OBRA RAD85</t>
  </si>
  <si>
    <t>FACT DE VENTA 10 NACION CTO 118 2015 OBRA RAD85</t>
  </si>
  <si>
    <t>FRA 12 PAGO 3 CTO 118 2015 CDR 322 SGP R3294</t>
  </si>
  <si>
    <t>FRA 12 PAGO 3 CTO 118 2015 CDR 322 NACION R3294</t>
  </si>
  <si>
    <t>OP 129</t>
  </si>
  <si>
    <t>OP 131</t>
  </si>
  <si>
    <t>acta 6</t>
  </si>
  <si>
    <t>acta parcial 2</t>
  </si>
  <si>
    <t>acta2 y final</t>
  </si>
  <si>
    <t>ACTA 1</t>
  </si>
  <si>
    <t>104-2018</t>
  </si>
  <si>
    <t>Diseño para la optimización sistema de acueducto de la cabecera municipal de padilla - cauca.</t>
  </si>
  <si>
    <t>CDR LIBERADOS</t>
  </si>
  <si>
    <t>FECHA SOLICITUD LIBERACION</t>
  </si>
  <si>
    <t>VALOR LIBERADO</t>
  </si>
  <si>
    <t>FUENTE CDR LIBERADO</t>
  </si>
  <si>
    <t>Departamento -Estampilla Prodesarrollo</t>
  </si>
  <si>
    <t>Estudios y diseños para la PTAR del Centro poblado de San Miguel, municipio de La Vega.</t>
  </si>
  <si>
    <t>diseño del plan maestro de alcantarillado del centro poblado de Puerto Rico, municipio de Argelia.</t>
  </si>
  <si>
    <t>Interventoria administrativa, financiera, tecnica y ambiental a los siguientes proyectos: A) Diseño alcantarillado corregimiento el Chamizo. B) Diseño optimización sistema de acueducto de la cabecera municipal de Padilla. C) Diseño acueducto vereda Palo Blanco Buenos Aires.</t>
  </si>
  <si>
    <t>Interventoria administrativa, financiera, tecnica y ambiental a los siguientes proyectos: A) Diseño optimización sistema de alcantarillado cabecera municipal de Morales. B) Diseño y estudios para el plan maestro de alcantarillado del centro poblado de Santa Rosa, Municipio de Morales. C) Diseño optimización sistema de acueducto cabecera de Piendamó. D) Diseño optimización sistema de alcantarillado cabecera de Piendamó.</t>
  </si>
  <si>
    <t>Interventoría a los siguientes proyectos:
-Diseño plan maestro de alcantarillado de El Mango -Argelia.
-Diseño plan maestro de alcantarillado El Sinai - Argelia.
-Diseño plan maestro de alcantarillado Puerto Rico -Argelia.
-Diseño PTAP San Miguel - La Vega.
-Diseño alcantarillado Párraga -Rosas.</t>
  </si>
  <si>
    <t>Anticipo</t>
  </si>
  <si>
    <t>Acta 1</t>
  </si>
  <si>
    <t>Acta 2</t>
  </si>
  <si>
    <t>Acta 3</t>
  </si>
  <si>
    <t>Acta 4</t>
  </si>
  <si>
    <t>Acta 5</t>
  </si>
  <si>
    <t>diseños de las obras del sistema de acueducto Regional de Patía - Cauca.</t>
  </si>
  <si>
    <t>estudios y diseños para la optimización del sistema de acueducto de la cabecera municipal de Mercaderes.</t>
  </si>
  <si>
    <t>estudios y diseños para la optimización del sistema de alcantarillado de la cabecera municipal de Mercaderes.</t>
  </si>
  <si>
    <t>estudios y diseños para la construcción del acueducto de Parraga, municipio de Rosas.</t>
  </si>
  <si>
    <t>estudios y diseños para la optimización del sistema del acueducto interveredal Rio Michicao, municipio de Cajibio</t>
  </si>
  <si>
    <t>estudios y diseños para el plan maestro de alcantarillado del centro poblado del Mango, Municipios de Argelia.</t>
  </si>
  <si>
    <t>estudios y diseños para la construcción del acueducto del corregimiento de La Toma, municipio de Suarez.</t>
  </si>
  <si>
    <t>estudios y diseños para la construcción del acueducto interveredal de Asnazu, Municipio de Suarez.</t>
  </si>
  <si>
    <t>estudios y diseños para el plan maestro de alcantarillado del centro poblado de Asnazu, municipio de Suarez.</t>
  </si>
  <si>
    <t>estudios y diseños para la optimización y ampliación del sistema de acueducto interveredal de Santa Leticia, municipio de Purace.</t>
  </si>
  <si>
    <t>estudios y diseños para la construcción del acueducto del sur occidente, municipios de Sotara y Timbio</t>
  </si>
  <si>
    <t>estudios y diseños del plan maestro de alcantarillado del centro poblado el SINAI, municipio de Argelia.</t>
  </si>
  <si>
    <t>estudios y diseños del plan maestro de alcantarillado de la cabecera del corregimiento La Belleza, Municipio de Argelia.</t>
  </si>
  <si>
    <t>estudios y diseños del acueducto de la vereda Palo Blanco, Municipio de Buenos Aires.</t>
  </si>
  <si>
    <t>estudios y diseños para la construcción del relleno sanitario regional con aprovechamiento Quitapereza en el municipio de Santander de Quilichao Cauca</t>
  </si>
  <si>
    <t>estudios y diseños para la disposición final de los residuos solidos en la cabecera municipal de Lopez de Micay - Cauca.</t>
  </si>
  <si>
    <t>ajustes del proyecto " Construcción de obras de optimización del sistema de alcantarillado II Etapa - Municipio de Guapi - Departamento del Cauca.</t>
  </si>
  <si>
    <t>diseños adecuación PTAP cabecera municipal de la Vega (Cauca)</t>
  </si>
  <si>
    <t>diseños PTAR centro Poblado de Altamira municipio de la Vega</t>
  </si>
  <si>
    <t>diseño de la optimización del sistema de acueducto de la cabecera municipal de Bolivar - Cauca</t>
  </si>
  <si>
    <t>diseño acueducto interveredal Cargachiquillos, municipio de Totoro - Cauca</t>
  </si>
  <si>
    <t>estudios y rediseño para las redes de alcantarillado sanitario de la cabecera corregimental de Valencia del municipio de San Sebastian - Cauca</t>
  </si>
  <si>
    <t>diseño optimización sistema de alcantarillado y PTAR del centro poblado El Ortigal - Miranda</t>
  </si>
  <si>
    <t>diseño acueducto interveredal zona baja Jambalo</t>
  </si>
  <si>
    <t>diseño optimización sistema de alcantarillado cabecera municipal de Morales</t>
  </si>
  <si>
    <t>diseño y estudio plan maestro alcantarillado centro Poblado Santa Rosa Municipio de Morales</t>
  </si>
  <si>
    <t>diseño optimización sistema de acueducto de la cabecera municipal de Timbio</t>
  </si>
  <si>
    <t>diseño optimización sistema de acueducto el saladito municipio de Timbio</t>
  </si>
  <si>
    <t>diseños de optimización sistema de acueducto cabecera municipal de Buenos Aires (Cauca)</t>
  </si>
  <si>
    <t>diseño optimización del sistema de acueducto de la cabecera municipal de Caloto - Cauca.</t>
  </si>
  <si>
    <t>diseño optimización sistema de alcantarillado cabecera municipal Caloto - Cauca</t>
  </si>
  <si>
    <t>diseño optimización sistema de acueducto cabecera municipal incluye PTAP de Piamonte - Cauca</t>
  </si>
  <si>
    <t>diseño optimización sistema de alcantarillado cabecera municipal incluye PTAR de Piamonte - Cauca</t>
  </si>
  <si>
    <t>diseño optimización sistema de alcantarillado de Miraflores incluye PTAR de Piamonte - Cauca</t>
  </si>
  <si>
    <t>actualización y diseños complementarios del proyecto acueducto interveredal de Topa Inzá (Cauca)</t>
  </si>
  <si>
    <t>diseño de optimización de la planta de tratamiento de agua potable del acueducto regional de Patía (Cauca)</t>
  </si>
  <si>
    <t>diseños complementarios al sistema de acueducto regional del norte del Cauca (EARPA)</t>
  </si>
  <si>
    <t>estudios y diseños acueducto Puerto Saija Municipio de Timbiquí - Cauca</t>
  </si>
  <si>
    <t>estudios y diseños optimización sistema de alcantarillado cabecera municipal - Coconuco (Incluye PTAR), municipio de Purace - Cauca</t>
  </si>
  <si>
    <t>estudios y diseños sistema de acueducto: veredas La Playa, Soto, La Luz, Buena Vista y La Laguna, municipio de Toribio - Cauca.</t>
  </si>
  <si>
    <t>Estudios y diseños sistema de alcantarillado vereda La Playa, municipio de Toribio - Cauca.</t>
  </si>
  <si>
    <t>estudios y diseños optimización sistema de acueducto cabecera municipal de La Sierra - Cauca</t>
  </si>
  <si>
    <t>estudios y diseños sistema de alcantarillado cabecera municipal (Incluye PTAR) municipio de Rosas - Cauca.</t>
  </si>
  <si>
    <t>estudios y diseños optimización sistema de acueducto cabecera municipal de Rosas - Cauca</t>
  </si>
  <si>
    <t>estudios y diseños sistema de acueducto el Rosal municipio de San Sebastian Cauca</t>
  </si>
  <si>
    <t>estudios y diseños sistema de acueducto vereda Naiciona, municipio Lopez de Micay - Cauca</t>
  </si>
  <si>
    <t>del análisis de factibilidad de tecnologías de disposición final de residuos solidos para el municipio de Guapi y de estudios y diseños de la alternativa seleccionada</t>
  </si>
  <si>
    <t>de todos los ajustes y actualización de los diseños existentes del proyecto "Construcción y optimización acueducto Palo Blanco y nueve veredas III Etapa municipio de Buenos Aires"</t>
  </si>
  <si>
    <t>diseño alcantarillado corregimiento el Chamizo municipio de Padilla Cauca</t>
  </si>
  <si>
    <t>DISEÑO CONSTRUCCION ACUEDUCTO RIO BERMEJO MPIOS DE BALBOA, PATIA Y MERCADERES</t>
  </si>
  <si>
    <t>Realizar interventoria administrativa, financiera, social y ambiental del contrato de consultoria de estudios y diseños para la disposicion final de residuos solidos en la cabecera municipal de Lopez de Micay</t>
  </si>
  <si>
    <t>INTERVENTORIA TÉCNICA, ADMINISTRATIVA, FINANCIERA, SOCIAL Y AMBIENTAL DE LOS SIGUIENTES CONTRATOS DE CONSULTORIA:1."DE LOS ESTUDIOS Y DISEÑOS PARA LA CONSTRUCCION DEL ACUEDUCTO INTERVEREDAL CORREGIMIENTO LA BERMEJA EN EL MUNICIPIO DE BALBOA, DEPARTAMENTO DEL CAUCA". 2."DE LOS ESTUDIOS Y DISEÑOS PARA LA OPTIMIZACION Y CONSTRUCCION DEL ALCANTARILLADO SANITARIO CORREGIMIENTO EL ESTRECHO MUNICPIO DE PATIA, DEPARTAMENTO DEL CAUCA". 3."DE LOS ESTUDIOS Y DISEÑOS PARA LA CONSTRUCCION Y OPTIMIZACION DEL SISTEMA DE ALCANTARILLADO DE LA CUCHILLA Y CABECERA MUNICIPAL DE LA SIERRA, DEPARTAMENTO DEL CAUCA".</t>
  </si>
  <si>
    <t>INTERVENTORIA CONTRATO DE CONSULTORIA: DE LOS ESTUDIOS Y DISEÑOS OPTIMIZACION DEL ACUEDUCTO INTERVEREDAL BELLA VISTA, NARANJAL, LA ESMERALDA, LOS MANGOS DEL MUNICIPIO DE SUAREZ, DEPARTAMENTO DEL CAUCA</t>
  </si>
  <si>
    <t>diseño optimización sistema de acueducto cabecera municipal de Patia - Cauca</t>
  </si>
  <si>
    <t>Interventoria administrativa, Financiera, tecnica y ambiental al siguiente proyecto: Diseño optimización sistema de alcantarillado de la cabecera municipal de Mercaderes.</t>
  </si>
  <si>
    <t>Interventoria administrativa, financiera, tecnica y ambiental a los siguientes proyectos: A) Diseño acueducto La Toma - Suarez. B) Diseño acueducto interveredal Asnazu - Suarez.</t>
  </si>
  <si>
    <t>Interventoria administrativa, financiera, tecnica y ambiental al siguiente proyecto: Estudios y diseños para la optimización y ampliación del sistema de acueducto interveredal de la zona de Santa Leticia, Purace.</t>
  </si>
  <si>
    <t>Interventoria administrativa, financiera, tecnica, y ambiental al siguiente proyecto: Diseño acueducto del sur occidente Sotara - Timbio, Municipio de Sotara.</t>
  </si>
  <si>
    <t xml:space="preserve">Interventoria administrativa, financiera, tecnica y ambiental a los siguientes proyectos: A) Diseño optimización sistema de alcantarillado cabecera municipal de Bolivar. B) Diseño optimización sistema de acueducto cabecera municipal de Patia. C) Diseño Optimización sistema de alcantarillado cabecera municipal de Patia. </t>
  </si>
  <si>
    <t>Interventoria administrativa, financiera, tecnica y ambiental a los siguientes proyectos: A) Diseño optimización plan maestro de alcantarillado cabecera municipal de Balboa. B) Diseño plan maestro de alcantarillado del centro poblado el Plateado municipio de Argelia. C) Diseño optimización sistema de alcantarillado Cabecera municipal de Bolivar.</t>
  </si>
  <si>
    <t>Interventoria administrativa, financiera, tecnica y ambiental a los siguientes proyectos: A) Diseño mejoramiento de la PTAP de la cabecera municipal de San Sebastian. B) Estudio y rediseño para las redes de alcantarillado sanitario de la cabecera corregimental de Santiago municipio de San Sebastian. C) Estudio y rediseño para las redes de alcantarillado sanitario de la cabecera corregimental de Valencia municipio de San Sebastian. D) Diseño adecuación PTAP cabecera municipal de la Vega. E) Diseño PTAR centro poblado Arbela municipio de La Vega. F) Diseño PTAR centro poblado Altamira municipio de la Vega.</t>
  </si>
  <si>
    <t>Interventoria administrativa, financiera, tecnica, y ambiental a los siguientes proyectos: A) Diseño acueducto interveredal zona campesina de Usenda - Silvia. B) Diseño alcantarillado Pluvial cabecera municipal de Suarez.</t>
  </si>
  <si>
    <t>Interventoria administrativa, financiera, tecnica y ambiental a los siguientes proyectos: A) Diseño optimización sistema de acueducto cabecera municipal de Puerto Tejada. B) Diseño alcantarillado cabecera municipal de Caloto. C) Diseño acueducto cabecera municipal de Caloto</t>
  </si>
  <si>
    <t>Interventoria administrativa, financiera, tecnica y ambiental al siguiente proyecto: A) Diseños complementarios al sistema de acueducto regional del norte del Cauca (EARPA)</t>
  </si>
  <si>
    <t>Interventoria administrativa, financiera, tecnica y ambiental al siguiente proyecto: A) Diseños construcción acueducto Rio Bermejo municipios de Balboa, Patía y Mercaderes, Cauca.</t>
  </si>
  <si>
    <t>Interventoria administrativa, financiera, tecnica y ambiental a los siguientes proyectos: A) Diseño plan maestro de alcantarillado del centro poblado Asnazu - Suarez. B) Diseño acueducto cabecera municipal de Piamonte. C) Diseño alcantarillado cabecera municipal de Piamonte. D) Diseño alcantarillado Miraflores municipio de Piamonte. E) Diseño complementarios del proyecto de acueducto interveredal de Topa - Inza.</t>
  </si>
  <si>
    <t>Diseño de la PTAR del centro poblado de Arbela municipio de la Vega - Cauca.</t>
  </si>
  <si>
    <t>Diseño de optimizacion sistema de alcantarillado de la cabecera municipal de Santa Rosa</t>
  </si>
  <si>
    <t>Diseño de optimización plan maestro de alcantarillado de la cabecera municipal de Balboa</t>
  </si>
  <si>
    <t>Diseño plan maestro de alcantarillado de la cabecera municipal de Totoro</t>
  </si>
  <si>
    <t>Diseño sistema de alcantarillado de la cabecera municipal de Guachené.</t>
  </si>
  <si>
    <t>Diseño sistema de acueducto de la cabecera municipal de Guachene</t>
  </si>
  <si>
    <t xml:space="preserve">Diseño para el mejoramientode la PTAP de la cabecera municipal de San Sebastian </t>
  </si>
  <si>
    <t>Diseño de optimización sistema de alcantarillado de la cabecera municipal de Cajibio</t>
  </si>
  <si>
    <t>Diseño de optimización sistema de acueducto cabecera municipal de Piendamo</t>
  </si>
  <si>
    <t>Diseño de optimización sistema de alcantarillado de la cabecera municipal de Piendamo</t>
  </si>
  <si>
    <t>Diseño de optimización sistema de acueducto Aires del Campo - Timbio</t>
  </si>
  <si>
    <t>Diseño de acueducto interveredal el Palmar - Santander de Quilichao</t>
  </si>
  <si>
    <t>Diseño de acueducto interveredal zona Norte - Santander de Quilichao</t>
  </si>
  <si>
    <t>Diseño de acueducto interveredal Munchique parte baja municipio de Santander de Quilichao</t>
  </si>
  <si>
    <t>Diseño de acueducto interveredal Paramillo municipio de Santander de Quilichao</t>
  </si>
  <si>
    <t>Diseño de acueducto interveredal zona campesina Usenda Silvia</t>
  </si>
  <si>
    <t>Diseño optimización sistema de acueducto del corregimiento de Marsella Florencia</t>
  </si>
  <si>
    <t>Diseño de optimización del sistema de acueducto de la cabecera municipal de Puerto Tejada - Cauca.</t>
  </si>
  <si>
    <t>Diseño de optimización del sistema de acueducto de Santa Barbara, municipio de Cajibio - Cauca.</t>
  </si>
  <si>
    <t>Construcción de alcantarillado sanitario, sistema de tratamiento de aguas residuales y obras para el manejo Drenaje pluvial, vereda el chamizo, municipio de Padilla.</t>
  </si>
  <si>
    <t>FORMULACION DEL PLAN DE SANEAMIENTO Y MANEJO DE VERTIMIENTOS - PSMV, PARA LOS MUNICIPIOS DE MORALES, ROSAS, SAN SEBASTIAN, SOTARA, TOTORO Y DOCUMENTO TECNICO PARA LA SOLICITUD DEL PERMISO DE VERTIMIENTOS PARA LAS VEREDAS EL TRAPICHE Y VITOYO EN EL MUNICIPIO DE JAMBALO Y VEREDA LOS ROBLES EN EL MUNICIPIO DE PADILLA EN EL DEPARTAMENTO DEL CAUCA</t>
  </si>
  <si>
    <t>Estudio y rediseño para las redes de alcantarillado sanitario de la cabecera corregimental de Santiago - Municipio de San Sebastián</t>
  </si>
  <si>
    <t>Prestar sus servicios profesionales de ingeniero civil para realizar Interventoria administrativa, financiera, tecnica y ambiental al siguiente proyecto: Diseño Optimización sistema de acueducto interveredal de Michicao, Cajibio.</t>
  </si>
  <si>
    <t xml:space="preserve">Prestar sus servicios profesionales de ingeniero civil para realizar Interventoria administrativa, financiera, tecnica y ambiental a los siguientes proyectos: A) Diseño optimización de alcantarillado y PTAR centro poblado el Ortigal Miranda. B) Diseño optimización sistema de acueducto cabecera municipal de Buenos Aires. C) Diseño optimización sistema de alcantarillado Cabecera municipal de Santa Rosa. D) Diseño optimización sistema de acueducto el saladito municipio de Timbio. F) Diseño optimización sistema de acueducto Aires del campo municipio de Timbio. G) Diseño optimización acueducto corregimiento de Marsella municipio de Florencia. </t>
  </si>
  <si>
    <t>Interventoria tecnica, administrativa y financiera a las obras y suministros de los siguientes proyectos: 1) Construcción segunda etapa acueducto interveredal del corregimiento de Puerto Rico, municipio de Argelia. 2) Terminación plan maestro de alcantarillado cabecera municipal de la Vega. 3) Construcción acueducto rural Patugo, municipio Purace Cauca.</t>
  </si>
  <si>
    <t>Interventoria tecnica, administrativa y financiera a la obra y suministros del siguiente proyecto: "Construcción e implementación del plan maestro de alcantarillado en el area urbana del municipio de Santander de Quilichao"</t>
  </si>
  <si>
    <t>Interventoria tecnica, administrativa y financiera a la obra y suministros del siguiente proyecto: "Construcción mejoramiento plan maestro de alcantarillado zona urbana del municipio de Silvia"</t>
  </si>
  <si>
    <t>Interventoria tecnica, administrativa y financiera a la obra y suministros del siguiente proyecto: "Construcción sistema de abastecimiento de agua potable en los distritos 4 y 5 interveredal Tunia, Municipio de Piendamo"</t>
  </si>
  <si>
    <t>Realizar Interventoria tecnica, administrativa y financiera del contrato de obra publica N° 06 de 2011: Denominada "Construcción rehabilitación, acueducto vereda Las Cruces, Municipio de Timbio - Cauca"</t>
  </si>
  <si>
    <t>Realizar Interventoria técnica, administrativa y financiera del contrato de obra pública N° 5 de 2011; Cuyo objeto es: "Construcción rehabilitación acueducto veredal Higueron - Guayabal municipios de Timbio y Sotará - Cauca"</t>
  </si>
  <si>
    <t>Realizar Interventoría técnica, administrativa y financiera del contrato de obra pública n° 04-2011 denominada: "Construcción rehabilitación acueducto cabecera municipal de Timbio - Cauca"</t>
  </si>
  <si>
    <t>Realizar Interventoría técnica, administrativa y financiera del contrato de obra pública N° 07-2011 denominada: "Construcción rehabilitación acueducto regional del norte - Rio Palo (EARPA) Departamento Cauca"</t>
  </si>
  <si>
    <t>Realizar Interventoría técnica, administrativa y financiera del contrato de obra pública n° 09-2011; Cuyo objeto es: "Construcción rehabilitación y obras de protección acueducto regional plan del Patíal, Municipio de Patía - Cauca"</t>
  </si>
  <si>
    <t>Realizar Interventoría técnica, administrativa y financiera: Del contrato de Obra pública N° 03-2011; cuyo objeto es: "Terminación construcción segunda etapa del acueducto de Palo Blanco y nueve veredas en el municipio de Buenos Aires - Cauca"</t>
  </si>
  <si>
    <t>Optimización acueducto interveredal Isabelilla Toribio, Departamento del Cauca.</t>
  </si>
  <si>
    <t>Realizar Interventoría técnica, ambiental, administrativa y financiera a las siguientes obras: "Construcción sistema de acueducto cabecera municipal de Totoro - Cauca" y "Construcción optimización del acueducto interveredal Isabelilla, municipio de Toribio - Cauca"</t>
  </si>
  <si>
    <t>Realizar Interventoría técnica, administrativa y financiera de las siguientes obras: A) Rehabilitación de viaductos sistema de acueducto veredal Michicao, municipio de Cajibio. B) Rehabilitación acueducto vereda La Venta - El Cofre, municipio de Cajibio. C) Rehabilitación acueducto interveredal el Tablón - Chapio, municipio de Puracé.</t>
  </si>
  <si>
    <t>Realizar Interventoría técnica, administrativa y financiera de las siguientes obras: A) Rehabilitación acueducto veredal Arbela, municipio de la Vega. B) Rehabilitación acueductos Honduras y Belen municipio de Morales.</t>
  </si>
  <si>
    <t>Realizar Interventoría técnica a los siguientes contratos de consultoría: 77-2011, 78-2011, 79-2011, 80-2011, 81-2011, 82-2011, 83-2011, 84-2011 y 85-2011</t>
  </si>
  <si>
    <t>Realizar Interventoría técnica, ambiental, administrativa y financiera al contrato de obra n° 88 de 2011 cuyo objeto es: Construcción optimzación del sistema de acueducto de la cabecera municipal de Patía (El Bordo) Cauca.</t>
  </si>
  <si>
    <t>Realizar Interventoría técnica, ambiental, administrativa y financiera al contrato de obra n° 89 de 2011 cuyo objeto es: Construcción alcantarillado sanitario centro poblado de la Cuchilla y tramos de la cabecera municipal y II etapa PTAR del municipio de la Sierra, Cauca.</t>
  </si>
  <si>
    <t>de los estudios de suelos para los sitios de disposicion final de desechos solidos en los municipio de Totoro, Piendamo, El Tambo, Rosas y La Sierra para el departamento del cauca de conformidad con los estudios previos y Invitacion formulada para la entidad</t>
  </si>
  <si>
    <t>EL CONTRATISTA SE OBLIGA PARA CON EMCASERVICIOS A REALIZAR INTERVENTORÍA TÉCNICA, ADMINISTRATIVA, SOCIAL Y AMBIENTAL DEL SIGUIENTE CONTRATO DE CONSULTORÍA  A LA ESTUDIOS Y DISEÑOS PARA LA CONSTRUCCIÓN DEL RELLENO SANITARIO REGIONAL CON APROVECHAMIENTO QUITAPEREZA EN EL MUNICIPIO DE SANTANDER DE QUILICHAO-CAUCA"</t>
  </si>
  <si>
    <t xml:space="preserve">Realizar Interventoria tecnica, administrativa, financiera, social y ambiental del contrato de obra Optimizacion del alcantarillado sanitario municipio de Padilla </t>
  </si>
  <si>
    <t>Realizar Interventoria tecnica administrativa, financiera, social y ambiental del contrato de consultoria cuyo objeto es del analisis de factibilidad de tecnologias de disposicion final de residuos solidos para el municipio de Guapi y de estudios y diseños de la alternativa seleccionada.</t>
  </si>
  <si>
    <t>Realizar Interventoría técnica, administrativa, financiera, social y ambiental del siguiente contrato de Consultoría: "ajustes del proyecto Construcción de obras de optimización del sistema de alcantarillado II Etapa - Municipio de Guapi - Departamento del Cauca"</t>
  </si>
  <si>
    <t>Realizar Interventoría técnica, administrativa, financiera, social y ambiental del siguiente contrato de Obra: "Construcción acueducto y terminación planta de tratamiento convencional interveredal Quinamayo - Alegrías Santander de Quilichao"</t>
  </si>
  <si>
    <t>REALIZAR INTERVENTORIA TECNICA, ADMINISTRATIVA, FINANCIERA, SOCIAL Y AMBIENTL DEL SIGUIENTE CONTRATO DE OBRA: CONSTRUCCION OBRAS DE OPTIMIZACION RED DE ADUCCION Y PLANTA DE TRATAMIENTO DE AGUA POTABLE DE LA CABECERA MUNICIPAL LA SIERRA CAUCA DEPARTAMENTO DEL CAUCA</t>
  </si>
  <si>
    <t>EL CONTRATISTA SE OBLIGA PARA CON EMCASERVICIOS A REALIZAR INTERVENTORIA TECNICA, ADMINISTRATIVA, FINANCIERA, SOCIAL Y AMBIENTAL DEL SIGUIENTE CONTRATO DE OBRA: "CONSTRUCCION DE OBRAS DE OPTIMIZACION DEL SISTEMA DE TRATAMIENTO DE  AGUA POTABLE, ACUEDUCTO REGIONAL PATIA, DEPARTAMENTO DEL CAUCA"</t>
  </si>
  <si>
    <t>Ajustes estudios y diseños optimización del plan maestro de alcantarillado del Municipio de la Vega</t>
  </si>
  <si>
    <t>69-2012</t>
  </si>
  <si>
    <r>
      <rPr>
        <b/>
        <sz val="12"/>
        <color theme="1"/>
        <rFont val="Calibri"/>
        <family val="2"/>
        <scheme val="minor"/>
      </rPr>
      <t>Contrato terminado con acta de cierre SIN FIRMAR:</t>
    </r>
    <r>
      <rPr>
        <sz val="12"/>
        <color theme="1"/>
        <rFont val="Calibri"/>
        <family val="2"/>
        <scheme val="minor"/>
      </rPr>
      <t xml:space="preserve"> Según acta de cierre, no se le reconocen $34.256.250 al contratista dado que se perdió competencia para liquidar el contrato.  El CDR 007-2010, expedido para el mismo objeto, aparece anulado en el portal del FIA.</t>
    </r>
  </si>
  <si>
    <r>
      <rPr>
        <b/>
        <sz val="12"/>
        <color theme="1"/>
        <rFont val="Calibri"/>
        <family val="2"/>
        <scheme val="minor"/>
      </rPr>
      <t>Contrato terminado sin liquidar:</t>
    </r>
    <r>
      <rPr>
        <sz val="12"/>
        <color theme="1"/>
        <rFont val="Calibri"/>
        <family val="2"/>
        <scheme val="minor"/>
      </rPr>
      <t xml:space="preserve"> Según acta de cierre SIN FIRMAR, no se le reconocen $4.407.995 al contratista dado que se perdió competencia para liquidar el contrato.  Una vez hechos los cruces por la confusión de fuentes, se pueden liberar $2.644.826. El contratista debe hacer devolución de $1´763.216 del anticipo.</t>
    </r>
  </si>
  <si>
    <t>SGP FACT 149 PAGO PARCIAL CONTRATO DE SOBRA</t>
  </si>
  <si>
    <t>NACION FACT 149 PAGO PARCIAL CONTRATO DE OBRA</t>
  </si>
  <si>
    <t>FV 174 ACTA 6 CTO 08-2011 CDR 125 SGP R-3218</t>
  </si>
  <si>
    <t>FV 174 ACTA 6 CTO 08-2011 CDR 125 NACION R-3218</t>
  </si>
  <si>
    <t>Total PA FIA - SGP</t>
  </si>
  <si>
    <t>Total PA FIA - RECURSOS DE LA NACION</t>
  </si>
  <si>
    <t>saldo</t>
  </si>
  <si>
    <t>Acta 7</t>
  </si>
  <si>
    <t>liquidado a marzo -18-con saldo. No se ha tramitado el ultimo pago, por consiguiente no se pueden liberar saldos</t>
  </si>
  <si>
    <t>observación</t>
  </si>
  <si>
    <t>OBSERVACIONES</t>
  </si>
  <si>
    <t>Acta de liquidación del 15-ene-16, no se ha tramitado el pago del acta única y final. No se pueden liberar saldos</t>
  </si>
  <si>
    <t>Contrato liquidado, pero no se ha tramitado la última acta para pago.  No pueden liberar saldos.</t>
  </si>
  <si>
    <t>Acta de liquidación del 29 de septiembre de 2017, se puede liberar el saldo</t>
  </si>
  <si>
    <t>ESTA IMPRESA EL ACTA DE LIQUIDACIÓN</t>
  </si>
  <si>
    <t>SI</t>
  </si>
  <si>
    <t>no esta el acta de liquidación</t>
  </si>
  <si>
    <t>acta de cierre con saldos a liberar</t>
  </si>
  <si>
    <t>FV ACTA 1 CTO 60-2010 CDR 85 NACION R-8823</t>
  </si>
  <si>
    <t>40% ANTICIPO CONTRATO DE OBRA 060 DE 2010. -MUNCIPIO LA VEGA</t>
  </si>
  <si>
    <t>FV ACTA 1 CTO 60-2010 CDR 85 SGP R-8823</t>
  </si>
  <si>
    <r>
      <rPr>
        <b/>
        <sz val="12"/>
        <color theme="1"/>
        <rFont val="Calibri"/>
        <family val="2"/>
        <scheme val="minor"/>
      </rPr>
      <t xml:space="preserve">Acta de liquidación del 22 de agosto del 2017.  </t>
    </r>
    <r>
      <rPr>
        <sz val="12"/>
        <color theme="1"/>
        <rFont val="Calibri"/>
        <family val="2"/>
        <scheme val="minor"/>
      </rPr>
      <t xml:space="preserve">no se ejecuto la suma de $978.315, existe confusión de fuentes $0,20. </t>
    </r>
  </si>
  <si>
    <t>FRA 7 PAGO FINAL CTO 75 2010 CDR 99 NACION R9591</t>
  </si>
  <si>
    <t>40% ANTICIPO CONTRATO DE OBRA 075 DE 2010. -MUNCIPIO JAMBALO</t>
  </si>
  <si>
    <t>FRA 7 PAGO FINAL CTO 75 2010 CDR 99 SGP R9591</t>
  </si>
  <si>
    <t>Contrato en trámite de liquidación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</si>
</sst>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 #,##0_);\(&quot;$&quot;\ #,##0\)"/>
    <numFmt numFmtId="6" formatCode="&quot;$&quot;\ #,##0_);[Red]\(&quot;$&quot;\ #,##0\)"/>
    <numFmt numFmtId="8" formatCode="&quot;$&quot;\ #,##0.00_);[Red]\(&quot;$&quot;\ #,##0.00\)"/>
    <numFmt numFmtId="44" formatCode="_(&quot;$&quot;\ * #,##0.00_);_(&quot;$&quot;\ * \(#,##0.00\);_(&quot;$&quot;\ * &quot;-&quot;??_);_(@_)"/>
    <numFmt numFmtId="164" formatCode="_-* #,##0_-;\-* #,##0_-;_-* &quot;-&quot;_-;_-@_-"/>
    <numFmt numFmtId="165" formatCode="_-* #,##0.00_-;\-* #,##0.00_-;_-* &quot;-&quot;??_-;_-@_-"/>
    <numFmt numFmtId="166" formatCode="&quot;$&quot;#,##0;\-&quot;$&quot;#,##0"/>
    <numFmt numFmtId="167" formatCode="&quot;$&quot;#,##0;[Red]\-&quot;$&quot;#,##0"/>
    <numFmt numFmtId="168" formatCode="&quot;$&quot;#,##0.00;\-&quot;$&quot;#,##0.00"/>
    <numFmt numFmtId="169" formatCode="&quot;$&quot;#,##0.00;[Red]\-&quot;$&quot;#,##0.00"/>
    <numFmt numFmtId="170" formatCode="_-&quot;$&quot;* #,##0_-;\-&quot;$&quot;* #,##0_-;_-&quot;$&quot;* &quot;-&quot;_-;_-@_-"/>
    <numFmt numFmtId="171" formatCode="_-&quot;$&quot;* #,##0.00_-;\-&quot;$&quot;* #,##0.00_-;_-&quot;$&quot;* &quot;-&quot;??_-;_-@_-"/>
    <numFmt numFmtId="172" formatCode="dd/mm/yyyy;@"/>
    <numFmt numFmtId="173" formatCode="0_ ;\-0\ "/>
    <numFmt numFmtId="174" formatCode="#,##0_ ;\-#,##0\ "/>
    <numFmt numFmtId="175" formatCode="#,##0;[Red]#,##0"/>
    <numFmt numFmtId="176" formatCode="0_ ;[Red]\-0\ "/>
    <numFmt numFmtId="177" formatCode="&quot;$&quot;#,##0.00"/>
    <numFmt numFmtId="178" formatCode="_ &quot;$&quot;\ * #,##0_ ;_ &quot;$&quot;\ * \-#,##0_ ;_ &quot;$&quot;\ * &quot;-&quot;_ ;_ @_ "/>
    <numFmt numFmtId="179" formatCode="_ &quot;$&quot;\ * #,##0.00_ ;_ &quot;$&quot;\ * \-#,##0.00_ ;_ &quot;$&quot;\ * &quot;-&quot;??_ ;_ @_ "/>
    <numFmt numFmtId="180" formatCode="_ * #,##0.00_ ;_ * \-#,##0.00_ ;_ * &quot;-&quot;??_ ;_ @_ "/>
    <numFmt numFmtId="181" formatCode="0;[Red]0"/>
    <numFmt numFmtId="182" formatCode="_-&quot;$&quot;* #,##0.00_-;\-&quot;$&quot;* #,##0.00_-;_-&quot;$&quot;* &quot;-&quot;_-;_-@_-"/>
    <numFmt numFmtId="183" formatCode="#,##0.00;[Red]#,##0.00"/>
    <numFmt numFmtId="184" formatCode="_(* #,##0_);_(* \(#,##0\);_(* &quot;-&quot;??_);_(@_)"/>
    <numFmt numFmtId="185" formatCode="d/m/yy;@"/>
    <numFmt numFmtId="186" formatCode="_-* #,##0.00_-;\-* #,##0.00_-;_-* &quot;-&quot;_-;_-@_-"/>
  </numFmts>
  <fonts count="62">
    <font>
      <sz val="11"/>
      <color theme="1"/>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sz val="12"/>
      <name val="Calibri"/>
      <family val="2"/>
      <scheme val="minor"/>
    </font>
    <font>
      <b/>
      <sz val="9"/>
      <color indexed="81"/>
      <name val="Tahoma"/>
      <family val="2"/>
    </font>
    <font>
      <sz val="9"/>
      <color indexed="81"/>
      <name val="Tahoma"/>
      <family val="2"/>
    </font>
    <font>
      <u/>
      <sz val="11"/>
      <color theme="10"/>
      <name val="Calibri"/>
      <family val="2"/>
      <scheme val="minor"/>
    </font>
    <font>
      <b/>
      <sz val="12"/>
      <color rgb="FFFF0000"/>
      <name val="Calibri"/>
      <family val="2"/>
      <scheme val="minor"/>
    </font>
    <font>
      <b/>
      <u/>
      <sz val="12"/>
      <name val="Calibri"/>
      <family val="2"/>
      <scheme val="minor"/>
    </font>
    <font>
      <b/>
      <sz val="12"/>
      <name val="Calibri"/>
      <family val="2"/>
      <scheme val="minor"/>
    </font>
    <font>
      <i/>
      <sz val="12"/>
      <color theme="1"/>
      <name val="Calibri"/>
      <family val="2"/>
      <scheme val="minor"/>
    </font>
    <font>
      <sz val="12"/>
      <color rgb="FFFF0000"/>
      <name val="Calibri"/>
      <family val="2"/>
      <scheme val="minor"/>
    </font>
    <font>
      <b/>
      <u/>
      <sz val="12"/>
      <color theme="6" tint="-0.249977111117893"/>
      <name val="Calibri"/>
      <family val="2"/>
      <scheme val="minor"/>
    </font>
    <font>
      <u/>
      <sz val="12"/>
      <name val="Calibri"/>
      <family val="2"/>
      <scheme val="minor"/>
    </font>
    <font>
      <b/>
      <sz val="12"/>
      <color theme="3" tint="0.39997558519241921"/>
      <name val="Calibri"/>
      <family val="2"/>
      <scheme val="minor"/>
    </font>
    <font>
      <u/>
      <sz val="12"/>
      <color theme="6" tint="-0.249977111117893"/>
      <name val="Calibri"/>
      <family val="2"/>
      <scheme val="minor"/>
    </font>
    <font>
      <sz val="12"/>
      <color theme="6" tint="-0.249977111117893"/>
      <name val="Calibri"/>
      <family val="2"/>
      <scheme val="minor"/>
    </font>
    <font>
      <b/>
      <i/>
      <u/>
      <sz val="12"/>
      <color theme="6" tint="-0.249977111117893"/>
      <name val="Calibri"/>
      <family val="2"/>
      <scheme val="minor"/>
    </font>
    <font>
      <b/>
      <u/>
      <sz val="12"/>
      <color rgb="FFFFC000"/>
      <name val="Calibri"/>
      <family val="2"/>
      <scheme val="minor"/>
    </font>
    <font>
      <b/>
      <u/>
      <sz val="11"/>
      <color rgb="FFFF0000"/>
      <name val="Calibri"/>
      <family val="2"/>
      <scheme val="minor"/>
    </font>
    <font>
      <b/>
      <u/>
      <sz val="12"/>
      <color theme="1"/>
      <name val="Calibri"/>
      <family val="2"/>
      <scheme val="minor"/>
    </font>
    <font>
      <b/>
      <u/>
      <sz val="12"/>
      <color theme="3" tint="0.39997558519241921"/>
      <name val="Calibri"/>
      <family val="2"/>
      <scheme val="minor"/>
    </font>
    <font>
      <b/>
      <u/>
      <sz val="11"/>
      <color theme="3" tint="0.39997558519241921"/>
      <name val="Calibri"/>
      <family val="2"/>
      <scheme val="minor"/>
    </font>
    <font>
      <sz val="10"/>
      <name val="Arial"/>
      <family val="2"/>
    </font>
    <font>
      <u/>
      <sz val="12"/>
      <color theme="10"/>
      <name val="Calibri"/>
      <family val="2"/>
      <scheme val="minor"/>
    </font>
    <font>
      <u/>
      <sz val="12"/>
      <color theme="3" tint="-0.249977111117893"/>
      <name val="Calibri"/>
      <family val="2"/>
      <scheme val="minor"/>
    </font>
    <font>
      <sz val="10"/>
      <color theme="1"/>
      <name val="Calibri"/>
      <family val="2"/>
      <scheme val="minor"/>
    </font>
    <font>
      <sz val="22"/>
      <color rgb="FFFF0000"/>
      <name val="Calibri"/>
      <family val="2"/>
      <scheme val="minor"/>
    </font>
    <font>
      <b/>
      <sz val="11"/>
      <color theme="1"/>
      <name val="Calibri"/>
      <family val="2"/>
      <scheme val="minor"/>
    </font>
    <font>
      <b/>
      <sz val="12"/>
      <name val="Arial"/>
      <family val="2"/>
    </font>
    <font>
      <sz val="12"/>
      <name val="Arial"/>
      <family val="2"/>
    </font>
    <font>
      <sz val="18"/>
      <color theme="1"/>
      <name val="Calibri"/>
      <family val="2"/>
      <scheme val="minor"/>
    </font>
    <font>
      <sz val="14"/>
      <color theme="1"/>
      <name val="Calibri"/>
      <family val="2"/>
      <scheme val="minor"/>
    </font>
    <font>
      <sz val="26"/>
      <color theme="1"/>
      <name val="Calibri"/>
      <family val="2"/>
      <scheme val="minor"/>
    </font>
    <font>
      <b/>
      <sz val="12"/>
      <color rgb="FF0000FF"/>
      <name val="Calibri"/>
      <family val="2"/>
      <scheme val="minor"/>
    </font>
    <font>
      <b/>
      <sz val="10"/>
      <color rgb="FF0000FF"/>
      <name val="Calibri"/>
      <family val="2"/>
      <scheme val="minor"/>
    </font>
    <font>
      <sz val="9.9"/>
      <color theme="1"/>
      <name val="Calibri"/>
      <family val="2"/>
      <scheme val="minor"/>
    </font>
    <font>
      <sz val="12"/>
      <color theme="2" tint="-0.749992370372631"/>
      <name val="Calibri"/>
      <family val="2"/>
      <scheme val="minor"/>
    </font>
    <font>
      <sz val="28"/>
      <color theme="1"/>
      <name val="Calibri"/>
      <family val="2"/>
      <scheme val="minor"/>
    </font>
    <font>
      <i/>
      <sz val="10"/>
      <name val="Arial"/>
      <family val="2"/>
    </font>
    <font>
      <sz val="22"/>
      <color theme="1"/>
      <name val="Calibri"/>
      <family val="2"/>
      <scheme val="minor"/>
    </font>
    <font>
      <b/>
      <sz val="11"/>
      <color rgb="FF0000FF"/>
      <name val="&amp;quot"/>
    </font>
    <font>
      <sz val="10"/>
      <color rgb="FF333333"/>
      <name val="&amp;quot"/>
    </font>
    <font>
      <b/>
      <sz val="9"/>
      <color theme="1"/>
      <name val="&amp;quot"/>
    </font>
    <font>
      <sz val="9"/>
      <color theme="1"/>
      <name val="&amp;quot"/>
    </font>
    <font>
      <b/>
      <sz val="11"/>
      <color theme="1"/>
      <name val="&amp;quot"/>
    </font>
    <font>
      <b/>
      <sz val="9"/>
      <color rgb="FF333333"/>
      <name val="&amp;quot"/>
    </font>
    <font>
      <sz val="9"/>
      <color rgb="FF333333"/>
      <name val="&amp;quot"/>
    </font>
    <font>
      <b/>
      <u/>
      <sz val="11"/>
      <color theme="1"/>
      <name val="Calibri"/>
      <family val="2"/>
      <scheme val="minor"/>
    </font>
    <font>
      <u/>
      <sz val="11"/>
      <color theme="1"/>
      <name val="Calibri"/>
      <family val="2"/>
      <scheme val="minor"/>
    </font>
    <font>
      <b/>
      <sz val="11"/>
      <name val="Calibri"/>
      <family val="2"/>
      <scheme val="minor"/>
    </font>
    <font>
      <sz val="11"/>
      <name val="Calibri"/>
      <family val="2"/>
      <scheme val="minor"/>
    </font>
    <font>
      <sz val="9.9"/>
      <color rgb="FF333333"/>
      <name val="Arial"/>
      <family val="2"/>
    </font>
    <font>
      <b/>
      <sz val="9.9"/>
      <color theme="1"/>
      <name val="Arial"/>
      <family val="2"/>
    </font>
    <font>
      <sz val="9.9"/>
      <color theme="1"/>
      <name val="Arial"/>
      <family val="2"/>
    </font>
    <font>
      <sz val="9.9"/>
      <color rgb="FF666666"/>
      <name val="Arial"/>
      <family val="2"/>
    </font>
    <font>
      <b/>
      <sz val="13"/>
      <color rgb="FF0000FF"/>
      <name val="Inherit"/>
    </font>
    <font>
      <b/>
      <sz val="11"/>
      <color rgb="FF0000FF"/>
      <name val="Inherit"/>
    </font>
    <font>
      <b/>
      <sz val="11"/>
      <color rgb="FFFF0000"/>
      <name val="Calibri"/>
      <family val="2"/>
      <scheme val="minor"/>
    </font>
    <font>
      <sz val="11"/>
      <color rgb="FFFF0000"/>
      <name val="Calibri"/>
      <family val="2"/>
      <scheme val="minor"/>
    </font>
    <font>
      <sz val="9"/>
      <color rgb="FF333333"/>
      <name val="Arial"/>
      <family val="2"/>
    </font>
  </fonts>
  <fills count="26">
    <fill>
      <patternFill patternType="none"/>
    </fill>
    <fill>
      <patternFill patternType="gray125"/>
    </fill>
    <fill>
      <patternFill patternType="solid">
        <fgColor theme="0" tint="-0.24997711111789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indexed="9"/>
        <bgColor indexed="64"/>
      </patternFill>
    </fill>
    <fill>
      <patternFill patternType="solid">
        <fgColor theme="5" tint="0.59999389629810485"/>
        <bgColor indexed="64"/>
      </patternFill>
    </fill>
    <fill>
      <patternFill patternType="solid">
        <fgColor rgb="FFF9F9F9"/>
        <bgColor indexed="64"/>
      </patternFill>
    </fill>
    <fill>
      <patternFill patternType="solid">
        <fgColor rgb="FFF1F1F1"/>
        <bgColor indexed="64"/>
      </patternFill>
    </fill>
    <fill>
      <patternFill patternType="solid">
        <fgColor rgb="FFFFFFFF"/>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F5F5F5"/>
        <bgColor indexed="64"/>
      </patternFill>
    </fill>
    <fill>
      <patternFill patternType="solid">
        <fgColor rgb="FFEAEAEA"/>
        <bgColor indexed="64"/>
      </patternFill>
    </fill>
    <fill>
      <patternFill patternType="solid">
        <fgColor theme="3" tint="0.79998168889431442"/>
        <bgColor indexed="64"/>
      </patternFill>
    </fill>
    <fill>
      <patternFill patternType="solid">
        <fgColor rgb="FF92D05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bottom/>
      <diagonal/>
    </border>
    <border>
      <left/>
      <right/>
      <top style="medium">
        <color rgb="FF000000"/>
      </top>
      <bottom style="dotted">
        <color rgb="FFDDDDDD"/>
      </bottom>
      <diagonal/>
    </border>
    <border>
      <left/>
      <right/>
      <top/>
      <bottom style="medium">
        <color rgb="FF000000"/>
      </bottom>
      <diagonal/>
    </border>
    <border>
      <left/>
      <right/>
      <top/>
      <bottom style="dotted">
        <color rgb="FFDDDDDD"/>
      </bottom>
      <diagonal/>
    </border>
    <border>
      <left/>
      <right/>
      <top style="medium">
        <color rgb="FFDDDDDD"/>
      </top>
      <bottom style="dotted">
        <color rgb="FFDDDDDD"/>
      </bottom>
      <diagonal/>
    </border>
    <border>
      <left/>
      <right/>
      <top style="medium">
        <color rgb="FFDDDDDD"/>
      </top>
      <bottom/>
      <diagonal/>
    </border>
  </borders>
  <cellStyleXfs count="19">
    <xf numFmtId="0" fontId="0" fillId="0" borderId="0"/>
    <xf numFmtId="170" fontId="3" fillId="0" borderId="0" applyFont="0" applyFill="0" applyBorder="0" applyAlignment="0" applyProtection="0"/>
    <xf numFmtId="0" fontId="7" fillId="0" borderId="0" applyNumberForma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0" fontId="3" fillId="0" borderId="0" applyFont="0" applyFill="0" applyBorder="0" applyAlignment="0" applyProtection="0"/>
    <xf numFmtId="44" fontId="3" fillId="0" borderId="0" applyFont="0" applyFill="0" applyBorder="0" applyAlignment="0" applyProtection="0"/>
    <xf numFmtId="0" fontId="24" fillId="0" borderId="0"/>
    <xf numFmtId="180" fontId="24" fillId="0" borderId="0" applyFont="0" applyFill="0" applyBorder="0" applyAlignment="0" applyProtection="0"/>
    <xf numFmtId="179" fontId="24" fillId="0" borderId="0" applyFont="0" applyFill="0" applyBorder="0" applyAlignment="0" applyProtection="0"/>
    <xf numFmtId="178" fontId="24" fillId="0" borderId="0" applyFont="0" applyFill="0" applyBorder="0" applyAlignment="0" applyProtection="0"/>
    <xf numFmtId="0" fontId="24" fillId="0" borderId="0"/>
    <xf numFmtId="0" fontId="3" fillId="0" borderId="0"/>
    <xf numFmtId="9" fontId="24" fillId="0" borderId="0" applyFont="0" applyFill="0" applyBorder="0" applyAlignment="0" applyProtection="0"/>
    <xf numFmtId="164" fontId="3" fillId="0" borderId="0" applyFont="0" applyFill="0" applyBorder="0" applyAlignment="0" applyProtection="0"/>
    <xf numFmtId="179" fontId="24" fillId="0" borderId="0" applyFont="0" applyFill="0" applyBorder="0" applyAlignment="0" applyProtection="0"/>
    <xf numFmtId="165" fontId="3" fillId="0" borderId="0" applyFont="0" applyFill="0" applyBorder="0" applyAlignment="0" applyProtection="0"/>
  </cellStyleXfs>
  <cellXfs count="1499">
    <xf numFmtId="0" fontId="0" fillId="0" borderId="0" xfId="0"/>
    <xf numFmtId="0" fontId="1"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wrapText="1"/>
    </xf>
    <xf numFmtId="0" fontId="1" fillId="0" borderId="0" xfId="0" applyFont="1" applyFill="1" applyAlignment="1">
      <alignment horizontal="center" vertical="center" wrapText="1"/>
    </xf>
    <xf numFmtId="49" fontId="2" fillId="3" borderId="1"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172" fontId="2" fillId="5" borderId="1" xfId="0" applyNumberFormat="1" applyFont="1" applyFill="1" applyBorder="1" applyAlignment="1">
      <alignment horizontal="center" vertical="center" wrapText="1"/>
    </xf>
    <xf numFmtId="0" fontId="2" fillId="7"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applyFill="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left" vertical="center" wrapText="1"/>
    </xf>
    <xf numFmtId="0" fontId="4" fillId="0" borderId="1" xfId="0" applyFont="1" applyBorder="1" applyAlignment="1">
      <alignment horizontal="left" vertical="center" wrapText="1"/>
    </xf>
    <xf numFmtId="0" fontId="13" fillId="0" borderId="0" xfId="0" applyFont="1" applyAlignment="1">
      <alignment horizontal="center" vertical="center" wrapText="1"/>
    </xf>
    <xf numFmtId="0" fontId="8" fillId="0" borderId="0" xfId="0" applyFont="1" applyAlignment="1">
      <alignment horizontal="center" vertical="center" wrapText="1"/>
    </xf>
    <xf numFmtId="49" fontId="2" fillId="2" borderId="1" xfId="0" applyNumberFormat="1" applyFont="1" applyFill="1" applyBorder="1" applyAlignment="1">
      <alignment horizontal="center" vertical="center" wrapText="1"/>
    </xf>
    <xf numFmtId="172"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173" fontId="2" fillId="4" borderId="1" xfId="0" applyNumberFormat="1" applyFont="1" applyFill="1" applyBorder="1" applyAlignment="1">
      <alignment horizontal="center" vertical="center" wrapText="1"/>
    </xf>
    <xf numFmtId="173" fontId="2" fillId="5" borderId="1" xfId="0" applyNumberFormat="1" applyFont="1" applyFill="1" applyBorder="1" applyAlignment="1">
      <alignment horizontal="center" vertical="center" wrapText="1"/>
    </xf>
    <xf numFmtId="172" fontId="2" fillId="4" borderId="1" xfId="0" applyNumberFormat="1" applyFont="1" applyFill="1" applyBorder="1" applyAlignment="1">
      <alignment horizontal="center" vertical="center" wrapText="1"/>
    </xf>
    <xf numFmtId="0" fontId="15" fillId="0" borderId="0" xfId="0" applyFont="1" applyAlignment="1">
      <alignment horizontal="center" vertical="center" wrapText="1"/>
    </xf>
    <xf numFmtId="0" fontId="1" fillId="0" borderId="0" xfId="0" applyFont="1" applyFill="1"/>
    <xf numFmtId="0" fontId="1" fillId="0" borderId="0" xfId="0" applyFont="1" applyFill="1" applyBorder="1" applyAlignment="1">
      <alignment horizontal="center" vertical="center" wrapText="1"/>
    </xf>
    <xf numFmtId="0" fontId="0" fillId="0" borderId="0"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0" fillId="0" borderId="0" xfId="0" applyFill="1"/>
    <xf numFmtId="0" fontId="7" fillId="0" borderId="0" xfId="2" applyAlignment="1">
      <alignment horizontal="center" vertical="center" wrapText="1"/>
    </xf>
    <xf numFmtId="169" fontId="10" fillId="5"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0" fontId="21" fillId="0" borderId="1" xfId="0" applyFont="1" applyBorder="1" applyAlignment="1">
      <alignment horizontal="center" vertical="center" wrapText="1"/>
    </xf>
    <xf numFmtId="166" fontId="2" fillId="7" borderId="1" xfId="0" applyNumberFormat="1" applyFont="1" applyFill="1" applyBorder="1" applyAlignment="1">
      <alignment horizontal="center" vertical="center" wrapText="1"/>
    </xf>
    <xf numFmtId="169" fontId="2" fillId="4" borderId="1" xfId="0" applyNumberFormat="1" applyFont="1" applyFill="1" applyBorder="1" applyAlignment="1">
      <alignment horizontal="center" vertical="center" wrapText="1"/>
    </xf>
    <xf numFmtId="169" fontId="2" fillId="8" borderId="1" xfId="3" applyNumberFormat="1" applyFont="1" applyFill="1" applyBorder="1" applyAlignment="1">
      <alignment horizontal="center" vertical="center" wrapText="1"/>
    </xf>
    <xf numFmtId="169" fontId="2" fillId="8" borderId="1" xfId="0" applyNumberFormat="1" applyFont="1" applyFill="1" applyBorder="1" applyAlignment="1">
      <alignment horizontal="center" vertical="center" wrapText="1"/>
    </xf>
    <xf numFmtId="169" fontId="2" fillId="3"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3" fillId="0" borderId="1" xfId="0" applyFont="1" applyBorder="1" applyAlignment="1">
      <alignment horizontal="left" vertical="center" wrapText="1"/>
    </xf>
    <xf numFmtId="169" fontId="12" fillId="0" borderId="1" xfId="1" applyNumberFormat="1" applyFont="1" applyFill="1" applyBorder="1" applyAlignment="1">
      <alignment horizontal="center" vertical="center" wrapText="1"/>
    </xf>
    <xf numFmtId="169" fontId="2" fillId="5" borderId="1" xfId="0" applyNumberFormat="1" applyFont="1" applyFill="1" applyBorder="1" applyAlignment="1">
      <alignment horizontal="center" vertical="center" wrapText="1"/>
    </xf>
    <xf numFmtId="169" fontId="2" fillId="6" borderId="1" xfId="0"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172" fontId="1" fillId="0" borderId="0" xfId="0" applyNumberFormat="1" applyFont="1" applyFill="1" applyBorder="1" applyAlignment="1">
      <alignment horizontal="center" vertical="center" wrapText="1"/>
    </xf>
    <xf numFmtId="1" fontId="1" fillId="0" borderId="0" xfId="0" applyNumberFormat="1" applyFont="1" applyFill="1" applyBorder="1" applyAlignment="1">
      <alignment horizontal="center" vertical="center" wrapText="1"/>
    </xf>
    <xf numFmtId="173" fontId="1" fillId="0" borderId="0" xfId="0" applyNumberFormat="1" applyFont="1" applyFill="1" applyBorder="1" applyAlignment="1">
      <alignment horizontal="center" vertical="center" wrapText="1"/>
    </xf>
    <xf numFmtId="166" fontId="1" fillId="0" borderId="0" xfId="0" applyNumberFormat="1" applyFont="1" applyFill="1" applyBorder="1" applyAlignment="1">
      <alignment horizontal="center" vertical="center" wrapText="1"/>
    </xf>
    <xf numFmtId="173" fontId="22" fillId="0" borderId="0" xfId="0" applyNumberFormat="1" applyFont="1" applyFill="1" applyBorder="1" applyAlignment="1">
      <alignment horizontal="center" vertical="center" wrapText="1"/>
    </xf>
    <xf numFmtId="169" fontId="1" fillId="0" borderId="0" xfId="0" applyNumberFormat="1" applyFont="1" applyFill="1" applyBorder="1" applyAlignment="1">
      <alignment horizontal="center" vertical="center" wrapText="1"/>
    </xf>
    <xf numFmtId="169" fontId="1" fillId="0" borderId="0" xfId="3" applyNumberFormat="1" applyFont="1" applyFill="1" applyBorder="1" applyAlignment="1">
      <alignment horizontal="center" vertical="center" wrapText="1"/>
    </xf>
    <xf numFmtId="169" fontId="1" fillId="0" borderId="1" xfId="4" applyNumberFormat="1" applyFont="1" applyFill="1" applyBorder="1" applyAlignment="1">
      <alignment horizontal="center" vertical="center" wrapText="1"/>
    </xf>
    <xf numFmtId="169" fontId="11" fillId="0" borderId="1" xfId="4" applyNumberFormat="1" applyFont="1" applyFill="1" applyBorder="1" applyAlignment="1">
      <alignment horizontal="center" vertical="center" wrapText="1"/>
    </xf>
    <xf numFmtId="169" fontId="9" fillId="0" borderId="1" xfId="2"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xf>
    <xf numFmtId="169" fontId="1" fillId="0" borderId="5" xfId="0" applyNumberFormat="1" applyFont="1" applyFill="1" applyBorder="1" applyAlignment="1">
      <alignment horizontal="center" vertical="center" wrapText="1"/>
    </xf>
    <xf numFmtId="169" fontId="10" fillId="0" borderId="0" xfId="0" applyNumberFormat="1" applyFont="1" applyFill="1" applyBorder="1" applyAlignment="1">
      <alignment horizontal="center" vertical="center" wrapText="1"/>
    </xf>
    <xf numFmtId="169" fontId="4" fillId="0" borderId="0"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8" fontId="4" fillId="0" borderId="1" xfId="0" applyNumberFormat="1" applyFont="1" applyFill="1" applyBorder="1" applyAlignment="1">
      <alignment horizontal="center" vertical="center" wrapText="1"/>
    </xf>
    <xf numFmtId="183" fontId="10" fillId="0" borderId="1" xfId="0" applyNumberFormat="1" applyFont="1" applyFill="1" applyBorder="1" applyAlignment="1">
      <alignment horizontal="center" vertical="center" wrapText="1"/>
    </xf>
    <xf numFmtId="0" fontId="0" fillId="0" borderId="1" xfId="0" applyFill="1" applyBorder="1" applyAlignment="1">
      <alignment vertical="center" wrapText="1"/>
    </xf>
    <xf numFmtId="14" fontId="0" fillId="0" borderId="1" xfId="0" applyNumberFormat="1" applyFill="1" applyBorder="1" applyAlignment="1">
      <alignment vertical="center"/>
    </xf>
    <xf numFmtId="0" fontId="0" fillId="0" borderId="1" xfId="0" applyFill="1" applyBorder="1" applyAlignment="1">
      <alignment horizontal="right"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5" fontId="1" fillId="0"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169" fontId="2" fillId="0" borderId="1" xfId="0" applyNumberFormat="1" applyFont="1" applyBorder="1" applyAlignment="1">
      <alignment horizontal="center" vertical="center" wrapText="1"/>
    </xf>
    <xf numFmtId="172" fontId="2" fillId="0" borderId="1" xfId="0" applyNumberFormat="1" applyFont="1" applyBorder="1" applyAlignment="1">
      <alignment horizontal="center" vertical="center" wrapText="1"/>
    </xf>
    <xf numFmtId="40" fontId="2" fillId="0" borderId="1" xfId="0" applyNumberFormat="1" applyFont="1" applyBorder="1" applyAlignment="1">
      <alignment horizontal="center" vertical="center" wrapText="1"/>
    </xf>
    <xf numFmtId="40" fontId="1" fillId="0" borderId="1" xfId="1" applyNumberFormat="1" applyFont="1" applyFill="1" applyBorder="1" applyAlignment="1">
      <alignment horizontal="center" vertical="center" wrapText="1"/>
    </xf>
    <xf numFmtId="40"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172" fontId="1" fillId="0" borderId="1" xfId="0" applyNumberFormat="1" applyFont="1" applyBorder="1" applyAlignment="1">
      <alignment horizontal="center" vertical="center" wrapText="1"/>
    </xf>
    <xf numFmtId="40" fontId="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9" fontId="1" fillId="0" borderId="1" xfId="0" applyNumberFormat="1" applyFont="1" applyBorder="1" applyAlignment="1">
      <alignment horizontal="center" vertical="center" wrapText="1"/>
    </xf>
    <xf numFmtId="8" fontId="10"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1"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69" fontId="4" fillId="0" borderId="3" xfId="0" applyNumberFormat="1" applyFont="1" applyFill="1" applyBorder="1" applyAlignment="1">
      <alignment horizontal="center" vertical="center" wrapText="1"/>
    </xf>
    <xf numFmtId="173" fontId="7" fillId="0" borderId="2" xfId="2" applyNumberFormat="1" applyFill="1" applyBorder="1" applyAlignment="1">
      <alignment horizontal="center" vertical="center" wrapText="1"/>
    </xf>
    <xf numFmtId="172" fontId="1" fillId="0" borderId="2" xfId="0" applyNumberFormat="1" applyFont="1" applyFill="1" applyBorder="1" applyAlignment="1">
      <alignment horizontal="center" vertical="center" wrapText="1"/>
    </xf>
    <xf numFmtId="172" fontId="1" fillId="0" borderId="3" xfId="0" applyNumberFormat="1" applyFont="1" applyFill="1" applyBorder="1" applyAlignment="1">
      <alignment horizontal="center" vertical="center" wrapText="1"/>
    </xf>
    <xf numFmtId="169" fontId="1" fillId="0" borderId="2" xfId="3" applyNumberFormat="1" applyFont="1" applyFill="1" applyBorder="1" applyAlignment="1">
      <alignment horizontal="center" vertical="center" wrapText="1"/>
    </xf>
    <xf numFmtId="173" fontId="1" fillId="0" borderId="2" xfId="0" applyNumberFormat="1" applyFont="1" applyFill="1" applyBorder="1" applyAlignment="1">
      <alignment horizontal="center" vertical="center" wrapText="1"/>
    </xf>
    <xf numFmtId="173" fontId="1" fillId="0" borderId="3" xfId="0" applyNumberFormat="1" applyFont="1" applyFill="1" applyBorder="1" applyAlignment="1">
      <alignment horizontal="center" vertical="center" wrapText="1"/>
    </xf>
    <xf numFmtId="6" fontId="4"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173" fontId="7" fillId="0" borderId="4" xfId="2" applyNumberFormat="1" applyFill="1" applyBorder="1" applyAlignment="1">
      <alignment horizontal="center" vertical="center" wrapText="1"/>
    </xf>
    <xf numFmtId="5" fontId="1" fillId="0" borderId="2" xfId="0" applyNumberFormat="1" applyFont="1" applyFill="1" applyBorder="1" applyAlignment="1">
      <alignment horizontal="center" vertical="center" wrapText="1"/>
    </xf>
    <xf numFmtId="5" fontId="1" fillId="0" borderId="4" xfId="0" applyNumberFormat="1" applyFont="1" applyFill="1" applyBorder="1" applyAlignment="1">
      <alignment horizontal="center" vertical="center" wrapText="1"/>
    </xf>
    <xf numFmtId="173" fontId="7" fillId="0" borderId="1" xfId="2" applyNumberFormat="1" applyFill="1" applyBorder="1" applyAlignment="1">
      <alignment horizontal="center" vertical="center" wrapText="1"/>
    </xf>
    <xf numFmtId="6" fontId="1" fillId="0" borderId="1" xfId="0" applyNumberFormat="1" applyFont="1" applyFill="1" applyBorder="1" applyAlignment="1">
      <alignment horizontal="center" vertical="center" wrapText="1"/>
    </xf>
    <xf numFmtId="164" fontId="4" fillId="0" borderId="1" xfId="16" applyFont="1" applyFill="1" applyBorder="1" applyAlignment="1">
      <alignment horizontal="center" vertical="center" wrapText="1"/>
    </xf>
    <xf numFmtId="0" fontId="1" fillId="0" borderId="1" xfId="0" applyFont="1" applyFill="1" applyBorder="1" applyAlignment="1">
      <alignment horizontal="center" vertical="center" wrapText="1"/>
    </xf>
    <xf numFmtId="173" fontId="25" fillId="0" borderId="1" xfId="2"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5" fontId="1" fillId="0" borderId="1" xfId="6" applyNumberFormat="1" applyFont="1" applyFill="1" applyBorder="1" applyAlignment="1">
      <alignment horizontal="center" vertical="center" wrapText="1"/>
    </xf>
    <xf numFmtId="5" fontId="1" fillId="0" borderId="1" xfId="0" applyNumberFormat="1" applyFont="1" applyFill="1" applyBorder="1" applyAlignment="1">
      <alignment horizontal="center" vertical="center" wrapText="1"/>
    </xf>
    <xf numFmtId="173" fontId="23" fillId="0" borderId="2" xfId="2"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173" fontId="23" fillId="0" borderId="1" xfId="2" applyNumberFormat="1" applyFont="1" applyFill="1" applyBorder="1" applyAlignment="1">
      <alignment horizontal="center" vertical="center" wrapText="1"/>
    </xf>
    <xf numFmtId="173" fontId="22" fillId="0" borderId="1" xfId="0" applyNumberFormat="1" applyFont="1" applyFill="1" applyBorder="1" applyAlignment="1">
      <alignment horizontal="center" vertical="center" wrapText="1"/>
    </xf>
    <xf numFmtId="169" fontId="4" fillId="0" borderId="1" xfId="3" applyNumberFormat="1" applyFont="1" applyFill="1" applyBorder="1" applyAlignment="1">
      <alignment horizontal="center" vertical="center" wrapText="1"/>
    </xf>
    <xf numFmtId="172" fontId="4" fillId="0" borderId="1" xfId="0" applyNumberFormat="1" applyFont="1" applyFill="1" applyBorder="1" applyAlignment="1">
      <alignment horizontal="center" vertical="center" wrapText="1"/>
    </xf>
    <xf numFmtId="8" fontId="1" fillId="0" borderId="1" xfId="0" applyNumberFormat="1" applyFont="1" applyFill="1" applyBorder="1" applyAlignment="1">
      <alignment horizontal="center" vertical="center" wrapText="1"/>
    </xf>
    <xf numFmtId="169" fontId="4" fillId="0" borderId="1" xfId="2" applyNumberFormat="1" applyFont="1" applyFill="1" applyBorder="1" applyAlignment="1">
      <alignment horizontal="center" vertical="center" wrapText="1"/>
    </xf>
    <xf numFmtId="0" fontId="23" fillId="0" borderId="1" xfId="2" applyFont="1" applyFill="1" applyBorder="1" applyAlignment="1">
      <alignment horizontal="center" vertical="center"/>
    </xf>
    <xf numFmtId="169" fontId="1" fillId="0" borderId="1" xfId="1"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xf>
    <xf numFmtId="0" fontId="0" fillId="0" borderId="1" xfId="0" applyFill="1" applyBorder="1" applyAlignment="1">
      <alignment horizontal="center" vertical="center" wrapText="1"/>
    </xf>
    <xf numFmtId="173" fontId="22" fillId="0" borderId="1" xfId="2" applyNumberFormat="1" applyFont="1" applyFill="1" applyBorder="1" applyAlignment="1">
      <alignment horizontal="center" vertical="center" wrapText="1"/>
    </xf>
    <xf numFmtId="172" fontId="4" fillId="0" borderId="2" xfId="0"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left" vertical="center" wrapText="1"/>
    </xf>
    <xf numFmtId="173" fontId="22" fillId="0" borderId="2" xfId="2"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xf>
    <xf numFmtId="0" fontId="1" fillId="0" borderId="1" xfId="0" applyFont="1" applyFill="1" applyBorder="1" applyAlignment="1">
      <alignment horizontal="center" vertical="center"/>
    </xf>
    <xf numFmtId="14" fontId="1" fillId="0" borderId="1" xfId="0" applyNumberFormat="1" applyFont="1" applyFill="1" applyBorder="1" applyAlignment="1">
      <alignment horizontal="center" vertical="center"/>
    </xf>
    <xf numFmtId="8"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left" vertical="center" wrapText="1"/>
    </xf>
    <xf numFmtId="172" fontId="1" fillId="0" borderId="1" xfId="0" applyNumberFormat="1" applyFont="1" applyFill="1" applyBorder="1" applyAlignment="1">
      <alignment horizontal="center" vertical="center"/>
    </xf>
    <xf numFmtId="49" fontId="4" fillId="0" borderId="2"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173" fontId="4" fillId="0" borderId="2" xfId="0" applyNumberFormat="1" applyFont="1" applyFill="1" applyBorder="1" applyAlignment="1">
      <alignment horizontal="center" vertical="center" wrapText="1"/>
    </xf>
    <xf numFmtId="169" fontId="8"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0" fontId="22" fillId="0" borderId="1" xfId="2" applyFont="1" applyFill="1" applyBorder="1" applyAlignment="1">
      <alignment horizontal="center" vertical="center" wrapText="1"/>
    </xf>
    <xf numFmtId="169" fontId="1" fillId="0" borderId="1" xfId="6" applyNumberFormat="1" applyFont="1" applyFill="1" applyBorder="1" applyAlignment="1">
      <alignment horizontal="center" vertical="center" wrapText="1"/>
    </xf>
    <xf numFmtId="173" fontId="2" fillId="0" borderId="1" xfId="0" applyNumberFormat="1" applyFont="1" applyFill="1" applyBorder="1" applyAlignment="1">
      <alignment horizontal="center" vertical="center" wrapText="1"/>
    </xf>
    <xf numFmtId="1" fontId="22" fillId="0" borderId="1" xfId="2" applyNumberFormat="1" applyFont="1" applyFill="1" applyBorder="1" applyAlignment="1">
      <alignment horizontal="center" vertical="center" wrapText="1"/>
    </xf>
    <xf numFmtId="181" fontId="4"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173" fontId="7" fillId="0" borderId="1" xfId="2" applyNumberFormat="1" applyFill="1" applyBorder="1" applyAlignment="1">
      <alignment horizontal="center" vertical="center" wrapText="1"/>
    </xf>
    <xf numFmtId="169" fontId="9" fillId="0" borderId="1" xfId="2" applyNumberFormat="1" applyFont="1" applyFill="1" applyBorder="1" applyAlignment="1">
      <alignment horizontal="center" vertical="center"/>
    </xf>
    <xf numFmtId="169" fontId="7" fillId="0" borderId="1" xfId="2" applyNumberFormat="1" applyFill="1" applyBorder="1" applyAlignment="1">
      <alignment horizontal="center" vertical="center" wrapText="1"/>
    </xf>
    <xf numFmtId="169" fontId="20" fillId="0" borderId="1" xfId="2" applyNumberFormat="1" applyFont="1" applyFill="1" applyBorder="1" applyAlignment="1">
      <alignment horizontal="center" vertical="center" wrapText="1"/>
    </xf>
    <xf numFmtId="172" fontId="1" fillId="0" borderId="1" xfId="0" applyNumberFormat="1" applyFont="1" applyFill="1" applyBorder="1" applyAlignment="1">
      <alignment vertical="center" wrapText="1"/>
    </xf>
    <xf numFmtId="173" fontId="1" fillId="0" borderId="1" xfId="0" applyNumberFormat="1" applyFont="1" applyFill="1" applyBorder="1" applyAlignment="1">
      <alignment horizontal="left" vertical="center"/>
    </xf>
    <xf numFmtId="0" fontId="22" fillId="0" borderId="1" xfId="2" applyFont="1" applyFill="1" applyBorder="1" applyAlignment="1">
      <alignment horizontal="center"/>
    </xf>
    <xf numFmtId="173" fontId="1" fillId="0" borderId="1" xfId="0" applyNumberFormat="1" applyFont="1" applyFill="1" applyBorder="1" applyAlignment="1">
      <alignment horizontal="center" vertical="center"/>
    </xf>
    <xf numFmtId="0" fontId="0" fillId="0" borderId="0" xfId="0" applyFill="1" applyAlignment="1">
      <alignment vertical="center" wrapText="1"/>
    </xf>
    <xf numFmtId="14" fontId="0" fillId="0" borderId="0" xfId="0" applyNumberFormat="1" applyFill="1" applyAlignment="1">
      <alignment vertical="center"/>
    </xf>
    <xf numFmtId="0" fontId="0" fillId="0" borderId="0" xfId="0" applyFill="1" applyAlignment="1">
      <alignment vertical="center"/>
    </xf>
    <xf numFmtId="0" fontId="0" fillId="0" borderId="0" xfId="0" applyFill="1" applyAlignment="1">
      <alignment horizontal="right" vertical="center" wrapText="1"/>
    </xf>
    <xf numFmtId="169" fontId="10" fillId="0" borderId="2" xfId="0" applyNumberFormat="1" applyFont="1" applyFill="1" applyBorder="1" applyAlignment="1">
      <alignment horizontal="center" vertical="center" wrapText="1"/>
    </xf>
    <xf numFmtId="49" fontId="1" fillId="9" borderId="4" xfId="0" applyNumberFormat="1" applyFont="1" applyFill="1" applyBorder="1" applyAlignment="1">
      <alignment horizontal="center" vertical="center" wrapText="1"/>
    </xf>
    <xf numFmtId="172" fontId="1" fillId="9" borderId="4" xfId="0" applyNumberFormat="1" applyFont="1" applyFill="1" applyBorder="1" applyAlignment="1">
      <alignment horizontal="center" vertical="center" wrapText="1"/>
    </xf>
    <xf numFmtId="49" fontId="1" fillId="9" borderId="1" xfId="0" applyNumberFormat="1" applyFont="1" applyFill="1" applyBorder="1" applyAlignment="1">
      <alignment horizontal="center" vertical="center" wrapText="1"/>
    </xf>
    <xf numFmtId="49" fontId="1" fillId="9" borderId="3" xfId="0" applyNumberFormat="1" applyFont="1" applyFill="1" applyBorder="1" applyAlignment="1">
      <alignment horizontal="center" vertical="center" wrapText="1"/>
    </xf>
    <xf numFmtId="0" fontId="27" fillId="9" borderId="3" xfId="0" applyFont="1" applyFill="1" applyBorder="1" applyAlignment="1">
      <alignment horizontal="center" vertical="center"/>
    </xf>
    <xf numFmtId="176" fontId="1" fillId="9" borderId="3" xfId="0" applyNumberFormat="1" applyFont="1" applyFill="1" applyBorder="1" applyAlignment="1">
      <alignment horizontal="center" vertical="center" wrapText="1"/>
    </xf>
    <xf numFmtId="173" fontId="7" fillId="9" borderId="2" xfId="2" applyNumberFormat="1" applyFill="1" applyBorder="1" applyAlignment="1">
      <alignment horizontal="center" vertical="center" wrapText="1"/>
    </xf>
    <xf numFmtId="173" fontId="1" fillId="9" borderId="2" xfId="0" applyNumberFormat="1" applyFont="1" applyFill="1" applyBorder="1" applyAlignment="1">
      <alignment horizontal="center" vertical="center" wrapText="1"/>
    </xf>
    <xf numFmtId="169" fontId="1" fillId="9" borderId="1" xfId="0" applyNumberFormat="1" applyFont="1" applyFill="1" applyBorder="1" applyAlignment="1">
      <alignment horizontal="center" vertical="center" wrapText="1"/>
    </xf>
    <xf numFmtId="172" fontId="1" fillId="9" borderId="2" xfId="0" applyNumberFormat="1" applyFont="1" applyFill="1" applyBorder="1" applyAlignment="1">
      <alignment horizontal="center" vertical="center" wrapText="1"/>
    </xf>
    <xf numFmtId="169" fontId="1" fillId="9" borderId="1" xfId="3" applyNumberFormat="1" applyFont="1" applyFill="1" applyBorder="1" applyAlignment="1">
      <alignment horizontal="center" vertical="center" wrapText="1"/>
    </xf>
    <xf numFmtId="169" fontId="4" fillId="9" borderId="1" xfId="0" applyNumberFormat="1" applyFont="1" applyFill="1" applyBorder="1" applyAlignment="1">
      <alignment horizontal="center" vertical="center" wrapText="1"/>
    </xf>
    <xf numFmtId="173" fontId="1" fillId="9" borderId="1" xfId="0" applyNumberFormat="1" applyFont="1" applyFill="1" applyBorder="1" applyAlignment="1">
      <alignment horizontal="center" vertical="center" wrapText="1"/>
    </xf>
    <xf numFmtId="172" fontId="1" fillId="9" borderId="1" xfId="0" applyNumberFormat="1" applyFont="1" applyFill="1" applyBorder="1" applyAlignment="1">
      <alignment horizontal="center" vertical="center" wrapText="1"/>
    </xf>
    <xf numFmtId="169" fontId="10" fillId="9" borderId="1" xfId="0" applyNumberFormat="1" applyFont="1" applyFill="1" applyBorder="1" applyAlignment="1">
      <alignment horizontal="center" vertical="center" wrapText="1"/>
    </xf>
    <xf numFmtId="6" fontId="10" fillId="9" borderId="1" xfId="0" applyNumberFormat="1" applyFont="1" applyFill="1" applyBorder="1" applyAlignment="1">
      <alignment horizontal="center" vertical="center" wrapText="1"/>
    </xf>
    <xf numFmtId="166" fontId="1" fillId="9" borderId="1" xfId="0" applyNumberFormat="1"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0" xfId="0" applyFont="1" applyFill="1" applyBorder="1" applyAlignment="1">
      <alignment horizontal="center" vertical="center" wrapText="1"/>
    </xf>
    <xf numFmtId="173" fontId="1" fillId="10" borderId="1" xfId="0" applyNumberFormat="1" applyFont="1" applyFill="1" applyBorder="1" applyAlignment="1">
      <alignment horizontal="center" vertical="center" wrapText="1"/>
    </xf>
    <xf numFmtId="169" fontId="1" fillId="10" borderId="1" xfId="0" applyNumberFormat="1" applyFont="1" applyFill="1" applyBorder="1" applyAlignment="1">
      <alignment horizontal="center" vertical="center" wrapText="1"/>
    </xf>
    <xf numFmtId="172" fontId="1" fillId="10" borderId="1" xfId="0" applyNumberFormat="1" applyFont="1" applyFill="1" applyBorder="1" applyAlignment="1">
      <alignment horizontal="center" vertical="center" wrapText="1"/>
    </xf>
    <xf numFmtId="169" fontId="10" fillId="10" borderId="1" xfId="0" applyNumberFormat="1" applyFont="1" applyFill="1" applyBorder="1" applyAlignment="1">
      <alignment horizontal="center" vertical="center" wrapText="1"/>
    </xf>
    <xf numFmtId="6" fontId="10" fillId="10" borderId="1" xfId="0" applyNumberFormat="1" applyFont="1" applyFill="1" applyBorder="1" applyAlignment="1">
      <alignment horizontal="center" vertical="center" wrapText="1"/>
    </xf>
    <xf numFmtId="169" fontId="4" fillId="10" borderId="1" xfId="0" applyNumberFormat="1" applyFont="1" applyFill="1" applyBorder="1" applyAlignment="1">
      <alignment horizontal="center" vertical="center" wrapText="1"/>
    </xf>
    <xf numFmtId="0" fontId="1" fillId="10" borderId="0" xfId="0" applyFont="1" applyFill="1" applyBorder="1" applyAlignment="1">
      <alignment horizontal="center" vertical="center" wrapText="1"/>
    </xf>
    <xf numFmtId="182" fontId="2" fillId="0" borderId="0" xfId="1" applyNumberFormat="1" applyFont="1" applyFill="1" applyAlignment="1">
      <alignment horizontal="center" vertical="center" wrapText="1"/>
    </xf>
    <xf numFmtId="182" fontId="1" fillId="0" borderId="0" xfId="0" applyNumberFormat="1" applyFont="1" applyFill="1" applyAlignment="1">
      <alignment horizontal="center" vertical="center" wrapText="1"/>
    </xf>
    <xf numFmtId="169" fontId="1" fillId="10" borderId="0" xfId="0" applyNumberFormat="1" applyFont="1" applyFill="1" applyBorder="1" applyAlignment="1">
      <alignment horizontal="center" vertical="center" wrapText="1"/>
    </xf>
    <xf numFmtId="171" fontId="1" fillId="10" borderId="0" xfId="0" applyNumberFormat="1" applyFont="1" applyFill="1" applyBorder="1" applyAlignment="1">
      <alignment horizontal="center" vertical="center" wrapText="1"/>
    </xf>
    <xf numFmtId="171" fontId="1" fillId="0" borderId="0" xfId="0" applyNumberFormat="1" applyFont="1" applyFill="1" applyBorder="1" applyAlignment="1">
      <alignment horizontal="center" vertical="center" wrapText="1"/>
    </xf>
    <xf numFmtId="0" fontId="30" fillId="11" borderId="4" xfId="9" applyFont="1" applyFill="1" applyBorder="1" applyAlignment="1" applyProtection="1">
      <alignment horizontal="center" vertical="center" wrapText="1"/>
    </xf>
    <xf numFmtId="0" fontId="31" fillId="12" borderId="1" xfId="9" applyFont="1" applyFill="1" applyBorder="1" applyAlignment="1" applyProtection="1">
      <alignment horizontal="center" vertical="center"/>
    </xf>
    <xf numFmtId="184" fontId="31" fillId="12" borderId="1" xfId="18" applyNumberFormat="1" applyFont="1" applyFill="1" applyBorder="1" applyAlignment="1" applyProtection="1">
      <alignment horizontal="center" vertical="center"/>
      <protection locked="0"/>
    </xf>
    <xf numFmtId="44" fontId="31" fillId="12" borderId="1" xfId="3" applyFont="1" applyFill="1" applyBorder="1" applyAlignment="1" applyProtection="1">
      <alignment horizontal="center" vertical="center"/>
      <protection locked="0"/>
    </xf>
    <xf numFmtId="0" fontId="31" fillId="12" borderId="1" xfId="9" applyFont="1" applyFill="1" applyBorder="1" applyAlignment="1" applyProtection="1">
      <alignment horizontal="left" vertical="center" wrapText="1"/>
      <protection locked="0"/>
    </xf>
    <xf numFmtId="165" fontId="31" fillId="13" borderId="1" xfId="18" applyFont="1" applyFill="1" applyBorder="1" applyAlignment="1" applyProtection="1">
      <alignment horizontal="center" vertical="center" wrapText="1"/>
      <protection locked="0"/>
    </xf>
    <xf numFmtId="172" fontId="31" fillId="13" borderId="1" xfId="9" applyNumberFormat="1" applyFont="1" applyFill="1" applyBorder="1" applyAlignment="1" applyProtection="1">
      <alignment horizontal="center" vertical="center" wrapText="1"/>
      <protection locked="0"/>
    </xf>
    <xf numFmtId="0" fontId="31" fillId="13" borderId="1" xfId="9" applyFont="1" applyFill="1" applyBorder="1" applyAlignment="1" applyProtection="1">
      <alignment horizontal="center" vertical="center" wrapText="1"/>
      <protection locked="0"/>
    </xf>
    <xf numFmtId="44" fontId="31" fillId="13" borderId="1" xfId="3" applyFont="1" applyFill="1" applyBorder="1" applyAlignment="1" applyProtection="1">
      <alignment horizontal="center" vertical="center" wrapText="1"/>
      <protection locked="0"/>
    </xf>
    <xf numFmtId="0" fontId="31" fillId="13" borderId="1" xfId="9" applyFont="1" applyFill="1" applyBorder="1" applyAlignment="1" applyProtection="1">
      <alignment horizontal="center" vertical="center"/>
      <protection locked="0"/>
    </xf>
    <xf numFmtId="165" fontId="31" fillId="13" borderId="1" xfId="18" applyFont="1" applyFill="1" applyBorder="1" applyAlignment="1" applyProtection="1">
      <alignment horizontal="center" vertical="center" wrapText="1"/>
    </xf>
    <xf numFmtId="44" fontId="30" fillId="13" borderId="1" xfId="3" applyFont="1" applyFill="1" applyBorder="1" applyAlignment="1" applyProtection="1">
      <alignment horizontal="center" vertical="center" wrapText="1"/>
      <protection locked="0"/>
    </xf>
    <xf numFmtId="172" fontId="30" fillId="13" borderId="1" xfId="9" applyNumberFormat="1" applyFont="1" applyFill="1" applyBorder="1" applyAlignment="1" applyProtection="1">
      <alignment horizontal="center" vertical="center" wrapText="1"/>
      <protection locked="0"/>
    </xf>
    <xf numFmtId="0" fontId="30" fillId="13" borderId="1" xfId="9" applyFont="1" applyFill="1" applyBorder="1" applyAlignment="1" applyProtection="1">
      <alignment horizontal="center" vertical="center" wrapText="1"/>
      <protection locked="0"/>
    </xf>
    <xf numFmtId="0" fontId="30" fillId="11" borderId="1" xfId="9" applyFont="1" applyFill="1" applyBorder="1" applyAlignment="1" applyProtection="1">
      <alignment horizontal="center" vertical="center" wrapText="1"/>
    </xf>
    <xf numFmtId="0" fontId="30" fillId="11" borderId="1" xfId="9" applyFont="1" applyFill="1" applyBorder="1" applyAlignment="1" applyProtection="1">
      <alignment horizontal="center" vertical="center"/>
    </xf>
    <xf numFmtId="0" fontId="31" fillId="13" borderId="4" xfId="9" applyFont="1" applyFill="1" applyBorder="1" applyAlignment="1" applyProtection="1">
      <alignment horizontal="center" vertical="center"/>
      <protection locked="0"/>
    </xf>
    <xf numFmtId="184" fontId="30" fillId="12" borderId="1" xfId="18" applyNumberFormat="1" applyFont="1" applyFill="1" applyBorder="1" applyAlignment="1" applyProtection="1">
      <alignment horizontal="left" vertical="center"/>
      <protection locked="0"/>
    </xf>
    <xf numFmtId="14" fontId="33" fillId="2" borderId="1" xfId="0" applyNumberFormat="1" applyFont="1" applyFill="1" applyBorder="1" applyAlignment="1">
      <alignment vertical="center"/>
    </xf>
    <xf numFmtId="0" fontId="34" fillId="2" borderId="0" xfId="0" applyFont="1" applyFill="1"/>
    <xf numFmtId="0" fontId="32" fillId="0" borderId="1" xfId="0" applyFont="1" applyBorder="1" applyAlignment="1">
      <alignment horizontal="center" vertical="center"/>
    </xf>
    <xf numFmtId="0" fontId="32" fillId="2" borderId="1" xfId="0" applyFont="1" applyFill="1" applyBorder="1" applyAlignment="1">
      <alignment horizontal="center" vertical="center"/>
    </xf>
    <xf numFmtId="170" fontId="32" fillId="0" borderId="1" xfId="1" applyFont="1" applyBorder="1" applyAlignment="1">
      <alignment horizontal="center" vertical="center"/>
    </xf>
    <xf numFmtId="0" fontId="32" fillId="0" borderId="1" xfId="0" applyFont="1" applyBorder="1" applyAlignment="1">
      <alignment horizontal="left" vertical="center"/>
    </xf>
    <xf numFmtId="0" fontId="32" fillId="2" borderId="1" xfId="0" applyFont="1" applyFill="1" applyBorder="1" applyAlignment="1">
      <alignment horizontal="left" vertical="center"/>
    </xf>
    <xf numFmtId="170" fontId="32" fillId="2" borderId="1" xfId="1" applyFont="1" applyFill="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wrapText="1"/>
    </xf>
    <xf numFmtId="165" fontId="0" fillId="0" borderId="1" xfId="18" applyFont="1" applyBorder="1" applyAlignment="1">
      <alignment horizontal="center" vertical="center" wrapText="1"/>
    </xf>
    <xf numFmtId="14" fontId="0" fillId="0" borderId="1" xfId="0" applyNumberFormat="1" applyBorder="1" applyAlignment="1">
      <alignment horizontal="center" vertical="center" wrapText="1"/>
    </xf>
    <xf numFmtId="0" fontId="0" fillId="0" borderId="0" xfId="0" applyAlignment="1">
      <alignment vertical="center"/>
    </xf>
    <xf numFmtId="0" fontId="35" fillId="0" borderId="0" xfId="0" applyFont="1" applyAlignment="1">
      <alignment vertical="center"/>
    </xf>
    <xf numFmtId="0" fontId="36" fillId="0" borderId="0" xfId="0" applyFont="1" applyAlignment="1">
      <alignment vertical="center"/>
    </xf>
    <xf numFmtId="0" fontId="7" fillId="0" borderId="0" xfId="2"/>
    <xf numFmtId="0" fontId="29" fillId="0" borderId="0" xfId="0" applyFont="1" applyAlignment="1">
      <alignment horizontal="center" vertical="center" wrapText="1"/>
    </xf>
    <xf numFmtId="0" fontId="0" fillId="0" borderId="0" xfId="0" applyAlignment="1">
      <alignment horizontal="right" vertical="center" wrapText="1"/>
    </xf>
    <xf numFmtId="0" fontId="29" fillId="0" borderId="0" xfId="0" applyFont="1" applyAlignment="1">
      <alignment horizontal="right" vertical="center" wrapText="1"/>
    </xf>
    <xf numFmtId="0" fontId="0" fillId="0" borderId="0" xfId="0" applyAlignment="1">
      <alignment vertical="center" wrapText="1"/>
    </xf>
    <xf numFmtId="0" fontId="37" fillId="0" borderId="0" xfId="0" applyFont="1" applyAlignment="1">
      <alignment vertical="center"/>
    </xf>
    <xf numFmtId="14" fontId="0" fillId="0" borderId="0" xfId="0" applyNumberFormat="1" applyAlignment="1">
      <alignment vertical="center"/>
    </xf>
    <xf numFmtId="0" fontId="29" fillId="0" borderId="0" xfId="0" applyFont="1" applyAlignment="1">
      <alignment horizontal="center" vertical="center"/>
    </xf>
    <xf numFmtId="0" fontId="29" fillId="12" borderId="1" xfId="0" applyFont="1" applyFill="1" applyBorder="1" applyAlignment="1">
      <alignment horizontal="center" vertical="center" wrapText="1"/>
    </xf>
    <xf numFmtId="165" fontId="29" fillId="12" borderId="1" xfId="18" applyFont="1" applyFill="1" applyBorder="1" applyAlignment="1">
      <alignment horizontal="center" vertical="center" wrapText="1"/>
    </xf>
    <xf numFmtId="165" fontId="29" fillId="2" borderId="1" xfId="18" applyFont="1" applyFill="1" applyBorder="1" applyAlignment="1">
      <alignment horizontal="center" vertical="center" wrapText="1"/>
    </xf>
    <xf numFmtId="165" fontId="0" fillId="0" borderId="0" xfId="0" applyNumberFormat="1"/>
    <xf numFmtId="170" fontId="1" fillId="0" borderId="0" xfId="1" applyFont="1" applyFill="1" applyBorder="1" applyAlignment="1">
      <alignment horizontal="center" vertical="center" wrapText="1"/>
    </xf>
    <xf numFmtId="167" fontId="1" fillId="0" borderId="0" xfId="0" applyNumberFormat="1" applyFont="1" applyFill="1" applyBorder="1" applyAlignment="1">
      <alignment horizontal="center" vertical="center" wrapText="1"/>
    </xf>
    <xf numFmtId="167" fontId="10" fillId="0" borderId="0" xfId="0" applyNumberFormat="1" applyFont="1" applyFill="1" applyBorder="1" applyAlignment="1">
      <alignment horizontal="center" vertical="center" wrapText="1"/>
    </xf>
    <xf numFmtId="167" fontId="1" fillId="0" borderId="21" xfId="0" applyNumberFormat="1" applyFont="1" applyFill="1" applyBorder="1" applyAlignment="1">
      <alignment horizontal="center" vertical="center" wrapText="1"/>
    </xf>
    <xf numFmtId="167" fontId="4" fillId="0" borderId="0" xfId="0" applyNumberFormat="1" applyFont="1" applyFill="1" applyBorder="1" applyAlignment="1">
      <alignment horizontal="center" vertical="center" wrapText="1"/>
    </xf>
    <xf numFmtId="185" fontId="1" fillId="0" borderId="0" xfId="0" applyNumberFormat="1" applyFont="1" applyFill="1" applyBorder="1" applyAlignment="1">
      <alignment horizontal="center" vertical="center" wrapText="1"/>
    </xf>
    <xf numFmtId="167" fontId="38" fillId="0" borderId="0" xfId="0" applyNumberFormat="1" applyFont="1" applyFill="1" applyBorder="1" applyAlignment="1">
      <alignment horizontal="center" vertical="center" wrapText="1"/>
    </xf>
    <xf numFmtId="14" fontId="0" fillId="0" borderId="1" xfId="0" applyNumberFormat="1" applyBorder="1" applyAlignment="1">
      <alignment vertical="center"/>
    </xf>
    <xf numFmtId="0" fontId="0" fillId="0" borderId="1" xfId="0" applyBorder="1" applyAlignment="1">
      <alignment vertical="center" wrapText="1"/>
    </xf>
    <xf numFmtId="0" fontId="29" fillId="0" borderId="1" xfId="0" applyFont="1" applyBorder="1" applyAlignment="1">
      <alignment horizontal="center" vertical="center" wrapText="1"/>
    </xf>
    <xf numFmtId="170" fontId="0" fillId="0" borderId="0" xfId="1" applyFont="1"/>
    <xf numFmtId="170" fontId="29" fillId="0" borderId="0" xfId="1" applyFont="1" applyAlignment="1">
      <alignment horizontal="center" vertical="center" wrapText="1"/>
    </xf>
    <xf numFmtId="170" fontId="29" fillId="0" borderId="1" xfId="1" applyFont="1" applyBorder="1" applyAlignment="1">
      <alignment horizontal="center" vertical="center" wrapText="1"/>
    </xf>
    <xf numFmtId="170" fontId="0" fillId="0" borderId="1" xfId="1" applyFont="1" applyBorder="1" applyAlignment="1">
      <alignment vertical="center"/>
    </xf>
    <xf numFmtId="170" fontId="0" fillId="0" borderId="1" xfId="1" applyFont="1" applyBorder="1" applyAlignment="1">
      <alignment horizontal="right" vertical="center" wrapText="1"/>
    </xf>
    <xf numFmtId="0" fontId="39" fillId="2" borderId="1" xfId="0" quotePrefix="1" applyFont="1" applyFill="1" applyBorder="1" applyAlignment="1">
      <alignment vertical="center" wrapText="1"/>
    </xf>
    <xf numFmtId="170" fontId="29" fillId="0" borderId="1" xfId="1" applyFont="1" applyBorder="1" applyAlignment="1">
      <alignment horizontal="right" vertical="center" wrapText="1"/>
    </xf>
    <xf numFmtId="0" fontId="41" fillId="10" borderId="0" xfId="0" applyFont="1" applyFill="1" applyAlignment="1">
      <alignment horizontal="center" vertical="center" wrapText="1"/>
    </xf>
    <xf numFmtId="49" fontId="1" fillId="0" borderId="2" xfId="0" applyNumberFormat="1" applyFont="1" applyFill="1" applyBorder="1" applyAlignment="1">
      <alignment horizontal="center" vertical="center" wrapText="1"/>
    </xf>
    <xf numFmtId="172" fontId="1" fillId="0" borderId="2"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173" fontId="1" fillId="0" borderId="2" xfId="0" applyNumberFormat="1" applyFont="1" applyFill="1" applyBorder="1" applyAlignment="1">
      <alignment horizontal="center" vertical="center" wrapText="1"/>
    </xf>
    <xf numFmtId="169" fontId="1" fillId="0" borderId="2"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166" fontId="1" fillId="0" borderId="2" xfId="0" applyNumberFormat="1" applyFont="1" applyFill="1" applyBorder="1" applyAlignment="1">
      <alignment horizontal="center" vertical="center" wrapText="1"/>
    </xf>
    <xf numFmtId="169" fontId="1" fillId="0" borderId="2" xfId="3"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69" fontId="1" fillId="0" borderId="1" xfId="6"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1" fontId="1" fillId="0" borderId="2"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66" fontId="2" fillId="7" borderId="1" xfId="0" applyNumberFormat="1" applyFont="1" applyFill="1" applyBorder="1" applyAlignment="1">
      <alignment horizontal="center" vertical="center" wrapText="1"/>
    </xf>
    <xf numFmtId="169" fontId="2" fillId="8" borderId="1" xfId="0" applyNumberFormat="1" applyFont="1" applyFill="1" applyBorder="1" applyAlignment="1">
      <alignment horizontal="center" vertical="center" wrapText="1"/>
    </xf>
    <xf numFmtId="169" fontId="2" fillId="6" borderId="1" xfId="0" applyNumberFormat="1" applyFont="1" applyFill="1" applyBorder="1" applyAlignment="1">
      <alignment horizontal="center" vertical="center" wrapText="1"/>
    </xf>
    <xf numFmtId="169" fontId="4" fillId="0" borderId="1" xfId="2" applyNumberFormat="1" applyFont="1" applyFill="1" applyBorder="1" applyAlignment="1">
      <alignment horizontal="center" vertical="center" wrapText="1"/>
    </xf>
    <xf numFmtId="169" fontId="8"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8" fontId="1" fillId="0" borderId="2" xfId="0" applyNumberFormat="1" applyFont="1" applyFill="1" applyBorder="1" applyAlignment="1">
      <alignment horizontal="center" vertical="center" wrapText="1"/>
    </xf>
    <xf numFmtId="173" fontId="1" fillId="0" borderId="0" xfId="0" applyNumberFormat="1" applyFont="1" applyFill="1" applyBorder="1" applyAlignment="1">
      <alignment horizontal="center" vertical="center" wrapText="1"/>
    </xf>
    <xf numFmtId="169" fontId="1" fillId="0" borderId="0" xfId="0" applyNumberFormat="1" applyFont="1" applyFill="1" applyBorder="1" applyAlignment="1">
      <alignment horizontal="center" vertical="center" wrapText="1"/>
    </xf>
    <xf numFmtId="169" fontId="4" fillId="0" borderId="0"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69" fontId="4" fillId="0" borderId="1" xfId="2"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0" fontId="0" fillId="0" borderId="0" xfId="0" applyAlignment="1">
      <alignment horizontal="left" vertical="center" wrapText="1"/>
    </xf>
    <xf numFmtId="0" fontId="42" fillId="0" borderId="0" xfId="0" applyFont="1" applyAlignment="1">
      <alignment horizontal="left" vertical="center" wrapText="1"/>
    </xf>
    <xf numFmtId="0" fontId="7" fillId="0" borderId="0" xfId="2" applyAlignment="1">
      <alignment horizontal="left" vertical="center" wrapText="1"/>
    </xf>
    <xf numFmtId="0" fontId="44" fillId="0" borderId="0" xfId="0" applyFont="1" applyAlignment="1">
      <alignment horizontal="left" vertical="center" wrapText="1" indent="1"/>
    </xf>
    <xf numFmtId="0" fontId="44" fillId="0" borderId="23" xfId="0" applyFont="1" applyBorder="1" applyAlignment="1">
      <alignment horizontal="left" vertical="center" wrapText="1" indent="1"/>
    </xf>
    <xf numFmtId="0" fontId="44" fillId="0" borderId="0" xfId="0" applyFont="1" applyAlignment="1">
      <alignment horizontal="right" vertical="center" wrapText="1" indent="1"/>
    </xf>
    <xf numFmtId="0" fontId="45" fillId="0" borderId="0" xfId="0" applyFont="1" applyAlignment="1">
      <alignment horizontal="left" vertical="center" wrapText="1" indent="1"/>
    </xf>
    <xf numFmtId="0" fontId="45" fillId="0" borderId="0" xfId="0" applyFont="1" applyAlignment="1">
      <alignment horizontal="right" vertical="center" wrapText="1" indent="1"/>
    </xf>
    <xf numFmtId="0" fontId="43" fillId="0" borderId="0" xfId="0" applyFont="1" applyAlignment="1">
      <alignment horizontal="left" vertical="center" wrapText="1"/>
    </xf>
    <xf numFmtId="0" fontId="43" fillId="0" borderId="0" xfId="0" applyFont="1" applyAlignment="1">
      <alignment horizontal="right" vertical="center" wrapText="1"/>
    </xf>
    <xf numFmtId="0" fontId="44" fillId="0" borderId="24" xfId="0" applyFont="1" applyBorder="1" applyAlignment="1">
      <alignment horizontal="left" vertical="center" wrapText="1" indent="1"/>
    </xf>
    <xf numFmtId="0" fontId="46" fillId="0" borderId="23" xfId="0" applyFont="1" applyBorder="1" applyAlignment="1">
      <alignment horizontal="left" vertical="center" wrapText="1" indent="1"/>
    </xf>
    <xf numFmtId="14" fontId="45" fillId="15" borderId="25" xfId="0" applyNumberFormat="1" applyFont="1" applyFill="1" applyBorder="1" applyAlignment="1">
      <alignment horizontal="left" vertical="center" indent="1"/>
    </xf>
    <xf numFmtId="0" fontId="45" fillId="15" borderId="25" xfId="0" applyFont="1" applyFill="1" applyBorder="1" applyAlignment="1">
      <alignment horizontal="left" vertical="center" wrapText="1" indent="1"/>
    </xf>
    <xf numFmtId="0" fontId="45" fillId="15" borderId="25" xfId="0" applyFont="1" applyFill="1" applyBorder="1" applyAlignment="1">
      <alignment horizontal="left" vertical="center" indent="1"/>
    </xf>
    <xf numFmtId="0" fontId="45" fillId="16" borderId="25" xfId="0" applyFont="1" applyFill="1" applyBorder="1" applyAlignment="1">
      <alignment horizontal="right" vertical="center" wrapText="1" indent="1"/>
    </xf>
    <xf numFmtId="14" fontId="45" fillId="17" borderId="26" xfId="0" applyNumberFormat="1" applyFont="1" applyFill="1" applyBorder="1" applyAlignment="1">
      <alignment horizontal="left" vertical="center" indent="1"/>
    </xf>
    <xf numFmtId="0" fontId="45" fillId="17" borderId="26" xfId="0" applyFont="1" applyFill="1" applyBorder="1" applyAlignment="1">
      <alignment horizontal="left" vertical="center" wrapText="1" indent="1"/>
    </xf>
    <xf numFmtId="0" fontId="45" fillId="17" borderId="26" xfId="0" applyFont="1" applyFill="1" applyBorder="1" applyAlignment="1">
      <alignment horizontal="left" vertical="center" indent="1"/>
    </xf>
    <xf numFmtId="0" fontId="45" fillId="15" borderId="26" xfId="0" applyFont="1" applyFill="1" applyBorder="1" applyAlignment="1">
      <alignment horizontal="right" vertical="center" wrapText="1" indent="1"/>
    </xf>
    <xf numFmtId="186" fontId="32" fillId="0" borderId="0" xfId="16" applyNumberFormat="1" applyFont="1" applyAlignment="1">
      <alignment vertical="center"/>
    </xf>
    <xf numFmtId="0" fontId="47" fillId="0" borderId="0" xfId="0" applyFont="1" applyAlignment="1">
      <alignment horizontal="left" vertical="center" wrapText="1" indent="1"/>
    </xf>
    <xf numFmtId="0" fontId="47" fillId="0" borderId="23" xfId="0" applyFont="1" applyBorder="1" applyAlignment="1">
      <alignment horizontal="left" vertical="center" wrapText="1" indent="1"/>
    </xf>
    <xf numFmtId="0" fontId="47" fillId="0" borderId="0" xfId="0" applyFont="1" applyAlignment="1">
      <alignment horizontal="right" vertical="center" wrapText="1" indent="1"/>
    </xf>
    <xf numFmtId="0" fontId="48" fillId="0" borderId="0" xfId="0" applyFont="1" applyAlignment="1">
      <alignment horizontal="right" vertical="center" wrapText="1" indent="1"/>
    </xf>
    <xf numFmtId="0" fontId="48" fillId="0" borderId="0" xfId="0" applyFont="1" applyAlignment="1">
      <alignment horizontal="left" vertical="center" wrapText="1" indent="1"/>
    </xf>
    <xf numFmtId="0" fontId="1" fillId="18" borderId="0" xfId="0" applyFont="1" applyFill="1" applyBorder="1" applyAlignment="1">
      <alignment horizontal="center" vertical="center" wrapText="1"/>
    </xf>
    <xf numFmtId="166" fontId="2" fillId="7" borderId="0" xfId="0" applyNumberFormat="1" applyFont="1" applyFill="1" applyBorder="1" applyAlignment="1">
      <alignment horizontal="center" vertical="center" wrapText="1"/>
    </xf>
    <xf numFmtId="0" fontId="2" fillId="7" borderId="0" xfId="0" applyFont="1" applyFill="1" applyBorder="1" applyAlignment="1">
      <alignment horizontal="center" vertical="center" wrapText="1"/>
    </xf>
    <xf numFmtId="166" fontId="1" fillId="0" borderId="22" xfId="0" applyNumberFormat="1" applyFont="1" applyFill="1" applyBorder="1" applyAlignment="1">
      <alignment horizontal="center" vertical="center" wrapText="1"/>
    </xf>
    <xf numFmtId="0" fontId="1" fillId="0" borderId="22" xfId="0" applyFont="1" applyFill="1" applyBorder="1" applyAlignment="1">
      <alignment horizontal="center" vertical="center" wrapText="1"/>
    </xf>
    <xf numFmtId="14" fontId="1" fillId="10" borderId="1" xfId="0" applyNumberFormat="1" applyFont="1" applyFill="1" applyBorder="1" applyAlignment="1">
      <alignment horizontal="center" vertical="center" wrapText="1"/>
    </xf>
    <xf numFmtId="14" fontId="1" fillId="10" borderId="22" xfId="0" applyNumberFormat="1" applyFont="1" applyFill="1" applyBorder="1" applyAlignment="1">
      <alignment horizontal="center" vertical="center" wrapText="1"/>
    </xf>
    <xf numFmtId="14" fontId="1" fillId="10" borderId="0" xfId="0" applyNumberFormat="1" applyFont="1" applyFill="1" applyBorder="1" applyAlignment="1">
      <alignment horizontal="center" vertical="center" wrapText="1"/>
    </xf>
    <xf numFmtId="14" fontId="0" fillId="10" borderId="2" xfId="0" applyNumberFormat="1" applyFill="1" applyBorder="1" applyAlignment="1">
      <alignment horizontal="center" vertical="center" wrapText="1"/>
    </xf>
    <xf numFmtId="0" fontId="12" fillId="0" borderId="0"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3" fontId="1" fillId="0" borderId="0" xfId="0" applyNumberFormat="1" applyFont="1" applyFill="1" applyBorder="1" applyAlignment="1">
      <alignment horizontal="center" vertical="center" wrapText="1"/>
    </xf>
    <xf numFmtId="173" fontId="22" fillId="0" borderId="0" xfId="0" applyNumberFormat="1" applyFont="1" applyFill="1" applyBorder="1" applyAlignment="1">
      <alignment horizontal="center" vertical="center" wrapText="1"/>
    </xf>
    <xf numFmtId="169" fontId="1" fillId="0" borderId="0"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69" fontId="4" fillId="0" borderId="0" xfId="0" applyNumberFormat="1" applyFont="1" applyFill="1" applyBorder="1" applyAlignment="1">
      <alignment horizontal="center" vertical="center" wrapText="1"/>
    </xf>
    <xf numFmtId="169" fontId="1" fillId="10" borderId="2" xfId="0" applyNumberFormat="1" applyFont="1" applyFill="1" applyBorder="1" applyAlignment="1">
      <alignment horizontal="center" vertical="center" wrapText="1"/>
    </xf>
    <xf numFmtId="169" fontId="1" fillId="10" borderId="4"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172" fontId="1" fillId="0" borderId="2" xfId="0" applyNumberFormat="1" applyFont="1" applyFill="1" applyBorder="1" applyAlignment="1">
      <alignment horizontal="center" vertical="center" wrapText="1"/>
    </xf>
    <xf numFmtId="172" fontId="1" fillId="0" borderId="3" xfId="0" applyNumberFormat="1" applyFont="1" applyFill="1" applyBorder="1" applyAlignment="1">
      <alignment horizontal="center" vertical="center" wrapText="1"/>
    </xf>
    <xf numFmtId="173" fontId="7" fillId="0" borderId="2" xfId="2" applyNumberFormat="1" applyFill="1" applyBorder="1" applyAlignment="1">
      <alignment horizontal="center" vertical="center" wrapText="1"/>
    </xf>
    <xf numFmtId="173" fontId="1" fillId="0" borderId="2" xfId="0" applyNumberFormat="1" applyFont="1" applyFill="1" applyBorder="1" applyAlignment="1">
      <alignment horizontal="center" vertical="center" wrapText="1"/>
    </xf>
    <xf numFmtId="173" fontId="1" fillId="0" borderId="3" xfId="0" applyNumberFormat="1" applyFont="1" applyFill="1" applyBorder="1" applyAlignment="1">
      <alignment horizontal="center" vertical="center" wrapText="1"/>
    </xf>
    <xf numFmtId="169" fontId="1" fillId="0" borderId="2" xfId="0" applyNumberFormat="1" applyFont="1" applyFill="1" applyBorder="1" applyAlignment="1">
      <alignment horizontal="center" vertical="center" wrapText="1"/>
    </xf>
    <xf numFmtId="173" fontId="7" fillId="0" borderId="4" xfId="2" applyNumberForma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69" fontId="4" fillId="0" borderId="3" xfId="0" applyNumberFormat="1"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169" fontId="1" fillId="0" borderId="2" xfId="3" applyNumberFormat="1" applyFont="1" applyFill="1" applyBorder="1" applyAlignment="1">
      <alignment horizontal="center" vertical="center" wrapText="1"/>
    </xf>
    <xf numFmtId="5" fontId="1" fillId="0" borderId="2" xfId="0" applyNumberFormat="1" applyFont="1" applyFill="1" applyBorder="1" applyAlignment="1">
      <alignment horizontal="center" vertical="center" wrapText="1"/>
    </xf>
    <xf numFmtId="5" fontId="1" fillId="0" borderId="4"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73" fontId="4" fillId="0" borderId="2" xfId="0" applyNumberFormat="1" applyFont="1" applyFill="1" applyBorder="1" applyAlignment="1">
      <alignment horizontal="center" vertical="center" wrapText="1"/>
    </xf>
    <xf numFmtId="172" fontId="4" fillId="0" borderId="2" xfId="0" applyNumberFormat="1" applyFont="1" applyFill="1" applyBorder="1" applyAlignment="1">
      <alignment horizontal="center" vertical="center" wrapText="1"/>
    </xf>
    <xf numFmtId="6" fontId="4" fillId="0" borderId="1" xfId="0" applyNumberFormat="1" applyFont="1" applyFill="1" applyBorder="1" applyAlignment="1">
      <alignment horizontal="center" vertical="center" wrapText="1"/>
    </xf>
    <xf numFmtId="173" fontId="25" fillId="0" borderId="1" xfId="2"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81" fontId="4"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4" fillId="10" borderId="1" xfId="0" applyNumberFormat="1" applyFont="1" applyFill="1" applyBorder="1" applyAlignment="1">
      <alignment horizontal="center" vertical="center" wrapText="1"/>
    </xf>
    <xf numFmtId="169" fontId="1" fillId="10" borderId="1" xfId="0" applyNumberFormat="1" applyFont="1" applyFill="1" applyBorder="1" applyAlignment="1">
      <alignment horizontal="center" vertical="center" wrapText="1"/>
    </xf>
    <xf numFmtId="173" fontId="7" fillId="0" borderId="1" xfId="2" applyNumberForma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6" fontId="1" fillId="0" borderId="1" xfId="0" applyNumberFormat="1" applyFont="1" applyFill="1" applyBorder="1" applyAlignment="1">
      <alignment horizontal="center" vertical="center" wrapText="1"/>
    </xf>
    <xf numFmtId="164" fontId="4" fillId="0" borderId="1" xfId="16" applyFont="1" applyFill="1" applyBorder="1" applyAlignment="1">
      <alignment horizontal="center" vertical="center" wrapText="1"/>
    </xf>
    <xf numFmtId="0" fontId="2" fillId="0" borderId="1" xfId="0" applyFont="1" applyFill="1" applyBorder="1" applyAlignment="1">
      <alignment horizontal="center" vertical="center" wrapText="1"/>
    </xf>
    <xf numFmtId="173" fontId="1" fillId="10" borderId="1" xfId="0" applyNumberFormat="1" applyFont="1" applyFill="1" applyBorder="1" applyAlignment="1">
      <alignment horizontal="center" vertical="center" wrapText="1"/>
    </xf>
    <xf numFmtId="172" fontId="1" fillId="10" borderId="1" xfId="0" applyNumberFormat="1" applyFont="1" applyFill="1" applyBorder="1" applyAlignment="1">
      <alignment horizontal="center" vertical="center" wrapText="1"/>
    </xf>
    <xf numFmtId="5" fontId="1" fillId="0" borderId="1" xfId="6" applyNumberFormat="1" applyFont="1" applyFill="1" applyBorder="1" applyAlignment="1">
      <alignment horizontal="center" vertical="center" wrapText="1"/>
    </xf>
    <xf numFmtId="5" fontId="1" fillId="0" borderId="1" xfId="0" applyNumberFormat="1" applyFont="1" applyFill="1" applyBorder="1" applyAlignment="1">
      <alignment horizontal="center" vertical="center" wrapText="1"/>
    </xf>
    <xf numFmtId="173" fontId="22" fillId="0" borderId="1" xfId="2" applyNumberFormat="1" applyFont="1" applyFill="1" applyBorder="1" applyAlignment="1">
      <alignment horizontal="center" vertical="center" wrapText="1"/>
    </xf>
    <xf numFmtId="173" fontId="23" fillId="0" borderId="2" xfId="2"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173" fontId="23" fillId="0" borderId="1" xfId="2" applyNumberFormat="1" applyFont="1" applyFill="1" applyBorder="1" applyAlignment="1">
      <alignment horizontal="center" vertical="center" wrapText="1"/>
    </xf>
    <xf numFmtId="173" fontId="22" fillId="0" borderId="1" xfId="0" applyNumberFormat="1" applyFont="1" applyFill="1" applyBorder="1" applyAlignment="1">
      <alignment horizontal="center" vertical="center" wrapText="1"/>
    </xf>
    <xf numFmtId="172" fontId="4" fillId="0" borderId="1" xfId="0" applyNumberFormat="1" applyFont="1" applyFill="1" applyBorder="1" applyAlignment="1">
      <alignment horizontal="center" vertical="center" wrapText="1"/>
    </xf>
    <xf numFmtId="8" fontId="1" fillId="0" borderId="1" xfId="0" applyNumberFormat="1" applyFont="1" applyFill="1" applyBorder="1" applyAlignment="1">
      <alignment horizontal="center" vertical="center" wrapText="1"/>
    </xf>
    <xf numFmtId="169" fontId="4" fillId="0" borderId="1" xfId="3" applyNumberFormat="1" applyFont="1" applyFill="1" applyBorder="1" applyAlignment="1">
      <alignment horizontal="center" vertical="center" wrapText="1"/>
    </xf>
    <xf numFmtId="169" fontId="4" fillId="0" borderId="1" xfId="2" applyNumberFormat="1" applyFont="1" applyFill="1" applyBorder="1" applyAlignment="1">
      <alignment horizontal="center" vertical="center" wrapText="1"/>
    </xf>
    <xf numFmtId="0" fontId="23" fillId="0" borderId="1" xfId="2" applyFont="1" applyFill="1" applyBorder="1" applyAlignment="1">
      <alignment horizontal="center" vertical="center"/>
    </xf>
    <xf numFmtId="169" fontId="1" fillId="0" borderId="1" xfId="1"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xf>
    <xf numFmtId="173" fontId="1" fillId="0" borderId="1" xfId="0" applyNumberFormat="1" applyFont="1" applyFill="1" applyBorder="1" applyAlignment="1">
      <alignment horizontal="left" vertical="center" wrapText="1"/>
    </xf>
    <xf numFmtId="169" fontId="1" fillId="0" borderId="1" xfId="4" applyNumberFormat="1" applyFont="1" applyFill="1" applyBorder="1" applyAlignment="1">
      <alignment horizontal="center" vertical="center" wrapText="1"/>
    </xf>
    <xf numFmtId="0" fontId="0" fillId="0" borderId="1" xfId="0" applyFill="1" applyBorder="1" applyAlignment="1">
      <alignment horizontal="center" vertical="center" wrapText="1"/>
    </xf>
    <xf numFmtId="173" fontId="22" fillId="0" borderId="2" xfId="2"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xf>
    <xf numFmtId="0" fontId="22" fillId="0" borderId="1" xfId="2"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1" xfId="0" applyNumberFormat="1" applyFont="1" applyFill="1" applyBorder="1" applyAlignment="1">
      <alignment horizontal="left" vertical="center"/>
    </xf>
    <xf numFmtId="14" fontId="1" fillId="0" borderId="1" xfId="0" applyNumberFormat="1" applyFont="1" applyFill="1" applyBorder="1" applyAlignment="1">
      <alignment horizontal="center" vertical="center"/>
    </xf>
    <xf numFmtId="8" fontId="1"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169" fontId="8"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166" fontId="2" fillId="7" borderId="1" xfId="0" applyNumberFormat="1" applyFont="1" applyFill="1" applyBorder="1" applyAlignment="1">
      <alignment horizontal="center" vertical="center" wrapText="1"/>
    </xf>
    <xf numFmtId="169" fontId="2" fillId="8" borderId="1" xfId="0" applyNumberFormat="1" applyFont="1" applyFill="1" applyBorder="1" applyAlignment="1">
      <alignment horizontal="center" vertical="center" wrapText="1"/>
    </xf>
    <xf numFmtId="169" fontId="2" fillId="6" borderId="1" xfId="0" applyNumberFormat="1" applyFont="1" applyFill="1" applyBorder="1" applyAlignment="1">
      <alignment horizontal="center" vertical="center" wrapText="1"/>
    </xf>
    <xf numFmtId="169" fontId="1" fillId="0" borderId="1" xfId="6" applyNumberFormat="1" applyFont="1" applyFill="1" applyBorder="1" applyAlignment="1">
      <alignment horizontal="center" vertical="center" wrapText="1"/>
    </xf>
    <xf numFmtId="173" fontId="2" fillId="0" borderId="1" xfId="0" applyNumberFormat="1" applyFont="1" applyFill="1" applyBorder="1" applyAlignment="1">
      <alignment horizontal="center" vertical="center" wrapText="1"/>
    </xf>
    <xf numFmtId="1" fontId="22" fillId="0" borderId="1" xfId="2"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73" fontId="2"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4" fontId="31" fillId="13" borderId="1" xfId="3" applyNumberFormat="1" applyFont="1" applyFill="1" applyBorder="1" applyAlignment="1" applyProtection="1">
      <alignment horizontal="right" vertical="center" wrapText="1"/>
      <protection locked="0"/>
    </xf>
    <xf numFmtId="173" fontId="21" fillId="0" borderId="1" xfId="2" applyNumberFormat="1" applyFont="1" applyFill="1" applyBorder="1" applyAlignment="1">
      <alignment horizontal="center" vertical="center" wrapText="1"/>
    </xf>
    <xf numFmtId="173" fontId="21" fillId="0" borderId="1" xfId="0" applyNumberFormat="1" applyFont="1" applyFill="1" applyBorder="1" applyAlignment="1">
      <alignment horizontal="center" vertical="center" wrapText="1"/>
    </xf>
    <xf numFmtId="173" fontId="50" fillId="0" borderId="1" xfId="2" applyNumberFormat="1" applyFont="1" applyFill="1" applyBorder="1" applyAlignment="1">
      <alignment horizontal="center" vertical="center" wrapText="1"/>
    </xf>
    <xf numFmtId="173" fontId="21" fillId="0" borderId="2" xfId="2" applyNumberFormat="1" applyFont="1" applyFill="1" applyBorder="1" applyAlignment="1">
      <alignment horizontal="center" vertical="center" wrapText="1"/>
    </xf>
    <xf numFmtId="0" fontId="49" fillId="0" borderId="1" xfId="2" applyFont="1" applyFill="1" applyBorder="1" applyAlignment="1">
      <alignment horizontal="center" vertical="center"/>
    </xf>
    <xf numFmtId="173" fontId="49" fillId="0" borderId="1" xfId="2" applyNumberFormat="1" applyFont="1" applyFill="1" applyBorder="1" applyAlignment="1">
      <alignment horizontal="center" vertical="center" wrapText="1"/>
    </xf>
    <xf numFmtId="173" fontId="21" fillId="0" borderId="0" xfId="0" applyNumberFormat="1" applyFont="1" applyFill="1" applyBorder="1" applyAlignment="1">
      <alignment horizontal="center" vertical="center" wrapText="1"/>
    </xf>
    <xf numFmtId="173" fontId="7" fillId="0" borderId="4" xfId="2" applyNumberForma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5" fontId="1" fillId="0" borderId="2" xfId="0" applyNumberFormat="1" applyFont="1" applyFill="1" applyBorder="1" applyAlignment="1">
      <alignment horizontal="center" vertical="center" wrapText="1"/>
    </xf>
    <xf numFmtId="5" fontId="1" fillId="0" borderId="4" xfId="0" applyNumberFormat="1" applyFont="1" applyFill="1" applyBorder="1" applyAlignment="1">
      <alignment horizontal="center" vertical="center" wrapText="1"/>
    </xf>
    <xf numFmtId="6" fontId="4"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6" fontId="1" fillId="0" borderId="1" xfId="0" applyNumberFormat="1" applyFont="1" applyFill="1" applyBorder="1" applyAlignment="1">
      <alignment horizontal="center" vertical="center" wrapText="1"/>
    </xf>
    <xf numFmtId="5" fontId="1" fillId="0" borderId="1" xfId="6" applyNumberFormat="1" applyFont="1" applyFill="1" applyBorder="1" applyAlignment="1">
      <alignment horizontal="center" vertical="center" wrapText="1"/>
    </xf>
    <xf numFmtId="5" fontId="1" fillId="0" borderId="1" xfId="0" applyNumberFormat="1" applyFont="1" applyFill="1" applyBorder="1" applyAlignment="1">
      <alignment horizontal="center" vertical="center" wrapText="1"/>
    </xf>
    <xf numFmtId="166" fontId="2" fillId="7" borderId="1" xfId="0" applyNumberFormat="1" applyFont="1" applyFill="1" applyBorder="1" applyAlignment="1">
      <alignment horizontal="center" vertical="center" wrapText="1"/>
    </xf>
    <xf numFmtId="169" fontId="2" fillId="8" borderId="1" xfId="0" applyNumberFormat="1" applyFont="1" applyFill="1" applyBorder="1" applyAlignment="1">
      <alignment horizontal="center" vertical="center" wrapText="1"/>
    </xf>
    <xf numFmtId="169" fontId="2" fillId="6" borderId="1" xfId="0" applyNumberFormat="1" applyFont="1" applyFill="1" applyBorder="1" applyAlignment="1">
      <alignment horizontal="center" vertical="center" wrapText="1"/>
    </xf>
    <xf numFmtId="49" fontId="1" fillId="0" borderId="1" xfId="0" quotePrefix="1" applyNumberFormat="1" applyFont="1" applyFill="1" applyBorder="1" applyAlignment="1">
      <alignment horizontal="center" vertical="center" wrapText="1"/>
    </xf>
    <xf numFmtId="49" fontId="1" fillId="19" borderId="1" xfId="0" applyNumberFormat="1" applyFont="1" applyFill="1" applyBorder="1" applyAlignment="1">
      <alignment horizontal="center" vertical="center" wrapText="1"/>
    </xf>
    <xf numFmtId="172" fontId="1" fillId="19" borderId="1" xfId="0" applyNumberFormat="1" applyFont="1" applyFill="1" applyBorder="1" applyAlignment="1">
      <alignment horizontal="center" vertical="center" wrapText="1"/>
    </xf>
    <xf numFmtId="176" fontId="1" fillId="19" borderId="1" xfId="0" applyNumberFormat="1" applyFont="1" applyFill="1" applyBorder="1" applyAlignment="1">
      <alignment horizontal="center" vertical="center" wrapText="1"/>
    </xf>
    <xf numFmtId="173" fontId="1" fillId="19" borderId="1" xfId="0" applyNumberFormat="1" applyFont="1" applyFill="1" applyBorder="1" applyAlignment="1">
      <alignment horizontal="center" vertical="center" wrapText="1"/>
    </xf>
    <xf numFmtId="169" fontId="1" fillId="19" borderId="1" xfId="0" applyNumberFormat="1" applyFont="1" applyFill="1" applyBorder="1" applyAlignment="1">
      <alignment horizontal="center" vertical="center" wrapText="1"/>
    </xf>
    <xf numFmtId="169" fontId="1" fillId="19" borderId="1" xfId="3" applyNumberFormat="1" applyFont="1" applyFill="1" applyBorder="1" applyAlignment="1">
      <alignment horizontal="center" vertical="center" wrapText="1"/>
    </xf>
    <xf numFmtId="169" fontId="4" fillId="19" borderId="1" xfId="0" applyNumberFormat="1" applyFont="1" applyFill="1" applyBorder="1" applyAlignment="1">
      <alignment horizontal="center" vertical="center" wrapText="1"/>
    </xf>
    <xf numFmtId="169" fontId="10" fillId="19" borderId="1" xfId="0" applyNumberFormat="1" applyFont="1" applyFill="1" applyBorder="1" applyAlignment="1">
      <alignment horizontal="center" vertical="center" wrapText="1"/>
    </xf>
    <xf numFmtId="6" fontId="10" fillId="19" borderId="1" xfId="0" applyNumberFormat="1" applyFont="1" applyFill="1" applyBorder="1" applyAlignment="1">
      <alignment horizontal="center" vertical="center" wrapText="1"/>
    </xf>
    <xf numFmtId="166" fontId="1" fillId="19" borderId="1" xfId="0" applyNumberFormat="1"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0" xfId="0" applyFont="1" applyFill="1" applyBorder="1" applyAlignment="1">
      <alignment horizontal="center" vertical="center" wrapText="1"/>
    </xf>
    <xf numFmtId="173" fontId="7" fillId="19" borderId="1" xfId="2" applyNumberForma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169" fontId="4" fillId="0" borderId="1" xfId="2" applyNumberFormat="1" applyFont="1" applyFill="1" applyBorder="1" applyAlignment="1">
      <alignment horizontal="center" vertical="center" wrapText="1"/>
    </xf>
    <xf numFmtId="169" fontId="8"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173" fontId="7" fillId="0" borderId="1" xfId="2" applyNumberFormat="1" applyFill="1" applyBorder="1" applyAlignment="1">
      <alignment horizontal="center" vertical="center" wrapText="1"/>
    </xf>
    <xf numFmtId="173" fontId="1" fillId="10" borderId="1" xfId="0" applyNumberFormat="1" applyFont="1" applyFill="1" applyBorder="1" applyAlignment="1">
      <alignment horizontal="center" vertical="center" wrapText="1"/>
    </xf>
    <xf numFmtId="172" fontId="1" fillId="10" borderId="1" xfId="0" applyNumberFormat="1" applyFont="1" applyFill="1" applyBorder="1" applyAlignment="1">
      <alignment horizontal="center" vertical="center" wrapText="1"/>
    </xf>
    <xf numFmtId="169" fontId="1" fillId="10" borderId="1" xfId="0" applyNumberFormat="1" applyFont="1" applyFill="1" applyBorder="1" applyAlignment="1">
      <alignment horizontal="center" vertical="center" wrapText="1"/>
    </xf>
    <xf numFmtId="169" fontId="4" fillId="10" borderId="1" xfId="0" applyNumberFormat="1" applyFont="1" applyFill="1" applyBorder="1" applyAlignment="1">
      <alignment horizontal="center" vertical="center" wrapText="1"/>
    </xf>
    <xf numFmtId="49" fontId="1" fillId="10" borderId="2" xfId="0" applyNumberFormat="1" applyFont="1" applyFill="1" applyBorder="1" applyAlignment="1">
      <alignment horizontal="center" vertical="center" wrapText="1"/>
    </xf>
    <xf numFmtId="49" fontId="1" fillId="10" borderId="4" xfId="0" applyNumberFormat="1" applyFont="1" applyFill="1" applyBorder="1" applyAlignment="1">
      <alignment horizontal="center" vertical="center" wrapText="1"/>
    </xf>
    <xf numFmtId="0" fontId="1" fillId="10" borderId="4" xfId="0" applyFont="1" applyFill="1" applyBorder="1" applyAlignment="1">
      <alignment horizontal="center" vertical="center" wrapText="1"/>
    </xf>
    <xf numFmtId="169" fontId="4" fillId="10" borderId="2" xfId="0" applyNumberFormat="1" applyFont="1" applyFill="1" applyBorder="1" applyAlignment="1">
      <alignment horizontal="center" vertical="center" wrapText="1"/>
    </xf>
    <xf numFmtId="169" fontId="4" fillId="10" borderId="4" xfId="0" applyNumberFormat="1" applyFont="1" applyFill="1" applyBorder="1" applyAlignment="1">
      <alignment horizontal="center" vertical="center" wrapText="1"/>
    </xf>
    <xf numFmtId="169" fontId="1" fillId="10" borderId="2" xfId="0" applyNumberFormat="1" applyFont="1" applyFill="1" applyBorder="1" applyAlignment="1">
      <alignment horizontal="center" vertical="center" wrapText="1"/>
    </xf>
    <xf numFmtId="169" fontId="1" fillId="10" borderId="4" xfId="0" applyNumberFormat="1" applyFont="1" applyFill="1" applyBorder="1" applyAlignment="1">
      <alignment horizontal="center" vertical="center" wrapText="1"/>
    </xf>
    <xf numFmtId="172" fontId="1" fillId="10" borderId="4" xfId="0" applyNumberFormat="1" applyFont="1" applyFill="1" applyBorder="1" applyAlignment="1">
      <alignment horizontal="center" vertical="center" wrapText="1"/>
    </xf>
    <xf numFmtId="169" fontId="1" fillId="10" borderId="2" xfId="3" applyNumberFormat="1" applyFont="1" applyFill="1" applyBorder="1" applyAlignment="1">
      <alignment horizontal="center" vertical="center" wrapText="1"/>
    </xf>
    <xf numFmtId="176" fontId="1" fillId="10" borderId="4" xfId="0" applyNumberFormat="1" applyFont="1" applyFill="1" applyBorder="1" applyAlignment="1">
      <alignment horizontal="center" vertical="center" wrapText="1"/>
    </xf>
    <xf numFmtId="8" fontId="0" fillId="0" borderId="0" xfId="0" applyNumberFormat="1"/>
    <xf numFmtId="5" fontId="0" fillId="0" borderId="0" xfId="0" applyNumberFormat="1"/>
    <xf numFmtId="169" fontId="4" fillId="0" borderId="1" xfId="0" applyNumberFormat="1" applyFont="1" applyFill="1" applyBorder="1" applyAlignment="1">
      <alignment horizontal="center" vertical="center" wrapText="1"/>
    </xf>
    <xf numFmtId="169" fontId="1" fillId="10" borderId="2" xfId="0" applyNumberFormat="1" applyFont="1" applyFill="1" applyBorder="1" applyAlignment="1">
      <alignment horizontal="center" vertical="center" wrapText="1"/>
    </xf>
    <xf numFmtId="169" fontId="1" fillId="10" borderId="4" xfId="0" applyNumberFormat="1" applyFont="1" applyFill="1" applyBorder="1" applyAlignment="1">
      <alignment horizontal="center" vertical="center" wrapText="1"/>
    </xf>
    <xf numFmtId="169" fontId="1" fillId="10" borderId="2" xfId="3" applyNumberFormat="1" applyFont="1" applyFill="1" applyBorder="1" applyAlignment="1">
      <alignment horizontal="center" vertical="center" wrapText="1"/>
    </xf>
    <xf numFmtId="169" fontId="4" fillId="10" borderId="2" xfId="0" applyNumberFormat="1" applyFont="1" applyFill="1" applyBorder="1" applyAlignment="1">
      <alignment horizontal="center" vertical="center" wrapText="1"/>
    </xf>
    <xf numFmtId="49" fontId="1" fillId="10" borderId="2" xfId="0" applyNumberFormat="1" applyFont="1" applyFill="1" applyBorder="1" applyAlignment="1">
      <alignment horizontal="center" vertical="center" wrapText="1"/>
    </xf>
    <xf numFmtId="49" fontId="1" fillId="10" borderId="4" xfId="0" applyNumberFormat="1" applyFont="1" applyFill="1" applyBorder="1" applyAlignment="1">
      <alignment horizontal="center" vertical="center" wrapText="1"/>
    </xf>
    <xf numFmtId="172" fontId="1" fillId="10" borderId="4" xfId="0" applyNumberFormat="1" applyFont="1" applyFill="1" applyBorder="1" applyAlignment="1">
      <alignment horizontal="center" vertical="center" wrapText="1"/>
    </xf>
    <xf numFmtId="169" fontId="4" fillId="10" borderId="4" xfId="0" applyNumberFormat="1" applyFont="1" applyFill="1" applyBorder="1" applyAlignment="1">
      <alignment horizontal="center" vertical="center" wrapText="1"/>
    </xf>
    <xf numFmtId="176" fontId="1" fillId="10" borderId="4" xfId="0" applyNumberFormat="1" applyFont="1" applyFill="1" applyBorder="1" applyAlignment="1">
      <alignment horizontal="center" vertical="center" wrapText="1"/>
    </xf>
    <xf numFmtId="0" fontId="1" fillId="10" borderId="4" xfId="0" applyFont="1" applyFill="1" applyBorder="1" applyAlignment="1">
      <alignment horizontal="center" vertical="center" wrapText="1"/>
    </xf>
    <xf numFmtId="169" fontId="4" fillId="10" borderId="1" xfId="0" applyNumberFormat="1" applyFont="1" applyFill="1" applyBorder="1" applyAlignment="1">
      <alignment horizontal="center" vertical="center" wrapText="1"/>
    </xf>
    <xf numFmtId="169" fontId="1" fillId="10" borderId="1" xfId="0" applyNumberFormat="1" applyFont="1" applyFill="1" applyBorder="1" applyAlignment="1">
      <alignment horizontal="center" vertical="center" wrapText="1"/>
    </xf>
    <xf numFmtId="173" fontId="1" fillId="10" borderId="1" xfId="0" applyNumberFormat="1" applyFont="1" applyFill="1" applyBorder="1" applyAlignment="1">
      <alignment horizontal="center" vertical="center" wrapText="1"/>
    </xf>
    <xf numFmtId="172" fontId="1" fillId="10" borderId="1" xfId="0" applyNumberFormat="1" applyFont="1" applyFill="1" applyBorder="1" applyAlignment="1">
      <alignment horizontal="center" vertical="center" wrapText="1"/>
    </xf>
    <xf numFmtId="3" fontId="7" fillId="0" borderId="1" xfId="2" applyNumberFormat="1" applyBorder="1" applyAlignment="1" applyProtection="1">
      <alignment horizontal="center"/>
      <protection locked="0"/>
    </xf>
    <xf numFmtId="0" fontId="51" fillId="20" borderId="1" xfId="0" applyFont="1" applyFill="1" applyBorder="1" applyAlignment="1" applyProtection="1">
      <alignment horizontal="center" wrapText="1"/>
      <protection locked="0"/>
    </xf>
    <xf numFmtId="3" fontId="7" fillId="21" borderId="1" xfId="2" applyNumberFormat="1" applyFill="1" applyBorder="1" applyAlignment="1" applyProtection="1">
      <alignment horizontal="center"/>
      <protection locked="0"/>
    </xf>
    <xf numFmtId="0" fontId="51" fillId="21" borderId="1" xfId="0" applyFont="1" applyFill="1" applyBorder="1" applyAlignment="1" applyProtection="1">
      <alignment horizontal="center" wrapText="1"/>
      <protection locked="0"/>
    </xf>
    <xf numFmtId="166" fontId="1" fillId="10" borderId="4"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0" fontId="54" fillId="0" borderId="24" xfId="0" applyFont="1" applyBorder="1" applyAlignment="1">
      <alignment horizontal="left" vertical="center" wrapText="1" indent="1"/>
    </xf>
    <xf numFmtId="0" fontId="54" fillId="0" borderId="23" xfId="0" applyFont="1" applyBorder="1" applyAlignment="1">
      <alignment horizontal="left" vertical="center" wrapText="1" indent="1"/>
    </xf>
    <xf numFmtId="0" fontId="54" fillId="0" borderId="23" xfId="0" applyFont="1" applyBorder="1" applyAlignment="1">
      <alignment horizontal="right" vertical="center" wrapText="1" indent="1"/>
    </xf>
    <xf numFmtId="0" fontId="55" fillId="0" borderId="25" xfId="0" applyFont="1" applyBorder="1" applyAlignment="1">
      <alignment horizontal="left" wrapText="1" indent="1"/>
    </xf>
    <xf numFmtId="0" fontId="55" fillId="0" borderId="25" xfId="0" applyFont="1" applyBorder="1" applyAlignment="1">
      <alignment horizontal="right" wrapText="1" indent="1"/>
    </xf>
    <xf numFmtId="0" fontId="0" fillId="0" borderId="0" xfId="0" applyAlignment="1">
      <alignment wrapText="1"/>
    </xf>
    <xf numFmtId="0" fontId="53" fillId="0" borderId="0" xfId="0" applyFont="1" applyAlignment="1">
      <alignment wrapText="1"/>
    </xf>
    <xf numFmtId="0" fontId="53" fillId="0" borderId="0" xfId="0" applyFont="1" applyAlignment="1">
      <alignment horizontal="right" wrapText="1"/>
    </xf>
    <xf numFmtId="14" fontId="55" fillId="15" borderId="25" xfId="0" applyNumberFormat="1" applyFont="1" applyFill="1" applyBorder="1" applyAlignment="1">
      <alignment horizontal="left" indent="1"/>
    </xf>
    <xf numFmtId="0" fontId="55" fillId="15" borderId="25" xfId="0" applyFont="1" applyFill="1" applyBorder="1" applyAlignment="1">
      <alignment horizontal="left" wrapText="1" indent="1"/>
    </xf>
    <xf numFmtId="0" fontId="55" fillId="15" borderId="25" xfId="0" applyFont="1" applyFill="1" applyBorder="1" applyAlignment="1">
      <alignment horizontal="left" indent="1"/>
    </xf>
    <xf numFmtId="0" fontId="55" fillId="16" borderId="25" xfId="0" applyFont="1" applyFill="1" applyBorder="1" applyAlignment="1">
      <alignment horizontal="right" wrapText="1" indent="1"/>
    </xf>
    <xf numFmtId="14" fontId="55" fillId="17" borderId="26" xfId="0" applyNumberFormat="1" applyFont="1" applyFill="1" applyBorder="1" applyAlignment="1">
      <alignment horizontal="left" indent="1"/>
    </xf>
    <xf numFmtId="0" fontId="55" fillId="17" borderId="26" xfId="0" applyFont="1" applyFill="1" applyBorder="1" applyAlignment="1">
      <alignment horizontal="left" wrapText="1" indent="1"/>
    </xf>
    <xf numFmtId="0" fontId="55" fillId="17" borderId="26" xfId="0" applyFont="1" applyFill="1" applyBorder="1" applyAlignment="1">
      <alignment horizontal="left" indent="1"/>
    </xf>
    <xf numFmtId="0" fontId="55" fillId="15" borderId="26" xfId="0" applyFont="1" applyFill="1" applyBorder="1" applyAlignment="1">
      <alignment horizontal="right" wrapText="1" indent="1"/>
    </xf>
    <xf numFmtId="14" fontId="55" fillId="15" borderId="26" xfId="0" applyNumberFormat="1" applyFont="1" applyFill="1" applyBorder="1" applyAlignment="1">
      <alignment horizontal="left" indent="1"/>
    </xf>
    <xf numFmtId="0" fontId="55" fillId="15" borderId="26" xfId="0" applyFont="1" applyFill="1" applyBorder="1" applyAlignment="1">
      <alignment horizontal="left" wrapText="1" indent="1"/>
    </xf>
    <xf numFmtId="0" fontId="55" fillId="15" borderId="26" xfId="0" applyFont="1" applyFill="1" applyBorder="1" applyAlignment="1">
      <alignment horizontal="left" indent="1"/>
    </xf>
    <xf numFmtId="0" fontId="55" fillId="16" borderId="26" xfId="0" applyFont="1" applyFill="1" applyBorder="1" applyAlignment="1">
      <alignment horizontal="right" wrapText="1" indent="1"/>
    </xf>
    <xf numFmtId="14" fontId="55" fillId="22" borderId="26" xfId="0" applyNumberFormat="1" applyFont="1" applyFill="1" applyBorder="1" applyAlignment="1">
      <alignment horizontal="left" indent="1"/>
    </xf>
    <xf numFmtId="0" fontId="55" fillId="22" borderId="26" xfId="0" applyFont="1" applyFill="1" applyBorder="1" applyAlignment="1">
      <alignment horizontal="left" wrapText="1" indent="1"/>
    </xf>
    <xf numFmtId="0" fontId="55" fillId="22" borderId="26" xfId="0" applyFont="1" applyFill="1" applyBorder="1" applyAlignment="1">
      <alignment horizontal="left" indent="1"/>
    </xf>
    <xf numFmtId="0" fontId="55" fillId="23" borderId="26" xfId="0" applyFont="1" applyFill="1" applyBorder="1" applyAlignment="1">
      <alignment horizontal="right" wrapText="1" indent="1"/>
    </xf>
    <xf numFmtId="165" fontId="54" fillId="0" borderId="23" xfId="18" applyFont="1" applyBorder="1" applyAlignment="1">
      <alignment horizontal="right" vertical="center" wrapText="1" indent="1"/>
    </xf>
    <xf numFmtId="165" fontId="55" fillId="0" borderId="25" xfId="18" applyFont="1" applyBorder="1" applyAlignment="1">
      <alignment horizontal="right" wrapText="1" indent="1"/>
    </xf>
    <xf numFmtId="165" fontId="55" fillId="16" borderId="25" xfId="18" applyFont="1" applyFill="1" applyBorder="1" applyAlignment="1">
      <alignment horizontal="right" wrapText="1" indent="1"/>
    </xf>
    <xf numFmtId="165" fontId="55" fillId="15" borderId="26" xfId="18" applyFont="1" applyFill="1" applyBorder="1" applyAlignment="1">
      <alignment horizontal="right" wrapText="1" indent="1"/>
    </xf>
    <xf numFmtId="165" fontId="55" fillId="16" borderId="26" xfId="18" applyFont="1" applyFill="1" applyBorder="1" applyAlignment="1">
      <alignment horizontal="right" wrapText="1" indent="1"/>
    </xf>
    <xf numFmtId="165" fontId="55" fillId="23" borderId="26" xfId="18" applyFont="1" applyFill="1" applyBorder="1" applyAlignment="1">
      <alignment horizontal="right" wrapText="1" indent="1"/>
    </xf>
    <xf numFmtId="0" fontId="56" fillId="0" borderId="0" xfId="0" applyFont="1" applyAlignment="1">
      <alignment horizontal="right" wrapText="1"/>
    </xf>
    <xf numFmtId="0" fontId="57" fillId="0" borderId="0" xfId="0" applyFont="1" applyAlignment="1">
      <alignment wrapText="1"/>
    </xf>
    <xf numFmtId="0" fontId="58" fillId="0" borderId="0" xfId="0" applyFont="1" applyAlignment="1">
      <alignment wrapText="1"/>
    </xf>
    <xf numFmtId="0" fontId="7" fillId="0" borderId="0" xfId="2" applyAlignment="1">
      <alignment wrapText="1"/>
    </xf>
    <xf numFmtId="14" fontId="55" fillId="16" borderId="25" xfId="0" applyNumberFormat="1" applyFont="1" applyFill="1" applyBorder="1" applyAlignment="1">
      <alignment horizontal="left" indent="1"/>
    </xf>
    <xf numFmtId="0" fontId="55" fillId="15" borderId="25" xfId="0" applyFont="1" applyFill="1" applyBorder="1" applyAlignment="1">
      <alignment horizontal="right" wrapText="1" indent="1"/>
    </xf>
    <xf numFmtId="0" fontId="55" fillId="17" borderId="26" xfId="0" applyFont="1" applyFill="1" applyBorder="1" applyAlignment="1">
      <alignment horizontal="right" wrapText="1" indent="1"/>
    </xf>
    <xf numFmtId="14" fontId="55" fillId="16" borderId="26" xfId="0" applyNumberFormat="1" applyFont="1" applyFill="1" applyBorder="1" applyAlignment="1">
      <alignment horizontal="left" indent="1"/>
    </xf>
    <xf numFmtId="14" fontId="55" fillId="23" borderId="26" xfId="0" applyNumberFormat="1" applyFont="1" applyFill="1" applyBorder="1" applyAlignment="1">
      <alignment horizontal="left" indent="1"/>
    </xf>
    <xf numFmtId="0" fontId="55" fillId="22" borderId="26" xfId="0" applyFont="1" applyFill="1" applyBorder="1" applyAlignment="1">
      <alignment horizontal="right" wrapText="1" indent="1"/>
    </xf>
    <xf numFmtId="0" fontId="55" fillId="17" borderId="25" xfId="0" applyFont="1" applyFill="1" applyBorder="1" applyAlignment="1">
      <alignment horizontal="left" wrapText="1" indent="1"/>
    </xf>
    <xf numFmtId="0" fontId="55" fillId="17" borderId="25" xfId="0" applyFont="1" applyFill="1" applyBorder="1" applyAlignment="1">
      <alignment horizontal="left" indent="1"/>
    </xf>
    <xf numFmtId="0" fontId="55" fillId="17" borderId="25" xfId="0" applyFont="1" applyFill="1" applyBorder="1" applyAlignment="1">
      <alignment horizontal="right" wrapText="1" indent="1"/>
    </xf>
    <xf numFmtId="44" fontId="0" fillId="10" borderId="0" xfId="3" applyFont="1" applyFill="1"/>
    <xf numFmtId="44" fontId="0" fillId="0" borderId="0" xfId="0" applyNumberFormat="1"/>
    <xf numFmtId="49" fontId="1"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73" fontId="1" fillId="0" borderId="2"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73" fontId="7" fillId="0" borderId="1" xfId="2" applyNumberForma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69" fontId="4" fillId="0" borderId="1" xfId="2" applyNumberFormat="1" applyFont="1" applyFill="1" applyBorder="1" applyAlignment="1">
      <alignment horizontal="center" vertical="center" wrapText="1"/>
    </xf>
    <xf numFmtId="169" fontId="8" fillId="0" borderId="1" xfId="0" applyNumberFormat="1" applyFont="1" applyFill="1" applyBorder="1" applyAlignment="1">
      <alignment horizontal="center" vertical="center" wrapText="1"/>
    </xf>
    <xf numFmtId="14" fontId="55" fillId="17" borderId="25" xfId="0" applyNumberFormat="1" applyFont="1" applyFill="1" applyBorder="1" applyAlignment="1">
      <alignment horizontal="left" indent="1"/>
    </xf>
    <xf numFmtId="173" fontId="1" fillId="0" borderId="3" xfId="0" applyNumberFormat="1" applyFont="1" applyFill="1" applyBorder="1" applyAlignment="1">
      <alignment horizontal="center" vertical="center" wrapText="1"/>
    </xf>
    <xf numFmtId="172" fontId="1" fillId="0" borderId="4"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69" fontId="4" fillId="0" borderId="4" xfId="0" applyNumberFormat="1" applyFont="1" applyFill="1" applyBorder="1" applyAlignment="1">
      <alignment horizontal="center" vertical="center" wrapText="1"/>
    </xf>
    <xf numFmtId="169" fontId="4" fillId="0" borderId="3"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9" fontId="1" fillId="0" borderId="2" xfId="0" applyNumberFormat="1" applyFont="1" applyFill="1" applyBorder="1" applyAlignment="1">
      <alignment horizontal="center" vertical="center" wrapText="1"/>
    </xf>
    <xf numFmtId="169" fontId="1" fillId="0" borderId="4" xfId="0" applyNumberFormat="1" applyFont="1" applyFill="1" applyBorder="1" applyAlignment="1">
      <alignment horizontal="center" vertical="center" wrapText="1"/>
    </xf>
    <xf numFmtId="169" fontId="1" fillId="0" borderId="3" xfId="0" applyNumberFormat="1" applyFont="1" applyFill="1" applyBorder="1" applyAlignment="1">
      <alignment horizontal="center" vertical="center" wrapText="1"/>
    </xf>
    <xf numFmtId="176" fontId="1" fillId="0" borderId="4" xfId="0" applyNumberFormat="1" applyFont="1" applyFill="1" applyBorder="1" applyAlignment="1">
      <alignment horizontal="center" vertical="center" wrapText="1"/>
    </xf>
    <xf numFmtId="169" fontId="1" fillId="0" borderId="4" xfId="3"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166" fontId="1" fillId="0" borderId="4" xfId="0" applyNumberFormat="1" applyFont="1" applyFill="1" applyBorder="1" applyAlignment="1">
      <alignment horizontal="center" vertical="center" wrapText="1"/>
    </xf>
    <xf numFmtId="169" fontId="1" fillId="0" borderId="3" xfId="6" applyNumberFormat="1" applyFont="1" applyFill="1" applyBorder="1" applyAlignment="1">
      <alignment horizontal="center" vertical="center" wrapText="1"/>
    </xf>
    <xf numFmtId="6" fontId="4" fillId="0" borderId="4" xfId="0" applyNumberFormat="1" applyFont="1" applyFill="1" applyBorder="1" applyAlignment="1">
      <alignment horizontal="center" vertical="center" wrapText="1"/>
    </xf>
    <xf numFmtId="6" fontId="4" fillId="0" borderId="3"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173" fontId="25" fillId="0" borderId="4" xfId="2" applyNumberFormat="1" applyFont="1" applyFill="1" applyBorder="1" applyAlignment="1">
      <alignment horizontal="center" vertical="center" wrapText="1"/>
    </xf>
    <xf numFmtId="181" fontId="4" fillId="0" borderId="4" xfId="0" applyNumberFormat="1" applyFont="1" applyFill="1" applyBorder="1" applyAlignment="1">
      <alignment horizontal="center" vertical="center" wrapText="1"/>
    </xf>
    <xf numFmtId="14" fontId="55" fillId="23" borderId="25" xfId="0" applyNumberFormat="1" applyFont="1" applyFill="1" applyBorder="1" applyAlignment="1">
      <alignment horizontal="left" indent="1"/>
    </xf>
    <xf numFmtId="0" fontId="55" fillId="22" borderId="25" xfId="0" applyFont="1" applyFill="1" applyBorder="1" applyAlignment="1">
      <alignment horizontal="left" wrapText="1" indent="1"/>
    </xf>
    <xf numFmtId="0" fontId="55" fillId="22" borderId="25" xfId="0" applyFont="1" applyFill="1" applyBorder="1" applyAlignment="1">
      <alignment horizontal="left" indent="1"/>
    </xf>
    <xf numFmtId="0" fontId="55" fillId="22" borderId="25" xfId="0" applyFont="1" applyFill="1" applyBorder="1" applyAlignment="1">
      <alignment horizontal="right" wrapText="1" indent="1"/>
    </xf>
    <xf numFmtId="0" fontId="54" fillId="0" borderId="23" xfId="0" applyFont="1" applyBorder="1" applyAlignment="1">
      <alignment horizontal="right" vertical="center" wrapText="1" indent="1"/>
    </xf>
    <xf numFmtId="0" fontId="27" fillId="9" borderId="4" xfId="0" applyFont="1" applyFill="1" applyBorder="1" applyAlignment="1">
      <alignment horizontal="center" vertical="center"/>
    </xf>
    <xf numFmtId="169" fontId="1" fillId="9" borderId="2" xfId="0" applyNumberFormat="1" applyFont="1" applyFill="1" applyBorder="1" applyAlignment="1">
      <alignment horizontal="center" vertical="center" wrapText="1"/>
    </xf>
    <xf numFmtId="169" fontId="4" fillId="9" borderId="2" xfId="0" applyNumberFormat="1" applyFont="1" applyFill="1" applyBorder="1" applyAlignment="1">
      <alignment horizontal="center" vertical="center" wrapText="1"/>
    </xf>
    <xf numFmtId="173" fontId="7" fillId="9" borderId="4" xfId="2" applyNumberFormat="1" applyFill="1" applyBorder="1" applyAlignment="1">
      <alignment horizontal="center" vertical="center" wrapText="1"/>
    </xf>
    <xf numFmtId="173" fontId="1" fillId="9" borderId="4" xfId="0" applyNumberFormat="1" applyFont="1" applyFill="1" applyBorder="1" applyAlignment="1">
      <alignment horizontal="center" vertical="center" wrapText="1"/>
    </xf>
    <xf numFmtId="173" fontId="1" fillId="9" borderId="3" xfId="0" applyNumberFormat="1" applyFont="1" applyFill="1" applyBorder="1" applyAlignment="1">
      <alignment horizontal="center" vertical="center" wrapText="1"/>
    </xf>
    <xf numFmtId="4" fontId="29" fillId="0" borderId="1" xfId="0" applyNumberFormat="1" applyFont="1" applyBorder="1" applyAlignment="1">
      <alignment wrapText="1"/>
    </xf>
    <xf numFmtId="4" fontId="60" fillId="21" borderId="1" xfId="0" applyNumberFormat="1" applyFont="1" applyFill="1" applyBorder="1" applyAlignment="1">
      <alignment horizontal="center"/>
    </xf>
    <xf numFmtId="169" fontId="61" fillId="0" borderId="0" xfId="0" applyNumberFormat="1" applyFont="1"/>
    <xf numFmtId="4" fontId="0" fillId="24" borderId="1" xfId="0" applyNumberFormat="1" applyFill="1" applyBorder="1"/>
    <xf numFmtId="49" fontId="1" fillId="0" borderId="2" xfId="0" applyNumberFormat="1" applyFont="1" applyFill="1" applyBorder="1" applyAlignment="1">
      <alignment horizontal="left" vertical="center" wrapText="1"/>
    </xf>
    <xf numFmtId="1" fontId="7" fillId="0" borderId="1" xfId="2" applyNumberFormat="1" applyBorder="1" applyAlignment="1">
      <alignment horizontal="center"/>
    </xf>
    <xf numFmtId="4" fontId="52" fillId="24" borderId="1" xfId="0" applyNumberFormat="1" applyFont="1" applyFill="1" applyBorder="1" applyAlignment="1">
      <alignment horizontal="right"/>
    </xf>
    <xf numFmtId="4" fontId="0" fillId="5" borderId="1" xfId="0" applyNumberFormat="1" applyFill="1" applyBorder="1"/>
    <xf numFmtId="49" fontId="1" fillId="0" borderId="4" xfId="0" applyNumberFormat="1" applyFont="1" applyFill="1" applyBorder="1" applyAlignment="1">
      <alignment horizontal="center" vertical="center" wrapText="1"/>
    </xf>
    <xf numFmtId="169" fontId="4" fillId="0" borderId="4" xfId="0" applyNumberFormat="1" applyFont="1" applyFill="1" applyBorder="1" applyAlignment="1">
      <alignment horizontal="center" vertical="center" wrapText="1"/>
    </xf>
    <xf numFmtId="0" fontId="1" fillId="10" borderId="22"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72" fontId="1" fillId="0" borderId="2" xfId="0" applyNumberFormat="1" applyFont="1" applyFill="1" applyBorder="1" applyAlignment="1">
      <alignment horizontal="center" vertical="center" wrapText="1"/>
    </xf>
    <xf numFmtId="172" fontId="1" fillId="0" borderId="3" xfId="0" applyNumberFormat="1" applyFont="1" applyFill="1" applyBorder="1" applyAlignment="1">
      <alignment horizontal="center" vertical="center" wrapText="1"/>
    </xf>
    <xf numFmtId="169" fontId="1" fillId="0" borderId="4" xfId="0" applyNumberFormat="1" applyFont="1" applyFill="1" applyBorder="1" applyAlignment="1">
      <alignment horizontal="center" vertical="center" wrapText="1"/>
    </xf>
    <xf numFmtId="172" fontId="1" fillId="0" borderId="4" xfId="0" applyNumberFormat="1" applyFon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6" fontId="4" fillId="0" borderId="2" xfId="0" applyNumberFormat="1" applyFont="1" applyFill="1" applyBorder="1" applyAlignment="1">
      <alignment horizontal="center" vertical="center" wrapText="1"/>
    </xf>
    <xf numFmtId="6" fontId="4" fillId="0" borderId="4" xfId="0" applyNumberFormat="1" applyFont="1" applyFill="1" applyBorder="1" applyAlignment="1">
      <alignment horizontal="center" vertical="center" wrapText="1"/>
    </xf>
    <xf numFmtId="6" fontId="4" fillId="0" borderId="3" xfId="0" applyNumberFormat="1" applyFont="1" applyFill="1" applyBorder="1" applyAlignment="1">
      <alignment horizontal="center" vertical="center" wrapText="1"/>
    </xf>
    <xf numFmtId="173" fontId="1" fillId="0" borderId="4" xfId="0" applyNumberFormat="1" applyFont="1" applyFill="1" applyBorder="1" applyAlignment="1">
      <alignment horizontal="center" vertical="center" wrapText="1"/>
    </xf>
    <xf numFmtId="169" fontId="1" fillId="0" borderId="4" xfId="3" applyNumberFormat="1" applyFont="1" applyFill="1" applyBorder="1" applyAlignment="1">
      <alignment horizontal="center" vertical="center" wrapText="1"/>
    </xf>
    <xf numFmtId="176" fontId="1" fillId="0" borderId="4" xfId="0" applyNumberFormat="1" applyFont="1" applyFill="1" applyBorder="1" applyAlignment="1">
      <alignment horizontal="center" vertical="center" wrapText="1"/>
    </xf>
    <xf numFmtId="5" fontId="1" fillId="0" borderId="2" xfId="0" applyNumberFormat="1" applyFont="1" applyFill="1" applyBorder="1" applyAlignment="1">
      <alignment horizontal="center" vertical="center" wrapText="1"/>
    </xf>
    <xf numFmtId="5" fontId="1" fillId="0" borderId="4" xfId="0" applyNumberFormat="1" applyFont="1" applyFill="1" applyBorder="1" applyAlignment="1">
      <alignment horizontal="center" vertical="center" wrapText="1"/>
    </xf>
    <xf numFmtId="6" fontId="4"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73" fontId="7" fillId="0" borderId="1" xfId="2" applyNumberForma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5" fontId="1" fillId="0" borderId="2" xfId="6" applyNumberFormat="1" applyFont="1" applyFill="1" applyBorder="1" applyAlignment="1">
      <alignment horizontal="center" vertical="center" wrapText="1"/>
    </xf>
    <xf numFmtId="5" fontId="1" fillId="0" borderId="4" xfId="6" applyNumberFormat="1" applyFont="1" applyFill="1" applyBorder="1" applyAlignment="1">
      <alignment horizontal="center" vertical="center" wrapText="1"/>
    </xf>
    <xf numFmtId="5" fontId="1" fillId="0" borderId="3" xfId="6" applyNumberFormat="1" applyFont="1" applyFill="1" applyBorder="1" applyAlignment="1">
      <alignment horizontal="center" vertical="center" wrapText="1"/>
    </xf>
    <xf numFmtId="6"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5" fontId="1"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8" fontId="1" fillId="0" borderId="1" xfId="0" applyNumberFormat="1" applyFont="1" applyFill="1" applyBorder="1" applyAlignment="1">
      <alignment horizontal="center" vertical="center" wrapText="1"/>
    </xf>
    <xf numFmtId="169" fontId="4" fillId="0" borderId="1" xfId="2" applyNumberFormat="1" applyFont="1" applyFill="1" applyBorder="1" applyAlignment="1">
      <alignment horizontal="center" vertical="center" wrapText="1"/>
    </xf>
    <xf numFmtId="0" fontId="0" fillId="0" borderId="1" xfId="0" applyFill="1" applyBorder="1" applyAlignment="1">
      <alignment horizontal="center" vertical="center" wrapText="1"/>
    </xf>
    <xf numFmtId="173" fontId="22" fillId="0" borderId="4" xfId="2" applyNumberFormat="1" applyFont="1" applyFill="1" applyBorder="1" applyAlignment="1">
      <alignment horizontal="center" vertical="center" wrapText="1"/>
    </xf>
    <xf numFmtId="169" fontId="8" fillId="0" borderId="1" xfId="0"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54" fillId="0" borderId="23" xfId="0" applyFont="1" applyBorder="1" applyAlignment="1">
      <alignment horizontal="right" vertical="center" wrapText="1" indent="1"/>
    </xf>
    <xf numFmtId="44" fontId="55" fillId="16" borderId="26" xfId="3" applyFont="1" applyFill="1" applyBorder="1" applyAlignment="1">
      <alignment horizontal="right" wrapText="1" indent="1"/>
    </xf>
    <xf numFmtId="14" fontId="55" fillId="15" borderId="0" xfId="0" applyNumberFormat="1" applyFont="1" applyFill="1" applyBorder="1" applyAlignment="1">
      <alignment horizontal="left" indent="1"/>
    </xf>
    <xf numFmtId="0" fontId="55" fillId="15" borderId="0" xfId="0" applyFont="1" applyFill="1" applyBorder="1" applyAlignment="1">
      <alignment horizontal="left" wrapText="1" indent="1"/>
    </xf>
    <xf numFmtId="0" fontId="55" fillId="15" borderId="0" xfId="0" applyFont="1" applyFill="1" applyBorder="1" applyAlignment="1">
      <alignment horizontal="left" indent="1"/>
    </xf>
    <xf numFmtId="0" fontId="55" fillId="16" borderId="0" xfId="0" applyFont="1" applyFill="1" applyBorder="1" applyAlignment="1">
      <alignment horizontal="right" wrapText="1" indent="1"/>
    </xf>
    <xf numFmtId="4" fontId="0" fillId="10" borderId="13" xfId="0" applyNumberFormat="1" applyFill="1" applyBorder="1"/>
    <xf numFmtId="4" fontId="0" fillId="0" borderId="0" xfId="0" applyNumberFormat="1"/>
    <xf numFmtId="3" fontId="0" fillId="0" borderId="2" xfId="0" applyNumberFormat="1" applyBorder="1" applyAlignment="1">
      <alignment horizontal="center"/>
    </xf>
    <xf numFmtId="173" fontId="1"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69" fontId="9" fillId="0" borderId="2" xfId="2" applyNumberFormat="1" applyFont="1" applyFill="1" applyBorder="1" applyAlignment="1">
      <alignment horizontal="center" vertical="center" wrapText="1"/>
    </xf>
    <xf numFmtId="0" fontId="0" fillId="0" borderId="1" xfId="0" applyBorder="1" applyAlignment="1">
      <alignment horizontal="center" wrapText="1"/>
    </xf>
    <xf numFmtId="40" fontId="1" fillId="10" borderId="1" xfId="0" applyNumberFormat="1" applyFont="1" applyFill="1" applyBorder="1" applyAlignment="1">
      <alignment horizontal="center" vertical="center" wrapText="1"/>
    </xf>
    <xf numFmtId="169" fontId="1" fillId="0" borderId="1" xfId="0" applyNumberFormat="1" applyFont="1" applyFill="1" applyBorder="1" applyAlignment="1">
      <alignment vertical="center" wrapText="1"/>
    </xf>
    <xf numFmtId="164" fontId="4" fillId="0" borderId="2" xfId="16" applyFont="1" applyFill="1" applyBorder="1" applyAlignment="1">
      <alignment horizontal="center" vertical="center" wrapText="1"/>
    </xf>
    <xf numFmtId="6" fontId="4" fillId="0" borderId="4"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69" fontId="4" fillId="0" borderId="4" xfId="0" applyNumberFormat="1" applyFont="1" applyFill="1" applyBorder="1" applyAlignment="1">
      <alignment horizontal="center" vertical="center" wrapText="1"/>
    </xf>
    <xf numFmtId="169" fontId="1" fillId="0" borderId="4" xfId="0" applyNumberFormat="1" applyFont="1" applyFill="1" applyBorder="1" applyAlignment="1">
      <alignment horizontal="center" vertical="center" wrapText="1"/>
    </xf>
    <xf numFmtId="169" fontId="1" fillId="0" borderId="4" xfId="6"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172" fontId="1" fillId="0" borderId="4" xfId="0" applyNumberFormat="1" applyFont="1" applyFill="1" applyBorder="1" applyAlignment="1">
      <alignment horizontal="center" vertical="center" wrapText="1"/>
    </xf>
    <xf numFmtId="1" fontId="1" fillId="0" borderId="4"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69" fontId="4" fillId="0" borderId="4" xfId="0" applyNumberFormat="1" applyFont="1" applyFill="1" applyBorder="1" applyAlignment="1">
      <alignment horizontal="center" vertical="center" wrapText="1"/>
    </xf>
    <xf numFmtId="169" fontId="4" fillId="0" borderId="3"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69" fontId="1" fillId="0" borderId="2" xfId="0" applyNumberFormat="1" applyFont="1" applyFill="1" applyBorder="1" applyAlignment="1">
      <alignment horizontal="center" vertical="center" wrapText="1"/>
    </xf>
    <xf numFmtId="169" fontId="1" fillId="0" borderId="4" xfId="0" applyNumberFormat="1" applyFont="1" applyFill="1" applyBorder="1" applyAlignment="1">
      <alignment horizontal="center" vertical="center" wrapText="1"/>
    </xf>
    <xf numFmtId="169" fontId="1" fillId="0" borderId="3" xfId="0" applyNumberFormat="1" applyFont="1" applyFill="1" applyBorder="1" applyAlignment="1">
      <alignment horizontal="center" vertical="center" wrapText="1"/>
    </xf>
    <xf numFmtId="173" fontId="1" fillId="0" borderId="2" xfId="0" applyNumberFormat="1" applyFont="1" applyFill="1" applyBorder="1" applyAlignment="1">
      <alignment horizontal="center" vertical="center" wrapText="1"/>
    </xf>
    <xf numFmtId="173" fontId="1" fillId="0" borderId="3" xfId="0" applyNumberFormat="1" applyFont="1" applyFill="1" applyBorder="1" applyAlignment="1">
      <alignment horizontal="center" vertical="center" wrapText="1"/>
    </xf>
    <xf numFmtId="169" fontId="10" fillId="0" borderId="2"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166" fontId="1" fillId="0" borderId="2" xfId="0"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73" fontId="7" fillId="0" borderId="1" xfId="2" applyNumberForma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72" fontId="1" fillId="0" borderId="2" xfId="0" applyNumberFormat="1" applyFont="1" applyFill="1" applyBorder="1" applyAlignment="1">
      <alignment horizontal="center" vertical="center" wrapText="1"/>
    </xf>
    <xf numFmtId="172" fontId="1" fillId="0" borderId="4" xfId="0" applyNumberFormat="1" applyFont="1" applyFill="1" applyBorder="1" applyAlignment="1">
      <alignment horizontal="center" vertical="center" wrapText="1"/>
    </xf>
    <xf numFmtId="172" fontId="1" fillId="0" borderId="3"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69" fontId="1" fillId="10" borderId="1" xfId="0" applyNumberFormat="1" applyFont="1" applyFill="1" applyBorder="1" applyAlignment="1">
      <alignment horizontal="center" vertical="center" wrapText="1"/>
    </xf>
    <xf numFmtId="49" fontId="1" fillId="10" borderId="2" xfId="0" applyNumberFormat="1" applyFont="1" applyFill="1" applyBorder="1" applyAlignment="1">
      <alignment horizontal="center" vertical="center" wrapText="1"/>
    </xf>
    <xf numFmtId="49" fontId="1" fillId="10" borderId="4" xfId="0" applyNumberFormat="1" applyFont="1" applyFill="1" applyBorder="1" applyAlignment="1">
      <alignment horizontal="center" vertical="center" wrapText="1"/>
    </xf>
    <xf numFmtId="173" fontId="7" fillId="10" borderId="4" xfId="2" applyNumberFormat="1" applyFill="1" applyBorder="1" applyAlignment="1">
      <alignment horizontal="center" vertical="center" wrapText="1"/>
    </xf>
    <xf numFmtId="173" fontId="1" fillId="10" borderId="4" xfId="0" applyNumberFormat="1" applyFont="1" applyFill="1" applyBorder="1" applyAlignment="1">
      <alignment horizontal="center" vertical="center" wrapText="1"/>
    </xf>
    <xf numFmtId="173" fontId="1" fillId="10" borderId="3" xfId="0" applyNumberFormat="1" applyFont="1" applyFill="1" applyBorder="1" applyAlignment="1">
      <alignment horizontal="center" vertical="center" wrapText="1"/>
    </xf>
    <xf numFmtId="169" fontId="1" fillId="10" borderId="2" xfId="0" applyNumberFormat="1" applyFont="1" applyFill="1" applyBorder="1" applyAlignment="1">
      <alignment horizontal="center" vertical="center" wrapText="1"/>
    </xf>
    <xf numFmtId="169" fontId="1" fillId="10" borderId="4" xfId="0" applyNumberFormat="1" applyFont="1" applyFill="1" applyBorder="1" applyAlignment="1">
      <alignment horizontal="center" vertical="center" wrapText="1"/>
    </xf>
    <xf numFmtId="169" fontId="1" fillId="0" borderId="3" xfId="3"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166" fontId="1" fillId="0" borderId="4" xfId="0" applyNumberFormat="1" applyFont="1" applyFill="1" applyBorder="1" applyAlignment="1">
      <alignment horizontal="center" vertical="center" wrapText="1"/>
    </xf>
    <xf numFmtId="169" fontId="1" fillId="0" borderId="4" xfId="3" applyNumberFormat="1" applyFont="1" applyFill="1" applyBorder="1" applyAlignment="1">
      <alignment horizontal="center" vertical="center" wrapText="1"/>
    </xf>
    <xf numFmtId="176" fontId="1" fillId="0" borderId="3" xfId="0" applyNumberFormat="1" applyFont="1" applyFill="1" applyBorder="1" applyAlignment="1">
      <alignment horizontal="center" vertical="center" wrapText="1"/>
    </xf>
    <xf numFmtId="176" fontId="1" fillId="0" borderId="4" xfId="0"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6" fontId="4" fillId="0" borderId="4" xfId="0" applyNumberFormat="1" applyFont="1" applyFill="1" applyBorder="1" applyAlignment="1">
      <alignment horizontal="center" vertical="center" wrapText="1"/>
    </xf>
    <xf numFmtId="6" fontId="4" fillId="0" borderId="3" xfId="0" applyNumberFormat="1" applyFont="1" applyFill="1" applyBorder="1" applyAlignment="1">
      <alignment horizontal="center" vertical="center" wrapText="1"/>
    </xf>
    <xf numFmtId="176" fontId="4" fillId="0" borderId="4" xfId="0"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6" fontId="1"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5" fontId="1" fillId="0" borderId="1" xfId="0"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5" fontId="1" fillId="0" borderId="2" xfId="0" applyNumberFormat="1" applyFont="1" applyFill="1" applyBorder="1" applyAlignment="1">
      <alignment horizontal="center" vertical="center" wrapText="1"/>
    </xf>
    <xf numFmtId="5" fontId="1" fillId="0" borderId="4" xfId="0" applyNumberFormat="1" applyFont="1" applyFill="1" applyBorder="1" applyAlignment="1">
      <alignment horizontal="center" vertical="center" wrapText="1"/>
    </xf>
    <xf numFmtId="166" fontId="2" fillId="7" borderId="1" xfId="0" applyNumberFormat="1" applyFont="1" applyFill="1" applyBorder="1" applyAlignment="1">
      <alignment horizontal="center" vertical="center" wrapText="1"/>
    </xf>
    <xf numFmtId="169" fontId="2" fillId="8" borderId="1" xfId="0" applyNumberFormat="1" applyFont="1" applyFill="1" applyBorder="1" applyAlignment="1">
      <alignment horizontal="center" vertical="center" wrapText="1"/>
    </xf>
    <xf numFmtId="169" fontId="2" fillId="6" borderId="1"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172" fontId="4" fillId="0" borderId="4" xfId="0" applyNumberFormat="1" applyFont="1" applyFill="1" applyBorder="1" applyAlignment="1">
      <alignment horizontal="center" vertical="center" wrapText="1"/>
    </xf>
    <xf numFmtId="173" fontId="1" fillId="0" borderId="1" xfId="0" applyNumberFormat="1" applyFont="1" applyFill="1" applyBorder="1" applyAlignment="1">
      <alignment horizontal="left" vertical="center" wrapText="1"/>
    </xf>
    <xf numFmtId="8" fontId="1" fillId="0" borderId="1" xfId="0" applyNumberFormat="1" applyFont="1" applyFill="1" applyBorder="1" applyAlignment="1">
      <alignment horizontal="center" vertical="center" wrapText="1"/>
    </xf>
    <xf numFmtId="5" fontId="1" fillId="0" borderId="1" xfId="6" applyNumberFormat="1" applyFont="1" applyFill="1" applyBorder="1" applyAlignment="1">
      <alignment horizontal="center" vertical="center" wrapText="1"/>
    </xf>
    <xf numFmtId="173" fontId="1" fillId="10" borderId="1" xfId="0" applyNumberFormat="1" applyFont="1" applyFill="1" applyBorder="1" applyAlignment="1">
      <alignment horizontal="center" vertical="center" wrapText="1"/>
    </xf>
    <xf numFmtId="172" fontId="1" fillId="10" borderId="1" xfId="0" applyNumberFormat="1" applyFont="1" applyFill="1" applyBorder="1" applyAlignment="1">
      <alignment horizontal="center" vertical="center" wrapText="1"/>
    </xf>
    <xf numFmtId="169" fontId="4" fillId="10" borderId="1" xfId="0" applyNumberFormat="1" applyFont="1" applyFill="1" applyBorder="1" applyAlignment="1">
      <alignment horizontal="center" vertical="center" wrapText="1"/>
    </xf>
    <xf numFmtId="5" fontId="1" fillId="0" borderId="2" xfId="6"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166" fontId="4" fillId="0" borderId="4" xfId="0" applyNumberFormat="1" applyFont="1" applyFill="1" applyBorder="1" applyAlignment="1">
      <alignment horizontal="center" vertical="center" wrapText="1"/>
    </xf>
    <xf numFmtId="172" fontId="1" fillId="10" borderId="4" xfId="0" applyNumberFormat="1" applyFont="1" applyFill="1" applyBorder="1" applyAlignment="1">
      <alignment horizontal="center" vertical="center" wrapText="1"/>
    </xf>
    <xf numFmtId="169" fontId="1" fillId="10" borderId="2" xfId="3" applyNumberFormat="1" applyFont="1" applyFill="1" applyBorder="1" applyAlignment="1">
      <alignment horizontal="center" vertical="center" wrapText="1"/>
    </xf>
    <xf numFmtId="0" fontId="1" fillId="10" borderId="4" xfId="0" applyFont="1" applyFill="1" applyBorder="1" applyAlignment="1">
      <alignment horizontal="center" vertical="center" wrapText="1"/>
    </xf>
    <xf numFmtId="169" fontId="4" fillId="10" borderId="2" xfId="0" applyNumberFormat="1" applyFont="1" applyFill="1" applyBorder="1" applyAlignment="1">
      <alignment horizontal="center" vertical="center" wrapText="1"/>
    </xf>
    <xf numFmtId="169" fontId="4" fillId="10" borderId="4" xfId="0" applyNumberFormat="1" applyFont="1" applyFill="1" applyBorder="1" applyAlignment="1">
      <alignment horizontal="center" vertical="center" wrapText="1"/>
    </xf>
    <xf numFmtId="176" fontId="1" fillId="10" borderId="4" xfId="0" applyNumberFormat="1" applyFont="1" applyFill="1" applyBorder="1" applyAlignment="1">
      <alignment horizontal="center" vertical="center" wrapText="1"/>
    </xf>
    <xf numFmtId="0" fontId="54" fillId="0" borderId="23" xfId="0" applyFont="1" applyBorder="1" applyAlignment="1">
      <alignment horizontal="right" vertical="center" wrapText="1" indent="1"/>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73" fontId="1" fillId="0" borderId="2" xfId="0" applyNumberFormat="1" applyFont="1" applyFill="1" applyBorder="1" applyAlignment="1">
      <alignment horizontal="center" vertical="center" wrapText="1"/>
    </xf>
    <xf numFmtId="173" fontId="1" fillId="0" borderId="4" xfId="0" applyNumberFormat="1" applyFont="1" applyFill="1" applyBorder="1" applyAlignment="1">
      <alignment horizontal="center" vertical="center" wrapText="1"/>
    </xf>
    <xf numFmtId="173" fontId="1" fillId="0" borderId="3" xfId="0" applyNumberFormat="1" applyFont="1" applyFill="1" applyBorder="1" applyAlignment="1">
      <alignment horizontal="center" vertical="center" wrapText="1"/>
    </xf>
    <xf numFmtId="173" fontId="7" fillId="0" borderId="2" xfId="2" applyNumberFormat="1" applyFill="1" applyBorder="1" applyAlignment="1">
      <alignment horizontal="center" vertical="center" wrapText="1"/>
    </xf>
    <xf numFmtId="173" fontId="7" fillId="0" borderId="4" xfId="2" applyNumberFormat="1" applyFill="1" applyBorder="1" applyAlignment="1">
      <alignment horizontal="center" vertical="center" wrapText="1"/>
    </xf>
    <xf numFmtId="169" fontId="1" fillId="0" borderId="2" xfId="0" applyNumberFormat="1" applyFont="1" applyFill="1" applyBorder="1" applyAlignment="1">
      <alignment horizontal="center" vertical="center" wrapText="1"/>
    </xf>
    <xf numFmtId="169" fontId="1" fillId="0" borderId="4" xfId="0" applyNumberFormat="1" applyFont="1" applyFill="1" applyBorder="1" applyAlignment="1">
      <alignment horizontal="center" vertical="center" wrapText="1"/>
    </xf>
    <xf numFmtId="169" fontId="1" fillId="0" borderId="3" xfId="0" applyNumberFormat="1"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6" fontId="10" fillId="0" borderId="4" xfId="0" applyNumberFormat="1" applyFont="1" applyFill="1" applyBorder="1" applyAlignment="1">
      <alignment horizontal="center" vertical="center" wrapText="1"/>
    </xf>
    <xf numFmtId="6" fontId="4" fillId="0" borderId="2" xfId="0" applyNumberFormat="1" applyFont="1" applyFill="1" applyBorder="1" applyAlignment="1">
      <alignment horizontal="center" vertical="center" wrapText="1"/>
    </xf>
    <xf numFmtId="6" fontId="4" fillId="0" borderId="3" xfId="0" applyNumberFormat="1" applyFont="1" applyFill="1" applyBorder="1" applyAlignment="1">
      <alignment horizontal="center" vertical="center" wrapText="1"/>
    </xf>
    <xf numFmtId="6" fontId="4" fillId="0" borderId="4"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69" fontId="4" fillId="0" borderId="4" xfId="0" applyNumberFormat="1" applyFont="1" applyFill="1" applyBorder="1" applyAlignment="1">
      <alignment horizontal="center" vertical="center" wrapText="1"/>
    </xf>
    <xf numFmtId="169" fontId="4" fillId="0" borderId="3" xfId="0" applyNumberFormat="1" applyFont="1" applyFill="1" applyBorder="1" applyAlignment="1">
      <alignment horizontal="center" vertical="center" wrapText="1"/>
    </xf>
    <xf numFmtId="173" fontId="1" fillId="9" borderId="3" xfId="0" applyNumberFormat="1" applyFont="1" applyFill="1" applyBorder="1" applyAlignment="1">
      <alignment horizontal="center" vertical="center" wrapText="1"/>
    </xf>
    <xf numFmtId="49" fontId="1" fillId="9" borderId="4" xfId="0" applyNumberFormat="1" applyFont="1" applyFill="1" applyBorder="1" applyAlignment="1">
      <alignment horizontal="center" vertical="center" wrapText="1"/>
    </xf>
    <xf numFmtId="49" fontId="1" fillId="9" borderId="3" xfId="0" applyNumberFormat="1" applyFont="1" applyFill="1" applyBorder="1" applyAlignment="1">
      <alignment horizontal="center" vertical="center" wrapText="1"/>
    </xf>
    <xf numFmtId="169" fontId="1" fillId="9" borderId="2" xfId="0" applyNumberFormat="1" applyFont="1" applyFill="1" applyBorder="1" applyAlignment="1">
      <alignment horizontal="center" vertical="center" wrapText="1"/>
    </xf>
    <xf numFmtId="173" fontId="1" fillId="10" borderId="4" xfId="0" applyNumberFormat="1" applyFont="1" applyFill="1" applyBorder="1" applyAlignment="1">
      <alignment horizontal="center" vertical="center" wrapText="1"/>
    </xf>
    <xf numFmtId="173" fontId="1" fillId="10" borderId="3" xfId="0" applyNumberFormat="1" applyFont="1" applyFill="1" applyBorder="1" applyAlignment="1">
      <alignment horizontal="center" vertical="center" wrapText="1"/>
    </xf>
    <xf numFmtId="169" fontId="4" fillId="10" borderId="2" xfId="0" applyNumberFormat="1" applyFont="1" applyFill="1" applyBorder="1" applyAlignment="1">
      <alignment horizontal="center" vertical="center" wrapText="1"/>
    </xf>
    <xf numFmtId="169" fontId="4" fillId="10" borderId="4" xfId="0" applyNumberFormat="1" applyFont="1" applyFill="1" applyBorder="1" applyAlignment="1">
      <alignment horizontal="center" vertical="center" wrapText="1"/>
    </xf>
    <xf numFmtId="172" fontId="1" fillId="0" borderId="2" xfId="0" applyNumberFormat="1" applyFont="1" applyFill="1" applyBorder="1" applyAlignment="1">
      <alignment horizontal="center" vertical="center" wrapText="1"/>
    </xf>
    <xf numFmtId="172" fontId="1" fillId="0" borderId="4" xfId="0" applyNumberFormat="1" applyFont="1" applyFill="1" applyBorder="1" applyAlignment="1">
      <alignment horizontal="center" vertical="center" wrapText="1"/>
    </xf>
    <xf numFmtId="172" fontId="1" fillId="0" borderId="3" xfId="0" applyNumberFormat="1" applyFont="1" applyFill="1" applyBorder="1" applyAlignment="1">
      <alignment horizontal="center" vertical="center" wrapText="1"/>
    </xf>
    <xf numFmtId="169" fontId="1" fillId="0" borderId="2" xfId="3" applyNumberFormat="1" applyFont="1" applyFill="1" applyBorder="1" applyAlignment="1">
      <alignment horizontal="center" vertical="center" wrapText="1"/>
    </xf>
    <xf numFmtId="169" fontId="1" fillId="0" borderId="4" xfId="3" applyNumberFormat="1" applyFont="1" applyFill="1" applyBorder="1" applyAlignment="1">
      <alignment horizontal="center" vertical="center" wrapText="1"/>
    </xf>
    <xf numFmtId="169" fontId="1" fillId="0" borderId="3" xfId="3" applyNumberFormat="1" applyFont="1" applyFill="1" applyBorder="1" applyAlignment="1">
      <alignment horizontal="center" vertical="center" wrapText="1"/>
    </xf>
    <xf numFmtId="0" fontId="1" fillId="10" borderId="22"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3" fontId="1" fillId="0" borderId="0" xfId="0" applyNumberFormat="1" applyFont="1" applyFill="1" applyBorder="1" applyAlignment="1">
      <alignment horizontal="center" vertical="center" wrapText="1"/>
    </xf>
    <xf numFmtId="173" fontId="22" fillId="0" borderId="0" xfId="0" applyNumberFormat="1" applyFont="1" applyFill="1" applyBorder="1" applyAlignment="1">
      <alignment horizontal="center" vertical="center" wrapText="1"/>
    </xf>
    <xf numFmtId="169" fontId="1" fillId="0" borderId="0"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69" fontId="4" fillId="0" borderId="0" xfId="0" applyNumberFormat="1" applyFont="1" applyFill="1" applyBorder="1" applyAlignment="1">
      <alignment horizontal="center" vertical="center" wrapText="1"/>
    </xf>
    <xf numFmtId="169" fontId="1" fillId="10" borderId="2" xfId="0" applyNumberFormat="1" applyFont="1" applyFill="1" applyBorder="1" applyAlignment="1">
      <alignment horizontal="center" vertical="center" wrapText="1"/>
    </xf>
    <xf numFmtId="169" fontId="1" fillId="10" borderId="4" xfId="0" applyNumberFormat="1" applyFont="1" applyFill="1" applyBorder="1" applyAlignment="1">
      <alignment horizontal="center" vertical="center" wrapText="1"/>
    </xf>
    <xf numFmtId="169" fontId="1" fillId="0" borderId="4" xfId="6" applyNumberFormat="1" applyFont="1" applyFill="1" applyBorder="1" applyAlignment="1">
      <alignment horizontal="center" vertical="center" wrapText="1"/>
    </xf>
    <xf numFmtId="169" fontId="1" fillId="0" borderId="3" xfId="6" applyNumberFormat="1" applyFont="1" applyFill="1" applyBorder="1" applyAlignment="1">
      <alignment horizontal="center" vertical="center" wrapText="1"/>
    </xf>
    <xf numFmtId="169" fontId="1" fillId="10" borderId="2" xfId="3"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166" fontId="1" fillId="0" borderId="2" xfId="0" applyNumberFormat="1" applyFont="1" applyFill="1" applyBorder="1" applyAlignment="1">
      <alignment horizontal="center" vertical="center" wrapText="1"/>
    </xf>
    <xf numFmtId="166" fontId="1" fillId="0" borderId="4" xfId="0"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0" fontId="1" fillId="10" borderId="4" xfId="0" applyFon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49" fontId="1" fillId="10" borderId="2" xfId="0" applyNumberFormat="1" applyFont="1" applyFill="1" applyBorder="1" applyAlignment="1">
      <alignment horizontal="center" vertical="center" wrapText="1"/>
    </xf>
    <xf numFmtId="5" fontId="1" fillId="0" borderId="2" xfId="0" applyNumberFormat="1" applyFont="1" applyFill="1" applyBorder="1" applyAlignment="1">
      <alignment horizontal="center" vertical="center" wrapText="1"/>
    </xf>
    <xf numFmtId="5" fontId="1" fillId="0" borderId="4" xfId="0" applyNumberFormat="1" applyFont="1" applyFill="1" applyBorder="1" applyAlignment="1">
      <alignment horizontal="center" vertical="center" wrapText="1"/>
    </xf>
    <xf numFmtId="49" fontId="1" fillId="10" borderId="4" xfId="0" applyNumberFormat="1" applyFont="1" applyFill="1" applyBorder="1" applyAlignment="1">
      <alignment horizontal="center" vertical="center" wrapText="1"/>
    </xf>
    <xf numFmtId="173" fontId="7" fillId="10" borderId="4" xfId="2" applyNumberFormat="1" applyFill="1" applyBorder="1" applyAlignment="1">
      <alignment horizontal="center" vertical="center" wrapText="1"/>
    </xf>
    <xf numFmtId="173" fontId="25" fillId="0" borderId="4" xfId="2"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173" fontId="4" fillId="0" borderId="2" xfId="0" applyNumberFormat="1" applyFont="1" applyFill="1" applyBorder="1" applyAlignment="1">
      <alignment horizontal="center" vertical="center" wrapText="1"/>
    </xf>
    <xf numFmtId="172" fontId="4" fillId="0" borderId="2" xfId="0" applyNumberFormat="1" applyFont="1" applyFill="1" applyBorder="1" applyAlignment="1">
      <alignment horizontal="center" vertical="center" wrapText="1"/>
    </xf>
    <xf numFmtId="6" fontId="4" fillId="0" borderId="1" xfId="0" applyNumberFormat="1" applyFont="1" applyFill="1" applyBorder="1" applyAlignment="1">
      <alignment horizontal="center" vertical="center" wrapText="1"/>
    </xf>
    <xf numFmtId="173" fontId="25" fillId="0" borderId="1" xfId="2"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166" fontId="4" fillId="0" borderId="4"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69" fontId="4" fillId="10" borderId="1" xfId="0" applyNumberFormat="1" applyFont="1" applyFill="1" applyBorder="1" applyAlignment="1">
      <alignment horizontal="center" vertical="center" wrapText="1"/>
    </xf>
    <xf numFmtId="169" fontId="1" fillId="10" borderId="1" xfId="0" applyNumberFormat="1" applyFont="1" applyFill="1" applyBorder="1" applyAlignment="1">
      <alignment horizontal="center" vertical="center" wrapText="1"/>
    </xf>
    <xf numFmtId="173" fontId="7" fillId="0" borderId="1" xfId="2" applyNumberForma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5" fontId="1" fillId="0" borderId="2" xfId="6" applyNumberFormat="1" applyFont="1" applyFill="1" applyBorder="1" applyAlignment="1">
      <alignment horizontal="center" vertical="center" wrapText="1"/>
    </xf>
    <xf numFmtId="5" fontId="1" fillId="0" borderId="4" xfId="6" applyNumberFormat="1" applyFont="1" applyFill="1" applyBorder="1" applyAlignment="1">
      <alignment horizontal="center" vertical="center" wrapText="1"/>
    </xf>
    <xf numFmtId="5" fontId="1" fillId="0" borderId="3" xfId="6"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73" fontId="1" fillId="10" borderId="1" xfId="0" applyNumberFormat="1" applyFont="1" applyFill="1" applyBorder="1" applyAlignment="1">
      <alignment horizontal="center" vertical="center" wrapText="1"/>
    </xf>
    <xf numFmtId="172" fontId="1" fillId="10" borderId="1" xfId="0" applyNumberFormat="1" applyFont="1" applyFill="1" applyBorder="1" applyAlignment="1">
      <alignment horizontal="center" vertical="center" wrapText="1"/>
    </xf>
    <xf numFmtId="5" fontId="1" fillId="0" borderId="1" xfId="6" applyNumberFormat="1" applyFont="1" applyFill="1" applyBorder="1" applyAlignment="1">
      <alignment horizontal="center" vertical="center" wrapText="1"/>
    </xf>
    <xf numFmtId="5" fontId="1" fillId="0" borderId="1" xfId="0" applyNumberFormat="1" applyFont="1" applyFill="1" applyBorder="1" applyAlignment="1">
      <alignment horizontal="center" vertical="center" wrapText="1"/>
    </xf>
    <xf numFmtId="173" fontId="22" fillId="0" borderId="1" xfId="2" applyNumberFormat="1" applyFont="1" applyFill="1" applyBorder="1" applyAlignment="1">
      <alignment horizontal="center" vertical="center" wrapText="1"/>
    </xf>
    <xf numFmtId="173" fontId="23" fillId="0" borderId="2" xfId="2"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173" fontId="23" fillId="0" borderId="1" xfId="2" applyNumberFormat="1" applyFont="1" applyFill="1" applyBorder="1" applyAlignment="1">
      <alignment horizontal="center" vertical="center" wrapText="1"/>
    </xf>
    <xf numFmtId="173" fontId="22" fillId="0" borderId="1" xfId="0" applyNumberFormat="1" applyFont="1" applyFill="1" applyBorder="1" applyAlignment="1">
      <alignment horizontal="center" vertical="center" wrapText="1"/>
    </xf>
    <xf numFmtId="172" fontId="4" fillId="0" borderId="1" xfId="0" applyNumberFormat="1" applyFont="1" applyFill="1" applyBorder="1" applyAlignment="1">
      <alignment horizontal="center" vertical="center" wrapText="1"/>
    </xf>
    <xf numFmtId="8" fontId="1" fillId="0" borderId="1" xfId="0" applyNumberFormat="1" applyFont="1" applyFill="1" applyBorder="1" applyAlignment="1">
      <alignment horizontal="center" vertical="center" wrapText="1"/>
    </xf>
    <xf numFmtId="169" fontId="4" fillId="0" borderId="1" xfId="3" applyNumberFormat="1" applyFont="1" applyFill="1" applyBorder="1" applyAlignment="1">
      <alignment horizontal="center" vertical="center" wrapText="1"/>
    </xf>
    <xf numFmtId="169" fontId="4" fillId="0" borderId="1" xfId="2" applyNumberFormat="1" applyFont="1" applyFill="1" applyBorder="1" applyAlignment="1">
      <alignment horizontal="center" vertical="center" wrapText="1"/>
    </xf>
    <xf numFmtId="6" fontId="1" fillId="0" borderId="1" xfId="0" applyNumberFormat="1" applyFont="1" applyFill="1" applyBorder="1" applyAlignment="1">
      <alignment horizontal="center" vertical="center" wrapText="1"/>
    </xf>
    <xf numFmtId="0" fontId="23" fillId="0" borderId="1" xfId="2" applyFont="1" applyFill="1" applyBorder="1" applyAlignment="1">
      <alignment horizontal="center" vertical="center"/>
    </xf>
    <xf numFmtId="169" fontId="1" fillId="0" borderId="1" xfId="1"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xf>
    <xf numFmtId="173" fontId="1" fillId="0" borderId="1" xfId="0" applyNumberFormat="1" applyFont="1" applyFill="1" applyBorder="1" applyAlignment="1">
      <alignment horizontal="left" vertical="center" wrapText="1"/>
    </xf>
    <xf numFmtId="0" fontId="0" fillId="0" borderId="1" xfId="0" applyFill="1" applyBorder="1" applyAlignment="1">
      <alignment horizontal="center" vertical="center" wrapText="1"/>
    </xf>
    <xf numFmtId="173" fontId="22" fillId="0" borderId="2" xfId="2" applyNumberFormat="1" applyFont="1" applyFill="1" applyBorder="1" applyAlignment="1">
      <alignment horizontal="center" vertical="center" wrapText="1"/>
    </xf>
    <xf numFmtId="173" fontId="22" fillId="0" borderId="4" xfId="2"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xf>
    <xf numFmtId="0" fontId="22" fillId="0" borderId="1" xfId="2"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1" xfId="0" applyNumberFormat="1" applyFont="1" applyFill="1" applyBorder="1" applyAlignment="1">
      <alignment horizontal="left" vertical="center"/>
    </xf>
    <xf numFmtId="14" fontId="1" fillId="0" borderId="1" xfId="0" applyNumberFormat="1" applyFont="1" applyFill="1" applyBorder="1" applyAlignment="1">
      <alignment horizontal="center" vertical="center"/>
    </xf>
    <xf numFmtId="8" fontId="1"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169" fontId="8" fillId="0" borderId="1" xfId="0"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166" fontId="2" fillId="7" borderId="1" xfId="0" applyNumberFormat="1" applyFont="1" applyFill="1" applyBorder="1" applyAlignment="1">
      <alignment horizontal="center" vertical="center" wrapText="1"/>
    </xf>
    <xf numFmtId="169" fontId="2" fillId="8" borderId="1" xfId="0" applyNumberFormat="1" applyFont="1" applyFill="1" applyBorder="1" applyAlignment="1">
      <alignment horizontal="center" vertical="center" wrapText="1"/>
    </xf>
    <xf numFmtId="169" fontId="2" fillId="6" borderId="1" xfId="0" applyNumberFormat="1" applyFont="1" applyFill="1" applyBorder="1" applyAlignment="1">
      <alignment horizontal="center" vertical="center" wrapText="1"/>
    </xf>
    <xf numFmtId="169" fontId="1" fillId="0" borderId="1" xfId="6" applyNumberFormat="1" applyFont="1" applyFill="1" applyBorder="1" applyAlignment="1">
      <alignment horizontal="center" vertical="center" wrapText="1"/>
    </xf>
    <xf numFmtId="173" fontId="2" fillId="0" borderId="1" xfId="0" applyNumberFormat="1" applyFont="1" applyFill="1" applyBorder="1" applyAlignment="1">
      <alignment horizontal="center" vertical="center" wrapText="1"/>
    </xf>
    <xf numFmtId="1" fontId="22" fillId="0" borderId="1" xfId="2" applyNumberFormat="1" applyFont="1" applyFill="1" applyBorder="1" applyAlignment="1">
      <alignment horizontal="center" vertical="center" wrapText="1"/>
    </xf>
    <xf numFmtId="169" fontId="10" fillId="0" borderId="2" xfId="0" applyNumberFormat="1" applyFont="1" applyFill="1" applyBorder="1" applyAlignment="1">
      <alignment horizontal="center" vertical="center" wrapText="1"/>
    </xf>
    <xf numFmtId="0" fontId="29" fillId="0" borderId="2" xfId="0" applyFont="1" applyFill="1" applyBorder="1" applyAlignment="1" applyProtection="1">
      <alignment horizontal="left" vertical="center" wrapText="1"/>
      <protection locked="0"/>
    </xf>
    <xf numFmtId="6" fontId="1" fillId="0" borderId="2" xfId="0" applyNumberFormat="1" applyFont="1" applyFill="1" applyBorder="1" applyAlignment="1">
      <alignment horizontal="center" vertical="center" wrapText="1"/>
    </xf>
    <xf numFmtId="4" fontId="0" fillId="0" borderId="1" xfId="0" applyNumberFormat="1" applyFill="1" applyBorder="1" applyAlignment="1" applyProtection="1">
      <alignment vertical="center"/>
      <protection locked="0"/>
    </xf>
    <xf numFmtId="0" fontId="55" fillId="17" borderId="0" xfId="0" applyFont="1" applyFill="1" applyBorder="1" applyAlignment="1">
      <alignment horizontal="left" wrapText="1" indent="1"/>
    </xf>
    <xf numFmtId="0" fontId="0" fillId="0" borderId="1" xfId="0" applyFill="1" applyBorder="1" applyAlignment="1" applyProtection="1">
      <alignment horizontal="center" wrapText="1"/>
      <protection locked="0"/>
    </xf>
    <xf numFmtId="14" fontId="61" fillId="0" borderId="0" xfId="0" applyNumberFormat="1" applyFont="1"/>
    <xf numFmtId="44" fontId="55" fillId="0" borderId="25" xfId="3" applyFont="1" applyBorder="1" applyAlignment="1">
      <alignment horizontal="right" wrapText="1" indent="1"/>
    </xf>
    <xf numFmtId="14" fontId="55" fillId="16" borderId="0" xfId="0" applyNumberFormat="1" applyFont="1" applyFill="1" applyAlignment="1">
      <alignment horizontal="left" indent="1"/>
    </xf>
    <xf numFmtId="0" fontId="0" fillId="0" borderId="26" xfId="0" applyBorder="1"/>
    <xf numFmtId="0" fontId="55" fillId="15" borderId="0" xfId="0" applyFont="1" applyFill="1" applyAlignment="1">
      <alignment horizontal="left" wrapText="1" indent="1"/>
    </xf>
    <xf numFmtId="0" fontId="55" fillId="15" borderId="0" xfId="0" applyFont="1" applyFill="1" applyAlignment="1">
      <alignment horizontal="left" indent="1"/>
    </xf>
    <xf numFmtId="0" fontId="55" fillId="15" borderId="0" xfId="0" applyFont="1" applyFill="1" applyAlignment="1">
      <alignment horizontal="right" wrapText="1" indent="1"/>
    </xf>
    <xf numFmtId="173" fontId="1" fillId="0" borderId="1" xfId="0" applyNumberFormat="1" applyFont="1" applyFill="1" applyBorder="1" applyAlignment="1">
      <alignment horizontal="center" vertical="center" wrapText="1"/>
    </xf>
    <xf numFmtId="173" fontId="1" fillId="10" borderId="4"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9" fontId="1" fillId="10" borderId="2" xfId="0" applyNumberFormat="1" applyFont="1" applyFill="1" applyBorder="1" applyAlignment="1">
      <alignment horizontal="center" vertical="center" wrapText="1"/>
    </xf>
    <xf numFmtId="6" fontId="4"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2" fontId="4"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left" vertical="center"/>
    </xf>
    <xf numFmtId="172" fontId="1" fillId="10" borderId="1" xfId="0" applyNumberFormat="1" applyFont="1" applyFill="1" applyBorder="1" applyAlignment="1">
      <alignment horizontal="center" vertical="center" wrapText="1"/>
    </xf>
    <xf numFmtId="169" fontId="10" fillId="6" borderId="1" xfId="0" applyNumberFormat="1" applyFont="1" applyFill="1" applyBorder="1" applyAlignment="1">
      <alignment horizontal="center" vertical="center" wrapText="1"/>
    </xf>
    <xf numFmtId="169" fontId="4" fillId="6" borderId="1" xfId="0" applyNumberFormat="1" applyFont="1" applyFill="1" applyBorder="1" applyAlignment="1">
      <alignment horizontal="center" vertical="center" wrapText="1"/>
    </xf>
    <xf numFmtId="0" fontId="1" fillId="6" borderId="0" xfId="0" applyFont="1" applyFill="1" applyAlignment="1">
      <alignment horizontal="center" vertical="center" wrapText="1"/>
    </xf>
    <xf numFmtId="173" fontId="1" fillId="6" borderId="3" xfId="0" applyNumberFormat="1" applyFont="1" applyFill="1" applyBorder="1" applyAlignment="1">
      <alignment horizontal="center" vertical="center" wrapText="1"/>
    </xf>
    <xf numFmtId="172" fontId="1" fillId="6" borderId="3" xfId="0" applyNumberFormat="1" applyFont="1" applyFill="1" applyBorder="1" applyAlignment="1">
      <alignment horizontal="center" vertical="center" wrapText="1"/>
    </xf>
    <xf numFmtId="49" fontId="1" fillId="6" borderId="1" xfId="0" applyNumberFormat="1" applyFont="1" applyFill="1" applyBorder="1" applyAlignment="1">
      <alignment horizontal="center" vertical="center" wrapText="1"/>
    </xf>
    <xf numFmtId="169" fontId="1" fillId="6" borderId="1" xfId="0" applyNumberFormat="1" applyFont="1" applyFill="1" applyBorder="1" applyAlignment="1">
      <alignment horizontal="center" vertical="center" wrapText="1"/>
    </xf>
    <xf numFmtId="172" fontId="1" fillId="6" borderId="1" xfId="0" applyNumberFormat="1" applyFont="1" applyFill="1" applyBorder="1" applyAlignment="1">
      <alignment horizontal="center" vertical="center" wrapText="1"/>
    </xf>
    <xf numFmtId="169" fontId="1" fillId="6" borderId="1" xfId="3" applyNumberFormat="1" applyFont="1" applyFill="1" applyBorder="1" applyAlignment="1">
      <alignment horizontal="center" vertical="center" wrapText="1"/>
    </xf>
    <xf numFmtId="173" fontId="1" fillId="6" borderId="1" xfId="0" applyNumberFormat="1" applyFont="1" applyFill="1" applyBorder="1" applyAlignment="1">
      <alignment horizontal="center" vertical="center" wrapText="1"/>
    </xf>
    <xf numFmtId="169" fontId="9" fillId="6" borderId="1" xfId="2" applyNumberFormat="1" applyFont="1" applyFill="1" applyBorder="1" applyAlignment="1">
      <alignment horizontal="center" vertical="center" wrapText="1"/>
    </xf>
    <xf numFmtId="169" fontId="4" fillId="6" borderId="1" xfId="2" applyNumberFormat="1" applyFont="1" applyFill="1" applyBorder="1" applyAlignment="1">
      <alignment horizontal="center" vertical="center" wrapText="1"/>
    </xf>
    <xf numFmtId="169" fontId="8" fillId="6" borderId="1" xfId="0" applyNumberFormat="1" applyFont="1" applyFill="1" applyBorder="1" applyAlignment="1">
      <alignment horizontal="center" vertical="center" wrapText="1"/>
    </xf>
    <xf numFmtId="166"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48" fillId="6" borderId="0" xfId="0" applyFont="1" applyFill="1" applyAlignment="1">
      <alignment horizontal="right" vertical="center" wrapText="1" indent="1"/>
    </xf>
    <xf numFmtId="0" fontId="1" fillId="6" borderId="0" xfId="0" applyFont="1" applyFill="1" applyBorder="1" applyAlignment="1">
      <alignment horizontal="center" vertical="center" wrapText="1"/>
    </xf>
    <xf numFmtId="0" fontId="0" fillId="6" borderId="0" xfId="0" applyFill="1" applyBorder="1"/>
    <xf numFmtId="173" fontId="1" fillId="6" borderId="1" xfId="0" applyNumberFormat="1" applyFont="1" applyFill="1" applyBorder="1" applyAlignment="1">
      <alignment horizontal="left" vertical="center" wrapText="1"/>
    </xf>
    <xf numFmtId="173" fontId="22" fillId="6" borderId="1" xfId="2" applyNumberFormat="1" applyFont="1" applyFill="1" applyBorder="1" applyAlignment="1">
      <alignment horizontal="center" vertical="center" wrapText="1"/>
    </xf>
    <xf numFmtId="49" fontId="1" fillId="6" borderId="1" xfId="0" applyNumberFormat="1" applyFont="1" applyFill="1" applyBorder="1" applyAlignment="1">
      <alignment horizontal="left" vertical="center" wrapText="1"/>
    </xf>
    <xf numFmtId="169" fontId="9" fillId="6" borderId="1" xfId="2" applyNumberFormat="1" applyFont="1" applyFill="1" applyBorder="1" applyAlignment="1">
      <alignment horizontal="center" vertical="center"/>
    </xf>
    <xf numFmtId="0" fontId="41" fillId="6" borderId="0" xfId="0" applyFont="1" applyFill="1" applyAlignment="1">
      <alignment horizontal="center" vertical="center" wrapText="1"/>
    </xf>
    <xf numFmtId="0" fontId="48" fillId="6" borderId="0" xfId="0" applyFont="1" applyFill="1" applyAlignment="1">
      <alignment horizontal="left" vertical="center" wrapText="1" indent="1"/>
    </xf>
    <xf numFmtId="169" fontId="7" fillId="6" borderId="1" xfId="2" applyNumberFormat="1" applyFill="1" applyBorder="1" applyAlignment="1">
      <alignment horizontal="center" vertical="center" wrapText="1"/>
    </xf>
    <xf numFmtId="169" fontId="20" fillId="6" borderId="1" xfId="2" applyNumberFormat="1" applyFont="1" applyFill="1" applyBorder="1" applyAlignment="1">
      <alignment horizontal="center" vertical="center" wrapText="1"/>
    </xf>
    <xf numFmtId="6" fontId="10" fillId="6" borderId="1" xfId="0"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0" fontId="29" fillId="4" borderId="1" xfId="0" applyFont="1" applyFill="1" applyBorder="1" applyAlignment="1">
      <alignment horizontal="center" vertical="center" wrapText="1"/>
    </xf>
    <xf numFmtId="172" fontId="4" fillId="0" borderId="3" xfId="0" applyNumberFormat="1" applyFont="1" applyFill="1" applyBorder="1" applyAlignment="1">
      <alignment vertical="center" wrapText="1"/>
    </xf>
    <xf numFmtId="169" fontId="1" fillId="0" borderId="3" xfId="0" applyNumberFormat="1" applyFont="1" applyFill="1" applyBorder="1" applyAlignment="1">
      <alignment vertical="center" wrapText="1"/>
    </xf>
    <xf numFmtId="169" fontId="12" fillId="10" borderId="1" xfId="0" applyNumberFormat="1" applyFont="1" applyFill="1" applyBorder="1" applyAlignment="1">
      <alignment horizontal="center" vertical="center" wrapText="1"/>
    </xf>
    <xf numFmtId="169" fontId="1" fillId="0" borderId="20" xfId="0" applyNumberFormat="1" applyFont="1" applyFill="1" applyBorder="1" applyAlignment="1">
      <alignment vertical="center" wrapText="1"/>
    </xf>
    <xf numFmtId="169" fontId="1" fillId="0" borderId="0" xfId="0" applyNumberFormat="1" applyFont="1" applyFill="1" applyBorder="1" applyAlignment="1">
      <alignment vertical="center" wrapText="1"/>
    </xf>
    <xf numFmtId="169" fontId="1" fillId="0" borderId="18" xfId="0" applyNumberFormat="1" applyFont="1" applyFill="1" applyBorder="1" applyAlignment="1">
      <alignment vertical="center" wrapText="1"/>
    </xf>
    <xf numFmtId="169" fontId="1"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172" fontId="4" fillId="0" borderId="2" xfId="0" applyNumberFormat="1" applyFont="1" applyFill="1" applyBorder="1" applyAlignment="1">
      <alignment horizontal="center" vertical="center" wrapText="1"/>
    </xf>
    <xf numFmtId="172" fontId="4" fillId="0" borderId="3" xfId="0" applyNumberFormat="1" applyFont="1" applyFill="1" applyBorder="1" applyAlignment="1">
      <alignment horizontal="center" vertical="center" wrapText="1"/>
    </xf>
    <xf numFmtId="44" fontId="55" fillId="15" borderId="25" xfId="3" applyFont="1" applyFill="1" applyBorder="1" applyAlignment="1">
      <alignment horizontal="right" wrapText="1" indent="1"/>
    </xf>
    <xf numFmtId="44" fontId="55" fillId="15" borderId="0" xfId="3" applyFont="1" applyFill="1" applyBorder="1" applyAlignment="1">
      <alignment horizontal="right" wrapText="1" indent="1"/>
    </xf>
    <xf numFmtId="0" fontId="55" fillId="15" borderId="27" xfId="0" applyFont="1" applyFill="1" applyBorder="1" applyAlignment="1">
      <alignment horizontal="left" indent="1"/>
    </xf>
    <xf numFmtId="0" fontId="54" fillId="15" borderId="21" xfId="0" applyNumberFormat="1" applyFont="1" applyFill="1" applyBorder="1" applyAlignment="1">
      <alignment horizontal="left" indent="1"/>
    </xf>
    <xf numFmtId="44" fontId="54" fillId="15" borderId="21" xfId="3" applyFont="1" applyFill="1" applyBorder="1" applyAlignment="1">
      <alignment horizontal="right" wrapText="1" indent="1"/>
    </xf>
    <xf numFmtId="44" fontId="54" fillId="0" borderId="23" xfId="3" applyFont="1" applyBorder="1" applyAlignment="1">
      <alignment horizontal="right" vertical="center" wrapText="1" indent="1"/>
    </xf>
    <xf numFmtId="0" fontId="54" fillId="0" borderId="0" xfId="0" applyFont="1" applyFill="1" applyBorder="1" applyAlignment="1">
      <alignment horizontal="left" vertical="center" wrapText="1" indent="1"/>
    </xf>
    <xf numFmtId="0" fontId="55" fillId="15" borderId="25" xfId="0" applyFont="1" applyFill="1" applyBorder="1" applyAlignment="1">
      <alignment horizontal="left" vertical="center" wrapText="1" indent="1"/>
    </xf>
    <xf numFmtId="169" fontId="2" fillId="1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4" fontId="0" fillId="0" borderId="0" xfId="3" applyFont="1"/>
    <xf numFmtId="44" fontId="54" fillId="0" borderId="24" xfId="3" applyFont="1" applyBorder="1" applyAlignment="1">
      <alignment horizontal="left" vertical="center" wrapText="1" indent="1"/>
    </xf>
    <xf numFmtId="44" fontId="54" fillId="0" borderId="23" xfId="3" applyFont="1" applyBorder="1" applyAlignment="1">
      <alignment horizontal="left" vertical="center" wrapText="1" indent="1"/>
    </xf>
    <xf numFmtId="44" fontId="55" fillId="15" borderId="25" xfId="3" applyFont="1" applyFill="1" applyBorder="1" applyAlignment="1">
      <alignment horizontal="left" indent="1"/>
    </xf>
    <xf numFmtId="44" fontId="55" fillId="16" borderId="25" xfId="3" applyFont="1" applyFill="1" applyBorder="1" applyAlignment="1">
      <alignment horizontal="right" wrapText="1" indent="1"/>
    </xf>
    <xf numFmtId="44" fontId="55" fillId="22" borderId="26" xfId="3" applyFont="1" applyFill="1" applyBorder="1" applyAlignment="1">
      <alignment horizontal="left" indent="1"/>
    </xf>
    <xf numFmtId="44" fontId="55" fillId="23" borderId="26" xfId="3" applyFont="1" applyFill="1" applyBorder="1" applyAlignment="1">
      <alignment horizontal="right" wrapText="1" indent="1"/>
    </xf>
    <xf numFmtId="44" fontId="55" fillId="15" borderId="26" xfId="3" applyFont="1" applyFill="1" applyBorder="1" applyAlignment="1">
      <alignment horizontal="left" indent="1"/>
    </xf>
    <xf numFmtId="44" fontId="55" fillId="17" borderId="26" xfId="3" applyFont="1" applyFill="1" applyBorder="1" applyAlignment="1">
      <alignment horizontal="left" indent="1"/>
    </xf>
    <xf numFmtId="44" fontId="55" fillId="15" borderId="26" xfId="3" applyFont="1" applyFill="1" applyBorder="1" applyAlignment="1">
      <alignment horizontal="right" wrapText="1" indent="1"/>
    </xf>
    <xf numFmtId="169" fontId="1" fillId="10" borderId="1" xfId="0" applyNumberFormat="1" applyFont="1" applyFill="1" applyBorder="1" applyAlignment="1">
      <alignment horizontal="center" vertical="center" wrapText="1"/>
    </xf>
    <xf numFmtId="49" fontId="12" fillId="10" borderId="1" xfId="0" applyNumberFormat="1" applyFont="1" applyFill="1" applyBorder="1" applyAlignment="1">
      <alignment horizontal="center" vertical="center" wrapText="1"/>
    </xf>
    <xf numFmtId="49" fontId="1" fillId="25" borderId="1" xfId="0" applyNumberFormat="1" applyFont="1" applyFill="1" applyBorder="1" applyAlignment="1">
      <alignment horizontal="center" vertical="center" wrapText="1"/>
    </xf>
    <xf numFmtId="169" fontId="1" fillId="10" borderId="1" xfId="0" applyNumberFormat="1" applyFont="1" applyFill="1" applyBorder="1" applyAlignment="1">
      <alignment horizontal="center" vertical="center" wrapText="1"/>
    </xf>
    <xf numFmtId="49" fontId="1" fillId="10" borderId="1" xfId="0" applyNumberFormat="1" applyFont="1" applyFill="1" applyBorder="1" applyAlignment="1">
      <alignment horizontal="center" vertical="center" wrapText="1"/>
    </xf>
    <xf numFmtId="49" fontId="1" fillId="25" borderId="1" xfId="0" applyNumberFormat="1" applyFont="1" applyFill="1" applyBorder="1" applyAlignment="1">
      <alignment horizontal="center" vertical="center" wrapText="1"/>
    </xf>
    <xf numFmtId="6" fontId="4" fillId="25" borderId="1" xfId="0" applyNumberFormat="1" applyFont="1" applyFill="1" applyBorder="1" applyAlignment="1">
      <alignment horizontal="center" vertical="center" wrapText="1"/>
    </xf>
    <xf numFmtId="169" fontId="8" fillId="10" borderId="1" xfId="0" applyNumberFormat="1" applyFont="1" applyFill="1" applyBorder="1" applyAlignment="1">
      <alignment horizontal="center" vertical="center" wrapText="1"/>
    </xf>
    <xf numFmtId="49" fontId="1" fillId="10" borderId="1" xfId="0" applyNumberFormat="1" applyFont="1" applyFill="1" applyBorder="1" applyAlignment="1">
      <alignment horizontal="center" vertical="center" wrapText="1"/>
    </xf>
    <xf numFmtId="49" fontId="1" fillId="10" borderId="1" xfId="0" quotePrefix="1" applyNumberFormat="1" applyFont="1" applyFill="1" applyBorder="1" applyAlignment="1">
      <alignment horizontal="center" vertical="center" wrapText="1"/>
    </xf>
    <xf numFmtId="173" fontId="7" fillId="0" borderId="2" xfId="2" applyNumberFormat="1" applyFill="1" applyBorder="1" applyAlignment="1">
      <alignment horizontal="center" vertical="center" wrapText="1"/>
    </xf>
    <xf numFmtId="173" fontId="7" fillId="0" borderId="3" xfId="2" applyNumberForma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69" fontId="4" fillId="0" borderId="2" xfId="2" applyNumberFormat="1" applyFont="1" applyFill="1" applyBorder="1" applyAlignment="1">
      <alignment horizontal="center" vertical="center" wrapText="1"/>
    </xf>
    <xf numFmtId="169" fontId="4" fillId="0" borderId="3" xfId="2" applyNumberFormat="1" applyFont="1" applyFill="1" applyBorder="1" applyAlignment="1">
      <alignment horizontal="center" vertical="center" wrapText="1"/>
    </xf>
    <xf numFmtId="49" fontId="1" fillId="10" borderId="2" xfId="0" applyNumberFormat="1" applyFont="1" applyFill="1" applyBorder="1" applyAlignment="1">
      <alignment horizontal="center" vertical="center" wrapText="1"/>
    </xf>
    <xf numFmtId="49" fontId="1" fillId="10" borderId="3" xfId="0" applyNumberFormat="1" applyFont="1" applyFill="1" applyBorder="1" applyAlignment="1">
      <alignment horizontal="center" vertical="center" wrapText="1"/>
    </xf>
    <xf numFmtId="49" fontId="7" fillId="0" borderId="2" xfId="2" applyNumberFormat="1" applyFill="1" applyBorder="1" applyAlignment="1">
      <alignment horizontal="center" vertical="center" wrapText="1"/>
    </xf>
    <xf numFmtId="49" fontId="7" fillId="0" borderId="3" xfId="2" applyNumberFormat="1" applyFill="1" applyBorder="1" applyAlignment="1">
      <alignment horizontal="center" vertical="center" wrapText="1"/>
    </xf>
    <xf numFmtId="44" fontId="1" fillId="0" borderId="2" xfId="3" applyFont="1" applyFill="1" applyBorder="1" applyAlignment="1">
      <alignment horizontal="center" vertical="center" wrapText="1"/>
    </xf>
    <xf numFmtId="44" fontId="1" fillId="0" borderId="3" xfId="3" applyFont="1" applyFill="1" applyBorder="1" applyAlignment="1">
      <alignment horizontal="center" vertical="center" wrapText="1"/>
    </xf>
    <xf numFmtId="6" fontId="10" fillId="0" borderId="2" xfId="0" applyNumberFormat="1" applyFont="1" applyFill="1" applyBorder="1" applyAlignment="1">
      <alignment horizontal="center" vertical="center" wrapText="1"/>
    </xf>
    <xf numFmtId="6" fontId="10" fillId="0" borderId="4" xfId="0" applyNumberFormat="1" applyFont="1" applyFill="1" applyBorder="1" applyAlignment="1">
      <alignment horizontal="center" vertical="center" wrapText="1"/>
    </xf>
    <xf numFmtId="6" fontId="4" fillId="0" borderId="2" xfId="0" applyNumberFormat="1" applyFont="1" applyFill="1" applyBorder="1" applyAlignment="1">
      <alignment horizontal="center" vertical="center" wrapText="1"/>
    </xf>
    <xf numFmtId="6" fontId="4" fillId="0" borderId="3" xfId="0" applyNumberFormat="1" applyFont="1" applyFill="1" applyBorder="1" applyAlignment="1">
      <alignment horizontal="center" vertical="center" wrapText="1"/>
    </xf>
    <xf numFmtId="6" fontId="4" fillId="10" borderId="2" xfId="0" applyNumberFormat="1" applyFont="1" applyFill="1" applyBorder="1" applyAlignment="1">
      <alignment horizontal="center" vertical="center" wrapText="1"/>
    </xf>
    <xf numFmtId="6" fontId="4" fillId="10" borderId="4" xfId="0" applyNumberFormat="1" applyFont="1" applyFill="1" applyBorder="1" applyAlignment="1">
      <alignment horizontal="center" vertical="center" wrapText="1"/>
    </xf>
    <xf numFmtId="6" fontId="4" fillId="10" borderId="3" xfId="0" applyNumberFormat="1" applyFont="1" applyFill="1" applyBorder="1" applyAlignment="1">
      <alignment horizontal="center" vertical="center" wrapText="1"/>
    </xf>
    <xf numFmtId="3" fontId="7" fillId="0" borderId="2" xfId="2" applyNumberFormat="1" applyBorder="1" applyAlignment="1">
      <alignment horizontal="center"/>
    </xf>
    <xf numFmtId="3" fontId="7" fillId="0" borderId="3" xfId="2" applyNumberFormat="1" applyBorder="1" applyAlignment="1">
      <alignment horizontal="center"/>
    </xf>
    <xf numFmtId="49" fontId="1" fillId="25" borderId="2" xfId="0" applyNumberFormat="1" applyFont="1" applyFill="1" applyBorder="1" applyAlignment="1">
      <alignment horizontal="center" vertical="center" wrapText="1"/>
    </xf>
    <xf numFmtId="49" fontId="1" fillId="25" borderId="4" xfId="0" applyNumberFormat="1" applyFont="1" applyFill="1" applyBorder="1" applyAlignment="1">
      <alignment horizontal="center" vertical="center" wrapText="1"/>
    </xf>
    <xf numFmtId="49" fontId="1" fillId="25" borderId="3"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3" fontId="0" fillId="0" borderId="2" xfId="0" applyNumberFormat="1" applyBorder="1" applyAlignment="1">
      <alignment horizontal="center" vertical="center"/>
    </xf>
    <xf numFmtId="3" fontId="0" fillId="0" borderId="4" xfId="0" applyNumberFormat="1" applyBorder="1" applyAlignment="1">
      <alignment horizontal="center" vertical="center"/>
    </xf>
    <xf numFmtId="0" fontId="0" fillId="0" borderId="4" xfId="0" applyBorder="1" applyAlignment="1">
      <alignment vertical="center"/>
    </xf>
    <xf numFmtId="0" fontId="0" fillId="0" borderId="3" xfId="0" applyBorder="1" applyAlignment="1">
      <alignment vertical="center"/>
    </xf>
    <xf numFmtId="6" fontId="10" fillId="0" borderId="3" xfId="0" applyNumberFormat="1" applyFont="1" applyFill="1" applyBorder="1" applyAlignment="1">
      <alignment horizontal="center" vertical="center" wrapText="1"/>
    </xf>
    <xf numFmtId="173" fontId="7" fillId="0" borderId="4" xfId="2" applyNumberFormat="1" applyFill="1" applyBorder="1" applyAlignment="1">
      <alignment horizontal="center" vertical="center" wrapText="1"/>
    </xf>
    <xf numFmtId="8" fontId="1" fillId="0" borderId="2" xfId="0" applyNumberFormat="1" applyFont="1" applyFill="1" applyBorder="1" applyAlignment="1">
      <alignment horizontal="center" vertical="center" wrapText="1"/>
    </xf>
    <xf numFmtId="8" fontId="1" fillId="0" borderId="4" xfId="0" applyNumberFormat="1" applyFont="1" applyFill="1" applyBorder="1" applyAlignment="1">
      <alignment horizontal="center" vertical="center" wrapText="1"/>
    </xf>
    <xf numFmtId="8" fontId="1" fillId="0" borderId="3"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69" fontId="4" fillId="0" borderId="4" xfId="0" applyNumberFormat="1" applyFont="1" applyFill="1" applyBorder="1" applyAlignment="1">
      <alignment horizontal="center" vertical="center" wrapText="1"/>
    </xf>
    <xf numFmtId="169" fontId="4" fillId="0" borderId="3" xfId="0" applyNumberFormat="1" applyFont="1" applyFill="1" applyBorder="1" applyAlignment="1">
      <alignment horizontal="center" vertical="center" wrapText="1"/>
    </xf>
    <xf numFmtId="173" fontId="7" fillId="9" borderId="2" xfId="2" applyNumberFormat="1" applyFill="1" applyBorder="1" applyAlignment="1">
      <alignment horizontal="center" vertical="center" wrapText="1"/>
    </xf>
    <xf numFmtId="173" fontId="7" fillId="9" borderId="3" xfId="2" applyNumberFormat="1" applyFill="1" applyBorder="1" applyAlignment="1">
      <alignment horizontal="center" vertical="center" wrapText="1"/>
    </xf>
    <xf numFmtId="173" fontId="1" fillId="9" borderId="2" xfId="0" applyNumberFormat="1" applyFont="1" applyFill="1" applyBorder="1" applyAlignment="1">
      <alignment horizontal="center" vertical="center" wrapText="1"/>
    </xf>
    <xf numFmtId="173" fontId="1" fillId="9" borderId="3" xfId="0" applyNumberFormat="1" applyFont="1" applyFill="1" applyBorder="1" applyAlignment="1">
      <alignment horizontal="center" vertical="center" wrapText="1"/>
    </xf>
    <xf numFmtId="49" fontId="1" fillId="10" borderId="4" xfId="0" applyNumberFormat="1" applyFont="1" applyFill="1" applyBorder="1" applyAlignment="1">
      <alignment horizontal="center" vertical="center" wrapText="1"/>
    </xf>
    <xf numFmtId="169" fontId="1" fillId="9" borderId="2" xfId="0" applyNumberFormat="1" applyFont="1" applyFill="1" applyBorder="1" applyAlignment="1">
      <alignment horizontal="center" vertical="center" wrapText="1"/>
    </xf>
    <xf numFmtId="169" fontId="1" fillId="9" borderId="3" xfId="0" applyNumberFormat="1" applyFont="1" applyFill="1" applyBorder="1" applyAlignment="1">
      <alignment horizontal="center" vertical="center" wrapText="1"/>
    </xf>
    <xf numFmtId="0" fontId="29" fillId="0" borderId="2"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3" xfId="0" applyFont="1" applyBorder="1" applyAlignment="1">
      <alignment horizontal="center" vertical="center" wrapText="1"/>
    </xf>
    <xf numFmtId="173" fontId="1" fillId="10" borderId="2" xfId="0" applyNumberFormat="1" applyFont="1" applyFill="1" applyBorder="1" applyAlignment="1">
      <alignment horizontal="center" vertical="center" wrapText="1"/>
    </xf>
    <xf numFmtId="173" fontId="1" fillId="10" borderId="4" xfId="0" applyNumberFormat="1" applyFont="1" applyFill="1" applyBorder="1" applyAlignment="1">
      <alignment horizontal="center" vertical="center" wrapText="1"/>
    </xf>
    <xf numFmtId="173" fontId="1" fillId="10" borderId="3" xfId="0" applyNumberFormat="1" applyFont="1" applyFill="1" applyBorder="1" applyAlignment="1">
      <alignment horizontal="center" vertical="center" wrapText="1"/>
    </xf>
    <xf numFmtId="169" fontId="4" fillId="10" borderId="2" xfId="0" applyNumberFormat="1" applyFont="1" applyFill="1" applyBorder="1" applyAlignment="1">
      <alignment horizontal="center" vertical="center" wrapText="1"/>
    </xf>
    <xf numFmtId="169" fontId="4" fillId="10" borderId="4" xfId="0" applyNumberFormat="1" applyFont="1" applyFill="1" applyBorder="1" applyAlignment="1">
      <alignment horizontal="center" vertical="center" wrapText="1"/>
    </xf>
    <xf numFmtId="169" fontId="4" fillId="10" borderId="3" xfId="0" applyNumberFormat="1" applyFont="1" applyFill="1" applyBorder="1" applyAlignment="1">
      <alignment horizontal="center" vertical="center" wrapText="1"/>
    </xf>
    <xf numFmtId="169" fontId="1" fillId="0" borderId="2" xfId="0" applyNumberFormat="1" applyFont="1" applyFill="1" applyBorder="1" applyAlignment="1">
      <alignment horizontal="center" vertical="center" wrapText="1"/>
    </xf>
    <xf numFmtId="169" fontId="1" fillId="0" borderId="4" xfId="0" applyNumberFormat="1" applyFont="1" applyFill="1" applyBorder="1" applyAlignment="1">
      <alignment horizontal="center" vertical="center" wrapText="1"/>
    </xf>
    <xf numFmtId="169" fontId="1" fillId="0" borderId="3" xfId="0" applyNumberFormat="1" applyFont="1" applyFill="1" applyBorder="1" applyAlignment="1">
      <alignment horizontal="center" vertical="center" wrapText="1"/>
    </xf>
    <xf numFmtId="173" fontId="1" fillId="0" borderId="2" xfId="0" applyNumberFormat="1" applyFont="1" applyFill="1" applyBorder="1" applyAlignment="1">
      <alignment horizontal="center" vertical="center" wrapText="1"/>
    </xf>
    <xf numFmtId="173" fontId="1" fillId="0" borderId="4" xfId="0" applyNumberFormat="1" applyFont="1" applyFill="1" applyBorder="1" applyAlignment="1">
      <alignment horizontal="center" vertical="center" wrapText="1"/>
    </xf>
    <xf numFmtId="173" fontId="1" fillId="0" borderId="3" xfId="0" applyNumberFormat="1" applyFont="1" applyFill="1" applyBorder="1" applyAlignment="1">
      <alignment horizontal="center" vertical="center" wrapText="1"/>
    </xf>
    <xf numFmtId="172" fontId="1" fillId="0" borderId="2" xfId="0" applyNumberFormat="1" applyFont="1" applyFill="1" applyBorder="1" applyAlignment="1">
      <alignment horizontal="center" vertical="center" wrapText="1"/>
    </xf>
    <xf numFmtId="172" fontId="1" fillId="0" borderId="4" xfId="0" applyNumberFormat="1" applyFont="1" applyFill="1" applyBorder="1" applyAlignment="1">
      <alignment horizontal="center" vertical="center" wrapText="1"/>
    </xf>
    <xf numFmtId="172" fontId="1" fillId="0" borderId="3"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176" fontId="1" fillId="0" borderId="4" xfId="0" applyNumberFormat="1" applyFont="1" applyFill="1" applyBorder="1" applyAlignment="1">
      <alignment horizontal="center" vertical="center" wrapText="1"/>
    </xf>
    <xf numFmtId="176" fontId="1" fillId="0" borderId="3" xfId="0" applyNumberFormat="1" applyFont="1" applyFill="1" applyBorder="1" applyAlignment="1">
      <alignment horizontal="center" vertical="center" wrapText="1"/>
    </xf>
    <xf numFmtId="0" fontId="1" fillId="10" borderId="22" xfId="0" applyFont="1" applyFill="1" applyBorder="1" applyAlignment="1">
      <alignment horizontal="center" vertical="center" wrapText="1"/>
    </xf>
    <xf numFmtId="49" fontId="1" fillId="1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3" fontId="1" fillId="0" borderId="20" xfId="0" applyNumberFormat="1" applyFont="1" applyFill="1" applyBorder="1" applyAlignment="1">
      <alignment horizontal="center" vertical="center" wrapText="1"/>
    </xf>
    <xf numFmtId="173" fontId="1" fillId="0" borderId="0" xfId="0" applyNumberFormat="1" applyFont="1" applyFill="1" applyBorder="1" applyAlignment="1">
      <alignment horizontal="center" vertical="center" wrapText="1"/>
    </xf>
    <xf numFmtId="173" fontId="22" fillId="0" borderId="20" xfId="0" applyNumberFormat="1" applyFont="1" applyFill="1" applyBorder="1" applyAlignment="1">
      <alignment horizontal="center" vertical="center" wrapText="1"/>
    </xf>
    <xf numFmtId="173" fontId="22" fillId="0" borderId="0" xfId="0" applyNumberFormat="1" applyFont="1" applyFill="1" applyBorder="1" applyAlignment="1">
      <alignment horizontal="center" vertical="center" wrapText="1"/>
    </xf>
    <xf numFmtId="169" fontId="1" fillId="0" borderId="20" xfId="0" applyNumberFormat="1" applyFont="1" applyFill="1" applyBorder="1" applyAlignment="1">
      <alignment horizontal="center" vertical="center" wrapText="1"/>
    </xf>
    <xf numFmtId="169" fontId="1" fillId="0" borderId="0" xfId="0" applyNumberFormat="1" applyFont="1" applyFill="1" applyBorder="1" applyAlignment="1">
      <alignment horizontal="center" vertical="center" wrapText="1"/>
    </xf>
    <xf numFmtId="167" fontId="4" fillId="0" borderId="1" xfId="0" applyNumberFormat="1" applyFont="1" applyFill="1" applyBorder="1" applyAlignment="1">
      <alignment horizontal="center" vertical="center" wrapText="1"/>
    </xf>
    <xf numFmtId="169" fontId="4" fillId="0" borderId="1" xfId="0" applyNumberFormat="1" applyFont="1" applyFill="1" applyBorder="1" applyAlignment="1">
      <alignment horizontal="center" vertical="center" wrapText="1"/>
    </xf>
    <xf numFmtId="169" fontId="4" fillId="0" borderId="20" xfId="0" applyNumberFormat="1" applyFont="1" applyFill="1" applyBorder="1" applyAlignment="1">
      <alignment horizontal="center" vertical="center" wrapText="1"/>
    </xf>
    <xf numFmtId="169" fontId="4" fillId="0" borderId="0" xfId="0" applyNumberFormat="1" applyFont="1" applyFill="1" applyBorder="1" applyAlignment="1">
      <alignment horizontal="center" vertical="center" wrapText="1"/>
    </xf>
    <xf numFmtId="169" fontId="1" fillId="10" borderId="2" xfId="0" applyNumberFormat="1" applyFont="1" applyFill="1" applyBorder="1" applyAlignment="1">
      <alignment horizontal="center" vertical="center" wrapText="1"/>
    </xf>
    <xf numFmtId="169" fontId="1" fillId="10" borderId="4" xfId="0" applyNumberFormat="1" applyFont="1" applyFill="1" applyBorder="1" applyAlignment="1">
      <alignment horizontal="center" vertical="center" wrapText="1"/>
    </xf>
    <xf numFmtId="169" fontId="1" fillId="0" borderId="2" xfId="6" applyNumberFormat="1" applyFont="1" applyFill="1" applyBorder="1" applyAlignment="1">
      <alignment horizontal="center" vertical="center" wrapText="1"/>
    </xf>
    <xf numFmtId="169" fontId="1" fillId="0" borderId="4" xfId="6" applyNumberFormat="1" applyFont="1" applyFill="1" applyBorder="1" applyAlignment="1">
      <alignment horizontal="center" vertical="center" wrapText="1"/>
    </xf>
    <xf numFmtId="169" fontId="1" fillId="0" borderId="3" xfId="6" applyNumberFormat="1" applyFont="1" applyFill="1" applyBorder="1" applyAlignment="1">
      <alignment horizontal="center" vertical="center" wrapText="1"/>
    </xf>
    <xf numFmtId="169" fontId="1" fillId="0" borderId="2" xfId="3" applyNumberFormat="1" applyFont="1" applyFill="1" applyBorder="1" applyAlignment="1">
      <alignment horizontal="center" vertical="center" wrapText="1"/>
    </xf>
    <xf numFmtId="169" fontId="1" fillId="0" borderId="4" xfId="3" applyNumberFormat="1" applyFont="1" applyFill="1" applyBorder="1" applyAlignment="1">
      <alignment horizontal="center" vertical="center" wrapText="1"/>
    </xf>
    <xf numFmtId="169" fontId="1" fillId="0" borderId="3" xfId="3" applyNumberFormat="1" applyFont="1" applyFill="1" applyBorder="1" applyAlignment="1">
      <alignment horizontal="center" vertical="center" wrapText="1"/>
    </xf>
    <xf numFmtId="173" fontId="50" fillId="25" borderId="2" xfId="2" applyNumberFormat="1" applyFont="1" applyFill="1" applyBorder="1" applyAlignment="1">
      <alignment horizontal="center" vertical="center" wrapText="1"/>
    </xf>
    <xf numFmtId="173" fontId="50" fillId="25" borderId="3" xfId="2" applyNumberFormat="1" applyFont="1" applyFill="1" applyBorder="1" applyAlignment="1">
      <alignment horizontal="center" vertical="center" wrapText="1"/>
    </xf>
    <xf numFmtId="1" fontId="1" fillId="0" borderId="2" xfId="0" applyNumberFormat="1" applyFont="1" applyFill="1" applyBorder="1" applyAlignment="1">
      <alignment horizontal="center" vertical="center" wrapText="1"/>
    </xf>
    <xf numFmtId="1" fontId="1" fillId="0" borderId="4" xfId="0" applyNumberFormat="1" applyFont="1" applyFill="1" applyBorder="1" applyAlignment="1">
      <alignment horizontal="center" vertical="center" wrapText="1"/>
    </xf>
    <xf numFmtId="1" fontId="1" fillId="0" borderId="3" xfId="0" applyNumberFormat="1" applyFont="1" applyFill="1" applyBorder="1" applyAlignment="1">
      <alignment horizontal="center" vertical="center" wrapText="1"/>
    </xf>
    <xf numFmtId="5" fontId="1" fillId="0" borderId="2" xfId="0" applyNumberFormat="1" applyFont="1" applyFill="1" applyBorder="1" applyAlignment="1">
      <alignment horizontal="center" vertical="center" wrapText="1"/>
    </xf>
    <xf numFmtId="5" fontId="1" fillId="0" borderId="4" xfId="0" applyNumberFormat="1" applyFont="1" applyFill="1" applyBorder="1" applyAlignment="1">
      <alignment horizontal="center" vertical="center" wrapText="1"/>
    </xf>
    <xf numFmtId="5" fontId="1"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169" fontId="1" fillId="10" borderId="2" xfId="3" applyNumberFormat="1" applyFont="1" applyFill="1" applyBorder="1" applyAlignment="1">
      <alignment horizontal="center" vertical="center" wrapText="1"/>
    </xf>
    <xf numFmtId="169" fontId="1" fillId="10" borderId="4" xfId="3" applyNumberFormat="1" applyFont="1" applyFill="1" applyBorder="1" applyAlignment="1">
      <alignment horizontal="center" vertical="center" wrapText="1"/>
    </xf>
    <xf numFmtId="166" fontId="1" fillId="0" borderId="2" xfId="0" applyNumberFormat="1" applyFont="1" applyFill="1" applyBorder="1" applyAlignment="1">
      <alignment horizontal="center" vertical="center" wrapText="1"/>
    </xf>
    <xf numFmtId="166" fontId="1" fillId="0" borderId="4" xfId="0"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9" fontId="1" fillId="10" borderId="3" xfId="0" applyNumberFormat="1" applyFont="1" applyFill="1" applyBorder="1" applyAlignment="1">
      <alignment horizontal="center" vertical="center" wrapText="1"/>
    </xf>
    <xf numFmtId="0" fontId="1" fillId="10" borderId="2" xfId="0" applyFont="1" applyFill="1" applyBorder="1" applyAlignment="1">
      <alignment horizontal="center" vertical="center" wrapText="1"/>
    </xf>
    <xf numFmtId="0" fontId="1" fillId="10" borderId="3" xfId="0" applyFont="1" applyFill="1" applyBorder="1" applyAlignment="1">
      <alignment horizontal="center" vertical="center" wrapText="1"/>
    </xf>
    <xf numFmtId="5" fontId="2" fillId="0" borderId="2" xfId="0" applyNumberFormat="1" applyFont="1" applyFill="1" applyBorder="1" applyAlignment="1">
      <alignment horizontal="center" vertical="center" wrapText="1"/>
    </xf>
    <xf numFmtId="169" fontId="1" fillId="25" borderId="2" xfId="3" applyNumberFormat="1" applyFont="1" applyFill="1" applyBorder="1" applyAlignment="1">
      <alignment horizontal="center" vertical="center" wrapText="1"/>
    </xf>
    <xf numFmtId="169" fontId="1" fillId="25" borderId="3" xfId="3" applyNumberFormat="1" applyFont="1" applyFill="1" applyBorder="1" applyAlignment="1">
      <alignment horizontal="center" vertical="center" wrapText="1"/>
    </xf>
    <xf numFmtId="169" fontId="1" fillId="25" borderId="2" xfId="0" applyNumberFormat="1" applyFont="1" applyFill="1" applyBorder="1" applyAlignment="1">
      <alignment horizontal="center" vertical="center" wrapText="1"/>
    </xf>
    <xf numFmtId="169" fontId="1" fillId="25" borderId="3" xfId="0"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wrapText="1"/>
    </xf>
    <xf numFmtId="172" fontId="4" fillId="0" borderId="2" xfId="0" applyNumberFormat="1" applyFont="1" applyFill="1" applyBorder="1" applyAlignment="1">
      <alignment horizontal="center" vertical="center" wrapText="1"/>
    </xf>
    <xf numFmtId="172" fontId="4" fillId="0" borderId="4" xfId="0" applyNumberFormat="1" applyFont="1" applyFill="1" applyBorder="1" applyAlignment="1">
      <alignment horizontal="center" vertical="center" wrapText="1"/>
    </xf>
    <xf numFmtId="6" fontId="10"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6" fontId="4" fillId="0" borderId="4" xfId="0" applyNumberFormat="1" applyFont="1" applyFill="1" applyBorder="1" applyAlignment="1">
      <alignment horizontal="center" vertical="center" wrapText="1"/>
    </xf>
    <xf numFmtId="6" fontId="8" fillId="0" borderId="2" xfId="0" applyNumberFormat="1" applyFont="1" applyFill="1" applyBorder="1" applyAlignment="1">
      <alignment horizontal="center" vertical="center" wrapText="1"/>
    </xf>
    <xf numFmtId="172" fontId="1" fillId="25" borderId="2" xfId="0" applyNumberFormat="1" applyFont="1" applyFill="1" applyBorder="1" applyAlignment="1">
      <alignment horizontal="center" vertical="center" wrapText="1"/>
    </xf>
    <xf numFmtId="172" fontId="1" fillId="25" borderId="3" xfId="0" applyNumberFormat="1" applyFont="1" applyFill="1" applyBorder="1" applyAlignment="1">
      <alignment horizontal="center" vertical="center" wrapText="1"/>
    </xf>
    <xf numFmtId="176" fontId="1" fillId="25" borderId="2" xfId="0" applyNumberFormat="1" applyFont="1" applyFill="1" applyBorder="1" applyAlignment="1">
      <alignment horizontal="center" vertical="center" wrapText="1"/>
    </xf>
    <xf numFmtId="176" fontId="1" fillId="25" borderId="3" xfId="0" applyNumberFormat="1" applyFont="1" applyFill="1" applyBorder="1" applyAlignment="1">
      <alignment horizontal="center" vertical="center" wrapText="1"/>
    </xf>
    <xf numFmtId="173" fontId="1" fillId="25" borderId="2" xfId="0" applyNumberFormat="1" applyFont="1" applyFill="1" applyBorder="1" applyAlignment="1">
      <alignment horizontal="center" vertical="center" wrapText="1"/>
    </xf>
    <xf numFmtId="173" fontId="1" fillId="25" borderId="3" xfId="0" applyNumberFormat="1"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14" fontId="1" fillId="0" borderId="4" xfId="0" applyNumberFormat="1" applyFont="1" applyFill="1" applyBorder="1" applyAlignment="1">
      <alignment horizontal="center" vertical="center" wrapText="1"/>
    </xf>
    <xf numFmtId="14" fontId="1" fillId="0" borderId="3" xfId="0" applyNumberFormat="1" applyFont="1" applyFill="1" applyBorder="1" applyAlignment="1">
      <alignment horizontal="center" vertical="center" wrapText="1"/>
    </xf>
    <xf numFmtId="0" fontId="1" fillId="10" borderId="4" xfId="0" applyFont="1" applyFill="1" applyBorder="1" applyAlignment="1">
      <alignment horizontal="center" vertical="center" wrapText="1"/>
    </xf>
    <xf numFmtId="172" fontId="1" fillId="10" borderId="2" xfId="0" applyNumberFormat="1" applyFont="1" applyFill="1" applyBorder="1" applyAlignment="1">
      <alignment horizontal="center" vertical="center" wrapText="1"/>
    </xf>
    <xf numFmtId="172" fontId="1" fillId="10" borderId="4" xfId="0" applyNumberFormat="1" applyFont="1" applyFill="1" applyBorder="1" applyAlignment="1">
      <alignment horizontal="center" vertical="center" wrapText="1"/>
    </xf>
    <xf numFmtId="173" fontId="7" fillId="10" borderId="2" xfId="2" applyNumberFormat="1" applyFill="1" applyBorder="1" applyAlignment="1">
      <alignment horizontal="center" vertical="center" wrapText="1"/>
    </xf>
    <xf numFmtId="173" fontId="7" fillId="10" borderId="4" xfId="2" applyNumberFormat="1" applyFill="1" applyBorder="1" applyAlignment="1">
      <alignment horizontal="center" vertical="center" wrapText="1"/>
    </xf>
    <xf numFmtId="176" fontId="1" fillId="10" borderId="2" xfId="0" applyNumberFormat="1" applyFont="1" applyFill="1" applyBorder="1" applyAlignment="1">
      <alignment horizontal="center" vertical="center" wrapText="1"/>
    </xf>
    <xf numFmtId="176" fontId="1" fillId="10" borderId="4"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173" fontId="25" fillId="0" borderId="2" xfId="2" applyNumberFormat="1" applyFont="1" applyFill="1" applyBorder="1" applyAlignment="1">
      <alignment horizontal="center" vertical="center" wrapText="1"/>
    </xf>
    <xf numFmtId="173" fontId="25" fillId="0" borderId="4" xfId="2" applyNumberFormat="1" applyFont="1" applyFill="1" applyBorder="1" applyAlignment="1">
      <alignment horizontal="center" vertical="center" wrapText="1"/>
    </xf>
    <xf numFmtId="173" fontId="25" fillId="0" borderId="3" xfId="2" applyNumberFormat="1" applyFont="1" applyFill="1" applyBorder="1" applyAlignment="1">
      <alignment horizontal="center" vertical="center" wrapText="1"/>
    </xf>
    <xf numFmtId="181" fontId="4" fillId="0" borderId="1" xfId="0" applyNumberFormat="1" applyFont="1" applyFill="1" applyBorder="1" applyAlignment="1">
      <alignment horizontal="center" vertical="center" wrapText="1"/>
    </xf>
    <xf numFmtId="6" fontId="4" fillId="0" borderId="1" xfId="0" applyNumberFormat="1" applyFont="1" applyFill="1" applyBorder="1" applyAlignment="1">
      <alignment horizontal="center" vertical="center" wrapText="1"/>
    </xf>
    <xf numFmtId="169" fontId="4" fillId="0" borderId="2" xfId="3" applyNumberFormat="1" applyFont="1" applyFill="1" applyBorder="1" applyAlignment="1">
      <alignment horizontal="center" vertical="center" wrapText="1"/>
    </xf>
    <xf numFmtId="169" fontId="4" fillId="0" borderId="4" xfId="3" applyNumberFormat="1" applyFont="1" applyFill="1" applyBorder="1" applyAlignment="1">
      <alignment horizontal="center" vertical="center" wrapText="1"/>
    </xf>
    <xf numFmtId="169" fontId="4" fillId="0" borderId="3" xfId="3" applyNumberFormat="1" applyFont="1" applyFill="1" applyBorder="1" applyAlignment="1">
      <alignment horizontal="center" vertical="center" wrapText="1"/>
    </xf>
    <xf numFmtId="181" fontId="4" fillId="0" borderId="2" xfId="0" applyNumberFormat="1" applyFont="1" applyFill="1" applyBorder="1" applyAlignment="1">
      <alignment horizontal="center" vertical="center" wrapText="1"/>
    </xf>
    <xf numFmtId="181" fontId="4" fillId="0" borderId="4" xfId="0" applyNumberFormat="1" applyFont="1" applyFill="1" applyBorder="1" applyAlignment="1">
      <alignment horizontal="center" vertical="center" wrapText="1"/>
    </xf>
    <xf numFmtId="181" fontId="4" fillId="0" borderId="3" xfId="0" applyNumberFormat="1" applyFont="1" applyFill="1" applyBorder="1" applyAlignment="1">
      <alignment horizontal="center" vertical="center" wrapText="1"/>
    </xf>
    <xf numFmtId="173" fontId="25" fillId="0" borderId="1" xfId="2" applyNumberFormat="1" applyFont="1" applyFill="1" applyBorder="1" applyAlignment="1">
      <alignment horizontal="center" vertical="center" wrapText="1"/>
    </xf>
    <xf numFmtId="173" fontId="4" fillId="0" borderId="2" xfId="0" applyNumberFormat="1" applyFont="1" applyFill="1" applyBorder="1" applyAlignment="1">
      <alignment horizontal="center" vertical="center" wrapText="1"/>
    </xf>
    <xf numFmtId="173" fontId="4" fillId="0" borderId="4" xfId="0" applyNumberFormat="1" applyFont="1" applyFill="1" applyBorder="1" applyAlignment="1">
      <alignment horizontal="center" vertical="center" wrapText="1"/>
    </xf>
    <xf numFmtId="173" fontId="4" fillId="0" borderId="3" xfId="0" applyNumberFormat="1" applyFont="1" applyFill="1" applyBorder="1" applyAlignment="1">
      <alignment horizontal="center" vertical="center" wrapText="1"/>
    </xf>
    <xf numFmtId="172" fontId="4" fillId="0" borderId="3" xfId="0" applyNumberFormat="1" applyFont="1" applyFill="1" applyBorder="1" applyAlignment="1">
      <alignment horizontal="center" vertical="center" wrapText="1"/>
    </xf>
    <xf numFmtId="173" fontId="26" fillId="0" borderId="2" xfId="2" applyNumberFormat="1" applyFont="1" applyFill="1" applyBorder="1" applyAlignment="1">
      <alignment horizontal="center" vertical="center" wrapText="1"/>
    </xf>
    <xf numFmtId="173" fontId="26" fillId="0" borderId="4" xfId="2" applyNumberFormat="1" applyFont="1" applyFill="1" applyBorder="1" applyAlignment="1">
      <alignment horizontal="center" vertical="center" wrapText="1"/>
    </xf>
    <xf numFmtId="173" fontId="26" fillId="0" borderId="3" xfId="2" applyNumberFormat="1" applyFont="1" applyFill="1" applyBorder="1" applyAlignment="1">
      <alignment horizontal="center" vertical="center" wrapText="1"/>
    </xf>
    <xf numFmtId="0" fontId="25" fillId="0" borderId="2" xfId="2" applyFont="1" applyFill="1" applyBorder="1" applyAlignment="1">
      <alignment horizontal="center" vertical="center"/>
    </xf>
    <xf numFmtId="0" fontId="25" fillId="0" borderId="4" xfId="2" applyFont="1" applyFill="1" applyBorder="1" applyAlignment="1">
      <alignment horizontal="center" vertical="center"/>
    </xf>
    <xf numFmtId="0" fontId="25" fillId="0" borderId="3" xfId="2" applyFont="1" applyFill="1" applyBorder="1" applyAlignment="1">
      <alignment horizontal="center" vertical="center"/>
    </xf>
    <xf numFmtId="0" fontId="7" fillId="0" borderId="2" xfId="2" applyFill="1" applyBorder="1" applyAlignment="1">
      <alignment horizontal="center" vertical="center"/>
    </xf>
    <xf numFmtId="0" fontId="7" fillId="0" borderId="4" xfId="2" applyFill="1" applyBorder="1" applyAlignment="1">
      <alignment horizontal="center" vertical="center"/>
    </xf>
    <xf numFmtId="0" fontId="7" fillId="0" borderId="3" xfId="2" applyFill="1" applyBorder="1" applyAlignment="1">
      <alignment horizontal="center" vertical="center"/>
    </xf>
    <xf numFmtId="6" fontId="4" fillId="25" borderId="1"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166" fontId="4" fillId="0" borderId="2" xfId="0" applyNumberFormat="1" applyFont="1" applyFill="1" applyBorder="1" applyAlignment="1">
      <alignment horizontal="center" vertical="center" wrapText="1"/>
    </xf>
    <xf numFmtId="166" fontId="4" fillId="0" borderId="4" xfId="0" applyNumberFormat="1" applyFont="1" applyFill="1" applyBorder="1" applyAlignment="1">
      <alignment horizontal="center" vertical="center" wrapText="1"/>
    </xf>
    <xf numFmtId="166" fontId="4" fillId="0" borderId="3"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176" fontId="4" fillId="0" borderId="4" xfId="0" applyNumberFormat="1" applyFont="1" applyFill="1" applyBorder="1" applyAlignment="1">
      <alignment horizontal="center" vertical="center" wrapText="1"/>
    </xf>
    <xf numFmtId="176" fontId="4" fillId="0" borderId="3" xfId="0" applyNumberFormat="1" applyFont="1" applyFill="1" applyBorder="1" applyAlignment="1">
      <alignment horizontal="center" vertical="center" wrapText="1"/>
    </xf>
    <xf numFmtId="169" fontId="1" fillId="0" borderId="2" xfId="17" applyNumberFormat="1" applyFont="1" applyFill="1" applyBorder="1" applyAlignment="1">
      <alignment horizontal="center" vertical="center"/>
    </xf>
    <xf numFmtId="169" fontId="1" fillId="0" borderId="4" xfId="17" applyNumberFormat="1" applyFont="1" applyFill="1" applyBorder="1" applyAlignment="1">
      <alignment horizontal="center" vertical="center"/>
    </xf>
    <xf numFmtId="169" fontId="1" fillId="0" borderId="3" xfId="17" applyNumberFormat="1" applyFont="1" applyFill="1" applyBorder="1" applyAlignment="1">
      <alignment horizontal="center" vertical="center"/>
    </xf>
    <xf numFmtId="8" fontId="4" fillId="0" borderId="2" xfId="0" applyNumberFormat="1" applyFont="1" applyFill="1" applyBorder="1" applyAlignment="1">
      <alignment horizontal="center" vertical="center" wrapText="1"/>
    </xf>
    <xf numFmtId="8" fontId="4"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center" vertical="center"/>
    </xf>
    <xf numFmtId="169" fontId="1" fillId="0" borderId="1" xfId="11" applyNumberFormat="1" applyFont="1" applyFill="1" applyBorder="1" applyAlignment="1">
      <alignment horizontal="center" vertical="center" wrapText="1"/>
    </xf>
    <xf numFmtId="5" fontId="1" fillId="25" borderId="2" xfId="0" applyNumberFormat="1" applyFont="1" applyFill="1" applyBorder="1" applyAlignment="1">
      <alignment horizontal="center" vertical="center" wrapText="1"/>
    </xf>
    <xf numFmtId="5" fontId="1" fillId="25" borderId="4" xfId="0" applyNumberFormat="1" applyFont="1" applyFill="1" applyBorder="1" applyAlignment="1">
      <alignment horizontal="center" vertical="center" wrapText="1"/>
    </xf>
    <xf numFmtId="5" fontId="1" fillId="25" borderId="3" xfId="0" applyNumberFormat="1" applyFont="1" applyFill="1" applyBorder="1" applyAlignment="1">
      <alignment horizontal="center" vertical="center" wrapText="1"/>
    </xf>
    <xf numFmtId="1" fontId="4" fillId="0" borderId="4"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9" fontId="4" fillId="10" borderId="1" xfId="0" applyNumberFormat="1" applyFont="1" applyFill="1" applyBorder="1" applyAlignment="1">
      <alignment horizontal="center" vertical="center" wrapText="1"/>
    </xf>
    <xf numFmtId="169" fontId="1" fillId="10" borderId="1" xfId="0" applyNumberFormat="1" applyFont="1" applyFill="1" applyBorder="1" applyAlignment="1">
      <alignment horizontal="center" vertical="center" wrapText="1"/>
    </xf>
    <xf numFmtId="172" fontId="1" fillId="10" borderId="1" xfId="0" applyNumberFormat="1" applyFont="1" applyFill="1" applyBorder="1" applyAlignment="1">
      <alignment horizontal="center" vertical="center" wrapText="1"/>
    </xf>
    <xf numFmtId="166" fontId="1" fillId="10" borderId="1" xfId="0" applyNumberFormat="1" applyFont="1" applyFill="1" applyBorder="1" applyAlignment="1">
      <alignment horizontal="center" vertical="center" wrapText="1"/>
    </xf>
    <xf numFmtId="0" fontId="2" fillId="10" borderId="1" xfId="0" applyFont="1" applyFill="1" applyBorder="1" applyAlignment="1">
      <alignment horizontal="center" vertical="center" wrapText="1"/>
    </xf>
    <xf numFmtId="0" fontId="1" fillId="10" borderId="1" xfId="0"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2" fontId="1" fillId="10" borderId="3" xfId="0" applyNumberFormat="1" applyFont="1" applyFill="1" applyBorder="1" applyAlignment="1">
      <alignment horizontal="center" vertical="center" wrapText="1"/>
    </xf>
    <xf numFmtId="173" fontId="1" fillId="10" borderId="1" xfId="0" applyNumberFormat="1" applyFont="1" applyFill="1" applyBorder="1" applyAlignment="1">
      <alignment horizontal="center" vertical="center" wrapText="1"/>
    </xf>
    <xf numFmtId="8" fontId="4" fillId="0" borderId="4"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3" fontId="7" fillId="0" borderId="1" xfId="2" applyNumberFormat="1" applyFill="1" applyBorder="1" applyAlignment="1">
      <alignment horizontal="center" vertical="center" wrapText="1"/>
    </xf>
    <xf numFmtId="169" fontId="1" fillId="0" borderId="2" xfId="1" applyNumberFormat="1" applyFont="1" applyFill="1" applyBorder="1" applyAlignment="1">
      <alignment horizontal="center" vertical="center" wrapText="1"/>
    </xf>
    <xf numFmtId="169" fontId="1" fillId="0" borderId="4" xfId="1" applyNumberFormat="1" applyFont="1" applyFill="1" applyBorder="1" applyAlignment="1">
      <alignment horizontal="center" vertical="center" wrapText="1"/>
    </xf>
    <xf numFmtId="169" fontId="1" fillId="0" borderId="3" xfId="1"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49" fontId="1" fillId="25"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0" fontId="23" fillId="0" borderId="2" xfId="2" applyFont="1" applyFill="1" applyBorder="1" applyAlignment="1">
      <alignment horizontal="center" vertical="center"/>
    </xf>
    <xf numFmtId="0" fontId="23" fillId="0" borderId="4" xfId="2" applyFont="1" applyFill="1" applyBorder="1" applyAlignment="1">
      <alignment horizontal="center" vertical="center"/>
    </xf>
    <xf numFmtId="0" fontId="23" fillId="0" borderId="3" xfId="2" applyFont="1" applyFill="1" applyBorder="1" applyAlignment="1">
      <alignment horizontal="center" vertical="center"/>
    </xf>
    <xf numFmtId="49" fontId="4" fillId="0" borderId="1" xfId="0" applyNumberFormat="1" applyFont="1" applyFill="1" applyBorder="1" applyAlignment="1">
      <alignment horizontal="center" vertical="center" wrapText="1"/>
    </xf>
    <xf numFmtId="173" fontId="23" fillId="0" borderId="2" xfId="2" applyNumberFormat="1" applyFont="1" applyFill="1" applyBorder="1" applyAlignment="1">
      <alignment horizontal="center" vertical="center" wrapText="1"/>
    </xf>
    <xf numFmtId="173" fontId="23" fillId="0" borderId="4" xfId="2" applyNumberFormat="1" applyFont="1" applyFill="1" applyBorder="1" applyAlignment="1">
      <alignment horizontal="center" vertical="center" wrapText="1"/>
    </xf>
    <xf numFmtId="173" fontId="23" fillId="0" borderId="3" xfId="2" applyNumberFormat="1" applyFont="1" applyFill="1" applyBorder="1" applyAlignment="1">
      <alignment horizontal="center" vertical="center" wrapText="1"/>
    </xf>
    <xf numFmtId="0" fontId="23" fillId="0" borderId="0" xfId="2" applyFont="1" applyFill="1" applyAlignment="1">
      <alignment horizontal="center" vertical="center"/>
    </xf>
    <xf numFmtId="169" fontId="2" fillId="0" borderId="1" xfId="0" applyNumberFormat="1" applyFont="1" applyFill="1" applyBorder="1" applyAlignment="1">
      <alignment horizontal="center" vertical="center" wrapText="1"/>
    </xf>
    <xf numFmtId="6" fontId="4" fillId="1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164" fontId="4" fillId="25" borderId="1" xfId="16" applyFont="1" applyFill="1" applyBorder="1" applyAlignment="1">
      <alignment horizontal="center" vertical="center" wrapText="1"/>
    </xf>
    <xf numFmtId="164" fontId="4" fillId="0" borderId="1" xfId="16" applyFont="1" applyFill="1" applyBorder="1" applyAlignment="1">
      <alignment horizontal="center" vertical="center" wrapText="1"/>
    </xf>
    <xf numFmtId="173" fontId="4" fillId="0" borderId="2" xfId="16" applyNumberFormat="1" applyFont="1" applyFill="1" applyBorder="1" applyAlignment="1">
      <alignment horizontal="center" vertical="center" wrapText="1"/>
    </xf>
    <xf numFmtId="173" fontId="4" fillId="0" borderId="4" xfId="16" applyNumberFormat="1" applyFont="1" applyFill="1" applyBorder="1" applyAlignment="1">
      <alignment horizontal="center" vertical="center" wrapText="1"/>
    </xf>
    <xf numFmtId="173" fontId="4" fillId="0" borderId="3" xfId="16" applyNumberFormat="1" applyFont="1" applyFill="1" applyBorder="1" applyAlignment="1">
      <alignment horizontal="center" vertical="center" wrapText="1"/>
    </xf>
    <xf numFmtId="173" fontId="4" fillId="0" borderId="1" xfId="16" applyNumberFormat="1" applyFont="1" applyFill="1" applyBorder="1" applyAlignment="1">
      <alignment horizontal="center" vertical="center" wrapText="1"/>
    </xf>
    <xf numFmtId="182" fontId="4" fillId="0" borderId="1" xfId="1" applyNumberFormat="1" applyFont="1" applyFill="1" applyBorder="1" applyAlignment="1">
      <alignment horizontal="center" vertical="center" wrapText="1"/>
    </xf>
    <xf numFmtId="5" fontId="1" fillId="0" borderId="2" xfId="6" applyNumberFormat="1" applyFont="1" applyFill="1" applyBorder="1" applyAlignment="1">
      <alignment horizontal="center" vertical="center" wrapText="1"/>
    </xf>
    <xf numFmtId="5" fontId="1" fillId="0" borderId="4" xfId="6" applyNumberFormat="1" applyFont="1" applyFill="1" applyBorder="1" applyAlignment="1">
      <alignment horizontal="center" vertical="center" wrapText="1"/>
    </xf>
    <xf numFmtId="5" fontId="1" fillId="0" borderId="3" xfId="6"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76" fontId="1" fillId="10" borderId="1" xfId="0" applyNumberFormat="1" applyFont="1" applyFill="1" applyBorder="1" applyAlignment="1">
      <alignment horizontal="center" vertical="center" wrapText="1"/>
    </xf>
    <xf numFmtId="173" fontId="7" fillId="10" borderId="1" xfId="2" applyNumberFormat="1" applyFill="1" applyBorder="1" applyAlignment="1">
      <alignment horizontal="center" vertical="center" wrapText="1"/>
    </xf>
    <xf numFmtId="169" fontId="1" fillId="10" borderId="1" xfId="3" applyNumberFormat="1" applyFont="1" applyFill="1" applyBorder="1" applyAlignment="1">
      <alignment horizontal="center" vertical="center" wrapText="1"/>
    </xf>
    <xf numFmtId="175" fontId="4" fillId="0" borderId="1" xfId="0" applyNumberFormat="1" applyFont="1" applyFill="1" applyBorder="1" applyAlignment="1">
      <alignment horizontal="center" vertical="center" wrapText="1"/>
    </xf>
    <xf numFmtId="5" fontId="1" fillId="0" borderId="1" xfId="6" applyNumberFormat="1" applyFont="1" applyFill="1" applyBorder="1" applyAlignment="1">
      <alignment horizontal="center" vertical="center" wrapText="1"/>
    </xf>
    <xf numFmtId="6" fontId="12" fillId="0" borderId="1" xfId="0" applyNumberFormat="1" applyFont="1" applyFill="1" applyBorder="1" applyAlignment="1">
      <alignment horizontal="center" vertical="center" wrapText="1"/>
    </xf>
    <xf numFmtId="5" fontId="1" fillId="0" borderId="1" xfId="0" applyNumberFormat="1" applyFont="1" applyFill="1" applyBorder="1" applyAlignment="1">
      <alignment horizontal="center" vertical="center" wrapText="1"/>
    </xf>
    <xf numFmtId="173" fontId="22" fillId="0" borderId="1" xfId="2" applyNumberFormat="1" applyFont="1" applyFill="1" applyBorder="1" applyAlignment="1">
      <alignment horizontal="center" vertical="center" wrapText="1"/>
    </xf>
    <xf numFmtId="5" fontId="10" fillId="0" borderId="1" xfId="0" applyNumberFormat="1" applyFont="1" applyFill="1" applyBorder="1" applyAlignment="1">
      <alignment horizontal="center" vertical="center" wrapText="1"/>
    </xf>
    <xf numFmtId="5" fontId="4" fillId="0" borderId="1" xfId="0" applyNumberFormat="1" applyFont="1" applyFill="1" applyBorder="1" applyAlignment="1">
      <alignment horizontal="center" vertical="center" wrapText="1"/>
    </xf>
    <xf numFmtId="6" fontId="2" fillId="0" borderId="1" xfId="0" applyNumberFormat="1" applyFont="1" applyFill="1" applyBorder="1" applyAlignment="1">
      <alignment horizontal="center" vertical="center" wrapText="1"/>
    </xf>
    <xf numFmtId="6" fontId="1" fillId="0" borderId="1" xfId="0" applyNumberFormat="1" applyFont="1" applyFill="1" applyBorder="1" applyAlignment="1">
      <alignment horizontal="center" vertical="center" wrapText="1"/>
    </xf>
    <xf numFmtId="49" fontId="1" fillId="6" borderId="1" xfId="0" applyNumberFormat="1" applyFont="1" applyFill="1" applyBorder="1" applyAlignment="1">
      <alignment horizontal="center" vertical="center" wrapText="1"/>
    </xf>
    <xf numFmtId="173" fontId="23" fillId="0" borderId="1" xfId="2"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72" fontId="4" fillId="0" borderId="1" xfId="0"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169" fontId="1" fillId="6" borderId="1" xfId="0" applyNumberFormat="1" applyFont="1" applyFill="1" applyBorder="1" applyAlignment="1">
      <alignment horizontal="center" vertical="center" wrapText="1"/>
    </xf>
    <xf numFmtId="169" fontId="2" fillId="0" borderId="1" xfId="1" applyNumberFormat="1" applyFont="1" applyFill="1" applyBorder="1" applyAlignment="1">
      <alignment horizontal="center" vertical="center" wrapText="1"/>
    </xf>
    <xf numFmtId="169" fontId="1" fillId="0" borderId="1" xfId="1" applyNumberFormat="1" applyFont="1" applyFill="1" applyBorder="1" applyAlignment="1">
      <alignment horizontal="center" vertical="center" wrapText="1"/>
    </xf>
    <xf numFmtId="169"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8" fontId="1" fillId="0" borderId="1" xfId="0" applyNumberFormat="1" applyFont="1" applyFill="1" applyBorder="1" applyAlignment="1">
      <alignment horizontal="center" vertical="center" wrapText="1"/>
    </xf>
    <xf numFmtId="169" fontId="4" fillId="0" borderId="1" xfId="3"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166" fontId="12" fillId="0" borderId="1" xfId="0" applyNumberFormat="1" applyFont="1" applyFill="1" applyBorder="1" applyAlignment="1">
      <alignment horizontal="center" vertical="center" wrapText="1"/>
    </xf>
    <xf numFmtId="169" fontId="4" fillId="6" borderId="1" xfId="0" applyNumberFormat="1" applyFont="1" applyFill="1" applyBorder="1" applyAlignment="1">
      <alignment horizontal="center" vertical="center" wrapText="1"/>
    </xf>
    <xf numFmtId="169" fontId="1" fillId="0" borderId="2" xfId="0" applyNumberFormat="1" applyFont="1" applyFill="1" applyBorder="1" applyAlignment="1">
      <alignment horizontal="center" vertical="center"/>
    </xf>
    <xf numFmtId="169" fontId="1" fillId="0" borderId="4" xfId="0" applyNumberFormat="1" applyFont="1" applyFill="1" applyBorder="1" applyAlignment="1">
      <alignment horizontal="center" vertical="center"/>
    </xf>
    <xf numFmtId="169" fontId="1" fillId="0" borderId="3" xfId="0" applyNumberFormat="1" applyFont="1" applyFill="1" applyBorder="1" applyAlignment="1">
      <alignment horizontal="center" vertical="center"/>
    </xf>
    <xf numFmtId="0" fontId="23" fillId="0" borderId="1" xfId="2" applyFont="1" applyFill="1" applyBorder="1" applyAlignment="1">
      <alignment horizontal="center" vertical="center"/>
    </xf>
    <xf numFmtId="173" fontId="23" fillId="6" borderId="1" xfId="2" applyNumberFormat="1" applyFont="1" applyFill="1" applyBorder="1" applyAlignment="1">
      <alignment horizontal="center" vertical="center" wrapText="1"/>
    </xf>
    <xf numFmtId="172" fontId="1" fillId="6" borderId="1" xfId="0" applyNumberFormat="1" applyFont="1" applyFill="1" applyBorder="1" applyAlignment="1">
      <alignment horizontal="center" vertical="center" wrapText="1"/>
    </xf>
    <xf numFmtId="173" fontId="1" fillId="6" borderId="1" xfId="0" applyNumberFormat="1" applyFont="1" applyFill="1" applyBorder="1" applyAlignment="1">
      <alignment horizontal="center" vertical="center" wrapText="1"/>
    </xf>
    <xf numFmtId="169" fontId="1" fillId="6" borderId="1" xfId="3"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xf>
    <xf numFmtId="170" fontId="1" fillId="0" borderId="1" xfId="0" applyNumberFormat="1" applyFont="1" applyFill="1" applyBorder="1" applyAlignment="1">
      <alignment horizontal="center" vertical="center" wrapText="1"/>
    </xf>
    <xf numFmtId="166" fontId="1" fillId="9" borderId="1" xfId="0" applyNumberFormat="1" applyFont="1" applyFill="1" applyBorder="1" applyAlignment="1">
      <alignment horizontal="center" vertical="center" wrapText="1"/>
    </xf>
    <xf numFmtId="169" fontId="1" fillId="0" borderId="1" xfId="4" applyNumberFormat="1" applyFont="1" applyFill="1" applyBorder="1" applyAlignment="1">
      <alignment horizontal="center" vertical="center" wrapText="1"/>
    </xf>
    <xf numFmtId="173" fontId="1" fillId="0" borderId="2" xfId="0" applyNumberFormat="1" applyFont="1" applyFill="1" applyBorder="1" applyAlignment="1">
      <alignment horizontal="left" vertical="center" wrapText="1"/>
    </xf>
    <xf numFmtId="173" fontId="1" fillId="0" borderId="3" xfId="0" applyNumberFormat="1" applyFont="1" applyFill="1" applyBorder="1" applyAlignment="1">
      <alignment horizontal="left" vertical="center" wrapText="1"/>
    </xf>
    <xf numFmtId="173" fontId="1" fillId="0" borderId="4" xfId="0" applyNumberFormat="1" applyFont="1" applyFill="1" applyBorder="1" applyAlignment="1">
      <alignment horizontal="left" vertical="center" wrapText="1"/>
    </xf>
    <xf numFmtId="8" fontId="1" fillId="25" borderId="1" xfId="0" applyNumberFormat="1" applyFont="1" applyFill="1" applyBorder="1" applyAlignment="1">
      <alignment horizontal="center" vertical="center" wrapText="1"/>
    </xf>
    <xf numFmtId="175" fontId="1"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left" vertical="center" wrapText="1"/>
    </xf>
    <xf numFmtId="166" fontId="2" fillId="0" borderId="1" xfId="0" applyNumberFormat="1" applyFont="1" applyFill="1" applyBorder="1" applyAlignment="1">
      <alignment horizontal="center" vertical="center" wrapText="1"/>
    </xf>
    <xf numFmtId="169" fontId="4" fillId="0" borderId="1" xfId="1" applyNumberFormat="1" applyFont="1" applyFill="1" applyBorder="1" applyAlignment="1">
      <alignment horizontal="center" vertical="center" wrapText="1"/>
    </xf>
    <xf numFmtId="0" fontId="22" fillId="0" borderId="1" xfId="2" applyFont="1" applyFill="1" applyBorder="1" applyAlignment="1">
      <alignment horizontal="center" vertical="center" wrapText="1"/>
    </xf>
    <xf numFmtId="173" fontId="22" fillId="0" borderId="2" xfId="2" applyNumberFormat="1" applyFont="1" applyFill="1" applyBorder="1" applyAlignment="1">
      <alignment horizontal="center" vertical="center" wrapText="1"/>
    </xf>
    <xf numFmtId="173" fontId="22" fillId="0" borderId="4" xfId="2" applyNumberFormat="1" applyFont="1" applyFill="1" applyBorder="1" applyAlignment="1">
      <alignment horizontal="center" vertical="center" wrapText="1"/>
    </xf>
    <xf numFmtId="173" fontId="22" fillId="0" borderId="3" xfId="2" applyNumberFormat="1" applyFont="1" applyFill="1" applyBorder="1" applyAlignment="1">
      <alignment horizontal="center" vertical="center" wrapText="1"/>
    </xf>
    <xf numFmtId="8" fontId="1" fillId="10" borderId="2" xfId="0" applyNumberFormat="1" applyFont="1" applyFill="1" applyBorder="1" applyAlignment="1">
      <alignment horizontal="center" vertical="center" wrapText="1"/>
    </xf>
    <xf numFmtId="8" fontId="1" fillId="10" borderId="4" xfId="0" applyNumberFormat="1" applyFont="1" applyFill="1" applyBorder="1" applyAlignment="1">
      <alignment horizontal="center" vertical="center" wrapText="1"/>
    </xf>
    <xf numFmtId="8" fontId="1" fillId="10" borderId="3" xfId="0" applyNumberFormat="1" applyFont="1" applyFill="1" applyBorder="1" applyAlignment="1">
      <alignment horizontal="center" vertical="center" wrapText="1"/>
    </xf>
    <xf numFmtId="173" fontId="22" fillId="0" borderId="2" xfId="2" applyNumberFormat="1" applyFont="1" applyFill="1" applyBorder="1" applyAlignment="1">
      <alignment horizontal="center" vertical="center"/>
    </xf>
    <xf numFmtId="173" fontId="22" fillId="0" borderId="4" xfId="2" applyNumberFormat="1" applyFont="1" applyFill="1" applyBorder="1" applyAlignment="1">
      <alignment horizontal="center" vertical="center"/>
    </xf>
    <xf numFmtId="173" fontId="22" fillId="0" borderId="3" xfId="2" applyNumberFormat="1" applyFont="1" applyFill="1" applyBorder="1" applyAlignment="1">
      <alignment horizontal="center" vertical="center"/>
    </xf>
    <xf numFmtId="169" fontId="1" fillId="0" borderId="1" xfId="6"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8" fontId="2" fillId="0" borderId="1" xfId="0" applyNumberFormat="1" applyFont="1" applyFill="1" applyBorder="1" applyAlignment="1">
      <alignment horizontal="center" vertical="center" wrapText="1"/>
    </xf>
    <xf numFmtId="175" fontId="1" fillId="0" borderId="2" xfId="0" applyNumberFormat="1" applyFont="1" applyFill="1" applyBorder="1" applyAlignment="1">
      <alignment horizontal="center" vertical="center" wrapText="1"/>
    </xf>
    <xf numFmtId="175" fontId="1" fillId="0" borderId="4" xfId="0" applyNumberFormat="1" applyFont="1" applyFill="1" applyBorder="1" applyAlignment="1">
      <alignment horizontal="center" vertical="center" wrapText="1"/>
    </xf>
    <xf numFmtId="175" fontId="1" fillId="0" borderId="3" xfId="0" applyNumberFormat="1" applyFont="1" applyFill="1" applyBorder="1" applyAlignment="1">
      <alignment horizontal="center" vertical="center" wrapText="1"/>
    </xf>
    <xf numFmtId="1" fontId="1" fillId="0" borderId="2" xfId="1" applyNumberFormat="1" applyFont="1" applyFill="1" applyBorder="1" applyAlignment="1">
      <alignment horizontal="center" vertical="center" wrapText="1"/>
    </xf>
    <xf numFmtId="1" fontId="1" fillId="0" borderId="4" xfId="1" applyNumberFormat="1" applyFont="1" applyFill="1" applyBorder="1" applyAlignment="1">
      <alignment horizontal="center" vertical="center" wrapText="1"/>
    </xf>
    <xf numFmtId="1" fontId="1" fillId="0" borderId="3" xfId="1" applyNumberFormat="1" applyFont="1" applyFill="1" applyBorder="1" applyAlignment="1">
      <alignment horizontal="center" vertical="center" wrapText="1"/>
    </xf>
    <xf numFmtId="49" fontId="1" fillId="10" borderId="1" xfId="0" applyNumberFormat="1" applyFont="1" applyFill="1" applyBorder="1" applyAlignment="1">
      <alignment horizontal="center" vertical="center"/>
    </xf>
    <xf numFmtId="172" fontId="1" fillId="0" borderId="1" xfId="0" applyNumberFormat="1" applyFont="1" applyFill="1" applyBorder="1" applyAlignment="1">
      <alignment horizontal="center" vertical="center"/>
    </xf>
    <xf numFmtId="1" fontId="1" fillId="0" borderId="1" xfId="0" applyNumberFormat="1" applyFont="1" applyFill="1" applyBorder="1" applyAlignment="1">
      <alignment horizontal="center" vertical="center"/>
    </xf>
    <xf numFmtId="8" fontId="1" fillId="25" borderId="2" xfId="0" applyNumberFormat="1" applyFont="1" applyFill="1" applyBorder="1" applyAlignment="1">
      <alignment horizontal="center" vertical="center" wrapText="1"/>
    </xf>
    <xf numFmtId="8" fontId="1" fillId="25" borderId="4" xfId="0" applyNumberFormat="1" applyFont="1" applyFill="1" applyBorder="1" applyAlignment="1">
      <alignment horizontal="center" vertical="center" wrapText="1"/>
    </xf>
    <xf numFmtId="8" fontId="1" fillId="25" borderId="3"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173" fontId="1" fillId="0" borderId="2" xfId="0" applyNumberFormat="1" applyFont="1" applyFill="1" applyBorder="1" applyAlignment="1">
      <alignment horizontal="center" vertical="center"/>
    </xf>
    <xf numFmtId="173" fontId="1" fillId="0" borderId="3" xfId="0" applyNumberFormat="1" applyFont="1" applyFill="1" applyBorder="1" applyAlignment="1">
      <alignment horizontal="center" vertical="center"/>
    </xf>
    <xf numFmtId="169" fontId="4" fillId="0" borderId="1" xfId="2" applyNumberFormat="1" applyFont="1" applyFill="1" applyBorder="1" applyAlignment="1">
      <alignment horizontal="center" vertical="center" wrapText="1"/>
    </xf>
    <xf numFmtId="173" fontId="4" fillId="0" borderId="2" xfId="0" applyNumberFormat="1" applyFont="1" applyFill="1" applyBorder="1" applyAlignment="1">
      <alignment horizontal="left" vertical="center" wrapText="1"/>
    </xf>
    <xf numFmtId="173" fontId="4" fillId="0" borderId="3" xfId="0" applyNumberFormat="1" applyFont="1" applyFill="1" applyBorder="1" applyAlignment="1">
      <alignment horizontal="left" vertical="center" wrapText="1"/>
    </xf>
    <xf numFmtId="173" fontId="22"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xf>
    <xf numFmtId="173" fontId="22" fillId="0" borderId="1" xfId="2"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8" fontId="1" fillId="0" borderId="1" xfId="0" applyNumberFormat="1" applyFont="1" applyFill="1" applyBorder="1" applyAlignment="1">
      <alignment horizontal="center" vertical="center"/>
    </xf>
    <xf numFmtId="16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73" fontId="4" fillId="0" borderId="1" xfId="0" applyNumberFormat="1" applyFont="1" applyFill="1" applyBorder="1" applyAlignment="1">
      <alignment horizontal="left" vertical="center" wrapText="1"/>
    </xf>
    <xf numFmtId="1" fontId="4" fillId="0" borderId="2" xfId="0" applyNumberFormat="1"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4" fillId="10" borderId="2" xfId="0" applyNumberFormat="1" applyFont="1" applyFill="1" applyBorder="1" applyAlignment="1">
      <alignment horizontal="center" vertical="center" wrapText="1"/>
    </xf>
    <xf numFmtId="49" fontId="4" fillId="10" borderId="4" xfId="0" applyNumberFormat="1" applyFont="1" applyFill="1" applyBorder="1" applyAlignment="1">
      <alignment horizontal="center" vertical="center" wrapText="1"/>
    </xf>
    <xf numFmtId="172" fontId="1" fillId="0" borderId="2" xfId="0" applyNumberFormat="1" applyFont="1" applyFill="1" applyBorder="1" applyAlignment="1">
      <alignment horizontal="center" vertical="center"/>
    </xf>
    <xf numFmtId="172" fontId="1" fillId="0" borderId="4" xfId="0" applyNumberFormat="1" applyFont="1" applyFill="1" applyBorder="1" applyAlignment="1">
      <alignment horizontal="center" vertical="center"/>
    </xf>
    <xf numFmtId="172" fontId="1" fillId="0" borderId="3" xfId="0" applyNumberFormat="1" applyFont="1" applyFill="1" applyBorder="1" applyAlignment="1">
      <alignment horizontal="center" vertical="center"/>
    </xf>
    <xf numFmtId="173" fontId="22" fillId="0" borderId="2" xfId="0" applyNumberFormat="1" applyFont="1" applyFill="1" applyBorder="1" applyAlignment="1">
      <alignment horizontal="center" vertical="center" wrapText="1"/>
    </xf>
    <xf numFmtId="173" fontId="22" fillId="0" borderId="4" xfId="0" applyNumberFormat="1" applyFont="1" applyFill="1" applyBorder="1" applyAlignment="1">
      <alignment horizontal="center" vertical="center" wrapText="1"/>
    </xf>
    <xf numFmtId="173" fontId="22" fillId="0" borderId="3" xfId="0"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49" fontId="4" fillId="25"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166" fontId="2" fillId="7"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69" fontId="2" fillId="8"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169" fontId="2" fillId="6"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174" fontId="1" fillId="0" borderId="1" xfId="0" applyNumberFormat="1" applyFont="1" applyFill="1" applyBorder="1" applyAlignment="1">
      <alignment horizontal="center" vertical="center" wrapText="1"/>
    </xf>
    <xf numFmtId="0" fontId="22" fillId="0" borderId="1" xfId="2" applyFont="1" applyFill="1" applyBorder="1" applyAlignment="1">
      <alignment horizontal="center" vertical="center"/>
    </xf>
    <xf numFmtId="169" fontId="2" fillId="0" borderId="1" xfId="6" applyNumberFormat="1" applyFont="1" applyFill="1" applyBorder="1" applyAlignment="1">
      <alignment horizontal="center" vertical="center" wrapText="1"/>
    </xf>
    <xf numFmtId="1" fontId="22" fillId="0" borderId="1" xfId="2" applyNumberFormat="1" applyFont="1" applyFill="1" applyBorder="1" applyAlignment="1">
      <alignment horizontal="center" vertical="center" wrapText="1"/>
    </xf>
    <xf numFmtId="173" fontId="2" fillId="0" borderId="1" xfId="0" applyNumberFormat="1" applyFont="1" applyFill="1" applyBorder="1" applyAlignment="1">
      <alignment horizontal="center" vertical="center" wrapText="1"/>
    </xf>
    <xf numFmtId="6" fontId="12" fillId="25" borderId="2" xfId="0" applyNumberFormat="1" applyFont="1" applyFill="1" applyBorder="1" applyAlignment="1">
      <alignment horizontal="center" vertical="center" wrapText="1"/>
    </xf>
    <xf numFmtId="6" fontId="12" fillId="25" borderId="4" xfId="0" applyNumberFormat="1" applyFont="1" applyFill="1" applyBorder="1" applyAlignment="1">
      <alignment horizontal="center" vertical="center" wrapText="1"/>
    </xf>
    <xf numFmtId="6" fontId="12" fillId="25" borderId="3"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 xfId="0" applyFont="1" applyFill="1" applyBorder="1" applyAlignment="1">
      <alignment horizontal="center" vertical="center" wrapText="1"/>
    </xf>
    <xf numFmtId="173" fontId="22" fillId="0" borderId="1" xfId="0" applyNumberFormat="1" applyFont="1" applyFill="1" applyBorder="1" applyAlignment="1">
      <alignment horizontal="center" vertical="center"/>
    </xf>
    <xf numFmtId="5" fontId="1" fillId="25" borderId="1" xfId="0" applyNumberFormat="1" applyFont="1" applyFill="1" applyBorder="1" applyAlignment="1">
      <alignment horizontal="center" vertical="center" wrapText="1"/>
    </xf>
    <xf numFmtId="6" fontId="1" fillId="10" borderId="1" xfId="0" applyNumberFormat="1" applyFont="1" applyFill="1" applyBorder="1" applyAlignment="1">
      <alignment horizontal="center" vertical="center" wrapText="1"/>
    </xf>
    <xf numFmtId="170" fontId="1" fillId="0" borderId="1" xfId="1" applyFont="1" applyFill="1" applyBorder="1" applyAlignment="1">
      <alignment horizontal="center" vertical="center" wrapText="1"/>
    </xf>
    <xf numFmtId="0" fontId="1" fillId="18" borderId="22" xfId="0" applyFont="1" applyFill="1" applyBorder="1" applyAlignment="1">
      <alignment horizontal="center" vertical="center" wrapText="1"/>
    </xf>
    <xf numFmtId="0" fontId="0" fillId="10" borderId="22" xfId="0" applyFill="1" applyBorder="1" applyAlignment="1">
      <alignment horizontal="center" vertical="center" wrapText="1"/>
    </xf>
    <xf numFmtId="0" fontId="27" fillId="0" borderId="2"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3" xfId="0" applyFont="1" applyFill="1" applyBorder="1" applyAlignment="1">
      <alignment horizontal="center" vertical="center"/>
    </xf>
    <xf numFmtId="173" fontId="7" fillId="10" borderId="3" xfId="2" applyNumberFormat="1" applyFill="1" applyBorder="1" applyAlignment="1">
      <alignment horizontal="center" vertical="center" wrapText="1"/>
    </xf>
    <xf numFmtId="169" fontId="1" fillId="19" borderId="2" xfId="0" applyNumberFormat="1" applyFont="1" applyFill="1" applyBorder="1" applyAlignment="1">
      <alignment horizontal="center" vertical="center" wrapText="1"/>
    </xf>
    <xf numFmtId="169" fontId="1" fillId="19" borderId="4" xfId="0" applyNumberFormat="1" applyFont="1" applyFill="1" applyBorder="1" applyAlignment="1">
      <alignment horizontal="center" vertical="center" wrapText="1"/>
    </xf>
    <xf numFmtId="169" fontId="1" fillId="19" borderId="3" xfId="0" applyNumberFormat="1" applyFont="1" applyFill="1" applyBorder="1" applyAlignment="1">
      <alignment horizontal="center" vertical="center" wrapText="1"/>
    </xf>
    <xf numFmtId="49" fontId="1" fillId="21" borderId="2" xfId="0" applyNumberFormat="1" applyFont="1" applyFill="1" applyBorder="1" applyAlignment="1">
      <alignment horizontal="center" vertical="center" wrapText="1"/>
    </xf>
    <xf numFmtId="49" fontId="1" fillId="21" borderId="4" xfId="0" applyNumberFormat="1" applyFont="1" applyFill="1" applyBorder="1" applyAlignment="1">
      <alignment horizontal="center" vertical="center" wrapText="1"/>
    </xf>
    <xf numFmtId="49" fontId="1" fillId="21" borderId="3"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169" fontId="10" fillId="0" borderId="2" xfId="0" applyNumberFormat="1" applyFont="1" applyFill="1" applyBorder="1" applyAlignment="1">
      <alignment horizontal="center" vertical="center" wrapText="1"/>
    </xf>
    <xf numFmtId="169" fontId="10" fillId="0" borderId="3" xfId="0" applyNumberFormat="1" applyFont="1" applyFill="1" applyBorder="1" applyAlignment="1">
      <alignment horizontal="center" vertical="center" wrapText="1"/>
    </xf>
    <xf numFmtId="49" fontId="1" fillId="9" borderId="2" xfId="0" applyNumberFormat="1" applyFont="1" applyFill="1" applyBorder="1" applyAlignment="1">
      <alignment horizontal="center" vertical="center" wrapText="1"/>
    </xf>
    <xf numFmtId="49" fontId="1" fillId="9" borderId="4" xfId="0" applyNumberFormat="1" applyFont="1" applyFill="1" applyBorder="1" applyAlignment="1">
      <alignment horizontal="center" vertical="center" wrapText="1"/>
    </xf>
    <xf numFmtId="49" fontId="1" fillId="9" borderId="3" xfId="0" applyNumberFormat="1" applyFont="1" applyFill="1" applyBorder="1" applyAlignment="1">
      <alignment horizontal="center" vertical="center" wrapText="1"/>
    </xf>
    <xf numFmtId="0" fontId="59" fillId="0" borderId="2" xfId="0" applyFont="1" applyBorder="1" applyAlignment="1">
      <alignment horizontal="left" vertical="center" wrapText="1"/>
    </xf>
    <xf numFmtId="0" fontId="59" fillId="0" borderId="4" xfId="0" applyFont="1" applyBorder="1" applyAlignment="1">
      <alignment horizontal="left" vertical="center" wrapText="1"/>
    </xf>
    <xf numFmtId="0" fontId="59" fillId="0" borderId="3" xfId="0" applyFont="1" applyBorder="1" applyAlignment="1">
      <alignment horizontal="left" vertical="center" wrapText="1"/>
    </xf>
    <xf numFmtId="49" fontId="1" fillId="19" borderId="2" xfId="0" applyNumberFormat="1" applyFont="1" applyFill="1" applyBorder="1" applyAlignment="1">
      <alignment horizontal="center" vertical="center" wrapText="1"/>
    </xf>
    <xf numFmtId="49" fontId="1" fillId="19" borderId="4" xfId="0" applyNumberFormat="1" applyFont="1" applyFill="1" applyBorder="1" applyAlignment="1">
      <alignment horizontal="center" vertical="center" wrapText="1"/>
    </xf>
    <xf numFmtId="49" fontId="1" fillId="19" borderId="3" xfId="0" applyNumberFormat="1" applyFont="1" applyFill="1" applyBorder="1" applyAlignment="1">
      <alignment horizontal="center" vertical="center" wrapText="1"/>
    </xf>
    <xf numFmtId="172" fontId="1" fillId="19" borderId="2" xfId="0" applyNumberFormat="1" applyFont="1" applyFill="1" applyBorder="1" applyAlignment="1">
      <alignment horizontal="center" vertical="center" wrapText="1"/>
    </xf>
    <xf numFmtId="172" fontId="1" fillId="19" borderId="4" xfId="0" applyNumberFormat="1" applyFont="1" applyFill="1" applyBorder="1" applyAlignment="1">
      <alignment horizontal="center" vertical="center" wrapText="1"/>
    </xf>
    <xf numFmtId="172" fontId="1" fillId="19" borderId="3" xfId="0" applyNumberFormat="1" applyFont="1" applyFill="1" applyBorder="1" applyAlignment="1">
      <alignment horizontal="center" vertical="center" wrapText="1"/>
    </xf>
    <xf numFmtId="176" fontId="1" fillId="19" borderId="2" xfId="0" applyNumberFormat="1" applyFont="1" applyFill="1" applyBorder="1" applyAlignment="1">
      <alignment horizontal="center" vertical="center" wrapText="1"/>
    </xf>
    <xf numFmtId="176" fontId="1" fillId="19" borderId="4" xfId="0" applyNumberFormat="1" applyFont="1" applyFill="1" applyBorder="1" applyAlignment="1">
      <alignment horizontal="center" vertical="center" wrapText="1"/>
    </xf>
    <xf numFmtId="176" fontId="1" fillId="19" borderId="3" xfId="0" applyNumberFormat="1" applyFont="1" applyFill="1" applyBorder="1" applyAlignment="1">
      <alignment horizontal="center" vertical="center" wrapText="1"/>
    </xf>
    <xf numFmtId="49" fontId="4" fillId="10" borderId="3" xfId="0" applyNumberFormat="1" applyFont="1" applyFill="1" applyBorder="1" applyAlignment="1">
      <alignment horizontal="center" vertical="center" wrapText="1"/>
    </xf>
    <xf numFmtId="173" fontId="1" fillId="19" borderId="2" xfId="0" applyNumberFormat="1" applyFont="1" applyFill="1" applyBorder="1" applyAlignment="1">
      <alignment horizontal="center" vertical="center" wrapText="1"/>
    </xf>
    <xf numFmtId="173" fontId="1" fillId="19" borderId="3" xfId="0" applyNumberFormat="1" applyFont="1" applyFill="1" applyBorder="1" applyAlignment="1">
      <alignment horizontal="center" vertical="center" wrapText="1"/>
    </xf>
    <xf numFmtId="173" fontId="7" fillId="19" borderId="2" xfId="2" applyNumberFormat="1" applyFill="1" applyBorder="1" applyAlignment="1">
      <alignment horizontal="center" vertical="center" wrapText="1"/>
    </xf>
    <xf numFmtId="173" fontId="7" fillId="19" borderId="3" xfId="2" applyNumberFormat="1" applyFill="1" applyBorder="1" applyAlignment="1">
      <alignment horizontal="center" vertical="center" wrapText="1"/>
    </xf>
    <xf numFmtId="0" fontId="8" fillId="0" borderId="3" xfId="0" applyFont="1" applyFill="1" applyBorder="1" applyAlignment="1">
      <alignment horizontal="center" vertical="center" wrapText="1"/>
    </xf>
    <xf numFmtId="169" fontId="4" fillId="0" borderId="4" xfId="2" applyNumberFormat="1" applyFont="1" applyFill="1" applyBorder="1" applyAlignment="1">
      <alignment horizontal="center" vertical="center" wrapText="1"/>
    </xf>
    <xf numFmtId="0" fontId="29" fillId="4" borderId="13" xfId="0" applyFont="1" applyFill="1" applyBorder="1" applyAlignment="1">
      <alignment horizontal="center" wrapText="1"/>
    </xf>
    <xf numFmtId="0" fontId="29" fillId="4" borderId="18" xfId="0" applyFont="1" applyFill="1" applyBorder="1" applyAlignment="1">
      <alignment horizontal="center" wrapText="1"/>
    </xf>
    <xf numFmtId="0" fontId="29" fillId="4" borderId="14" xfId="0" applyFont="1" applyFill="1" applyBorder="1" applyAlignment="1">
      <alignment horizontal="center" wrapText="1"/>
    </xf>
    <xf numFmtId="169" fontId="1" fillId="10" borderId="3" xfId="3" applyNumberFormat="1"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wrapText="1"/>
    </xf>
    <xf numFmtId="0" fontId="0" fillId="0" borderId="1" xfId="0" applyNumberFormat="1" applyFill="1" applyBorder="1" applyAlignment="1">
      <alignment horizontal="center" vertical="center" wrapText="1"/>
    </xf>
    <xf numFmtId="169" fontId="4" fillId="6" borderId="2" xfId="0" applyNumberFormat="1" applyFont="1" applyFill="1" applyBorder="1" applyAlignment="1">
      <alignment horizontal="center" vertical="center" wrapText="1"/>
    </xf>
    <xf numFmtId="169" fontId="4" fillId="6" borderId="4" xfId="0" applyNumberFormat="1" applyFont="1" applyFill="1" applyBorder="1" applyAlignment="1">
      <alignment horizontal="center" vertical="center" wrapText="1"/>
    </xf>
    <xf numFmtId="169" fontId="4" fillId="6" borderId="3" xfId="0" applyNumberFormat="1" applyFont="1" applyFill="1" applyBorder="1" applyAlignment="1">
      <alignment horizontal="center" vertical="center" wrapText="1"/>
    </xf>
    <xf numFmtId="169" fontId="1" fillId="6" borderId="2" xfId="6" applyNumberFormat="1" applyFont="1" applyFill="1" applyBorder="1" applyAlignment="1">
      <alignment horizontal="center" vertical="center" wrapText="1"/>
    </xf>
    <xf numFmtId="169" fontId="1" fillId="6" borderId="4" xfId="6" applyNumberFormat="1" applyFont="1" applyFill="1" applyBorder="1" applyAlignment="1">
      <alignment horizontal="center" vertical="center" wrapText="1"/>
    </xf>
    <xf numFmtId="169" fontId="1" fillId="6" borderId="3" xfId="6" applyNumberFormat="1" applyFont="1" applyFill="1" applyBorder="1" applyAlignment="1">
      <alignment horizontal="center" vertical="center" wrapText="1"/>
    </xf>
    <xf numFmtId="169" fontId="1" fillId="6" borderId="2" xfId="0" applyNumberFormat="1" applyFont="1" applyFill="1" applyBorder="1" applyAlignment="1">
      <alignment horizontal="center" vertical="center" wrapText="1"/>
    </xf>
    <xf numFmtId="169" fontId="1" fillId="6" borderId="4" xfId="0" applyNumberFormat="1" applyFont="1" applyFill="1" applyBorder="1" applyAlignment="1">
      <alignment horizontal="center" vertical="center" wrapText="1"/>
    </xf>
    <xf numFmtId="169" fontId="1" fillId="6" borderId="3" xfId="0" applyNumberFormat="1" applyFont="1" applyFill="1" applyBorder="1" applyAlignment="1">
      <alignment horizontal="center" vertical="center" wrapText="1"/>
    </xf>
    <xf numFmtId="173" fontId="7" fillId="6" borderId="2" xfId="2" applyNumberFormat="1" applyFill="1" applyBorder="1" applyAlignment="1">
      <alignment horizontal="center" vertical="center" wrapText="1"/>
    </xf>
    <xf numFmtId="173" fontId="7" fillId="6" borderId="4" xfId="2" applyNumberFormat="1" applyFill="1" applyBorder="1" applyAlignment="1">
      <alignment horizontal="center" vertical="center" wrapText="1"/>
    </xf>
    <xf numFmtId="173" fontId="1" fillId="6" borderId="2" xfId="0" applyNumberFormat="1" applyFont="1" applyFill="1" applyBorder="1" applyAlignment="1">
      <alignment horizontal="center" vertical="center" wrapText="1"/>
    </xf>
    <xf numFmtId="173" fontId="1" fillId="6" borderId="4" xfId="0" applyNumberFormat="1" applyFont="1" applyFill="1" applyBorder="1" applyAlignment="1">
      <alignment horizontal="center" vertical="center" wrapText="1"/>
    </xf>
    <xf numFmtId="173" fontId="1" fillId="6" borderId="3" xfId="0" applyNumberFormat="1" applyFont="1" applyFill="1" applyBorder="1" applyAlignment="1">
      <alignment horizontal="center" vertical="center" wrapText="1"/>
    </xf>
    <xf numFmtId="172" fontId="1" fillId="6" borderId="2" xfId="0" applyNumberFormat="1" applyFont="1" applyFill="1" applyBorder="1" applyAlignment="1">
      <alignment horizontal="center" vertical="center" wrapText="1"/>
    </xf>
    <xf numFmtId="172" fontId="1" fillId="6" borderId="4" xfId="0" applyNumberFormat="1" applyFont="1" applyFill="1" applyBorder="1" applyAlignment="1">
      <alignment horizontal="center" vertical="center" wrapText="1"/>
    </xf>
    <xf numFmtId="172" fontId="1" fillId="6" borderId="3" xfId="0" applyNumberFormat="1" applyFont="1" applyFill="1" applyBorder="1" applyAlignment="1">
      <alignment horizontal="center" vertical="center" wrapText="1"/>
    </xf>
    <xf numFmtId="49" fontId="1" fillId="6" borderId="2" xfId="0" applyNumberFormat="1" applyFont="1" applyFill="1" applyBorder="1" applyAlignment="1">
      <alignment horizontal="center" vertical="center" wrapText="1"/>
    </xf>
    <xf numFmtId="49" fontId="1" fillId="6" borderId="3" xfId="0" applyNumberFormat="1" applyFont="1" applyFill="1" applyBorder="1" applyAlignment="1">
      <alignment horizontal="center" vertical="center" wrapText="1"/>
    </xf>
    <xf numFmtId="173" fontId="7" fillId="6" borderId="3" xfId="2" applyNumberFormat="1" applyFill="1" applyBorder="1" applyAlignment="1">
      <alignment horizontal="center" vertical="center" wrapText="1"/>
    </xf>
    <xf numFmtId="166" fontId="1" fillId="6" borderId="2" xfId="0" applyNumberFormat="1" applyFont="1" applyFill="1" applyBorder="1" applyAlignment="1">
      <alignment horizontal="center" vertical="center" wrapText="1"/>
    </xf>
    <xf numFmtId="166" fontId="1" fillId="6" borderId="3" xfId="0" applyNumberFormat="1"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169" fontId="1" fillId="6" borderId="2" xfId="3" applyNumberFormat="1" applyFont="1" applyFill="1" applyBorder="1" applyAlignment="1">
      <alignment horizontal="center" vertical="center" wrapText="1"/>
    </xf>
    <xf numFmtId="169" fontId="1" fillId="6" borderId="3" xfId="3" applyNumberFormat="1" applyFont="1" applyFill="1" applyBorder="1" applyAlignment="1">
      <alignment horizontal="center" vertical="center" wrapText="1"/>
    </xf>
    <xf numFmtId="166"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23" fillId="6" borderId="1" xfId="2" applyFont="1" applyFill="1" applyBorder="1" applyAlignment="1">
      <alignment horizontal="center" vertical="center"/>
    </xf>
    <xf numFmtId="0" fontId="0" fillId="0" borderId="1" xfId="0"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22" xfId="0" applyFont="1" applyFill="1" applyBorder="1" applyAlignment="1">
      <alignment horizontal="center" vertical="center" wrapText="1"/>
    </xf>
    <xf numFmtId="166" fontId="1" fillId="6" borderId="4" xfId="0" applyNumberFormat="1" applyFont="1" applyFill="1" applyBorder="1" applyAlignment="1">
      <alignment horizontal="center" vertical="center" wrapText="1"/>
    </xf>
    <xf numFmtId="169" fontId="1" fillId="6" borderId="4" xfId="3" applyNumberFormat="1" applyFont="1" applyFill="1" applyBorder="1" applyAlignment="1">
      <alignment horizontal="center" vertical="center" wrapText="1"/>
    </xf>
    <xf numFmtId="49" fontId="1" fillId="6" borderId="4" xfId="0" applyNumberFormat="1" applyFont="1" applyFill="1" applyBorder="1" applyAlignment="1">
      <alignment horizontal="center" vertical="center" wrapText="1"/>
    </xf>
    <xf numFmtId="173" fontId="22" fillId="6" borderId="2" xfId="2" applyNumberFormat="1" applyFont="1" applyFill="1" applyBorder="1" applyAlignment="1">
      <alignment horizontal="center" vertical="center" wrapText="1"/>
    </xf>
    <xf numFmtId="173" fontId="22" fillId="6" borderId="4" xfId="2" applyNumberFormat="1" applyFont="1" applyFill="1" applyBorder="1" applyAlignment="1">
      <alignment horizontal="center" vertical="center" wrapText="1"/>
    </xf>
    <xf numFmtId="173" fontId="22" fillId="6" borderId="3" xfId="2"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8" fontId="1" fillId="6" borderId="1" xfId="0" applyNumberFormat="1" applyFont="1" applyFill="1" applyBorder="1" applyAlignment="1">
      <alignment horizontal="center" vertical="center" wrapText="1"/>
    </xf>
    <xf numFmtId="173" fontId="22" fillId="6" borderId="1" xfId="2" applyNumberFormat="1" applyFont="1" applyFill="1" applyBorder="1" applyAlignment="1">
      <alignment horizontal="center" vertical="center" wrapText="1"/>
    </xf>
    <xf numFmtId="173" fontId="1" fillId="6" borderId="2" xfId="0" applyNumberFormat="1" applyFont="1" applyFill="1" applyBorder="1" applyAlignment="1">
      <alignment horizontal="left" vertical="center" wrapText="1"/>
    </xf>
    <xf numFmtId="173" fontId="1" fillId="6" borderId="4" xfId="0" applyNumberFormat="1" applyFont="1" applyFill="1" applyBorder="1" applyAlignment="1">
      <alignment horizontal="left" vertical="center" wrapText="1"/>
    </xf>
    <xf numFmtId="173" fontId="1" fillId="6" borderId="3" xfId="0" applyNumberFormat="1" applyFont="1" applyFill="1" applyBorder="1" applyAlignment="1">
      <alignment horizontal="left" vertical="center" wrapText="1"/>
    </xf>
    <xf numFmtId="168" fontId="1" fillId="0" borderId="2" xfId="0" applyNumberFormat="1" applyFont="1" applyFill="1" applyBorder="1" applyAlignment="1">
      <alignment horizontal="center" vertical="center" wrapText="1"/>
    </xf>
    <xf numFmtId="168" fontId="1" fillId="0" borderId="4" xfId="0" applyNumberFormat="1" applyFont="1" applyFill="1" applyBorder="1" applyAlignment="1">
      <alignment horizontal="center" vertical="center" wrapText="1"/>
    </xf>
    <xf numFmtId="168" fontId="1" fillId="0" borderId="3" xfId="0" applyNumberFormat="1" applyFont="1" applyFill="1" applyBorder="1" applyAlignment="1">
      <alignment horizontal="center" vertical="center" wrapText="1"/>
    </xf>
    <xf numFmtId="169" fontId="8" fillId="6" borderId="1" xfId="0" applyNumberFormat="1" applyFont="1" applyFill="1" applyBorder="1" applyAlignment="1">
      <alignment horizontal="center" vertical="center" wrapText="1"/>
    </xf>
    <xf numFmtId="169" fontId="4" fillId="6" borderId="1" xfId="2" applyNumberFormat="1" applyFont="1" applyFill="1" applyBorder="1" applyAlignment="1">
      <alignment horizontal="center" vertical="center" wrapText="1"/>
    </xf>
    <xf numFmtId="173" fontId="22" fillId="6" borderId="1" xfId="0" applyNumberFormat="1" applyFont="1" applyFill="1" applyBorder="1" applyAlignment="1">
      <alignment horizontal="center" vertical="center" wrapText="1"/>
    </xf>
    <xf numFmtId="169" fontId="4" fillId="6" borderId="2" xfId="2" applyNumberFormat="1" applyFont="1" applyFill="1" applyBorder="1" applyAlignment="1">
      <alignment horizontal="center" vertical="center" wrapText="1"/>
    </xf>
    <xf numFmtId="169" fontId="4" fillId="6" borderId="3" xfId="2" applyNumberFormat="1" applyFont="1" applyFill="1" applyBorder="1" applyAlignment="1">
      <alignment horizontal="center" vertical="center" wrapText="1"/>
    </xf>
    <xf numFmtId="0" fontId="54" fillId="0" borderId="23" xfId="0" applyFont="1" applyBorder="1" applyAlignment="1">
      <alignment horizontal="right" vertical="center" wrapText="1" indent="1"/>
    </xf>
    <xf numFmtId="173" fontId="21" fillId="0" borderId="1"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49" fillId="0" borderId="1" xfId="2" applyFont="1" applyFill="1" applyBorder="1" applyAlignment="1">
      <alignment horizontal="center" vertical="center"/>
    </xf>
    <xf numFmtId="0" fontId="1" fillId="0" borderId="22" xfId="0" applyFont="1" applyFill="1" applyBorder="1" applyAlignment="1">
      <alignment horizontal="center" vertical="center" wrapText="1"/>
    </xf>
    <xf numFmtId="173" fontId="21" fillId="0" borderId="2" xfId="2" applyNumberFormat="1" applyFont="1" applyFill="1" applyBorder="1" applyAlignment="1">
      <alignment horizontal="center" vertical="center" wrapText="1"/>
    </xf>
    <xf numFmtId="173" fontId="21" fillId="0" borderId="4" xfId="2" applyNumberFormat="1" applyFont="1" applyFill="1" applyBorder="1" applyAlignment="1">
      <alignment horizontal="center" vertical="center" wrapText="1"/>
    </xf>
    <xf numFmtId="14" fontId="1" fillId="10" borderId="1" xfId="0" applyNumberFormat="1" applyFont="1" applyFill="1" applyBorder="1" applyAlignment="1">
      <alignment horizontal="center" vertical="center" wrapText="1"/>
    </xf>
    <xf numFmtId="0" fontId="0" fillId="0" borderId="22" xfId="0" applyFill="1" applyBorder="1" applyAlignment="1">
      <alignment horizontal="center" vertical="center" wrapText="1"/>
    </xf>
    <xf numFmtId="14" fontId="0" fillId="10" borderId="2" xfId="0" applyNumberFormat="1" applyFill="1" applyBorder="1" applyAlignment="1">
      <alignment horizontal="center" vertical="center" wrapText="1"/>
    </xf>
    <xf numFmtId="14" fontId="0" fillId="10" borderId="3" xfId="0" applyNumberFormat="1" applyFill="1" applyBorder="1" applyAlignment="1">
      <alignment horizontal="center" vertical="center" wrapText="1"/>
    </xf>
    <xf numFmtId="176" fontId="1" fillId="10" borderId="3" xfId="0" applyNumberFormat="1" applyFont="1" applyFill="1" applyBorder="1" applyAlignment="1">
      <alignment horizontal="center" vertical="center" wrapText="1"/>
    </xf>
    <xf numFmtId="0" fontId="46" fillId="0" borderId="23" xfId="0" applyFont="1" applyBorder="1" applyAlignment="1">
      <alignment horizontal="right" vertical="center" wrapText="1" indent="1"/>
    </xf>
    <xf numFmtId="0" fontId="29" fillId="0" borderId="0" xfId="0" applyFont="1" applyAlignment="1">
      <alignment horizontal="right" vertical="center" wrapText="1"/>
    </xf>
    <xf numFmtId="0" fontId="30" fillId="11" borderId="2" xfId="9" applyFont="1" applyFill="1" applyBorder="1" applyAlignment="1" applyProtection="1">
      <alignment horizontal="center" vertical="center" wrapText="1"/>
    </xf>
    <xf numFmtId="0" fontId="30" fillId="11" borderId="4" xfId="9" applyFont="1" applyFill="1" applyBorder="1" applyAlignment="1" applyProtection="1">
      <alignment horizontal="center" vertical="center" wrapText="1"/>
    </xf>
    <xf numFmtId="0" fontId="30" fillId="11" borderId="3" xfId="9" applyFont="1" applyFill="1" applyBorder="1" applyAlignment="1" applyProtection="1">
      <alignment horizontal="center" vertical="center" wrapText="1"/>
    </xf>
    <xf numFmtId="0" fontId="30" fillId="11" borderId="6" xfId="9" applyFont="1" applyFill="1" applyBorder="1" applyAlignment="1" applyProtection="1">
      <alignment horizontal="center" vertical="center"/>
    </xf>
    <xf numFmtId="0" fontId="30" fillId="11" borderId="12" xfId="9" applyFont="1" applyFill="1" applyBorder="1" applyAlignment="1" applyProtection="1">
      <alignment horizontal="center" vertical="center"/>
    </xf>
    <xf numFmtId="0" fontId="30" fillId="11" borderId="16" xfId="9" applyFont="1" applyFill="1" applyBorder="1" applyAlignment="1" applyProtection="1">
      <alignment horizontal="center" vertical="center"/>
    </xf>
    <xf numFmtId="0" fontId="30" fillId="11" borderId="7" xfId="9" applyFont="1" applyFill="1" applyBorder="1" applyAlignment="1" applyProtection="1">
      <alignment horizontal="center" vertical="center" wrapText="1"/>
    </xf>
    <xf numFmtId="0" fontId="30" fillId="11" borderId="1" xfId="9" applyFont="1" applyFill="1" applyBorder="1" applyAlignment="1" applyProtection="1">
      <alignment horizontal="center" vertical="center" wrapText="1"/>
    </xf>
    <xf numFmtId="0" fontId="30" fillId="11" borderId="8" xfId="9" applyFont="1" applyFill="1" applyBorder="1" applyAlignment="1" applyProtection="1">
      <alignment horizontal="center" vertical="center" wrapText="1"/>
    </xf>
    <xf numFmtId="0" fontId="30" fillId="11" borderId="9" xfId="9" applyFont="1" applyFill="1" applyBorder="1" applyAlignment="1" applyProtection="1">
      <alignment horizontal="center" vertical="center" wrapText="1"/>
    </xf>
    <xf numFmtId="0" fontId="30" fillId="11" borderId="10" xfId="9" applyFont="1" applyFill="1" applyBorder="1" applyAlignment="1" applyProtection="1">
      <alignment horizontal="center" vertical="center" wrapText="1"/>
    </xf>
    <xf numFmtId="0" fontId="30" fillId="11" borderId="13" xfId="9" applyFont="1" applyFill="1" applyBorder="1" applyAlignment="1" applyProtection="1">
      <alignment horizontal="center" vertical="center" wrapText="1"/>
    </xf>
    <xf numFmtId="0" fontId="30" fillId="11" borderId="14" xfId="9" applyFont="1" applyFill="1" applyBorder="1" applyAlignment="1" applyProtection="1">
      <alignment horizontal="center" vertical="center" wrapText="1"/>
    </xf>
    <xf numFmtId="0" fontId="30" fillId="11" borderId="11" xfId="9" applyFont="1" applyFill="1" applyBorder="1" applyAlignment="1" applyProtection="1">
      <alignment horizontal="center" vertical="center" wrapText="1"/>
    </xf>
    <xf numFmtId="0" fontId="30" fillId="11" borderId="15" xfId="9" applyFont="1" applyFill="1" applyBorder="1" applyAlignment="1" applyProtection="1">
      <alignment horizontal="center" vertical="center" wrapText="1"/>
    </xf>
    <xf numFmtId="0" fontId="30" fillId="11" borderId="17" xfId="9" applyFont="1" applyFill="1" applyBorder="1" applyAlignment="1" applyProtection="1">
      <alignment horizontal="center" vertical="center" wrapText="1"/>
    </xf>
    <xf numFmtId="0" fontId="32" fillId="0" borderId="0" xfId="0" applyFont="1" applyAlignment="1">
      <alignment horizontal="center"/>
    </xf>
    <xf numFmtId="0" fontId="29" fillId="0" borderId="18" xfId="0" applyFont="1" applyBorder="1" applyAlignment="1">
      <alignment horizontal="right" vertical="center"/>
    </xf>
    <xf numFmtId="0" fontId="32" fillId="0" borderId="0" xfId="0" applyFont="1" applyAlignment="1">
      <alignment horizontal="center" vertical="center"/>
    </xf>
    <xf numFmtId="0" fontId="32" fillId="14" borderId="0" xfId="0" applyFont="1" applyFill="1" applyAlignment="1">
      <alignment horizontal="center" vertical="center"/>
    </xf>
    <xf numFmtId="0" fontId="40" fillId="14" borderId="5" xfId="9" applyFont="1" applyFill="1" applyBorder="1" applyAlignment="1" applyProtection="1">
      <alignment horizontal="justify" vertical="center" wrapText="1"/>
    </xf>
    <xf numFmtId="0" fontId="40" fillId="14" borderId="19" xfId="9" applyFont="1" applyFill="1" applyBorder="1" applyAlignment="1" applyProtection="1">
      <alignment horizontal="justify" vertical="center" wrapText="1"/>
    </xf>
  </cellXfs>
  <cellStyles count="19">
    <cellStyle name="Hipervínculo" xfId="2" builtinId="8"/>
    <cellStyle name="Millares" xfId="18" builtinId="3"/>
    <cellStyle name="Millares [0]" xfId="16" builtinId="6"/>
    <cellStyle name="Millares 2" xfId="10"/>
    <cellStyle name="Moneda" xfId="3" builtinId="4"/>
    <cellStyle name="Moneda [0]" xfId="1" builtinId="7"/>
    <cellStyle name="Moneda [0] 2" xfId="5"/>
    <cellStyle name="Moneda [0] 3" xfId="7"/>
    <cellStyle name="Moneda [0] 4" xfId="12"/>
    <cellStyle name="Moneda 2" xfId="8"/>
    <cellStyle name="Moneda 2 2" xfId="17"/>
    <cellStyle name="Moneda 3" xfId="6"/>
    <cellStyle name="Moneda 4" xfId="11"/>
    <cellStyle name="Normal" xfId="0" builtinId="0"/>
    <cellStyle name="Normal 2" xfId="13"/>
    <cellStyle name="Normal 3" xfId="14"/>
    <cellStyle name="Normal 4" xfId="9"/>
    <cellStyle name="Porcentaje" xfId="4" builtinId="5"/>
    <cellStyle name="Porcentaje 2" xfId="15"/>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1"/>
      <tableStyleElement type="headerRow" dxfId="0"/>
    </tableStyle>
  </tableStyles>
  <colors>
    <mruColors>
      <color rgb="FFFFFF66"/>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22-5CC6-11CF-8D67-00AA00BDCE1D}" ax:persistence="persistStream" r:id="rId1"/>
</file>

<file path=xl/activeX/activeX10.xml><?xml version="1.0" encoding="utf-8"?>
<ax:ocx xmlns:ax="http://schemas.microsoft.com/office/2006/activeX" xmlns:r="http://schemas.openxmlformats.org/officeDocument/2006/relationships" ax:classid="{5512D122-5CC6-11CF-8D67-00AA00BDCE1D}" ax:persistence="persistStream" r:id="rId1"/>
</file>

<file path=xl/activeX/activeX11.xml><?xml version="1.0" encoding="utf-8"?>
<ax:ocx xmlns:ax="http://schemas.microsoft.com/office/2006/activeX" xmlns:r="http://schemas.openxmlformats.org/officeDocument/2006/relationships" ax:classid="{5512D122-5CC6-11CF-8D67-00AA00BDCE1D}" ax:persistence="persistStream" r:id="rId1"/>
</file>

<file path=xl/activeX/activeX12.xml><?xml version="1.0" encoding="utf-8"?>
<ax:ocx xmlns:ax="http://schemas.microsoft.com/office/2006/activeX" xmlns:r="http://schemas.openxmlformats.org/officeDocument/2006/relationships" ax:classid="{5512D122-5CC6-11CF-8D67-00AA00BDCE1D}" ax:persistence="persistStream" r:id="rId1"/>
</file>

<file path=xl/activeX/activeX13.xml><?xml version="1.0" encoding="utf-8"?>
<ax:ocx xmlns:ax="http://schemas.microsoft.com/office/2006/activeX" xmlns:r="http://schemas.openxmlformats.org/officeDocument/2006/relationships" ax:classid="{5512D122-5CC6-11CF-8D67-00AA00BDCE1D}" ax:persistence="persistStream" r:id="rId1"/>
</file>

<file path=xl/activeX/activeX14.xml><?xml version="1.0" encoding="utf-8"?>
<ax:ocx xmlns:ax="http://schemas.microsoft.com/office/2006/activeX" xmlns:r="http://schemas.openxmlformats.org/officeDocument/2006/relationships" ax:classid="{5512D122-5CC6-11CF-8D67-00AA00BDCE1D}" ax:persistence="persistStream" r:id="rId1"/>
</file>

<file path=xl/activeX/activeX15.xml><?xml version="1.0" encoding="utf-8"?>
<ax:ocx xmlns:ax="http://schemas.microsoft.com/office/2006/activeX" xmlns:r="http://schemas.openxmlformats.org/officeDocument/2006/relationships" ax:classid="{5512D122-5CC6-11CF-8D67-00AA00BDCE1D}" ax:persistence="persistStream" r:id="rId1"/>
</file>

<file path=xl/activeX/activeX16.xml><?xml version="1.0" encoding="utf-8"?>
<ax:ocx xmlns:ax="http://schemas.microsoft.com/office/2006/activeX" xmlns:r="http://schemas.openxmlformats.org/officeDocument/2006/relationships" ax:classid="{5512D122-5CC6-11CF-8D67-00AA00BDCE1D}" ax:persistence="persistStream" r:id="rId1"/>
</file>

<file path=xl/activeX/activeX17.xml><?xml version="1.0" encoding="utf-8"?>
<ax:ocx xmlns:ax="http://schemas.microsoft.com/office/2006/activeX" xmlns:r="http://schemas.openxmlformats.org/officeDocument/2006/relationships" ax:classid="{5512D122-5CC6-11CF-8D67-00AA00BDCE1D}" ax:persistence="persistStream" r:id="rId1"/>
</file>

<file path=xl/activeX/activeX18.xml><?xml version="1.0" encoding="utf-8"?>
<ax:ocx xmlns:ax="http://schemas.microsoft.com/office/2006/activeX" xmlns:r="http://schemas.openxmlformats.org/officeDocument/2006/relationships" ax:classid="{5512D122-5CC6-11CF-8D67-00AA00BDCE1D}" ax:persistence="persistStream" r:id="rId1"/>
</file>

<file path=xl/activeX/activeX19.xml><?xml version="1.0" encoding="utf-8"?>
<ax:ocx xmlns:ax="http://schemas.microsoft.com/office/2006/activeX" xmlns:r="http://schemas.openxmlformats.org/officeDocument/2006/relationships" ax:classid="{5512D122-5CC6-11CF-8D67-00AA00BDCE1D}" ax:persistence="persistStream" r:id="rId1"/>
</file>

<file path=xl/activeX/activeX2.xml><?xml version="1.0" encoding="utf-8"?>
<ax:ocx xmlns:ax="http://schemas.microsoft.com/office/2006/activeX" xmlns:r="http://schemas.openxmlformats.org/officeDocument/2006/relationships" ax:classid="{5512D122-5CC6-11CF-8D67-00AA00BDCE1D}" ax:persistence="persistStream" r:id="rId1"/>
</file>

<file path=xl/activeX/activeX20.xml><?xml version="1.0" encoding="utf-8"?>
<ax:ocx xmlns:ax="http://schemas.microsoft.com/office/2006/activeX" xmlns:r="http://schemas.openxmlformats.org/officeDocument/2006/relationships" ax:classid="{5512D122-5CC6-11CF-8D67-00AA00BDCE1D}" ax:persistence="persistStream" r:id="rId1"/>
</file>

<file path=xl/activeX/activeX21.xml><?xml version="1.0" encoding="utf-8"?>
<ax:ocx xmlns:ax="http://schemas.microsoft.com/office/2006/activeX" xmlns:r="http://schemas.openxmlformats.org/officeDocument/2006/relationships" ax:classid="{5512D122-5CC6-11CF-8D67-00AA00BDCE1D}" ax:persistence="persistStream" r:id="rId1"/>
</file>

<file path=xl/activeX/activeX22.xml><?xml version="1.0" encoding="utf-8"?>
<ax:ocx xmlns:ax="http://schemas.microsoft.com/office/2006/activeX" xmlns:r="http://schemas.openxmlformats.org/officeDocument/2006/relationships" ax:classid="{5512D122-5CC6-11CF-8D67-00AA00BDCE1D}" ax:persistence="persistStream" r:id="rId1"/>
</file>

<file path=xl/activeX/activeX23.xml><?xml version="1.0" encoding="utf-8"?>
<ax:ocx xmlns:ax="http://schemas.microsoft.com/office/2006/activeX" xmlns:r="http://schemas.openxmlformats.org/officeDocument/2006/relationships" ax:classid="{5512D122-5CC6-11CF-8D67-00AA00BDCE1D}" ax:persistence="persistStream" r:id="rId1"/>
</file>

<file path=xl/activeX/activeX24.xml><?xml version="1.0" encoding="utf-8"?>
<ax:ocx xmlns:ax="http://schemas.microsoft.com/office/2006/activeX" xmlns:r="http://schemas.openxmlformats.org/officeDocument/2006/relationships" ax:classid="{5512D122-5CC6-11CF-8D67-00AA00BDCE1D}" ax:persistence="persistStream" r:id="rId1"/>
</file>

<file path=xl/activeX/activeX3.xml><?xml version="1.0" encoding="utf-8"?>
<ax:ocx xmlns:ax="http://schemas.microsoft.com/office/2006/activeX" xmlns:r="http://schemas.openxmlformats.org/officeDocument/2006/relationships" ax:classid="{5512D122-5CC6-11CF-8D67-00AA00BDCE1D}" ax:persistence="persistStream" r:id="rId1"/>
</file>

<file path=xl/activeX/activeX4.xml><?xml version="1.0" encoding="utf-8"?>
<ax:ocx xmlns:ax="http://schemas.microsoft.com/office/2006/activeX" xmlns:r="http://schemas.openxmlformats.org/officeDocument/2006/relationships" ax:classid="{5512D122-5CC6-11CF-8D67-00AA00BDCE1D}" ax:persistence="persistStream" r:id="rId1"/>
</file>

<file path=xl/activeX/activeX5.xml><?xml version="1.0" encoding="utf-8"?>
<ax:ocx xmlns:ax="http://schemas.microsoft.com/office/2006/activeX" xmlns:r="http://schemas.openxmlformats.org/officeDocument/2006/relationships" ax:classid="{5512D122-5CC6-11CF-8D67-00AA00BDCE1D}" ax:persistence="persistStream" r:id="rId1"/>
</file>

<file path=xl/activeX/activeX6.xml><?xml version="1.0" encoding="utf-8"?>
<ax:ocx xmlns:ax="http://schemas.microsoft.com/office/2006/activeX" xmlns:r="http://schemas.openxmlformats.org/officeDocument/2006/relationships" ax:classid="{5512D122-5CC6-11CF-8D67-00AA00BDCE1D}" ax:persistence="persistStream" r:id="rId1"/>
</file>

<file path=xl/activeX/activeX7.xml><?xml version="1.0" encoding="utf-8"?>
<ax:ocx xmlns:ax="http://schemas.microsoft.com/office/2006/activeX" xmlns:r="http://schemas.openxmlformats.org/officeDocument/2006/relationships" ax:classid="{5512D122-5CC6-11CF-8D67-00AA00BDCE1D}" ax:persistence="persistStream" r:id="rId1"/>
</file>

<file path=xl/activeX/activeX8.xml><?xml version="1.0" encoding="utf-8"?>
<ax:ocx xmlns:ax="http://schemas.microsoft.com/office/2006/activeX" xmlns:r="http://schemas.openxmlformats.org/officeDocument/2006/relationships" ax:classid="{5512D122-5CC6-11CF-8D67-00AA00BDCE1D}" ax:persistence="persistStream" r:id="rId1"/>
</file>

<file path=xl/activeX/activeX9.xml><?xml version="1.0" encoding="utf-8"?>
<ax:ocx xmlns:ax="http://schemas.microsoft.com/office/2006/activeX" xmlns:r="http://schemas.openxmlformats.org/officeDocument/2006/relationships" ax:classid="{5512D122-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31</xdr:col>
      <xdr:colOff>57150</xdr:colOff>
      <xdr:row>685</xdr:row>
      <xdr:rowOff>47625</xdr:rowOff>
    </xdr:from>
    <xdr:to>
      <xdr:col>32</xdr:col>
      <xdr:colOff>47625</xdr:colOff>
      <xdr:row>687</xdr:row>
      <xdr:rowOff>38100</xdr:rowOff>
    </xdr:to>
    <xdr:pic>
      <xdr:nvPicPr>
        <xdr:cNvPr id="12425" name="Picture 137"/>
        <xdr:cNvPicPr>
          <a:picLocks noChangeAspect="1" noChangeArrowheads="1"/>
        </xdr:cNvPicPr>
      </xdr:nvPicPr>
      <xdr:blipFill>
        <a:blip xmlns:r="http://schemas.openxmlformats.org/officeDocument/2006/relationships" r:embed="rId1" cstate="print"/>
        <a:srcRect/>
        <a:stretch>
          <a:fillRect/>
        </a:stretch>
      </xdr:blipFill>
      <xdr:spPr bwMode="auto">
        <a:xfrm>
          <a:off x="21469350" y="404726775"/>
          <a:ext cx="1438275" cy="37147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666750</xdr:colOff>
          <xdr:row>6</xdr:row>
          <xdr:rowOff>38100</xdr:rowOff>
        </xdr:to>
        <xdr:sp macro="" textlink="">
          <xdr:nvSpPr>
            <xdr:cNvPr id="67585" name="Control 1" hidden="1">
              <a:extLst>
                <a:ext uri="{63B3BB69-23CF-44E3-9099-C40C66FF867C}">
                  <a14:compatExt spid="_x0000_s67585"/>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666750</xdr:colOff>
          <xdr:row>5</xdr:row>
          <xdr:rowOff>38100</xdr:rowOff>
        </xdr:to>
        <xdr:sp macro="" textlink="">
          <xdr:nvSpPr>
            <xdr:cNvPr id="66561" name="Control 1" hidden="1">
              <a:extLst>
                <a:ext uri="{63B3BB69-23CF-44E3-9099-C40C66FF867C}">
                  <a14:compatExt spid="_x0000_s66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666750</xdr:colOff>
          <xdr:row>17</xdr:row>
          <xdr:rowOff>38100</xdr:rowOff>
        </xdr:to>
        <xdr:sp macro="" textlink="">
          <xdr:nvSpPr>
            <xdr:cNvPr id="66562" name="Control 2" hidden="1">
              <a:extLst>
                <a:ext uri="{63B3BB69-23CF-44E3-9099-C40C66FF867C}">
                  <a14:compatExt spid="_x0000_s66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0</xdr:col>
          <xdr:colOff>666750</xdr:colOff>
          <xdr:row>29</xdr:row>
          <xdr:rowOff>38100</xdr:rowOff>
        </xdr:to>
        <xdr:sp macro="" textlink="">
          <xdr:nvSpPr>
            <xdr:cNvPr id="66563" name="Control 3" hidden="1">
              <a:extLst>
                <a:ext uri="{63B3BB69-23CF-44E3-9099-C40C66FF867C}">
                  <a14:compatExt spid="_x0000_s6656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666750</xdr:colOff>
          <xdr:row>5</xdr:row>
          <xdr:rowOff>38100</xdr:rowOff>
        </xdr:to>
        <xdr:sp macro="" textlink="">
          <xdr:nvSpPr>
            <xdr:cNvPr id="58369" name="Control 1" hidden="1">
              <a:extLst>
                <a:ext uri="{63B3BB69-23CF-44E3-9099-C40C66FF867C}">
                  <a14:compatExt spid="_x0000_s58369"/>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666750</xdr:colOff>
          <xdr:row>8</xdr:row>
          <xdr:rowOff>228600</xdr:rowOff>
        </xdr:to>
        <xdr:sp macro="" textlink="">
          <xdr:nvSpPr>
            <xdr:cNvPr id="51201" name="Control 1" hidden="1">
              <a:extLst>
                <a:ext uri="{63B3BB69-23CF-44E3-9099-C40C66FF867C}">
                  <a14:compatExt spid="_x0000_s5120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666750</xdr:colOff>
          <xdr:row>10</xdr:row>
          <xdr:rowOff>38100</xdr:rowOff>
        </xdr:to>
        <xdr:sp macro="" textlink="">
          <xdr:nvSpPr>
            <xdr:cNvPr id="45057" name="Control 1" hidden="1">
              <a:extLst>
                <a:ext uri="{63B3BB69-23CF-44E3-9099-C40C66FF867C}">
                  <a14:compatExt spid="_x0000_s45057"/>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666750</xdr:colOff>
          <xdr:row>6</xdr:row>
          <xdr:rowOff>38100</xdr:rowOff>
        </xdr:to>
        <xdr:sp macro="" textlink="">
          <xdr:nvSpPr>
            <xdr:cNvPr id="44033" name="Control 1" hidden="1">
              <a:extLst>
                <a:ext uri="{63B3BB69-23CF-44E3-9099-C40C66FF867C}">
                  <a14:compatExt spid="_x0000_s44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0</xdr:col>
          <xdr:colOff>666750</xdr:colOff>
          <xdr:row>25</xdr:row>
          <xdr:rowOff>38100</xdr:rowOff>
        </xdr:to>
        <xdr:sp macro="" textlink="">
          <xdr:nvSpPr>
            <xdr:cNvPr id="44034" name="Control 2" hidden="1">
              <a:extLst>
                <a:ext uri="{63B3BB69-23CF-44E3-9099-C40C66FF867C}">
                  <a14:compatExt spid="_x0000_s44034"/>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704850</xdr:colOff>
          <xdr:row>8</xdr:row>
          <xdr:rowOff>38100</xdr:rowOff>
        </xdr:to>
        <xdr:sp macro="" textlink="">
          <xdr:nvSpPr>
            <xdr:cNvPr id="25601" name="Control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704850</xdr:colOff>
          <xdr:row>8</xdr:row>
          <xdr:rowOff>38100</xdr:rowOff>
        </xdr:to>
        <xdr:sp macro="" textlink="">
          <xdr:nvSpPr>
            <xdr:cNvPr id="24577" name="Control 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0</xdr:col>
          <xdr:colOff>704850</xdr:colOff>
          <xdr:row>19</xdr:row>
          <xdr:rowOff>38100</xdr:rowOff>
        </xdr:to>
        <xdr:sp macro="" textlink="">
          <xdr:nvSpPr>
            <xdr:cNvPr id="24578" name="Control 2" hidden="1">
              <a:extLst>
                <a:ext uri="{63B3BB69-23CF-44E3-9099-C40C66FF867C}">
                  <a14:compatExt spid="_x0000_s24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704850</xdr:colOff>
          <xdr:row>33</xdr:row>
          <xdr:rowOff>38100</xdr:rowOff>
        </xdr:to>
        <xdr:sp macro="" textlink="">
          <xdr:nvSpPr>
            <xdr:cNvPr id="24579" name="Control 3" hidden="1">
              <a:extLst>
                <a:ext uri="{63B3BB69-23CF-44E3-9099-C40C66FF867C}">
                  <a14:compatExt spid="_x0000_s24579"/>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8</xdr:col>
      <xdr:colOff>762000</xdr:colOff>
      <xdr:row>4</xdr:row>
      <xdr:rowOff>19049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3009900" cy="8858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38099</xdr:colOff>
      <xdr:row>0</xdr:row>
      <xdr:rowOff>0</xdr:rowOff>
    </xdr:from>
    <xdr:to>
      <xdr:col>0</xdr:col>
      <xdr:colOff>3629024</xdr:colOff>
      <xdr:row>1</xdr:row>
      <xdr:rowOff>380999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0"/>
          <a:ext cx="3590925" cy="885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666750</xdr:colOff>
          <xdr:row>9</xdr:row>
          <xdr:rowOff>38100</xdr:rowOff>
        </xdr:to>
        <xdr:sp macro="" textlink="">
          <xdr:nvSpPr>
            <xdr:cNvPr id="148481" name="Control 1" hidden="1">
              <a:extLst>
                <a:ext uri="{63B3BB69-23CF-44E3-9099-C40C66FF867C}">
                  <a14:compatExt spid="_x0000_s148481"/>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3</xdr:col>
      <xdr:colOff>19050</xdr:colOff>
      <xdr:row>4</xdr:row>
      <xdr:rowOff>19049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3009900" cy="885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666750</xdr:colOff>
          <xdr:row>6</xdr:row>
          <xdr:rowOff>38100</xdr:rowOff>
        </xdr:to>
        <xdr:sp macro="" textlink="">
          <xdr:nvSpPr>
            <xdr:cNvPr id="147457" name="Control 1" hidden="1">
              <a:extLst>
                <a:ext uri="{63B3BB69-23CF-44E3-9099-C40C66FF867C}">
                  <a14:compatExt spid="_x0000_s14745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666750</xdr:colOff>
          <xdr:row>6</xdr:row>
          <xdr:rowOff>38100</xdr:rowOff>
        </xdr:to>
        <xdr:sp macro="" textlink="">
          <xdr:nvSpPr>
            <xdr:cNvPr id="130049" name="Control 1" hidden="1">
              <a:extLst>
                <a:ext uri="{63B3BB69-23CF-44E3-9099-C40C66FF867C}">
                  <a14:compatExt spid="_x0000_s130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1</xdr:col>
          <xdr:colOff>19050</xdr:colOff>
          <xdr:row>27</xdr:row>
          <xdr:rowOff>38100</xdr:rowOff>
        </xdr:to>
        <xdr:sp macro="" textlink="">
          <xdr:nvSpPr>
            <xdr:cNvPr id="130050" name="Control 2" hidden="1">
              <a:extLst>
                <a:ext uri="{63B3BB69-23CF-44E3-9099-C40C66FF867C}">
                  <a14:compatExt spid="_x0000_s13005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666750</xdr:colOff>
          <xdr:row>6</xdr:row>
          <xdr:rowOff>38100</xdr:rowOff>
        </xdr:to>
        <xdr:sp macro="" textlink="">
          <xdr:nvSpPr>
            <xdr:cNvPr id="95233" name="Control 1" hidden="1">
              <a:extLst>
                <a:ext uri="{63B3BB69-23CF-44E3-9099-C40C66FF867C}">
                  <a14:compatExt spid="_x0000_s9523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666750</xdr:colOff>
          <xdr:row>6</xdr:row>
          <xdr:rowOff>38100</xdr:rowOff>
        </xdr:to>
        <xdr:sp macro="" textlink="">
          <xdr:nvSpPr>
            <xdr:cNvPr id="94209" name="Control 1" hidden="1">
              <a:extLst>
                <a:ext uri="{63B3BB69-23CF-44E3-9099-C40C66FF867C}">
                  <a14:compatExt spid="_x0000_s9420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666750</xdr:colOff>
          <xdr:row>5</xdr:row>
          <xdr:rowOff>38100</xdr:rowOff>
        </xdr:to>
        <xdr:sp macro="" textlink="">
          <xdr:nvSpPr>
            <xdr:cNvPr id="80897" name="Control 1" hidden="1">
              <a:extLst>
                <a:ext uri="{63B3BB69-23CF-44E3-9099-C40C66FF867C}">
                  <a14:compatExt spid="_x0000_s80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666750</xdr:colOff>
          <xdr:row>16</xdr:row>
          <xdr:rowOff>38100</xdr:rowOff>
        </xdr:to>
        <xdr:sp macro="" textlink="">
          <xdr:nvSpPr>
            <xdr:cNvPr id="80898" name="Control 2" hidden="1">
              <a:extLst>
                <a:ext uri="{63B3BB69-23CF-44E3-9099-C40C66FF867C}">
                  <a14:compatExt spid="_x0000_s80898"/>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666750</xdr:colOff>
          <xdr:row>6</xdr:row>
          <xdr:rowOff>38100</xdr:rowOff>
        </xdr:to>
        <xdr:sp macro="" textlink="">
          <xdr:nvSpPr>
            <xdr:cNvPr id="79873" name="Control 1" hidden="1">
              <a:extLst>
                <a:ext uri="{63B3BB69-23CF-44E3-9099-C40C66FF867C}">
                  <a14:compatExt spid="_x0000_s79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666750</xdr:colOff>
          <xdr:row>23</xdr:row>
          <xdr:rowOff>38100</xdr:rowOff>
        </xdr:to>
        <xdr:sp macro="" textlink="">
          <xdr:nvSpPr>
            <xdr:cNvPr id="79874" name="Control 2" hidden="1">
              <a:extLst>
                <a:ext uri="{63B3BB69-23CF-44E3-9099-C40C66FF867C}">
                  <a14:compatExt spid="_x0000_s79874"/>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666750</xdr:colOff>
          <xdr:row>5</xdr:row>
          <xdr:rowOff>38100</xdr:rowOff>
        </xdr:to>
        <xdr:sp macro="" textlink="">
          <xdr:nvSpPr>
            <xdr:cNvPr id="68609" name="Control 1" hidden="1">
              <a:extLst>
                <a:ext uri="{63B3BB69-23CF-44E3-9099-C40C66FF867C}">
                  <a14:compatExt spid="_x0000_s6860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AppData/Local/Temp/ORDENES%20DE%20PAGO%20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IA/Desktop/ORDEN%20PAGO%202018-%2031-MAY-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MCASERVICIOS/EMCASERVICIOS%20CDRS/matriz%20seguimiento%2022_ago_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MCASERVICIOS/CONTRATO%20CDRs/Formatos%20e%20informes%20para%20cobro%20de%20Emcaservicios/6-%20Diciembre%202017/Modelo%20de%20matriz%20de%20seguimiento%20-%20Diciembr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MCASERVICIOS/CONTRATO%20CDRs/Modelo%20de%20matriz%20de%20segu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DE PAGO TRAMITADAS "/>
      <sheetName val="2 BIMESTRE 2017"/>
      <sheetName val="3 TRIMESTRE"/>
      <sheetName val="4 BIMESTRE"/>
      <sheetName val="5 BIMESTRE PARCIAL"/>
      <sheetName val="Hoja1"/>
      <sheetName val="5° BIMESTRE"/>
      <sheetName val="Listas"/>
    </sheetNames>
    <sheetDataSet>
      <sheetData sheetId="0" refreshError="1">
        <row r="93">
          <cell r="AB93">
            <v>6848206</v>
          </cell>
          <cell r="AH93">
            <v>11739781</v>
          </cell>
        </row>
        <row r="128">
          <cell r="T128">
            <v>8360700</v>
          </cell>
          <cell r="Z128">
            <v>17278200</v>
          </cell>
        </row>
        <row r="135">
          <cell r="V135">
            <v>63777781</v>
          </cell>
        </row>
        <row r="138">
          <cell r="Z138">
            <v>10433028.27</v>
          </cell>
          <cell r="AA138">
            <v>4173211.34</v>
          </cell>
          <cell r="AF138">
            <v>119689922.66</v>
          </cell>
          <cell r="AG138">
            <v>56779750.729999997</v>
          </cell>
        </row>
        <row r="139">
          <cell r="T139">
            <v>132473949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2018"/>
    </sheetNames>
    <sheetDataSet>
      <sheetData sheetId="0">
        <row r="5">
          <cell r="AD5">
            <v>41644050</v>
          </cell>
        </row>
        <row r="31">
          <cell r="AF31">
            <v>181650000</v>
          </cell>
        </row>
        <row r="32">
          <cell r="AF32">
            <v>181650000</v>
          </cell>
        </row>
        <row r="33">
          <cell r="AF33">
            <v>356600000</v>
          </cell>
        </row>
        <row r="34">
          <cell r="AF34">
            <v>363300000</v>
          </cell>
        </row>
        <row r="35">
          <cell r="AD35">
            <v>405800000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sheetName val="Hoja14"/>
      <sheetName val="CDR125"/>
      <sheetName val="Hoja15"/>
      <sheetName val="Hoja11"/>
      <sheetName val="Hoja13"/>
      <sheetName val="cto 100"/>
      <sheetName val="Hoja12"/>
      <sheetName val="cdr 45-46"/>
      <sheetName val="Hoja10"/>
      <sheetName val="Hoja9"/>
      <sheetName val="Hoja6"/>
      <sheetName val="Hoja7"/>
      <sheetName val="Hoja8"/>
      <sheetName val="Hoja5"/>
      <sheetName val="cdr100"/>
      <sheetName val="Hoja4"/>
      <sheetName val="Hoja2"/>
      <sheetName val="Hoja3"/>
      <sheetName val="Hoja1"/>
      <sheetName val="cto 59-10"/>
      <sheetName val="Listas"/>
      <sheetName val="cto 34-2010"/>
      <sheetName val="cto 38"/>
      <sheetName val="cto 42"/>
      <sheetName val="PAGOS CDR 17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sheetName val="Listas"/>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revisados en orden"/>
      <sheetName val="Listas"/>
      <sheetName val="PAGOS CDR 174"/>
      <sheetName val="Contratos con CDRs"/>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consorciofia.info/cdr/ver_fuentes_w.php?NumCDR=174&amp;codEntidad=19999" TargetMode="External"/><Relationship Id="rId299" Type="http://schemas.openxmlformats.org/officeDocument/2006/relationships/hyperlink" Target="http://consorciofia.info/cdr/ver_fuentes_w.php?NumCDR=001&amp;codEntidad=19392" TargetMode="External"/><Relationship Id="rId21" Type="http://schemas.openxmlformats.org/officeDocument/2006/relationships/hyperlink" Target="http://consorciofia.info/cdr/ver_fuentes_w.php?NumCDR=014&amp;codEntidad=19999" TargetMode="External"/><Relationship Id="rId63" Type="http://schemas.openxmlformats.org/officeDocument/2006/relationships/hyperlink" Target="http://consorciofia.info/cdr/ver_fuentes_w.php?NumCDR=040&amp;codEntidad=19999" TargetMode="External"/><Relationship Id="rId159" Type="http://schemas.openxmlformats.org/officeDocument/2006/relationships/hyperlink" Target="http://consorciofia.info/cdr/ver_fuentes_w.php?NumCDR=106&amp;codEntidad=19999" TargetMode="External"/><Relationship Id="rId324" Type="http://schemas.openxmlformats.org/officeDocument/2006/relationships/hyperlink" Target="http://consorciofia.info/cdr/ver_fuentes_w.php?NumCDR=003&amp;codEntidad=19100" TargetMode="External"/><Relationship Id="rId366" Type="http://schemas.openxmlformats.org/officeDocument/2006/relationships/hyperlink" Target="http://consorciofia.info/cdr/ver_fuentes_w.php?NumCDR=283&amp;codEntidad=19999" TargetMode="External"/><Relationship Id="rId531" Type="http://schemas.openxmlformats.org/officeDocument/2006/relationships/hyperlink" Target="http://consorciofia.info/cdr/ver_fuentes_w.php?NumCDR=2392&amp;codEntidad=19364" TargetMode="External"/><Relationship Id="rId573" Type="http://schemas.openxmlformats.org/officeDocument/2006/relationships/comments" Target="../comments1.xml"/><Relationship Id="rId170" Type="http://schemas.openxmlformats.org/officeDocument/2006/relationships/hyperlink" Target="http://consorciofia.info/cdr/ver_fuentes_w.php?NumCDR=093&amp;codEntidad=19999" TargetMode="External"/><Relationship Id="rId226" Type="http://schemas.openxmlformats.org/officeDocument/2006/relationships/hyperlink" Target="http://consorciofia.info/cdr/ver_fuentes_w.php?NumCDR=006&amp;codEntidad=19999" TargetMode="External"/><Relationship Id="rId433" Type="http://schemas.openxmlformats.org/officeDocument/2006/relationships/hyperlink" Target="http://consorciofia.info/cdr/ver_fuentes_w.php?NumCDR=291&amp;codEntidad=19999" TargetMode="External"/><Relationship Id="rId268" Type="http://schemas.openxmlformats.org/officeDocument/2006/relationships/hyperlink" Target="http://consorciofia.info/cdr/ver_fuentes_w.php?NumCDR=002&amp;codEntidad=19050" TargetMode="External"/><Relationship Id="rId475" Type="http://schemas.openxmlformats.org/officeDocument/2006/relationships/hyperlink" Target="http://consorciofia.info/cdr/ver_fuentes_w.php?NumCDR=6&amp;codEntidad=19100" TargetMode="External"/><Relationship Id="rId32" Type="http://schemas.openxmlformats.org/officeDocument/2006/relationships/hyperlink" Target="http://consorciofia.info/cdr/ver_fuentes_w.php?NumCDR=013&amp;codEntidad=19999" TargetMode="External"/><Relationship Id="rId74" Type="http://schemas.openxmlformats.org/officeDocument/2006/relationships/hyperlink" Target="http://consorciofia.info/cdr/ver_fuentes_w.php?NumCDR=051&amp;codEntidad=19999" TargetMode="External"/><Relationship Id="rId128" Type="http://schemas.openxmlformats.org/officeDocument/2006/relationships/hyperlink" Target="http://consorciofia.info/cdr/ver_fuentes_w.php?NumCDR=191&amp;codEntidad=19999" TargetMode="External"/><Relationship Id="rId335" Type="http://schemas.openxmlformats.org/officeDocument/2006/relationships/hyperlink" Target="http://consorciofia.info/cdr/ver_fuentes_w.php?NumCDR=255&amp;codEntidad=19999" TargetMode="External"/><Relationship Id="rId377" Type="http://schemas.openxmlformats.org/officeDocument/2006/relationships/hyperlink" Target="http://consorciofia.info/cdr/ver_fuentes_w.php?NumCDR=269&amp;codEntidad=19999" TargetMode="External"/><Relationship Id="rId500" Type="http://schemas.openxmlformats.org/officeDocument/2006/relationships/hyperlink" Target="http://consorciofia.info/cdr/ver_fuentes_w.php?NumCDR=3&amp;codEntidad=19622" TargetMode="External"/><Relationship Id="rId542" Type="http://schemas.openxmlformats.org/officeDocument/2006/relationships/hyperlink" Target="http://consorciofia.info/cdr/ver_fuentes_w.php?NumCDR=2879&amp;codEntidad=19392" TargetMode="External"/><Relationship Id="rId5" Type="http://schemas.openxmlformats.org/officeDocument/2006/relationships/hyperlink" Target="http://consorciofia.info/cdr/ver_fuentes_w.php?NumCDR=174&amp;codEntidad=19999" TargetMode="External"/><Relationship Id="rId181" Type="http://schemas.openxmlformats.org/officeDocument/2006/relationships/hyperlink" Target="http://consorciofia.info/cdr/ver_fuentes_w.php?NumCDR=233&amp;codEntidad=19999" TargetMode="External"/><Relationship Id="rId237" Type="http://schemas.openxmlformats.org/officeDocument/2006/relationships/hyperlink" Target="http://consorciofia.info/cdr/ver_fuentes_w.php?NumCDR=131&amp;codEntidad=19999" TargetMode="External"/><Relationship Id="rId402" Type="http://schemas.openxmlformats.org/officeDocument/2006/relationships/hyperlink" Target="http://consorciofia.info/cdr/ver_fuentes_w.php?NumCDR=009&amp;codEntidad=19698" TargetMode="External"/><Relationship Id="rId279" Type="http://schemas.openxmlformats.org/officeDocument/2006/relationships/hyperlink" Target="http://consorciofia.info/cdr/ver_fuentes_w.php?NumCDR=221&amp;codEntidad=19999" TargetMode="External"/><Relationship Id="rId444" Type="http://schemas.openxmlformats.org/officeDocument/2006/relationships/hyperlink" Target="http://consorciofia.info/cdr/ver_fuentes_w.php?NumCDR=13&amp;codEntidad=19780" TargetMode="External"/><Relationship Id="rId486" Type="http://schemas.openxmlformats.org/officeDocument/2006/relationships/hyperlink" Target="http://consorciofia.info/cdr/ver_fuentes_w.php?NumCDR=10&amp;codEntidad=19130" TargetMode="External"/><Relationship Id="rId43" Type="http://schemas.openxmlformats.org/officeDocument/2006/relationships/hyperlink" Target="http://consorciofia.info/cdr/ver_fuentes_w.php?NumCDR=036&amp;codEntidad=19999" TargetMode="External"/><Relationship Id="rId139" Type="http://schemas.openxmlformats.org/officeDocument/2006/relationships/hyperlink" Target="http://consorciofia.info/cdr/ver_fuentes_w.php?NumCDR=201&amp;codEntidad=19999" TargetMode="External"/><Relationship Id="rId290" Type="http://schemas.openxmlformats.org/officeDocument/2006/relationships/hyperlink" Target="http://consorciofia.info/cdr/ver_fuentes_w.php?NumCDR=174&amp;codEntidad=19999" TargetMode="External"/><Relationship Id="rId304" Type="http://schemas.openxmlformats.org/officeDocument/2006/relationships/hyperlink" Target="http://consorciofia.info/cdr/ver_fuentes_w.php?NumCDR=12&amp;codEntidad=19532" TargetMode="External"/><Relationship Id="rId346" Type="http://schemas.openxmlformats.org/officeDocument/2006/relationships/hyperlink" Target="http://consorciofia.info/cdr/ver_fuentes_w.php?NumCDR=290&amp;codEntidad=19999" TargetMode="External"/><Relationship Id="rId388" Type="http://schemas.openxmlformats.org/officeDocument/2006/relationships/hyperlink" Target="http://consorciofia.info/cdr/ver_fuentes_w.php?NumCDR=267&amp;codEntidad=19999" TargetMode="External"/><Relationship Id="rId511" Type="http://schemas.openxmlformats.org/officeDocument/2006/relationships/hyperlink" Target="http://consorciofia.info/cdr/ver_fuentes_w.php?NumCDR=7&amp;codEntidad=19318" TargetMode="External"/><Relationship Id="rId553" Type="http://schemas.openxmlformats.org/officeDocument/2006/relationships/hyperlink" Target="http://consorciofia.info/cdr/ver_fuentes_w.php?NumCDR=006&amp;codEntidad=19743" TargetMode="External"/><Relationship Id="rId85" Type="http://schemas.openxmlformats.org/officeDocument/2006/relationships/hyperlink" Target="http://consorciofia.info/cdr/ver_fuentes_w.php?NumCDR=033&amp;codEntidad=19999" TargetMode="External"/><Relationship Id="rId150" Type="http://schemas.openxmlformats.org/officeDocument/2006/relationships/hyperlink" Target="http://consorciofia.info/cdr/ver_fuentes_w.php?NumCDR=110&amp;codEntidad=19999" TargetMode="External"/><Relationship Id="rId192" Type="http://schemas.openxmlformats.org/officeDocument/2006/relationships/hyperlink" Target="http://consorciofia.info/cdr/ver_fuentes_w.php?NumCDR=175&amp;codEntidad=19999" TargetMode="External"/><Relationship Id="rId206" Type="http://schemas.openxmlformats.org/officeDocument/2006/relationships/hyperlink" Target="http://consorciofia.info/cdr/ver_fuentes_w.php?NumCDR=195&amp;codEntidad=19999" TargetMode="External"/><Relationship Id="rId413" Type="http://schemas.openxmlformats.org/officeDocument/2006/relationships/hyperlink" Target="http://consorciofia.info/cdr/ver_fuentes_w.php?NumCDR=15&amp;codEntidad=19450" TargetMode="External"/><Relationship Id="rId248" Type="http://schemas.openxmlformats.org/officeDocument/2006/relationships/hyperlink" Target="http://consorciofia.info/cdr/ver_fuentes_w.php?NumCDR=130&amp;codEntidad=19999" TargetMode="External"/><Relationship Id="rId455" Type="http://schemas.openxmlformats.org/officeDocument/2006/relationships/hyperlink" Target="http://consorciofia.info/cdr/ver_fuentes_w.php?NumCDR=7&amp;codEntidad=19397" TargetMode="External"/><Relationship Id="rId497" Type="http://schemas.openxmlformats.org/officeDocument/2006/relationships/hyperlink" Target="http://consorciofia.info/cdr/ver_fuentes_w.php?NumCDR=7&amp;codEntidad=19780" TargetMode="External"/><Relationship Id="rId12" Type="http://schemas.openxmlformats.org/officeDocument/2006/relationships/hyperlink" Target="http://consorciofia.info/cdr/ver_fuentes_w.php?NumCDR=190&amp;codEntidad=19999" TargetMode="External"/><Relationship Id="rId108" Type="http://schemas.openxmlformats.org/officeDocument/2006/relationships/hyperlink" Target="http://consorciofia.info/cdr/ver_fuentes_w.php?NumCDR=174&amp;codEntidad=19999" TargetMode="External"/><Relationship Id="rId315" Type="http://schemas.openxmlformats.org/officeDocument/2006/relationships/hyperlink" Target="http://consorciofia.info/cdr/ver_fuentes_w.php?NumCDR=229&amp;codEntidad=19999" TargetMode="External"/><Relationship Id="rId357" Type="http://schemas.openxmlformats.org/officeDocument/2006/relationships/hyperlink" Target="http://consorciofia.info/cdr/ver_fuentes_w.php?NumCDR=276&amp;codEntidad=19999" TargetMode="External"/><Relationship Id="rId522" Type="http://schemas.openxmlformats.org/officeDocument/2006/relationships/hyperlink" Target="http://consorciofia.info/cdr/ver_fuentes_w.php?NumCDR=11&amp;codEntidad=19397" TargetMode="External"/><Relationship Id="rId54" Type="http://schemas.openxmlformats.org/officeDocument/2006/relationships/hyperlink" Target="http://consorciofia.info/cdr/ver_fuentes_w.php?NumCDR=165&amp;codEntidad=19999" TargetMode="External"/><Relationship Id="rId96" Type="http://schemas.openxmlformats.org/officeDocument/2006/relationships/hyperlink" Target="http://consorciofia.info/cdr/ver_fuentes_w.php?NumCDR=065&amp;codEntidad=19999" TargetMode="External"/><Relationship Id="rId161" Type="http://schemas.openxmlformats.org/officeDocument/2006/relationships/hyperlink" Target="http://consorciofia.info/cdr/ver_fuentes_w.php?NumCDR=112&amp;codEntidad=19999%7d" TargetMode="External"/><Relationship Id="rId217" Type="http://schemas.openxmlformats.org/officeDocument/2006/relationships/hyperlink" Target="http://consorciofia.info/cdr/ver_fuentes_w.php?NumCDR=0011&amp;codEntidad=19999" TargetMode="External"/><Relationship Id="rId399" Type="http://schemas.openxmlformats.org/officeDocument/2006/relationships/hyperlink" Target="http://consorciofia.info/cdr/ver_fuentes_w.php?NumCDR=2295&amp;codEntidad=19318" TargetMode="External"/><Relationship Id="rId564" Type="http://schemas.openxmlformats.org/officeDocument/2006/relationships/hyperlink" Target="http://consorciofia.info/cdr/ver_fuentes_w.php?NumCDR=3811&amp;codEntidad=19513" TargetMode="External"/><Relationship Id="rId259" Type="http://schemas.openxmlformats.org/officeDocument/2006/relationships/hyperlink" Target="http://consorciofia.info/cdr/ver_fuentes_w.php?NumCDR=119&amp;codEntidad=19999" TargetMode="External"/><Relationship Id="rId424" Type="http://schemas.openxmlformats.org/officeDocument/2006/relationships/hyperlink" Target="http://consorciofia.info/cdr/ver_fuentes_w.php?NumCDR=083&amp;codEntidad=19999" TargetMode="External"/><Relationship Id="rId466" Type="http://schemas.openxmlformats.org/officeDocument/2006/relationships/hyperlink" Target="http://consorciofia.info/cdr/ver_fuentes_w.php?NumCDR=325&amp;codEntidad=19999" TargetMode="External"/><Relationship Id="rId23" Type="http://schemas.openxmlformats.org/officeDocument/2006/relationships/hyperlink" Target="http://consorciofia.info/cdr/ver_fuentes_w.php?NumCDR=014&amp;codEntidad=19999" TargetMode="External"/><Relationship Id="rId119" Type="http://schemas.openxmlformats.org/officeDocument/2006/relationships/hyperlink" Target="http://consorciofia.info/cdr/ver_fuentes_w.php?NumCDR=075&amp;codEntidad=19999" TargetMode="External"/><Relationship Id="rId270" Type="http://schemas.openxmlformats.org/officeDocument/2006/relationships/hyperlink" Target="http://consorciofia.info/cdr/ver_fuentes_w.php?NumCDR=001&amp;codEntidad=19318" TargetMode="External"/><Relationship Id="rId326" Type="http://schemas.openxmlformats.org/officeDocument/2006/relationships/hyperlink" Target="http://consorciofia.info/cdr/ver_fuentes_w.php?NumCDR=259&amp;codEntidad=19999" TargetMode="External"/><Relationship Id="rId533" Type="http://schemas.openxmlformats.org/officeDocument/2006/relationships/hyperlink" Target="http://consorciofia.info/cdr/ver_fuentes_w.php?NumCDR=3976&amp;codEntidad=19392" TargetMode="External"/><Relationship Id="rId65" Type="http://schemas.openxmlformats.org/officeDocument/2006/relationships/hyperlink" Target="http://consorciofia.info/cdr/ver_fuentes_w.php?NumCDR=040&amp;codEntidad=19999" TargetMode="External"/><Relationship Id="rId130" Type="http://schemas.openxmlformats.org/officeDocument/2006/relationships/hyperlink" Target="http://consorciofia.info/cdr/ver_fuentes_w.php?NumCDR=003&amp;codEntidad=19999" TargetMode="External"/><Relationship Id="rId368" Type="http://schemas.openxmlformats.org/officeDocument/2006/relationships/hyperlink" Target="http://consorciofia.info/cdr/ver_fuentes_w.php?NumCDR=317&amp;codEntidad=19999" TargetMode="External"/><Relationship Id="rId172" Type="http://schemas.openxmlformats.org/officeDocument/2006/relationships/hyperlink" Target="http://consorciofia.info/cdr/ver_fuentes_w.php?NumCDR=204&amp;codEntidad=19999" TargetMode="External"/><Relationship Id="rId228" Type="http://schemas.openxmlformats.org/officeDocument/2006/relationships/hyperlink" Target="http://consorciofia.info/cdr/ver_fuentes_w.php?NumCDR=032&amp;codEntidad=19999" TargetMode="External"/><Relationship Id="rId435" Type="http://schemas.openxmlformats.org/officeDocument/2006/relationships/hyperlink" Target="http://consorciofia.info/cdr/ver_fuentes_w.php?NumCDR=2646&amp;codEntidad=19693" TargetMode="External"/><Relationship Id="rId477" Type="http://schemas.openxmlformats.org/officeDocument/2006/relationships/hyperlink" Target="http://consorciofia.info/cdr/ver_fuentes_w.php?NumCDR=11&amp;codEntidad=19318" TargetMode="External"/><Relationship Id="rId281" Type="http://schemas.openxmlformats.org/officeDocument/2006/relationships/hyperlink" Target="http://consorciofia.info/cdr/ver_fuentes_w.php?NumCDR=182&amp;codEntidad=19999" TargetMode="External"/><Relationship Id="rId337" Type="http://schemas.openxmlformats.org/officeDocument/2006/relationships/hyperlink" Target="http://consorciofia.info/cdr/ver_fuentes_w.php?NumCDR=249&amp;codEntidad=19999" TargetMode="External"/><Relationship Id="rId502" Type="http://schemas.openxmlformats.org/officeDocument/2006/relationships/hyperlink" Target="http://consorciofia.info/cdr/ver_fuentes_w.php?NumCDR=16&amp;codEntidad=19532" TargetMode="External"/><Relationship Id="rId34" Type="http://schemas.openxmlformats.org/officeDocument/2006/relationships/hyperlink" Target="http://consorciofia.info/cdr/ver_fuentes_w.php?NumCDR=029&amp;codEntidad=19999" TargetMode="External"/><Relationship Id="rId76" Type="http://schemas.openxmlformats.org/officeDocument/2006/relationships/hyperlink" Target="http://consorciofia.info/cdr/ver_fuentes_w.php?NumCDR=051&amp;codEntidad=19999" TargetMode="External"/><Relationship Id="rId141" Type="http://schemas.openxmlformats.org/officeDocument/2006/relationships/hyperlink" Target="http://consorciofia.info/cdr/ver_fuentes_w.php?NumCDR=099&amp;codEntidad=19999" TargetMode="External"/><Relationship Id="rId379" Type="http://schemas.openxmlformats.org/officeDocument/2006/relationships/hyperlink" Target="http://consorciofia.info/cdr/ver_fuentes_w.php?NumCDR=14&amp;codEntidad=19807" TargetMode="External"/><Relationship Id="rId544" Type="http://schemas.openxmlformats.org/officeDocument/2006/relationships/hyperlink" Target="http://consorciofia.info/cdr/ver_fuentes_w.php?NumCDR=326&amp;codEntidad=19999" TargetMode="External"/><Relationship Id="rId7" Type="http://schemas.openxmlformats.org/officeDocument/2006/relationships/hyperlink" Target="http://consorciofia.info/cdr/ver_fuentes_w.php?NumCDR=187&amp;codEntidad=19999" TargetMode="External"/><Relationship Id="rId183" Type="http://schemas.openxmlformats.org/officeDocument/2006/relationships/hyperlink" Target="http://consorciofia.info/cdr/ver_fuentes_w.php?NumCDR=003&amp;codEntidad=19397" TargetMode="External"/><Relationship Id="rId239" Type="http://schemas.openxmlformats.org/officeDocument/2006/relationships/hyperlink" Target="http://consorciofia.info/cdr/ver_fuentes_w.php?NumCDR=241&amp;codEntidad=19999" TargetMode="External"/><Relationship Id="rId390" Type="http://schemas.openxmlformats.org/officeDocument/2006/relationships/hyperlink" Target="http://consorciofia.info/cdr/ver_fuentes_w.php?NumCDR=002&amp;codEntidad=19075" TargetMode="External"/><Relationship Id="rId404" Type="http://schemas.openxmlformats.org/officeDocument/2006/relationships/hyperlink" Target="http://consorciofia.info/cdr/ver_fuentes_w.php?NumCDR=007&amp;codEntidad=19807" TargetMode="External"/><Relationship Id="rId446" Type="http://schemas.openxmlformats.org/officeDocument/2006/relationships/hyperlink" Target="http://consorciofia.info/cdr/ver_fuentes_w.php?NumCDR=5&amp;codEntidad=19364" TargetMode="External"/><Relationship Id="rId250" Type="http://schemas.openxmlformats.org/officeDocument/2006/relationships/hyperlink" Target="http://consorciofia.info/cdr/ver_fuentes_w.php?NumCDR=128&amp;codEntidad=19999" TargetMode="External"/><Relationship Id="rId292" Type="http://schemas.openxmlformats.org/officeDocument/2006/relationships/hyperlink" Target="http://consorciofia.info/cdr/ver_fuentes_w.php?NumCDR=174&amp;codEntidad=19999" TargetMode="External"/><Relationship Id="rId306" Type="http://schemas.openxmlformats.org/officeDocument/2006/relationships/hyperlink" Target="http://consorciofia.info/cdr/ver_fuentes_w.php?NumCDR=185&amp;codEntidad=19999" TargetMode="External"/><Relationship Id="rId488" Type="http://schemas.openxmlformats.org/officeDocument/2006/relationships/hyperlink" Target="http://consorciofia.info/cdr/ver_fuentes_w.php?NumCDR=4&amp;codEntidad=19701" TargetMode="External"/><Relationship Id="rId45" Type="http://schemas.openxmlformats.org/officeDocument/2006/relationships/hyperlink" Target="http://consorciofia.info/cdr/ver_fuentes_w.php?NumCDR=037&amp;codEntidad=19999" TargetMode="External"/><Relationship Id="rId87" Type="http://schemas.openxmlformats.org/officeDocument/2006/relationships/hyperlink" Target="http://consorciofia.info/cdr/ver_fuentes_w.php?NumCDR=035&amp;codEntidad=19999" TargetMode="External"/><Relationship Id="rId110" Type="http://schemas.openxmlformats.org/officeDocument/2006/relationships/hyperlink" Target="http://consorciofia.info/cdr/ver_fuentes_w.php?NumCDR=052&amp;codEntidad=19999" TargetMode="External"/><Relationship Id="rId348" Type="http://schemas.openxmlformats.org/officeDocument/2006/relationships/hyperlink" Target="http://consorciofia.info/cdr/ver_fuentes_w.php?NumCDR=8&amp;codEntidad=19513" TargetMode="External"/><Relationship Id="rId513" Type="http://schemas.openxmlformats.org/officeDocument/2006/relationships/hyperlink" Target="http://consorciofia.info/cdr/ver_fuentes_w.php?NumCDR=337&amp;codEntidad=19999" TargetMode="External"/><Relationship Id="rId555" Type="http://schemas.openxmlformats.org/officeDocument/2006/relationships/hyperlink" Target="http://consorciofia.info/cdr/ver_fuentes_w.php?NumCDR=017&amp;codEntidad=19999" TargetMode="External"/><Relationship Id="rId152" Type="http://schemas.openxmlformats.org/officeDocument/2006/relationships/hyperlink" Target="http://consorciofia.info/cdr/ver_fuentes_w.php?NumCDR=111&amp;codEntidad=19999" TargetMode="External"/><Relationship Id="rId194" Type="http://schemas.openxmlformats.org/officeDocument/2006/relationships/hyperlink" Target="http://consorciofia.info/cdr/ver_fuentes_w.php?NumCDR=144&amp;codEntidad=19999" TargetMode="External"/><Relationship Id="rId208" Type="http://schemas.openxmlformats.org/officeDocument/2006/relationships/hyperlink" Target="http://consorciofia.info/cdr/ver_fuentes_w.php?NumCDR=209&amp;codEntidad=19999" TargetMode="External"/><Relationship Id="rId415" Type="http://schemas.openxmlformats.org/officeDocument/2006/relationships/hyperlink" Target="http://consorciofia.info/cdr/ver_fuentes_w.php?NumCDR=5&amp;codEntidad=19142" TargetMode="External"/><Relationship Id="rId457" Type="http://schemas.openxmlformats.org/officeDocument/2006/relationships/hyperlink" Target="http://consorciofia.info/cdr/ver_fuentes_w.php?NumCDR=8&amp;codEntidad=19418" TargetMode="External"/><Relationship Id="rId261" Type="http://schemas.openxmlformats.org/officeDocument/2006/relationships/hyperlink" Target="http://consorciofia.info/cdr/ver_fuentes_w.php?NumCDR=001&amp;codEntidad=19585" TargetMode="External"/><Relationship Id="rId499" Type="http://schemas.openxmlformats.org/officeDocument/2006/relationships/hyperlink" Target="http://consorciofia.info/cdr/ver_fuentes_w.php?NumCDR=8&amp;codEntidad=19110" TargetMode="External"/><Relationship Id="rId14" Type="http://schemas.openxmlformats.org/officeDocument/2006/relationships/hyperlink" Target="http://consorciofia.info/cdr/ver_fuentes_w.php?NumCDR=005&amp;codEntidad=19999" TargetMode="External"/><Relationship Id="rId56" Type="http://schemas.openxmlformats.org/officeDocument/2006/relationships/hyperlink" Target="http://consorciofia.info/cdr/ver_fuentes_w.php?NumCDR=038&amp;codEntidad=19999" TargetMode="External"/><Relationship Id="rId317" Type="http://schemas.openxmlformats.org/officeDocument/2006/relationships/hyperlink" Target="http://consorciofia.info/cdr/ver_fuentes_w.php?NumCDR=186&amp;codEntidad=19999" TargetMode="External"/><Relationship Id="rId359" Type="http://schemas.openxmlformats.org/officeDocument/2006/relationships/hyperlink" Target="http://consorciofia.info/cdr/ver_fuentes_w.php?NumCDR=9&amp;codEntidad=19513" TargetMode="External"/><Relationship Id="rId524" Type="http://schemas.openxmlformats.org/officeDocument/2006/relationships/hyperlink" Target="http://consorciofia.info/cdr/ver_fuentes_w.php?NumCDR=6&amp;codEntidad=19473" TargetMode="External"/><Relationship Id="rId566" Type="http://schemas.openxmlformats.org/officeDocument/2006/relationships/hyperlink" Target="http://consorciofia.info/cdr/ver_fuentes_w.php?NumCDR=4463&amp;codEntidad=19999" TargetMode="External"/><Relationship Id="rId98" Type="http://schemas.openxmlformats.org/officeDocument/2006/relationships/hyperlink" Target="http://consorciofia.info/cdr/ver_fuentes_w.php?NumCDR=067&amp;codEntidad=19999" TargetMode="External"/><Relationship Id="rId121" Type="http://schemas.openxmlformats.org/officeDocument/2006/relationships/hyperlink" Target="http://consorciofia.info/cdr/ver_fuentes_w.php?NumCDR=072&amp;codEntidad=19999" TargetMode="External"/><Relationship Id="rId163" Type="http://schemas.openxmlformats.org/officeDocument/2006/relationships/hyperlink" Target="http://consorciofia.info/cdr/ver_fuentes_w.php?NumCDR=090&amp;codEntidad=19999" TargetMode="External"/><Relationship Id="rId219" Type="http://schemas.openxmlformats.org/officeDocument/2006/relationships/hyperlink" Target="http://consorciofia.info/cdr/ver_fuentes_w.php?NumCDR=023&amp;codEntidad=19999" TargetMode="External"/><Relationship Id="rId370" Type="http://schemas.openxmlformats.org/officeDocument/2006/relationships/hyperlink" Target="http://consorciofia.info/cdr/ver_fuentes_w.php?NumCDR=003&amp;codEntidad=19743" TargetMode="External"/><Relationship Id="rId426" Type="http://schemas.openxmlformats.org/officeDocument/2006/relationships/hyperlink" Target="http://consorciofia.info/cdr/ver_fuentes_w.php?NumCDR=198&amp;codEntidad=19999" TargetMode="External"/><Relationship Id="rId230" Type="http://schemas.openxmlformats.org/officeDocument/2006/relationships/hyperlink" Target="http://consorciofia.info/cdr/ver_fuentes_w.php?NumCDR=117&amp;codEntidad=19999" TargetMode="External"/><Relationship Id="rId468" Type="http://schemas.openxmlformats.org/officeDocument/2006/relationships/hyperlink" Target="http://consorciofia.info/cdr/ver_fuentes_w.php?NumCDR=2296&amp;codEntidad=19318" TargetMode="External"/><Relationship Id="rId25" Type="http://schemas.openxmlformats.org/officeDocument/2006/relationships/hyperlink" Target="http://consorciofia.info/cdr/ver_fuentes_w.php?NumCDR=019&amp;codEntidad=19999" TargetMode="External"/><Relationship Id="rId67" Type="http://schemas.openxmlformats.org/officeDocument/2006/relationships/hyperlink" Target="http://consorciofia.info/cdr/ver_fuentes_w.php?NumCDR=158&amp;codEntidad=19999" TargetMode="External"/><Relationship Id="rId272" Type="http://schemas.openxmlformats.org/officeDocument/2006/relationships/hyperlink" Target="http://consorciofia.info/cdr/ver_fuentes_w.php?NumCDR=180&amp;codEntidad=19999" TargetMode="External"/><Relationship Id="rId328" Type="http://schemas.openxmlformats.org/officeDocument/2006/relationships/hyperlink" Target="http://consorciofia.info/cdr/ver_fuentes_w.php?NumCDR=240&amp;codEntidad=19999" TargetMode="External"/><Relationship Id="rId535" Type="http://schemas.openxmlformats.org/officeDocument/2006/relationships/hyperlink" Target="http://consorciofia.info/cdr/ver_fuentes_w.php?NumCDR=2372&amp;codEntidad=19110" TargetMode="External"/><Relationship Id="rId132" Type="http://schemas.openxmlformats.org/officeDocument/2006/relationships/hyperlink" Target="http://consorciofia.info/cdr/ver_fuentes_w.php?NumCDR=085&amp;codEntidad=19999" TargetMode="External"/><Relationship Id="rId174" Type="http://schemas.openxmlformats.org/officeDocument/2006/relationships/hyperlink" Target="http://consorciofia.info/cdr/ver_fuentes_w.php?NumCDR=046&amp;codEntidad=19999" TargetMode="External"/><Relationship Id="rId381" Type="http://schemas.openxmlformats.org/officeDocument/2006/relationships/hyperlink" Target="http://consorciofia.info/cdr/ver_fuentes_w.php?NumCDR=292&amp;codEntidad=19999" TargetMode="External"/><Relationship Id="rId241" Type="http://schemas.openxmlformats.org/officeDocument/2006/relationships/hyperlink" Target="http://consorciofia.info/cdr/ver_fuentes_w.php?NumCDR=136&amp;codEntidad=19999" TargetMode="External"/><Relationship Id="rId437" Type="http://schemas.openxmlformats.org/officeDocument/2006/relationships/hyperlink" Target="http://consorciofia.info/cdr/ver_fuentes_w.php?NumCDR=6&amp;codEntidad=19001" TargetMode="External"/><Relationship Id="rId479" Type="http://schemas.openxmlformats.org/officeDocument/2006/relationships/hyperlink" Target="http://consorciofia.info/cdr/ver_fuentes_w.php?NumCDR=10&amp;codEntidad=19780" TargetMode="External"/><Relationship Id="rId36" Type="http://schemas.openxmlformats.org/officeDocument/2006/relationships/hyperlink" Target="http://consorciofia.info/cdr/ver_fuentes_w.php?NumCDR=021&amp;codEntidad=19999" TargetMode="External"/><Relationship Id="rId283" Type="http://schemas.openxmlformats.org/officeDocument/2006/relationships/hyperlink" Target="http://consorciofia.info/cdr/ver_fuentes_w.php?NumCDR=299&amp;codEntidad=19999" TargetMode="External"/><Relationship Id="rId339" Type="http://schemas.openxmlformats.org/officeDocument/2006/relationships/hyperlink" Target="http://consorciofia.info/cdr/ver_fuentes_w.php?NumCDR=254&amp;codEntidad=19999" TargetMode="External"/><Relationship Id="rId490" Type="http://schemas.openxmlformats.org/officeDocument/2006/relationships/hyperlink" Target="http://consorciofia.info/cdr/ver_fuentes_w.php?NumCDR=7&amp;codEntidad=19364" TargetMode="External"/><Relationship Id="rId504" Type="http://schemas.openxmlformats.org/officeDocument/2006/relationships/hyperlink" Target="http://consorciofia.info/cdr/ver_fuentes_w.php?NumCDR=4&amp;codEntidad=19533" TargetMode="External"/><Relationship Id="rId546" Type="http://schemas.openxmlformats.org/officeDocument/2006/relationships/hyperlink" Target="http://consorciofia.info/cdr/ver_fuentes_w.php?NumCDR=8&amp;codEntidad=19548" TargetMode="External"/><Relationship Id="rId78" Type="http://schemas.openxmlformats.org/officeDocument/2006/relationships/hyperlink" Target="http://consorciofia.info/cdr/ver_fuentes_w.php?NumCDR=051&amp;codEntidad=19999" TargetMode="External"/><Relationship Id="rId101" Type="http://schemas.openxmlformats.org/officeDocument/2006/relationships/hyperlink" Target="http://consorciofia.info/cdr/ver_fuentes_w.php?NumCDR=059&amp;codEntidad=19999" TargetMode="External"/><Relationship Id="rId143" Type="http://schemas.openxmlformats.org/officeDocument/2006/relationships/hyperlink" Target="http://consorciofia.info/cdr/ver_fuentes_w.php?NumCDR=100&amp;codEntidad=19999" TargetMode="External"/><Relationship Id="rId185" Type="http://schemas.openxmlformats.org/officeDocument/2006/relationships/hyperlink" Target="http://consorciofia.info/cdr/ver_fuentes_w.php?NumCDR=003&amp;codEntidad=19585" TargetMode="External"/><Relationship Id="rId350" Type="http://schemas.openxmlformats.org/officeDocument/2006/relationships/hyperlink" Target="http://consorciofia.info/cdr/ver_fuentes_w.php?NumCDR=007&amp;codEntidad=19050" TargetMode="External"/><Relationship Id="rId406" Type="http://schemas.openxmlformats.org/officeDocument/2006/relationships/hyperlink" Target="http://consorciofia.info/cdr/ver_fuentes_w.php?NumCDR=3562&amp;codEntidad=19807" TargetMode="External"/><Relationship Id="rId9" Type="http://schemas.openxmlformats.org/officeDocument/2006/relationships/hyperlink" Target="http://consorciofia.info/cdr/ver_fuentes_w.php?NumCDR=029&amp;codEntidad=19999" TargetMode="External"/><Relationship Id="rId210" Type="http://schemas.openxmlformats.org/officeDocument/2006/relationships/hyperlink" Target="http://consorciofia.info/cdr/ver_fuentes_w.php?NumCDR=169&amp;codEntidad=19999" TargetMode="External"/><Relationship Id="rId392" Type="http://schemas.openxmlformats.org/officeDocument/2006/relationships/hyperlink" Target="http://consorciofia.info/cdr/ver_fuentes_w.php?NumCDR=002&amp;codEntidad=19100" TargetMode="External"/><Relationship Id="rId448" Type="http://schemas.openxmlformats.org/officeDocument/2006/relationships/hyperlink" Target="http://consorciofia.info/cdr/ver_fuentes_w.php?NumCDR=12&amp;codEntidad=19450" TargetMode="External"/><Relationship Id="rId26" Type="http://schemas.openxmlformats.org/officeDocument/2006/relationships/hyperlink" Target="http://consorciofia.info/cdr/ver_fuentes_w.php?NumCDR=002&amp;codEntidad=19999" TargetMode="External"/><Relationship Id="rId231" Type="http://schemas.openxmlformats.org/officeDocument/2006/relationships/hyperlink" Target="http://consorciofia.info/cdr/ver_fuentes_w.php?NumCDR=001&amp;codEntidad=19050" TargetMode="External"/><Relationship Id="rId252" Type="http://schemas.openxmlformats.org/officeDocument/2006/relationships/hyperlink" Target="http://consorciofia.info/cdr/ver_fuentes_w.php?NumCDR=068&amp;codEntidad=19999" TargetMode="External"/><Relationship Id="rId273" Type="http://schemas.openxmlformats.org/officeDocument/2006/relationships/hyperlink" Target="http://consorciofia.info/cdr/ver_fuentes_w.php?NumCDR=298&amp;codEntidad=19999" TargetMode="External"/><Relationship Id="rId294" Type="http://schemas.openxmlformats.org/officeDocument/2006/relationships/hyperlink" Target="http://consorciofia.info/cdr/ver_fuentes_w.php?NumCDR=174&amp;codEntidad=19999" TargetMode="External"/><Relationship Id="rId308" Type="http://schemas.openxmlformats.org/officeDocument/2006/relationships/hyperlink" Target="http://consorciofia.info/cdr/ver_fuentes_w.php?NumCDR=216&amp;codEntidad=19999" TargetMode="External"/><Relationship Id="rId329" Type="http://schemas.openxmlformats.org/officeDocument/2006/relationships/hyperlink" Target="http://consorciofia.info/cdr/ver_fuentes_w.php?NumCDR=239&amp;codEntidad=19999" TargetMode="External"/><Relationship Id="rId480" Type="http://schemas.openxmlformats.org/officeDocument/2006/relationships/hyperlink" Target="http://consorciofia.info/cdr/ver_fuentes_w.php?NumCDR=9&amp;codEntidad=19418" TargetMode="External"/><Relationship Id="rId515" Type="http://schemas.openxmlformats.org/officeDocument/2006/relationships/hyperlink" Target="http://consorciofia.info/cdr/ver_fuentes_w.php?NumCDR=340&amp;codEntidad=19999" TargetMode="External"/><Relationship Id="rId536" Type="http://schemas.openxmlformats.org/officeDocument/2006/relationships/hyperlink" Target="http://consorciofia.info/cdr/ver_fuentes_w.php?NumCDR=2373&amp;codEntidad=19999" TargetMode="External"/><Relationship Id="rId47" Type="http://schemas.openxmlformats.org/officeDocument/2006/relationships/hyperlink" Target="http://consorciofia.info/cdr/ver_fuentes_w.php?NumCDR=037&amp;codEntidad=19999" TargetMode="External"/><Relationship Id="rId68" Type="http://schemas.openxmlformats.org/officeDocument/2006/relationships/hyperlink" Target="http://consorciofia.info/cdr/ver_fuentes_w.php?NumCDR=049&amp;codEntidad=19999" TargetMode="External"/><Relationship Id="rId89" Type="http://schemas.openxmlformats.org/officeDocument/2006/relationships/hyperlink" Target="http://consorciofia.info/cdr/ver_fuentes_w.php?NumCDR=194&amp;codEntidad=19999" TargetMode="External"/><Relationship Id="rId112" Type="http://schemas.openxmlformats.org/officeDocument/2006/relationships/hyperlink" Target="http://consorciofia.info/cdr/ver_fuentes_w.php?NumCDR=055&amp;codEntidad=19999" TargetMode="External"/><Relationship Id="rId133" Type="http://schemas.openxmlformats.org/officeDocument/2006/relationships/hyperlink" Target="http://consorciofia.info/cdr/ver_fuentes_w.php?NumCDR=087&amp;codEntidad=19999" TargetMode="External"/><Relationship Id="rId154" Type="http://schemas.openxmlformats.org/officeDocument/2006/relationships/hyperlink" Target="http://consorciofia.info/cdr/ver_fuentes_w.php?NumCDR=109&amp;codEntidad=19999" TargetMode="External"/><Relationship Id="rId175" Type="http://schemas.openxmlformats.org/officeDocument/2006/relationships/hyperlink" Target="http://consorciofia.info/cdr/ver_fuentes_w.php?NumCDR=161&amp;codEntidad=19999" TargetMode="External"/><Relationship Id="rId340" Type="http://schemas.openxmlformats.org/officeDocument/2006/relationships/hyperlink" Target="http://consorciofia.info/cdr/ver_fuentes_w.php?NumCDR=232&amp;codEntidad=19999" TargetMode="External"/><Relationship Id="rId361" Type="http://schemas.openxmlformats.org/officeDocument/2006/relationships/hyperlink" Target="http://consorciofia.info/cdr/ver_fuentes_w.php?NumCDR=264&amp;codEntidad=19999" TargetMode="External"/><Relationship Id="rId557" Type="http://schemas.openxmlformats.org/officeDocument/2006/relationships/hyperlink" Target="http://consorciofia.info/cdr/ver_fuentes_w.php?NumCDR=004&amp;codEntidad=19807" TargetMode="External"/><Relationship Id="rId196" Type="http://schemas.openxmlformats.org/officeDocument/2006/relationships/hyperlink" Target="http://consorciofia.info/cdr/ver_fuentes_w.php?NumCDR=149&amp;codEntidad=19999" TargetMode="External"/><Relationship Id="rId200" Type="http://schemas.openxmlformats.org/officeDocument/2006/relationships/hyperlink" Target="http://consorciofia.info/cdr/ver_fuentes_w.php?NumCDR=171&amp;codEntidad=19999" TargetMode="External"/><Relationship Id="rId382" Type="http://schemas.openxmlformats.org/officeDocument/2006/relationships/hyperlink" Target="http://consorciofia.info/cdr/ver_fuentes_w.php?NumCDR=2647&amp;codEntidad=19693" TargetMode="External"/><Relationship Id="rId417" Type="http://schemas.openxmlformats.org/officeDocument/2006/relationships/hyperlink" Target="http://consorciofia.info/cdr/ver_fuentes_w.php?NumCDR=6&amp;codEntidad=19364" TargetMode="External"/><Relationship Id="rId438" Type="http://schemas.openxmlformats.org/officeDocument/2006/relationships/hyperlink" Target="http://consorciofia.info/cdr/ver_fuentes_w.php?NumCDR=6&amp;codEntidad=19001" TargetMode="External"/><Relationship Id="rId459" Type="http://schemas.openxmlformats.org/officeDocument/2006/relationships/hyperlink" Target="http://consorciofia.info/cdr/ver_fuentes_w.php?NumCDR=7&amp;codEntidad=19130" TargetMode="External"/><Relationship Id="rId16" Type="http://schemas.openxmlformats.org/officeDocument/2006/relationships/hyperlink" Target="http://consorciofia.info/cdr/ver_fuentes_w.php?NumCDR=008&amp;codEntidad=19999" TargetMode="External"/><Relationship Id="rId221" Type="http://schemas.openxmlformats.org/officeDocument/2006/relationships/hyperlink" Target="http://consorciofia.info/cdr/ver_fuentes_w.php?NumCDR=023&amp;codEntidad=19999" TargetMode="External"/><Relationship Id="rId242" Type="http://schemas.openxmlformats.org/officeDocument/2006/relationships/hyperlink" Target="http://consorciofia.info/cdr/ver_fuentes_w.php?NumCDR=132&amp;codEntidad=19999" TargetMode="External"/><Relationship Id="rId263" Type="http://schemas.openxmlformats.org/officeDocument/2006/relationships/hyperlink" Target="http://consorciofia.info/cdr/ver_fuentes_w.php?NumCDR=004&amp;codEntidad=19585" TargetMode="External"/><Relationship Id="rId284" Type="http://schemas.openxmlformats.org/officeDocument/2006/relationships/hyperlink" Target="http://consorciofia.info/cdr/ver_fuentes_w.php?NumCDR=174&amp;codEntidad=19999" TargetMode="External"/><Relationship Id="rId319" Type="http://schemas.openxmlformats.org/officeDocument/2006/relationships/hyperlink" Target="http://consorciofia.info/cdr/ver_fuentes_w.php?NumCDR=002&amp;codEntidad=19392" TargetMode="External"/><Relationship Id="rId470" Type="http://schemas.openxmlformats.org/officeDocument/2006/relationships/hyperlink" Target="http://consorciofia.info/cdr/ver_fuentes_w.php?NumCDR=12&amp;codEntidad=19318" TargetMode="External"/><Relationship Id="rId491" Type="http://schemas.openxmlformats.org/officeDocument/2006/relationships/hyperlink" Target="http://consorciofia.info/cdr/ver_fuentes_w.php?NumCDR=5&amp;codEntidad=19701" TargetMode="External"/><Relationship Id="rId505" Type="http://schemas.openxmlformats.org/officeDocument/2006/relationships/hyperlink" Target="http://consorciofia.info/cdr/ver_fuentes_w.php?NumCDR=6&amp;codEntidad=19142" TargetMode="External"/><Relationship Id="rId526" Type="http://schemas.openxmlformats.org/officeDocument/2006/relationships/hyperlink" Target="http://consorciofia.info/cdr/ver_fuentes_w.php?NumCDR=14&amp;codEntidad=19780" TargetMode="External"/><Relationship Id="rId37" Type="http://schemas.openxmlformats.org/officeDocument/2006/relationships/hyperlink" Target="http://consorciofia.info/cdr/ver_fuentes_w.php?NumCDR=021&amp;codEntidad=19999" TargetMode="External"/><Relationship Id="rId58" Type="http://schemas.openxmlformats.org/officeDocument/2006/relationships/hyperlink" Target="http://consorciofia.info/cdr/ver_fuentes_w.php?NumCDR=038&amp;codEntidad=19999" TargetMode="External"/><Relationship Id="rId79" Type="http://schemas.openxmlformats.org/officeDocument/2006/relationships/hyperlink" Target="http://consorciofia.info/cdr/ver_fuentes_w.php?NumCDR=051&amp;codEntidad=19999" TargetMode="External"/><Relationship Id="rId102" Type="http://schemas.openxmlformats.org/officeDocument/2006/relationships/hyperlink" Target="http://consorciofia.info/cdr/ver_fuentes_w.php?NumCDR=060&amp;codEntidad=19999" TargetMode="External"/><Relationship Id="rId123" Type="http://schemas.openxmlformats.org/officeDocument/2006/relationships/hyperlink" Target="../../../CRISTIAN/AppData/Roaming/Usuario/Downloads/Pagos%20CDRs%20FIA/CDR%20004%20-%20Contrato%20008-2010.jpg" TargetMode="External"/><Relationship Id="rId144" Type="http://schemas.openxmlformats.org/officeDocument/2006/relationships/hyperlink" Target="http://consorciofia.info/cdr/ver_fuentes_w.php?NumCDR=205&amp;codEntidad=19999" TargetMode="External"/><Relationship Id="rId330" Type="http://schemas.openxmlformats.org/officeDocument/2006/relationships/hyperlink" Target="http://consorciofia.info/cdr/ver_fuentes_w.php?NumCDR=004&amp;codEntidad=19532" TargetMode="External"/><Relationship Id="rId547" Type="http://schemas.openxmlformats.org/officeDocument/2006/relationships/hyperlink" Target="http://consorciofia.info/cdr/ver_fuentes_w.php?NumCDR=13&amp;codEntidad=19780" TargetMode="External"/><Relationship Id="rId568" Type="http://schemas.openxmlformats.org/officeDocument/2006/relationships/hyperlink" Target="http://consorciofia.info/cdr/ver_fuentes_w.php?NumCDR=312&amp;codEntidad=19999" TargetMode="External"/><Relationship Id="rId90" Type="http://schemas.openxmlformats.org/officeDocument/2006/relationships/hyperlink" Target="http://consorciofia.info/cdr/ver_fuentes_w.php?NumCDR=039&amp;codEntidad=19999" TargetMode="External"/><Relationship Id="rId165" Type="http://schemas.openxmlformats.org/officeDocument/2006/relationships/hyperlink" Target="http://consorciofia.info/cdr/ver_fuentes_w.php?NumCDR=167&amp;codEntidad=19999" TargetMode="External"/><Relationship Id="rId186" Type="http://schemas.openxmlformats.org/officeDocument/2006/relationships/hyperlink" Target="http://consorciofia.info/cdr/ver_fuentes_w.php?NumCDR=005&amp;codEntidad=19585" TargetMode="External"/><Relationship Id="rId351" Type="http://schemas.openxmlformats.org/officeDocument/2006/relationships/hyperlink" Target="http://consorciofia.info/cdr/ver_fuentes_w.php?NumCDR=20&amp;codEntidad=19050" TargetMode="External"/><Relationship Id="rId372" Type="http://schemas.openxmlformats.org/officeDocument/2006/relationships/hyperlink" Target="http://consorciofia.info/cdr/ver_fuentes_w.php?NumCDR=12&amp;codEntidad=19743" TargetMode="External"/><Relationship Id="rId393" Type="http://schemas.openxmlformats.org/officeDocument/2006/relationships/hyperlink" Target="http://consorciofia.info/cdr/ver_fuentes_w.php?NumCDR=268&amp;codEntidad=19999" TargetMode="External"/><Relationship Id="rId407" Type="http://schemas.openxmlformats.org/officeDocument/2006/relationships/hyperlink" Target="http://consorciofia.info/cdr/ver_fuentes_w.php?NumCDR=309&amp;codEntidad=19999" TargetMode="External"/><Relationship Id="rId428" Type="http://schemas.openxmlformats.org/officeDocument/2006/relationships/hyperlink" Target="http://consorciofia.info/cdr/ver_fuentes_w.php?NumCDR=166&amp;codEntidad=19999" TargetMode="External"/><Relationship Id="rId449" Type="http://schemas.openxmlformats.org/officeDocument/2006/relationships/hyperlink" Target="http://consorciofia.info/cdr/ver_fuentes_w.php?NumCDR=15&amp;codEntidad=19585" TargetMode="External"/><Relationship Id="rId211" Type="http://schemas.openxmlformats.org/officeDocument/2006/relationships/hyperlink" Target="http://consorciofia.info/cdr/ver_fuentes_w.php?NumCDR=137&amp;codEntidad=19999" TargetMode="External"/><Relationship Id="rId232" Type="http://schemas.openxmlformats.org/officeDocument/2006/relationships/hyperlink" Target="http://consorciofia.info/cdr/ver_fuentes_w.php?NumCDR=005&amp;codEntidad=19050" TargetMode="External"/><Relationship Id="rId253" Type="http://schemas.openxmlformats.org/officeDocument/2006/relationships/hyperlink" Target="http://consorciofia.info/cdr/ver_fuentes_w.php?NumCDR=069&amp;codEntidad=19999" TargetMode="External"/><Relationship Id="rId274" Type="http://schemas.openxmlformats.org/officeDocument/2006/relationships/hyperlink" Target="http://consorciofia.info/cdr/ver_fuentes_w.php?NumCDR=178&amp;codEntidad=19999" TargetMode="External"/><Relationship Id="rId295" Type="http://schemas.openxmlformats.org/officeDocument/2006/relationships/hyperlink" Target="http://consorciofia.info/cdr/ver_fuentes_w.php?NumCDR=174&amp;codEntidad=19999" TargetMode="External"/><Relationship Id="rId309" Type="http://schemas.openxmlformats.org/officeDocument/2006/relationships/hyperlink" Target="http://consorciofia.info/cdr/ver_fuentes_w.php?NumCDR=222&amp;codEntidad=19999" TargetMode="External"/><Relationship Id="rId460" Type="http://schemas.openxmlformats.org/officeDocument/2006/relationships/hyperlink" Target="http://consorciofia.info/cdr/ver_fuentes_w.php?NumCDR=2&amp;codEntidad=19548" TargetMode="External"/><Relationship Id="rId481" Type="http://schemas.openxmlformats.org/officeDocument/2006/relationships/hyperlink" Target="http://consorciofia.info/cdr/ver_fuentes_w.php?NumCDR=11&amp;codEntidad=19110" TargetMode="External"/><Relationship Id="rId516" Type="http://schemas.openxmlformats.org/officeDocument/2006/relationships/hyperlink" Target="http://consorciofia.info/cdr/ver_fuentes_w.php?NumCDR=8&amp;codEntidad=19573" TargetMode="External"/><Relationship Id="rId27" Type="http://schemas.openxmlformats.org/officeDocument/2006/relationships/hyperlink" Target="http://consorciofia.info/cdr/ver_fuentes_w.php?NumCDR=012&amp;codEntidad=19999" TargetMode="External"/><Relationship Id="rId48" Type="http://schemas.openxmlformats.org/officeDocument/2006/relationships/hyperlink" Target="http://consorciofia.info/cdr/ver_fuentes_w.php?NumCDR=037&amp;codEntidad=19999" TargetMode="External"/><Relationship Id="rId69" Type="http://schemas.openxmlformats.org/officeDocument/2006/relationships/hyperlink" Target="http://consorciofia.info/cdr/ver_fuentes_w.php?NumCDR=049&amp;codEntidad=19999" TargetMode="External"/><Relationship Id="rId113" Type="http://schemas.openxmlformats.org/officeDocument/2006/relationships/hyperlink" Target="http://consorciofia.info/cdr/ver_fuentes_w.php?NumCDR=056&amp;codEntidad=19999" TargetMode="External"/><Relationship Id="rId134" Type="http://schemas.openxmlformats.org/officeDocument/2006/relationships/hyperlink" Target="http://consorciofia.info/cdr/ver_fuentes_w.php?NumCDR=162&amp;codEntidad=19999" TargetMode="External"/><Relationship Id="rId320" Type="http://schemas.openxmlformats.org/officeDocument/2006/relationships/hyperlink" Target="http://consorciofia.info/cdr/ver_fuentes_w.php?NumCDR=261&amp;codEntidad=19999" TargetMode="External"/><Relationship Id="rId537" Type="http://schemas.openxmlformats.org/officeDocument/2006/relationships/hyperlink" Target="http://consorciofia.info/cdr/ver_fuentes_w.php?NumCDR=22&amp;codEntidad=19050" TargetMode="External"/><Relationship Id="rId558" Type="http://schemas.openxmlformats.org/officeDocument/2006/relationships/hyperlink" Target="http://consorciofia.info/cdr/ver_fuentes_w.php?NumCDR=13&amp;codEntidad=19807" TargetMode="External"/><Relationship Id="rId80" Type="http://schemas.openxmlformats.org/officeDocument/2006/relationships/hyperlink" Target="http://consorciofia.info/cdr/ver_fuentes_w.php?NumCDR=207&amp;codEntidad=19999" TargetMode="External"/><Relationship Id="rId155" Type="http://schemas.openxmlformats.org/officeDocument/2006/relationships/hyperlink" Target="http://consorciofia.info/cdr/ver_fuentes_w.php?NumCDR=203&amp;codEntidad=19999" TargetMode="External"/><Relationship Id="rId176" Type="http://schemas.openxmlformats.org/officeDocument/2006/relationships/hyperlink" Target="http://consorciofia.info/cdr/ver_fuentes_w.php?NumCDR=098&amp;codEntidad=19999" TargetMode="External"/><Relationship Id="rId197" Type="http://schemas.openxmlformats.org/officeDocument/2006/relationships/hyperlink" Target="http://consorciofia.info/cdr/ver_fuentes_w.php?NumCDR=141&amp;codEntidad=19999" TargetMode="External"/><Relationship Id="rId341" Type="http://schemas.openxmlformats.org/officeDocument/2006/relationships/hyperlink" Target="http://consorciofia.info/cdr/ver_fuentes_w.php?NumCDR=260&amp;codEntidad=19999" TargetMode="External"/><Relationship Id="rId362" Type="http://schemas.openxmlformats.org/officeDocument/2006/relationships/hyperlink" Target="http://consorciofia.info/cdr/ver_fuentes_w.php?NumCDR=272&amp;codEntidad=19999" TargetMode="External"/><Relationship Id="rId383" Type="http://schemas.openxmlformats.org/officeDocument/2006/relationships/hyperlink" Target="http://consorciofia.info/cdr/ver_fuentes_w.php?NumCDR=004&amp;codEntidad=19743" TargetMode="External"/><Relationship Id="rId418" Type="http://schemas.openxmlformats.org/officeDocument/2006/relationships/hyperlink" Target="http://consorciofia.info/cdr/ver_fuentes_w.php?NumCDR=15&amp;codEntidad=19532" TargetMode="External"/><Relationship Id="rId439" Type="http://schemas.openxmlformats.org/officeDocument/2006/relationships/hyperlink" Target="http://consorciofia.info/cdr/ver_fuentes_w.php?NumCDR=7&amp;codEntidad=19001%7d" TargetMode="External"/><Relationship Id="rId201" Type="http://schemas.openxmlformats.org/officeDocument/2006/relationships/hyperlink" Target="http://consorciofia.info/cdr/ver_fuentes_w.php?NumCDR=172&amp;codEntidad=19999" TargetMode="External"/><Relationship Id="rId222" Type="http://schemas.openxmlformats.org/officeDocument/2006/relationships/hyperlink" Target="http://consorciofia.info/cdr/ver_fuentes_w.php?NumCDR=0011&amp;codEntidad=19999" TargetMode="External"/><Relationship Id="rId243" Type="http://schemas.openxmlformats.org/officeDocument/2006/relationships/hyperlink" Target="http://consorciofia.info/cdr/ver_fuentes_w.php?NumCDR=002&amp;codEntidad=19110" TargetMode="External"/><Relationship Id="rId264" Type="http://schemas.openxmlformats.org/officeDocument/2006/relationships/hyperlink" Target="http://consorciofia.info/cdr/ver_fuentes_w.php?NumCDR=125&amp;codEntidad=19999" TargetMode="External"/><Relationship Id="rId285" Type="http://schemas.openxmlformats.org/officeDocument/2006/relationships/hyperlink" Target="http://consorciofia.info/cdr/ver_fuentes_w.php?NumCDR=219&amp;codEntidad=19999" TargetMode="External"/><Relationship Id="rId450" Type="http://schemas.openxmlformats.org/officeDocument/2006/relationships/hyperlink" Target="http://consorciofia.info/cdr/ver_fuentes_w.php?NumCDR=5&amp;codEntidad=19760" TargetMode="External"/><Relationship Id="rId471" Type="http://schemas.openxmlformats.org/officeDocument/2006/relationships/hyperlink" Target="http://consorciofia.info/cdr/ver_fuentes_w.php?NumCDR=15&amp;codEntidad=19318" TargetMode="External"/><Relationship Id="rId506" Type="http://schemas.openxmlformats.org/officeDocument/2006/relationships/hyperlink" Target="http://consorciofia.info/cdr/ver_fuentes_w.php?NumCDR=18&amp;codEntidad=19050" TargetMode="External"/><Relationship Id="rId17" Type="http://schemas.openxmlformats.org/officeDocument/2006/relationships/hyperlink" Target="http://consorciofia.info/cdr/ver_fuentes_w.php?NumCDR=008&amp;codEntidad=19999" TargetMode="External"/><Relationship Id="rId38" Type="http://schemas.openxmlformats.org/officeDocument/2006/relationships/hyperlink" Target="http://consorciofia.info/cdr/ver_fuentes_w.php?NumCDR=224&amp;codEntidad=19999" TargetMode="External"/><Relationship Id="rId59" Type="http://schemas.openxmlformats.org/officeDocument/2006/relationships/hyperlink" Target="http://consorciofia.info/cdr/ver_fuentes_w.php?NumCDR=038&amp;codEntidad=19999" TargetMode="External"/><Relationship Id="rId103" Type="http://schemas.openxmlformats.org/officeDocument/2006/relationships/hyperlink" Target="http://consorciofia.info/cdr/ver_fuentes_w.php?NumCDR=061&amp;codEntidad=19999" TargetMode="External"/><Relationship Id="rId124" Type="http://schemas.openxmlformats.org/officeDocument/2006/relationships/hyperlink" Target="../../../CRISTIAN/AppData/Roaming/Usuario/Downloads/Pagos%20CDRs%20FIA/CDR%20004%20-%20Contrato%20008-2010.jpg" TargetMode="External"/><Relationship Id="rId310" Type="http://schemas.openxmlformats.org/officeDocument/2006/relationships/hyperlink" Target="http://consorciofia.info/cdr/ver_fuentes_w.php?NumCDR=002&amp;codEntidad=19001" TargetMode="External"/><Relationship Id="rId492" Type="http://schemas.openxmlformats.org/officeDocument/2006/relationships/hyperlink" Target="http://consorciofia.info/cdr/ver_fuentes_w.php?NumCDR=333&amp;codEntidad=19999" TargetMode="External"/><Relationship Id="rId527" Type="http://schemas.openxmlformats.org/officeDocument/2006/relationships/hyperlink" Target="http://consorciofia.info/cdr/ver_fuentes_w.php?NumCDR=10&amp;codEntidad=19392" TargetMode="External"/><Relationship Id="rId548" Type="http://schemas.openxmlformats.org/officeDocument/2006/relationships/hyperlink" Target="http://consorciofia.info/cdr/ver_fuentes_w.php?NumCDR=2475&amp;codEntidad=19698" TargetMode="External"/><Relationship Id="rId569" Type="http://schemas.openxmlformats.org/officeDocument/2006/relationships/hyperlink" Target="http://consorciofia.info/cdr/ver_fuentes_w.php?NumCDR=2380&amp;codEntidad=19999" TargetMode="External"/><Relationship Id="rId70" Type="http://schemas.openxmlformats.org/officeDocument/2006/relationships/hyperlink" Target="http://consorciofia.info/cdr/ver_fuentes_w.php?NumCDR=049&amp;codEntidad=19999" TargetMode="External"/><Relationship Id="rId91" Type="http://schemas.openxmlformats.org/officeDocument/2006/relationships/hyperlink" Target="http://consorciofia.info/cdr/ver_fuentes_w.php?NumCDR=041&amp;codEntidad=19999" TargetMode="External"/><Relationship Id="rId145" Type="http://schemas.openxmlformats.org/officeDocument/2006/relationships/hyperlink" Target="http://consorciofia.info/cdr/ver_fuentes_w.php?NumCDR=102&amp;codEntidad=19999" TargetMode="External"/><Relationship Id="rId166" Type="http://schemas.openxmlformats.org/officeDocument/2006/relationships/hyperlink" Target="http://consorciofia.info/cdr/ver_fuentes_w.php?NumCDR=091&amp;codEntidad=19999" TargetMode="External"/><Relationship Id="rId187" Type="http://schemas.openxmlformats.org/officeDocument/2006/relationships/hyperlink" Target="http://consorciofia.info/cdr/ver_fuentes_w.php?NumCDR=237&amp;codEntidad=19999" TargetMode="External"/><Relationship Id="rId331" Type="http://schemas.openxmlformats.org/officeDocument/2006/relationships/hyperlink" Target="http://consorciofia.info/cdr/ver_fuentes_w.php?NumCDR=310&amp;codEntidad=19999" TargetMode="External"/><Relationship Id="rId352" Type="http://schemas.openxmlformats.org/officeDocument/2006/relationships/hyperlink" Target="http://consorciofia.info/cdr/ver_fuentes_w.php?NumCDR=252&amp;codEntidad=19999" TargetMode="External"/><Relationship Id="rId373" Type="http://schemas.openxmlformats.org/officeDocument/2006/relationships/hyperlink" Target="http://consorciofia.info/cdr/ver_fuentes_w.php?NumCDR=296&amp;codEntidad=19999" TargetMode="External"/><Relationship Id="rId394" Type="http://schemas.openxmlformats.org/officeDocument/2006/relationships/hyperlink" Target="http://consorciofia.info/cdr/ver_fuentes_w.php?NumCDR=304&amp;codEntidad=19999" TargetMode="External"/><Relationship Id="rId408" Type="http://schemas.openxmlformats.org/officeDocument/2006/relationships/hyperlink" Target="http://consorciofia.info/cdr/ver_fuentes_w.php?NumCDR=7&amp;codEntidad=19355" TargetMode="External"/><Relationship Id="rId429" Type="http://schemas.openxmlformats.org/officeDocument/2006/relationships/hyperlink" Target="http://consorciofia.info/cdr/ver_fuentes_w.php?NumCDR=174&amp;codEntidad=19999" TargetMode="External"/><Relationship Id="rId1" Type="http://schemas.openxmlformats.org/officeDocument/2006/relationships/hyperlink" Target="http://consorciofia.info/cdr/ver_fuentes_w.php?NumCDR=001&amp;codEntidad=19999" TargetMode="External"/><Relationship Id="rId212" Type="http://schemas.openxmlformats.org/officeDocument/2006/relationships/hyperlink" Target="http://consorciofia.info/cdr/ver_fuentes_w.php?NumCDR=010&amp;codEntidad=19999" TargetMode="External"/><Relationship Id="rId233" Type="http://schemas.openxmlformats.org/officeDocument/2006/relationships/hyperlink" Target="http://consorciofia.info/cdr/ver_fuentes_w.php?NumCDR=227&amp;codEntidad=19999" TargetMode="External"/><Relationship Id="rId254" Type="http://schemas.openxmlformats.org/officeDocument/2006/relationships/hyperlink" Target="http://consorciofia.info/cdr/ver_fuentes_w.php?NumCDR=070&amp;codEntidad=19999" TargetMode="External"/><Relationship Id="rId440" Type="http://schemas.openxmlformats.org/officeDocument/2006/relationships/hyperlink" Target="http://consorciofia.info/cdr/ver_fuentes_w.php?NumCDR=009&amp;codEntidad=19585" TargetMode="External"/><Relationship Id="rId28" Type="http://schemas.openxmlformats.org/officeDocument/2006/relationships/hyperlink" Target="http://consorciofia.info/cdr/ver_fuentes_w.php?NumCDR=017&amp;codEntidad=19999" TargetMode="External"/><Relationship Id="rId49" Type="http://schemas.openxmlformats.org/officeDocument/2006/relationships/hyperlink" Target="http://consorciofia.info/cdr/ver_fuentes_w.php?NumCDR=036&amp;codEntidad=19999" TargetMode="External"/><Relationship Id="rId114" Type="http://schemas.openxmlformats.org/officeDocument/2006/relationships/hyperlink" Target="http://consorciofia.info/cdr/ver_fuentes_w.php?NumCDR=057&amp;codEntidad=19999" TargetMode="External"/><Relationship Id="rId275" Type="http://schemas.openxmlformats.org/officeDocument/2006/relationships/hyperlink" Target="http://consorciofia.info/cdr/ver_fuentes_w.php?NumCDR=001&amp;codEntidad=19824" TargetMode="External"/><Relationship Id="rId296" Type="http://schemas.openxmlformats.org/officeDocument/2006/relationships/hyperlink" Target="https://www.youtube.com/watch?v=cdLhtafylgE&amp;index=2&amp;list=RDMMnt1d8X_meEg" TargetMode="External"/><Relationship Id="rId300" Type="http://schemas.openxmlformats.org/officeDocument/2006/relationships/hyperlink" Target="http://consorciofia.info/cdr/ver_fuentes_w.php?NumCDR=235&amp;codEntidad=19999" TargetMode="External"/><Relationship Id="rId461" Type="http://schemas.openxmlformats.org/officeDocument/2006/relationships/hyperlink" Target="http://consorciofia.info/cdr/ver_fuentes_w.php?NumCDR=10&amp;codEntidad=19355" TargetMode="External"/><Relationship Id="rId482" Type="http://schemas.openxmlformats.org/officeDocument/2006/relationships/hyperlink" Target="http://consorciofia.info/cdr/ver_fuentes_w.php?NumCDR=8&amp;codEntidad=19130" TargetMode="External"/><Relationship Id="rId517" Type="http://schemas.openxmlformats.org/officeDocument/2006/relationships/hyperlink" Target="http://consorciofia.info/cdr/ver_fuentes_w.php?NumCDR=338&amp;codEntidad=19999" TargetMode="External"/><Relationship Id="rId538" Type="http://schemas.openxmlformats.org/officeDocument/2006/relationships/hyperlink" Target="http://consorciofia.info/cdr/ver_fuentes_w.php?NumCDR=2371&amp;codEntidad=19760" TargetMode="External"/><Relationship Id="rId559" Type="http://schemas.openxmlformats.org/officeDocument/2006/relationships/hyperlink" Target="http://consorciofia.info/cdr/ver_fuentes_w.php?NumCDR=2386&amp;codEntidad=19075" TargetMode="External"/><Relationship Id="rId60" Type="http://schemas.openxmlformats.org/officeDocument/2006/relationships/hyperlink" Target="http://consorciofia.info/cdr/ver_fuentes_w.php?NumCDR=038&amp;codEntidad=19999" TargetMode="External"/><Relationship Id="rId81" Type="http://schemas.openxmlformats.org/officeDocument/2006/relationships/hyperlink" Target="http://consorciofia.info/cdr/ver_fuentes_w.php?NumCDR=208&amp;codEntidad=19999" TargetMode="External"/><Relationship Id="rId135" Type="http://schemas.openxmlformats.org/officeDocument/2006/relationships/hyperlink" Target="http://consorciofia.info/cdr/ver_fuentes_w.php?NumCDR=088&amp;codEntidad=19999" TargetMode="External"/><Relationship Id="rId156" Type="http://schemas.openxmlformats.org/officeDocument/2006/relationships/hyperlink" Target="http://consorciofia.info/cdr/ver_fuentes_w.php?NumCDR=108&amp;codEntidad=19999" TargetMode="External"/><Relationship Id="rId177" Type="http://schemas.openxmlformats.org/officeDocument/2006/relationships/hyperlink" Target="http://consorciofia.info/cdr/ver_fuentes_w.php?NumCDR=001&amp;codEntidad=19397" TargetMode="External"/><Relationship Id="rId198" Type="http://schemas.openxmlformats.org/officeDocument/2006/relationships/hyperlink" Target="http://consorciofia.info/cdr/ver_fuentes_w.php?NumCDR=142&amp;codEntidad=19999" TargetMode="External"/><Relationship Id="rId321" Type="http://schemas.openxmlformats.org/officeDocument/2006/relationships/hyperlink" Target="http://consorciofia.info/cdr/ver_fuentes_w.php?NumCDR=004&amp;codEntidad=19780" TargetMode="External"/><Relationship Id="rId342" Type="http://schemas.openxmlformats.org/officeDocument/2006/relationships/hyperlink" Target="http://consorciofia.info/cdr/ver_fuentes_w.php?NumCDR=005&amp;codEntidad=19532" TargetMode="External"/><Relationship Id="rId363" Type="http://schemas.openxmlformats.org/officeDocument/2006/relationships/hyperlink" Target="http://consorciofia.info/cdr/ver_fuentes_w.php?NumCDR=15&amp;codEntidad=19050" TargetMode="External"/><Relationship Id="rId384" Type="http://schemas.openxmlformats.org/officeDocument/2006/relationships/hyperlink" Target="http://consorciofia.info/cdr/ver_fuentes_w.php?NumCDR=289&amp;codEntidad=19999" TargetMode="External"/><Relationship Id="rId419" Type="http://schemas.openxmlformats.org/officeDocument/2006/relationships/hyperlink" Target="http://consorciofia.info/cdr/ver_fuentes_w.php?NumCDR=076&amp;codEntidad=19999" TargetMode="External"/><Relationship Id="rId570" Type="http://schemas.openxmlformats.org/officeDocument/2006/relationships/printerSettings" Target="../printerSettings/printerSettings1.bin"/><Relationship Id="rId202" Type="http://schemas.openxmlformats.org/officeDocument/2006/relationships/hyperlink" Target="http://consorciofia.info/cdr/ver_fuentes_w.php?NumCDR=138&amp;codEntidad=19999" TargetMode="External"/><Relationship Id="rId223" Type="http://schemas.openxmlformats.org/officeDocument/2006/relationships/hyperlink" Target="http://consorciofia.info/cdr/ver_fuentes_w.php?NumCDR=0011&amp;codEntidad=19999" TargetMode="External"/><Relationship Id="rId244" Type="http://schemas.openxmlformats.org/officeDocument/2006/relationships/hyperlink" Target="http://consorciofia.info/cdr/ver_fuentes_w.php?NumCDR=134&amp;codEntidad=19999" TargetMode="External"/><Relationship Id="rId430" Type="http://schemas.openxmlformats.org/officeDocument/2006/relationships/hyperlink" Target="http://consorciofia.info/cdr/ver_fuentes_w.php?NumCDR=126&amp;codEntidad=19999" TargetMode="External"/><Relationship Id="rId18" Type="http://schemas.openxmlformats.org/officeDocument/2006/relationships/hyperlink" Target="http://consorciofia.info/cdr/ver_fuentes_w.php?NumCDR=008&amp;codEntidad=19999" TargetMode="External"/><Relationship Id="rId39" Type="http://schemas.openxmlformats.org/officeDocument/2006/relationships/hyperlink" Target="http://consorciofia.info/cdr/ver_fuentes_w.php?NumCDR=224&amp;codEntidad=19999" TargetMode="External"/><Relationship Id="rId265" Type="http://schemas.openxmlformats.org/officeDocument/2006/relationships/hyperlink" Target="http://consorciofia.info/cdr/ver_fuentes_w.php?NumCDR=001&amp;codEntidad=19513" TargetMode="External"/><Relationship Id="rId286" Type="http://schemas.openxmlformats.org/officeDocument/2006/relationships/hyperlink" Target="http://consorciofia.info/cdr/ver_fuentes_w.php?NumCDR=213&amp;codEntidad=19999" TargetMode="External"/><Relationship Id="rId451" Type="http://schemas.openxmlformats.org/officeDocument/2006/relationships/hyperlink" Target="http://consorciofia.info/cdr/ver_fuentes_w.php?NumCDR=6&amp;codEntidad=19355" TargetMode="External"/><Relationship Id="rId472" Type="http://schemas.openxmlformats.org/officeDocument/2006/relationships/hyperlink" Target="http://consorciofia.info/cdr/ver_fuentes_w.php?NumCDR=5&amp;codEntidad=19821" TargetMode="External"/><Relationship Id="rId493" Type="http://schemas.openxmlformats.org/officeDocument/2006/relationships/hyperlink" Target="http://consorciofia.info/cdr/ver_fuentes_w.php?NumCDR=9&amp;codEntidad=19392" TargetMode="External"/><Relationship Id="rId507" Type="http://schemas.openxmlformats.org/officeDocument/2006/relationships/hyperlink" Target="http://consorciofia.info/cdr/ver_fuentes_w.php?NumCDR=10&amp;codEntidad=19824" TargetMode="External"/><Relationship Id="rId528" Type="http://schemas.openxmlformats.org/officeDocument/2006/relationships/hyperlink" Target="http://consorciofia.info/cdr/ver_fuentes_w.php?NumCDR=012&amp;codEntidad=19999" TargetMode="External"/><Relationship Id="rId549" Type="http://schemas.openxmlformats.org/officeDocument/2006/relationships/hyperlink" Target="http://consorciofia.info/cdr/ver_fuentes_w.php?NumCDR=2476&amp;codEntidad=19450" TargetMode="External"/><Relationship Id="rId50" Type="http://schemas.openxmlformats.org/officeDocument/2006/relationships/hyperlink" Target="http://consorciofia.info/cdr/ver_fuentes_w.php?NumCDR=036&amp;codEntidad=19999" TargetMode="External"/><Relationship Id="rId104" Type="http://schemas.openxmlformats.org/officeDocument/2006/relationships/hyperlink" Target="http://consorciofia.info/cdr/ver_fuentes_w.php?NumCDR=062&amp;codEntidad=19999" TargetMode="External"/><Relationship Id="rId125" Type="http://schemas.openxmlformats.org/officeDocument/2006/relationships/hyperlink" Target="../../../CRISTIAN/AppData/Roaming/Usuario/Downloads/Pagos%20CDRs%20FIA/CDR%20004%20-%20Contrato%20008-2010.jpg" TargetMode="External"/><Relationship Id="rId146" Type="http://schemas.openxmlformats.org/officeDocument/2006/relationships/hyperlink" Target="http://consorciofia.info/cdr/ver_fuentes_w.php?NumCDR=103&amp;codEntidad=19999" TargetMode="External"/><Relationship Id="rId167" Type="http://schemas.openxmlformats.org/officeDocument/2006/relationships/hyperlink" Target="http://consorciofia.info/cdr/ver_fuentes_w.php?NumCDR=174&amp;codEntidad=19999" TargetMode="External"/><Relationship Id="rId188" Type="http://schemas.openxmlformats.org/officeDocument/2006/relationships/hyperlink" Target="http://consorciofia.info/cdr/ver_fuentes_w.php?NumCDR=234&amp;codEntidad=19999" TargetMode="External"/><Relationship Id="rId311" Type="http://schemas.openxmlformats.org/officeDocument/2006/relationships/hyperlink" Target="http://consorciofia.info/cdr/ver_fuentes_w.php?NumCDR=230&amp;codEntidad=19999" TargetMode="External"/><Relationship Id="rId332" Type="http://schemas.openxmlformats.org/officeDocument/2006/relationships/hyperlink" Target="http://consorciofia.info/cdr/ver_fuentes_w.php?NumCDR=263&amp;codEntidad=19999" TargetMode="External"/><Relationship Id="rId353" Type="http://schemas.openxmlformats.org/officeDocument/2006/relationships/hyperlink" Target="http://consorciofia.info/cdr/ver_fuentes_w.php?NumCDR=262&amp;codEntidad=19999" TargetMode="External"/><Relationship Id="rId374" Type="http://schemas.openxmlformats.org/officeDocument/2006/relationships/hyperlink" Target="http://consorciofia.info/cdr/ver_fuentes_w.php?NumCDR=284&amp;codEntidad=19999" TargetMode="External"/><Relationship Id="rId395" Type="http://schemas.openxmlformats.org/officeDocument/2006/relationships/hyperlink" Target="http://consorciofia.info/cdr/ver_fuentes_w.php?NumCDR=008&amp;codEntidad=19585" TargetMode="External"/><Relationship Id="rId409" Type="http://schemas.openxmlformats.org/officeDocument/2006/relationships/hyperlink" Target="http://consorciofia.info/cdr/ver_fuentes_w.php?NumCDR=17&amp;codEntidad=19050" TargetMode="External"/><Relationship Id="rId560" Type="http://schemas.openxmlformats.org/officeDocument/2006/relationships/hyperlink" Target="http://consorciofia.info/cdr/ver_fuentes_w.php?NumCDR=2878&amp;codEntidad=19392" TargetMode="External"/><Relationship Id="rId71" Type="http://schemas.openxmlformats.org/officeDocument/2006/relationships/hyperlink" Target="http://consorciofia.info/cdr/ver_fuentes_w.php?NumCDR=049&amp;codEntidad=19999" TargetMode="External"/><Relationship Id="rId92" Type="http://schemas.openxmlformats.org/officeDocument/2006/relationships/hyperlink" Target="http://consorciofia.info/cdr/ver_fuentes_w.php?NumCDR=042&amp;codEntidad=19999" TargetMode="External"/><Relationship Id="rId213" Type="http://schemas.openxmlformats.org/officeDocument/2006/relationships/hyperlink" Target="http://consorciofia.info/cdr/ver_fuentes_w.php?NumCDR=011&amp;codEntidad=19999" TargetMode="External"/><Relationship Id="rId234" Type="http://schemas.openxmlformats.org/officeDocument/2006/relationships/hyperlink" Target="http://consorciofia.info/cdr/ver_fuentes_w.php?NumCDR=236&amp;codEntidad=19999" TargetMode="External"/><Relationship Id="rId420" Type="http://schemas.openxmlformats.org/officeDocument/2006/relationships/hyperlink" Target="http://consorciofia.info/cdr/ver_fuentes_w.php?NumCDR=077&amp;codEntidad=19999" TargetMode="External"/><Relationship Id="rId2" Type="http://schemas.openxmlformats.org/officeDocument/2006/relationships/hyperlink" Target="http://consorciofia.info/cdr/ver_fuentes_w.php?NumCDR=001&amp;codEntidad=19999" TargetMode="External"/><Relationship Id="rId29" Type="http://schemas.openxmlformats.org/officeDocument/2006/relationships/hyperlink" Target="http://consorciofia.info/cdr/ver_fuentes_w.php?NumCDR=020&amp;codEntidad=19999" TargetMode="External"/><Relationship Id="rId255" Type="http://schemas.openxmlformats.org/officeDocument/2006/relationships/hyperlink" Target="http://consorciofia.info/cdr/ver_fuentes_w.php?NumCDR=071&amp;codEntidad=19999" TargetMode="External"/><Relationship Id="rId276" Type="http://schemas.openxmlformats.org/officeDocument/2006/relationships/hyperlink" Target="http://consorciofia.info/cdr/ver_fuentes_w.php?NumCDR=005&amp;codEntidad=19824" TargetMode="External"/><Relationship Id="rId297" Type="http://schemas.openxmlformats.org/officeDocument/2006/relationships/hyperlink" Target="http://consorciofia.info/cdr/ver_fuentes_w.php?NumCDR=174&amp;codEntidad=19999" TargetMode="External"/><Relationship Id="rId441" Type="http://schemas.openxmlformats.org/officeDocument/2006/relationships/hyperlink" Target="http://consorciofia.info/cdr/ver_fuentes_w.php?NumCDR=313&amp;codEntidad=19999" TargetMode="External"/><Relationship Id="rId462" Type="http://schemas.openxmlformats.org/officeDocument/2006/relationships/hyperlink" Target="http://consorciofia.info/cdr/ver_fuentes_w.php?NumCDR=6&amp;codEntidad=19533" TargetMode="External"/><Relationship Id="rId483" Type="http://schemas.openxmlformats.org/officeDocument/2006/relationships/hyperlink" Target="http://consorciofia.info/cdr/ver_fuentes_w.php?NumCDR=3&amp;codEntidad=19548" TargetMode="External"/><Relationship Id="rId518" Type="http://schemas.openxmlformats.org/officeDocument/2006/relationships/hyperlink" Target="http://consorciofia.info/cdr/ver_fuentes_w.php?NumCDR=16&amp;codEntidad=19110" TargetMode="External"/><Relationship Id="rId539" Type="http://schemas.openxmlformats.org/officeDocument/2006/relationships/hyperlink" Target="http://consorciofia.info/cdr/ver_fuentes_w.php?NumCDR=2366&amp;codEntidad=19318" TargetMode="External"/><Relationship Id="rId40" Type="http://schemas.openxmlformats.org/officeDocument/2006/relationships/hyperlink" Target="http://consorciofia.info/cdr/ver_fuentes_w.php?NumCDR=025&amp;codEntidad=19999" TargetMode="External"/><Relationship Id="rId115" Type="http://schemas.openxmlformats.org/officeDocument/2006/relationships/hyperlink" Target="http://consorciofia.info/cdr/ver_fuentes_w.php?NumCDR=197&amp;codEntidad=19999" TargetMode="External"/><Relationship Id="rId136" Type="http://schemas.openxmlformats.org/officeDocument/2006/relationships/hyperlink" Target="http://consorciofia.info/cdr/ver_fuentes_w.php?NumCDR=095&amp;codEntidad=19999" TargetMode="External"/><Relationship Id="rId157" Type="http://schemas.openxmlformats.org/officeDocument/2006/relationships/hyperlink" Target="http://consorciofia.info/cdr/ver_fuentes_w.php?NumCDR=107&amp;codEntidad=19999" TargetMode="External"/><Relationship Id="rId178" Type="http://schemas.openxmlformats.org/officeDocument/2006/relationships/hyperlink" Target="http://consorciofia.info/cdr/ver_fuentes_w.php?NumCDR=002&amp;codEntidad=19397" TargetMode="External"/><Relationship Id="rId301" Type="http://schemas.openxmlformats.org/officeDocument/2006/relationships/hyperlink" Target="http://consorciofia.info/cdr/ver_fuentes_w.php?NumCDR=212&amp;codEntidad=19999" TargetMode="External"/><Relationship Id="rId322" Type="http://schemas.openxmlformats.org/officeDocument/2006/relationships/hyperlink" Target="http://consorciofia.info/cdr/ver_fuentes_w.php?NumCDR=5&amp;codEntidad=19780" TargetMode="External"/><Relationship Id="rId343" Type="http://schemas.openxmlformats.org/officeDocument/2006/relationships/hyperlink" Target="http://consorciofia.info/cdr/ver_fuentes_w.php?NumCDR=258&amp;codEntidad=19999" TargetMode="External"/><Relationship Id="rId364" Type="http://schemas.openxmlformats.org/officeDocument/2006/relationships/hyperlink" Target="http://consorciofia.info/cdr/ver_fuentes_w.php?NumCDR=21&amp;codEntidad=19050" TargetMode="External"/><Relationship Id="rId550" Type="http://schemas.openxmlformats.org/officeDocument/2006/relationships/hyperlink" Target="http://consorciofia.info/cdr/ver_fuentes_w.php?NumCDR=2477&amp;codEntidad=19130" TargetMode="External"/><Relationship Id="rId61" Type="http://schemas.openxmlformats.org/officeDocument/2006/relationships/hyperlink" Target="http://consorciofia.info/cdr/ver_fuentes_w.php?NumCDR=038&amp;codEntidad=19999" TargetMode="External"/><Relationship Id="rId82" Type="http://schemas.openxmlformats.org/officeDocument/2006/relationships/hyperlink" Target="http://consorciofia.info/cdr/ver_fuentes_w.php?NumCDR=017&amp;codEntidad=19999" TargetMode="External"/><Relationship Id="rId199" Type="http://schemas.openxmlformats.org/officeDocument/2006/relationships/hyperlink" Target="http://consorciofia.info/cdr/ver_fuentes_w.php?NumCDR=170&amp;codEntidad=19999" TargetMode="External"/><Relationship Id="rId203" Type="http://schemas.openxmlformats.org/officeDocument/2006/relationships/hyperlink" Target="http://consorciofia.info/cdr/ver_fuentes_w.php?NumCDR=189&amp;codEntidad=19999" TargetMode="External"/><Relationship Id="rId385" Type="http://schemas.openxmlformats.org/officeDocument/2006/relationships/hyperlink" Target="http://consorciofia.info/cdr/ver_fuentes_w.php?NumCDR=342&amp;codEntidad=19999" TargetMode="External"/><Relationship Id="rId571" Type="http://schemas.openxmlformats.org/officeDocument/2006/relationships/drawing" Target="../drawings/drawing1.xml"/><Relationship Id="rId19" Type="http://schemas.openxmlformats.org/officeDocument/2006/relationships/hyperlink" Target="http://consorciofia.info/cdr/ver_fuentes_w.php?NumCDR=164&amp;codEntidad=19999" TargetMode="External"/><Relationship Id="rId224" Type="http://schemas.openxmlformats.org/officeDocument/2006/relationships/hyperlink" Target="http://consorciofia.info/cdr/ver_fuentes_w.php?NumCDR=028&amp;codEntidad=19999" TargetMode="External"/><Relationship Id="rId245" Type="http://schemas.openxmlformats.org/officeDocument/2006/relationships/hyperlink" Target="http://consorciofia.info/cdr/ver_fuentes_w.php?NumCDR=009&amp;codEntidad=19999" TargetMode="External"/><Relationship Id="rId266" Type="http://schemas.openxmlformats.org/officeDocument/2006/relationships/hyperlink" Target="http://consorciofia.info/cdr/ver_fuentes_w.php?NumCDR=125&amp;codEntidad=19999" TargetMode="External"/><Relationship Id="rId287" Type="http://schemas.openxmlformats.org/officeDocument/2006/relationships/hyperlink" Target="http://consorciofia.info/cdr/ver_fuentes_w.php?NumCDR=211&amp;codEntidad=19999" TargetMode="External"/><Relationship Id="rId410" Type="http://schemas.openxmlformats.org/officeDocument/2006/relationships/hyperlink" Target="http://consorciofia.info/cdr/ver_fuentes_w.php?NumCDR=6&amp;codEntidad=19760" TargetMode="External"/><Relationship Id="rId431" Type="http://schemas.openxmlformats.org/officeDocument/2006/relationships/hyperlink" Target="http://consorciofia.info/cdr/ver_fuentes_w.php?NumCDR=231&amp;codEntidad=19999" TargetMode="External"/><Relationship Id="rId452" Type="http://schemas.openxmlformats.org/officeDocument/2006/relationships/hyperlink" Target="http://consorciofia.info/cdr/ver_fuentes_w.php?NumCDR=4&amp;codEntidad=19142" TargetMode="External"/><Relationship Id="rId473" Type="http://schemas.openxmlformats.org/officeDocument/2006/relationships/hyperlink" Target="http://consorciofia.info/cdr/ver_fuentes_w.php?NumCDR=316&amp;codEntidad=19999" TargetMode="External"/><Relationship Id="rId494" Type="http://schemas.openxmlformats.org/officeDocument/2006/relationships/hyperlink" Target="http://consorciofia.info/cdr/ver_fuentes_w.php?NumCDR=6&amp;codEntidad=19701" TargetMode="External"/><Relationship Id="rId508" Type="http://schemas.openxmlformats.org/officeDocument/2006/relationships/hyperlink" Target="http://consorciofia.info/cdr/ver_fuentes_w.php?NumCDR=9&amp;codEntidad=19397" TargetMode="External"/><Relationship Id="rId529" Type="http://schemas.openxmlformats.org/officeDocument/2006/relationships/hyperlink" Target="http://consorciofia.info/cdr/ver_fuentes_w.php?NumCDR=2379&amp;codEntidad=19050" TargetMode="External"/><Relationship Id="rId30" Type="http://schemas.openxmlformats.org/officeDocument/2006/relationships/hyperlink" Target="http://consorciofia.info/cdr/ver_fuentes_w.php?NumCDR=020&amp;codEntidad=19999" TargetMode="External"/><Relationship Id="rId105" Type="http://schemas.openxmlformats.org/officeDocument/2006/relationships/hyperlink" Target="http://consorciofia.info/cdr/ver_fuentes_w.php?NumCDR=063&amp;codEntidad=19999" TargetMode="External"/><Relationship Id="rId126" Type="http://schemas.openxmlformats.org/officeDocument/2006/relationships/hyperlink" Target="../../../CRISTIAN/AppData/Roaming/Usuario/Downloads/Pagos%20CDRs%20FIA/CDR%20191%20-%20Contrato%20008-2010.jpg" TargetMode="External"/><Relationship Id="rId147" Type="http://schemas.openxmlformats.org/officeDocument/2006/relationships/hyperlink" Target="http://consorciofia.info/cdr/ver_fuentes_w.php?NumCDR=104&amp;codEntidad=19999" TargetMode="External"/><Relationship Id="rId168" Type="http://schemas.openxmlformats.org/officeDocument/2006/relationships/hyperlink" Target="http://consorciofia.info/cdr/ver_fuentes_w.php?NumCDR=092&amp;codEntidad=19999" TargetMode="External"/><Relationship Id="rId312" Type="http://schemas.openxmlformats.org/officeDocument/2006/relationships/hyperlink" Target="http://consorciofia.info/cdr/ver_fuentes_w.php?NumCDR=004&amp;codEntidad=19473" TargetMode="External"/><Relationship Id="rId333" Type="http://schemas.openxmlformats.org/officeDocument/2006/relationships/hyperlink" Target="http://consorciofia.info/cdr/ver_fuentes_w.php?NumCDR=14&amp;codEntidad=19050" TargetMode="External"/><Relationship Id="rId354" Type="http://schemas.openxmlformats.org/officeDocument/2006/relationships/hyperlink" Target="http://consorciofia.info/cdr/ver_fuentes_w.php?NumCDR=250&amp;codEntidad=19999" TargetMode="External"/><Relationship Id="rId540" Type="http://schemas.openxmlformats.org/officeDocument/2006/relationships/hyperlink" Target="http://consorciofia.info/cdr/ver_fuentes_w.php?NumCDR=2385&amp;codEntidad=19532" TargetMode="External"/><Relationship Id="rId51" Type="http://schemas.openxmlformats.org/officeDocument/2006/relationships/hyperlink" Target="http://consorciofia.info/cdr/ver_fuentes_w.php?NumCDR=036&amp;codEntidad=19999" TargetMode="External"/><Relationship Id="rId72" Type="http://schemas.openxmlformats.org/officeDocument/2006/relationships/hyperlink" Target="http://consorciofia.info/cdr/ver_fuentes_w.php?NumCDR=140&amp;codEntidad=19999" TargetMode="External"/><Relationship Id="rId93" Type="http://schemas.openxmlformats.org/officeDocument/2006/relationships/hyperlink" Target="http://consorciofia.info/cdr/ver_fuentes_w.php?NumCDR=043&amp;codEntidad=19999" TargetMode="External"/><Relationship Id="rId189" Type="http://schemas.openxmlformats.org/officeDocument/2006/relationships/hyperlink" Target="http://consorciofia.info/cdr/ver_fuentes_w.php?NumCDR=156&amp;codEntidad=19999" TargetMode="External"/><Relationship Id="rId375" Type="http://schemas.openxmlformats.org/officeDocument/2006/relationships/hyperlink" Target="http://consorciofia.info/cdr/ver_fuentes_w.php?NumCDR=285&amp;codEntidad=19999" TargetMode="External"/><Relationship Id="rId396" Type="http://schemas.openxmlformats.org/officeDocument/2006/relationships/hyperlink" Target="http://consorciofia.info/cdr/ver_fuentes_w.php?NumCDR=004&amp;codEntidad=19418" TargetMode="External"/><Relationship Id="rId561" Type="http://schemas.openxmlformats.org/officeDocument/2006/relationships/hyperlink" Target="http://consorciofia.info/cdr/ver_fuentes_w.php?NumCDR=2374&amp;codEntidad=19110" TargetMode="External"/><Relationship Id="rId3" Type="http://schemas.openxmlformats.org/officeDocument/2006/relationships/hyperlink" Target="http://consorciofia.info/cdr/ver_fuentes_w.php?NumCDR=001&amp;codEntidad=19999" TargetMode="External"/><Relationship Id="rId214" Type="http://schemas.openxmlformats.org/officeDocument/2006/relationships/hyperlink" Target="http://consorciofia.info/cdr/ver_fuentes_w.php?NumCDR=159&amp;codEntidad=19999" TargetMode="External"/><Relationship Id="rId235" Type="http://schemas.openxmlformats.org/officeDocument/2006/relationships/hyperlink" Target="http://consorciofia.info/cdr/ver_fuentes_w.php?NumCDR=001&amp;codEntidad=19110" TargetMode="External"/><Relationship Id="rId256" Type="http://schemas.openxmlformats.org/officeDocument/2006/relationships/hyperlink" Target="http://consorciofia.info/cdr/ver_fuentes_w.php?NumCDR=168&amp;codEntidad=19999" TargetMode="External"/><Relationship Id="rId277" Type="http://schemas.openxmlformats.org/officeDocument/2006/relationships/hyperlink" Target="http://consorciofia.info/cdr/ver_fuentes_w.php?NumCDR=183&amp;codEntidad=19999" TargetMode="External"/><Relationship Id="rId298" Type="http://schemas.openxmlformats.org/officeDocument/2006/relationships/hyperlink" Target="http://consorciofia.info/cdr/ver_fuentes_w.php?NumCDR=174&amp;codEntidad=19999" TargetMode="External"/><Relationship Id="rId400" Type="http://schemas.openxmlformats.org/officeDocument/2006/relationships/hyperlink" Target="http://consorciofia.info/cdr/ver_fuentes_w.php?NumCDR=005&amp;codEntidad=19418" TargetMode="External"/><Relationship Id="rId421" Type="http://schemas.openxmlformats.org/officeDocument/2006/relationships/hyperlink" Target="http://consorciofia.info/cdr/ver_fuentes_w.php?NumCDR=078&amp;codEntidad=19999" TargetMode="External"/><Relationship Id="rId442" Type="http://schemas.openxmlformats.org/officeDocument/2006/relationships/hyperlink" Target="http://consorciofia.info/cdr/ver_fuentes_w.php?NumCDR=6&amp;codEntidad=19473" TargetMode="External"/><Relationship Id="rId463" Type="http://schemas.openxmlformats.org/officeDocument/2006/relationships/hyperlink" Target="http://consorciofia.info/cdr/ver_fuentes_w.php?NumCDR=9&amp;codEntidad=19130" TargetMode="External"/><Relationship Id="rId484" Type="http://schemas.openxmlformats.org/officeDocument/2006/relationships/hyperlink" Target="http://consorciofia.info/cdr/ver_fuentes_w.php?NumCDR=11&amp;codEntidad=19355" TargetMode="External"/><Relationship Id="rId519" Type="http://schemas.openxmlformats.org/officeDocument/2006/relationships/hyperlink" Target="http://consorciofia.info/cdr/ver_fuentes_w.php?NumCDR=10&amp;codEntidad=19142" TargetMode="External"/><Relationship Id="rId116" Type="http://schemas.openxmlformats.org/officeDocument/2006/relationships/hyperlink" Target="http://consorciofia.info/cdr/ver_fuentes_w.php?NumCDR=081&amp;codEntidad=19999" TargetMode="External"/><Relationship Id="rId137" Type="http://schemas.openxmlformats.org/officeDocument/2006/relationships/hyperlink" Target="http://consorciofia.info/cdr/ver_fuentes_w.php?NumCDR=089&amp;codEntidad=19999" TargetMode="External"/><Relationship Id="rId158" Type="http://schemas.openxmlformats.org/officeDocument/2006/relationships/hyperlink" Target="http://consorciofia.info/cdr/ver_fuentes_w.php?NumCDR=188&amp;codEntidad=19999" TargetMode="External"/><Relationship Id="rId302" Type="http://schemas.openxmlformats.org/officeDocument/2006/relationships/hyperlink" Target="http://consorciofia.info/cdr/ver_fuentes_w.php?NumCDR=214&amp;codEntidad=19999" TargetMode="External"/><Relationship Id="rId323" Type="http://schemas.openxmlformats.org/officeDocument/2006/relationships/hyperlink" Target="http://consorciofia.info/cdr/ver_fuentes_w.php?NumCDR=253&amp;codEntidad=19999" TargetMode="External"/><Relationship Id="rId344" Type="http://schemas.openxmlformats.org/officeDocument/2006/relationships/hyperlink" Target="http://consorciofia.info/cdr/ver_fuentes_w.php?NumCDR=004&amp;codEntidad=19100" TargetMode="External"/><Relationship Id="rId530" Type="http://schemas.openxmlformats.org/officeDocument/2006/relationships/hyperlink" Target="http://consorciofia.info/cdr/ver_fuentes_w.php?NumCDR=2370&amp;codEntidad=19760" TargetMode="External"/><Relationship Id="rId20" Type="http://schemas.openxmlformats.org/officeDocument/2006/relationships/hyperlink" Target="http://consorciofia.info/cdr/ver_fuentes_w.php?NumCDR=014&amp;codEntidad=19999" TargetMode="External"/><Relationship Id="rId41" Type="http://schemas.openxmlformats.org/officeDocument/2006/relationships/hyperlink" Target="http://consorciofia.info/cdr/ver_fuentes_w.php?NumCDR=025&amp;codEntidad=19999" TargetMode="External"/><Relationship Id="rId62" Type="http://schemas.openxmlformats.org/officeDocument/2006/relationships/hyperlink" Target="http://consorciofia.info/cdr/ver_fuentes_w.php?NumCDR=038&amp;codEntidad=19999" TargetMode="External"/><Relationship Id="rId83" Type="http://schemas.openxmlformats.org/officeDocument/2006/relationships/hyperlink" Target="http://consorciofia.info/cdr/ver_fuentes_w.php?NumCDR=160&amp;codEntidad=19999" TargetMode="External"/><Relationship Id="rId179" Type="http://schemas.openxmlformats.org/officeDocument/2006/relationships/hyperlink" Target="http://consorciofia.info/cdr/ver_fuentes_w.php?NumCDR=118&amp;codEntidad=19999" TargetMode="External"/><Relationship Id="rId365" Type="http://schemas.openxmlformats.org/officeDocument/2006/relationships/hyperlink" Target="http://consorciofia.info/cdr/ver_fuentes_w.php?NumCDR=277&amp;codEntidad=19999" TargetMode="External"/><Relationship Id="rId386" Type="http://schemas.openxmlformats.org/officeDocument/2006/relationships/hyperlink" Target="http://consorciofia.info/cdr/ver_fuentes_w.php?NumCDR=294&amp;codEntidad=19999" TargetMode="External"/><Relationship Id="rId551" Type="http://schemas.openxmlformats.org/officeDocument/2006/relationships/hyperlink" Target="http://consorciofia.info/cdr/ver_fuentes_w.php?NumCDR=016&amp;codEntidad=19999" TargetMode="External"/><Relationship Id="rId572" Type="http://schemas.openxmlformats.org/officeDocument/2006/relationships/vmlDrawing" Target="../drawings/vmlDrawing1.vml"/><Relationship Id="rId190" Type="http://schemas.openxmlformats.org/officeDocument/2006/relationships/hyperlink" Target="http://consorciofia.info/cdr/ver_fuentes_w.php?NumCDR=223&amp;codEntidad=19999" TargetMode="External"/><Relationship Id="rId204" Type="http://schemas.openxmlformats.org/officeDocument/2006/relationships/hyperlink" Target="http://consorciofia.info/cdr/ver_fuentes_w.php?NumCDR=173&amp;codEntidad=19999" TargetMode="External"/><Relationship Id="rId225" Type="http://schemas.openxmlformats.org/officeDocument/2006/relationships/hyperlink" Target="http://consorciofia.info/cdr/ver_fuentes_w.php?NumCDR=206&amp;codEntidad=19999" TargetMode="External"/><Relationship Id="rId246" Type="http://schemas.openxmlformats.org/officeDocument/2006/relationships/hyperlink" Target="http://consorciofia.info/cdr/ver_fuentes_w.php?NumCDR=129&amp;codEntidad=19999" TargetMode="External"/><Relationship Id="rId267" Type="http://schemas.openxmlformats.org/officeDocument/2006/relationships/hyperlink" Target="http://consorciofia.info/cdr/ver_fuentes_w.php?NumCDR=152&amp;codEntidad=19999" TargetMode="External"/><Relationship Id="rId288" Type="http://schemas.openxmlformats.org/officeDocument/2006/relationships/hyperlink" Target="http://consorciofia.info/cdr/ver_fuentes_w.php?NumCDR=215&amp;codEntidad=19999" TargetMode="External"/><Relationship Id="rId411" Type="http://schemas.openxmlformats.org/officeDocument/2006/relationships/hyperlink" Target="http://consorciofia.info/cdr/ver_fuentes_w.php?NumCDR=16&amp;codEntidad=19585" TargetMode="External"/><Relationship Id="rId432" Type="http://schemas.openxmlformats.org/officeDocument/2006/relationships/hyperlink" Target="http://consorciofia.info/cdr/ver_fuentes_w.php?NumCDR=273&amp;codEntidad=19999" TargetMode="External"/><Relationship Id="rId453" Type="http://schemas.openxmlformats.org/officeDocument/2006/relationships/hyperlink" Target="http://consorciofia.info/cdr/ver_fuentes_w.php?NumCDR=14&amp;codEntidad=19532" TargetMode="External"/><Relationship Id="rId474" Type="http://schemas.openxmlformats.org/officeDocument/2006/relationships/hyperlink" Target="http://consorciofia.info/cdr/ver_fuentes_w.php?NumCDR=322&amp;codEntidad=19999" TargetMode="External"/><Relationship Id="rId509" Type="http://schemas.openxmlformats.org/officeDocument/2006/relationships/hyperlink" Target="http://consorciofia.info/cdr/ver_fuentes_w.php?NumCDR=8&amp;codEntidad=19355" TargetMode="External"/><Relationship Id="rId106" Type="http://schemas.openxmlformats.org/officeDocument/2006/relationships/hyperlink" Target="http://consorciofia.info/cdr/ver_fuentes_w.php?NumCDR=064&amp;codEntidad=19999" TargetMode="External"/><Relationship Id="rId127" Type="http://schemas.openxmlformats.org/officeDocument/2006/relationships/hyperlink" Target="http://consorciofia.info/cdr/ver_fuentes_w.php?NumCDR=004&amp;codEntidad=19999" TargetMode="External"/><Relationship Id="rId313" Type="http://schemas.openxmlformats.org/officeDocument/2006/relationships/hyperlink" Target="http://consorciofia.info/cdr/ver_fuentes_w.php?NumCDR=228&amp;codEntidad=19999" TargetMode="External"/><Relationship Id="rId495" Type="http://schemas.openxmlformats.org/officeDocument/2006/relationships/hyperlink" Target="http://consorciofia.info/cdr/ver_fuentes_w.php?NumCDR=5&amp;codEntidad=19130" TargetMode="External"/><Relationship Id="rId10" Type="http://schemas.openxmlformats.org/officeDocument/2006/relationships/hyperlink" Target="http://consorciofia.info/cdr/ver_fuentes_w.php?NumCDR=029&amp;codEntidad=19999" TargetMode="External"/><Relationship Id="rId31" Type="http://schemas.openxmlformats.org/officeDocument/2006/relationships/hyperlink" Target="http://consorciofia.info/cdr/ver_fuentes_w.php?NumCDR=020&amp;codEntidad=19999" TargetMode="External"/><Relationship Id="rId52" Type="http://schemas.openxmlformats.org/officeDocument/2006/relationships/hyperlink" Target="http://consorciofia.info/cdr/ver_fuentes_w.php?NumCDR=036&amp;codEntidad=19999" TargetMode="External"/><Relationship Id="rId73" Type="http://schemas.openxmlformats.org/officeDocument/2006/relationships/hyperlink" Target="http://consorciofia.info/cdr/ver_fuentes_w.php?NumCDR=051&amp;codEntidad=19999" TargetMode="External"/><Relationship Id="rId94" Type="http://schemas.openxmlformats.org/officeDocument/2006/relationships/hyperlink" Target="http://consorciofia.info/cdr/ver_fuentes_w.php?NumCDR=044&amp;codEntidad=19999" TargetMode="External"/><Relationship Id="rId148" Type="http://schemas.openxmlformats.org/officeDocument/2006/relationships/hyperlink" Target="http://consorciofia.info/cdr/ver_fuentes_w.php?NumCDR=086&amp;codEntidad=19999" TargetMode="External"/><Relationship Id="rId169" Type="http://schemas.openxmlformats.org/officeDocument/2006/relationships/hyperlink" Target="http://consorciofia.info/cdr/ver_fuentes_w.php?NumCDR=094&amp;codEntidad=19999" TargetMode="External"/><Relationship Id="rId334" Type="http://schemas.openxmlformats.org/officeDocument/2006/relationships/hyperlink" Target="http://consorciofia.info/cdr/ver_fuentes_w.php?NumCDR=257&amp;codEntidad=19999" TargetMode="External"/><Relationship Id="rId355" Type="http://schemas.openxmlformats.org/officeDocument/2006/relationships/hyperlink" Target="http://consorciofia.info/cdr/ver_fuentes_w.php?NumCDR=256&amp;codEntidad=19999" TargetMode="External"/><Relationship Id="rId376" Type="http://schemas.openxmlformats.org/officeDocument/2006/relationships/hyperlink" Target="http://consorciofia.info/cdr/ver_fuentes_w.php?NumCDR=318&amp;codEntidad=19999" TargetMode="External"/><Relationship Id="rId397" Type="http://schemas.openxmlformats.org/officeDocument/2006/relationships/hyperlink" Target="http://consorciofia.info/cdr/ver_fuentes_w.php?NumCDR=174&amp;codEntidad=19999" TargetMode="External"/><Relationship Id="rId520" Type="http://schemas.openxmlformats.org/officeDocument/2006/relationships/hyperlink" Target="http://consorciofia.info/cdr/ver_fuentes_w.php?NumCDR=343&amp;codEntidad=19999" TargetMode="External"/><Relationship Id="rId541" Type="http://schemas.openxmlformats.org/officeDocument/2006/relationships/hyperlink" Target="http://consorciofia.info/cdr/ver_fuentes_w.php?NumCDR=2387&amp;codEntidad=19075" TargetMode="External"/><Relationship Id="rId562" Type="http://schemas.openxmlformats.org/officeDocument/2006/relationships/hyperlink" Target="http://consorciofia.info/cdr/ver_fuentes_w.php?NumCDR=2367&amp;codEntidad=19318" TargetMode="External"/><Relationship Id="rId4" Type="http://schemas.openxmlformats.org/officeDocument/2006/relationships/hyperlink" Target="http://consorciofia.info/cdr/ver_fuentes_w.php?NumCDR=174&amp;codEntidad=19999" TargetMode="External"/><Relationship Id="rId180" Type="http://schemas.openxmlformats.org/officeDocument/2006/relationships/hyperlink" Target="http://consorciofia.info/cdr/ver_fuentes_w.php?NumCDR=150&amp;codEntidad=19999" TargetMode="External"/><Relationship Id="rId215" Type="http://schemas.openxmlformats.org/officeDocument/2006/relationships/hyperlink" Target="http://consorciofia.info/cdr/ver_fuentes_w.php?NumCDR=011&amp;codEntidad=19999" TargetMode="External"/><Relationship Id="rId236" Type="http://schemas.openxmlformats.org/officeDocument/2006/relationships/hyperlink" Target="http://consorciofia.info/cdr/ver_fuentes_w.php?NumCDR=133&amp;codEntidad=19999" TargetMode="External"/><Relationship Id="rId257" Type="http://schemas.openxmlformats.org/officeDocument/2006/relationships/hyperlink" Target="http://consorciofia.info/cdr/ver_fuentes_w.php?NumCDR=174&amp;codEntidad=19999" TargetMode="External"/><Relationship Id="rId278" Type="http://schemas.openxmlformats.org/officeDocument/2006/relationships/hyperlink" Target="http://consorciofia.info/cdr/ver_fuentes_w.php?NumCDR=177&amp;codEntidad=19999" TargetMode="External"/><Relationship Id="rId401" Type="http://schemas.openxmlformats.org/officeDocument/2006/relationships/hyperlink" Target="http://consorciofia.info/cdr/ver_fuentes_w.php?NumCDR=174&amp;codEntidad=19999" TargetMode="External"/><Relationship Id="rId422" Type="http://schemas.openxmlformats.org/officeDocument/2006/relationships/hyperlink" Target="http://consorciofia.info/cdr/ver_fuentes_w.php?NumCDR=079&amp;codEntidad=19999" TargetMode="External"/><Relationship Id="rId443" Type="http://schemas.openxmlformats.org/officeDocument/2006/relationships/hyperlink" Target="http://consorciofia.info/cdr/ver_fuentes_w.php?NumCDR=8&amp;codEntidad=19548" TargetMode="External"/><Relationship Id="rId464" Type="http://schemas.openxmlformats.org/officeDocument/2006/relationships/hyperlink" Target="http://consorciofia.info/cdr/ver_fuentes_w.php?NumCDR=9&amp;codEntidad=19318" TargetMode="External"/><Relationship Id="rId303" Type="http://schemas.openxmlformats.org/officeDocument/2006/relationships/hyperlink" Target="http://consorciofia.info/cdr/ver_fuentes_w.php?NumCDR=220&amp;codEntidad=19999" TargetMode="External"/><Relationship Id="rId485" Type="http://schemas.openxmlformats.org/officeDocument/2006/relationships/hyperlink" Target="http://consorciofia.info/cdr/ver_fuentes_w.php?NumCDR=7&amp;codEntidad=19533" TargetMode="External"/><Relationship Id="rId42" Type="http://schemas.openxmlformats.org/officeDocument/2006/relationships/hyperlink" Target="http://consorciofia.info/cdr/ver_fuentes_w.php?NumCDR=016&amp;codEntidad=19999" TargetMode="External"/><Relationship Id="rId84" Type="http://schemas.openxmlformats.org/officeDocument/2006/relationships/hyperlink" Target="http://consorciofia.info/cdr/ver_fuentes_w.php?NumCDR=051&amp;codEntidad=19999" TargetMode="External"/><Relationship Id="rId138" Type="http://schemas.openxmlformats.org/officeDocument/2006/relationships/hyperlink" Target="http://consorciofia.info/cdr/ver_fuentes_w.php?NumCDR=097&amp;codEntidad=19999" TargetMode="External"/><Relationship Id="rId345" Type="http://schemas.openxmlformats.org/officeDocument/2006/relationships/hyperlink" Target="http://consorciofia.info/cdr/ver_fuentes_w.php?NumCDR=311&amp;codEntidad=19999" TargetMode="External"/><Relationship Id="rId387" Type="http://schemas.openxmlformats.org/officeDocument/2006/relationships/hyperlink" Target="http://consorciofia.info/cdr/ver_fuentes_w.php?NumCDR=301&amp;codEntidad=19999" TargetMode="External"/><Relationship Id="rId510" Type="http://schemas.openxmlformats.org/officeDocument/2006/relationships/hyperlink" Target="http://consorciofia.info/cdr/ver_fuentes_w.php?NumCDR=7&amp;codEntidad=19760" TargetMode="External"/><Relationship Id="rId552" Type="http://schemas.openxmlformats.org/officeDocument/2006/relationships/hyperlink" Target="http://consorciofia.info/cdr/ver_fuentes_w.php?NumCDR=013&amp;codEntidad=19585" TargetMode="External"/><Relationship Id="rId191" Type="http://schemas.openxmlformats.org/officeDocument/2006/relationships/hyperlink" Target="http://consorciofia.info/cdr/ver_fuentes_w.php?NumCDR=002&amp;codEntidad=19698" TargetMode="External"/><Relationship Id="rId205" Type="http://schemas.openxmlformats.org/officeDocument/2006/relationships/hyperlink" Target="http://consorciofia.info/cdr/ver_fuentes_w.php?NumCDR=047&amp;codEntidad=19999" TargetMode="External"/><Relationship Id="rId247" Type="http://schemas.openxmlformats.org/officeDocument/2006/relationships/hyperlink" Target="http://consorciofia.info/cdr/ver_fuentes_w.php?NumCDR=243&amp;codEntidad=19999" TargetMode="External"/><Relationship Id="rId412" Type="http://schemas.openxmlformats.org/officeDocument/2006/relationships/hyperlink" Target="http://consorciofia.info/cdr/ver_fuentes_w.php?NumCDR=13&amp;codEntidad=19450" TargetMode="External"/><Relationship Id="rId107" Type="http://schemas.openxmlformats.org/officeDocument/2006/relationships/hyperlink" Target="http://consorciofia.info/cdr/ver_fuentes_w.php?NumCDR=196&amp;codEntidad=19999" TargetMode="External"/><Relationship Id="rId289" Type="http://schemas.openxmlformats.org/officeDocument/2006/relationships/hyperlink" Target="http://consorciofia.info/cdr/ver_fuentes_w.php?NumCDR=306&amp;codEntidad=19999" TargetMode="External"/><Relationship Id="rId454" Type="http://schemas.openxmlformats.org/officeDocument/2006/relationships/hyperlink" Target="http://consorciofia.info/cdr/ver_fuentes_w.php?NumCDR=4&amp;codEntidad=19573" TargetMode="External"/><Relationship Id="rId496" Type="http://schemas.openxmlformats.org/officeDocument/2006/relationships/hyperlink" Target="http://consorciofia.info/cdr/ver_fuentes_w.php?NumCDR=6&amp;codEntidad=19418" TargetMode="External"/><Relationship Id="rId11" Type="http://schemas.openxmlformats.org/officeDocument/2006/relationships/hyperlink" Target="http://consorciofia.info/cdr/ver_fuentes_w.php?NumCDR=190&amp;codEntidad=19999" TargetMode="External"/><Relationship Id="rId53" Type="http://schemas.openxmlformats.org/officeDocument/2006/relationships/hyperlink" Target="http://consorciofia.info/cdr/ver_fuentes_w.php?NumCDR=165&amp;codEntidad=19999" TargetMode="External"/><Relationship Id="rId149" Type="http://schemas.openxmlformats.org/officeDocument/2006/relationships/hyperlink" Target="http://consorciofia.info/cdr/ver_fuentes_w.php?NumCDR=022&amp;codEntidad=19999" TargetMode="External"/><Relationship Id="rId314" Type="http://schemas.openxmlformats.org/officeDocument/2006/relationships/hyperlink" Target="http://consorciofia.info/cdr/ver_fuentes_w.php?NumCDR=003&amp;codEntidad=19473" TargetMode="External"/><Relationship Id="rId356" Type="http://schemas.openxmlformats.org/officeDocument/2006/relationships/hyperlink" Target="http://consorciofia.info/cdr/ver_fuentes_w.php?NumCDR=278&amp;codEntidad=19999" TargetMode="External"/><Relationship Id="rId398" Type="http://schemas.openxmlformats.org/officeDocument/2006/relationships/hyperlink" Target="http://consorciofia.info/cdr/ver_fuentes_w.php?NumCDR=005&amp;codEntidad=19318" TargetMode="External"/><Relationship Id="rId521" Type="http://schemas.openxmlformats.org/officeDocument/2006/relationships/hyperlink" Target="http://consorciofia.info/cdr/ver_fuentes_w.php?NumCDR=9&amp;codEntidad=19142" TargetMode="External"/><Relationship Id="rId563" Type="http://schemas.openxmlformats.org/officeDocument/2006/relationships/hyperlink" Target="http://consorciofia.info/cdr/ver_fuentes_w.php?NumCDR=4030&amp;codEntidad=19318" TargetMode="External"/><Relationship Id="rId95" Type="http://schemas.openxmlformats.org/officeDocument/2006/relationships/hyperlink" Target="http://consorciofia.info/cdr/ver_fuentes_w.php?NumCDR=050&amp;codEntidad=19999" TargetMode="External"/><Relationship Id="rId160" Type="http://schemas.openxmlformats.org/officeDocument/2006/relationships/hyperlink" Target="http://consorciofia.info/cdr/ver_fuentes_w.php?NumCDR=105&amp;codEntidad=19999" TargetMode="External"/><Relationship Id="rId216" Type="http://schemas.openxmlformats.org/officeDocument/2006/relationships/hyperlink" Target="../../../CRISTIAN/AppData/Roaming/Microsoft/Downloads/Documentos%20soportes%20para%20la%20conciliaci&#243;n" TargetMode="External"/><Relationship Id="rId423" Type="http://schemas.openxmlformats.org/officeDocument/2006/relationships/hyperlink" Target="http://consorciofia.info/cdr/ver_fuentes_w.php?NumCDR=080&amp;codEntidad=19999" TargetMode="External"/><Relationship Id="rId258" Type="http://schemas.openxmlformats.org/officeDocument/2006/relationships/hyperlink" Target="http://consorciofia.info/cdr/ver_fuentes_w.php?NumCDR=006&amp;codEntidad=19585" TargetMode="External"/><Relationship Id="rId465" Type="http://schemas.openxmlformats.org/officeDocument/2006/relationships/hyperlink" Target="http://consorciofia.info/cdr/ver_fuentes_w.php?NumCDR=6&amp;codEntidad=19821" TargetMode="External"/><Relationship Id="rId22" Type="http://schemas.openxmlformats.org/officeDocument/2006/relationships/hyperlink" Target="http://consorciofia.info/cdr/ver_fuentes_w.php?NumCDR=014&amp;codEntidad=19999" TargetMode="External"/><Relationship Id="rId64" Type="http://schemas.openxmlformats.org/officeDocument/2006/relationships/hyperlink" Target="http://consorciofia.info/cdr/ver_fuentes_w.php?NumCDR=040&amp;codEntidad=19999" TargetMode="External"/><Relationship Id="rId118" Type="http://schemas.openxmlformats.org/officeDocument/2006/relationships/hyperlink" Target="http://consorciofia.info/cdr/ver_fuentes_w.php?NumCDR=200&amp;codEntidad=19999" TargetMode="External"/><Relationship Id="rId325" Type="http://schemas.openxmlformats.org/officeDocument/2006/relationships/hyperlink" Target="http://consorciofia.info/cdr/ver_fuentes_w.php?NumCDR=251&amp;codEntidad=19999" TargetMode="External"/><Relationship Id="rId367" Type="http://schemas.openxmlformats.org/officeDocument/2006/relationships/hyperlink" Target="http://consorciofia.info/cdr/ver_fuentes_w.php?NumCDR=002&amp;codEntidad=19450" TargetMode="External"/><Relationship Id="rId532" Type="http://schemas.openxmlformats.org/officeDocument/2006/relationships/hyperlink" Target="http://consorciofia.info/cdr/ver_fuentes_w.php?NumCDR=3986&amp;codEntidad=19050" TargetMode="External"/><Relationship Id="rId171" Type="http://schemas.openxmlformats.org/officeDocument/2006/relationships/hyperlink" Target="http://consorciofia.info/cdr/ver_fuentes_w.php?NumCDR=174&amp;codEntidad=19999" TargetMode="External"/><Relationship Id="rId227" Type="http://schemas.openxmlformats.org/officeDocument/2006/relationships/hyperlink" Target="http://consorciofia.info/cdr/ver_fuentes_w.php?NumCDR=031&amp;codEntidad=19999" TargetMode="External"/><Relationship Id="rId269" Type="http://schemas.openxmlformats.org/officeDocument/2006/relationships/hyperlink" Target="http://consorciofia.info/cdr/ver_fuentes_w.php?NumCDR=176&amp;codEntidad=19999" TargetMode="External"/><Relationship Id="rId434" Type="http://schemas.openxmlformats.org/officeDocument/2006/relationships/hyperlink" Target="http://consorciofia.info/cdr/ver_fuentes_w.php?NumCDR=003&amp;codEntidad=19693" TargetMode="External"/><Relationship Id="rId476" Type="http://schemas.openxmlformats.org/officeDocument/2006/relationships/hyperlink" Target="http://consorciofia.info/cdr/ver_fuentes_w.php?NumCDR=11&amp;codEntidad=19698" TargetMode="External"/><Relationship Id="rId33" Type="http://schemas.openxmlformats.org/officeDocument/2006/relationships/hyperlink" Target="http://consorciofia.info/cdr/ver_fuentes_w.php?NumCDR=013&amp;codEntidad=19999" TargetMode="External"/><Relationship Id="rId129" Type="http://schemas.openxmlformats.org/officeDocument/2006/relationships/hyperlink" Target="../../../CRISTIAN/AppData/Roaming/Usuario/Downloads/Pagos%20CDRs%20FIA/CDR%20003%20-%20Contrato%20007-2010.jpg" TargetMode="External"/><Relationship Id="rId280" Type="http://schemas.openxmlformats.org/officeDocument/2006/relationships/hyperlink" Target="http://consorciofia.info/cdr/ver_fuentes_w.php?NumCDR=181&amp;codEntidad=19999" TargetMode="External"/><Relationship Id="rId336" Type="http://schemas.openxmlformats.org/officeDocument/2006/relationships/hyperlink" Target="http://consorciofia.info/cdr/ver_fuentes_w.php?NumCDR=275&amp;codEntidad=19999" TargetMode="External"/><Relationship Id="rId501" Type="http://schemas.openxmlformats.org/officeDocument/2006/relationships/hyperlink" Target="http://consorciofia.info/cdr/ver_fuentes_w.php?NumCDR=8&amp;codEntidad=19743" TargetMode="External"/><Relationship Id="rId543" Type="http://schemas.openxmlformats.org/officeDocument/2006/relationships/hyperlink" Target="http://consorciofia.info/cdr/ver_fuentes_w.php?NumCDR=2884&amp;codEntidad=19517" TargetMode="External"/><Relationship Id="rId75" Type="http://schemas.openxmlformats.org/officeDocument/2006/relationships/hyperlink" Target="http://consorciofia.info/cdr/ver_fuentes_w.php?NumCDR=051&amp;codEntidad=19999" TargetMode="External"/><Relationship Id="rId140" Type="http://schemas.openxmlformats.org/officeDocument/2006/relationships/hyperlink" Target="http://consorciofia.info/cdr/ver_fuentes_w.php?NumCDR=096&amp;codEntidad=19999" TargetMode="External"/><Relationship Id="rId182" Type="http://schemas.openxmlformats.org/officeDocument/2006/relationships/hyperlink" Target="http://consorciofia.info/cdr/ver_fuentes_w.php?NumCDR=003&amp;codEntidad=19050" TargetMode="External"/><Relationship Id="rId378" Type="http://schemas.openxmlformats.org/officeDocument/2006/relationships/hyperlink" Target="http://consorciofia.info/cdr/ver_fuentes_w.php?NumCDR=005&amp;codEntidad=19807" TargetMode="External"/><Relationship Id="rId403" Type="http://schemas.openxmlformats.org/officeDocument/2006/relationships/hyperlink" Target="http://consorciofia.info/cdr/ver_fuentes_w.php?NumCDR=9&amp;codEntidad=19100" TargetMode="External"/><Relationship Id="rId6" Type="http://schemas.openxmlformats.org/officeDocument/2006/relationships/hyperlink" Target="http://consorciofia.info/cdr/ver_fuentes_w.php?NumCDR=002&amp;codEntidad=19999" TargetMode="External"/><Relationship Id="rId238" Type="http://schemas.openxmlformats.org/officeDocument/2006/relationships/hyperlink" Target="http://consorciofia.info/cdr/ver_fuentes_w.php?NumCDR=127&amp;codEntidad=19999" TargetMode="External"/><Relationship Id="rId445" Type="http://schemas.openxmlformats.org/officeDocument/2006/relationships/hyperlink" Target="http://consorciofia.info/cdr/ver_fuentes_w.php?NumCDR=16&amp;codEntidad=19050" TargetMode="External"/><Relationship Id="rId487" Type="http://schemas.openxmlformats.org/officeDocument/2006/relationships/hyperlink" Target="http://consorciofia.info/cdr/ver_fuentes_w.php?NumCDR=10&amp;codEntidad=19318" TargetMode="External"/><Relationship Id="rId291" Type="http://schemas.openxmlformats.org/officeDocument/2006/relationships/hyperlink" Target="http://consorciofia.info/cdr/ver_fuentes_w.php?NumCDR=174&amp;codEntidad=19999" TargetMode="External"/><Relationship Id="rId305" Type="http://schemas.openxmlformats.org/officeDocument/2006/relationships/hyperlink" Target="http://consorciofia.info/cdr/ver_fuentes_w.php?NumCDR=001&amp;codEntidad=19532" TargetMode="External"/><Relationship Id="rId347" Type="http://schemas.openxmlformats.org/officeDocument/2006/relationships/hyperlink" Target="http://consorciofia.info/cdr/ver_fuentes_w.php?NumCDR=004&amp;codEntidad=19513" TargetMode="External"/><Relationship Id="rId512" Type="http://schemas.openxmlformats.org/officeDocument/2006/relationships/hyperlink" Target="http://consorciofia.info/cdr/ver_fuentes_w.php?NumCDR=7&amp;codEntidad=19573" TargetMode="External"/><Relationship Id="rId44" Type="http://schemas.openxmlformats.org/officeDocument/2006/relationships/hyperlink" Target="http://consorciofia.info/cdr/ver_fuentes_w.php?NumCDR=037&amp;codEntidad=19999" TargetMode="External"/><Relationship Id="rId86" Type="http://schemas.openxmlformats.org/officeDocument/2006/relationships/hyperlink" Target="http://consorciofia.info/cdr/ver_fuentes_w.php?NumCDR=034&amp;codEntidad=19999" TargetMode="External"/><Relationship Id="rId151" Type="http://schemas.openxmlformats.org/officeDocument/2006/relationships/hyperlink" Target="http://consorciofia.info/cdr/ver_fuentes_w.php?NumCDR=174&amp;codEntidad=19999" TargetMode="External"/><Relationship Id="rId389" Type="http://schemas.openxmlformats.org/officeDocument/2006/relationships/hyperlink" Target="http://consorciofia.info/cdr/ver_fuentes_w.php?NumCDR=293&amp;codEntidad=19999" TargetMode="External"/><Relationship Id="rId554" Type="http://schemas.openxmlformats.org/officeDocument/2006/relationships/hyperlink" Target="http://consorciofia.info/cdr/ver_fuentes_w.php?NumCDR=006&amp;codEntidad=19698" TargetMode="External"/><Relationship Id="rId193" Type="http://schemas.openxmlformats.org/officeDocument/2006/relationships/hyperlink" Target="http://consorciofia.info/cdr/ver_fuentes_w.php?NumCDR=124&amp;codEntidad=19999" TargetMode="External"/><Relationship Id="rId207" Type="http://schemas.openxmlformats.org/officeDocument/2006/relationships/hyperlink" Target="http://consorciofia.info/cdr/ver_fuentes_w.php?NumCDR=210&amp;codEntidad=19999" TargetMode="External"/><Relationship Id="rId249" Type="http://schemas.openxmlformats.org/officeDocument/2006/relationships/hyperlink" Target="http://consorciofia.info/cdr/ver_fuentes_w.php?NumCDR=244&amp;codEntidad=19999" TargetMode="External"/><Relationship Id="rId414" Type="http://schemas.openxmlformats.org/officeDocument/2006/relationships/hyperlink" Target="http://consorciofia.info/cdr/ver_fuentes_w.php?NumCDR=8&amp;codEntidad=19397" TargetMode="External"/><Relationship Id="rId456" Type="http://schemas.openxmlformats.org/officeDocument/2006/relationships/hyperlink" Target="http://consorciofia.info/cdr/ver_fuentes_w.php?NumCDR=9&amp;codEntidad=19780" TargetMode="External"/><Relationship Id="rId498" Type="http://schemas.openxmlformats.org/officeDocument/2006/relationships/hyperlink" Target="http://consorciofia.info/cdr/ver_fuentes_w.php?NumCDR=8&amp;codEntidad=19807" TargetMode="External"/><Relationship Id="rId13" Type="http://schemas.openxmlformats.org/officeDocument/2006/relationships/hyperlink" Target="http://consorciofia.info/cdr/ver_fuentes_w.php?NumCDR=005&amp;codEntidad=19999" TargetMode="External"/><Relationship Id="rId109" Type="http://schemas.openxmlformats.org/officeDocument/2006/relationships/hyperlink" Target="http://consorciofia.info/cdr/ver_fuentes_w.php?NumCDR=053&amp;codEntidad=19999" TargetMode="External"/><Relationship Id="rId260" Type="http://schemas.openxmlformats.org/officeDocument/2006/relationships/hyperlink" Target="http://consorciofia.info/cdr/ver_fuentes_w.php?NumCDR=151&amp;codEntidad=19999" TargetMode="External"/><Relationship Id="rId316" Type="http://schemas.openxmlformats.org/officeDocument/2006/relationships/hyperlink" Target="http://consorciofia.info/cdr/ver_fuentes_w.php?NumCDR=174&amp;codEntidad=19999" TargetMode="External"/><Relationship Id="rId523" Type="http://schemas.openxmlformats.org/officeDocument/2006/relationships/hyperlink" Target="http://consorciofia.info/cdr/ver_fuentes_w.php?NumCDR=3564&amp;codEntidad=19397" TargetMode="External"/><Relationship Id="rId55" Type="http://schemas.openxmlformats.org/officeDocument/2006/relationships/hyperlink" Target="http://consorciofia.info/cdr/ver_fuentes_w.php?NumCDR=038&amp;codEntidad=19999" TargetMode="External"/><Relationship Id="rId97" Type="http://schemas.openxmlformats.org/officeDocument/2006/relationships/hyperlink" Target="http://consorciofia.info/cdr/ver_fuentes_w.php?NumCDR=066&amp;codEntidad=19999" TargetMode="External"/><Relationship Id="rId120" Type="http://schemas.openxmlformats.org/officeDocument/2006/relationships/hyperlink" Target="http://consorciofia.info/cdr/ver_fuentes_w.php?NumCDR=074&amp;codEntidad=19999" TargetMode="External"/><Relationship Id="rId358" Type="http://schemas.openxmlformats.org/officeDocument/2006/relationships/hyperlink" Target="http://consorciofia.info/cdr/ver_fuentes_w.php?NumCDR=6&amp;codEntidad=19780" TargetMode="External"/><Relationship Id="rId565" Type="http://schemas.openxmlformats.org/officeDocument/2006/relationships/hyperlink" Target="http://consorciofia.info/cdr/ver_fuentes_w.php?NumCDR=3812&amp;codEntidad=19999" TargetMode="External"/><Relationship Id="rId162" Type="http://schemas.openxmlformats.org/officeDocument/2006/relationships/hyperlink" Target="http://consorciofia.info/cdr/ver_fuentes_w.php?NumCDR=174&amp;codEntidad=19999" TargetMode="External"/><Relationship Id="rId218" Type="http://schemas.openxmlformats.org/officeDocument/2006/relationships/hyperlink" Target="http://consorciofia.info/cdr/ver_fuentes_w.php?NumCDR=023&amp;codEntidad=19999" TargetMode="External"/><Relationship Id="rId425" Type="http://schemas.openxmlformats.org/officeDocument/2006/relationships/hyperlink" Target="http://consorciofia.info/cdr/ver_fuentes_w.php?NumCDR=199&amp;codEntidad=19999" TargetMode="External"/><Relationship Id="rId467" Type="http://schemas.openxmlformats.org/officeDocument/2006/relationships/hyperlink" Target="http://consorciofia.info/cdr/ver_fuentes_w.php?NumCDR=8&amp;codEntidad=19364" TargetMode="External"/><Relationship Id="rId271" Type="http://schemas.openxmlformats.org/officeDocument/2006/relationships/hyperlink" Target="http://consorciofia.info/cdr/ver_fuentes_w.php?NumCDR=001&amp;codEntidad=19821" TargetMode="External"/><Relationship Id="rId24" Type="http://schemas.openxmlformats.org/officeDocument/2006/relationships/hyperlink" Target="http://consorciofia.info/cdr/ver_fuentes_w.php?NumCDR=019&amp;codEntidad=19999" TargetMode="External"/><Relationship Id="rId66" Type="http://schemas.openxmlformats.org/officeDocument/2006/relationships/hyperlink" Target="http://consorciofia.info/cdr/ver_fuentes_w.php?NumCDR=040&amp;codEntidad=19999" TargetMode="External"/><Relationship Id="rId131" Type="http://schemas.openxmlformats.org/officeDocument/2006/relationships/hyperlink" Target="http://consorciofia.info/cdr/ver_fuentes_w.php?NumCDR=084&amp;codEntidad=19999" TargetMode="External"/><Relationship Id="rId327" Type="http://schemas.openxmlformats.org/officeDocument/2006/relationships/hyperlink" Target="http://consorciofia.info/cdr/ver_fuentes_w.php?NumCDR=10&amp;codEntidad=19450" TargetMode="External"/><Relationship Id="rId369" Type="http://schemas.openxmlformats.org/officeDocument/2006/relationships/hyperlink" Target="http://consorciofia.info/cdr/ver_fuentes_w.php?NumCDR=288&amp;codEntidad=19999" TargetMode="External"/><Relationship Id="rId534" Type="http://schemas.openxmlformats.org/officeDocument/2006/relationships/hyperlink" Target="http://consorciofia.info/cdr/ver_fuentes_w.php?NumCDR=2394&amp;codEntidad=19300" TargetMode="External"/><Relationship Id="rId173" Type="http://schemas.openxmlformats.org/officeDocument/2006/relationships/hyperlink" Target="http://consorciofia.info/cdr/ver_fuentes_w.php?NumCDR=045&amp;codEntidad=19999" TargetMode="External"/><Relationship Id="rId229" Type="http://schemas.openxmlformats.org/officeDocument/2006/relationships/hyperlink" Target="http://consorciofia.info/cdr/ver_fuentes_w.php?NumCDR=048&amp;codEntidad=19999" TargetMode="External"/><Relationship Id="rId380" Type="http://schemas.openxmlformats.org/officeDocument/2006/relationships/hyperlink" Target="http://consorciofia.info/cdr/ver_fuentes_w.php?NumCDR=297&amp;codEntidad=19999" TargetMode="External"/><Relationship Id="rId436" Type="http://schemas.openxmlformats.org/officeDocument/2006/relationships/hyperlink" Target="http://consorciofia.info/cdr/ver_fuentes_w.php?NumCDR=273&amp;codEntidad=19999" TargetMode="External"/><Relationship Id="rId240" Type="http://schemas.openxmlformats.org/officeDocument/2006/relationships/hyperlink" Target="http://consorciofia.info/cdr/ver_fuentes_w.php?NumCDR=135&amp;codEntidad=19999" TargetMode="External"/><Relationship Id="rId478" Type="http://schemas.openxmlformats.org/officeDocument/2006/relationships/hyperlink" Target="http://consorciofia.info/cdr/ver_fuentes_w.php?NumCDR=14&amp;codEntidad=19318" TargetMode="External"/><Relationship Id="rId35" Type="http://schemas.openxmlformats.org/officeDocument/2006/relationships/hyperlink" Target="http://consorciofia.info/cdr/ver_fuentes_w.php?NumCDR=021&amp;codEntidad=19999" TargetMode="External"/><Relationship Id="rId77" Type="http://schemas.openxmlformats.org/officeDocument/2006/relationships/hyperlink" Target="http://consorciofia.info/cdr/ver_fuentes_w.php?NumCDR=051&amp;codEntidad=19999" TargetMode="External"/><Relationship Id="rId100" Type="http://schemas.openxmlformats.org/officeDocument/2006/relationships/hyperlink" Target="http://consorciofia.info/cdr/ver_fuentes_w.php?NumCDR=058&amp;codEntidad=19999" TargetMode="External"/><Relationship Id="rId282" Type="http://schemas.openxmlformats.org/officeDocument/2006/relationships/hyperlink" Target="http://consorciofia.info/cdr/ver_fuentes_w.php?NumCDR=006&amp;codEntidad=19824" TargetMode="External"/><Relationship Id="rId338" Type="http://schemas.openxmlformats.org/officeDocument/2006/relationships/hyperlink" Target="http://consorciofia.info/cdr/ver_fuentes_w.php?NumCDR=7&amp;codEntidad=19392" TargetMode="External"/><Relationship Id="rId503" Type="http://schemas.openxmlformats.org/officeDocument/2006/relationships/hyperlink" Target="http://consorciofia.info/cdr/ver_fuentes_w.php?NumCDR=16&amp;codEntidad=19450" TargetMode="External"/><Relationship Id="rId545" Type="http://schemas.openxmlformats.org/officeDocument/2006/relationships/hyperlink" Target="http://consorciofia.info/cdr/ver_fuentes_w.php?NumCDR=6&amp;codEntidad=19473" TargetMode="External"/><Relationship Id="rId8" Type="http://schemas.openxmlformats.org/officeDocument/2006/relationships/hyperlink" Target="http://consorciofia.info/cdr/ver_fuentes_w.php?NumCDR=029&amp;codEntidad=19999" TargetMode="External"/><Relationship Id="rId142" Type="http://schemas.openxmlformats.org/officeDocument/2006/relationships/hyperlink" Target="http://consorciofia.info/cdr/ver_fuentes_w.php?NumCDR=101&amp;codEntidad=19999" TargetMode="External"/><Relationship Id="rId184" Type="http://schemas.openxmlformats.org/officeDocument/2006/relationships/hyperlink" Target="http://consorciofia.info/cdr/ver_fuentes_w.php?NumCDR=157&amp;codEntidad=19999" TargetMode="External"/><Relationship Id="rId391" Type="http://schemas.openxmlformats.org/officeDocument/2006/relationships/hyperlink" Target="http://consorciofia.info/cdr/ver_fuentes_w.php?NumCDR=300&amp;codEntidad=19999" TargetMode="External"/><Relationship Id="rId405" Type="http://schemas.openxmlformats.org/officeDocument/2006/relationships/hyperlink" Target="http://consorciofia.info/cdr/ver_fuentes_w.php?NumCDR=308&amp;codEntidad=19999" TargetMode="External"/><Relationship Id="rId447" Type="http://schemas.openxmlformats.org/officeDocument/2006/relationships/hyperlink" Target="http://consorciofia.info/cdr/ver_fuentes_w.php?NumCDR=14&amp;codEntidad=19450" TargetMode="External"/><Relationship Id="rId251" Type="http://schemas.openxmlformats.org/officeDocument/2006/relationships/hyperlink" Target="http://consorciofia.info/cdr/ver_fuentes_w.php?NumCDR=242&amp;codEntidad=19999" TargetMode="External"/><Relationship Id="rId489" Type="http://schemas.openxmlformats.org/officeDocument/2006/relationships/hyperlink" Target="http://consorciofia.info/cdr/ver_fuentes_w.php?NumCDR=324&amp;codEntidad=19999" TargetMode="External"/><Relationship Id="rId46" Type="http://schemas.openxmlformats.org/officeDocument/2006/relationships/hyperlink" Target="http://consorciofia.info/cdr/ver_fuentes_w.php?NumCDR=037&amp;codEntidad=19999" TargetMode="External"/><Relationship Id="rId293" Type="http://schemas.openxmlformats.org/officeDocument/2006/relationships/hyperlink" Target="http://consorciofia.info/cdr/ver_fuentes_w.php?NumCDR=174&amp;codEntidad=19999" TargetMode="External"/><Relationship Id="rId307" Type="http://schemas.openxmlformats.org/officeDocument/2006/relationships/hyperlink" Target="http://consorciofia.info/cdr/ver_fuentes_w.php?NumCDR=307&amp;codEntidad=19999" TargetMode="External"/><Relationship Id="rId349" Type="http://schemas.openxmlformats.org/officeDocument/2006/relationships/hyperlink" Target="http://consorciofia.info/cdr/ver_fuentes_w.php?NumCDR=271&amp;codEntidad=19999" TargetMode="External"/><Relationship Id="rId514" Type="http://schemas.openxmlformats.org/officeDocument/2006/relationships/hyperlink" Target="http://consorciofia.info/cdr/ver_fuentes_w.php?NumCDR=15&amp;codEntidad=19110" TargetMode="External"/><Relationship Id="rId556" Type="http://schemas.openxmlformats.org/officeDocument/2006/relationships/hyperlink" Target="http://consorciofia.info/cdr/ver_fuentes_w.php?NumCDR=3563&amp;codEntidad=19807" TargetMode="External"/><Relationship Id="rId88" Type="http://schemas.openxmlformats.org/officeDocument/2006/relationships/hyperlink" Target="http://consorciofia.info/cdr/ver_fuentes_w.php?NumCDR=192&amp;codEntidad=19999" TargetMode="External"/><Relationship Id="rId111" Type="http://schemas.openxmlformats.org/officeDocument/2006/relationships/hyperlink" Target="http://consorciofia.info/cdr/ver_fuentes_w.php?NumCDR=054&amp;codEntidad=19999" TargetMode="External"/><Relationship Id="rId153" Type="http://schemas.openxmlformats.org/officeDocument/2006/relationships/hyperlink" Target="http://consorciofia.info/cdr/ver_fuentes_w.php?NumCDR=202&amp;codEntidad=19999" TargetMode="External"/><Relationship Id="rId195" Type="http://schemas.openxmlformats.org/officeDocument/2006/relationships/hyperlink" Target="http://consorciofia.info/cdr/ver_fuentes_w.php?NumCDR=174&amp;codEntidad=19999" TargetMode="External"/><Relationship Id="rId209" Type="http://schemas.openxmlformats.org/officeDocument/2006/relationships/hyperlink" Target="http://consorciofia.info/cdr/ver_fuentes_w.php?NumCDR=145&amp;codEntidad=19999" TargetMode="External"/><Relationship Id="rId360" Type="http://schemas.openxmlformats.org/officeDocument/2006/relationships/hyperlink" Target="http://consorciofia.info/cdr/ver_fuentes_w.php?NumCDR=8&amp;codEntidad=19392" TargetMode="External"/><Relationship Id="rId416" Type="http://schemas.openxmlformats.org/officeDocument/2006/relationships/hyperlink" Target="http://consorciofia.info/cdr/ver_fuentes_w.php?NumCDR=5&amp;codEntidad=19573" TargetMode="External"/><Relationship Id="rId220" Type="http://schemas.openxmlformats.org/officeDocument/2006/relationships/hyperlink" Target="http://consorciofia.info/cdr/ver_fuentes_w.php?NumCDR=139&amp;codEntidad=19999" TargetMode="External"/><Relationship Id="rId458" Type="http://schemas.openxmlformats.org/officeDocument/2006/relationships/hyperlink" Target="http://consorciofia.info/cdr/ver_fuentes_w.php?NumCDR=10&amp;codEntidad=19110" TargetMode="External"/><Relationship Id="rId15" Type="http://schemas.openxmlformats.org/officeDocument/2006/relationships/hyperlink" Target="http://consorciofia.info/cdr/ver_fuentes_w.php?NumCDR=193&amp;codEntidad=19999" TargetMode="External"/><Relationship Id="rId57" Type="http://schemas.openxmlformats.org/officeDocument/2006/relationships/hyperlink" Target="http://consorciofia.info/cdr/ver_fuentes_w.php?NumCDR=038&amp;codEntidad=19999" TargetMode="External"/><Relationship Id="rId262" Type="http://schemas.openxmlformats.org/officeDocument/2006/relationships/hyperlink" Target="http://consorciofia.info/cdr/ver_fuentes_w.php?NumCDR=002&amp;codEntidad=19585" TargetMode="External"/><Relationship Id="rId318" Type="http://schemas.openxmlformats.org/officeDocument/2006/relationships/hyperlink" Target="http://consorciofia.info/cdr/ver_fuentes_w.php?NumCDR=13&amp;codEntidad=19532" TargetMode="External"/><Relationship Id="rId525" Type="http://schemas.openxmlformats.org/officeDocument/2006/relationships/hyperlink" Target="http://consorciofia.info/cdr/ver_fuentes_w.php?NumCDR=9&amp;codEntidad=19548" TargetMode="External"/><Relationship Id="rId567" Type="http://schemas.openxmlformats.org/officeDocument/2006/relationships/hyperlink" Target="http://consorciofia.info/cdr/ver_fuentes_w.php?NumCDR=4762&amp;codEntidad=19100" TargetMode="External"/><Relationship Id="rId99" Type="http://schemas.openxmlformats.org/officeDocument/2006/relationships/hyperlink" Target="http://consorciofia.info/cdr/ver_fuentes_w.php?NumCDR=163&amp;codEntidad=19999" TargetMode="External"/><Relationship Id="rId122" Type="http://schemas.openxmlformats.org/officeDocument/2006/relationships/hyperlink" Target="http://consorciofia.info/cdr/ver_fuentes_w.php?NumCDR=073&amp;codEntidad=19999" TargetMode="External"/><Relationship Id="rId164" Type="http://schemas.openxmlformats.org/officeDocument/2006/relationships/hyperlink" Target="http://consorciofia.info/cdr/ver_fuentes_w.php?NumCDR=113&amp;codEntidad=19999" TargetMode="External"/><Relationship Id="rId371" Type="http://schemas.openxmlformats.org/officeDocument/2006/relationships/hyperlink" Target="http://consorciofia.info/cdr/ver_fuentes_w.php?NumCDR=341&amp;codEntidad=19999" TargetMode="External"/><Relationship Id="rId427" Type="http://schemas.openxmlformats.org/officeDocument/2006/relationships/hyperlink" Target="http://consorciofia.info/cdr/ver_fuentes_w.php?NumCDR=143&amp;codEntidad=19999" TargetMode="External"/><Relationship Id="rId469" Type="http://schemas.openxmlformats.org/officeDocument/2006/relationships/hyperlink" Target="http://consorciofia.info/cdr/ver_fuentes_w.php?NumCDR=13&amp;codEntidad=19318" TargetMode="External"/></Relationships>
</file>

<file path=xl/worksheets/_rels/sheet10.xml.rels><?xml version="1.0" encoding="UTF-8" standalone="yes"?>
<Relationships xmlns="http://schemas.openxmlformats.org/package/2006/relationships"><Relationship Id="rId3" Type="http://schemas.openxmlformats.org/officeDocument/2006/relationships/control" Target="../activeX/activeX7.xml"/><Relationship Id="rId2" Type="http://schemas.openxmlformats.org/officeDocument/2006/relationships/vmlDrawing" Target="../drawings/vmlDrawing10.vml"/><Relationship Id="rId1" Type="http://schemas.openxmlformats.org/officeDocument/2006/relationships/drawing" Target="../drawings/drawing7.xml"/><Relationship Id="rId5" Type="http://schemas.openxmlformats.org/officeDocument/2006/relationships/control" Target="../activeX/activeX8.xml"/><Relationship Id="rId4" Type="http://schemas.openxmlformats.org/officeDocument/2006/relationships/image" Target="../media/image2.emf"/></Relationships>
</file>

<file path=xl/worksheets/_rels/sheet11.xml.rels><?xml version="1.0" encoding="UTF-8" standalone="yes"?>
<Relationships xmlns="http://schemas.openxmlformats.org/package/2006/relationships"><Relationship Id="rId3" Type="http://schemas.openxmlformats.org/officeDocument/2006/relationships/control" Target="../activeX/activeX9.xml"/><Relationship Id="rId2" Type="http://schemas.openxmlformats.org/officeDocument/2006/relationships/vmlDrawing" Target="../drawings/vmlDrawing11.vml"/><Relationship Id="rId1" Type="http://schemas.openxmlformats.org/officeDocument/2006/relationships/drawing" Target="../drawings/drawing8.xml"/><Relationship Id="rId5" Type="http://schemas.openxmlformats.org/officeDocument/2006/relationships/control" Target="../activeX/activeX10.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openxmlformats.org/officeDocument/2006/relationships/control" Target="../activeX/activeX11.xml"/><Relationship Id="rId2" Type="http://schemas.openxmlformats.org/officeDocument/2006/relationships/vmlDrawing" Target="../drawings/vmlDrawing12.vml"/><Relationship Id="rId1" Type="http://schemas.openxmlformats.org/officeDocument/2006/relationships/drawing" Target="../drawings/drawing9.xml"/><Relationship Id="rId4" Type="http://schemas.openxmlformats.org/officeDocument/2006/relationships/image" Target="../media/image2.emf"/></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12.xml"/><Relationship Id="rId2" Type="http://schemas.openxmlformats.org/officeDocument/2006/relationships/vmlDrawing" Target="../drawings/vmlDrawing13.vml"/><Relationship Id="rId1" Type="http://schemas.openxmlformats.org/officeDocument/2006/relationships/drawing" Target="../drawings/drawing10.xml"/><Relationship Id="rId4" Type="http://schemas.openxmlformats.org/officeDocument/2006/relationships/image" Target="../media/image2.emf"/></Relationships>
</file>

<file path=xl/worksheets/_rels/sheet14.xml.rels><?xml version="1.0" encoding="UTF-8" standalone="yes"?>
<Relationships xmlns="http://schemas.openxmlformats.org/package/2006/relationships"><Relationship Id="rId3" Type="http://schemas.openxmlformats.org/officeDocument/2006/relationships/control" Target="../activeX/activeX13.xml"/><Relationship Id="rId2" Type="http://schemas.openxmlformats.org/officeDocument/2006/relationships/vmlDrawing" Target="../drawings/vmlDrawing14.vml"/><Relationship Id="rId1" Type="http://schemas.openxmlformats.org/officeDocument/2006/relationships/drawing" Target="../drawings/drawing11.xml"/><Relationship Id="rId6" Type="http://schemas.openxmlformats.org/officeDocument/2006/relationships/control" Target="../activeX/activeX15.xml"/><Relationship Id="rId5" Type="http://schemas.openxmlformats.org/officeDocument/2006/relationships/control" Target="../activeX/activeX14.xml"/><Relationship Id="rId4" Type="http://schemas.openxmlformats.org/officeDocument/2006/relationships/image" Target="../media/image2.emf"/></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control" Target="../activeX/activeX1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hyperlink" Target="http://consorciofia.info/cdr/ver_cdrs_w.php?municipios=19999" TargetMode="External"/><Relationship Id="rId5" Type="http://schemas.openxmlformats.org/officeDocument/2006/relationships/image" Target="../media/image2.emf"/><Relationship Id="rId4" Type="http://schemas.openxmlformats.org/officeDocument/2006/relationships/control" Target="../activeX/activeX1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hyperlink" Target="http://consorciofia.info/cdr/ver_cdrs_w.php?municipios=19999" TargetMode="External"/><Relationship Id="rId5" Type="http://schemas.openxmlformats.org/officeDocument/2006/relationships/image" Target="../media/image2.emf"/><Relationship Id="rId4" Type="http://schemas.openxmlformats.org/officeDocument/2006/relationships/control" Target="../activeX/activeX1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6.bin"/><Relationship Id="rId6" Type="http://schemas.openxmlformats.org/officeDocument/2006/relationships/control" Target="../activeX/activeX20.xml"/><Relationship Id="rId5" Type="http://schemas.openxmlformats.org/officeDocument/2006/relationships/image" Target="../media/image2.emf"/><Relationship Id="rId4" Type="http://schemas.openxmlformats.org/officeDocument/2006/relationships/control" Target="../activeX/activeX19.xml"/></Relationships>
</file>

<file path=xl/worksheets/_rels/sheet19.xml.rels><?xml version="1.0" encoding="UTF-8" standalone="yes"?>
<Relationships xmlns="http://schemas.openxmlformats.org/package/2006/relationships"><Relationship Id="rId8" Type="http://schemas.openxmlformats.org/officeDocument/2006/relationships/hyperlink" Target="http://consorciofia.info/cdr/ver_fuentes_w.php?NumCDR=198&amp;codEntidad=19999" TargetMode="External"/><Relationship Id="rId3" Type="http://schemas.openxmlformats.org/officeDocument/2006/relationships/hyperlink" Target="http://consorciofia.info/cdr/ver_fuentes_w.php?NumCDR=078&amp;codEntidad=19999" TargetMode="External"/><Relationship Id="rId7" Type="http://schemas.openxmlformats.org/officeDocument/2006/relationships/hyperlink" Target="http://consorciofia.info/cdr/ver_fuentes_w.php?NumCDR=199&amp;codEntidad=19999" TargetMode="External"/><Relationship Id="rId2" Type="http://schemas.openxmlformats.org/officeDocument/2006/relationships/hyperlink" Target="http://consorciofia.info/cdr/ver_fuentes_w.php?NumCDR=077&amp;codEntidad=19999" TargetMode="External"/><Relationship Id="rId1" Type="http://schemas.openxmlformats.org/officeDocument/2006/relationships/hyperlink" Target="http://consorciofia.info/cdr/ver_fuentes_w.php?NumCDR=076&amp;codEntidad=19999" TargetMode="External"/><Relationship Id="rId6" Type="http://schemas.openxmlformats.org/officeDocument/2006/relationships/hyperlink" Target="http://consorciofia.info/cdr/ver_fuentes_w.php?NumCDR=083&amp;codEntidad=19999" TargetMode="External"/><Relationship Id="rId5" Type="http://schemas.openxmlformats.org/officeDocument/2006/relationships/hyperlink" Target="http://consorciofia.info/cdr/ver_fuentes_w.php?NumCDR=080&amp;codEntidad=19999" TargetMode="External"/><Relationship Id="rId4" Type="http://schemas.openxmlformats.org/officeDocument/2006/relationships/hyperlink" Target="http://consorciofia.info/cdr/ver_fuentes_w.php?NumCDR=079&amp;codEntidad=19999"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consorciofia.info/cdr/ver_fuentes_w.php?NumCDR=174&amp;codEntidad=19999" TargetMode="External"/><Relationship Id="rId299" Type="http://schemas.openxmlformats.org/officeDocument/2006/relationships/hyperlink" Target="http://consorciofia.info/cdr/ver_fuentes_w.php?NumCDR=001&amp;codEntidad=19392" TargetMode="External"/><Relationship Id="rId21" Type="http://schemas.openxmlformats.org/officeDocument/2006/relationships/hyperlink" Target="http://consorciofia.info/cdr/ver_fuentes_w.php?NumCDR=014&amp;codEntidad=19999" TargetMode="External"/><Relationship Id="rId63" Type="http://schemas.openxmlformats.org/officeDocument/2006/relationships/hyperlink" Target="http://consorciofia.info/cdr/ver_fuentes_w.php?NumCDR=040&amp;codEntidad=19999" TargetMode="External"/><Relationship Id="rId159" Type="http://schemas.openxmlformats.org/officeDocument/2006/relationships/hyperlink" Target="http://consorciofia.info/cdr/ver_fuentes_w.php?NumCDR=106&amp;codEntidad=19999" TargetMode="External"/><Relationship Id="rId324" Type="http://schemas.openxmlformats.org/officeDocument/2006/relationships/hyperlink" Target="http://consorciofia.info/cdr/ver_fuentes_w.php?NumCDR=003&amp;codEntidad=19100" TargetMode="External"/><Relationship Id="rId366" Type="http://schemas.openxmlformats.org/officeDocument/2006/relationships/hyperlink" Target="http://consorciofia.info/cdr/ver_fuentes_w.php?NumCDR=283&amp;codEntidad=19999" TargetMode="External"/><Relationship Id="rId531" Type="http://schemas.openxmlformats.org/officeDocument/2006/relationships/hyperlink" Target="http://consorciofia.info/cdr/ver_fuentes_w.php?NumCDR=2380&amp;codEntidad=19999" TargetMode="External"/><Relationship Id="rId170" Type="http://schemas.openxmlformats.org/officeDocument/2006/relationships/hyperlink" Target="http://consorciofia.info/cdr/ver_fuentes_w.php?NumCDR=093&amp;codEntidad=19999" TargetMode="External"/><Relationship Id="rId226" Type="http://schemas.openxmlformats.org/officeDocument/2006/relationships/hyperlink" Target="http://consorciofia.info/cdr/ver_fuentes_w.php?NumCDR=006&amp;codEntidad=19999" TargetMode="External"/><Relationship Id="rId433" Type="http://schemas.openxmlformats.org/officeDocument/2006/relationships/hyperlink" Target="http://consorciofia.info/cdr/ver_fuentes_w.php?NumCDR=291&amp;codEntidad=19999" TargetMode="External"/><Relationship Id="rId268" Type="http://schemas.openxmlformats.org/officeDocument/2006/relationships/hyperlink" Target="http://consorciofia.info/cdr/ver_fuentes_w.php?NumCDR=002&amp;codEntidad=19050" TargetMode="External"/><Relationship Id="rId475" Type="http://schemas.openxmlformats.org/officeDocument/2006/relationships/hyperlink" Target="http://consorciofia.info/cdr/ver_fuentes_w.php?NumCDR=6&amp;codEntidad=19100" TargetMode="External"/><Relationship Id="rId32" Type="http://schemas.openxmlformats.org/officeDocument/2006/relationships/hyperlink" Target="http://consorciofia.info/cdr/ver_fuentes_w.php?NumCDR=013&amp;codEntidad=19999" TargetMode="External"/><Relationship Id="rId74" Type="http://schemas.openxmlformats.org/officeDocument/2006/relationships/hyperlink" Target="http://consorciofia.info/cdr/ver_fuentes_w.php?NumCDR=051&amp;codEntidad=19999" TargetMode="External"/><Relationship Id="rId128" Type="http://schemas.openxmlformats.org/officeDocument/2006/relationships/hyperlink" Target="http://consorciofia.info/cdr/ver_fuentes_w.php?NumCDR=191&amp;codEntidad=19999" TargetMode="External"/><Relationship Id="rId335" Type="http://schemas.openxmlformats.org/officeDocument/2006/relationships/hyperlink" Target="http://consorciofia.info/cdr/ver_fuentes_w.php?NumCDR=255&amp;codEntidad=19999" TargetMode="External"/><Relationship Id="rId377" Type="http://schemas.openxmlformats.org/officeDocument/2006/relationships/hyperlink" Target="http://consorciofia.info/cdr/ver_fuentes_w.php?NumCDR=269&amp;codEntidad=19999" TargetMode="External"/><Relationship Id="rId500" Type="http://schemas.openxmlformats.org/officeDocument/2006/relationships/hyperlink" Target="http://consorciofia.info/cdr/ver_fuentes_w.php?NumCDR=3&amp;codEntidad=19622" TargetMode="External"/><Relationship Id="rId542" Type="http://schemas.openxmlformats.org/officeDocument/2006/relationships/hyperlink" Target="http://consorciofia.info/cdr/ver_fuentes_w.php?NumCDR=2387&amp;codEntidad=19075" TargetMode="External"/><Relationship Id="rId5" Type="http://schemas.openxmlformats.org/officeDocument/2006/relationships/hyperlink" Target="http://consorciofia.info/cdr/ver_fuentes_w.php?NumCDR=174&amp;codEntidad=19999" TargetMode="External"/><Relationship Id="rId181" Type="http://schemas.openxmlformats.org/officeDocument/2006/relationships/hyperlink" Target="http://consorciofia.info/cdr/ver_fuentes_w.php?NumCDR=233&amp;codEntidad=19999" TargetMode="External"/><Relationship Id="rId237" Type="http://schemas.openxmlformats.org/officeDocument/2006/relationships/hyperlink" Target="http://consorciofia.info/cdr/ver_fuentes_w.php?NumCDR=131&amp;codEntidad=19999" TargetMode="External"/><Relationship Id="rId402" Type="http://schemas.openxmlformats.org/officeDocument/2006/relationships/hyperlink" Target="http://consorciofia.info/cdr/ver_fuentes_w.php?NumCDR=009&amp;codEntidad=19698" TargetMode="External"/><Relationship Id="rId279" Type="http://schemas.openxmlformats.org/officeDocument/2006/relationships/hyperlink" Target="http://consorciofia.info/cdr/ver_fuentes_w.php?NumCDR=221&amp;codEntidad=19999" TargetMode="External"/><Relationship Id="rId444" Type="http://schemas.openxmlformats.org/officeDocument/2006/relationships/hyperlink" Target="http://consorciofia.info/cdr/ver_fuentes_w.php?NumCDR=13&amp;codEntidad=19780" TargetMode="External"/><Relationship Id="rId486" Type="http://schemas.openxmlformats.org/officeDocument/2006/relationships/hyperlink" Target="http://consorciofia.info/cdr/ver_fuentes_w.php?NumCDR=10&amp;codEntidad=19130" TargetMode="External"/><Relationship Id="rId43" Type="http://schemas.openxmlformats.org/officeDocument/2006/relationships/hyperlink" Target="http://consorciofia.info/cdr/ver_fuentes_w.php?NumCDR=036&amp;codEntidad=19999" TargetMode="External"/><Relationship Id="rId139" Type="http://schemas.openxmlformats.org/officeDocument/2006/relationships/hyperlink" Target="http://consorciofia.info/cdr/ver_fuentes_w.php?NumCDR=201&amp;codEntidad=19999" TargetMode="External"/><Relationship Id="rId290" Type="http://schemas.openxmlformats.org/officeDocument/2006/relationships/hyperlink" Target="http://consorciofia.info/cdr/ver_fuentes_w.php?NumCDR=174&amp;codEntidad=19999" TargetMode="External"/><Relationship Id="rId304" Type="http://schemas.openxmlformats.org/officeDocument/2006/relationships/hyperlink" Target="http://consorciofia.info/cdr/ver_fuentes_w.php?NumCDR=12&amp;codEntidad=19532" TargetMode="External"/><Relationship Id="rId346" Type="http://schemas.openxmlformats.org/officeDocument/2006/relationships/hyperlink" Target="http://consorciofia.info/cdr/ver_fuentes_w.php?NumCDR=290&amp;codEntidad=19999" TargetMode="External"/><Relationship Id="rId388" Type="http://schemas.openxmlformats.org/officeDocument/2006/relationships/hyperlink" Target="http://consorciofia.info/cdr/ver_fuentes_w.php?NumCDR=267&amp;codEntidad=19999" TargetMode="External"/><Relationship Id="rId511" Type="http://schemas.openxmlformats.org/officeDocument/2006/relationships/hyperlink" Target="http://consorciofia.info/cdr/ver_fuentes_w.php?NumCDR=7&amp;codEntidad=19318" TargetMode="External"/><Relationship Id="rId553" Type="http://schemas.openxmlformats.org/officeDocument/2006/relationships/hyperlink" Target="http://consorciofia.info/cdr/ver_fuentes_w.php?NumCDR=013&amp;codEntidad=19585" TargetMode="External"/><Relationship Id="rId85" Type="http://schemas.openxmlformats.org/officeDocument/2006/relationships/hyperlink" Target="http://consorciofia.info/cdr/ver_fuentes_w.php?NumCDR=033&amp;codEntidad=19999" TargetMode="External"/><Relationship Id="rId150" Type="http://schemas.openxmlformats.org/officeDocument/2006/relationships/hyperlink" Target="http://consorciofia.info/cdr/ver_fuentes_w.php?NumCDR=110&amp;codEntidad=19999" TargetMode="External"/><Relationship Id="rId192" Type="http://schemas.openxmlformats.org/officeDocument/2006/relationships/hyperlink" Target="http://consorciofia.info/cdr/ver_fuentes_w.php?NumCDR=175&amp;codEntidad=19999" TargetMode="External"/><Relationship Id="rId206" Type="http://schemas.openxmlformats.org/officeDocument/2006/relationships/hyperlink" Target="http://consorciofia.info/cdr/ver_fuentes_w.php?NumCDR=195&amp;codEntidad=19999" TargetMode="External"/><Relationship Id="rId413" Type="http://schemas.openxmlformats.org/officeDocument/2006/relationships/hyperlink" Target="http://consorciofia.info/cdr/ver_fuentes_w.php?NumCDR=15&amp;codEntidad=19450" TargetMode="External"/><Relationship Id="rId248" Type="http://schemas.openxmlformats.org/officeDocument/2006/relationships/hyperlink" Target="http://consorciofia.info/cdr/ver_fuentes_w.php?NumCDR=130&amp;codEntidad=19999" TargetMode="External"/><Relationship Id="rId455" Type="http://schemas.openxmlformats.org/officeDocument/2006/relationships/hyperlink" Target="http://consorciofia.info/cdr/ver_fuentes_w.php?NumCDR=7&amp;codEntidad=19397" TargetMode="External"/><Relationship Id="rId497" Type="http://schemas.openxmlformats.org/officeDocument/2006/relationships/hyperlink" Target="http://consorciofia.info/cdr/ver_fuentes_w.php?NumCDR=7&amp;codEntidad=19780" TargetMode="External"/><Relationship Id="rId12" Type="http://schemas.openxmlformats.org/officeDocument/2006/relationships/hyperlink" Target="http://consorciofia.info/cdr/ver_fuentes_w.php?NumCDR=190&amp;codEntidad=19999" TargetMode="External"/><Relationship Id="rId108" Type="http://schemas.openxmlformats.org/officeDocument/2006/relationships/hyperlink" Target="http://consorciofia.info/cdr/ver_fuentes_w.php?NumCDR=174&amp;codEntidad=19999" TargetMode="External"/><Relationship Id="rId315" Type="http://schemas.openxmlformats.org/officeDocument/2006/relationships/hyperlink" Target="http://consorciofia.info/cdr/ver_fuentes_w.php?NumCDR=229&amp;codEntidad=19999" TargetMode="External"/><Relationship Id="rId357" Type="http://schemas.openxmlformats.org/officeDocument/2006/relationships/hyperlink" Target="http://consorciofia.info/cdr/ver_fuentes_w.php?NumCDR=276&amp;codEntidad=19999" TargetMode="External"/><Relationship Id="rId522" Type="http://schemas.openxmlformats.org/officeDocument/2006/relationships/hyperlink" Target="http://consorciofia.info/cdr/ver_fuentes_w.php?NumCDR=11&amp;codEntidad=19397" TargetMode="External"/><Relationship Id="rId54" Type="http://schemas.openxmlformats.org/officeDocument/2006/relationships/hyperlink" Target="http://consorciofia.info/cdr/ver_fuentes_w.php?NumCDR=165&amp;codEntidad=19999" TargetMode="External"/><Relationship Id="rId96" Type="http://schemas.openxmlformats.org/officeDocument/2006/relationships/hyperlink" Target="http://consorciofia.info/cdr/ver_fuentes_w.php?NumCDR=065&amp;codEntidad=19999" TargetMode="External"/><Relationship Id="rId161" Type="http://schemas.openxmlformats.org/officeDocument/2006/relationships/hyperlink" Target="http://consorciofia.info/cdr/ver_fuentes_w.php?NumCDR=112&amp;codEntidad=19999%7d" TargetMode="External"/><Relationship Id="rId217" Type="http://schemas.openxmlformats.org/officeDocument/2006/relationships/hyperlink" Target="http://consorciofia.info/cdr/ver_fuentes_w.php?NumCDR=0011&amp;codEntidad=19999" TargetMode="External"/><Relationship Id="rId399" Type="http://schemas.openxmlformats.org/officeDocument/2006/relationships/hyperlink" Target="http://consorciofia.info/cdr/ver_fuentes_w.php?NumCDR=2295&amp;codEntidad=19318" TargetMode="External"/><Relationship Id="rId564" Type="http://schemas.openxmlformats.org/officeDocument/2006/relationships/hyperlink" Target="http://consorciofia.info/cdr/ver_fuentes_w.php?NumCDR=4030&amp;codEntidad=19318" TargetMode="External"/><Relationship Id="rId259" Type="http://schemas.openxmlformats.org/officeDocument/2006/relationships/hyperlink" Target="http://consorciofia.info/cdr/ver_fuentes_w.php?NumCDR=119&amp;codEntidad=19999" TargetMode="External"/><Relationship Id="rId424" Type="http://schemas.openxmlformats.org/officeDocument/2006/relationships/hyperlink" Target="http://consorciofia.info/cdr/ver_fuentes_w.php?NumCDR=083&amp;codEntidad=19999" TargetMode="External"/><Relationship Id="rId466" Type="http://schemas.openxmlformats.org/officeDocument/2006/relationships/hyperlink" Target="http://consorciofia.info/cdr/ver_fuentes_w.php?NumCDR=325&amp;codEntidad=19999" TargetMode="External"/><Relationship Id="rId23" Type="http://schemas.openxmlformats.org/officeDocument/2006/relationships/hyperlink" Target="http://consorciofia.info/cdr/ver_fuentes_w.php?NumCDR=014&amp;codEntidad=19999" TargetMode="External"/><Relationship Id="rId119" Type="http://schemas.openxmlformats.org/officeDocument/2006/relationships/hyperlink" Target="http://consorciofia.info/cdr/ver_fuentes_w.php?NumCDR=075&amp;codEntidad=19999" TargetMode="External"/><Relationship Id="rId270" Type="http://schemas.openxmlformats.org/officeDocument/2006/relationships/hyperlink" Target="http://consorciofia.info/cdr/ver_fuentes_w.php?NumCDR=001&amp;codEntidad=19318" TargetMode="External"/><Relationship Id="rId326" Type="http://schemas.openxmlformats.org/officeDocument/2006/relationships/hyperlink" Target="http://consorciofia.info/cdr/ver_fuentes_w.php?NumCDR=259&amp;codEntidad=19999" TargetMode="External"/><Relationship Id="rId533" Type="http://schemas.openxmlformats.org/officeDocument/2006/relationships/hyperlink" Target="http://consorciofia.info/cdr/ver_fuentes_w.php?NumCDR=3986&amp;codEntidad=19050" TargetMode="External"/><Relationship Id="rId65" Type="http://schemas.openxmlformats.org/officeDocument/2006/relationships/hyperlink" Target="http://consorciofia.info/cdr/ver_fuentes_w.php?NumCDR=040&amp;codEntidad=19999" TargetMode="External"/><Relationship Id="rId130" Type="http://schemas.openxmlformats.org/officeDocument/2006/relationships/hyperlink" Target="http://consorciofia.info/cdr/ver_fuentes_w.php?NumCDR=003&amp;codEntidad=19999" TargetMode="External"/><Relationship Id="rId368" Type="http://schemas.openxmlformats.org/officeDocument/2006/relationships/hyperlink" Target="http://consorciofia.info/cdr/ver_fuentes_w.php?NumCDR=317&amp;codEntidad=19999" TargetMode="External"/><Relationship Id="rId172" Type="http://schemas.openxmlformats.org/officeDocument/2006/relationships/hyperlink" Target="http://consorciofia.info/cdr/ver_fuentes_w.php?NumCDR=204&amp;codEntidad=19999" TargetMode="External"/><Relationship Id="rId228" Type="http://schemas.openxmlformats.org/officeDocument/2006/relationships/hyperlink" Target="http://consorciofia.info/cdr/ver_fuentes_w.php?NumCDR=032&amp;codEntidad=19999" TargetMode="External"/><Relationship Id="rId435" Type="http://schemas.openxmlformats.org/officeDocument/2006/relationships/hyperlink" Target="http://consorciofia.info/cdr/ver_fuentes_w.php?NumCDR=2646&amp;codEntidad=19693" TargetMode="External"/><Relationship Id="rId477" Type="http://schemas.openxmlformats.org/officeDocument/2006/relationships/hyperlink" Target="http://consorciofia.info/cdr/ver_fuentes_w.php?NumCDR=11&amp;codEntidad=19318" TargetMode="External"/><Relationship Id="rId281" Type="http://schemas.openxmlformats.org/officeDocument/2006/relationships/hyperlink" Target="http://consorciofia.info/cdr/ver_fuentes_w.php?NumCDR=182&amp;codEntidad=19999" TargetMode="External"/><Relationship Id="rId337" Type="http://schemas.openxmlformats.org/officeDocument/2006/relationships/hyperlink" Target="http://consorciofia.info/cdr/ver_fuentes_w.php?NumCDR=249&amp;codEntidad=19999" TargetMode="External"/><Relationship Id="rId502" Type="http://schemas.openxmlformats.org/officeDocument/2006/relationships/hyperlink" Target="http://consorciofia.info/cdr/ver_fuentes_w.php?NumCDR=16&amp;codEntidad=19532" TargetMode="External"/><Relationship Id="rId34" Type="http://schemas.openxmlformats.org/officeDocument/2006/relationships/hyperlink" Target="http://consorciofia.info/cdr/ver_fuentes_w.php?NumCDR=029&amp;codEntidad=19999" TargetMode="External"/><Relationship Id="rId76" Type="http://schemas.openxmlformats.org/officeDocument/2006/relationships/hyperlink" Target="http://consorciofia.info/cdr/ver_fuentes_w.php?NumCDR=051&amp;codEntidad=19999" TargetMode="External"/><Relationship Id="rId141" Type="http://schemas.openxmlformats.org/officeDocument/2006/relationships/hyperlink" Target="http://consorciofia.info/cdr/ver_fuentes_w.php?NumCDR=099&amp;codEntidad=19999" TargetMode="External"/><Relationship Id="rId379" Type="http://schemas.openxmlformats.org/officeDocument/2006/relationships/hyperlink" Target="http://consorciofia.info/cdr/ver_fuentes_w.php?NumCDR=14&amp;codEntidad=19807" TargetMode="External"/><Relationship Id="rId544" Type="http://schemas.openxmlformats.org/officeDocument/2006/relationships/hyperlink" Target="http://consorciofia.info/cdr/ver_fuentes_w.php?NumCDR=2884&amp;codEntidad=19517" TargetMode="External"/><Relationship Id="rId7" Type="http://schemas.openxmlformats.org/officeDocument/2006/relationships/hyperlink" Target="http://consorciofia.info/cdr/ver_fuentes_w.php?NumCDR=187&amp;codEntidad=19999" TargetMode="External"/><Relationship Id="rId183" Type="http://schemas.openxmlformats.org/officeDocument/2006/relationships/hyperlink" Target="http://consorciofia.info/cdr/ver_fuentes_w.php?NumCDR=003&amp;codEntidad=19397" TargetMode="External"/><Relationship Id="rId239" Type="http://schemas.openxmlformats.org/officeDocument/2006/relationships/hyperlink" Target="http://consorciofia.info/cdr/ver_fuentes_w.php?NumCDR=241&amp;codEntidad=19999" TargetMode="External"/><Relationship Id="rId390" Type="http://schemas.openxmlformats.org/officeDocument/2006/relationships/hyperlink" Target="http://consorciofia.info/cdr/ver_fuentes_w.php?NumCDR=002&amp;codEntidad=19075" TargetMode="External"/><Relationship Id="rId404" Type="http://schemas.openxmlformats.org/officeDocument/2006/relationships/hyperlink" Target="http://consorciofia.info/cdr/ver_fuentes_w.php?NumCDR=007&amp;codEntidad=19807" TargetMode="External"/><Relationship Id="rId446" Type="http://schemas.openxmlformats.org/officeDocument/2006/relationships/hyperlink" Target="http://consorciofia.info/cdr/ver_fuentes_w.php?NumCDR=5&amp;codEntidad=19364" TargetMode="External"/><Relationship Id="rId250" Type="http://schemas.openxmlformats.org/officeDocument/2006/relationships/hyperlink" Target="http://consorciofia.info/cdr/ver_fuentes_w.php?NumCDR=128&amp;codEntidad=19999" TargetMode="External"/><Relationship Id="rId292" Type="http://schemas.openxmlformats.org/officeDocument/2006/relationships/hyperlink" Target="http://consorciofia.info/cdr/ver_fuentes_w.php?NumCDR=174&amp;codEntidad=19999" TargetMode="External"/><Relationship Id="rId306" Type="http://schemas.openxmlformats.org/officeDocument/2006/relationships/hyperlink" Target="http://consorciofia.info/cdr/ver_fuentes_w.php?NumCDR=185&amp;codEntidad=19999" TargetMode="External"/><Relationship Id="rId488" Type="http://schemas.openxmlformats.org/officeDocument/2006/relationships/hyperlink" Target="http://consorciofia.info/cdr/ver_fuentes_w.php?NumCDR=4&amp;codEntidad=19701" TargetMode="External"/><Relationship Id="rId45" Type="http://schemas.openxmlformats.org/officeDocument/2006/relationships/hyperlink" Target="http://consorciofia.info/cdr/ver_fuentes_w.php?NumCDR=037&amp;codEntidad=19999" TargetMode="External"/><Relationship Id="rId87" Type="http://schemas.openxmlformats.org/officeDocument/2006/relationships/hyperlink" Target="http://consorciofia.info/cdr/ver_fuentes_w.php?NumCDR=035&amp;codEntidad=19999" TargetMode="External"/><Relationship Id="rId110" Type="http://schemas.openxmlformats.org/officeDocument/2006/relationships/hyperlink" Target="http://consorciofia.info/cdr/ver_fuentes_w.php?NumCDR=052&amp;codEntidad=19999" TargetMode="External"/><Relationship Id="rId348" Type="http://schemas.openxmlformats.org/officeDocument/2006/relationships/hyperlink" Target="http://consorciofia.info/cdr/ver_fuentes_w.php?NumCDR=8&amp;codEntidad=19513" TargetMode="External"/><Relationship Id="rId513" Type="http://schemas.openxmlformats.org/officeDocument/2006/relationships/hyperlink" Target="http://consorciofia.info/cdr/ver_fuentes_w.php?NumCDR=337&amp;codEntidad=19999" TargetMode="External"/><Relationship Id="rId555" Type="http://schemas.openxmlformats.org/officeDocument/2006/relationships/hyperlink" Target="http://consorciofia.info/cdr/ver_fuentes_w.php?NumCDR=006&amp;codEntidad=19698" TargetMode="External"/><Relationship Id="rId152" Type="http://schemas.openxmlformats.org/officeDocument/2006/relationships/hyperlink" Target="http://consorciofia.info/cdr/ver_fuentes_w.php?NumCDR=111&amp;codEntidad=19999" TargetMode="External"/><Relationship Id="rId194" Type="http://schemas.openxmlformats.org/officeDocument/2006/relationships/hyperlink" Target="http://consorciofia.info/cdr/ver_fuentes_w.php?NumCDR=144&amp;codEntidad=19999" TargetMode="External"/><Relationship Id="rId208" Type="http://schemas.openxmlformats.org/officeDocument/2006/relationships/hyperlink" Target="http://consorciofia.info/cdr/ver_fuentes_w.php?NumCDR=209&amp;codEntidad=19999" TargetMode="External"/><Relationship Id="rId415" Type="http://schemas.openxmlformats.org/officeDocument/2006/relationships/hyperlink" Target="http://consorciofia.info/cdr/ver_fuentes_w.php?NumCDR=5&amp;codEntidad=19142" TargetMode="External"/><Relationship Id="rId457" Type="http://schemas.openxmlformats.org/officeDocument/2006/relationships/hyperlink" Target="http://consorciofia.info/cdr/ver_fuentes_w.php?NumCDR=8&amp;codEntidad=19418" TargetMode="External"/><Relationship Id="rId261" Type="http://schemas.openxmlformats.org/officeDocument/2006/relationships/hyperlink" Target="http://consorciofia.info/cdr/ver_fuentes_w.php?NumCDR=001&amp;codEntidad=19585" TargetMode="External"/><Relationship Id="rId499" Type="http://schemas.openxmlformats.org/officeDocument/2006/relationships/hyperlink" Target="http://consorciofia.info/cdr/ver_fuentes_w.php?NumCDR=8&amp;codEntidad=19110" TargetMode="External"/><Relationship Id="rId14" Type="http://schemas.openxmlformats.org/officeDocument/2006/relationships/hyperlink" Target="http://consorciofia.info/cdr/ver_fuentes_w.php?NumCDR=005&amp;codEntidad=19999" TargetMode="External"/><Relationship Id="rId56" Type="http://schemas.openxmlformats.org/officeDocument/2006/relationships/hyperlink" Target="http://consorciofia.info/cdr/ver_fuentes_w.php?NumCDR=038&amp;codEntidad=19999" TargetMode="External"/><Relationship Id="rId317" Type="http://schemas.openxmlformats.org/officeDocument/2006/relationships/hyperlink" Target="http://consorciofia.info/cdr/ver_fuentes_w.php?NumCDR=186&amp;codEntidad=19999" TargetMode="External"/><Relationship Id="rId359" Type="http://schemas.openxmlformats.org/officeDocument/2006/relationships/hyperlink" Target="http://consorciofia.info/cdr/ver_fuentes_w.php?NumCDR=9&amp;codEntidad=19513" TargetMode="External"/><Relationship Id="rId524" Type="http://schemas.openxmlformats.org/officeDocument/2006/relationships/hyperlink" Target="http://consorciofia.info/cdr/ver_fuentes_w.php?NumCDR=6&amp;codEntidad=19473" TargetMode="External"/><Relationship Id="rId566" Type="http://schemas.openxmlformats.org/officeDocument/2006/relationships/hyperlink" Target="http://consorciofia.info/cdr/ver_fuentes_w.php?NumCDR=3812&amp;codEntidad=19999" TargetMode="External"/><Relationship Id="rId98" Type="http://schemas.openxmlformats.org/officeDocument/2006/relationships/hyperlink" Target="http://consorciofia.info/cdr/ver_fuentes_w.php?NumCDR=067&amp;codEntidad=19999" TargetMode="External"/><Relationship Id="rId121" Type="http://schemas.openxmlformats.org/officeDocument/2006/relationships/hyperlink" Target="http://consorciofia.info/cdr/ver_fuentes_w.php?NumCDR=072&amp;codEntidad=19999" TargetMode="External"/><Relationship Id="rId163" Type="http://schemas.openxmlformats.org/officeDocument/2006/relationships/hyperlink" Target="http://consorciofia.info/cdr/ver_fuentes_w.php?NumCDR=090&amp;codEntidad=19999" TargetMode="External"/><Relationship Id="rId219" Type="http://schemas.openxmlformats.org/officeDocument/2006/relationships/hyperlink" Target="http://consorciofia.info/cdr/ver_fuentes_w.php?NumCDR=023&amp;codEntidad=19999" TargetMode="External"/><Relationship Id="rId370" Type="http://schemas.openxmlformats.org/officeDocument/2006/relationships/hyperlink" Target="http://consorciofia.info/cdr/ver_fuentes_w.php?NumCDR=003&amp;codEntidad=19743" TargetMode="External"/><Relationship Id="rId426" Type="http://schemas.openxmlformats.org/officeDocument/2006/relationships/hyperlink" Target="http://consorciofia.info/cdr/ver_fuentes_w.php?NumCDR=198&amp;codEntidad=19999" TargetMode="External"/><Relationship Id="rId230" Type="http://schemas.openxmlformats.org/officeDocument/2006/relationships/hyperlink" Target="http://consorciofia.info/cdr/ver_fuentes_w.php?NumCDR=117&amp;codEntidad=19999" TargetMode="External"/><Relationship Id="rId468" Type="http://schemas.openxmlformats.org/officeDocument/2006/relationships/hyperlink" Target="http://consorciofia.info/cdr/ver_fuentes_w.php?NumCDR=2296&amp;codEntidad=19318" TargetMode="External"/><Relationship Id="rId25" Type="http://schemas.openxmlformats.org/officeDocument/2006/relationships/hyperlink" Target="http://consorciofia.info/cdr/ver_fuentes_w.php?NumCDR=019&amp;codEntidad=19999" TargetMode="External"/><Relationship Id="rId67" Type="http://schemas.openxmlformats.org/officeDocument/2006/relationships/hyperlink" Target="http://consorciofia.info/cdr/ver_fuentes_w.php?NumCDR=158&amp;codEntidad=19999" TargetMode="External"/><Relationship Id="rId272" Type="http://schemas.openxmlformats.org/officeDocument/2006/relationships/hyperlink" Target="http://consorciofia.info/cdr/ver_fuentes_w.php?NumCDR=180&amp;codEntidad=19999" TargetMode="External"/><Relationship Id="rId328" Type="http://schemas.openxmlformats.org/officeDocument/2006/relationships/hyperlink" Target="http://consorciofia.info/cdr/ver_fuentes_w.php?NumCDR=240&amp;codEntidad=19999" TargetMode="External"/><Relationship Id="rId535" Type="http://schemas.openxmlformats.org/officeDocument/2006/relationships/hyperlink" Target="http://consorciofia.info/cdr/ver_fuentes_w.php?NumCDR=2394&amp;codEntidad=19300" TargetMode="External"/><Relationship Id="rId132" Type="http://schemas.openxmlformats.org/officeDocument/2006/relationships/hyperlink" Target="http://consorciofia.info/cdr/ver_fuentes_w.php?NumCDR=085&amp;codEntidad=19999" TargetMode="External"/><Relationship Id="rId174" Type="http://schemas.openxmlformats.org/officeDocument/2006/relationships/hyperlink" Target="http://consorciofia.info/cdr/ver_fuentes_w.php?NumCDR=046&amp;codEntidad=19999" TargetMode="External"/><Relationship Id="rId381" Type="http://schemas.openxmlformats.org/officeDocument/2006/relationships/hyperlink" Target="http://consorciofia.info/cdr/ver_fuentes_w.php?NumCDR=292&amp;codEntidad=19999" TargetMode="External"/><Relationship Id="rId241" Type="http://schemas.openxmlformats.org/officeDocument/2006/relationships/hyperlink" Target="http://consorciofia.info/cdr/ver_fuentes_w.php?NumCDR=136&amp;codEntidad=19999" TargetMode="External"/><Relationship Id="rId437" Type="http://schemas.openxmlformats.org/officeDocument/2006/relationships/hyperlink" Target="http://consorciofia.info/cdr/ver_fuentes_w.php?NumCDR=6&amp;codEntidad=19001" TargetMode="External"/><Relationship Id="rId479" Type="http://schemas.openxmlformats.org/officeDocument/2006/relationships/hyperlink" Target="http://consorciofia.info/cdr/ver_fuentes_w.php?NumCDR=10&amp;codEntidad=19780" TargetMode="External"/><Relationship Id="rId36" Type="http://schemas.openxmlformats.org/officeDocument/2006/relationships/hyperlink" Target="http://consorciofia.info/cdr/ver_fuentes_w.php?NumCDR=021&amp;codEntidad=19999" TargetMode="External"/><Relationship Id="rId283" Type="http://schemas.openxmlformats.org/officeDocument/2006/relationships/hyperlink" Target="http://consorciofia.info/cdr/ver_fuentes_w.php?NumCDR=299&amp;codEntidad=19999" TargetMode="External"/><Relationship Id="rId339" Type="http://schemas.openxmlformats.org/officeDocument/2006/relationships/hyperlink" Target="http://consorciofia.info/cdr/ver_fuentes_w.php?NumCDR=254&amp;codEntidad=19999" TargetMode="External"/><Relationship Id="rId490" Type="http://schemas.openxmlformats.org/officeDocument/2006/relationships/hyperlink" Target="http://consorciofia.info/cdr/ver_fuentes_w.php?NumCDR=7&amp;codEntidad=19364" TargetMode="External"/><Relationship Id="rId504" Type="http://schemas.openxmlformats.org/officeDocument/2006/relationships/hyperlink" Target="http://consorciofia.info/cdr/ver_fuentes_w.php?NumCDR=4&amp;codEntidad=19533" TargetMode="External"/><Relationship Id="rId546" Type="http://schemas.openxmlformats.org/officeDocument/2006/relationships/hyperlink" Target="http://consorciofia.info/cdr/ver_fuentes_w.php?NumCDR=6&amp;codEntidad=19473" TargetMode="External"/><Relationship Id="rId78" Type="http://schemas.openxmlformats.org/officeDocument/2006/relationships/hyperlink" Target="http://consorciofia.info/cdr/ver_fuentes_w.php?NumCDR=051&amp;codEntidad=19999" TargetMode="External"/><Relationship Id="rId101" Type="http://schemas.openxmlformats.org/officeDocument/2006/relationships/hyperlink" Target="http://consorciofia.info/cdr/ver_fuentes_w.php?NumCDR=059&amp;codEntidad=19999" TargetMode="External"/><Relationship Id="rId143" Type="http://schemas.openxmlformats.org/officeDocument/2006/relationships/hyperlink" Target="http://consorciofia.info/cdr/ver_fuentes_w.php?NumCDR=100&amp;codEntidad=19999" TargetMode="External"/><Relationship Id="rId185" Type="http://schemas.openxmlformats.org/officeDocument/2006/relationships/hyperlink" Target="http://consorciofia.info/cdr/ver_fuentes_w.php?NumCDR=003&amp;codEntidad=19585" TargetMode="External"/><Relationship Id="rId350" Type="http://schemas.openxmlformats.org/officeDocument/2006/relationships/hyperlink" Target="http://consorciofia.info/cdr/ver_fuentes_w.php?NumCDR=007&amp;codEntidad=19050" TargetMode="External"/><Relationship Id="rId406" Type="http://schemas.openxmlformats.org/officeDocument/2006/relationships/hyperlink" Target="http://consorciofia.info/cdr/ver_fuentes_w.php?NumCDR=3562&amp;codEntidad=19807" TargetMode="External"/><Relationship Id="rId9" Type="http://schemas.openxmlformats.org/officeDocument/2006/relationships/hyperlink" Target="http://consorciofia.info/cdr/ver_fuentes_w.php?NumCDR=029&amp;codEntidad=19999" TargetMode="External"/><Relationship Id="rId210" Type="http://schemas.openxmlformats.org/officeDocument/2006/relationships/hyperlink" Target="http://consorciofia.info/cdr/ver_fuentes_w.php?NumCDR=169&amp;codEntidad=19999" TargetMode="External"/><Relationship Id="rId392" Type="http://schemas.openxmlformats.org/officeDocument/2006/relationships/hyperlink" Target="http://consorciofia.info/cdr/ver_fuentes_w.php?NumCDR=002&amp;codEntidad=19100" TargetMode="External"/><Relationship Id="rId448" Type="http://schemas.openxmlformats.org/officeDocument/2006/relationships/hyperlink" Target="http://consorciofia.info/cdr/ver_fuentes_w.php?NumCDR=12&amp;codEntidad=19450" TargetMode="External"/><Relationship Id="rId26" Type="http://schemas.openxmlformats.org/officeDocument/2006/relationships/hyperlink" Target="http://consorciofia.info/cdr/ver_fuentes_w.php?NumCDR=002&amp;codEntidad=19999" TargetMode="External"/><Relationship Id="rId231" Type="http://schemas.openxmlformats.org/officeDocument/2006/relationships/hyperlink" Target="http://consorciofia.info/cdr/ver_fuentes_w.php?NumCDR=001&amp;codEntidad=19050" TargetMode="External"/><Relationship Id="rId252" Type="http://schemas.openxmlformats.org/officeDocument/2006/relationships/hyperlink" Target="http://consorciofia.info/cdr/ver_fuentes_w.php?NumCDR=068&amp;codEntidad=19999" TargetMode="External"/><Relationship Id="rId273" Type="http://schemas.openxmlformats.org/officeDocument/2006/relationships/hyperlink" Target="http://consorciofia.info/cdr/ver_fuentes_w.php?NumCDR=298&amp;codEntidad=19999" TargetMode="External"/><Relationship Id="rId294" Type="http://schemas.openxmlformats.org/officeDocument/2006/relationships/hyperlink" Target="http://consorciofia.info/cdr/ver_fuentes_w.php?NumCDR=174&amp;codEntidad=19999" TargetMode="External"/><Relationship Id="rId308" Type="http://schemas.openxmlformats.org/officeDocument/2006/relationships/hyperlink" Target="http://consorciofia.info/cdr/ver_fuentes_w.php?NumCDR=216&amp;codEntidad=19999" TargetMode="External"/><Relationship Id="rId329" Type="http://schemas.openxmlformats.org/officeDocument/2006/relationships/hyperlink" Target="http://consorciofia.info/cdr/ver_fuentes_w.php?NumCDR=239&amp;codEntidad=19999" TargetMode="External"/><Relationship Id="rId480" Type="http://schemas.openxmlformats.org/officeDocument/2006/relationships/hyperlink" Target="http://consorciofia.info/cdr/ver_fuentes_w.php?NumCDR=9&amp;codEntidad=19418" TargetMode="External"/><Relationship Id="rId515" Type="http://schemas.openxmlformats.org/officeDocument/2006/relationships/hyperlink" Target="http://consorciofia.info/cdr/ver_fuentes_w.php?NumCDR=340&amp;codEntidad=19999" TargetMode="External"/><Relationship Id="rId536" Type="http://schemas.openxmlformats.org/officeDocument/2006/relationships/hyperlink" Target="http://consorciofia.info/cdr/ver_fuentes_w.php?NumCDR=2372&amp;codEntidad=19110" TargetMode="External"/><Relationship Id="rId47" Type="http://schemas.openxmlformats.org/officeDocument/2006/relationships/hyperlink" Target="http://consorciofia.info/cdr/ver_fuentes_w.php?NumCDR=037&amp;codEntidad=19999" TargetMode="External"/><Relationship Id="rId68" Type="http://schemas.openxmlformats.org/officeDocument/2006/relationships/hyperlink" Target="http://consorciofia.info/cdr/ver_fuentes_w.php?NumCDR=049&amp;codEntidad=19999" TargetMode="External"/><Relationship Id="rId89" Type="http://schemas.openxmlformats.org/officeDocument/2006/relationships/hyperlink" Target="http://consorciofia.info/cdr/ver_fuentes_w.php?NumCDR=194&amp;codEntidad=19999" TargetMode="External"/><Relationship Id="rId112" Type="http://schemas.openxmlformats.org/officeDocument/2006/relationships/hyperlink" Target="http://consorciofia.info/cdr/ver_fuentes_w.php?NumCDR=055&amp;codEntidad=19999" TargetMode="External"/><Relationship Id="rId133" Type="http://schemas.openxmlformats.org/officeDocument/2006/relationships/hyperlink" Target="http://consorciofia.info/cdr/ver_fuentes_w.php?NumCDR=087&amp;codEntidad=19999" TargetMode="External"/><Relationship Id="rId154" Type="http://schemas.openxmlformats.org/officeDocument/2006/relationships/hyperlink" Target="http://consorciofia.info/cdr/ver_fuentes_w.php?NumCDR=109&amp;codEntidad=19999" TargetMode="External"/><Relationship Id="rId175" Type="http://schemas.openxmlformats.org/officeDocument/2006/relationships/hyperlink" Target="http://consorciofia.info/cdr/ver_fuentes_w.php?NumCDR=161&amp;codEntidad=19999" TargetMode="External"/><Relationship Id="rId340" Type="http://schemas.openxmlformats.org/officeDocument/2006/relationships/hyperlink" Target="http://consorciofia.info/cdr/ver_fuentes_w.php?NumCDR=232&amp;codEntidad=19999" TargetMode="External"/><Relationship Id="rId361" Type="http://schemas.openxmlformats.org/officeDocument/2006/relationships/hyperlink" Target="http://consorciofia.info/cdr/ver_fuentes_w.php?NumCDR=264&amp;codEntidad=19999" TargetMode="External"/><Relationship Id="rId557" Type="http://schemas.openxmlformats.org/officeDocument/2006/relationships/hyperlink" Target="http://consorciofia.info/cdr/ver_fuentes_w.php?NumCDR=3563&amp;codEntidad=19807" TargetMode="External"/><Relationship Id="rId196" Type="http://schemas.openxmlformats.org/officeDocument/2006/relationships/hyperlink" Target="http://consorciofia.info/cdr/ver_fuentes_w.php?NumCDR=149&amp;codEntidad=19999" TargetMode="External"/><Relationship Id="rId200" Type="http://schemas.openxmlformats.org/officeDocument/2006/relationships/hyperlink" Target="http://consorciofia.info/cdr/ver_fuentes_w.php?NumCDR=171&amp;codEntidad=19999" TargetMode="External"/><Relationship Id="rId382" Type="http://schemas.openxmlformats.org/officeDocument/2006/relationships/hyperlink" Target="http://consorciofia.info/cdr/ver_fuentes_w.php?NumCDR=2647&amp;codEntidad=19693" TargetMode="External"/><Relationship Id="rId417" Type="http://schemas.openxmlformats.org/officeDocument/2006/relationships/hyperlink" Target="http://consorciofia.info/cdr/ver_fuentes_w.php?NumCDR=6&amp;codEntidad=19364" TargetMode="External"/><Relationship Id="rId438" Type="http://schemas.openxmlformats.org/officeDocument/2006/relationships/hyperlink" Target="http://consorciofia.info/cdr/ver_fuentes_w.php?NumCDR=6&amp;codEntidad=19001" TargetMode="External"/><Relationship Id="rId459" Type="http://schemas.openxmlformats.org/officeDocument/2006/relationships/hyperlink" Target="http://consorciofia.info/cdr/ver_fuentes_w.php?NumCDR=7&amp;codEntidad=19130" TargetMode="External"/><Relationship Id="rId16" Type="http://schemas.openxmlformats.org/officeDocument/2006/relationships/hyperlink" Target="http://consorciofia.info/cdr/ver_fuentes_w.php?NumCDR=008&amp;codEntidad=19999" TargetMode="External"/><Relationship Id="rId221" Type="http://schemas.openxmlformats.org/officeDocument/2006/relationships/hyperlink" Target="http://consorciofia.info/cdr/ver_fuentes_w.php?NumCDR=023&amp;codEntidad=19999" TargetMode="External"/><Relationship Id="rId242" Type="http://schemas.openxmlformats.org/officeDocument/2006/relationships/hyperlink" Target="http://consorciofia.info/cdr/ver_fuentes_w.php?NumCDR=132&amp;codEntidad=19999" TargetMode="External"/><Relationship Id="rId263" Type="http://schemas.openxmlformats.org/officeDocument/2006/relationships/hyperlink" Target="http://consorciofia.info/cdr/ver_fuentes_w.php?NumCDR=004&amp;codEntidad=19585" TargetMode="External"/><Relationship Id="rId284" Type="http://schemas.openxmlformats.org/officeDocument/2006/relationships/hyperlink" Target="http://consorciofia.info/cdr/ver_fuentes_w.php?NumCDR=174&amp;codEntidad=19999" TargetMode="External"/><Relationship Id="rId319" Type="http://schemas.openxmlformats.org/officeDocument/2006/relationships/hyperlink" Target="http://consorciofia.info/cdr/ver_fuentes_w.php?NumCDR=002&amp;codEntidad=19392" TargetMode="External"/><Relationship Id="rId470" Type="http://schemas.openxmlformats.org/officeDocument/2006/relationships/hyperlink" Target="http://consorciofia.info/cdr/ver_fuentes_w.php?NumCDR=12&amp;codEntidad=19318" TargetMode="External"/><Relationship Id="rId491" Type="http://schemas.openxmlformats.org/officeDocument/2006/relationships/hyperlink" Target="http://consorciofia.info/cdr/ver_fuentes_w.php?NumCDR=5&amp;codEntidad=19701" TargetMode="External"/><Relationship Id="rId505" Type="http://schemas.openxmlformats.org/officeDocument/2006/relationships/hyperlink" Target="http://consorciofia.info/cdr/ver_fuentes_w.php?NumCDR=6&amp;codEntidad=19142" TargetMode="External"/><Relationship Id="rId526" Type="http://schemas.openxmlformats.org/officeDocument/2006/relationships/hyperlink" Target="http://consorciofia.info/cdr/ver_fuentes_w.php?NumCDR=14&amp;codEntidad=19780" TargetMode="External"/><Relationship Id="rId37" Type="http://schemas.openxmlformats.org/officeDocument/2006/relationships/hyperlink" Target="http://consorciofia.info/cdr/ver_fuentes_w.php?NumCDR=021&amp;codEntidad=19999" TargetMode="External"/><Relationship Id="rId58" Type="http://schemas.openxmlformats.org/officeDocument/2006/relationships/hyperlink" Target="http://consorciofia.info/cdr/ver_fuentes_w.php?NumCDR=038&amp;codEntidad=19999" TargetMode="External"/><Relationship Id="rId79" Type="http://schemas.openxmlformats.org/officeDocument/2006/relationships/hyperlink" Target="http://consorciofia.info/cdr/ver_fuentes_w.php?NumCDR=051&amp;codEntidad=19999" TargetMode="External"/><Relationship Id="rId102" Type="http://schemas.openxmlformats.org/officeDocument/2006/relationships/hyperlink" Target="http://consorciofia.info/cdr/ver_fuentes_w.php?NumCDR=060&amp;codEntidad=19999" TargetMode="External"/><Relationship Id="rId123" Type="http://schemas.openxmlformats.org/officeDocument/2006/relationships/hyperlink" Target="../../../CRISTIAN/AppData/Roaming/Usuario/Downloads/Pagos%20CDRs%20FIA/CDR%20004%20-%20Contrato%20008-2010.jpg" TargetMode="External"/><Relationship Id="rId144" Type="http://schemas.openxmlformats.org/officeDocument/2006/relationships/hyperlink" Target="http://consorciofia.info/cdr/ver_fuentes_w.php?NumCDR=205&amp;codEntidad=19999" TargetMode="External"/><Relationship Id="rId330" Type="http://schemas.openxmlformats.org/officeDocument/2006/relationships/hyperlink" Target="http://consorciofia.info/cdr/ver_fuentes_w.php?NumCDR=004&amp;codEntidad=19532" TargetMode="External"/><Relationship Id="rId547" Type="http://schemas.openxmlformats.org/officeDocument/2006/relationships/hyperlink" Target="http://consorciofia.info/cdr/ver_fuentes_w.php?NumCDR=8&amp;codEntidad=19548" TargetMode="External"/><Relationship Id="rId568" Type="http://schemas.openxmlformats.org/officeDocument/2006/relationships/hyperlink" Target="http://consorciofia.info/cdr/ver_fuentes_w.php?NumCDR=4762&amp;codEntidad=19100" TargetMode="External"/><Relationship Id="rId90" Type="http://schemas.openxmlformats.org/officeDocument/2006/relationships/hyperlink" Target="http://consorciofia.info/cdr/ver_fuentes_w.php?NumCDR=039&amp;codEntidad=19999" TargetMode="External"/><Relationship Id="rId165" Type="http://schemas.openxmlformats.org/officeDocument/2006/relationships/hyperlink" Target="http://consorciofia.info/cdr/ver_fuentes_w.php?NumCDR=167&amp;codEntidad=19999" TargetMode="External"/><Relationship Id="rId186" Type="http://schemas.openxmlformats.org/officeDocument/2006/relationships/hyperlink" Target="http://consorciofia.info/cdr/ver_fuentes_w.php?NumCDR=005&amp;codEntidad=19585" TargetMode="External"/><Relationship Id="rId351" Type="http://schemas.openxmlformats.org/officeDocument/2006/relationships/hyperlink" Target="http://consorciofia.info/cdr/ver_fuentes_w.php?NumCDR=20&amp;codEntidad=19050" TargetMode="External"/><Relationship Id="rId372" Type="http://schemas.openxmlformats.org/officeDocument/2006/relationships/hyperlink" Target="http://consorciofia.info/cdr/ver_fuentes_w.php?NumCDR=12&amp;codEntidad=19743" TargetMode="External"/><Relationship Id="rId393" Type="http://schemas.openxmlformats.org/officeDocument/2006/relationships/hyperlink" Target="http://consorciofia.info/cdr/ver_fuentes_w.php?NumCDR=268&amp;codEntidad=19999" TargetMode="External"/><Relationship Id="rId407" Type="http://schemas.openxmlformats.org/officeDocument/2006/relationships/hyperlink" Target="http://consorciofia.info/cdr/ver_fuentes_w.php?NumCDR=309&amp;codEntidad=19999" TargetMode="External"/><Relationship Id="rId428" Type="http://schemas.openxmlformats.org/officeDocument/2006/relationships/hyperlink" Target="http://consorciofia.info/cdr/ver_fuentes_w.php?NumCDR=166&amp;codEntidad=19999" TargetMode="External"/><Relationship Id="rId449" Type="http://schemas.openxmlformats.org/officeDocument/2006/relationships/hyperlink" Target="http://consorciofia.info/cdr/ver_fuentes_w.php?NumCDR=15&amp;codEntidad=19585" TargetMode="External"/><Relationship Id="rId211" Type="http://schemas.openxmlformats.org/officeDocument/2006/relationships/hyperlink" Target="http://consorciofia.info/cdr/ver_fuentes_w.php?NumCDR=137&amp;codEntidad=19999" TargetMode="External"/><Relationship Id="rId232" Type="http://schemas.openxmlformats.org/officeDocument/2006/relationships/hyperlink" Target="http://consorciofia.info/cdr/ver_fuentes_w.php?NumCDR=005&amp;codEntidad=19050" TargetMode="External"/><Relationship Id="rId253" Type="http://schemas.openxmlformats.org/officeDocument/2006/relationships/hyperlink" Target="http://consorciofia.info/cdr/ver_fuentes_w.php?NumCDR=069&amp;codEntidad=19999" TargetMode="External"/><Relationship Id="rId274" Type="http://schemas.openxmlformats.org/officeDocument/2006/relationships/hyperlink" Target="http://consorciofia.info/cdr/ver_fuentes_w.php?NumCDR=178&amp;codEntidad=19999" TargetMode="External"/><Relationship Id="rId295" Type="http://schemas.openxmlformats.org/officeDocument/2006/relationships/hyperlink" Target="http://consorciofia.info/cdr/ver_fuentes_w.php?NumCDR=174&amp;codEntidad=19999" TargetMode="External"/><Relationship Id="rId309" Type="http://schemas.openxmlformats.org/officeDocument/2006/relationships/hyperlink" Target="http://consorciofia.info/cdr/ver_fuentes_w.php?NumCDR=222&amp;codEntidad=19999" TargetMode="External"/><Relationship Id="rId460" Type="http://schemas.openxmlformats.org/officeDocument/2006/relationships/hyperlink" Target="http://consorciofia.info/cdr/ver_fuentes_w.php?NumCDR=2&amp;codEntidad=19548" TargetMode="External"/><Relationship Id="rId481" Type="http://schemas.openxmlformats.org/officeDocument/2006/relationships/hyperlink" Target="http://consorciofia.info/cdr/ver_fuentes_w.php?NumCDR=11&amp;codEntidad=19110" TargetMode="External"/><Relationship Id="rId516" Type="http://schemas.openxmlformats.org/officeDocument/2006/relationships/hyperlink" Target="http://consorciofia.info/cdr/ver_fuentes_w.php?NumCDR=8&amp;codEntidad=19573" TargetMode="External"/><Relationship Id="rId27" Type="http://schemas.openxmlformats.org/officeDocument/2006/relationships/hyperlink" Target="http://consorciofia.info/cdr/ver_fuentes_w.php?NumCDR=012&amp;codEntidad=19999" TargetMode="External"/><Relationship Id="rId48" Type="http://schemas.openxmlformats.org/officeDocument/2006/relationships/hyperlink" Target="http://consorciofia.info/cdr/ver_fuentes_w.php?NumCDR=037&amp;codEntidad=19999" TargetMode="External"/><Relationship Id="rId69" Type="http://schemas.openxmlformats.org/officeDocument/2006/relationships/hyperlink" Target="http://consorciofia.info/cdr/ver_fuentes_w.php?NumCDR=049&amp;codEntidad=19999" TargetMode="External"/><Relationship Id="rId113" Type="http://schemas.openxmlformats.org/officeDocument/2006/relationships/hyperlink" Target="http://consorciofia.info/cdr/ver_fuentes_w.php?NumCDR=056&amp;codEntidad=19999" TargetMode="External"/><Relationship Id="rId134" Type="http://schemas.openxmlformats.org/officeDocument/2006/relationships/hyperlink" Target="http://consorciofia.info/cdr/ver_fuentes_w.php?NumCDR=162&amp;codEntidad=19999" TargetMode="External"/><Relationship Id="rId320" Type="http://schemas.openxmlformats.org/officeDocument/2006/relationships/hyperlink" Target="http://consorciofia.info/cdr/ver_fuentes_w.php?NumCDR=261&amp;codEntidad=19999" TargetMode="External"/><Relationship Id="rId537" Type="http://schemas.openxmlformats.org/officeDocument/2006/relationships/hyperlink" Target="http://consorciofia.info/cdr/ver_fuentes_w.php?NumCDR=2373&amp;codEntidad=19999" TargetMode="External"/><Relationship Id="rId558" Type="http://schemas.openxmlformats.org/officeDocument/2006/relationships/hyperlink" Target="http://consorciofia.info/cdr/ver_fuentes_w.php?NumCDR=004&amp;codEntidad=19807" TargetMode="External"/><Relationship Id="rId80" Type="http://schemas.openxmlformats.org/officeDocument/2006/relationships/hyperlink" Target="http://consorciofia.info/cdr/ver_fuentes_w.php?NumCDR=207&amp;codEntidad=19999" TargetMode="External"/><Relationship Id="rId155" Type="http://schemas.openxmlformats.org/officeDocument/2006/relationships/hyperlink" Target="http://consorciofia.info/cdr/ver_fuentes_w.php?NumCDR=203&amp;codEntidad=19999" TargetMode="External"/><Relationship Id="rId176" Type="http://schemas.openxmlformats.org/officeDocument/2006/relationships/hyperlink" Target="http://consorciofia.info/cdr/ver_fuentes_w.php?NumCDR=098&amp;codEntidad=19999" TargetMode="External"/><Relationship Id="rId197" Type="http://schemas.openxmlformats.org/officeDocument/2006/relationships/hyperlink" Target="http://consorciofia.info/cdr/ver_fuentes_w.php?NumCDR=141&amp;codEntidad=19999" TargetMode="External"/><Relationship Id="rId341" Type="http://schemas.openxmlformats.org/officeDocument/2006/relationships/hyperlink" Target="http://consorciofia.info/cdr/ver_fuentes_w.php?NumCDR=260&amp;codEntidad=19999" TargetMode="External"/><Relationship Id="rId362" Type="http://schemas.openxmlformats.org/officeDocument/2006/relationships/hyperlink" Target="http://consorciofia.info/cdr/ver_fuentes_w.php?NumCDR=272&amp;codEntidad=19999" TargetMode="External"/><Relationship Id="rId383" Type="http://schemas.openxmlformats.org/officeDocument/2006/relationships/hyperlink" Target="http://consorciofia.info/cdr/ver_fuentes_w.php?NumCDR=004&amp;codEntidad=19743" TargetMode="External"/><Relationship Id="rId418" Type="http://schemas.openxmlformats.org/officeDocument/2006/relationships/hyperlink" Target="http://consorciofia.info/cdr/ver_fuentes_w.php?NumCDR=15&amp;codEntidad=19532" TargetMode="External"/><Relationship Id="rId439" Type="http://schemas.openxmlformats.org/officeDocument/2006/relationships/hyperlink" Target="http://consorciofia.info/cdr/ver_fuentes_w.php?NumCDR=7&amp;codEntidad=19001%7d" TargetMode="External"/><Relationship Id="rId201" Type="http://schemas.openxmlformats.org/officeDocument/2006/relationships/hyperlink" Target="http://consorciofia.info/cdr/ver_fuentes_w.php?NumCDR=172&amp;codEntidad=19999" TargetMode="External"/><Relationship Id="rId222" Type="http://schemas.openxmlformats.org/officeDocument/2006/relationships/hyperlink" Target="http://consorciofia.info/cdr/ver_fuentes_w.php?NumCDR=0011&amp;codEntidad=19999" TargetMode="External"/><Relationship Id="rId243" Type="http://schemas.openxmlformats.org/officeDocument/2006/relationships/hyperlink" Target="http://consorciofia.info/cdr/ver_fuentes_w.php?NumCDR=002&amp;codEntidad=19110" TargetMode="External"/><Relationship Id="rId264" Type="http://schemas.openxmlformats.org/officeDocument/2006/relationships/hyperlink" Target="http://consorciofia.info/cdr/ver_fuentes_w.php?NumCDR=125&amp;codEntidad=19999" TargetMode="External"/><Relationship Id="rId285" Type="http://schemas.openxmlformats.org/officeDocument/2006/relationships/hyperlink" Target="http://consorciofia.info/cdr/ver_fuentes_w.php?NumCDR=219&amp;codEntidad=19999" TargetMode="External"/><Relationship Id="rId450" Type="http://schemas.openxmlformats.org/officeDocument/2006/relationships/hyperlink" Target="http://consorciofia.info/cdr/ver_fuentes_w.php?NumCDR=5&amp;codEntidad=19760" TargetMode="External"/><Relationship Id="rId471" Type="http://schemas.openxmlformats.org/officeDocument/2006/relationships/hyperlink" Target="http://consorciofia.info/cdr/ver_fuentes_w.php?NumCDR=15&amp;codEntidad=19318" TargetMode="External"/><Relationship Id="rId506" Type="http://schemas.openxmlformats.org/officeDocument/2006/relationships/hyperlink" Target="http://consorciofia.info/cdr/ver_fuentes_w.php?NumCDR=18&amp;codEntidad=19050" TargetMode="External"/><Relationship Id="rId17" Type="http://schemas.openxmlformats.org/officeDocument/2006/relationships/hyperlink" Target="http://consorciofia.info/cdr/ver_fuentes_w.php?NumCDR=008&amp;codEntidad=19999" TargetMode="External"/><Relationship Id="rId38" Type="http://schemas.openxmlformats.org/officeDocument/2006/relationships/hyperlink" Target="http://consorciofia.info/cdr/ver_fuentes_w.php?NumCDR=224&amp;codEntidad=19999" TargetMode="External"/><Relationship Id="rId59" Type="http://schemas.openxmlformats.org/officeDocument/2006/relationships/hyperlink" Target="http://consorciofia.info/cdr/ver_fuentes_w.php?NumCDR=038&amp;codEntidad=19999" TargetMode="External"/><Relationship Id="rId103" Type="http://schemas.openxmlformats.org/officeDocument/2006/relationships/hyperlink" Target="http://consorciofia.info/cdr/ver_fuentes_w.php?NumCDR=061&amp;codEntidad=19999" TargetMode="External"/><Relationship Id="rId124" Type="http://schemas.openxmlformats.org/officeDocument/2006/relationships/hyperlink" Target="../../../CRISTIAN/AppData/Roaming/Usuario/Downloads/Pagos%20CDRs%20FIA/CDR%20004%20-%20Contrato%20008-2010.jpg" TargetMode="External"/><Relationship Id="rId310" Type="http://schemas.openxmlformats.org/officeDocument/2006/relationships/hyperlink" Target="http://consorciofia.info/cdr/ver_fuentes_w.php?NumCDR=002&amp;codEntidad=19001" TargetMode="External"/><Relationship Id="rId492" Type="http://schemas.openxmlformats.org/officeDocument/2006/relationships/hyperlink" Target="http://consorciofia.info/cdr/ver_fuentes_w.php?NumCDR=333&amp;codEntidad=19999" TargetMode="External"/><Relationship Id="rId527" Type="http://schemas.openxmlformats.org/officeDocument/2006/relationships/hyperlink" Target="http://consorciofia.info/cdr/ver_fuentes_w.php?NumCDR=10&amp;codEntidad=19392" TargetMode="External"/><Relationship Id="rId548" Type="http://schemas.openxmlformats.org/officeDocument/2006/relationships/hyperlink" Target="http://consorciofia.info/cdr/ver_fuentes_w.php?NumCDR=13&amp;codEntidad=19780" TargetMode="External"/><Relationship Id="rId569" Type="http://schemas.openxmlformats.org/officeDocument/2006/relationships/hyperlink" Target="http://consorciofia.info/cdr/ver_fuentes_w.php?NumCDR=312&amp;codEntidad=19999" TargetMode="External"/><Relationship Id="rId70" Type="http://schemas.openxmlformats.org/officeDocument/2006/relationships/hyperlink" Target="http://consorciofia.info/cdr/ver_fuentes_w.php?NumCDR=049&amp;codEntidad=19999" TargetMode="External"/><Relationship Id="rId91" Type="http://schemas.openxmlformats.org/officeDocument/2006/relationships/hyperlink" Target="http://consorciofia.info/cdr/ver_fuentes_w.php?NumCDR=041&amp;codEntidad=19999" TargetMode="External"/><Relationship Id="rId145" Type="http://schemas.openxmlformats.org/officeDocument/2006/relationships/hyperlink" Target="http://consorciofia.info/cdr/ver_fuentes_w.php?NumCDR=102&amp;codEntidad=19999" TargetMode="External"/><Relationship Id="rId166" Type="http://schemas.openxmlformats.org/officeDocument/2006/relationships/hyperlink" Target="http://consorciofia.info/cdr/ver_fuentes_w.php?NumCDR=091&amp;codEntidad=19999" TargetMode="External"/><Relationship Id="rId187" Type="http://schemas.openxmlformats.org/officeDocument/2006/relationships/hyperlink" Target="http://consorciofia.info/cdr/ver_fuentes_w.php?NumCDR=237&amp;codEntidad=19999" TargetMode="External"/><Relationship Id="rId331" Type="http://schemas.openxmlformats.org/officeDocument/2006/relationships/hyperlink" Target="http://consorciofia.info/cdr/ver_fuentes_w.php?NumCDR=310&amp;codEntidad=19999" TargetMode="External"/><Relationship Id="rId352" Type="http://schemas.openxmlformats.org/officeDocument/2006/relationships/hyperlink" Target="http://consorciofia.info/cdr/ver_fuentes_w.php?NumCDR=252&amp;codEntidad=19999" TargetMode="External"/><Relationship Id="rId373" Type="http://schemas.openxmlformats.org/officeDocument/2006/relationships/hyperlink" Target="http://consorciofia.info/cdr/ver_fuentes_w.php?NumCDR=296&amp;codEntidad=19999" TargetMode="External"/><Relationship Id="rId394" Type="http://schemas.openxmlformats.org/officeDocument/2006/relationships/hyperlink" Target="http://consorciofia.info/cdr/ver_fuentes_w.php?NumCDR=304&amp;codEntidad=19999" TargetMode="External"/><Relationship Id="rId408" Type="http://schemas.openxmlformats.org/officeDocument/2006/relationships/hyperlink" Target="http://consorciofia.info/cdr/ver_fuentes_w.php?NumCDR=7&amp;codEntidad=19355" TargetMode="External"/><Relationship Id="rId429" Type="http://schemas.openxmlformats.org/officeDocument/2006/relationships/hyperlink" Target="http://consorciofia.info/cdr/ver_fuentes_w.php?NumCDR=174&amp;codEntidad=19999" TargetMode="External"/><Relationship Id="rId1" Type="http://schemas.openxmlformats.org/officeDocument/2006/relationships/hyperlink" Target="http://consorciofia.info/cdr/ver_fuentes_w.php?NumCDR=001&amp;codEntidad=19999" TargetMode="External"/><Relationship Id="rId212" Type="http://schemas.openxmlformats.org/officeDocument/2006/relationships/hyperlink" Target="http://consorciofia.info/cdr/ver_fuentes_w.php?NumCDR=010&amp;codEntidad=19999" TargetMode="External"/><Relationship Id="rId233" Type="http://schemas.openxmlformats.org/officeDocument/2006/relationships/hyperlink" Target="http://consorciofia.info/cdr/ver_fuentes_w.php?NumCDR=227&amp;codEntidad=19999" TargetMode="External"/><Relationship Id="rId254" Type="http://schemas.openxmlformats.org/officeDocument/2006/relationships/hyperlink" Target="http://consorciofia.info/cdr/ver_fuentes_w.php?NumCDR=070&amp;codEntidad=19999" TargetMode="External"/><Relationship Id="rId440" Type="http://schemas.openxmlformats.org/officeDocument/2006/relationships/hyperlink" Target="http://consorciofia.info/cdr/ver_fuentes_w.php?NumCDR=009&amp;codEntidad=19585" TargetMode="External"/><Relationship Id="rId28" Type="http://schemas.openxmlformats.org/officeDocument/2006/relationships/hyperlink" Target="http://consorciofia.info/cdr/ver_fuentes_w.php?NumCDR=017&amp;codEntidad=19999" TargetMode="External"/><Relationship Id="rId49" Type="http://schemas.openxmlformats.org/officeDocument/2006/relationships/hyperlink" Target="http://consorciofia.info/cdr/ver_fuentes_w.php?NumCDR=036&amp;codEntidad=19999" TargetMode="External"/><Relationship Id="rId114" Type="http://schemas.openxmlformats.org/officeDocument/2006/relationships/hyperlink" Target="http://consorciofia.info/cdr/ver_fuentes_w.php?NumCDR=057&amp;codEntidad=19999" TargetMode="External"/><Relationship Id="rId275" Type="http://schemas.openxmlformats.org/officeDocument/2006/relationships/hyperlink" Target="http://consorciofia.info/cdr/ver_fuentes_w.php?NumCDR=001&amp;codEntidad=19824" TargetMode="External"/><Relationship Id="rId296" Type="http://schemas.openxmlformats.org/officeDocument/2006/relationships/hyperlink" Target="https://www.youtube.com/watch?v=cdLhtafylgE&amp;index=2&amp;list=RDMMnt1d8X_meEg" TargetMode="External"/><Relationship Id="rId300" Type="http://schemas.openxmlformats.org/officeDocument/2006/relationships/hyperlink" Target="http://consorciofia.info/cdr/ver_fuentes_w.php?NumCDR=235&amp;codEntidad=19999" TargetMode="External"/><Relationship Id="rId461" Type="http://schemas.openxmlformats.org/officeDocument/2006/relationships/hyperlink" Target="http://consorciofia.info/cdr/ver_fuentes_w.php?NumCDR=10&amp;codEntidad=19355" TargetMode="External"/><Relationship Id="rId482" Type="http://schemas.openxmlformats.org/officeDocument/2006/relationships/hyperlink" Target="http://consorciofia.info/cdr/ver_fuentes_w.php?NumCDR=8&amp;codEntidad=19130" TargetMode="External"/><Relationship Id="rId517" Type="http://schemas.openxmlformats.org/officeDocument/2006/relationships/hyperlink" Target="http://consorciofia.info/cdr/ver_fuentes_w.php?NumCDR=338&amp;codEntidad=19999" TargetMode="External"/><Relationship Id="rId538" Type="http://schemas.openxmlformats.org/officeDocument/2006/relationships/hyperlink" Target="http://consorciofia.info/cdr/ver_fuentes_w.php?NumCDR=22&amp;codEntidad=19050" TargetMode="External"/><Relationship Id="rId559" Type="http://schemas.openxmlformats.org/officeDocument/2006/relationships/hyperlink" Target="http://consorciofia.info/cdr/ver_fuentes_w.php?NumCDR=13&amp;codEntidad=19807" TargetMode="External"/><Relationship Id="rId60" Type="http://schemas.openxmlformats.org/officeDocument/2006/relationships/hyperlink" Target="http://consorciofia.info/cdr/ver_fuentes_w.php?NumCDR=038&amp;codEntidad=19999" TargetMode="External"/><Relationship Id="rId81" Type="http://schemas.openxmlformats.org/officeDocument/2006/relationships/hyperlink" Target="http://consorciofia.info/cdr/ver_fuentes_w.php?NumCDR=208&amp;codEntidad=19999" TargetMode="External"/><Relationship Id="rId135" Type="http://schemas.openxmlformats.org/officeDocument/2006/relationships/hyperlink" Target="http://consorciofia.info/cdr/ver_fuentes_w.php?NumCDR=088&amp;codEntidad=19999" TargetMode="External"/><Relationship Id="rId156" Type="http://schemas.openxmlformats.org/officeDocument/2006/relationships/hyperlink" Target="http://consorciofia.info/cdr/ver_fuentes_w.php?NumCDR=108&amp;codEntidad=19999" TargetMode="External"/><Relationship Id="rId177" Type="http://schemas.openxmlformats.org/officeDocument/2006/relationships/hyperlink" Target="http://consorciofia.info/cdr/ver_fuentes_w.php?NumCDR=001&amp;codEntidad=19397" TargetMode="External"/><Relationship Id="rId198" Type="http://schemas.openxmlformats.org/officeDocument/2006/relationships/hyperlink" Target="http://consorciofia.info/cdr/ver_fuentes_w.php?NumCDR=142&amp;codEntidad=19999" TargetMode="External"/><Relationship Id="rId321" Type="http://schemas.openxmlformats.org/officeDocument/2006/relationships/hyperlink" Target="http://consorciofia.info/cdr/ver_fuentes_w.php?NumCDR=004&amp;codEntidad=19780" TargetMode="External"/><Relationship Id="rId342" Type="http://schemas.openxmlformats.org/officeDocument/2006/relationships/hyperlink" Target="http://consorciofia.info/cdr/ver_fuentes_w.php?NumCDR=005&amp;codEntidad=19532" TargetMode="External"/><Relationship Id="rId363" Type="http://schemas.openxmlformats.org/officeDocument/2006/relationships/hyperlink" Target="http://consorciofia.info/cdr/ver_fuentes_w.php?NumCDR=15&amp;codEntidad=19050" TargetMode="External"/><Relationship Id="rId384" Type="http://schemas.openxmlformats.org/officeDocument/2006/relationships/hyperlink" Target="http://consorciofia.info/cdr/ver_fuentes_w.php?NumCDR=289&amp;codEntidad=19999" TargetMode="External"/><Relationship Id="rId419" Type="http://schemas.openxmlformats.org/officeDocument/2006/relationships/hyperlink" Target="http://consorciofia.info/cdr/ver_fuentes_w.php?NumCDR=076&amp;codEntidad=19999" TargetMode="External"/><Relationship Id="rId570" Type="http://schemas.openxmlformats.org/officeDocument/2006/relationships/printerSettings" Target="../printerSettings/printerSettings2.bin"/><Relationship Id="rId202" Type="http://schemas.openxmlformats.org/officeDocument/2006/relationships/hyperlink" Target="http://consorciofia.info/cdr/ver_fuentes_w.php?NumCDR=138&amp;codEntidad=19999" TargetMode="External"/><Relationship Id="rId223" Type="http://schemas.openxmlformats.org/officeDocument/2006/relationships/hyperlink" Target="http://consorciofia.info/cdr/ver_fuentes_w.php?NumCDR=0011&amp;codEntidad=19999" TargetMode="External"/><Relationship Id="rId244" Type="http://schemas.openxmlformats.org/officeDocument/2006/relationships/hyperlink" Target="http://consorciofia.info/cdr/ver_fuentes_w.php?NumCDR=134&amp;codEntidad=19999" TargetMode="External"/><Relationship Id="rId430" Type="http://schemas.openxmlformats.org/officeDocument/2006/relationships/hyperlink" Target="http://consorciofia.info/cdr/ver_fuentes_w.php?NumCDR=126&amp;codEntidad=19999" TargetMode="External"/><Relationship Id="rId18" Type="http://schemas.openxmlformats.org/officeDocument/2006/relationships/hyperlink" Target="http://consorciofia.info/cdr/ver_fuentes_w.php?NumCDR=008&amp;codEntidad=19999" TargetMode="External"/><Relationship Id="rId39" Type="http://schemas.openxmlformats.org/officeDocument/2006/relationships/hyperlink" Target="http://consorciofia.info/cdr/ver_fuentes_w.php?NumCDR=224&amp;codEntidad=19999" TargetMode="External"/><Relationship Id="rId265" Type="http://schemas.openxmlformats.org/officeDocument/2006/relationships/hyperlink" Target="http://consorciofia.info/cdr/ver_fuentes_w.php?NumCDR=001&amp;codEntidad=19513" TargetMode="External"/><Relationship Id="rId286" Type="http://schemas.openxmlformats.org/officeDocument/2006/relationships/hyperlink" Target="http://consorciofia.info/cdr/ver_fuentes_w.php?NumCDR=213&amp;codEntidad=19999" TargetMode="External"/><Relationship Id="rId451" Type="http://schemas.openxmlformats.org/officeDocument/2006/relationships/hyperlink" Target="http://consorciofia.info/cdr/ver_fuentes_w.php?NumCDR=6&amp;codEntidad=19355" TargetMode="External"/><Relationship Id="rId472" Type="http://schemas.openxmlformats.org/officeDocument/2006/relationships/hyperlink" Target="http://consorciofia.info/cdr/ver_fuentes_w.php?NumCDR=5&amp;codEntidad=19821" TargetMode="External"/><Relationship Id="rId493" Type="http://schemas.openxmlformats.org/officeDocument/2006/relationships/hyperlink" Target="http://consorciofia.info/cdr/ver_fuentes_w.php?NumCDR=9&amp;codEntidad=19392" TargetMode="External"/><Relationship Id="rId507" Type="http://schemas.openxmlformats.org/officeDocument/2006/relationships/hyperlink" Target="http://consorciofia.info/cdr/ver_fuentes_w.php?NumCDR=10&amp;codEntidad=19824" TargetMode="External"/><Relationship Id="rId528" Type="http://schemas.openxmlformats.org/officeDocument/2006/relationships/hyperlink" Target="http://consorciofia.info/cdr/ver_fuentes_w.php?NumCDR=012&amp;codEntidad=19999" TargetMode="External"/><Relationship Id="rId549" Type="http://schemas.openxmlformats.org/officeDocument/2006/relationships/hyperlink" Target="http://consorciofia.info/cdr/ver_fuentes_w.php?NumCDR=2475&amp;codEntidad=19698" TargetMode="External"/><Relationship Id="rId50" Type="http://schemas.openxmlformats.org/officeDocument/2006/relationships/hyperlink" Target="http://consorciofia.info/cdr/ver_fuentes_w.php?NumCDR=036&amp;codEntidad=19999" TargetMode="External"/><Relationship Id="rId104" Type="http://schemas.openxmlformats.org/officeDocument/2006/relationships/hyperlink" Target="http://consorciofia.info/cdr/ver_fuentes_w.php?NumCDR=062&amp;codEntidad=19999" TargetMode="External"/><Relationship Id="rId125" Type="http://schemas.openxmlformats.org/officeDocument/2006/relationships/hyperlink" Target="../../../CRISTIAN/AppData/Roaming/Usuario/Downloads/Pagos%20CDRs%20FIA/CDR%20004%20-%20Contrato%20008-2010.jpg" TargetMode="External"/><Relationship Id="rId146" Type="http://schemas.openxmlformats.org/officeDocument/2006/relationships/hyperlink" Target="http://consorciofia.info/cdr/ver_fuentes_w.php?NumCDR=103&amp;codEntidad=19999" TargetMode="External"/><Relationship Id="rId167" Type="http://schemas.openxmlformats.org/officeDocument/2006/relationships/hyperlink" Target="http://consorciofia.info/cdr/ver_fuentes_w.php?NumCDR=174&amp;codEntidad=19999" TargetMode="External"/><Relationship Id="rId188" Type="http://schemas.openxmlformats.org/officeDocument/2006/relationships/hyperlink" Target="http://consorciofia.info/cdr/ver_fuentes_w.php?NumCDR=234&amp;codEntidad=19999" TargetMode="External"/><Relationship Id="rId311" Type="http://schemas.openxmlformats.org/officeDocument/2006/relationships/hyperlink" Target="http://consorciofia.info/cdr/ver_fuentes_w.php?NumCDR=230&amp;codEntidad=19999" TargetMode="External"/><Relationship Id="rId332" Type="http://schemas.openxmlformats.org/officeDocument/2006/relationships/hyperlink" Target="http://consorciofia.info/cdr/ver_fuentes_w.php?NumCDR=263&amp;codEntidad=19999" TargetMode="External"/><Relationship Id="rId353" Type="http://schemas.openxmlformats.org/officeDocument/2006/relationships/hyperlink" Target="http://consorciofia.info/cdr/ver_fuentes_w.php?NumCDR=262&amp;codEntidad=19999" TargetMode="External"/><Relationship Id="rId374" Type="http://schemas.openxmlformats.org/officeDocument/2006/relationships/hyperlink" Target="http://consorciofia.info/cdr/ver_fuentes_w.php?NumCDR=284&amp;codEntidad=19999" TargetMode="External"/><Relationship Id="rId395" Type="http://schemas.openxmlformats.org/officeDocument/2006/relationships/hyperlink" Target="http://consorciofia.info/cdr/ver_fuentes_w.php?NumCDR=008&amp;codEntidad=19585" TargetMode="External"/><Relationship Id="rId409" Type="http://schemas.openxmlformats.org/officeDocument/2006/relationships/hyperlink" Target="http://consorciofia.info/cdr/ver_fuentes_w.php?NumCDR=17&amp;codEntidad=19050" TargetMode="External"/><Relationship Id="rId560" Type="http://schemas.openxmlformats.org/officeDocument/2006/relationships/hyperlink" Target="http://consorciofia.info/cdr/ver_fuentes_w.php?NumCDR=2386&amp;codEntidad=19075" TargetMode="External"/><Relationship Id="rId71" Type="http://schemas.openxmlformats.org/officeDocument/2006/relationships/hyperlink" Target="http://consorciofia.info/cdr/ver_fuentes_w.php?NumCDR=049&amp;codEntidad=19999" TargetMode="External"/><Relationship Id="rId92" Type="http://schemas.openxmlformats.org/officeDocument/2006/relationships/hyperlink" Target="http://consorciofia.info/cdr/ver_fuentes_w.php?NumCDR=042&amp;codEntidad=19999" TargetMode="External"/><Relationship Id="rId213" Type="http://schemas.openxmlformats.org/officeDocument/2006/relationships/hyperlink" Target="http://consorciofia.info/cdr/ver_fuentes_w.php?NumCDR=011&amp;codEntidad=19999" TargetMode="External"/><Relationship Id="rId234" Type="http://schemas.openxmlformats.org/officeDocument/2006/relationships/hyperlink" Target="http://consorciofia.info/cdr/ver_fuentes_w.php?NumCDR=236&amp;codEntidad=19999" TargetMode="External"/><Relationship Id="rId420" Type="http://schemas.openxmlformats.org/officeDocument/2006/relationships/hyperlink" Target="http://consorciofia.info/cdr/ver_fuentes_w.php?NumCDR=077&amp;codEntidad=19999" TargetMode="External"/><Relationship Id="rId2" Type="http://schemas.openxmlformats.org/officeDocument/2006/relationships/hyperlink" Target="http://consorciofia.info/cdr/ver_fuentes_w.php?NumCDR=001&amp;codEntidad=19999" TargetMode="External"/><Relationship Id="rId29" Type="http://schemas.openxmlformats.org/officeDocument/2006/relationships/hyperlink" Target="http://consorciofia.info/cdr/ver_fuentes_w.php?NumCDR=020&amp;codEntidad=19999" TargetMode="External"/><Relationship Id="rId255" Type="http://schemas.openxmlformats.org/officeDocument/2006/relationships/hyperlink" Target="http://consorciofia.info/cdr/ver_fuentes_w.php?NumCDR=071&amp;codEntidad=19999" TargetMode="External"/><Relationship Id="rId276" Type="http://schemas.openxmlformats.org/officeDocument/2006/relationships/hyperlink" Target="http://consorciofia.info/cdr/ver_fuentes_w.php?NumCDR=005&amp;codEntidad=19824" TargetMode="External"/><Relationship Id="rId297" Type="http://schemas.openxmlformats.org/officeDocument/2006/relationships/hyperlink" Target="http://consorciofia.info/cdr/ver_fuentes_w.php?NumCDR=174&amp;codEntidad=19999" TargetMode="External"/><Relationship Id="rId441" Type="http://schemas.openxmlformats.org/officeDocument/2006/relationships/hyperlink" Target="http://consorciofia.info/cdr/ver_fuentes_w.php?NumCDR=313&amp;codEntidad=19999" TargetMode="External"/><Relationship Id="rId462" Type="http://schemas.openxmlformats.org/officeDocument/2006/relationships/hyperlink" Target="http://consorciofia.info/cdr/ver_fuentes_w.php?NumCDR=6&amp;codEntidad=19533" TargetMode="External"/><Relationship Id="rId483" Type="http://schemas.openxmlformats.org/officeDocument/2006/relationships/hyperlink" Target="http://consorciofia.info/cdr/ver_fuentes_w.php?NumCDR=3&amp;codEntidad=19548" TargetMode="External"/><Relationship Id="rId518" Type="http://schemas.openxmlformats.org/officeDocument/2006/relationships/hyperlink" Target="http://consorciofia.info/cdr/ver_fuentes_w.php?NumCDR=16&amp;codEntidad=19110" TargetMode="External"/><Relationship Id="rId539" Type="http://schemas.openxmlformats.org/officeDocument/2006/relationships/hyperlink" Target="http://consorciofia.info/cdr/ver_fuentes_w.php?NumCDR=2371&amp;codEntidad=19760" TargetMode="External"/><Relationship Id="rId40" Type="http://schemas.openxmlformats.org/officeDocument/2006/relationships/hyperlink" Target="http://consorciofia.info/cdr/ver_fuentes_w.php?NumCDR=025&amp;codEntidad=19999" TargetMode="External"/><Relationship Id="rId115" Type="http://schemas.openxmlformats.org/officeDocument/2006/relationships/hyperlink" Target="http://consorciofia.info/cdr/ver_fuentes_w.php?NumCDR=197&amp;codEntidad=19999" TargetMode="External"/><Relationship Id="rId136" Type="http://schemas.openxmlformats.org/officeDocument/2006/relationships/hyperlink" Target="http://consorciofia.info/cdr/ver_fuentes_w.php?NumCDR=095&amp;codEntidad=19999" TargetMode="External"/><Relationship Id="rId157" Type="http://schemas.openxmlformats.org/officeDocument/2006/relationships/hyperlink" Target="http://consorciofia.info/cdr/ver_fuentes_w.php?NumCDR=107&amp;codEntidad=19999" TargetMode="External"/><Relationship Id="rId178" Type="http://schemas.openxmlformats.org/officeDocument/2006/relationships/hyperlink" Target="http://consorciofia.info/cdr/ver_fuentes_w.php?NumCDR=002&amp;codEntidad=19397" TargetMode="External"/><Relationship Id="rId301" Type="http://schemas.openxmlformats.org/officeDocument/2006/relationships/hyperlink" Target="http://consorciofia.info/cdr/ver_fuentes_w.php?NumCDR=212&amp;codEntidad=19999" TargetMode="External"/><Relationship Id="rId322" Type="http://schemas.openxmlformats.org/officeDocument/2006/relationships/hyperlink" Target="http://consorciofia.info/cdr/ver_fuentes_w.php?NumCDR=5&amp;codEntidad=19780" TargetMode="External"/><Relationship Id="rId343" Type="http://schemas.openxmlformats.org/officeDocument/2006/relationships/hyperlink" Target="http://consorciofia.info/cdr/ver_fuentes_w.php?NumCDR=258&amp;codEntidad=19999" TargetMode="External"/><Relationship Id="rId364" Type="http://schemas.openxmlformats.org/officeDocument/2006/relationships/hyperlink" Target="http://consorciofia.info/cdr/ver_fuentes_w.php?NumCDR=21&amp;codEntidad=19050" TargetMode="External"/><Relationship Id="rId550" Type="http://schemas.openxmlformats.org/officeDocument/2006/relationships/hyperlink" Target="http://consorciofia.info/cdr/ver_fuentes_w.php?NumCDR=2476&amp;codEntidad=19450" TargetMode="External"/><Relationship Id="rId61" Type="http://schemas.openxmlformats.org/officeDocument/2006/relationships/hyperlink" Target="http://consorciofia.info/cdr/ver_fuentes_w.php?NumCDR=038&amp;codEntidad=19999" TargetMode="External"/><Relationship Id="rId82" Type="http://schemas.openxmlformats.org/officeDocument/2006/relationships/hyperlink" Target="http://consorciofia.info/cdr/ver_fuentes_w.php?NumCDR=017&amp;codEntidad=19999" TargetMode="External"/><Relationship Id="rId199" Type="http://schemas.openxmlformats.org/officeDocument/2006/relationships/hyperlink" Target="http://consorciofia.info/cdr/ver_fuentes_w.php?NumCDR=170&amp;codEntidad=19999" TargetMode="External"/><Relationship Id="rId203" Type="http://schemas.openxmlformats.org/officeDocument/2006/relationships/hyperlink" Target="http://consorciofia.info/cdr/ver_fuentes_w.php?NumCDR=189&amp;codEntidad=19999" TargetMode="External"/><Relationship Id="rId385" Type="http://schemas.openxmlformats.org/officeDocument/2006/relationships/hyperlink" Target="http://consorciofia.info/cdr/ver_fuentes_w.php?NumCDR=342&amp;codEntidad=19999" TargetMode="External"/><Relationship Id="rId571" Type="http://schemas.openxmlformats.org/officeDocument/2006/relationships/vmlDrawing" Target="../drawings/vmlDrawing2.vml"/><Relationship Id="rId19" Type="http://schemas.openxmlformats.org/officeDocument/2006/relationships/hyperlink" Target="http://consorciofia.info/cdr/ver_fuentes_w.php?NumCDR=164&amp;codEntidad=19999" TargetMode="External"/><Relationship Id="rId224" Type="http://schemas.openxmlformats.org/officeDocument/2006/relationships/hyperlink" Target="http://consorciofia.info/cdr/ver_fuentes_w.php?NumCDR=028&amp;codEntidad=19999" TargetMode="External"/><Relationship Id="rId245" Type="http://schemas.openxmlformats.org/officeDocument/2006/relationships/hyperlink" Target="http://consorciofia.info/cdr/ver_fuentes_w.php?NumCDR=009&amp;codEntidad=19999" TargetMode="External"/><Relationship Id="rId266" Type="http://schemas.openxmlformats.org/officeDocument/2006/relationships/hyperlink" Target="http://consorciofia.info/cdr/ver_fuentes_w.php?NumCDR=125&amp;codEntidad=19999" TargetMode="External"/><Relationship Id="rId287" Type="http://schemas.openxmlformats.org/officeDocument/2006/relationships/hyperlink" Target="http://consorciofia.info/cdr/ver_fuentes_w.php?NumCDR=211&amp;codEntidad=19999" TargetMode="External"/><Relationship Id="rId410" Type="http://schemas.openxmlformats.org/officeDocument/2006/relationships/hyperlink" Target="http://consorciofia.info/cdr/ver_fuentes_w.php?NumCDR=6&amp;codEntidad=19760" TargetMode="External"/><Relationship Id="rId431" Type="http://schemas.openxmlformats.org/officeDocument/2006/relationships/hyperlink" Target="http://consorciofia.info/cdr/ver_fuentes_w.php?NumCDR=231&amp;codEntidad=19999" TargetMode="External"/><Relationship Id="rId452" Type="http://schemas.openxmlformats.org/officeDocument/2006/relationships/hyperlink" Target="http://consorciofia.info/cdr/ver_fuentes_w.php?NumCDR=4&amp;codEntidad=19142" TargetMode="External"/><Relationship Id="rId473" Type="http://schemas.openxmlformats.org/officeDocument/2006/relationships/hyperlink" Target="http://consorciofia.info/cdr/ver_fuentes_w.php?NumCDR=316&amp;codEntidad=19999" TargetMode="External"/><Relationship Id="rId494" Type="http://schemas.openxmlformats.org/officeDocument/2006/relationships/hyperlink" Target="http://consorciofia.info/cdr/ver_fuentes_w.php?NumCDR=6&amp;codEntidad=19701" TargetMode="External"/><Relationship Id="rId508" Type="http://schemas.openxmlformats.org/officeDocument/2006/relationships/hyperlink" Target="http://consorciofia.info/cdr/ver_fuentes_w.php?NumCDR=9&amp;codEntidad=19397" TargetMode="External"/><Relationship Id="rId529" Type="http://schemas.openxmlformats.org/officeDocument/2006/relationships/hyperlink" Target="http://consorciofia.info/cdr/ver_fuentes_w.php?NumCDR=2379&amp;codEntidad=19050" TargetMode="External"/><Relationship Id="rId30" Type="http://schemas.openxmlformats.org/officeDocument/2006/relationships/hyperlink" Target="http://consorciofia.info/cdr/ver_fuentes_w.php?NumCDR=020&amp;codEntidad=19999" TargetMode="External"/><Relationship Id="rId105" Type="http://schemas.openxmlformats.org/officeDocument/2006/relationships/hyperlink" Target="http://consorciofia.info/cdr/ver_fuentes_w.php?NumCDR=063&amp;codEntidad=19999" TargetMode="External"/><Relationship Id="rId126" Type="http://schemas.openxmlformats.org/officeDocument/2006/relationships/hyperlink" Target="../../../CRISTIAN/AppData/Roaming/Usuario/Downloads/Pagos%20CDRs%20FIA/CDR%20191%20-%20Contrato%20008-2010.jpg" TargetMode="External"/><Relationship Id="rId147" Type="http://schemas.openxmlformats.org/officeDocument/2006/relationships/hyperlink" Target="http://consorciofia.info/cdr/ver_fuentes_w.php?NumCDR=104&amp;codEntidad=19999" TargetMode="External"/><Relationship Id="rId168" Type="http://schemas.openxmlformats.org/officeDocument/2006/relationships/hyperlink" Target="http://consorciofia.info/cdr/ver_fuentes_w.php?NumCDR=092&amp;codEntidad=19999" TargetMode="External"/><Relationship Id="rId312" Type="http://schemas.openxmlformats.org/officeDocument/2006/relationships/hyperlink" Target="http://consorciofia.info/cdr/ver_fuentes_w.php?NumCDR=004&amp;codEntidad=19473" TargetMode="External"/><Relationship Id="rId333" Type="http://schemas.openxmlformats.org/officeDocument/2006/relationships/hyperlink" Target="http://consorciofia.info/cdr/ver_fuentes_w.php?NumCDR=14&amp;codEntidad=19050" TargetMode="External"/><Relationship Id="rId354" Type="http://schemas.openxmlformats.org/officeDocument/2006/relationships/hyperlink" Target="http://consorciofia.info/cdr/ver_fuentes_w.php?NumCDR=250&amp;codEntidad=19999" TargetMode="External"/><Relationship Id="rId540" Type="http://schemas.openxmlformats.org/officeDocument/2006/relationships/hyperlink" Target="http://consorciofia.info/cdr/ver_fuentes_w.php?NumCDR=2366&amp;codEntidad=19318" TargetMode="External"/><Relationship Id="rId51" Type="http://schemas.openxmlformats.org/officeDocument/2006/relationships/hyperlink" Target="http://consorciofia.info/cdr/ver_fuentes_w.php?NumCDR=036&amp;codEntidad=19999" TargetMode="External"/><Relationship Id="rId72" Type="http://schemas.openxmlformats.org/officeDocument/2006/relationships/hyperlink" Target="http://consorciofia.info/cdr/ver_fuentes_w.php?NumCDR=140&amp;codEntidad=19999" TargetMode="External"/><Relationship Id="rId93" Type="http://schemas.openxmlformats.org/officeDocument/2006/relationships/hyperlink" Target="http://consorciofia.info/cdr/ver_fuentes_w.php?NumCDR=043&amp;codEntidad=19999" TargetMode="External"/><Relationship Id="rId189" Type="http://schemas.openxmlformats.org/officeDocument/2006/relationships/hyperlink" Target="http://consorciofia.info/cdr/ver_fuentes_w.php?NumCDR=156&amp;codEntidad=19999" TargetMode="External"/><Relationship Id="rId375" Type="http://schemas.openxmlformats.org/officeDocument/2006/relationships/hyperlink" Target="http://consorciofia.info/cdr/ver_fuentes_w.php?NumCDR=285&amp;codEntidad=19999" TargetMode="External"/><Relationship Id="rId396" Type="http://schemas.openxmlformats.org/officeDocument/2006/relationships/hyperlink" Target="http://consorciofia.info/cdr/ver_fuentes_w.php?NumCDR=004&amp;codEntidad=19418" TargetMode="External"/><Relationship Id="rId561" Type="http://schemas.openxmlformats.org/officeDocument/2006/relationships/hyperlink" Target="http://consorciofia.info/cdr/ver_fuentes_w.php?NumCDR=2878&amp;codEntidad=19392" TargetMode="External"/><Relationship Id="rId3" Type="http://schemas.openxmlformats.org/officeDocument/2006/relationships/hyperlink" Target="http://consorciofia.info/cdr/ver_fuentes_w.php?NumCDR=001&amp;codEntidad=19999" TargetMode="External"/><Relationship Id="rId214" Type="http://schemas.openxmlformats.org/officeDocument/2006/relationships/hyperlink" Target="http://consorciofia.info/cdr/ver_fuentes_w.php?NumCDR=159&amp;codEntidad=19999" TargetMode="External"/><Relationship Id="rId235" Type="http://schemas.openxmlformats.org/officeDocument/2006/relationships/hyperlink" Target="http://consorciofia.info/cdr/ver_fuentes_w.php?NumCDR=001&amp;codEntidad=19110" TargetMode="External"/><Relationship Id="rId256" Type="http://schemas.openxmlformats.org/officeDocument/2006/relationships/hyperlink" Target="http://consorciofia.info/cdr/ver_fuentes_w.php?NumCDR=168&amp;codEntidad=19999" TargetMode="External"/><Relationship Id="rId277" Type="http://schemas.openxmlformats.org/officeDocument/2006/relationships/hyperlink" Target="http://consorciofia.info/cdr/ver_fuentes_w.php?NumCDR=183&amp;codEntidad=19999" TargetMode="External"/><Relationship Id="rId298" Type="http://schemas.openxmlformats.org/officeDocument/2006/relationships/hyperlink" Target="http://consorciofia.info/cdr/ver_fuentes_w.php?NumCDR=174&amp;codEntidad=19999" TargetMode="External"/><Relationship Id="rId400" Type="http://schemas.openxmlformats.org/officeDocument/2006/relationships/hyperlink" Target="http://consorciofia.info/cdr/ver_fuentes_w.php?NumCDR=005&amp;codEntidad=19418" TargetMode="External"/><Relationship Id="rId421" Type="http://schemas.openxmlformats.org/officeDocument/2006/relationships/hyperlink" Target="http://consorciofia.info/cdr/ver_fuentes_w.php?NumCDR=078&amp;codEntidad=19999" TargetMode="External"/><Relationship Id="rId442" Type="http://schemas.openxmlformats.org/officeDocument/2006/relationships/hyperlink" Target="http://consorciofia.info/cdr/ver_fuentes_w.php?NumCDR=6&amp;codEntidad=19473" TargetMode="External"/><Relationship Id="rId463" Type="http://schemas.openxmlformats.org/officeDocument/2006/relationships/hyperlink" Target="http://consorciofia.info/cdr/ver_fuentes_w.php?NumCDR=9&amp;codEntidad=19130" TargetMode="External"/><Relationship Id="rId484" Type="http://schemas.openxmlformats.org/officeDocument/2006/relationships/hyperlink" Target="http://consorciofia.info/cdr/ver_fuentes_w.php?NumCDR=11&amp;codEntidad=19355" TargetMode="External"/><Relationship Id="rId519" Type="http://schemas.openxmlformats.org/officeDocument/2006/relationships/hyperlink" Target="http://consorciofia.info/cdr/ver_fuentes_w.php?NumCDR=10&amp;codEntidad=19142" TargetMode="External"/><Relationship Id="rId116" Type="http://schemas.openxmlformats.org/officeDocument/2006/relationships/hyperlink" Target="http://consorciofia.info/cdr/ver_fuentes_w.php?NumCDR=081&amp;codEntidad=19999" TargetMode="External"/><Relationship Id="rId137" Type="http://schemas.openxmlformats.org/officeDocument/2006/relationships/hyperlink" Target="http://consorciofia.info/cdr/ver_fuentes_w.php?NumCDR=089&amp;codEntidad=19999" TargetMode="External"/><Relationship Id="rId158" Type="http://schemas.openxmlformats.org/officeDocument/2006/relationships/hyperlink" Target="http://consorciofia.info/cdr/ver_fuentes_w.php?NumCDR=188&amp;codEntidad=19999" TargetMode="External"/><Relationship Id="rId302" Type="http://schemas.openxmlformats.org/officeDocument/2006/relationships/hyperlink" Target="http://consorciofia.info/cdr/ver_fuentes_w.php?NumCDR=214&amp;codEntidad=19999" TargetMode="External"/><Relationship Id="rId323" Type="http://schemas.openxmlformats.org/officeDocument/2006/relationships/hyperlink" Target="http://consorciofia.info/cdr/ver_fuentes_w.php?NumCDR=253&amp;codEntidad=19999" TargetMode="External"/><Relationship Id="rId344" Type="http://schemas.openxmlformats.org/officeDocument/2006/relationships/hyperlink" Target="http://consorciofia.info/cdr/ver_fuentes_w.php?NumCDR=004&amp;codEntidad=19100" TargetMode="External"/><Relationship Id="rId530" Type="http://schemas.openxmlformats.org/officeDocument/2006/relationships/hyperlink" Target="http://consorciofia.info/cdr/ver_fuentes_w.php?NumCDR=2370&amp;codEntidad=19760" TargetMode="External"/><Relationship Id="rId20" Type="http://schemas.openxmlformats.org/officeDocument/2006/relationships/hyperlink" Target="http://consorciofia.info/cdr/ver_fuentes_w.php?NumCDR=014&amp;codEntidad=19999" TargetMode="External"/><Relationship Id="rId41" Type="http://schemas.openxmlformats.org/officeDocument/2006/relationships/hyperlink" Target="http://consorciofia.info/cdr/ver_fuentes_w.php?NumCDR=025&amp;codEntidad=19999" TargetMode="External"/><Relationship Id="rId62" Type="http://schemas.openxmlformats.org/officeDocument/2006/relationships/hyperlink" Target="http://consorciofia.info/cdr/ver_fuentes_w.php?NumCDR=038&amp;codEntidad=19999" TargetMode="External"/><Relationship Id="rId83" Type="http://schemas.openxmlformats.org/officeDocument/2006/relationships/hyperlink" Target="http://consorciofia.info/cdr/ver_fuentes_w.php?NumCDR=160&amp;codEntidad=19999" TargetMode="External"/><Relationship Id="rId179" Type="http://schemas.openxmlformats.org/officeDocument/2006/relationships/hyperlink" Target="http://consorciofia.info/cdr/ver_fuentes_w.php?NumCDR=118&amp;codEntidad=19999" TargetMode="External"/><Relationship Id="rId365" Type="http://schemas.openxmlformats.org/officeDocument/2006/relationships/hyperlink" Target="http://consorciofia.info/cdr/ver_fuentes_w.php?NumCDR=277&amp;codEntidad=19999" TargetMode="External"/><Relationship Id="rId386" Type="http://schemas.openxmlformats.org/officeDocument/2006/relationships/hyperlink" Target="http://consorciofia.info/cdr/ver_fuentes_w.php?NumCDR=294&amp;codEntidad=19999" TargetMode="External"/><Relationship Id="rId551" Type="http://schemas.openxmlformats.org/officeDocument/2006/relationships/hyperlink" Target="http://consorciofia.info/cdr/ver_fuentes_w.php?NumCDR=2477&amp;codEntidad=19130" TargetMode="External"/><Relationship Id="rId572" Type="http://schemas.openxmlformats.org/officeDocument/2006/relationships/comments" Target="../comments2.xml"/><Relationship Id="rId190" Type="http://schemas.openxmlformats.org/officeDocument/2006/relationships/hyperlink" Target="http://consorciofia.info/cdr/ver_fuentes_w.php?NumCDR=223&amp;codEntidad=19999" TargetMode="External"/><Relationship Id="rId204" Type="http://schemas.openxmlformats.org/officeDocument/2006/relationships/hyperlink" Target="http://consorciofia.info/cdr/ver_fuentes_w.php?NumCDR=173&amp;codEntidad=19999" TargetMode="External"/><Relationship Id="rId225" Type="http://schemas.openxmlformats.org/officeDocument/2006/relationships/hyperlink" Target="http://consorciofia.info/cdr/ver_fuentes_w.php?NumCDR=206&amp;codEntidad=19999" TargetMode="External"/><Relationship Id="rId246" Type="http://schemas.openxmlformats.org/officeDocument/2006/relationships/hyperlink" Target="http://consorciofia.info/cdr/ver_fuentes_w.php?NumCDR=129&amp;codEntidad=19999" TargetMode="External"/><Relationship Id="rId267" Type="http://schemas.openxmlformats.org/officeDocument/2006/relationships/hyperlink" Target="http://consorciofia.info/cdr/ver_fuentes_w.php?NumCDR=152&amp;codEntidad=19999" TargetMode="External"/><Relationship Id="rId288" Type="http://schemas.openxmlformats.org/officeDocument/2006/relationships/hyperlink" Target="http://consorciofia.info/cdr/ver_fuentes_w.php?NumCDR=215&amp;codEntidad=19999" TargetMode="External"/><Relationship Id="rId411" Type="http://schemas.openxmlformats.org/officeDocument/2006/relationships/hyperlink" Target="http://consorciofia.info/cdr/ver_fuentes_w.php?NumCDR=16&amp;codEntidad=19585" TargetMode="External"/><Relationship Id="rId432" Type="http://schemas.openxmlformats.org/officeDocument/2006/relationships/hyperlink" Target="http://consorciofia.info/cdr/ver_fuentes_w.php?NumCDR=273&amp;codEntidad=19999" TargetMode="External"/><Relationship Id="rId453" Type="http://schemas.openxmlformats.org/officeDocument/2006/relationships/hyperlink" Target="http://consorciofia.info/cdr/ver_fuentes_w.php?NumCDR=14&amp;codEntidad=19532" TargetMode="External"/><Relationship Id="rId474" Type="http://schemas.openxmlformats.org/officeDocument/2006/relationships/hyperlink" Target="http://consorciofia.info/cdr/ver_fuentes_w.php?NumCDR=322&amp;codEntidad=19999" TargetMode="External"/><Relationship Id="rId509" Type="http://schemas.openxmlformats.org/officeDocument/2006/relationships/hyperlink" Target="http://consorciofia.info/cdr/ver_fuentes_w.php?NumCDR=8&amp;codEntidad=19355" TargetMode="External"/><Relationship Id="rId106" Type="http://schemas.openxmlformats.org/officeDocument/2006/relationships/hyperlink" Target="http://consorciofia.info/cdr/ver_fuentes_w.php?NumCDR=064&amp;codEntidad=19999" TargetMode="External"/><Relationship Id="rId127" Type="http://schemas.openxmlformats.org/officeDocument/2006/relationships/hyperlink" Target="http://consorciofia.info/cdr/ver_fuentes_w.php?NumCDR=004&amp;codEntidad=19999" TargetMode="External"/><Relationship Id="rId313" Type="http://schemas.openxmlformats.org/officeDocument/2006/relationships/hyperlink" Target="http://consorciofia.info/cdr/ver_fuentes_w.php?NumCDR=228&amp;codEntidad=19999" TargetMode="External"/><Relationship Id="rId495" Type="http://schemas.openxmlformats.org/officeDocument/2006/relationships/hyperlink" Target="http://consorciofia.info/cdr/ver_fuentes_w.php?NumCDR=5&amp;codEntidad=19130" TargetMode="External"/><Relationship Id="rId10" Type="http://schemas.openxmlformats.org/officeDocument/2006/relationships/hyperlink" Target="http://consorciofia.info/cdr/ver_fuentes_w.php?NumCDR=029&amp;codEntidad=19999" TargetMode="External"/><Relationship Id="rId31" Type="http://schemas.openxmlformats.org/officeDocument/2006/relationships/hyperlink" Target="http://consorciofia.info/cdr/ver_fuentes_w.php?NumCDR=020&amp;codEntidad=19999" TargetMode="External"/><Relationship Id="rId52" Type="http://schemas.openxmlformats.org/officeDocument/2006/relationships/hyperlink" Target="http://consorciofia.info/cdr/ver_fuentes_w.php?NumCDR=036&amp;codEntidad=19999" TargetMode="External"/><Relationship Id="rId73" Type="http://schemas.openxmlformats.org/officeDocument/2006/relationships/hyperlink" Target="http://consorciofia.info/cdr/ver_fuentes_w.php?NumCDR=051&amp;codEntidad=19999" TargetMode="External"/><Relationship Id="rId94" Type="http://schemas.openxmlformats.org/officeDocument/2006/relationships/hyperlink" Target="http://consorciofia.info/cdr/ver_fuentes_w.php?NumCDR=044&amp;codEntidad=19999" TargetMode="External"/><Relationship Id="rId148" Type="http://schemas.openxmlformats.org/officeDocument/2006/relationships/hyperlink" Target="http://consorciofia.info/cdr/ver_fuentes_w.php?NumCDR=086&amp;codEntidad=19999" TargetMode="External"/><Relationship Id="rId169" Type="http://schemas.openxmlformats.org/officeDocument/2006/relationships/hyperlink" Target="http://consorciofia.info/cdr/ver_fuentes_w.php?NumCDR=094&amp;codEntidad=19999" TargetMode="External"/><Relationship Id="rId334" Type="http://schemas.openxmlformats.org/officeDocument/2006/relationships/hyperlink" Target="http://consorciofia.info/cdr/ver_fuentes_w.php?NumCDR=257&amp;codEntidad=19999" TargetMode="External"/><Relationship Id="rId355" Type="http://schemas.openxmlformats.org/officeDocument/2006/relationships/hyperlink" Target="http://consorciofia.info/cdr/ver_fuentes_w.php?NumCDR=256&amp;codEntidad=19999" TargetMode="External"/><Relationship Id="rId376" Type="http://schemas.openxmlformats.org/officeDocument/2006/relationships/hyperlink" Target="http://consorciofia.info/cdr/ver_fuentes_w.php?NumCDR=318&amp;codEntidad=19999" TargetMode="External"/><Relationship Id="rId397" Type="http://schemas.openxmlformats.org/officeDocument/2006/relationships/hyperlink" Target="http://consorciofia.info/cdr/ver_fuentes_w.php?NumCDR=174&amp;codEntidad=19999" TargetMode="External"/><Relationship Id="rId520" Type="http://schemas.openxmlformats.org/officeDocument/2006/relationships/hyperlink" Target="http://consorciofia.info/cdr/ver_fuentes_w.php?NumCDR=343&amp;codEntidad=19999" TargetMode="External"/><Relationship Id="rId541" Type="http://schemas.openxmlformats.org/officeDocument/2006/relationships/hyperlink" Target="http://consorciofia.info/cdr/ver_fuentes_w.php?NumCDR=2385&amp;codEntidad=19532" TargetMode="External"/><Relationship Id="rId562" Type="http://schemas.openxmlformats.org/officeDocument/2006/relationships/hyperlink" Target="http://consorciofia.info/cdr/ver_fuentes_w.php?NumCDR=2374&amp;codEntidad=19110" TargetMode="External"/><Relationship Id="rId4" Type="http://schemas.openxmlformats.org/officeDocument/2006/relationships/hyperlink" Target="http://consorciofia.info/cdr/ver_fuentes_w.php?NumCDR=174&amp;codEntidad=19999" TargetMode="External"/><Relationship Id="rId180" Type="http://schemas.openxmlformats.org/officeDocument/2006/relationships/hyperlink" Target="http://consorciofia.info/cdr/ver_fuentes_w.php?NumCDR=150&amp;codEntidad=19999" TargetMode="External"/><Relationship Id="rId215" Type="http://schemas.openxmlformats.org/officeDocument/2006/relationships/hyperlink" Target="http://consorciofia.info/cdr/ver_fuentes_w.php?NumCDR=011&amp;codEntidad=19999" TargetMode="External"/><Relationship Id="rId236" Type="http://schemas.openxmlformats.org/officeDocument/2006/relationships/hyperlink" Target="http://consorciofia.info/cdr/ver_fuentes_w.php?NumCDR=133&amp;codEntidad=19999" TargetMode="External"/><Relationship Id="rId257" Type="http://schemas.openxmlformats.org/officeDocument/2006/relationships/hyperlink" Target="http://consorciofia.info/cdr/ver_fuentes_w.php?NumCDR=174&amp;codEntidad=19999" TargetMode="External"/><Relationship Id="rId278" Type="http://schemas.openxmlformats.org/officeDocument/2006/relationships/hyperlink" Target="http://consorciofia.info/cdr/ver_fuentes_w.php?NumCDR=177&amp;codEntidad=19999" TargetMode="External"/><Relationship Id="rId401" Type="http://schemas.openxmlformats.org/officeDocument/2006/relationships/hyperlink" Target="http://consorciofia.info/cdr/ver_fuentes_w.php?NumCDR=174&amp;codEntidad=19999" TargetMode="External"/><Relationship Id="rId422" Type="http://schemas.openxmlformats.org/officeDocument/2006/relationships/hyperlink" Target="http://consorciofia.info/cdr/ver_fuentes_w.php?NumCDR=079&amp;codEntidad=19999" TargetMode="External"/><Relationship Id="rId443" Type="http://schemas.openxmlformats.org/officeDocument/2006/relationships/hyperlink" Target="http://consorciofia.info/cdr/ver_fuentes_w.php?NumCDR=8&amp;codEntidad=19548" TargetMode="External"/><Relationship Id="rId464" Type="http://schemas.openxmlformats.org/officeDocument/2006/relationships/hyperlink" Target="http://consorciofia.info/cdr/ver_fuentes_w.php?NumCDR=9&amp;codEntidad=19318" TargetMode="External"/><Relationship Id="rId303" Type="http://schemas.openxmlformats.org/officeDocument/2006/relationships/hyperlink" Target="http://consorciofia.info/cdr/ver_fuentes_w.php?NumCDR=220&amp;codEntidad=19999" TargetMode="External"/><Relationship Id="rId485" Type="http://schemas.openxmlformats.org/officeDocument/2006/relationships/hyperlink" Target="http://consorciofia.info/cdr/ver_fuentes_w.php?NumCDR=7&amp;codEntidad=19533" TargetMode="External"/><Relationship Id="rId42" Type="http://schemas.openxmlformats.org/officeDocument/2006/relationships/hyperlink" Target="http://consorciofia.info/cdr/ver_fuentes_w.php?NumCDR=016&amp;codEntidad=19999" TargetMode="External"/><Relationship Id="rId84" Type="http://schemas.openxmlformats.org/officeDocument/2006/relationships/hyperlink" Target="http://consorciofia.info/cdr/ver_fuentes_w.php?NumCDR=051&amp;codEntidad=19999" TargetMode="External"/><Relationship Id="rId138" Type="http://schemas.openxmlformats.org/officeDocument/2006/relationships/hyperlink" Target="http://consorciofia.info/cdr/ver_fuentes_w.php?NumCDR=097&amp;codEntidad=19999" TargetMode="External"/><Relationship Id="rId345" Type="http://schemas.openxmlformats.org/officeDocument/2006/relationships/hyperlink" Target="http://consorciofia.info/cdr/ver_fuentes_w.php?NumCDR=311&amp;codEntidad=19999" TargetMode="External"/><Relationship Id="rId387" Type="http://schemas.openxmlformats.org/officeDocument/2006/relationships/hyperlink" Target="http://consorciofia.info/cdr/ver_fuentes_w.php?NumCDR=301&amp;codEntidad=19999" TargetMode="External"/><Relationship Id="rId510" Type="http://schemas.openxmlformats.org/officeDocument/2006/relationships/hyperlink" Target="http://consorciofia.info/cdr/ver_fuentes_w.php?NumCDR=7&amp;codEntidad=19760" TargetMode="External"/><Relationship Id="rId552" Type="http://schemas.openxmlformats.org/officeDocument/2006/relationships/hyperlink" Target="http://consorciofia.info/cdr/ver_fuentes_w.php?NumCDR=016&amp;codEntidad=19999" TargetMode="External"/><Relationship Id="rId191" Type="http://schemas.openxmlformats.org/officeDocument/2006/relationships/hyperlink" Target="http://consorciofia.info/cdr/ver_fuentes_w.php?NumCDR=002&amp;codEntidad=19698" TargetMode="External"/><Relationship Id="rId205" Type="http://schemas.openxmlformats.org/officeDocument/2006/relationships/hyperlink" Target="http://consorciofia.info/cdr/ver_fuentes_w.php?NumCDR=047&amp;codEntidad=19999" TargetMode="External"/><Relationship Id="rId247" Type="http://schemas.openxmlformats.org/officeDocument/2006/relationships/hyperlink" Target="http://consorciofia.info/cdr/ver_fuentes_w.php?NumCDR=243&amp;codEntidad=19999" TargetMode="External"/><Relationship Id="rId412" Type="http://schemas.openxmlformats.org/officeDocument/2006/relationships/hyperlink" Target="http://consorciofia.info/cdr/ver_fuentes_w.php?NumCDR=13&amp;codEntidad=19450" TargetMode="External"/><Relationship Id="rId107" Type="http://schemas.openxmlformats.org/officeDocument/2006/relationships/hyperlink" Target="http://consorciofia.info/cdr/ver_fuentes_w.php?NumCDR=196&amp;codEntidad=19999" TargetMode="External"/><Relationship Id="rId289" Type="http://schemas.openxmlformats.org/officeDocument/2006/relationships/hyperlink" Target="http://consorciofia.info/cdr/ver_fuentes_w.php?NumCDR=306&amp;codEntidad=19999" TargetMode="External"/><Relationship Id="rId454" Type="http://schemas.openxmlformats.org/officeDocument/2006/relationships/hyperlink" Target="http://consorciofia.info/cdr/ver_fuentes_w.php?NumCDR=4&amp;codEntidad=19573" TargetMode="External"/><Relationship Id="rId496" Type="http://schemas.openxmlformats.org/officeDocument/2006/relationships/hyperlink" Target="http://consorciofia.info/cdr/ver_fuentes_w.php?NumCDR=6&amp;codEntidad=19418" TargetMode="External"/><Relationship Id="rId11" Type="http://schemas.openxmlformats.org/officeDocument/2006/relationships/hyperlink" Target="http://consorciofia.info/cdr/ver_fuentes_w.php?NumCDR=190&amp;codEntidad=19999" TargetMode="External"/><Relationship Id="rId53" Type="http://schemas.openxmlformats.org/officeDocument/2006/relationships/hyperlink" Target="http://consorciofia.info/cdr/ver_fuentes_w.php?NumCDR=165&amp;codEntidad=19999" TargetMode="External"/><Relationship Id="rId149" Type="http://schemas.openxmlformats.org/officeDocument/2006/relationships/hyperlink" Target="http://consorciofia.info/cdr/ver_fuentes_w.php?NumCDR=022&amp;codEntidad=19999" TargetMode="External"/><Relationship Id="rId314" Type="http://schemas.openxmlformats.org/officeDocument/2006/relationships/hyperlink" Target="http://consorciofia.info/cdr/ver_fuentes_w.php?NumCDR=003&amp;codEntidad=19473" TargetMode="External"/><Relationship Id="rId356" Type="http://schemas.openxmlformats.org/officeDocument/2006/relationships/hyperlink" Target="http://consorciofia.info/cdr/ver_fuentes_w.php?NumCDR=278&amp;codEntidad=19999" TargetMode="External"/><Relationship Id="rId398" Type="http://schemas.openxmlformats.org/officeDocument/2006/relationships/hyperlink" Target="http://consorciofia.info/cdr/ver_fuentes_w.php?NumCDR=005&amp;codEntidad=19318" TargetMode="External"/><Relationship Id="rId521" Type="http://schemas.openxmlformats.org/officeDocument/2006/relationships/hyperlink" Target="http://consorciofia.info/cdr/ver_fuentes_w.php?NumCDR=9&amp;codEntidad=19142" TargetMode="External"/><Relationship Id="rId563" Type="http://schemas.openxmlformats.org/officeDocument/2006/relationships/hyperlink" Target="http://consorciofia.info/cdr/ver_fuentes_w.php?NumCDR=2367&amp;codEntidad=19318" TargetMode="External"/><Relationship Id="rId95" Type="http://schemas.openxmlformats.org/officeDocument/2006/relationships/hyperlink" Target="http://consorciofia.info/cdr/ver_fuentes_w.php?NumCDR=050&amp;codEntidad=19999" TargetMode="External"/><Relationship Id="rId160" Type="http://schemas.openxmlformats.org/officeDocument/2006/relationships/hyperlink" Target="http://consorciofia.info/cdr/ver_fuentes_w.php?NumCDR=105&amp;codEntidad=19999" TargetMode="External"/><Relationship Id="rId216" Type="http://schemas.openxmlformats.org/officeDocument/2006/relationships/hyperlink" Target="../../../CRISTIAN/AppData/Roaming/Microsoft/Downloads/Documentos%20soportes%20para%20la%20conciliaci&#243;n" TargetMode="External"/><Relationship Id="rId423" Type="http://schemas.openxmlformats.org/officeDocument/2006/relationships/hyperlink" Target="http://consorciofia.info/cdr/ver_fuentes_w.php?NumCDR=080&amp;codEntidad=19999" TargetMode="External"/><Relationship Id="rId258" Type="http://schemas.openxmlformats.org/officeDocument/2006/relationships/hyperlink" Target="http://consorciofia.info/cdr/ver_fuentes_w.php?NumCDR=006&amp;codEntidad=19585" TargetMode="External"/><Relationship Id="rId465" Type="http://schemas.openxmlformats.org/officeDocument/2006/relationships/hyperlink" Target="http://consorciofia.info/cdr/ver_fuentes_w.php?NumCDR=6&amp;codEntidad=19821" TargetMode="External"/><Relationship Id="rId22" Type="http://schemas.openxmlformats.org/officeDocument/2006/relationships/hyperlink" Target="http://consorciofia.info/cdr/ver_fuentes_w.php?NumCDR=014&amp;codEntidad=19999" TargetMode="External"/><Relationship Id="rId64" Type="http://schemas.openxmlformats.org/officeDocument/2006/relationships/hyperlink" Target="http://consorciofia.info/cdr/ver_fuentes_w.php?NumCDR=040&amp;codEntidad=19999" TargetMode="External"/><Relationship Id="rId118" Type="http://schemas.openxmlformats.org/officeDocument/2006/relationships/hyperlink" Target="http://consorciofia.info/cdr/ver_fuentes_w.php?NumCDR=200&amp;codEntidad=19999" TargetMode="External"/><Relationship Id="rId325" Type="http://schemas.openxmlformats.org/officeDocument/2006/relationships/hyperlink" Target="http://consorciofia.info/cdr/ver_fuentes_w.php?NumCDR=251&amp;codEntidad=19999" TargetMode="External"/><Relationship Id="rId367" Type="http://schemas.openxmlformats.org/officeDocument/2006/relationships/hyperlink" Target="http://consorciofia.info/cdr/ver_fuentes_w.php?NumCDR=002&amp;codEntidad=19450" TargetMode="External"/><Relationship Id="rId532" Type="http://schemas.openxmlformats.org/officeDocument/2006/relationships/hyperlink" Target="http://consorciofia.info/cdr/ver_fuentes_w.php?NumCDR=2392&amp;codEntidad=19364" TargetMode="External"/><Relationship Id="rId171" Type="http://schemas.openxmlformats.org/officeDocument/2006/relationships/hyperlink" Target="http://consorciofia.info/cdr/ver_fuentes_w.php?NumCDR=174&amp;codEntidad=19999" TargetMode="External"/><Relationship Id="rId227" Type="http://schemas.openxmlformats.org/officeDocument/2006/relationships/hyperlink" Target="http://consorciofia.info/cdr/ver_fuentes_w.php?NumCDR=031&amp;codEntidad=19999" TargetMode="External"/><Relationship Id="rId269" Type="http://schemas.openxmlformats.org/officeDocument/2006/relationships/hyperlink" Target="http://consorciofia.info/cdr/ver_fuentes_w.php?NumCDR=176&amp;codEntidad=19999" TargetMode="External"/><Relationship Id="rId434" Type="http://schemas.openxmlformats.org/officeDocument/2006/relationships/hyperlink" Target="http://consorciofia.info/cdr/ver_fuentes_w.php?NumCDR=003&amp;codEntidad=19693" TargetMode="External"/><Relationship Id="rId476" Type="http://schemas.openxmlformats.org/officeDocument/2006/relationships/hyperlink" Target="http://consorciofia.info/cdr/ver_fuentes_w.php?NumCDR=11&amp;codEntidad=19698" TargetMode="External"/><Relationship Id="rId33" Type="http://schemas.openxmlformats.org/officeDocument/2006/relationships/hyperlink" Target="http://consorciofia.info/cdr/ver_fuentes_w.php?NumCDR=013&amp;codEntidad=19999" TargetMode="External"/><Relationship Id="rId129" Type="http://schemas.openxmlformats.org/officeDocument/2006/relationships/hyperlink" Target="../../../CRISTIAN/AppData/Roaming/Usuario/Downloads/Pagos%20CDRs%20FIA/CDR%20003%20-%20Contrato%20007-2010.jpg" TargetMode="External"/><Relationship Id="rId280" Type="http://schemas.openxmlformats.org/officeDocument/2006/relationships/hyperlink" Target="http://consorciofia.info/cdr/ver_fuentes_w.php?NumCDR=181&amp;codEntidad=19999" TargetMode="External"/><Relationship Id="rId336" Type="http://schemas.openxmlformats.org/officeDocument/2006/relationships/hyperlink" Target="http://consorciofia.info/cdr/ver_fuentes_w.php?NumCDR=275&amp;codEntidad=19999" TargetMode="External"/><Relationship Id="rId501" Type="http://schemas.openxmlformats.org/officeDocument/2006/relationships/hyperlink" Target="http://consorciofia.info/cdr/ver_fuentes_w.php?NumCDR=8&amp;codEntidad=19743" TargetMode="External"/><Relationship Id="rId543" Type="http://schemas.openxmlformats.org/officeDocument/2006/relationships/hyperlink" Target="http://consorciofia.info/cdr/ver_fuentes_w.php?NumCDR=2879&amp;codEntidad=19392" TargetMode="External"/><Relationship Id="rId75" Type="http://schemas.openxmlformats.org/officeDocument/2006/relationships/hyperlink" Target="http://consorciofia.info/cdr/ver_fuentes_w.php?NumCDR=051&amp;codEntidad=19999" TargetMode="External"/><Relationship Id="rId140" Type="http://schemas.openxmlformats.org/officeDocument/2006/relationships/hyperlink" Target="http://consorciofia.info/cdr/ver_fuentes_w.php?NumCDR=096&amp;codEntidad=19999" TargetMode="External"/><Relationship Id="rId182" Type="http://schemas.openxmlformats.org/officeDocument/2006/relationships/hyperlink" Target="http://consorciofia.info/cdr/ver_fuentes_w.php?NumCDR=003&amp;codEntidad=19050" TargetMode="External"/><Relationship Id="rId378" Type="http://schemas.openxmlformats.org/officeDocument/2006/relationships/hyperlink" Target="http://consorciofia.info/cdr/ver_fuentes_w.php?NumCDR=005&amp;codEntidad=19807" TargetMode="External"/><Relationship Id="rId403" Type="http://schemas.openxmlformats.org/officeDocument/2006/relationships/hyperlink" Target="http://consorciofia.info/cdr/ver_fuentes_w.php?NumCDR=9&amp;codEntidad=19100" TargetMode="External"/><Relationship Id="rId6" Type="http://schemas.openxmlformats.org/officeDocument/2006/relationships/hyperlink" Target="http://consorciofia.info/cdr/ver_fuentes_w.php?NumCDR=002&amp;codEntidad=19999" TargetMode="External"/><Relationship Id="rId238" Type="http://schemas.openxmlformats.org/officeDocument/2006/relationships/hyperlink" Target="http://consorciofia.info/cdr/ver_fuentes_w.php?NumCDR=127&amp;codEntidad=19999" TargetMode="External"/><Relationship Id="rId445" Type="http://schemas.openxmlformats.org/officeDocument/2006/relationships/hyperlink" Target="http://consorciofia.info/cdr/ver_fuentes_w.php?NumCDR=16&amp;codEntidad=19050" TargetMode="External"/><Relationship Id="rId487" Type="http://schemas.openxmlformats.org/officeDocument/2006/relationships/hyperlink" Target="http://consorciofia.info/cdr/ver_fuentes_w.php?NumCDR=10&amp;codEntidad=19318" TargetMode="External"/><Relationship Id="rId291" Type="http://schemas.openxmlformats.org/officeDocument/2006/relationships/hyperlink" Target="http://consorciofia.info/cdr/ver_fuentes_w.php?NumCDR=174&amp;codEntidad=19999" TargetMode="External"/><Relationship Id="rId305" Type="http://schemas.openxmlformats.org/officeDocument/2006/relationships/hyperlink" Target="http://consorciofia.info/cdr/ver_fuentes_w.php?NumCDR=001&amp;codEntidad=19532" TargetMode="External"/><Relationship Id="rId347" Type="http://schemas.openxmlformats.org/officeDocument/2006/relationships/hyperlink" Target="http://consorciofia.info/cdr/ver_fuentes_w.php?NumCDR=004&amp;codEntidad=19513" TargetMode="External"/><Relationship Id="rId512" Type="http://schemas.openxmlformats.org/officeDocument/2006/relationships/hyperlink" Target="http://consorciofia.info/cdr/ver_fuentes_w.php?NumCDR=7&amp;codEntidad=19573" TargetMode="External"/><Relationship Id="rId44" Type="http://schemas.openxmlformats.org/officeDocument/2006/relationships/hyperlink" Target="http://consorciofia.info/cdr/ver_fuentes_w.php?NumCDR=037&amp;codEntidad=19999" TargetMode="External"/><Relationship Id="rId86" Type="http://schemas.openxmlformats.org/officeDocument/2006/relationships/hyperlink" Target="http://consorciofia.info/cdr/ver_fuentes_w.php?NumCDR=034&amp;codEntidad=19999" TargetMode="External"/><Relationship Id="rId151" Type="http://schemas.openxmlformats.org/officeDocument/2006/relationships/hyperlink" Target="http://consorciofia.info/cdr/ver_fuentes_w.php?NumCDR=174&amp;codEntidad=19999" TargetMode="External"/><Relationship Id="rId389" Type="http://schemas.openxmlformats.org/officeDocument/2006/relationships/hyperlink" Target="http://consorciofia.info/cdr/ver_fuentes_w.php?NumCDR=293&amp;codEntidad=19999" TargetMode="External"/><Relationship Id="rId554" Type="http://schemas.openxmlformats.org/officeDocument/2006/relationships/hyperlink" Target="http://consorciofia.info/cdr/ver_fuentes_w.php?NumCDR=006&amp;codEntidad=19743" TargetMode="External"/><Relationship Id="rId193" Type="http://schemas.openxmlformats.org/officeDocument/2006/relationships/hyperlink" Target="http://consorciofia.info/cdr/ver_fuentes_w.php?NumCDR=124&amp;codEntidad=19999" TargetMode="External"/><Relationship Id="rId207" Type="http://schemas.openxmlformats.org/officeDocument/2006/relationships/hyperlink" Target="http://consorciofia.info/cdr/ver_fuentes_w.php?NumCDR=210&amp;codEntidad=19999" TargetMode="External"/><Relationship Id="rId249" Type="http://schemas.openxmlformats.org/officeDocument/2006/relationships/hyperlink" Target="http://consorciofia.info/cdr/ver_fuentes_w.php?NumCDR=244&amp;codEntidad=19999" TargetMode="External"/><Relationship Id="rId414" Type="http://schemas.openxmlformats.org/officeDocument/2006/relationships/hyperlink" Target="http://consorciofia.info/cdr/ver_fuentes_w.php?NumCDR=8&amp;codEntidad=19397" TargetMode="External"/><Relationship Id="rId456" Type="http://schemas.openxmlformats.org/officeDocument/2006/relationships/hyperlink" Target="http://consorciofia.info/cdr/ver_fuentes_w.php?NumCDR=9&amp;codEntidad=19780" TargetMode="External"/><Relationship Id="rId498" Type="http://schemas.openxmlformats.org/officeDocument/2006/relationships/hyperlink" Target="http://consorciofia.info/cdr/ver_fuentes_w.php?NumCDR=8&amp;codEntidad=19807" TargetMode="External"/><Relationship Id="rId13" Type="http://schemas.openxmlformats.org/officeDocument/2006/relationships/hyperlink" Target="http://consorciofia.info/cdr/ver_fuentes_w.php?NumCDR=005&amp;codEntidad=19999" TargetMode="External"/><Relationship Id="rId109" Type="http://schemas.openxmlformats.org/officeDocument/2006/relationships/hyperlink" Target="http://consorciofia.info/cdr/ver_fuentes_w.php?NumCDR=053&amp;codEntidad=19999" TargetMode="External"/><Relationship Id="rId260" Type="http://schemas.openxmlformats.org/officeDocument/2006/relationships/hyperlink" Target="http://consorciofia.info/cdr/ver_fuentes_w.php?NumCDR=151&amp;codEntidad=19999" TargetMode="External"/><Relationship Id="rId316" Type="http://schemas.openxmlformats.org/officeDocument/2006/relationships/hyperlink" Target="http://consorciofia.info/cdr/ver_fuentes_w.php?NumCDR=174&amp;codEntidad=19999" TargetMode="External"/><Relationship Id="rId523" Type="http://schemas.openxmlformats.org/officeDocument/2006/relationships/hyperlink" Target="http://consorciofia.info/cdr/ver_fuentes_w.php?NumCDR=3564&amp;codEntidad=19397" TargetMode="External"/><Relationship Id="rId55" Type="http://schemas.openxmlformats.org/officeDocument/2006/relationships/hyperlink" Target="http://consorciofia.info/cdr/ver_fuentes_w.php?NumCDR=038&amp;codEntidad=19999" TargetMode="External"/><Relationship Id="rId97" Type="http://schemas.openxmlformats.org/officeDocument/2006/relationships/hyperlink" Target="http://consorciofia.info/cdr/ver_fuentes_w.php?NumCDR=066&amp;codEntidad=19999" TargetMode="External"/><Relationship Id="rId120" Type="http://schemas.openxmlformats.org/officeDocument/2006/relationships/hyperlink" Target="http://consorciofia.info/cdr/ver_fuentes_w.php?NumCDR=074&amp;codEntidad=19999" TargetMode="External"/><Relationship Id="rId358" Type="http://schemas.openxmlformats.org/officeDocument/2006/relationships/hyperlink" Target="http://consorciofia.info/cdr/ver_fuentes_w.php?NumCDR=6&amp;codEntidad=19780" TargetMode="External"/><Relationship Id="rId565" Type="http://schemas.openxmlformats.org/officeDocument/2006/relationships/hyperlink" Target="http://consorciofia.info/cdr/ver_fuentes_w.php?NumCDR=3811&amp;codEntidad=19513" TargetMode="External"/><Relationship Id="rId162" Type="http://schemas.openxmlformats.org/officeDocument/2006/relationships/hyperlink" Target="http://consorciofia.info/cdr/ver_fuentes_w.php?NumCDR=174&amp;codEntidad=19999" TargetMode="External"/><Relationship Id="rId218" Type="http://schemas.openxmlformats.org/officeDocument/2006/relationships/hyperlink" Target="http://consorciofia.info/cdr/ver_fuentes_w.php?NumCDR=023&amp;codEntidad=19999" TargetMode="External"/><Relationship Id="rId425" Type="http://schemas.openxmlformats.org/officeDocument/2006/relationships/hyperlink" Target="http://consorciofia.info/cdr/ver_fuentes_w.php?NumCDR=199&amp;codEntidad=19999" TargetMode="External"/><Relationship Id="rId467" Type="http://schemas.openxmlformats.org/officeDocument/2006/relationships/hyperlink" Target="http://consorciofia.info/cdr/ver_fuentes_w.php?NumCDR=8&amp;codEntidad=19364" TargetMode="External"/><Relationship Id="rId271" Type="http://schemas.openxmlformats.org/officeDocument/2006/relationships/hyperlink" Target="http://consorciofia.info/cdr/ver_fuentes_w.php?NumCDR=001&amp;codEntidad=19821" TargetMode="External"/><Relationship Id="rId24" Type="http://schemas.openxmlformats.org/officeDocument/2006/relationships/hyperlink" Target="http://consorciofia.info/cdr/ver_fuentes_w.php?NumCDR=019&amp;codEntidad=19999" TargetMode="External"/><Relationship Id="rId66" Type="http://schemas.openxmlformats.org/officeDocument/2006/relationships/hyperlink" Target="http://consorciofia.info/cdr/ver_fuentes_w.php?NumCDR=040&amp;codEntidad=19999" TargetMode="External"/><Relationship Id="rId131" Type="http://schemas.openxmlformats.org/officeDocument/2006/relationships/hyperlink" Target="http://consorciofia.info/cdr/ver_fuentes_w.php?NumCDR=084&amp;codEntidad=19999" TargetMode="External"/><Relationship Id="rId327" Type="http://schemas.openxmlformats.org/officeDocument/2006/relationships/hyperlink" Target="http://consorciofia.info/cdr/ver_fuentes_w.php?NumCDR=10&amp;codEntidad=19450" TargetMode="External"/><Relationship Id="rId369" Type="http://schemas.openxmlformats.org/officeDocument/2006/relationships/hyperlink" Target="http://consorciofia.info/cdr/ver_fuentes_w.php?NumCDR=288&amp;codEntidad=19999" TargetMode="External"/><Relationship Id="rId534" Type="http://schemas.openxmlformats.org/officeDocument/2006/relationships/hyperlink" Target="http://consorciofia.info/cdr/ver_fuentes_w.php?NumCDR=3976&amp;codEntidad=19392" TargetMode="External"/><Relationship Id="rId173" Type="http://schemas.openxmlformats.org/officeDocument/2006/relationships/hyperlink" Target="http://consorciofia.info/cdr/ver_fuentes_w.php?NumCDR=045&amp;codEntidad=19999" TargetMode="External"/><Relationship Id="rId229" Type="http://schemas.openxmlformats.org/officeDocument/2006/relationships/hyperlink" Target="http://consorciofia.info/cdr/ver_fuentes_w.php?NumCDR=048&amp;codEntidad=19999" TargetMode="External"/><Relationship Id="rId380" Type="http://schemas.openxmlformats.org/officeDocument/2006/relationships/hyperlink" Target="http://consorciofia.info/cdr/ver_fuentes_w.php?NumCDR=297&amp;codEntidad=19999" TargetMode="External"/><Relationship Id="rId436" Type="http://schemas.openxmlformats.org/officeDocument/2006/relationships/hyperlink" Target="http://consorciofia.info/cdr/ver_fuentes_w.php?NumCDR=273&amp;codEntidad=19999" TargetMode="External"/><Relationship Id="rId240" Type="http://schemas.openxmlformats.org/officeDocument/2006/relationships/hyperlink" Target="http://consorciofia.info/cdr/ver_fuentes_w.php?NumCDR=135&amp;codEntidad=19999" TargetMode="External"/><Relationship Id="rId478" Type="http://schemas.openxmlformats.org/officeDocument/2006/relationships/hyperlink" Target="http://consorciofia.info/cdr/ver_fuentes_w.php?NumCDR=14&amp;codEntidad=19318" TargetMode="External"/><Relationship Id="rId35" Type="http://schemas.openxmlformats.org/officeDocument/2006/relationships/hyperlink" Target="http://consorciofia.info/cdr/ver_fuentes_w.php?NumCDR=021&amp;codEntidad=19999" TargetMode="External"/><Relationship Id="rId77" Type="http://schemas.openxmlformats.org/officeDocument/2006/relationships/hyperlink" Target="http://consorciofia.info/cdr/ver_fuentes_w.php?NumCDR=051&amp;codEntidad=19999" TargetMode="External"/><Relationship Id="rId100" Type="http://schemas.openxmlformats.org/officeDocument/2006/relationships/hyperlink" Target="http://consorciofia.info/cdr/ver_fuentes_w.php?NumCDR=058&amp;codEntidad=19999" TargetMode="External"/><Relationship Id="rId282" Type="http://schemas.openxmlformats.org/officeDocument/2006/relationships/hyperlink" Target="http://consorciofia.info/cdr/ver_fuentes_w.php?NumCDR=006&amp;codEntidad=19824" TargetMode="External"/><Relationship Id="rId338" Type="http://schemas.openxmlformats.org/officeDocument/2006/relationships/hyperlink" Target="http://consorciofia.info/cdr/ver_fuentes_w.php?NumCDR=7&amp;codEntidad=19392" TargetMode="External"/><Relationship Id="rId503" Type="http://schemas.openxmlformats.org/officeDocument/2006/relationships/hyperlink" Target="http://consorciofia.info/cdr/ver_fuentes_w.php?NumCDR=16&amp;codEntidad=19450" TargetMode="External"/><Relationship Id="rId545" Type="http://schemas.openxmlformats.org/officeDocument/2006/relationships/hyperlink" Target="http://consorciofia.info/cdr/ver_fuentes_w.php?NumCDR=326&amp;codEntidad=19999" TargetMode="External"/><Relationship Id="rId8" Type="http://schemas.openxmlformats.org/officeDocument/2006/relationships/hyperlink" Target="http://consorciofia.info/cdr/ver_fuentes_w.php?NumCDR=029&amp;codEntidad=19999" TargetMode="External"/><Relationship Id="rId142" Type="http://schemas.openxmlformats.org/officeDocument/2006/relationships/hyperlink" Target="http://consorciofia.info/cdr/ver_fuentes_w.php?NumCDR=101&amp;codEntidad=19999" TargetMode="External"/><Relationship Id="rId184" Type="http://schemas.openxmlformats.org/officeDocument/2006/relationships/hyperlink" Target="http://consorciofia.info/cdr/ver_fuentes_w.php?NumCDR=157&amp;codEntidad=19999" TargetMode="External"/><Relationship Id="rId391" Type="http://schemas.openxmlformats.org/officeDocument/2006/relationships/hyperlink" Target="http://consorciofia.info/cdr/ver_fuentes_w.php?NumCDR=300&amp;codEntidad=19999" TargetMode="External"/><Relationship Id="rId405" Type="http://schemas.openxmlformats.org/officeDocument/2006/relationships/hyperlink" Target="http://consorciofia.info/cdr/ver_fuentes_w.php?NumCDR=308&amp;codEntidad=19999" TargetMode="External"/><Relationship Id="rId447" Type="http://schemas.openxmlformats.org/officeDocument/2006/relationships/hyperlink" Target="http://consorciofia.info/cdr/ver_fuentes_w.php?NumCDR=14&amp;codEntidad=19450" TargetMode="External"/><Relationship Id="rId251" Type="http://schemas.openxmlformats.org/officeDocument/2006/relationships/hyperlink" Target="http://consorciofia.info/cdr/ver_fuentes_w.php?NumCDR=242&amp;codEntidad=19999" TargetMode="External"/><Relationship Id="rId489" Type="http://schemas.openxmlformats.org/officeDocument/2006/relationships/hyperlink" Target="http://consorciofia.info/cdr/ver_fuentes_w.php?NumCDR=324&amp;codEntidad=19999" TargetMode="External"/><Relationship Id="rId46" Type="http://schemas.openxmlformats.org/officeDocument/2006/relationships/hyperlink" Target="http://consorciofia.info/cdr/ver_fuentes_w.php?NumCDR=037&amp;codEntidad=19999" TargetMode="External"/><Relationship Id="rId293" Type="http://schemas.openxmlformats.org/officeDocument/2006/relationships/hyperlink" Target="http://consorciofia.info/cdr/ver_fuentes_w.php?NumCDR=174&amp;codEntidad=19999" TargetMode="External"/><Relationship Id="rId307" Type="http://schemas.openxmlformats.org/officeDocument/2006/relationships/hyperlink" Target="http://consorciofia.info/cdr/ver_fuentes_w.php?NumCDR=307&amp;codEntidad=19999" TargetMode="External"/><Relationship Id="rId349" Type="http://schemas.openxmlformats.org/officeDocument/2006/relationships/hyperlink" Target="http://consorciofia.info/cdr/ver_fuentes_w.php?NumCDR=271&amp;codEntidad=19999" TargetMode="External"/><Relationship Id="rId514" Type="http://schemas.openxmlformats.org/officeDocument/2006/relationships/hyperlink" Target="http://consorciofia.info/cdr/ver_fuentes_w.php?NumCDR=15&amp;codEntidad=19110" TargetMode="External"/><Relationship Id="rId556" Type="http://schemas.openxmlformats.org/officeDocument/2006/relationships/hyperlink" Target="http://consorciofia.info/cdr/ver_fuentes_w.php?NumCDR=017&amp;codEntidad=19999" TargetMode="External"/><Relationship Id="rId88" Type="http://schemas.openxmlformats.org/officeDocument/2006/relationships/hyperlink" Target="http://consorciofia.info/cdr/ver_fuentes_w.php?NumCDR=192&amp;codEntidad=19999" TargetMode="External"/><Relationship Id="rId111" Type="http://schemas.openxmlformats.org/officeDocument/2006/relationships/hyperlink" Target="http://consorciofia.info/cdr/ver_fuentes_w.php?NumCDR=054&amp;codEntidad=19999" TargetMode="External"/><Relationship Id="rId153" Type="http://schemas.openxmlformats.org/officeDocument/2006/relationships/hyperlink" Target="http://consorciofia.info/cdr/ver_fuentes_w.php?NumCDR=202&amp;codEntidad=19999" TargetMode="External"/><Relationship Id="rId195" Type="http://schemas.openxmlformats.org/officeDocument/2006/relationships/hyperlink" Target="http://consorciofia.info/cdr/ver_fuentes_w.php?NumCDR=174&amp;codEntidad=19999" TargetMode="External"/><Relationship Id="rId209" Type="http://schemas.openxmlformats.org/officeDocument/2006/relationships/hyperlink" Target="http://consorciofia.info/cdr/ver_fuentes_w.php?NumCDR=145&amp;codEntidad=19999" TargetMode="External"/><Relationship Id="rId360" Type="http://schemas.openxmlformats.org/officeDocument/2006/relationships/hyperlink" Target="http://consorciofia.info/cdr/ver_fuentes_w.php?NumCDR=8&amp;codEntidad=19392" TargetMode="External"/><Relationship Id="rId416" Type="http://schemas.openxmlformats.org/officeDocument/2006/relationships/hyperlink" Target="http://consorciofia.info/cdr/ver_fuentes_w.php?NumCDR=5&amp;codEntidad=19573" TargetMode="External"/><Relationship Id="rId220" Type="http://schemas.openxmlformats.org/officeDocument/2006/relationships/hyperlink" Target="http://consorciofia.info/cdr/ver_fuentes_w.php?NumCDR=139&amp;codEntidad=19999" TargetMode="External"/><Relationship Id="rId458" Type="http://schemas.openxmlformats.org/officeDocument/2006/relationships/hyperlink" Target="http://consorciofia.info/cdr/ver_fuentes_w.php?NumCDR=10&amp;codEntidad=19110" TargetMode="External"/><Relationship Id="rId15" Type="http://schemas.openxmlformats.org/officeDocument/2006/relationships/hyperlink" Target="http://consorciofia.info/cdr/ver_fuentes_w.php?NumCDR=193&amp;codEntidad=19999" TargetMode="External"/><Relationship Id="rId57" Type="http://schemas.openxmlformats.org/officeDocument/2006/relationships/hyperlink" Target="http://consorciofia.info/cdr/ver_fuentes_w.php?NumCDR=038&amp;codEntidad=19999" TargetMode="External"/><Relationship Id="rId262" Type="http://schemas.openxmlformats.org/officeDocument/2006/relationships/hyperlink" Target="http://consorciofia.info/cdr/ver_fuentes_w.php?NumCDR=002&amp;codEntidad=19585" TargetMode="External"/><Relationship Id="rId318" Type="http://schemas.openxmlformats.org/officeDocument/2006/relationships/hyperlink" Target="http://consorciofia.info/cdr/ver_fuentes_w.php?NumCDR=13&amp;codEntidad=19532" TargetMode="External"/><Relationship Id="rId525" Type="http://schemas.openxmlformats.org/officeDocument/2006/relationships/hyperlink" Target="http://consorciofia.info/cdr/ver_fuentes_w.php?NumCDR=9&amp;codEntidad=19548" TargetMode="External"/><Relationship Id="rId567" Type="http://schemas.openxmlformats.org/officeDocument/2006/relationships/hyperlink" Target="http://consorciofia.info/cdr/ver_fuentes_w.php?NumCDR=4463&amp;codEntidad=19999" TargetMode="External"/><Relationship Id="rId99" Type="http://schemas.openxmlformats.org/officeDocument/2006/relationships/hyperlink" Target="http://consorciofia.info/cdr/ver_fuentes_w.php?NumCDR=163&amp;codEntidad=19999" TargetMode="External"/><Relationship Id="rId122" Type="http://schemas.openxmlformats.org/officeDocument/2006/relationships/hyperlink" Target="http://consorciofia.info/cdr/ver_fuentes_w.php?NumCDR=073&amp;codEntidad=19999" TargetMode="External"/><Relationship Id="rId164" Type="http://schemas.openxmlformats.org/officeDocument/2006/relationships/hyperlink" Target="http://consorciofia.info/cdr/ver_fuentes_w.php?NumCDR=113&amp;codEntidad=19999" TargetMode="External"/><Relationship Id="rId371" Type="http://schemas.openxmlformats.org/officeDocument/2006/relationships/hyperlink" Target="http://consorciofia.info/cdr/ver_fuentes_w.php?NumCDR=341&amp;codEntidad=19999" TargetMode="External"/><Relationship Id="rId427" Type="http://schemas.openxmlformats.org/officeDocument/2006/relationships/hyperlink" Target="http://consorciofia.info/cdr/ver_fuentes_w.php?NumCDR=143&amp;codEntidad=19999" TargetMode="External"/><Relationship Id="rId469" Type="http://schemas.openxmlformats.org/officeDocument/2006/relationships/hyperlink" Target="http://consorciofia.info/cdr/ver_fuentes_w.php?NumCDR=13&amp;codEntidad=19318"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consorciofia.info/cdr/ver_fuentes_w.php?NumCDR=174&amp;codEntidad=19999" TargetMode="External"/><Relationship Id="rId299" Type="http://schemas.openxmlformats.org/officeDocument/2006/relationships/hyperlink" Target="http://consorciofia.info/cdr/ver_fuentes_w.php?NumCDR=001&amp;codEntidad=19392" TargetMode="External"/><Relationship Id="rId21" Type="http://schemas.openxmlformats.org/officeDocument/2006/relationships/hyperlink" Target="http://consorciofia.info/cdr/ver_fuentes_w.php?NumCDR=014&amp;codEntidad=19999" TargetMode="External"/><Relationship Id="rId63" Type="http://schemas.openxmlformats.org/officeDocument/2006/relationships/hyperlink" Target="http://consorciofia.info/cdr/ver_fuentes_w.php?NumCDR=040&amp;codEntidad=19999" TargetMode="External"/><Relationship Id="rId159" Type="http://schemas.openxmlformats.org/officeDocument/2006/relationships/hyperlink" Target="http://consorciofia.info/cdr/ver_fuentes_w.php?NumCDR=106&amp;codEntidad=19999" TargetMode="External"/><Relationship Id="rId324" Type="http://schemas.openxmlformats.org/officeDocument/2006/relationships/hyperlink" Target="http://consorciofia.info/cdr/ver_fuentes_w.php?NumCDR=003&amp;codEntidad=19100" TargetMode="External"/><Relationship Id="rId366" Type="http://schemas.openxmlformats.org/officeDocument/2006/relationships/hyperlink" Target="http://consorciofia.info/cdr/ver_fuentes_w.php?NumCDR=283&amp;codEntidad=19999" TargetMode="External"/><Relationship Id="rId531" Type="http://schemas.openxmlformats.org/officeDocument/2006/relationships/comments" Target="../comments5.xml"/><Relationship Id="rId170" Type="http://schemas.openxmlformats.org/officeDocument/2006/relationships/hyperlink" Target="http://consorciofia.info/cdr/ver_fuentes_w.php?NumCDR=093&amp;codEntidad=19999" TargetMode="External"/><Relationship Id="rId226" Type="http://schemas.openxmlformats.org/officeDocument/2006/relationships/hyperlink" Target="http://consorciofia.info/cdr/ver_fuentes_w.php?NumCDR=006&amp;codEntidad=19999" TargetMode="External"/><Relationship Id="rId433" Type="http://schemas.openxmlformats.org/officeDocument/2006/relationships/hyperlink" Target="http://consorciofia.info/cdr/ver_fuentes_w.php?NumCDR=291&amp;codEntidad=19999" TargetMode="External"/><Relationship Id="rId268" Type="http://schemas.openxmlformats.org/officeDocument/2006/relationships/hyperlink" Target="http://consorciofia.info/cdr/ver_fuentes_w.php?NumCDR=002&amp;codEntidad=19050" TargetMode="External"/><Relationship Id="rId475" Type="http://schemas.openxmlformats.org/officeDocument/2006/relationships/hyperlink" Target="http://consorciofia.info/cdr/ver_fuentes_w.php?NumCDR=6&amp;codEntidad=19100" TargetMode="External"/><Relationship Id="rId32" Type="http://schemas.openxmlformats.org/officeDocument/2006/relationships/hyperlink" Target="http://consorciofia.info/cdr/ver_fuentes_w.php?NumCDR=013&amp;codEntidad=19999" TargetMode="External"/><Relationship Id="rId74" Type="http://schemas.openxmlformats.org/officeDocument/2006/relationships/hyperlink" Target="http://consorciofia.info/cdr/ver_fuentes_w.php?NumCDR=051&amp;codEntidad=19999" TargetMode="External"/><Relationship Id="rId128" Type="http://schemas.openxmlformats.org/officeDocument/2006/relationships/hyperlink" Target="http://consorciofia.info/cdr/ver_fuentes_w.php?NumCDR=191&amp;codEntidad=19999" TargetMode="External"/><Relationship Id="rId335" Type="http://schemas.openxmlformats.org/officeDocument/2006/relationships/hyperlink" Target="http://consorciofia.info/cdr/ver_fuentes_w.php?NumCDR=255&amp;codEntidad=19999" TargetMode="External"/><Relationship Id="rId377" Type="http://schemas.openxmlformats.org/officeDocument/2006/relationships/hyperlink" Target="http://consorciofia.info/cdr/ver_fuentes_w.php?NumCDR=269&amp;codEntidad=19999" TargetMode="External"/><Relationship Id="rId500" Type="http://schemas.openxmlformats.org/officeDocument/2006/relationships/hyperlink" Target="http://consorciofia.info/cdr/ver_fuentes_w.php?NumCDR=3&amp;codEntidad=19622" TargetMode="External"/><Relationship Id="rId5" Type="http://schemas.openxmlformats.org/officeDocument/2006/relationships/hyperlink" Target="http://consorciofia.info/cdr/ver_fuentes_w.php?NumCDR=174&amp;codEntidad=19999" TargetMode="External"/><Relationship Id="rId181" Type="http://schemas.openxmlformats.org/officeDocument/2006/relationships/hyperlink" Target="http://consorciofia.info/cdr/ver_fuentes_w.php?NumCDR=233&amp;codEntidad=19999" TargetMode="External"/><Relationship Id="rId237" Type="http://schemas.openxmlformats.org/officeDocument/2006/relationships/hyperlink" Target="http://consorciofia.info/cdr/ver_fuentes_w.php?NumCDR=131&amp;codEntidad=19999" TargetMode="External"/><Relationship Id="rId402" Type="http://schemas.openxmlformats.org/officeDocument/2006/relationships/hyperlink" Target="http://consorciofia.info/cdr/ver_fuentes_w.php?NumCDR=009&amp;codEntidad=19698" TargetMode="External"/><Relationship Id="rId279" Type="http://schemas.openxmlformats.org/officeDocument/2006/relationships/hyperlink" Target="http://consorciofia.info/cdr/ver_fuentes_w.php?NumCDR=221&amp;codEntidad=19999" TargetMode="External"/><Relationship Id="rId444" Type="http://schemas.openxmlformats.org/officeDocument/2006/relationships/hyperlink" Target="http://consorciofia.info/cdr/ver_fuentes_w.php?NumCDR=13&amp;codEntidad=19780" TargetMode="External"/><Relationship Id="rId486" Type="http://schemas.openxmlformats.org/officeDocument/2006/relationships/hyperlink" Target="http://consorciofia.info/cdr/ver_fuentes_w.php?NumCDR=10&amp;codEntidad=19130" TargetMode="External"/><Relationship Id="rId43" Type="http://schemas.openxmlformats.org/officeDocument/2006/relationships/hyperlink" Target="http://consorciofia.info/cdr/ver_fuentes_w.php?NumCDR=036&amp;codEntidad=19999" TargetMode="External"/><Relationship Id="rId139" Type="http://schemas.openxmlformats.org/officeDocument/2006/relationships/hyperlink" Target="http://consorciofia.info/cdr/ver_fuentes_w.php?NumCDR=201&amp;codEntidad=19999" TargetMode="External"/><Relationship Id="rId290" Type="http://schemas.openxmlformats.org/officeDocument/2006/relationships/hyperlink" Target="http://consorciofia.info/cdr/ver_fuentes_w.php?NumCDR=174&amp;codEntidad=19999" TargetMode="External"/><Relationship Id="rId304" Type="http://schemas.openxmlformats.org/officeDocument/2006/relationships/hyperlink" Target="http://consorciofia.info/cdr/ver_fuentes_w.php?NumCDR=12&amp;codEntidad=19532" TargetMode="External"/><Relationship Id="rId346" Type="http://schemas.openxmlformats.org/officeDocument/2006/relationships/hyperlink" Target="http://consorciofia.info/cdr/ver_fuentes_w.php?NumCDR=290&amp;codEntidad=19999" TargetMode="External"/><Relationship Id="rId388" Type="http://schemas.openxmlformats.org/officeDocument/2006/relationships/hyperlink" Target="http://consorciofia.info/cdr/ver_fuentes_w.php?NumCDR=267&amp;codEntidad=19999" TargetMode="External"/><Relationship Id="rId511" Type="http://schemas.openxmlformats.org/officeDocument/2006/relationships/hyperlink" Target="http://consorciofia.info/cdr/ver_fuentes_w.php?NumCDR=7&amp;codEntidad=19318" TargetMode="External"/><Relationship Id="rId85" Type="http://schemas.openxmlformats.org/officeDocument/2006/relationships/hyperlink" Target="http://consorciofia.info/cdr/ver_fuentes_w.php?NumCDR=033&amp;codEntidad=19999" TargetMode="External"/><Relationship Id="rId150" Type="http://schemas.openxmlformats.org/officeDocument/2006/relationships/hyperlink" Target="http://consorciofia.info/cdr/ver_fuentes_w.php?NumCDR=110&amp;codEntidad=19999" TargetMode="External"/><Relationship Id="rId192" Type="http://schemas.openxmlformats.org/officeDocument/2006/relationships/hyperlink" Target="http://consorciofia.info/cdr/ver_fuentes_w.php?NumCDR=175&amp;codEntidad=19999" TargetMode="External"/><Relationship Id="rId206" Type="http://schemas.openxmlformats.org/officeDocument/2006/relationships/hyperlink" Target="http://consorciofia.info/cdr/ver_fuentes_w.php?NumCDR=195&amp;codEntidad=19999" TargetMode="External"/><Relationship Id="rId413" Type="http://schemas.openxmlformats.org/officeDocument/2006/relationships/hyperlink" Target="http://consorciofia.info/cdr/ver_fuentes_w.php?NumCDR=15&amp;codEntidad=19450" TargetMode="External"/><Relationship Id="rId248" Type="http://schemas.openxmlformats.org/officeDocument/2006/relationships/hyperlink" Target="http://consorciofia.info/cdr/ver_fuentes_w.php?NumCDR=130&amp;codEntidad=19999" TargetMode="External"/><Relationship Id="rId455" Type="http://schemas.openxmlformats.org/officeDocument/2006/relationships/hyperlink" Target="http://consorciofia.info/cdr/ver_fuentes_w.php?NumCDR=7&amp;codEntidad=19397" TargetMode="External"/><Relationship Id="rId497" Type="http://schemas.openxmlformats.org/officeDocument/2006/relationships/hyperlink" Target="http://consorciofia.info/cdr/ver_fuentes_w.php?NumCDR=7&amp;codEntidad=19780" TargetMode="External"/><Relationship Id="rId12" Type="http://schemas.openxmlformats.org/officeDocument/2006/relationships/hyperlink" Target="http://consorciofia.info/cdr/ver_fuentes_w.php?NumCDR=190&amp;codEntidad=19999" TargetMode="External"/><Relationship Id="rId108" Type="http://schemas.openxmlformats.org/officeDocument/2006/relationships/hyperlink" Target="http://consorciofia.info/cdr/ver_fuentes_w.php?NumCDR=174&amp;codEntidad=19999" TargetMode="External"/><Relationship Id="rId315" Type="http://schemas.openxmlformats.org/officeDocument/2006/relationships/hyperlink" Target="http://consorciofia.info/cdr/ver_fuentes_w.php?NumCDR=229&amp;codEntidad=19999" TargetMode="External"/><Relationship Id="rId357" Type="http://schemas.openxmlformats.org/officeDocument/2006/relationships/hyperlink" Target="http://consorciofia.info/cdr/ver_fuentes_w.php?NumCDR=276&amp;codEntidad=19999" TargetMode="External"/><Relationship Id="rId522" Type="http://schemas.openxmlformats.org/officeDocument/2006/relationships/hyperlink" Target="http://consorciofia.info/cdr/ver_fuentes_w.php?NumCDR=11&amp;codEntidad=19397" TargetMode="External"/><Relationship Id="rId54" Type="http://schemas.openxmlformats.org/officeDocument/2006/relationships/hyperlink" Target="http://consorciofia.info/cdr/ver_fuentes_w.php?NumCDR=165&amp;codEntidad=19999" TargetMode="External"/><Relationship Id="rId96" Type="http://schemas.openxmlformats.org/officeDocument/2006/relationships/hyperlink" Target="http://consorciofia.info/cdr/ver_fuentes_w.php?NumCDR=065&amp;codEntidad=19999" TargetMode="External"/><Relationship Id="rId161" Type="http://schemas.openxmlformats.org/officeDocument/2006/relationships/hyperlink" Target="http://consorciofia.info/cdr/ver_fuentes_w.php?NumCDR=112&amp;codEntidad=19999%7d" TargetMode="External"/><Relationship Id="rId217" Type="http://schemas.openxmlformats.org/officeDocument/2006/relationships/hyperlink" Target="http://consorciofia.info/cdr/ver_fuentes_w.php?NumCDR=0011&amp;codEntidad=19999" TargetMode="External"/><Relationship Id="rId399" Type="http://schemas.openxmlformats.org/officeDocument/2006/relationships/hyperlink" Target="http://consorciofia.info/cdr/ver_fuentes_w.php?NumCDR=2295&amp;codEntidad=19318" TargetMode="External"/><Relationship Id="rId259" Type="http://schemas.openxmlformats.org/officeDocument/2006/relationships/hyperlink" Target="http://consorciofia.info/cdr/ver_fuentes_w.php?NumCDR=119&amp;codEntidad=19999" TargetMode="External"/><Relationship Id="rId424" Type="http://schemas.openxmlformats.org/officeDocument/2006/relationships/hyperlink" Target="http://consorciofia.info/cdr/ver_fuentes_w.php?NumCDR=083&amp;codEntidad=19999" TargetMode="External"/><Relationship Id="rId466" Type="http://schemas.openxmlformats.org/officeDocument/2006/relationships/hyperlink" Target="http://consorciofia.info/cdr/ver_fuentes_w.php?NumCDR=325&amp;codEntidad=19999" TargetMode="External"/><Relationship Id="rId23" Type="http://schemas.openxmlformats.org/officeDocument/2006/relationships/hyperlink" Target="http://consorciofia.info/cdr/ver_fuentes_w.php?NumCDR=014&amp;codEntidad=19999" TargetMode="External"/><Relationship Id="rId119" Type="http://schemas.openxmlformats.org/officeDocument/2006/relationships/hyperlink" Target="http://consorciofia.info/cdr/ver_fuentes_w.php?NumCDR=075&amp;codEntidad=19999" TargetMode="External"/><Relationship Id="rId270" Type="http://schemas.openxmlformats.org/officeDocument/2006/relationships/hyperlink" Target="http://consorciofia.info/cdr/ver_fuentes_w.php?NumCDR=001&amp;codEntidad=19318" TargetMode="External"/><Relationship Id="rId326" Type="http://schemas.openxmlformats.org/officeDocument/2006/relationships/hyperlink" Target="http://consorciofia.info/cdr/ver_fuentes_w.php?NumCDR=259&amp;codEntidad=19999" TargetMode="External"/><Relationship Id="rId65" Type="http://schemas.openxmlformats.org/officeDocument/2006/relationships/hyperlink" Target="http://consorciofia.info/cdr/ver_fuentes_w.php?NumCDR=040&amp;codEntidad=19999" TargetMode="External"/><Relationship Id="rId130" Type="http://schemas.openxmlformats.org/officeDocument/2006/relationships/hyperlink" Target="http://consorciofia.info/cdr/ver_fuentes_w.php?NumCDR=003&amp;codEntidad=19999" TargetMode="External"/><Relationship Id="rId368" Type="http://schemas.openxmlformats.org/officeDocument/2006/relationships/hyperlink" Target="http://consorciofia.info/cdr/ver_fuentes_w.php?NumCDR=317&amp;codEntidad=19999" TargetMode="External"/><Relationship Id="rId172" Type="http://schemas.openxmlformats.org/officeDocument/2006/relationships/hyperlink" Target="http://consorciofia.info/cdr/ver_fuentes_w.php?NumCDR=204&amp;codEntidad=19999" TargetMode="External"/><Relationship Id="rId228" Type="http://schemas.openxmlformats.org/officeDocument/2006/relationships/hyperlink" Target="http://consorciofia.info/cdr/ver_fuentes_w.php?NumCDR=032&amp;codEntidad=19999" TargetMode="External"/><Relationship Id="rId435" Type="http://schemas.openxmlformats.org/officeDocument/2006/relationships/hyperlink" Target="http://consorciofia.info/cdr/ver_fuentes_w.php?NumCDR=2646&amp;codEntidad=19693" TargetMode="External"/><Relationship Id="rId477" Type="http://schemas.openxmlformats.org/officeDocument/2006/relationships/hyperlink" Target="http://consorciofia.info/cdr/ver_fuentes_w.php?NumCDR=11&amp;codEntidad=19318" TargetMode="External"/><Relationship Id="rId281" Type="http://schemas.openxmlformats.org/officeDocument/2006/relationships/hyperlink" Target="http://consorciofia.info/cdr/ver_fuentes_w.php?NumCDR=182&amp;codEntidad=19999" TargetMode="External"/><Relationship Id="rId337" Type="http://schemas.openxmlformats.org/officeDocument/2006/relationships/hyperlink" Target="http://consorciofia.info/cdr/ver_fuentes_w.php?NumCDR=249&amp;codEntidad=19999" TargetMode="External"/><Relationship Id="rId502" Type="http://schemas.openxmlformats.org/officeDocument/2006/relationships/hyperlink" Target="http://consorciofia.info/cdr/ver_fuentes_w.php?NumCDR=16&amp;codEntidad=19532" TargetMode="External"/><Relationship Id="rId34" Type="http://schemas.openxmlformats.org/officeDocument/2006/relationships/hyperlink" Target="http://consorciofia.info/cdr/ver_fuentes_w.php?NumCDR=029&amp;codEntidad=19999" TargetMode="External"/><Relationship Id="rId76" Type="http://schemas.openxmlformats.org/officeDocument/2006/relationships/hyperlink" Target="http://consorciofia.info/cdr/ver_fuentes_w.php?NumCDR=051&amp;codEntidad=19999" TargetMode="External"/><Relationship Id="rId141" Type="http://schemas.openxmlformats.org/officeDocument/2006/relationships/hyperlink" Target="http://consorciofia.info/cdr/ver_fuentes_w.php?NumCDR=099&amp;codEntidad=19999" TargetMode="External"/><Relationship Id="rId379" Type="http://schemas.openxmlformats.org/officeDocument/2006/relationships/hyperlink" Target="http://consorciofia.info/cdr/ver_fuentes_w.php?NumCDR=14&amp;codEntidad=19807" TargetMode="External"/><Relationship Id="rId7" Type="http://schemas.openxmlformats.org/officeDocument/2006/relationships/hyperlink" Target="http://consorciofia.info/cdr/ver_fuentes_w.php?NumCDR=187&amp;codEntidad=19999" TargetMode="External"/><Relationship Id="rId183" Type="http://schemas.openxmlformats.org/officeDocument/2006/relationships/hyperlink" Target="http://consorciofia.info/cdr/ver_fuentes_w.php?NumCDR=003&amp;codEntidad=19397" TargetMode="External"/><Relationship Id="rId239" Type="http://schemas.openxmlformats.org/officeDocument/2006/relationships/hyperlink" Target="http://consorciofia.info/cdr/ver_fuentes_w.php?NumCDR=241&amp;codEntidad=19999" TargetMode="External"/><Relationship Id="rId390" Type="http://schemas.openxmlformats.org/officeDocument/2006/relationships/hyperlink" Target="http://consorciofia.info/cdr/ver_fuentes_w.php?NumCDR=002&amp;codEntidad=19075" TargetMode="External"/><Relationship Id="rId404" Type="http://schemas.openxmlformats.org/officeDocument/2006/relationships/hyperlink" Target="http://consorciofia.info/cdr/ver_fuentes_w.php?NumCDR=007&amp;codEntidad=19807" TargetMode="External"/><Relationship Id="rId446" Type="http://schemas.openxmlformats.org/officeDocument/2006/relationships/hyperlink" Target="http://consorciofia.info/cdr/ver_fuentes_w.php?NumCDR=5&amp;codEntidad=19364" TargetMode="External"/><Relationship Id="rId250" Type="http://schemas.openxmlformats.org/officeDocument/2006/relationships/hyperlink" Target="http://consorciofia.info/cdr/ver_fuentes_w.php?NumCDR=128&amp;codEntidad=19999" TargetMode="External"/><Relationship Id="rId292" Type="http://schemas.openxmlformats.org/officeDocument/2006/relationships/hyperlink" Target="http://consorciofia.info/cdr/ver_fuentes_w.php?NumCDR=174&amp;codEntidad=19999" TargetMode="External"/><Relationship Id="rId306" Type="http://schemas.openxmlformats.org/officeDocument/2006/relationships/hyperlink" Target="http://consorciofia.info/cdr/ver_fuentes_w.php?NumCDR=185&amp;codEntidad=19999" TargetMode="External"/><Relationship Id="rId488" Type="http://schemas.openxmlformats.org/officeDocument/2006/relationships/hyperlink" Target="http://consorciofia.info/cdr/ver_fuentes_w.php?NumCDR=4&amp;codEntidad=19701" TargetMode="External"/><Relationship Id="rId45" Type="http://schemas.openxmlformats.org/officeDocument/2006/relationships/hyperlink" Target="http://consorciofia.info/cdr/ver_fuentes_w.php?NumCDR=037&amp;codEntidad=19999" TargetMode="External"/><Relationship Id="rId87" Type="http://schemas.openxmlformats.org/officeDocument/2006/relationships/hyperlink" Target="http://consorciofia.info/cdr/ver_fuentes_w.php?NumCDR=035&amp;codEntidad=19999" TargetMode="External"/><Relationship Id="rId110" Type="http://schemas.openxmlformats.org/officeDocument/2006/relationships/hyperlink" Target="http://consorciofia.info/cdr/ver_fuentes_w.php?NumCDR=052&amp;codEntidad=19999" TargetMode="External"/><Relationship Id="rId348" Type="http://schemas.openxmlformats.org/officeDocument/2006/relationships/hyperlink" Target="http://consorciofia.info/cdr/ver_fuentes_w.php?NumCDR=8&amp;codEntidad=19513" TargetMode="External"/><Relationship Id="rId513" Type="http://schemas.openxmlformats.org/officeDocument/2006/relationships/hyperlink" Target="http://consorciofia.info/cdr/ver_fuentes_w.php?NumCDR=337&amp;codEntidad=19999" TargetMode="External"/><Relationship Id="rId152" Type="http://schemas.openxmlformats.org/officeDocument/2006/relationships/hyperlink" Target="http://consorciofia.info/cdr/ver_fuentes_w.php?NumCDR=111&amp;codEntidad=19999" TargetMode="External"/><Relationship Id="rId194" Type="http://schemas.openxmlformats.org/officeDocument/2006/relationships/hyperlink" Target="http://consorciofia.info/cdr/ver_fuentes_w.php?NumCDR=144&amp;codEntidad=19999" TargetMode="External"/><Relationship Id="rId208" Type="http://schemas.openxmlformats.org/officeDocument/2006/relationships/hyperlink" Target="http://consorciofia.info/cdr/ver_fuentes_w.php?NumCDR=209&amp;codEntidad=19999" TargetMode="External"/><Relationship Id="rId415" Type="http://schemas.openxmlformats.org/officeDocument/2006/relationships/hyperlink" Target="http://consorciofia.info/cdr/ver_fuentes_w.php?NumCDR=5&amp;codEntidad=19142" TargetMode="External"/><Relationship Id="rId457" Type="http://schemas.openxmlformats.org/officeDocument/2006/relationships/hyperlink" Target="http://consorciofia.info/cdr/ver_fuentes_w.php?NumCDR=8&amp;codEntidad=19418" TargetMode="External"/><Relationship Id="rId261" Type="http://schemas.openxmlformats.org/officeDocument/2006/relationships/hyperlink" Target="http://consorciofia.info/cdr/ver_fuentes_w.php?NumCDR=001&amp;codEntidad=19585" TargetMode="External"/><Relationship Id="rId499" Type="http://schemas.openxmlformats.org/officeDocument/2006/relationships/hyperlink" Target="http://consorciofia.info/cdr/ver_fuentes_w.php?NumCDR=8&amp;codEntidad=19110" TargetMode="External"/><Relationship Id="rId14" Type="http://schemas.openxmlformats.org/officeDocument/2006/relationships/hyperlink" Target="http://consorciofia.info/cdr/ver_fuentes_w.php?NumCDR=005&amp;codEntidad=19999" TargetMode="External"/><Relationship Id="rId56" Type="http://schemas.openxmlformats.org/officeDocument/2006/relationships/hyperlink" Target="http://consorciofia.info/cdr/ver_fuentes_w.php?NumCDR=038&amp;codEntidad=19999" TargetMode="External"/><Relationship Id="rId317" Type="http://schemas.openxmlformats.org/officeDocument/2006/relationships/hyperlink" Target="http://consorciofia.info/cdr/ver_fuentes_w.php?NumCDR=186&amp;codEntidad=19999" TargetMode="External"/><Relationship Id="rId359" Type="http://schemas.openxmlformats.org/officeDocument/2006/relationships/hyperlink" Target="http://consorciofia.info/cdr/ver_fuentes_w.php?NumCDR=9&amp;codEntidad=19513" TargetMode="External"/><Relationship Id="rId524" Type="http://schemas.openxmlformats.org/officeDocument/2006/relationships/hyperlink" Target="http://consorciofia.info/cdr/ver_fuentes_w.php?NumCDR=6&amp;codEntidad=19473" TargetMode="External"/><Relationship Id="rId98" Type="http://schemas.openxmlformats.org/officeDocument/2006/relationships/hyperlink" Target="http://consorciofia.info/cdr/ver_fuentes_w.php?NumCDR=067&amp;codEntidad=19999" TargetMode="External"/><Relationship Id="rId121" Type="http://schemas.openxmlformats.org/officeDocument/2006/relationships/hyperlink" Target="http://consorciofia.info/cdr/ver_fuentes_w.php?NumCDR=072&amp;codEntidad=19999" TargetMode="External"/><Relationship Id="rId163" Type="http://schemas.openxmlformats.org/officeDocument/2006/relationships/hyperlink" Target="http://consorciofia.info/cdr/ver_fuentes_w.php?NumCDR=090&amp;codEntidad=19999" TargetMode="External"/><Relationship Id="rId219" Type="http://schemas.openxmlformats.org/officeDocument/2006/relationships/hyperlink" Target="http://consorciofia.info/cdr/ver_fuentes_w.php?NumCDR=023&amp;codEntidad=19999" TargetMode="External"/><Relationship Id="rId370" Type="http://schemas.openxmlformats.org/officeDocument/2006/relationships/hyperlink" Target="http://consorciofia.info/cdr/ver_fuentes_w.php?NumCDR=003&amp;codEntidad=19743" TargetMode="External"/><Relationship Id="rId426" Type="http://schemas.openxmlformats.org/officeDocument/2006/relationships/hyperlink" Target="http://consorciofia.info/cdr/ver_fuentes_w.php?NumCDR=198&amp;codEntidad=19999" TargetMode="External"/><Relationship Id="rId230" Type="http://schemas.openxmlformats.org/officeDocument/2006/relationships/hyperlink" Target="http://consorciofia.info/cdr/ver_fuentes_w.php?NumCDR=117&amp;codEntidad=19999" TargetMode="External"/><Relationship Id="rId251" Type="http://schemas.openxmlformats.org/officeDocument/2006/relationships/hyperlink" Target="http://consorciofia.info/cdr/ver_fuentes_w.php?NumCDR=242&amp;codEntidad=19999" TargetMode="External"/><Relationship Id="rId468" Type="http://schemas.openxmlformats.org/officeDocument/2006/relationships/hyperlink" Target="http://consorciofia.info/cdr/ver_fuentes_w.php?NumCDR=2296&amp;codEntidad=19318" TargetMode="External"/><Relationship Id="rId489" Type="http://schemas.openxmlformats.org/officeDocument/2006/relationships/hyperlink" Target="http://consorciofia.info/cdr/ver_fuentes_w.php?NumCDR=324&amp;codEntidad=19999" TargetMode="External"/><Relationship Id="rId25" Type="http://schemas.openxmlformats.org/officeDocument/2006/relationships/hyperlink" Target="http://consorciofia.info/cdr/ver_fuentes_w.php?NumCDR=019&amp;codEntidad=19999" TargetMode="External"/><Relationship Id="rId46" Type="http://schemas.openxmlformats.org/officeDocument/2006/relationships/hyperlink" Target="http://consorciofia.info/cdr/ver_fuentes_w.php?NumCDR=037&amp;codEntidad=19999" TargetMode="External"/><Relationship Id="rId67" Type="http://schemas.openxmlformats.org/officeDocument/2006/relationships/hyperlink" Target="http://consorciofia.info/cdr/ver_fuentes_w.php?NumCDR=158&amp;codEntidad=19999" TargetMode="External"/><Relationship Id="rId272" Type="http://schemas.openxmlformats.org/officeDocument/2006/relationships/hyperlink" Target="http://consorciofia.info/cdr/ver_fuentes_w.php?NumCDR=180&amp;codEntidad=19999" TargetMode="External"/><Relationship Id="rId293" Type="http://schemas.openxmlformats.org/officeDocument/2006/relationships/hyperlink" Target="http://consorciofia.info/cdr/ver_fuentes_w.php?NumCDR=174&amp;codEntidad=19999" TargetMode="External"/><Relationship Id="rId307" Type="http://schemas.openxmlformats.org/officeDocument/2006/relationships/hyperlink" Target="http://consorciofia.info/cdr/ver_fuentes_w.php?NumCDR=307&amp;codEntidad=19999" TargetMode="External"/><Relationship Id="rId328" Type="http://schemas.openxmlformats.org/officeDocument/2006/relationships/hyperlink" Target="http://consorciofia.info/cdr/ver_fuentes_w.php?NumCDR=240&amp;codEntidad=19999" TargetMode="External"/><Relationship Id="rId349" Type="http://schemas.openxmlformats.org/officeDocument/2006/relationships/hyperlink" Target="http://consorciofia.info/cdr/ver_fuentes_w.php?NumCDR=271&amp;codEntidad=19999" TargetMode="External"/><Relationship Id="rId514" Type="http://schemas.openxmlformats.org/officeDocument/2006/relationships/hyperlink" Target="http://consorciofia.info/cdr/ver_fuentes_w.php?NumCDR=15&amp;codEntidad=19110" TargetMode="External"/><Relationship Id="rId88" Type="http://schemas.openxmlformats.org/officeDocument/2006/relationships/hyperlink" Target="http://consorciofia.info/cdr/ver_fuentes_w.php?NumCDR=192&amp;codEntidad=19999" TargetMode="External"/><Relationship Id="rId111" Type="http://schemas.openxmlformats.org/officeDocument/2006/relationships/hyperlink" Target="http://consorciofia.info/cdr/ver_fuentes_w.php?NumCDR=054&amp;codEntidad=19999" TargetMode="External"/><Relationship Id="rId132" Type="http://schemas.openxmlformats.org/officeDocument/2006/relationships/hyperlink" Target="http://consorciofia.info/cdr/ver_fuentes_w.php?NumCDR=085&amp;codEntidad=19999" TargetMode="External"/><Relationship Id="rId153" Type="http://schemas.openxmlformats.org/officeDocument/2006/relationships/hyperlink" Target="http://consorciofia.info/cdr/ver_fuentes_w.php?NumCDR=202&amp;codEntidad=19999" TargetMode="External"/><Relationship Id="rId174" Type="http://schemas.openxmlformats.org/officeDocument/2006/relationships/hyperlink" Target="http://consorciofia.info/cdr/ver_fuentes_w.php?NumCDR=046&amp;codEntidad=19999" TargetMode="External"/><Relationship Id="rId195" Type="http://schemas.openxmlformats.org/officeDocument/2006/relationships/hyperlink" Target="http://consorciofia.info/cdr/ver_fuentes_w.php?NumCDR=174&amp;codEntidad=19999" TargetMode="External"/><Relationship Id="rId209" Type="http://schemas.openxmlformats.org/officeDocument/2006/relationships/hyperlink" Target="http://consorciofia.info/cdr/ver_fuentes_w.php?NumCDR=145&amp;codEntidad=19999" TargetMode="External"/><Relationship Id="rId360" Type="http://schemas.openxmlformats.org/officeDocument/2006/relationships/hyperlink" Target="http://consorciofia.info/cdr/ver_fuentes_w.php?NumCDR=8&amp;codEntidad=19392" TargetMode="External"/><Relationship Id="rId381" Type="http://schemas.openxmlformats.org/officeDocument/2006/relationships/hyperlink" Target="http://consorciofia.info/cdr/ver_fuentes_w.php?NumCDR=292&amp;codEntidad=19999" TargetMode="External"/><Relationship Id="rId416" Type="http://schemas.openxmlformats.org/officeDocument/2006/relationships/hyperlink" Target="http://consorciofia.info/cdr/ver_fuentes_w.php?NumCDR=5&amp;codEntidad=19573" TargetMode="External"/><Relationship Id="rId220" Type="http://schemas.openxmlformats.org/officeDocument/2006/relationships/hyperlink" Target="http://consorciofia.info/cdr/ver_fuentes_w.php?NumCDR=139&amp;codEntidad=19999" TargetMode="External"/><Relationship Id="rId241" Type="http://schemas.openxmlformats.org/officeDocument/2006/relationships/hyperlink" Target="http://consorciofia.info/cdr/ver_fuentes_w.php?NumCDR=136&amp;codEntidad=19999" TargetMode="External"/><Relationship Id="rId437" Type="http://schemas.openxmlformats.org/officeDocument/2006/relationships/hyperlink" Target="http://consorciofia.info/cdr/ver_fuentes_w.php?NumCDR=6&amp;codEntidad=19001" TargetMode="External"/><Relationship Id="rId458" Type="http://schemas.openxmlformats.org/officeDocument/2006/relationships/hyperlink" Target="http://consorciofia.info/cdr/ver_fuentes_w.php?NumCDR=10&amp;codEntidad=19110" TargetMode="External"/><Relationship Id="rId479" Type="http://schemas.openxmlformats.org/officeDocument/2006/relationships/hyperlink" Target="http://consorciofia.info/cdr/ver_fuentes_w.php?NumCDR=10&amp;codEntidad=19780" TargetMode="External"/><Relationship Id="rId15" Type="http://schemas.openxmlformats.org/officeDocument/2006/relationships/hyperlink" Target="http://consorciofia.info/cdr/ver_fuentes_w.php?NumCDR=193&amp;codEntidad=19999" TargetMode="External"/><Relationship Id="rId36" Type="http://schemas.openxmlformats.org/officeDocument/2006/relationships/hyperlink" Target="http://consorciofia.info/cdr/ver_fuentes_w.php?NumCDR=021&amp;codEntidad=19999" TargetMode="External"/><Relationship Id="rId57" Type="http://schemas.openxmlformats.org/officeDocument/2006/relationships/hyperlink" Target="http://consorciofia.info/cdr/ver_fuentes_w.php?NumCDR=038&amp;codEntidad=19999" TargetMode="External"/><Relationship Id="rId262" Type="http://schemas.openxmlformats.org/officeDocument/2006/relationships/hyperlink" Target="http://consorciofia.info/cdr/ver_fuentes_w.php?NumCDR=002&amp;codEntidad=19585" TargetMode="External"/><Relationship Id="rId283" Type="http://schemas.openxmlformats.org/officeDocument/2006/relationships/hyperlink" Target="http://consorciofia.info/cdr/ver_fuentes_w.php?NumCDR=299&amp;codEntidad=19999" TargetMode="External"/><Relationship Id="rId318" Type="http://schemas.openxmlformats.org/officeDocument/2006/relationships/hyperlink" Target="http://consorciofia.info/cdr/ver_fuentes_w.php?NumCDR=13&amp;codEntidad=19532" TargetMode="External"/><Relationship Id="rId339" Type="http://schemas.openxmlformats.org/officeDocument/2006/relationships/hyperlink" Target="http://consorciofia.info/cdr/ver_fuentes_w.php?NumCDR=254&amp;codEntidad=19999" TargetMode="External"/><Relationship Id="rId490" Type="http://schemas.openxmlformats.org/officeDocument/2006/relationships/hyperlink" Target="http://consorciofia.info/cdr/ver_fuentes_w.php?NumCDR=7&amp;codEntidad=19364" TargetMode="External"/><Relationship Id="rId504" Type="http://schemas.openxmlformats.org/officeDocument/2006/relationships/hyperlink" Target="http://consorciofia.info/cdr/ver_fuentes_w.php?NumCDR=4&amp;codEntidad=19533" TargetMode="External"/><Relationship Id="rId525" Type="http://schemas.openxmlformats.org/officeDocument/2006/relationships/hyperlink" Target="http://consorciofia.info/cdr/ver_fuentes_w.php?NumCDR=9&amp;codEntidad=19548" TargetMode="External"/><Relationship Id="rId78" Type="http://schemas.openxmlformats.org/officeDocument/2006/relationships/hyperlink" Target="http://consorciofia.info/cdr/ver_fuentes_w.php?NumCDR=051&amp;codEntidad=19999" TargetMode="External"/><Relationship Id="rId99" Type="http://schemas.openxmlformats.org/officeDocument/2006/relationships/hyperlink" Target="http://consorciofia.info/cdr/ver_fuentes_w.php?NumCDR=163&amp;codEntidad=19999" TargetMode="External"/><Relationship Id="rId101" Type="http://schemas.openxmlformats.org/officeDocument/2006/relationships/hyperlink" Target="http://consorciofia.info/cdr/ver_fuentes_w.php?NumCDR=059&amp;codEntidad=19999" TargetMode="External"/><Relationship Id="rId122" Type="http://schemas.openxmlformats.org/officeDocument/2006/relationships/hyperlink" Target="http://consorciofia.info/cdr/ver_fuentes_w.php?NumCDR=073&amp;codEntidad=19999" TargetMode="External"/><Relationship Id="rId143" Type="http://schemas.openxmlformats.org/officeDocument/2006/relationships/hyperlink" Target="http://consorciofia.info/cdr/ver_fuentes_w.php?NumCDR=100&amp;codEntidad=19999" TargetMode="External"/><Relationship Id="rId164" Type="http://schemas.openxmlformats.org/officeDocument/2006/relationships/hyperlink" Target="http://consorciofia.info/cdr/ver_fuentes_w.php?NumCDR=113&amp;codEntidad=19999" TargetMode="External"/><Relationship Id="rId185" Type="http://schemas.openxmlformats.org/officeDocument/2006/relationships/hyperlink" Target="http://consorciofia.info/cdr/ver_fuentes_w.php?NumCDR=003&amp;codEntidad=19585" TargetMode="External"/><Relationship Id="rId350" Type="http://schemas.openxmlformats.org/officeDocument/2006/relationships/hyperlink" Target="http://consorciofia.info/cdr/ver_fuentes_w.php?NumCDR=007&amp;codEntidad=19050" TargetMode="External"/><Relationship Id="rId371" Type="http://schemas.openxmlformats.org/officeDocument/2006/relationships/hyperlink" Target="http://consorciofia.info/cdr/ver_fuentes_w.php?NumCDR=341&amp;codEntidad=19999" TargetMode="External"/><Relationship Id="rId406" Type="http://schemas.openxmlformats.org/officeDocument/2006/relationships/hyperlink" Target="http://consorciofia.info/cdr/ver_fuentes_w.php?NumCDR=3562&amp;codEntidad=19807" TargetMode="External"/><Relationship Id="rId9" Type="http://schemas.openxmlformats.org/officeDocument/2006/relationships/hyperlink" Target="http://consorciofia.info/cdr/ver_fuentes_w.php?NumCDR=029&amp;codEntidad=19999" TargetMode="External"/><Relationship Id="rId210" Type="http://schemas.openxmlformats.org/officeDocument/2006/relationships/hyperlink" Target="http://consorciofia.info/cdr/ver_fuentes_w.php?NumCDR=169&amp;codEntidad=19999" TargetMode="External"/><Relationship Id="rId392" Type="http://schemas.openxmlformats.org/officeDocument/2006/relationships/hyperlink" Target="http://consorciofia.info/cdr/ver_fuentes_w.php?NumCDR=002&amp;codEntidad=19100" TargetMode="External"/><Relationship Id="rId427" Type="http://schemas.openxmlformats.org/officeDocument/2006/relationships/hyperlink" Target="http://consorciofia.info/cdr/ver_fuentes_w.php?NumCDR=143&amp;codEntidad=19999" TargetMode="External"/><Relationship Id="rId448" Type="http://schemas.openxmlformats.org/officeDocument/2006/relationships/hyperlink" Target="http://consorciofia.info/cdr/ver_fuentes_w.php?NumCDR=12&amp;codEntidad=19450" TargetMode="External"/><Relationship Id="rId469" Type="http://schemas.openxmlformats.org/officeDocument/2006/relationships/hyperlink" Target="http://consorciofia.info/cdr/ver_fuentes_w.php?NumCDR=13&amp;codEntidad=19318" TargetMode="External"/><Relationship Id="rId26" Type="http://schemas.openxmlformats.org/officeDocument/2006/relationships/hyperlink" Target="http://consorciofia.info/cdr/ver_fuentes_w.php?NumCDR=002&amp;codEntidad=19999" TargetMode="External"/><Relationship Id="rId231" Type="http://schemas.openxmlformats.org/officeDocument/2006/relationships/hyperlink" Target="http://consorciofia.info/cdr/ver_fuentes_w.php?NumCDR=001&amp;codEntidad=19050" TargetMode="External"/><Relationship Id="rId252" Type="http://schemas.openxmlformats.org/officeDocument/2006/relationships/hyperlink" Target="http://consorciofia.info/cdr/ver_fuentes_w.php?NumCDR=068&amp;codEntidad=19999" TargetMode="External"/><Relationship Id="rId273" Type="http://schemas.openxmlformats.org/officeDocument/2006/relationships/hyperlink" Target="http://consorciofia.info/cdr/ver_fuentes_w.php?NumCDR=298&amp;codEntidad=19999" TargetMode="External"/><Relationship Id="rId294" Type="http://schemas.openxmlformats.org/officeDocument/2006/relationships/hyperlink" Target="http://consorciofia.info/cdr/ver_fuentes_w.php?NumCDR=174&amp;codEntidad=19999" TargetMode="External"/><Relationship Id="rId308" Type="http://schemas.openxmlformats.org/officeDocument/2006/relationships/hyperlink" Target="http://consorciofia.info/cdr/ver_fuentes_w.php?NumCDR=216&amp;codEntidad=19999" TargetMode="External"/><Relationship Id="rId329" Type="http://schemas.openxmlformats.org/officeDocument/2006/relationships/hyperlink" Target="http://consorciofia.info/cdr/ver_fuentes_w.php?NumCDR=239&amp;codEntidad=19999" TargetMode="External"/><Relationship Id="rId480" Type="http://schemas.openxmlformats.org/officeDocument/2006/relationships/hyperlink" Target="http://consorciofia.info/cdr/ver_fuentes_w.php?NumCDR=9&amp;codEntidad=19418" TargetMode="External"/><Relationship Id="rId515" Type="http://schemas.openxmlformats.org/officeDocument/2006/relationships/hyperlink" Target="http://consorciofia.info/cdr/ver_fuentes_w.php?NumCDR=340&amp;codEntidad=19999" TargetMode="External"/><Relationship Id="rId47" Type="http://schemas.openxmlformats.org/officeDocument/2006/relationships/hyperlink" Target="http://consorciofia.info/cdr/ver_fuentes_w.php?NumCDR=037&amp;codEntidad=19999" TargetMode="External"/><Relationship Id="rId68" Type="http://schemas.openxmlformats.org/officeDocument/2006/relationships/hyperlink" Target="http://consorciofia.info/cdr/ver_fuentes_w.php?NumCDR=049&amp;codEntidad=19999" TargetMode="External"/><Relationship Id="rId89" Type="http://schemas.openxmlformats.org/officeDocument/2006/relationships/hyperlink" Target="http://consorciofia.info/cdr/ver_fuentes_w.php?NumCDR=194&amp;codEntidad=19999" TargetMode="External"/><Relationship Id="rId112" Type="http://schemas.openxmlformats.org/officeDocument/2006/relationships/hyperlink" Target="http://consorciofia.info/cdr/ver_fuentes_w.php?NumCDR=055&amp;codEntidad=19999" TargetMode="External"/><Relationship Id="rId133" Type="http://schemas.openxmlformats.org/officeDocument/2006/relationships/hyperlink" Target="http://consorciofia.info/cdr/ver_fuentes_w.php?NumCDR=087&amp;codEntidad=19999" TargetMode="External"/><Relationship Id="rId154" Type="http://schemas.openxmlformats.org/officeDocument/2006/relationships/hyperlink" Target="http://consorciofia.info/cdr/ver_fuentes_w.php?NumCDR=109&amp;codEntidad=19999" TargetMode="External"/><Relationship Id="rId175" Type="http://schemas.openxmlformats.org/officeDocument/2006/relationships/hyperlink" Target="http://consorciofia.info/cdr/ver_fuentes_w.php?NumCDR=161&amp;codEntidad=19999" TargetMode="External"/><Relationship Id="rId340" Type="http://schemas.openxmlformats.org/officeDocument/2006/relationships/hyperlink" Target="http://consorciofia.info/cdr/ver_fuentes_w.php?NumCDR=232&amp;codEntidad=19999" TargetMode="External"/><Relationship Id="rId361" Type="http://schemas.openxmlformats.org/officeDocument/2006/relationships/hyperlink" Target="http://consorciofia.info/cdr/ver_fuentes_w.php?NumCDR=264&amp;codEntidad=19999" TargetMode="External"/><Relationship Id="rId196" Type="http://schemas.openxmlformats.org/officeDocument/2006/relationships/hyperlink" Target="http://consorciofia.info/cdr/ver_fuentes_w.php?NumCDR=149&amp;codEntidad=19999" TargetMode="External"/><Relationship Id="rId200" Type="http://schemas.openxmlformats.org/officeDocument/2006/relationships/hyperlink" Target="http://consorciofia.info/cdr/ver_fuentes_w.php?NumCDR=171&amp;codEntidad=19999" TargetMode="External"/><Relationship Id="rId382" Type="http://schemas.openxmlformats.org/officeDocument/2006/relationships/hyperlink" Target="http://consorciofia.info/cdr/ver_fuentes_w.php?NumCDR=2647&amp;codEntidad=19693" TargetMode="External"/><Relationship Id="rId417" Type="http://schemas.openxmlformats.org/officeDocument/2006/relationships/hyperlink" Target="http://consorciofia.info/cdr/ver_fuentes_w.php?NumCDR=6&amp;codEntidad=19364" TargetMode="External"/><Relationship Id="rId438" Type="http://schemas.openxmlformats.org/officeDocument/2006/relationships/hyperlink" Target="http://consorciofia.info/cdr/ver_fuentes_w.php?NumCDR=6&amp;codEntidad=19001" TargetMode="External"/><Relationship Id="rId459" Type="http://schemas.openxmlformats.org/officeDocument/2006/relationships/hyperlink" Target="http://consorciofia.info/cdr/ver_fuentes_w.php?NumCDR=7&amp;codEntidad=19130" TargetMode="External"/><Relationship Id="rId16" Type="http://schemas.openxmlformats.org/officeDocument/2006/relationships/hyperlink" Target="http://consorciofia.info/cdr/ver_fuentes_w.php?NumCDR=008&amp;codEntidad=19999" TargetMode="External"/><Relationship Id="rId221" Type="http://schemas.openxmlformats.org/officeDocument/2006/relationships/hyperlink" Target="http://consorciofia.info/cdr/ver_fuentes_w.php?NumCDR=023&amp;codEntidad=19999" TargetMode="External"/><Relationship Id="rId242" Type="http://schemas.openxmlformats.org/officeDocument/2006/relationships/hyperlink" Target="http://consorciofia.info/cdr/ver_fuentes_w.php?NumCDR=132&amp;codEntidad=19999" TargetMode="External"/><Relationship Id="rId263" Type="http://schemas.openxmlformats.org/officeDocument/2006/relationships/hyperlink" Target="http://consorciofia.info/cdr/ver_fuentes_w.php?NumCDR=004&amp;codEntidad=19585" TargetMode="External"/><Relationship Id="rId284" Type="http://schemas.openxmlformats.org/officeDocument/2006/relationships/hyperlink" Target="http://consorciofia.info/cdr/ver_fuentes_w.php?NumCDR=174&amp;codEntidad=19999" TargetMode="External"/><Relationship Id="rId319" Type="http://schemas.openxmlformats.org/officeDocument/2006/relationships/hyperlink" Target="http://consorciofia.info/cdr/ver_fuentes_w.php?NumCDR=002&amp;codEntidad=19392" TargetMode="External"/><Relationship Id="rId470" Type="http://schemas.openxmlformats.org/officeDocument/2006/relationships/hyperlink" Target="http://consorciofia.info/cdr/ver_fuentes_w.php?NumCDR=12&amp;codEntidad=19318" TargetMode="External"/><Relationship Id="rId491" Type="http://schemas.openxmlformats.org/officeDocument/2006/relationships/hyperlink" Target="http://consorciofia.info/cdr/ver_fuentes_w.php?NumCDR=5&amp;codEntidad=19701" TargetMode="External"/><Relationship Id="rId505" Type="http://schemas.openxmlformats.org/officeDocument/2006/relationships/hyperlink" Target="http://consorciofia.info/cdr/ver_fuentes_w.php?NumCDR=6&amp;codEntidad=19142" TargetMode="External"/><Relationship Id="rId526" Type="http://schemas.openxmlformats.org/officeDocument/2006/relationships/hyperlink" Target="http://consorciofia.info/cdr/ver_fuentes_w.php?NumCDR=14&amp;codEntidad=19780" TargetMode="External"/><Relationship Id="rId37" Type="http://schemas.openxmlformats.org/officeDocument/2006/relationships/hyperlink" Target="http://consorciofia.info/cdr/ver_fuentes_w.php?NumCDR=021&amp;codEntidad=19999" TargetMode="External"/><Relationship Id="rId58" Type="http://schemas.openxmlformats.org/officeDocument/2006/relationships/hyperlink" Target="http://consorciofia.info/cdr/ver_fuentes_w.php?NumCDR=038&amp;codEntidad=19999" TargetMode="External"/><Relationship Id="rId79" Type="http://schemas.openxmlformats.org/officeDocument/2006/relationships/hyperlink" Target="http://consorciofia.info/cdr/ver_fuentes_w.php?NumCDR=051&amp;codEntidad=19999" TargetMode="External"/><Relationship Id="rId102" Type="http://schemas.openxmlformats.org/officeDocument/2006/relationships/hyperlink" Target="http://consorciofia.info/cdr/ver_fuentes_w.php?NumCDR=060&amp;codEntidad=19999" TargetMode="External"/><Relationship Id="rId123" Type="http://schemas.openxmlformats.org/officeDocument/2006/relationships/hyperlink" Target="../../../CRISTIAN/AppData/Roaming/Usuario/Downloads/Pagos%20CDRs%20FIA/CDR%20004%20-%20Contrato%20008-2010.jpg" TargetMode="External"/><Relationship Id="rId144" Type="http://schemas.openxmlformats.org/officeDocument/2006/relationships/hyperlink" Target="http://consorciofia.info/cdr/ver_fuentes_w.php?NumCDR=205&amp;codEntidad=19999" TargetMode="External"/><Relationship Id="rId330" Type="http://schemas.openxmlformats.org/officeDocument/2006/relationships/hyperlink" Target="http://consorciofia.info/cdr/ver_fuentes_w.php?NumCDR=004&amp;codEntidad=19532" TargetMode="External"/><Relationship Id="rId90" Type="http://schemas.openxmlformats.org/officeDocument/2006/relationships/hyperlink" Target="http://consorciofia.info/cdr/ver_fuentes_w.php?NumCDR=039&amp;codEntidad=19999" TargetMode="External"/><Relationship Id="rId165" Type="http://schemas.openxmlformats.org/officeDocument/2006/relationships/hyperlink" Target="http://consorciofia.info/cdr/ver_fuentes_w.php?NumCDR=167&amp;codEntidad=19999" TargetMode="External"/><Relationship Id="rId186" Type="http://schemas.openxmlformats.org/officeDocument/2006/relationships/hyperlink" Target="http://consorciofia.info/cdr/ver_fuentes_w.php?NumCDR=005&amp;codEntidad=19585" TargetMode="External"/><Relationship Id="rId351" Type="http://schemas.openxmlformats.org/officeDocument/2006/relationships/hyperlink" Target="http://consorciofia.info/cdr/ver_fuentes_w.php?NumCDR=20&amp;codEntidad=19050" TargetMode="External"/><Relationship Id="rId372" Type="http://schemas.openxmlformats.org/officeDocument/2006/relationships/hyperlink" Target="http://consorciofia.info/cdr/ver_fuentes_w.php?NumCDR=12&amp;codEntidad=19743" TargetMode="External"/><Relationship Id="rId393" Type="http://schemas.openxmlformats.org/officeDocument/2006/relationships/hyperlink" Target="http://consorciofia.info/cdr/ver_fuentes_w.php?NumCDR=268&amp;codEntidad=19999" TargetMode="External"/><Relationship Id="rId407" Type="http://schemas.openxmlformats.org/officeDocument/2006/relationships/hyperlink" Target="http://consorciofia.info/cdr/ver_fuentes_w.php?NumCDR=309&amp;codEntidad=19999" TargetMode="External"/><Relationship Id="rId428" Type="http://schemas.openxmlformats.org/officeDocument/2006/relationships/hyperlink" Target="http://consorciofia.info/cdr/ver_fuentes_w.php?NumCDR=166&amp;codEntidad=19999" TargetMode="External"/><Relationship Id="rId449" Type="http://schemas.openxmlformats.org/officeDocument/2006/relationships/hyperlink" Target="http://consorciofia.info/cdr/ver_fuentes_w.php?NumCDR=15&amp;codEntidad=19585" TargetMode="External"/><Relationship Id="rId211" Type="http://schemas.openxmlformats.org/officeDocument/2006/relationships/hyperlink" Target="http://consorciofia.info/cdr/ver_fuentes_w.php?NumCDR=137&amp;codEntidad=19999" TargetMode="External"/><Relationship Id="rId232" Type="http://schemas.openxmlformats.org/officeDocument/2006/relationships/hyperlink" Target="http://consorciofia.info/cdr/ver_fuentes_w.php?NumCDR=005&amp;codEntidad=19050" TargetMode="External"/><Relationship Id="rId253" Type="http://schemas.openxmlformats.org/officeDocument/2006/relationships/hyperlink" Target="http://consorciofia.info/cdr/ver_fuentes_w.php?NumCDR=069&amp;codEntidad=19999" TargetMode="External"/><Relationship Id="rId274" Type="http://schemas.openxmlformats.org/officeDocument/2006/relationships/hyperlink" Target="http://consorciofia.info/cdr/ver_fuentes_w.php?NumCDR=178&amp;codEntidad=19999" TargetMode="External"/><Relationship Id="rId295" Type="http://schemas.openxmlformats.org/officeDocument/2006/relationships/hyperlink" Target="http://consorciofia.info/cdr/ver_fuentes_w.php?NumCDR=174&amp;codEntidad=19999" TargetMode="External"/><Relationship Id="rId309" Type="http://schemas.openxmlformats.org/officeDocument/2006/relationships/hyperlink" Target="http://consorciofia.info/cdr/ver_fuentes_w.php?NumCDR=222&amp;codEntidad=19999" TargetMode="External"/><Relationship Id="rId460" Type="http://schemas.openxmlformats.org/officeDocument/2006/relationships/hyperlink" Target="http://consorciofia.info/cdr/ver_fuentes_w.php?NumCDR=2&amp;codEntidad=19548" TargetMode="External"/><Relationship Id="rId481" Type="http://schemas.openxmlformats.org/officeDocument/2006/relationships/hyperlink" Target="http://consorciofia.info/cdr/ver_fuentes_w.php?NumCDR=11&amp;codEntidad=19110" TargetMode="External"/><Relationship Id="rId516" Type="http://schemas.openxmlformats.org/officeDocument/2006/relationships/hyperlink" Target="http://consorciofia.info/cdr/ver_fuentes_w.php?NumCDR=8&amp;codEntidad=19573" TargetMode="External"/><Relationship Id="rId27" Type="http://schemas.openxmlformats.org/officeDocument/2006/relationships/hyperlink" Target="http://consorciofia.info/cdr/ver_fuentes_w.php?NumCDR=012&amp;codEntidad=19999" TargetMode="External"/><Relationship Id="rId48" Type="http://schemas.openxmlformats.org/officeDocument/2006/relationships/hyperlink" Target="http://consorciofia.info/cdr/ver_fuentes_w.php?NumCDR=037&amp;codEntidad=19999" TargetMode="External"/><Relationship Id="rId69" Type="http://schemas.openxmlformats.org/officeDocument/2006/relationships/hyperlink" Target="http://consorciofia.info/cdr/ver_fuentes_w.php?NumCDR=049&amp;codEntidad=19999" TargetMode="External"/><Relationship Id="rId113" Type="http://schemas.openxmlformats.org/officeDocument/2006/relationships/hyperlink" Target="http://consorciofia.info/cdr/ver_fuentes_w.php?NumCDR=056&amp;codEntidad=19999" TargetMode="External"/><Relationship Id="rId134" Type="http://schemas.openxmlformats.org/officeDocument/2006/relationships/hyperlink" Target="http://consorciofia.info/cdr/ver_fuentes_w.php?NumCDR=162&amp;codEntidad=19999" TargetMode="External"/><Relationship Id="rId320" Type="http://schemas.openxmlformats.org/officeDocument/2006/relationships/hyperlink" Target="http://consorciofia.info/cdr/ver_fuentes_w.php?NumCDR=261&amp;codEntidad=19999" TargetMode="External"/><Relationship Id="rId80" Type="http://schemas.openxmlformats.org/officeDocument/2006/relationships/hyperlink" Target="http://consorciofia.info/cdr/ver_fuentes_w.php?NumCDR=207&amp;codEntidad=19999" TargetMode="External"/><Relationship Id="rId155" Type="http://schemas.openxmlformats.org/officeDocument/2006/relationships/hyperlink" Target="http://consorciofia.info/cdr/ver_fuentes_w.php?NumCDR=203&amp;codEntidad=19999" TargetMode="External"/><Relationship Id="rId176" Type="http://schemas.openxmlformats.org/officeDocument/2006/relationships/hyperlink" Target="http://consorciofia.info/cdr/ver_fuentes_w.php?NumCDR=098&amp;codEntidad=19999" TargetMode="External"/><Relationship Id="rId197" Type="http://schemas.openxmlformats.org/officeDocument/2006/relationships/hyperlink" Target="http://consorciofia.info/cdr/ver_fuentes_w.php?NumCDR=141&amp;codEntidad=19999" TargetMode="External"/><Relationship Id="rId341" Type="http://schemas.openxmlformats.org/officeDocument/2006/relationships/hyperlink" Target="http://consorciofia.info/cdr/ver_fuentes_w.php?NumCDR=260&amp;codEntidad=19999" TargetMode="External"/><Relationship Id="rId362" Type="http://schemas.openxmlformats.org/officeDocument/2006/relationships/hyperlink" Target="http://consorciofia.info/cdr/ver_fuentes_w.php?NumCDR=272&amp;codEntidad=19999" TargetMode="External"/><Relationship Id="rId383" Type="http://schemas.openxmlformats.org/officeDocument/2006/relationships/hyperlink" Target="http://consorciofia.info/cdr/ver_fuentes_w.php?NumCDR=004&amp;codEntidad=19743" TargetMode="External"/><Relationship Id="rId418" Type="http://schemas.openxmlformats.org/officeDocument/2006/relationships/hyperlink" Target="http://consorciofia.info/cdr/ver_fuentes_w.php?NumCDR=15&amp;codEntidad=19532" TargetMode="External"/><Relationship Id="rId439" Type="http://schemas.openxmlformats.org/officeDocument/2006/relationships/hyperlink" Target="http://consorciofia.info/cdr/ver_fuentes_w.php?NumCDR=7&amp;codEntidad=19001%7d" TargetMode="External"/><Relationship Id="rId201" Type="http://schemas.openxmlformats.org/officeDocument/2006/relationships/hyperlink" Target="http://consorciofia.info/cdr/ver_fuentes_w.php?NumCDR=172&amp;codEntidad=19999" TargetMode="External"/><Relationship Id="rId222" Type="http://schemas.openxmlformats.org/officeDocument/2006/relationships/hyperlink" Target="http://consorciofia.info/cdr/ver_fuentes_w.php?NumCDR=0011&amp;codEntidad=19999" TargetMode="External"/><Relationship Id="rId243" Type="http://schemas.openxmlformats.org/officeDocument/2006/relationships/hyperlink" Target="http://consorciofia.info/cdr/ver_fuentes_w.php?NumCDR=002&amp;codEntidad=19110" TargetMode="External"/><Relationship Id="rId264" Type="http://schemas.openxmlformats.org/officeDocument/2006/relationships/hyperlink" Target="http://consorciofia.info/cdr/ver_fuentes_w.php?NumCDR=125&amp;codEntidad=19999" TargetMode="External"/><Relationship Id="rId285" Type="http://schemas.openxmlformats.org/officeDocument/2006/relationships/hyperlink" Target="http://consorciofia.info/cdr/ver_fuentes_w.php?NumCDR=219&amp;codEntidad=19999" TargetMode="External"/><Relationship Id="rId450" Type="http://schemas.openxmlformats.org/officeDocument/2006/relationships/hyperlink" Target="http://consorciofia.info/cdr/ver_fuentes_w.php?NumCDR=5&amp;codEntidad=19760" TargetMode="External"/><Relationship Id="rId471" Type="http://schemas.openxmlformats.org/officeDocument/2006/relationships/hyperlink" Target="http://consorciofia.info/cdr/ver_fuentes_w.php?NumCDR=15&amp;codEntidad=19318" TargetMode="External"/><Relationship Id="rId506" Type="http://schemas.openxmlformats.org/officeDocument/2006/relationships/hyperlink" Target="http://consorciofia.info/cdr/ver_fuentes_w.php?NumCDR=18&amp;codEntidad=19050" TargetMode="External"/><Relationship Id="rId17" Type="http://schemas.openxmlformats.org/officeDocument/2006/relationships/hyperlink" Target="http://consorciofia.info/cdr/ver_fuentes_w.php?NumCDR=008&amp;codEntidad=19999" TargetMode="External"/><Relationship Id="rId38" Type="http://schemas.openxmlformats.org/officeDocument/2006/relationships/hyperlink" Target="http://consorciofia.info/cdr/ver_fuentes_w.php?NumCDR=224&amp;codEntidad=19999" TargetMode="External"/><Relationship Id="rId59" Type="http://schemas.openxmlformats.org/officeDocument/2006/relationships/hyperlink" Target="http://consorciofia.info/cdr/ver_fuentes_w.php?NumCDR=038&amp;codEntidad=19999" TargetMode="External"/><Relationship Id="rId103" Type="http://schemas.openxmlformats.org/officeDocument/2006/relationships/hyperlink" Target="http://consorciofia.info/cdr/ver_fuentes_w.php?NumCDR=061&amp;codEntidad=19999" TargetMode="External"/><Relationship Id="rId124" Type="http://schemas.openxmlformats.org/officeDocument/2006/relationships/hyperlink" Target="../../../CRISTIAN/AppData/Roaming/Usuario/Downloads/Pagos%20CDRs%20FIA/CDR%20004%20-%20Contrato%20008-2010.jpg" TargetMode="External"/><Relationship Id="rId310" Type="http://schemas.openxmlformats.org/officeDocument/2006/relationships/hyperlink" Target="http://consorciofia.info/cdr/ver_fuentes_w.php?NumCDR=002&amp;codEntidad=19001" TargetMode="External"/><Relationship Id="rId492" Type="http://schemas.openxmlformats.org/officeDocument/2006/relationships/hyperlink" Target="http://consorciofia.info/cdr/ver_fuentes_w.php?NumCDR=333&amp;codEntidad=19999" TargetMode="External"/><Relationship Id="rId527" Type="http://schemas.openxmlformats.org/officeDocument/2006/relationships/hyperlink" Target="http://consorciofia.info/cdr/ver_fuentes_w.php?NumCDR=10&amp;codEntidad=19392" TargetMode="External"/><Relationship Id="rId70" Type="http://schemas.openxmlformats.org/officeDocument/2006/relationships/hyperlink" Target="http://consorciofia.info/cdr/ver_fuentes_w.php?NumCDR=049&amp;codEntidad=19999" TargetMode="External"/><Relationship Id="rId91" Type="http://schemas.openxmlformats.org/officeDocument/2006/relationships/hyperlink" Target="http://consorciofia.info/cdr/ver_fuentes_w.php?NumCDR=041&amp;codEntidad=19999" TargetMode="External"/><Relationship Id="rId145" Type="http://schemas.openxmlformats.org/officeDocument/2006/relationships/hyperlink" Target="http://consorciofia.info/cdr/ver_fuentes_w.php?NumCDR=102&amp;codEntidad=19999" TargetMode="External"/><Relationship Id="rId166" Type="http://schemas.openxmlformats.org/officeDocument/2006/relationships/hyperlink" Target="http://consorciofia.info/cdr/ver_fuentes_w.php?NumCDR=091&amp;codEntidad=19999" TargetMode="External"/><Relationship Id="rId187" Type="http://schemas.openxmlformats.org/officeDocument/2006/relationships/hyperlink" Target="http://consorciofia.info/cdr/ver_fuentes_w.php?NumCDR=237&amp;codEntidad=19999" TargetMode="External"/><Relationship Id="rId331" Type="http://schemas.openxmlformats.org/officeDocument/2006/relationships/hyperlink" Target="http://consorciofia.info/cdr/ver_fuentes_w.php?NumCDR=310&amp;codEntidad=19999" TargetMode="External"/><Relationship Id="rId352" Type="http://schemas.openxmlformats.org/officeDocument/2006/relationships/hyperlink" Target="http://consorciofia.info/cdr/ver_fuentes_w.php?NumCDR=252&amp;codEntidad=19999" TargetMode="External"/><Relationship Id="rId373" Type="http://schemas.openxmlformats.org/officeDocument/2006/relationships/hyperlink" Target="http://consorciofia.info/cdr/ver_fuentes_w.php?NumCDR=296&amp;codEntidad=19999" TargetMode="External"/><Relationship Id="rId394" Type="http://schemas.openxmlformats.org/officeDocument/2006/relationships/hyperlink" Target="http://consorciofia.info/cdr/ver_fuentes_w.php?NumCDR=304&amp;codEntidad=19999" TargetMode="External"/><Relationship Id="rId408" Type="http://schemas.openxmlformats.org/officeDocument/2006/relationships/hyperlink" Target="http://consorciofia.info/cdr/ver_fuentes_w.php?NumCDR=7&amp;codEntidad=19355" TargetMode="External"/><Relationship Id="rId429" Type="http://schemas.openxmlformats.org/officeDocument/2006/relationships/hyperlink" Target="http://consorciofia.info/cdr/ver_fuentes_w.php?NumCDR=174&amp;codEntidad=19999" TargetMode="External"/><Relationship Id="rId1" Type="http://schemas.openxmlformats.org/officeDocument/2006/relationships/hyperlink" Target="http://consorciofia.info/cdr/ver_fuentes_w.php?NumCDR=001&amp;codEntidad=19999" TargetMode="External"/><Relationship Id="rId212" Type="http://schemas.openxmlformats.org/officeDocument/2006/relationships/hyperlink" Target="http://consorciofia.info/cdr/ver_fuentes_w.php?NumCDR=010&amp;codEntidad=19999" TargetMode="External"/><Relationship Id="rId233" Type="http://schemas.openxmlformats.org/officeDocument/2006/relationships/hyperlink" Target="http://consorciofia.info/cdr/ver_fuentes_w.php?NumCDR=227&amp;codEntidad=19999" TargetMode="External"/><Relationship Id="rId254" Type="http://schemas.openxmlformats.org/officeDocument/2006/relationships/hyperlink" Target="http://consorciofia.info/cdr/ver_fuentes_w.php?NumCDR=070&amp;codEntidad=19999" TargetMode="External"/><Relationship Id="rId440" Type="http://schemas.openxmlformats.org/officeDocument/2006/relationships/hyperlink" Target="http://consorciofia.info/cdr/ver_fuentes_w.php?NumCDR=009&amp;codEntidad=19585" TargetMode="External"/><Relationship Id="rId28" Type="http://schemas.openxmlformats.org/officeDocument/2006/relationships/hyperlink" Target="http://consorciofia.info/cdr/ver_fuentes_w.php?NumCDR=017&amp;codEntidad=19999" TargetMode="External"/><Relationship Id="rId49" Type="http://schemas.openxmlformats.org/officeDocument/2006/relationships/hyperlink" Target="http://consorciofia.info/cdr/ver_fuentes_w.php?NumCDR=036&amp;codEntidad=19999" TargetMode="External"/><Relationship Id="rId114" Type="http://schemas.openxmlformats.org/officeDocument/2006/relationships/hyperlink" Target="http://consorciofia.info/cdr/ver_fuentes_w.php?NumCDR=057&amp;codEntidad=19999" TargetMode="External"/><Relationship Id="rId275" Type="http://schemas.openxmlformats.org/officeDocument/2006/relationships/hyperlink" Target="http://consorciofia.info/cdr/ver_fuentes_w.php?NumCDR=001&amp;codEntidad=19824" TargetMode="External"/><Relationship Id="rId296" Type="http://schemas.openxmlformats.org/officeDocument/2006/relationships/hyperlink" Target="https://www.youtube.com/watch?v=cdLhtafylgE&amp;index=2&amp;list=RDMMnt1d8X_meEg" TargetMode="External"/><Relationship Id="rId300" Type="http://schemas.openxmlformats.org/officeDocument/2006/relationships/hyperlink" Target="http://consorciofia.info/cdr/ver_fuentes_w.php?NumCDR=235&amp;codEntidad=19999" TargetMode="External"/><Relationship Id="rId461" Type="http://schemas.openxmlformats.org/officeDocument/2006/relationships/hyperlink" Target="http://consorciofia.info/cdr/ver_fuentes_w.php?NumCDR=10&amp;codEntidad=19355" TargetMode="External"/><Relationship Id="rId482" Type="http://schemas.openxmlformats.org/officeDocument/2006/relationships/hyperlink" Target="http://consorciofia.info/cdr/ver_fuentes_w.php?NumCDR=8&amp;codEntidad=19130" TargetMode="External"/><Relationship Id="rId517" Type="http://schemas.openxmlformats.org/officeDocument/2006/relationships/hyperlink" Target="http://consorciofia.info/cdr/ver_fuentes_w.php?NumCDR=338&amp;codEntidad=19999" TargetMode="External"/><Relationship Id="rId60" Type="http://schemas.openxmlformats.org/officeDocument/2006/relationships/hyperlink" Target="http://consorciofia.info/cdr/ver_fuentes_w.php?NumCDR=038&amp;codEntidad=19999" TargetMode="External"/><Relationship Id="rId81" Type="http://schemas.openxmlformats.org/officeDocument/2006/relationships/hyperlink" Target="http://consorciofia.info/cdr/ver_fuentes_w.php?NumCDR=208&amp;codEntidad=19999" TargetMode="External"/><Relationship Id="rId135" Type="http://schemas.openxmlformats.org/officeDocument/2006/relationships/hyperlink" Target="http://consorciofia.info/cdr/ver_fuentes_w.php?NumCDR=088&amp;codEntidad=19999" TargetMode="External"/><Relationship Id="rId156" Type="http://schemas.openxmlformats.org/officeDocument/2006/relationships/hyperlink" Target="http://consorciofia.info/cdr/ver_fuentes_w.php?NumCDR=108&amp;codEntidad=19999" TargetMode="External"/><Relationship Id="rId177" Type="http://schemas.openxmlformats.org/officeDocument/2006/relationships/hyperlink" Target="http://consorciofia.info/cdr/ver_fuentes_w.php?NumCDR=001&amp;codEntidad=19397" TargetMode="External"/><Relationship Id="rId198" Type="http://schemas.openxmlformats.org/officeDocument/2006/relationships/hyperlink" Target="http://consorciofia.info/cdr/ver_fuentes_w.php?NumCDR=142&amp;codEntidad=19999" TargetMode="External"/><Relationship Id="rId321" Type="http://schemas.openxmlformats.org/officeDocument/2006/relationships/hyperlink" Target="http://consorciofia.info/cdr/ver_fuentes_w.php?NumCDR=004&amp;codEntidad=19780" TargetMode="External"/><Relationship Id="rId342" Type="http://schemas.openxmlformats.org/officeDocument/2006/relationships/hyperlink" Target="http://consorciofia.info/cdr/ver_fuentes_w.php?NumCDR=005&amp;codEntidad=19532" TargetMode="External"/><Relationship Id="rId363" Type="http://schemas.openxmlformats.org/officeDocument/2006/relationships/hyperlink" Target="http://consorciofia.info/cdr/ver_fuentes_w.php?NumCDR=15&amp;codEntidad=19050" TargetMode="External"/><Relationship Id="rId384" Type="http://schemas.openxmlformats.org/officeDocument/2006/relationships/hyperlink" Target="http://consorciofia.info/cdr/ver_fuentes_w.php?NumCDR=289&amp;codEntidad=19999" TargetMode="External"/><Relationship Id="rId419" Type="http://schemas.openxmlformats.org/officeDocument/2006/relationships/hyperlink" Target="http://consorciofia.info/cdr/ver_fuentes_w.php?NumCDR=076&amp;codEntidad=19999" TargetMode="External"/><Relationship Id="rId202" Type="http://schemas.openxmlformats.org/officeDocument/2006/relationships/hyperlink" Target="http://consorciofia.info/cdr/ver_fuentes_w.php?NumCDR=138&amp;codEntidad=19999" TargetMode="External"/><Relationship Id="rId223" Type="http://schemas.openxmlformats.org/officeDocument/2006/relationships/hyperlink" Target="http://consorciofia.info/cdr/ver_fuentes_w.php?NumCDR=0011&amp;codEntidad=19999" TargetMode="External"/><Relationship Id="rId244" Type="http://schemas.openxmlformats.org/officeDocument/2006/relationships/hyperlink" Target="http://consorciofia.info/cdr/ver_fuentes_w.php?NumCDR=134&amp;codEntidad=19999" TargetMode="External"/><Relationship Id="rId430" Type="http://schemas.openxmlformats.org/officeDocument/2006/relationships/hyperlink" Target="http://consorciofia.info/cdr/ver_fuentes_w.php?NumCDR=126&amp;codEntidad=19999" TargetMode="External"/><Relationship Id="rId18" Type="http://schemas.openxmlformats.org/officeDocument/2006/relationships/hyperlink" Target="http://consorciofia.info/cdr/ver_fuentes_w.php?NumCDR=008&amp;codEntidad=19999" TargetMode="External"/><Relationship Id="rId39" Type="http://schemas.openxmlformats.org/officeDocument/2006/relationships/hyperlink" Target="http://consorciofia.info/cdr/ver_fuentes_w.php?NumCDR=224&amp;codEntidad=19999" TargetMode="External"/><Relationship Id="rId265" Type="http://schemas.openxmlformats.org/officeDocument/2006/relationships/hyperlink" Target="http://consorciofia.info/cdr/ver_fuentes_w.php?NumCDR=001&amp;codEntidad=19513" TargetMode="External"/><Relationship Id="rId286" Type="http://schemas.openxmlformats.org/officeDocument/2006/relationships/hyperlink" Target="http://consorciofia.info/cdr/ver_fuentes_w.php?NumCDR=213&amp;codEntidad=19999" TargetMode="External"/><Relationship Id="rId451" Type="http://schemas.openxmlformats.org/officeDocument/2006/relationships/hyperlink" Target="http://consorciofia.info/cdr/ver_fuentes_w.php?NumCDR=6&amp;codEntidad=19355" TargetMode="External"/><Relationship Id="rId472" Type="http://schemas.openxmlformats.org/officeDocument/2006/relationships/hyperlink" Target="http://consorciofia.info/cdr/ver_fuentes_w.php?NumCDR=5&amp;codEntidad=19821" TargetMode="External"/><Relationship Id="rId493" Type="http://schemas.openxmlformats.org/officeDocument/2006/relationships/hyperlink" Target="http://consorciofia.info/cdr/ver_fuentes_w.php?NumCDR=9&amp;codEntidad=19392" TargetMode="External"/><Relationship Id="rId507" Type="http://schemas.openxmlformats.org/officeDocument/2006/relationships/hyperlink" Target="http://consorciofia.info/cdr/ver_fuentes_w.php?NumCDR=10&amp;codEntidad=19824" TargetMode="External"/><Relationship Id="rId528" Type="http://schemas.openxmlformats.org/officeDocument/2006/relationships/hyperlink" Target="http://consorciofia.info/cdr/ver_fuentes_w.php?NumCDR=012&amp;codEntidad=19999" TargetMode="External"/><Relationship Id="rId50" Type="http://schemas.openxmlformats.org/officeDocument/2006/relationships/hyperlink" Target="http://consorciofia.info/cdr/ver_fuentes_w.php?NumCDR=036&amp;codEntidad=19999" TargetMode="External"/><Relationship Id="rId104" Type="http://schemas.openxmlformats.org/officeDocument/2006/relationships/hyperlink" Target="http://consorciofia.info/cdr/ver_fuentes_w.php?NumCDR=062&amp;codEntidad=19999" TargetMode="External"/><Relationship Id="rId125" Type="http://schemas.openxmlformats.org/officeDocument/2006/relationships/hyperlink" Target="../../../CRISTIAN/AppData/Roaming/Usuario/Downloads/Pagos%20CDRs%20FIA/CDR%20004%20-%20Contrato%20008-2010.jpg" TargetMode="External"/><Relationship Id="rId146" Type="http://schemas.openxmlformats.org/officeDocument/2006/relationships/hyperlink" Target="http://consorciofia.info/cdr/ver_fuentes_w.php?NumCDR=103&amp;codEntidad=19999" TargetMode="External"/><Relationship Id="rId167" Type="http://schemas.openxmlformats.org/officeDocument/2006/relationships/hyperlink" Target="http://consorciofia.info/cdr/ver_fuentes_w.php?NumCDR=174&amp;codEntidad=19999" TargetMode="External"/><Relationship Id="rId188" Type="http://schemas.openxmlformats.org/officeDocument/2006/relationships/hyperlink" Target="http://consorciofia.info/cdr/ver_fuentes_w.php?NumCDR=234&amp;codEntidad=19999" TargetMode="External"/><Relationship Id="rId311" Type="http://schemas.openxmlformats.org/officeDocument/2006/relationships/hyperlink" Target="http://consorciofia.info/cdr/ver_fuentes_w.php?NumCDR=230&amp;codEntidad=19999" TargetMode="External"/><Relationship Id="rId332" Type="http://schemas.openxmlformats.org/officeDocument/2006/relationships/hyperlink" Target="http://consorciofia.info/cdr/ver_fuentes_w.php?NumCDR=263&amp;codEntidad=19999" TargetMode="External"/><Relationship Id="rId353" Type="http://schemas.openxmlformats.org/officeDocument/2006/relationships/hyperlink" Target="http://consorciofia.info/cdr/ver_fuentes_w.php?NumCDR=262&amp;codEntidad=19999" TargetMode="External"/><Relationship Id="rId374" Type="http://schemas.openxmlformats.org/officeDocument/2006/relationships/hyperlink" Target="http://consorciofia.info/cdr/ver_fuentes_w.php?NumCDR=284&amp;codEntidad=19999" TargetMode="External"/><Relationship Id="rId395" Type="http://schemas.openxmlformats.org/officeDocument/2006/relationships/hyperlink" Target="http://consorciofia.info/cdr/ver_fuentes_w.php?NumCDR=008&amp;codEntidad=19585" TargetMode="External"/><Relationship Id="rId409" Type="http://schemas.openxmlformats.org/officeDocument/2006/relationships/hyperlink" Target="http://consorciofia.info/cdr/ver_fuentes_w.php?NumCDR=17&amp;codEntidad=19050" TargetMode="External"/><Relationship Id="rId71" Type="http://schemas.openxmlformats.org/officeDocument/2006/relationships/hyperlink" Target="http://consorciofia.info/cdr/ver_fuentes_w.php?NumCDR=049&amp;codEntidad=19999" TargetMode="External"/><Relationship Id="rId92" Type="http://schemas.openxmlformats.org/officeDocument/2006/relationships/hyperlink" Target="http://consorciofia.info/cdr/ver_fuentes_w.php?NumCDR=042&amp;codEntidad=19999" TargetMode="External"/><Relationship Id="rId213" Type="http://schemas.openxmlformats.org/officeDocument/2006/relationships/hyperlink" Target="http://consorciofia.info/cdr/ver_fuentes_w.php?NumCDR=011&amp;codEntidad=19999" TargetMode="External"/><Relationship Id="rId234" Type="http://schemas.openxmlformats.org/officeDocument/2006/relationships/hyperlink" Target="http://consorciofia.info/cdr/ver_fuentes_w.php?NumCDR=236&amp;codEntidad=19999" TargetMode="External"/><Relationship Id="rId420" Type="http://schemas.openxmlformats.org/officeDocument/2006/relationships/hyperlink" Target="http://consorciofia.info/cdr/ver_fuentes_w.php?NumCDR=077&amp;codEntidad=19999" TargetMode="External"/><Relationship Id="rId2" Type="http://schemas.openxmlformats.org/officeDocument/2006/relationships/hyperlink" Target="http://consorciofia.info/cdr/ver_fuentes_w.php?NumCDR=001&amp;codEntidad=19999" TargetMode="External"/><Relationship Id="rId29" Type="http://schemas.openxmlformats.org/officeDocument/2006/relationships/hyperlink" Target="http://consorciofia.info/cdr/ver_fuentes_w.php?NumCDR=020&amp;codEntidad=19999" TargetMode="External"/><Relationship Id="rId255" Type="http://schemas.openxmlformats.org/officeDocument/2006/relationships/hyperlink" Target="http://consorciofia.info/cdr/ver_fuentes_w.php?NumCDR=071&amp;codEntidad=19999" TargetMode="External"/><Relationship Id="rId276" Type="http://schemas.openxmlformats.org/officeDocument/2006/relationships/hyperlink" Target="http://consorciofia.info/cdr/ver_fuentes_w.php?NumCDR=005&amp;codEntidad=19824" TargetMode="External"/><Relationship Id="rId297" Type="http://schemas.openxmlformats.org/officeDocument/2006/relationships/hyperlink" Target="http://consorciofia.info/cdr/ver_fuentes_w.php?NumCDR=174&amp;codEntidad=19999" TargetMode="External"/><Relationship Id="rId441" Type="http://schemas.openxmlformats.org/officeDocument/2006/relationships/hyperlink" Target="http://consorciofia.info/cdr/ver_fuentes_w.php?NumCDR=313&amp;codEntidad=19999" TargetMode="External"/><Relationship Id="rId462" Type="http://schemas.openxmlformats.org/officeDocument/2006/relationships/hyperlink" Target="http://consorciofia.info/cdr/ver_fuentes_w.php?NumCDR=6&amp;codEntidad=19533" TargetMode="External"/><Relationship Id="rId483" Type="http://schemas.openxmlformats.org/officeDocument/2006/relationships/hyperlink" Target="http://consorciofia.info/cdr/ver_fuentes_w.php?NumCDR=3&amp;codEntidad=19548" TargetMode="External"/><Relationship Id="rId518" Type="http://schemas.openxmlformats.org/officeDocument/2006/relationships/hyperlink" Target="http://consorciofia.info/cdr/ver_fuentes_w.php?NumCDR=16&amp;codEntidad=19110" TargetMode="External"/><Relationship Id="rId40" Type="http://schemas.openxmlformats.org/officeDocument/2006/relationships/hyperlink" Target="http://consorciofia.info/cdr/ver_fuentes_w.php?NumCDR=025&amp;codEntidad=19999" TargetMode="External"/><Relationship Id="rId115" Type="http://schemas.openxmlformats.org/officeDocument/2006/relationships/hyperlink" Target="http://consorciofia.info/cdr/ver_fuentes_w.php?NumCDR=197&amp;codEntidad=19999" TargetMode="External"/><Relationship Id="rId136" Type="http://schemas.openxmlformats.org/officeDocument/2006/relationships/hyperlink" Target="http://consorciofia.info/cdr/ver_fuentes_w.php?NumCDR=095&amp;codEntidad=19999" TargetMode="External"/><Relationship Id="rId157" Type="http://schemas.openxmlformats.org/officeDocument/2006/relationships/hyperlink" Target="http://consorciofia.info/cdr/ver_fuentes_w.php?NumCDR=107&amp;codEntidad=19999" TargetMode="External"/><Relationship Id="rId178" Type="http://schemas.openxmlformats.org/officeDocument/2006/relationships/hyperlink" Target="http://consorciofia.info/cdr/ver_fuentes_w.php?NumCDR=002&amp;codEntidad=19397" TargetMode="External"/><Relationship Id="rId301" Type="http://schemas.openxmlformats.org/officeDocument/2006/relationships/hyperlink" Target="http://consorciofia.info/cdr/ver_fuentes_w.php?NumCDR=212&amp;codEntidad=19999" TargetMode="External"/><Relationship Id="rId322" Type="http://schemas.openxmlformats.org/officeDocument/2006/relationships/hyperlink" Target="http://consorciofia.info/cdr/ver_fuentes_w.php?NumCDR=5&amp;codEntidad=19780" TargetMode="External"/><Relationship Id="rId343" Type="http://schemas.openxmlformats.org/officeDocument/2006/relationships/hyperlink" Target="http://consorciofia.info/cdr/ver_fuentes_w.php?NumCDR=258&amp;codEntidad=19999" TargetMode="External"/><Relationship Id="rId364" Type="http://schemas.openxmlformats.org/officeDocument/2006/relationships/hyperlink" Target="http://consorciofia.info/cdr/ver_fuentes_w.php?NumCDR=21&amp;codEntidad=19050" TargetMode="External"/><Relationship Id="rId61" Type="http://schemas.openxmlformats.org/officeDocument/2006/relationships/hyperlink" Target="http://consorciofia.info/cdr/ver_fuentes_w.php?NumCDR=038&amp;codEntidad=19999" TargetMode="External"/><Relationship Id="rId82" Type="http://schemas.openxmlformats.org/officeDocument/2006/relationships/hyperlink" Target="http://consorciofia.info/cdr/ver_fuentes_w.php?NumCDR=017&amp;codEntidad=19999" TargetMode="External"/><Relationship Id="rId199" Type="http://schemas.openxmlformats.org/officeDocument/2006/relationships/hyperlink" Target="http://consorciofia.info/cdr/ver_fuentes_w.php?NumCDR=170&amp;codEntidad=19999" TargetMode="External"/><Relationship Id="rId203" Type="http://schemas.openxmlformats.org/officeDocument/2006/relationships/hyperlink" Target="http://consorciofia.info/cdr/ver_fuentes_w.php?NumCDR=189&amp;codEntidad=19999" TargetMode="External"/><Relationship Id="rId385" Type="http://schemas.openxmlformats.org/officeDocument/2006/relationships/hyperlink" Target="http://consorciofia.info/cdr/ver_fuentes_w.php?NumCDR=342&amp;codEntidad=19999" TargetMode="External"/><Relationship Id="rId19" Type="http://schemas.openxmlformats.org/officeDocument/2006/relationships/hyperlink" Target="http://consorciofia.info/cdr/ver_fuentes_w.php?NumCDR=164&amp;codEntidad=19999" TargetMode="External"/><Relationship Id="rId224" Type="http://schemas.openxmlformats.org/officeDocument/2006/relationships/hyperlink" Target="http://consorciofia.info/cdr/ver_fuentes_w.php?NumCDR=028&amp;codEntidad=19999" TargetMode="External"/><Relationship Id="rId245" Type="http://schemas.openxmlformats.org/officeDocument/2006/relationships/hyperlink" Target="http://consorciofia.info/cdr/ver_fuentes_w.php?NumCDR=009&amp;codEntidad=19999" TargetMode="External"/><Relationship Id="rId266" Type="http://schemas.openxmlformats.org/officeDocument/2006/relationships/hyperlink" Target="http://consorciofia.info/cdr/ver_fuentes_w.php?NumCDR=125&amp;codEntidad=19999" TargetMode="External"/><Relationship Id="rId287" Type="http://schemas.openxmlformats.org/officeDocument/2006/relationships/hyperlink" Target="http://consorciofia.info/cdr/ver_fuentes_w.php?NumCDR=211&amp;codEntidad=19999" TargetMode="External"/><Relationship Id="rId410" Type="http://schemas.openxmlformats.org/officeDocument/2006/relationships/hyperlink" Target="http://consorciofia.info/cdr/ver_fuentes_w.php?NumCDR=6&amp;codEntidad=19760" TargetMode="External"/><Relationship Id="rId431" Type="http://schemas.openxmlformats.org/officeDocument/2006/relationships/hyperlink" Target="http://consorciofia.info/cdr/ver_fuentes_w.php?NumCDR=231&amp;codEntidad=19999" TargetMode="External"/><Relationship Id="rId452" Type="http://schemas.openxmlformats.org/officeDocument/2006/relationships/hyperlink" Target="http://consorciofia.info/cdr/ver_fuentes_w.php?NumCDR=4&amp;codEntidad=19142" TargetMode="External"/><Relationship Id="rId473" Type="http://schemas.openxmlformats.org/officeDocument/2006/relationships/hyperlink" Target="http://consorciofia.info/cdr/ver_fuentes_w.php?NumCDR=316&amp;codEntidad=19999" TargetMode="External"/><Relationship Id="rId494" Type="http://schemas.openxmlformats.org/officeDocument/2006/relationships/hyperlink" Target="http://consorciofia.info/cdr/ver_fuentes_w.php?NumCDR=6&amp;codEntidad=19701" TargetMode="External"/><Relationship Id="rId508" Type="http://schemas.openxmlformats.org/officeDocument/2006/relationships/hyperlink" Target="http://consorciofia.info/cdr/ver_fuentes_w.php?NumCDR=9&amp;codEntidad=19397" TargetMode="External"/><Relationship Id="rId529" Type="http://schemas.openxmlformats.org/officeDocument/2006/relationships/printerSettings" Target="../printerSettings/printerSettings7.bin"/><Relationship Id="rId30" Type="http://schemas.openxmlformats.org/officeDocument/2006/relationships/hyperlink" Target="http://consorciofia.info/cdr/ver_fuentes_w.php?NumCDR=020&amp;codEntidad=19999" TargetMode="External"/><Relationship Id="rId105" Type="http://schemas.openxmlformats.org/officeDocument/2006/relationships/hyperlink" Target="http://consorciofia.info/cdr/ver_fuentes_w.php?NumCDR=063&amp;codEntidad=19999" TargetMode="External"/><Relationship Id="rId126" Type="http://schemas.openxmlformats.org/officeDocument/2006/relationships/hyperlink" Target="../../../CRISTIAN/AppData/Roaming/Usuario/Downloads/Pagos%20CDRs%20FIA/CDR%20191%20-%20Contrato%20008-2010.jpg" TargetMode="External"/><Relationship Id="rId147" Type="http://schemas.openxmlformats.org/officeDocument/2006/relationships/hyperlink" Target="http://consorciofia.info/cdr/ver_fuentes_w.php?NumCDR=104&amp;codEntidad=19999" TargetMode="External"/><Relationship Id="rId168" Type="http://schemas.openxmlformats.org/officeDocument/2006/relationships/hyperlink" Target="http://consorciofia.info/cdr/ver_fuentes_w.php?NumCDR=092&amp;codEntidad=19999" TargetMode="External"/><Relationship Id="rId312" Type="http://schemas.openxmlformats.org/officeDocument/2006/relationships/hyperlink" Target="http://consorciofia.info/cdr/ver_fuentes_w.php?NumCDR=004&amp;codEntidad=19473" TargetMode="External"/><Relationship Id="rId333" Type="http://schemas.openxmlformats.org/officeDocument/2006/relationships/hyperlink" Target="http://consorciofia.info/cdr/ver_fuentes_w.php?NumCDR=14&amp;codEntidad=19050" TargetMode="External"/><Relationship Id="rId354" Type="http://schemas.openxmlformats.org/officeDocument/2006/relationships/hyperlink" Target="http://consorciofia.info/cdr/ver_fuentes_w.php?NumCDR=250&amp;codEntidad=19999" TargetMode="External"/><Relationship Id="rId51" Type="http://schemas.openxmlformats.org/officeDocument/2006/relationships/hyperlink" Target="http://consorciofia.info/cdr/ver_fuentes_w.php?NumCDR=036&amp;codEntidad=19999" TargetMode="External"/><Relationship Id="rId72" Type="http://schemas.openxmlformats.org/officeDocument/2006/relationships/hyperlink" Target="http://consorciofia.info/cdr/ver_fuentes_w.php?NumCDR=140&amp;codEntidad=19999" TargetMode="External"/><Relationship Id="rId93" Type="http://schemas.openxmlformats.org/officeDocument/2006/relationships/hyperlink" Target="http://consorciofia.info/cdr/ver_fuentes_w.php?NumCDR=043&amp;codEntidad=19999" TargetMode="External"/><Relationship Id="rId189" Type="http://schemas.openxmlformats.org/officeDocument/2006/relationships/hyperlink" Target="http://consorciofia.info/cdr/ver_fuentes_w.php?NumCDR=156&amp;codEntidad=19999" TargetMode="External"/><Relationship Id="rId375" Type="http://schemas.openxmlformats.org/officeDocument/2006/relationships/hyperlink" Target="http://consorciofia.info/cdr/ver_fuentes_w.php?NumCDR=285&amp;codEntidad=19999" TargetMode="External"/><Relationship Id="rId396" Type="http://schemas.openxmlformats.org/officeDocument/2006/relationships/hyperlink" Target="http://consorciofia.info/cdr/ver_fuentes_w.php?NumCDR=004&amp;codEntidad=19418" TargetMode="External"/><Relationship Id="rId3" Type="http://schemas.openxmlformats.org/officeDocument/2006/relationships/hyperlink" Target="http://consorciofia.info/cdr/ver_fuentes_w.php?NumCDR=001&amp;codEntidad=19999" TargetMode="External"/><Relationship Id="rId214" Type="http://schemas.openxmlformats.org/officeDocument/2006/relationships/hyperlink" Target="http://consorciofia.info/cdr/ver_fuentes_w.php?NumCDR=159&amp;codEntidad=19999" TargetMode="External"/><Relationship Id="rId235" Type="http://schemas.openxmlformats.org/officeDocument/2006/relationships/hyperlink" Target="http://consorciofia.info/cdr/ver_fuentes_w.php?NumCDR=001&amp;codEntidad=19110" TargetMode="External"/><Relationship Id="rId256" Type="http://schemas.openxmlformats.org/officeDocument/2006/relationships/hyperlink" Target="http://consorciofia.info/cdr/ver_fuentes_w.php?NumCDR=168&amp;codEntidad=19999" TargetMode="External"/><Relationship Id="rId277" Type="http://schemas.openxmlformats.org/officeDocument/2006/relationships/hyperlink" Target="http://consorciofia.info/cdr/ver_fuentes_w.php?NumCDR=183&amp;codEntidad=19999" TargetMode="External"/><Relationship Id="rId298" Type="http://schemas.openxmlformats.org/officeDocument/2006/relationships/hyperlink" Target="http://consorciofia.info/cdr/ver_fuentes_w.php?NumCDR=174&amp;codEntidad=19999" TargetMode="External"/><Relationship Id="rId400" Type="http://schemas.openxmlformats.org/officeDocument/2006/relationships/hyperlink" Target="http://consorciofia.info/cdr/ver_fuentes_w.php?NumCDR=005&amp;codEntidad=19418" TargetMode="External"/><Relationship Id="rId421" Type="http://schemas.openxmlformats.org/officeDocument/2006/relationships/hyperlink" Target="http://consorciofia.info/cdr/ver_fuentes_w.php?NumCDR=078&amp;codEntidad=19999" TargetMode="External"/><Relationship Id="rId442" Type="http://schemas.openxmlformats.org/officeDocument/2006/relationships/hyperlink" Target="http://consorciofia.info/cdr/ver_fuentes_w.php?NumCDR=6&amp;codEntidad=19473" TargetMode="External"/><Relationship Id="rId463" Type="http://schemas.openxmlformats.org/officeDocument/2006/relationships/hyperlink" Target="http://consorciofia.info/cdr/ver_fuentes_w.php?NumCDR=9&amp;codEntidad=19130" TargetMode="External"/><Relationship Id="rId484" Type="http://schemas.openxmlformats.org/officeDocument/2006/relationships/hyperlink" Target="http://consorciofia.info/cdr/ver_fuentes_w.php?NumCDR=11&amp;codEntidad=19355" TargetMode="External"/><Relationship Id="rId519" Type="http://schemas.openxmlformats.org/officeDocument/2006/relationships/hyperlink" Target="http://consorciofia.info/cdr/ver_fuentes_w.php?NumCDR=10&amp;codEntidad=19142" TargetMode="External"/><Relationship Id="rId116" Type="http://schemas.openxmlformats.org/officeDocument/2006/relationships/hyperlink" Target="http://consorciofia.info/cdr/ver_fuentes_w.php?NumCDR=081&amp;codEntidad=19999" TargetMode="External"/><Relationship Id="rId137" Type="http://schemas.openxmlformats.org/officeDocument/2006/relationships/hyperlink" Target="http://consorciofia.info/cdr/ver_fuentes_w.php?NumCDR=089&amp;codEntidad=19999" TargetMode="External"/><Relationship Id="rId158" Type="http://schemas.openxmlformats.org/officeDocument/2006/relationships/hyperlink" Target="http://consorciofia.info/cdr/ver_fuentes_w.php?NumCDR=188&amp;codEntidad=19999" TargetMode="External"/><Relationship Id="rId302" Type="http://schemas.openxmlformats.org/officeDocument/2006/relationships/hyperlink" Target="http://consorciofia.info/cdr/ver_fuentes_w.php?NumCDR=214&amp;codEntidad=19999" TargetMode="External"/><Relationship Id="rId323" Type="http://schemas.openxmlformats.org/officeDocument/2006/relationships/hyperlink" Target="http://consorciofia.info/cdr/ver_fuentes_w.php?NumCDR=253&amp;codEntidad=19999" TargetMode="External"/><Relationship Id="rId344" Type="http://schemas.openxmlformats.org/officeDocument/2006/relationships/hyperlink" Target="http://consorciofia.info/cdr/ver_fuentes_w.php?NumCDR=004&amp;codEntidad=19100" TargetMode="External"/><Relationship Id="rId530" Type="http://schemas.openxmlformats.org/officeDocument/2006/relationships/vmlDrawing" Target="../drawings/vmlDrawing19.vml"/><Relationship Id="rId20" Type="http://schemas.openxmlformats.org/officeDocument/2006/relationships/hyperlink" Target="http://consorciofia.info/cdr/ver_fuentes_w.php?NumCDR=014&amp;codEntidad=19999" TargetMode="External"/><Relationship Id="rId41" Type="http://schemas.openxmlformats.org/officeDocument/2006/relationships/hyperlink" Target="http://consorciofia.info/cdr/ver_fuentes_w.php?NumCDR=025&amp;codEntidad=19999" TargetMode="External"/><Relationship Id="rId62" Type="http://schemas.openxmlformats.org/officeDocument/2006/relationships/hyperlink" Target="http://consorciofia.info/cdr/ver_fuentes_w.php?NumCDR=038&amp;codEntidad=19999" TargetMode="External"/><Relationship Id="rId83" Type="http://schemas.openxmlformats.org/officeDocument/2006/relationships/hyperlink" Target="http://consorciofia.info/cdr/ver_fuentes_w.php?NumCDR=160&amp;codEntidad=19999" TargetMode="External"/><Relationship Id="rId179" Type="http://schemas.openxmlformats.org/officeDocument/2006/relationships/hyperlink" Target="http://consorciofia.info/cdr/ver_fuentes_w.php?NumCDR=118&amp;codEntidad=19999" TargetMode="External"/><Relationship Id="rId365" Type="http://schemas.openxmlformats.org/officeDocument/2006/relationships/hyperlink" Target="http://consorciofia.info/cdr/ver_fuentes_w.php?NumCDR=277&amp;codEntidad=19999" TargetMode="External"/><Relationship Id="rId386" Type="http://schemas.openxmlformats.org/officeDocument/2006/relationships/hyperlink" Target="http://consorciofia.info/cdr/ver_fuentes_w.php?NumCDR=294&amp;codEntidad=19999" TargetMode="External"/><Relationship Id="rId190" Type="http://schemas.openxmlformats.org/officeDocument/2006/relationships/hyperlink" Target="http://consorciofia.info/cdr/ver_fuentes_w.php?NumCDR=223&amp;codEntidad=19999" TargetMode="External"/><Relationship Id="rId204" Type="http://schemas.openxmlformats.org/officeDocument/2006/relationships/hyperlink" Target="http://consorciofia.info/cdr/ver_fuentes_w.php?NumCDR=173&amp;codEntidad=19999" TargetMode="External"/><Relationship Id="rId225" Type="http://schemas.openxmlformats.org/officeDocument/2006/relationships/hyperlink" Target="http://consorciofia.info/cdr/ver_fuentes_w.php?NumCDR=206&amp;codEntidad=19999" TargetMode="External"/><Relationship Id="rId246" Type="http://schemas.openxmlformats.org/officeDocument/2006/relationships/hyperlink" Target="http://consorciofia.info/cdr/ver_fuentes_w.php?NumCDR=129&amp;codEntidad=19999" TargetMode="External"/><Relationship Id="rId267" Type="http://schemas.openxmlformats.org/officeDocument/2006/relationships/hyperlink" Target="http://consorciofia.info/cdr/ver_fuentes_w.php?NumCDR=152&amp;codEntidad=19999" TargetMode="External"/><Relationship Id="rId288" Type="http://schemas.openxmlformats.org/officeDocument/2006/relationships/hyperlink" Target="http://consorciofia.info/cdr/ver_fuentes_w.php?NumCDR=215&amp;codEntidad=19999" TargetMode="External"/><Relationship Id="rId411" Type="http://schemas.openxmlformats.org/officeDocument/2006/relationships/hyperlink" Target="http://consorciofia.info/cdr/ver_fuentes_w.php?NumCDR=16&amp;codEntidad=19585" TargetMode="External"/><Relationship Id="rId432" Type="http://schemas.openxmlformats.org/officeDocument/2006/relationships/hyperlink" Target="http://consorciofia.info/cdr/ver_fuentes_w.php?NumCDR=273&amp;codEntidad=19999" TargetMode="External"/><Relationship Id="rId453" Type="http://schemas.openxmlformats.org/officeDocument/2006/relationships/hyperlink" Target="http://consorciofia.info/cdr/ver_fuentes_w.php?NumCDR=14&amp;codEntidad=19532" TargetMode="External"/><Relationship Id="rId474" Type="http://schemas.openxmlformats.org/officeDocument/2006/relationships/hyperlink" Target="http://consorciofia.info/cdr/ver_fuentes_w.php?NumCDR=322&amp;codEntidad=19999" TargetMode="External"/><Relationship Id="rId509" Type="http://schemas.openxmlformats.org/officeDocument/2006/relationships/hyperlink" Target="http://consorciofia.info/cdr/ver_fuentes_w.php?NumCDR=8&amp;codEntidad=19355" TargetMode="External"/><Relationship Id="rId106" Type="http://schemas.openxmlformats.org/officeDocument/2006/relationships/hyperlink" Target="http://consorciofia.info/cdr/ver_fuentes_w.php?NumCDR=064&amp;codEntidad=19999" TargetMode="External"/><Relationship Id="rId127" Type="http://schemas.openxmlformats.org/officeDocument/2006/relationships/hyperlink" Target="http://consorciofia.info/cdr/ver_fuentes_w.php?NumCDR=004&amp;codEntidad=19999" TargetMode="External"/><Relationship Id="rId313" Type="http://schemas.openxmlformats.org/officeDocument/2006/relationships/hyperlink" Target="http://consorciofia.info/cdr/ver_fuentes_w.php?NumCDR=228&amp;codEntidad=19999" TargetMode="External"/><Relationship Id="rId495" Type="http://schemas.openxmlformats.org/officeDocument/2006/relationships/hyperlink" Target="http://consorciofia.info/cdr/ver_fuentes_w.php?NumCDR=5&amp;codEntidad=19130" TargetMode="External"/><Relationship Id="rId10" Type="http://schemas.openxmlformats.org/officeDocument/2006/relationships/hyperlink" Target="http://consorciofia.info/cdr/ver_fuentes_w.php?NumCDR=029&amp;codEntidad=19999" TargetMode="External"/><Relationship Id="rId31" Type="http://schemas.openxmlformats.org/officeDocument/2006/relationships/hyperlink" Target="http://consorciofia.info/cdr/ver_fuentes_w.php?NumCDR=020&amp;codEntidad=19999" TargetMode="External"/><Relationship Id="rId52" Type="http://schemas.openxmlformats.org/officeDocument/2006/relationships/hyperlink" Target="http://consorciofia.info/cdr/ver_fuentes_w.php?NumCDR=036&amp;codEntidad=19999" TargetMode="External"/><Relationship Id="rId73" Type="http://schemas.openxmlformats.org/officeDocument/2006/relationships/hyperlink" Target="http://consorciofia.info/cdr/ver_fuentes_w.php?NumCDR=051&amp;codEntidad=19999" TargetMode="External"/><Relationship Id="rId94" Type="http://schemas.openxmlformats.org/officeDocument/2006/relationships/hyperlink" Target="http://consorciofia.info/cdr/ver_fuentes_w.php?NumCDR=044&amp;codEntidad=19999" TargetMode="External"/><Relationship Id="rId148" Type="http://schemas.openxmlformats.org/officeDocument/2006/relationships/hyperlink" Target="http://consorciofia.info/cdr/ver_fuentes_w.php?NumCDR=086&amp;codEntidad=19999" TargetMode="External"/><Relationship Id="rId169" Type="http://schemas.openxmlformats.org/officeDocument/2006/relationships/hyperlink" Target="http://consorciofia.info/cdr/ver_fuentes_w.php?NumCDR=094&amp;codEntidad=19999" TargetMode="External"/><Relationship Id="rId334" Type="http://schemas.openxmlformats.org/officeDocument/2006/relationships/hyperlink" Target="http://consorciofia.info/cdr/ver_fuentes_w.php?NumCDR=257&amp;codEntidad=19999" TargetMode="External"/><Relationship Id="rId355" Type="http://schemas.openxmlformats.org/officeDocument/2006/relationships/hyperlink" Target="http://consorciofia.info/cdr/ver_fuentes_w.php?NumCDR=256&amp;codEntidad=19999" TargetMode="External"/><Relationship Id="rId376" Type="http://schemas.openxmlformats.org/officeDocument/2006/relationships/hyperlink" Target="http://consorciofia.info/cdr/ver_fuentes_w.php?NumCDR=318&amp;codEntidad=19999" TargetMode="External"/><Relationship Id="rId397" Type="http://schemas.openxmlformats.org/officeDocument/2006/relationships/hyperlink" Target="http://consorciofia.info/cdr/ver_fuentes_w.php?NumCDR=174&amp;codEntidad=19999" TargetMode="External"/><Relationship Id="rId520" Type="http://schemas.openxmlformats.org/officeDocument/2006/relationships/hyperlink" Target="http://consorciofia.info/cdr/ver_fuentes_w.php?NumCDR=343&amp;codEntidad=19999" TargetMode="External"/><Relationship Id="rId4" Type="http://schemas.openxmlformats.org/officeDocument/2006/relationships/hyperlink" Target="http://consorciofia.info/cdr/ver_fuentes_w.php?NumCDR=174&amp;codEntidad=19999" TargetMode="External"/><Relationship Id="rId180" Type="http://schemas.openxmlformats.org/officeDocument/2006/relationships/hyperlink" Target="http://consorciofia.info/cdr/ver_fuentes_w.php?NumCDR=150&amp;codEntidad=19999" TargetMode="External"/><Relationship Id="rId215" Type="http://schemas.openxmlformats.org/officeDocument/2006/relationships/hyperlink" Target="http://consorciofia.info/cdr/ver_fuentes_w.php?NumCDR=011&amp;codEntidad=19999" TargetMode="External"/><Relationship Id="rId236" Type="http://schemas.openxmlformats.org/officeDocument/2006/relationships/hyperlink" Target="http://consorciofia.info/cdr/ver_fuentes_w.php?NumCDR=133&amp;codEntidad=19999" TargetMode="External"/><Relationship Id="rId257" Type="http://schemas.openxmlformats.org/officeDocument/2006/relationships/hyperlink" Target="http://consorciofia.info/cdr/ver_fuentes_w.php?NumCDR=174&amp;codEntidad=19999" TargetMode="External"/><Relationship Id="rId278" Type="http://schemas.openxmlformats.org/officeDocument/2006/relationships/hyperlink" Target="http://consorciofia.info/cdr/ver_fuentes_w.php?NumCDR=177&amp;codEntidad=19999" TargetMode="External"/><Relationship Id="rId401" Type="http://schemas.openxmlformats.org/officeDocument/2006/relationships/hyperlink" Target="http://consorciofia.info/cdr/ver_fuentes_w.php?NumCDR=174&amp;codEntidad=19999" TargetMode="External"/><Relationship Id="rId422" Type="http://schemas.openxmlformats.org/officeDocument/2006/relationships/hyperlink" Target="http://consorciofia.info/cdr/ver_fuentes_w.php?NumCDR=079&amp;codEntidad=19999" TargetMode="External"/><Relationship Id="rId443" Type="http://schemas.openxmlformats.org/officeDocument/2006/relationships/hyperlink" Target="http://consorciofia.info/cdr/ver_fuentes_w.php?NumCDR=8&amp;codEntidad=19548" TargetMode="External"/><Relationship Id="rId464" Type="http://schemas.openxmlformats.org/officeDocument/2006/relationships/hyperlink" Target="http://consorciofia.info/cdr/ver_fuentes_w.php?NumCDR=9&amp;codEntidad=19318" TargetMode="External"/><Relationship Id="rId303" Type="http://schemas.openxmlformats.org/officeDocument/2006/relationships/hyperlink" Target="http://consorciofia.info/cdr/ver_fuentes_w.php?NumCDR=220&amp;codEntidad=19999" TargetMode="External"/><Relationship Id="rId485" Type="http://schemas.openxmlformats.org/officeDocument/2006/relationships/hyperlink" Target="http://consorciofia.info/cdr/ver_fuentes_w.php?NumCDR=7&amp;codEntidad=19533" TargetMode="External"/><Relationship Id="rId42" Type="http://schemas.openxmlformats.org/officeDocument/2006/relationships/hyperlink" Target="http://consorciofia.info/cdr/ver_fuentes_w.php?NumCDR=016&amp;codEntidad=19999" TargetMode="External"/><Relationship Id="rId84" Type="http://schemas.openxmlformats.org/officeDocument/2006/relationships/hyperlink" Target="http://consorciofia.info/cdr/ver_fuentes_w.php?NumCDR=051&amp;codEntidad=19999" TargetMode="External"/><Relationship Id="rId138" Type="http://schemas.openxmlformats.org/officeDocument/2006/relationships/hyperlink" Target="http://consorciofia.info/cdr/ver_fuentes_w.php?NumCDR=097&amp;codEntidad=19999" TargetMode="External"/><Relationship Id="rId345" Type="http://schemas.openxmlformats.org/officeDocument/2006/relationships/hyperlink" Target="http://consorciofia.info/cdr/ver_fuentes_w.php?NumCDR=311&amp;codEntidad=19999" TargetMode="External"/><Relationship Id="rId387" Type="http://schemas.openxmlformats.org/officeDocument/2006/relationships/hyperlink" Target="http://consorciofia.info/cdr/ver_fuentes_w.php?NumCDR=301&amp;codEntidad=19999" TargetMode="External"/><Relationship Id="rId510" Type="http://schemas.openxmlformats.org/officeDocument/2006/relationships/hyperlink" Target="http://consorciofia.info/cdr/ver_fuentes_w.php?NumCDR=7&amp;codEntidad=19760" TargetMode="External"/><Relationship Id="rId191" Type="http://schemas.openxmlformats.org/officeDocument/2006/relationships/hyperlink" Target="http://consorciofia.info/cdr/ver_fuentes_w.php?NumCDR=002&amp;codEntidad=19698" TargetMode="External"/><Relationship Id="rId205" Type="http://schemas.openxmlformats.org/officeDocument/2006/relationships/hyperlink" Target="http://consorciofia.info/cdr/ver_fuentes_w.php?NumCDR=047&amp;codEntidad=19999" TargetMode="External"/><Relationship Id="rId247" Type="http://schemas.openxmlformats.org/officeDocument/2006/relationships/hyperlink" Target="http://consorciofia.info/cdr/ver_fuentes_w.php?NumCDR=243&amp;codEntidad=19999" TargetMode="External"/><Relationship Id="rId412" Type="http://schemas.openxmlformats.org/officeDocument/2006/relationships/hyperlink" Target="http://consorciofia.info/cdr/ver_fuentes_w.php?NumCDR=13&amp;codEntidad=19450" TargetMode="External"/><Relationship Id="rId107" Type="http://schemas.openxmlformats.org/officeDocument/2006/relationships/hyperlink" Target="http://consorciofia.info/cdr/ver_fuentes_w.php?NumCDR=196&amp;codEntidad=19999" TargetMode="External"/><Relationship Id="rId289" Type="http://schemas.openxmlformats.org/officeDocument/2006/relationships/hyperlink" Target="http://consorciofia.info/cdr/ver_fuentes_w.php?NumCDR=306&amp;codEntidad=19999" TargetMode="External"/><Relationship Id="rId454" Type="http://schemas.openxmlformats.org/officeDocument/2006/relationships/hyperlink" Target="http://consorciofia.info/cdr/ver_fuentes_w.php?NumCDR=4&amp;codEntidad=19573" TargetMode="External"/><Relationship Id="rId496" Type="http://schemas.openxmlformats.org/officeDocument/2006/relationships/hyperlink" Target="http://consorciofia.info/cdr/ver_fuentes_w.php?NumCDR=6&amp;codEntidad=19418" TargetMode="External"/><Relationship Id="rId11" Type="http://schemas.openxmlformats.org/officeDocument/2006/relationships/hyperlink" Target="http://consorciofia.info/cdr/ver_fuentes_w.php?NumCDR=190&amp;codEntidad=19999" TargetMode="External"/><Relationship Id="rId53" Type="http://schemas.openxmlformats.org/officeDocument/2006/relationships/hyperlink" Target="http://consorciofia.info/cdr/ver_fuentes_w.php?NumCDR=165&amp;codEntidad=19999" TargetMode="External"/><Relationship Id="rId149" Type="http://schemas.openxmlformats.org/officeDocument/2006/relationships/hyperlink" Target="http://consorciofia.info/cdr/ver_fuentes_w.php?NumCDR=022&amp;codEntidad=19999" TargetMode="External"/><Relationship Id="rId314" Type="http://schemas.openxmlformats.org/officeDocument/2006/relationships/hyperlink" Target="http://consorciofia.info/cdr/ver_fuentes_w.php?NumCDR=003&amp;codEntidad=19473" TargetMode="External"/><Relationship Id="rId356" Type="http://schemas.openxmlformats.org/officeDocument/2006/relationships/hyperlink" Target="http://consorciofia.info/cdr/ver_fuentes_w.php?NumCDR=278&amp;codEntidad=19999" TargetMode="External"/><Relationship Id="rId398" Type="http://schemas.openxmlformats.org/officeDocument/2006/relationships/hyperlink" Target="http://consorciofia.info/cdr/ver_fuentes_w.php?NumCDR=005&amp;codEntidad=19318" TargetMode="External"/><Relationship Id="rId521" Type="http://schemas.openxmlformats.org/officeDocument/2006/relationships/hyperlink" Target="http://consorciofia.info/cdr/ver_fuentes_w.php?NumCDR=9&amp;codEntidad=19142" TargetMode="External"/><Relationship Id="rId95" Type="http://schemas.openxmlformats.org/officeDocument/2006/relationships/hyperlink" Target="http://consorciofia.info/cdr/ver_fuentes_w.php?NumCDR=050&amp;codEntidad=19999" TargetMode="External"/><Relationship Id="rId160" Type="http://schemas.openxmlformats.org/officeDocument/2006/relationships/hyperlink" Target="http://consorciofia.info/cdr/ver_fuentes_w.php?NumCDR=105&amp;codEntidad=19999" TargetMode="External"/><Relationship Id="rId216" Type="http://schemas.openxmlformats.org/officeDocument/2006/relationships/hyperlink" Target="../../../CRISTIAN/AppData/Roaming/Microsoft/Downloads/Documentos%20soportes%20para%20la%20conciliaci&#243;n" TargetMode="External"/><Relationship Id="rId423" Type="http://schemas.openxmlformats.org/officeDocument/2006/relationships/hyperlink" Target="http://consorciofia.info/cdr/ver_fuentes_w.php?NumCDR=080&amp;codEntidad=19999" TargetMode="External"/><Relationship Id="rId258" Type="http://schemas.openxmlformats.org/officeDocument/2006/relationships/hyperlink" Target="http://consorciofia.info/cdr/ver_fuentes_w.php?NumCDR=006&amp;codEntidad=19585" TargetMode="External"/><Relationship Id="rId465" Type="http://schemas.openxmlformats.org/officeDocument/2006/relationships/hyperlink" Target="http://consorciofia.info/cdr/ver_fuentes_w.php?NumCDR=6&amp;codEntidad=19821" TargetMode="External"/><Relationship Id="rId22" Type="http://schemas.openxmlformats.org/officeDocument/2006/relationships/hyperlink" Target="http://consorciofia.info/cdr/ver_fuentes_w.php?NumCDR=014&amp;codEntidad=19999" TargetMode="External"/><Relationship Id="rId64" Type="http://schemas.openxmlformats.org/officeDocument/2006/relationships/hyperlink" Target="http://consorciofia.info/cdr/ver_fuentes_w.php?NumCDR=040&amp;codEntidad=19999" TargetMode="External"/><Relationship Id="rId118" Type="http://schemas.openxmlformats.org/officeDocument/2006/relationships/hyperlink" Target="http://consorciofia.info/cdr/ver_fuentes_w.php?NumCDR=200&amp;codEntidad=19999" TargetMode="External"/><Relationship Id="rId325" Type="http://schemas.openxmlformats.org/officeDocument/2006/relationships/hyperlink" Target="http://consorciofia.info/cdr/ver_fuentes_w.php?NumCDR=251&amp;codEntidad=19999" TargetMode="External"/><Relationship Id="rId367" Type="http://schemas.openxmlformats.org/officeDocument/2006/relationships/hyperlink" Target="http://consorciofia.info/cdr/ver_fuentes_w.php?NumCDR=002&amp;codEntidad=19450" TargetMode="External"/><Relationship Id="rId171" Type="http://schemas.openxmlformats.org/officeDocument/2006/relationships/hyperlink" Target="http://consorciofia.info/cdr/ver_fuentes_w.php?NumCDR=174&amp;codEntidad=19999" TargetMode="External"/><Relationship Id="rId227" Type="http://schemas.openxmlformats.org/officeDocument/2006/relationships/hyperlink" Target="http://consorciofia.info/cdr/ver_fuentes_w.php?NumCDR=031&amp;codEntidad=19999" TargetMode="External"/><Relationship Id="rId269" Type="http://schemas.openxmlformats.org/officeDocument/2006/relationships/hyperlink" Target="http://consorciofia.info/cdr/ver_fuentes_w.php?NumCDR=176&amp;codEntidad=19999" TargetMode="External"/><Relationship Id="rId434" Type="http://schemas.openxmlformats.org/officeDocument/2006/relationships/hyperlink" Target="http://consorciofia.info/cdr/ver_fuentes_w.php?NumCDR=003&amp;codEntidad=19693" TargetMode="External"/><Relationship Id="rId476" Type="http://schemas.openxmlformats.org/officeDocument/2006/relationships/hyperlink" Target="http://consorciofia.info/cdr/ver_fuentes_w.php?NumCDR=11&amp;codEntidad=19698" TargetMode="External"/><Relationship Id="rId33" Type="http://schemas.openxmlformats.org/officeDocument/2006/relationships/hyperlink" Target="http://consorciofia.info/cdr/ver_fuentes_w.php?NumCDR=013&amp;codEntidad=19999" TargetMode="External"/><Relationship Id="rId129" Type="http://schemas.openxmlformats.org/officeDocument/2006/relationships/hyperlink" Target="../../../CRISTIAN/AppData/Roaming/Usuario/Downloads/Pagos%20CDRs%20FIA/CDR%20003%20-%20Contrato%20007-2010.jpg" TargetMode="External"/><Relationship Id="rId280" Type="http://schemas.openxmlformats.org/officeDocument/2006/relationships/hyperlink" Target="http://consorciofia.info/cdr/ver_fuentes_w.php?NumCDR=181&amp;codEntidad=19999" TargetMode="External"/><Relationship Id="rId336" Type="http://schemas.openxmlformats.org/officeDocument/2006/relationships/hyperlink" Target="http://consorciofia.info/cdr/ver_fuentes_w.php?NumCDR=275&amp;codEntidad=19999" TargetMode="External"/><Relationship Id="rId501" Type="http://schemas.openxmlformats.org/officeDocument/2006/relationships/hyperlink" Target="http://consorciofia.info/cdr/ver_fuentes_w.php?NumCDR=8&amp;codEntidad=19743" TargetMode="External"/><Relationship Id="rId75" Type="http://schemas.openxmlformats.org/officeDocument/2006/relationships/hyperlink" Target="http://consorciofia.info/cdr/ver_fuentes_w.php?NumCDR=051&amp;codEntidad=19999" TargetMode="External"/><Relationship Id="rId140" Type="http://schemas.openxmlformats.org/officeDocument/2006/relationships/hyperlink" Target="http://consorciofia.info/cdr/ver_fuentes_w.php?NumCDR=096&amp;codEntidad=19999" TargetMode="External"/><Relationship Id="rId182" Type="http://schemas.openxmlformats.org/officeDocument/2006/relationships/hyperlink" Target="http://consorciofia.info/cdr/ver_fuentes_w.php?NumCDR=003&amp;codEntidad=19050" TargetMode="External"/><Relationship Id="rId378" Type="http://schemas.openxmlformats.org/officeDocument/2006/relationships/hyperlink" Target="http://consorciofia.info/cdr/ver_fuentes_w.php?NumCDR=005&amp;codEntidad=19807" TargetMode="External"/><Relationship Id="rId403" Type="http://schemas.openxmlformats.org/officeDocument/2006/relationships/hyperlink" Target="http://consorciofia.info/cdr/ver_fuentes_w.php?NumCDR=9&amp;codEntidad=19100" TargetMode="External"/><Relationship Id="rId6" Type="http://schemas.openxmlformats.org/officeDocument/2006/relationships/hyperlink" Target="http://consorciofia.info/cdr/ver_fuentes_w.php?NumCDR=002&amp;codEntidad=19999" TargetMode="External"/><Relationship Id="rId238" Type="http://schemas.openxmlformats.org/officeDocument/2006/relationships/hyperlink" Target="http://consorciofia.info/cdr/ver_fuentes_w.php?NumCDR=127&amp;codEntidad=19999" TargetMode="External"/><Relationship Id="rId445" Type="http://schemas.openxmlformats.org/officeDocument/2006/relationships/hyperlink" Target="http://consorciofia.info/cdr/ver_fuentes_w.php?NumCDR=16&amp;codEntidad=19050" TargetMode="External"/><Relationship Id="rId487" Type="http://schemas.openxmlformats.org/officeDocument/2006/relationships/hyperlink" Target="http://consorciofia.info/cdr/ver_fuentes_w.php?NumCDR=10&amp;codEntidad=19318" TargetMode="External"/><Relationship Id="rId291" Type="http://schemas.openxmlformats.org/officeDocument/2006/relationships/hyperlink" Target="http://consorciofia.info/cdr/ver_fuentes_w.php?NumCDR=174&amp;codEntidad=19999" TargetMode="External"/><Relationship Id="rId305" Type="http://schemas.openxmlformats.org/officeDocument/2006/relationships/hyperlink" Target="http://consorciofia.info/cdr/ver_fuentes_w.php?NumCDR=001&amp;codEntidad=19532" TargetMode="External"/><Relationship Id="rId347" Type="http://schemas.openxmlformats.org/officeDocument/2006/relationships/hyperlink" Target="http://consorciofia.info/cdr/ver_fuentes_w.php?NumCDR=004&amp;codEntidad=19513" TargetMode="External"/><Relationship Id="rId512" Type="http://schemas.openxmlformats.org/officeDocument/2006/relationships/hyperlink" Target="http://consorciofia.info/cdr/ver_fuentes_w.php?NumCDR=7&amp;codEntidad=19573" TargetMode="External"/><Relationship Id="rId44" Type="http://schemas.openxmlformats.org/officeDocument/2006/relationships/hyperlink" Target="http://consorciofia.info/cdr/ver_fuentes_w.php?NumCDR=037&amp;codEntidad=19999" TargetMode="External"/><Relationship Id="rId86" Type="http://schemas.openxmlformats.org/officeDocument/2006/relationships/hyperlink" Target="http://consorciofia.info/cdr/ver_fuentes_w.php?NumCDR=034&amp;codEntidad=19999" TargetMode="External"/><Relationship Id="rId151" Type="http://schemas.openxmlformats.org/officeDocument/2006/relationships/hyperlink" Target="http://consorciofia.info/cdr/ver_fuentes_w.php?NumCDR=174&amp;codEntidad=19999" TargetMode="External"/><Relationship Id="rId389" Type="http://schemas.openxmlformats.org/officeDocument/2006/relationships/hyperlink" Target="http://consorciofia.info/cdr/ver_fuentes_w.php?NumCDR=293&amp;codEntidad=19999" TargetMode="External"/><Relationship Id="rId193" Type="http://schemas.openxmlformats.org/officeDocument/2006/relationships/hyperlink" Target="http://consorciofia.info/cdr/ver_fuentes_w.php?NumCDR=124&amp;codEntidad=19999" TargetMode="External"/><Relationship Id="rId207" Type="http://schemas.openxmlformats.org/officeDocument/2006/relationships/hyperlink" Target="http://consorciofia.info/cdr/ver_fuentes_w.php?NumCDR=210&amp;codEntidad=19999" TargetMode="External"/><Relationship Id="rId249" Type="http://schemas.openxmlformats.org/officeDocument/2006/relationships/hyperlink" Target="http://consorciofia.info/cdr/ver_fuentes_w.php?NumCDR=244&amp;codEntidad=19999" TargetMode="External"/><Relationship Id="rId414" Type="http://schemas.openxmlformats.org/officeDocument/2006/relationships/hyperlink" Target="http://consorciofia.info/cdr/ver_fuentes_w.php?NumCDR=8&amp;codEntidad=19397" TargetMode="External"/><Relationship Id="rId456" Type="http://schemas.openxmlformats.org/officeDocument/2006/relationships/hyperlink" Target="http://consorciofia.info/cdr/ver_fuentes_w.php?NumCDR=9&amp;codEntidad=19780" TargetMode="External"/><Relationship Id="rId498" Type="http://schemas.openxmlformats.org/officeDocument/2006/relationships/hyperlink" Target="http://consorciofia.info/cdr/ver_fuentes_w.php?NumCDR=8&amp;codEntidad=19807" TargetMode="External"/><Relationship Id="rId13" Type="http://schemas.openxmlformats.org/officeDocument/2006/relationships/hyperlink" Target="http://consorciofia.info/cdr/ver_fuentes_w.php?NumCDR=005&amp;codEntidad=19999" TargetMode="External"/><Relationship Id="rId109" Type="http://schemas.openxmlformats.org/officeDocument/2006/relationships/hyperlink" Target="http://consorciofia.info/cdr/ver_fuentes_w.php?NumCDR=053&amp;codEntidad=19999" TargetMode="External"/><Relationship Id="rId260" Type="http://schemas.openxmlformats.org/officeDocument/2006/relationships/hyperlink" Target="http://consorciofia.info/cdr/ver_fuentes_w.php?NumCDR=151&amp;codEntidad=19999" TargetMode="External"/><Relationship Id="rId316" Type="http://schemas.openxmlformats.org/officeDocument/2006/relationships/hyperlink" Target="http://consorciofia.info/cdr/ver_fuentes_w.php?NumCDR=174&amp;codEntidad=19999" TargetMode="External"/><Relationship Id="rId523" Type="http://schemas.openxmlformats.org/officeDocument/2006/relationships/hyperlink" Target="http://consorciofia.info/cdr/ver_fuentes_w.php?NumCDR=3564&amp;codEntidad=19397" TargetMode="External"/><Relationship Id="rId55" Type="http://schemas.openxmlformats.org/officeDocument/2006/relationships/hyperlink" Target="http://consorciofia.info/cdr/ver_fuentes_w.php?NumCDR=038&amp;codEntidad=19999" TargetMode="External"/><Relationship Id="rId97" Type="http://schemas.openxmlformats.org/officeDocument/2006/relationships/hyperlink" Target="http://consorciofia.info/cdr/ver_fuentes_w.php?NumCDR=066&amp;codEntidad=19999" TargetMode="External"/><Relationship Id="rId120" Type="http://schemas.openxmlformats.org/officeDocument/2006/relationships/hyperlink" Target="http://consorciofia.info/cdr/ver_fuentes_w.php?NumCDR=074&amp;codEntidad=19999" TargetMode="External"/><Relationship Id="rId358" Type="http://schemas.openxmlformats.org/officeDocument/2006/relationships/hyperlink" Target="http://consorciofia.info/cdr/ver_fuentes_w.php?NumCDR=6&amp;codEntidad=19780" TargetMode="External"/><Relationship Id="rId162" Type="http://schemas.openxmlformats.org/officeDocument/2006/relationships/hyperlink" Target="http://consorciofia.info/cdr/ver_fuentes_w.php?NumCDR=174&amp;codEntidad=19999" TargetMode="External"/><Relationship Id="rId218" Type="http://schemas.openxmlformats.org/officeDocument/2006/relationships/hyperlink" Target="http://consorciofia.info/cdr/ver_fuentes_w.php?NumCDR=023&amp;codEntidad=19999" TargetMode="External"/><Relationship Id="rId425" Type="http://schemas.openxmlformats.org/officeDocument/2006/relationships/hyperlink" Target="http://consorciofia.info/cdr/ver_fuentes_w.php?NumCDR=199&amp;codEntidad=19999" TargetMode="External"/><Relationship Id="rId467" Type="http://schemas.openxmlformats.org/officeDocument/2006/relationships/hyperlink" Target="http://consorciofia.info/cdr/ver_fuentes_w.php?NumCDR=8&amp;codEntidad=19364" TargetMode="External"/><Relationship Id="rId271" Type="http://schemas.openxmlformats.org/officeDocument/2006/relationships/hyperlink" Target="http://consorciofia.info/cdr/ver_fuentes_w.php?NumCDR=001&amp;codEntidad=19821" TargetMode="External"/><Relationship Id="rId24" Type="http://schemas.openxmlformats.org/officeDocument/2006/relationships/hyperlink" Target="http://consorciofia.info/cdr/ver_fuentes_w.php?NumCDR=019&amp;codEntidad=19999" TargetMode="External"/><Relationship Id="rId66" Type="http://schemas.openxmlformats.org/officeDocument/2006/relationships/hyperlink" Target="http://consorciofia.info/cdr/ver_fuentes_w.php?NumCDR=040&amp;codEntidad=19999" TargetMode="External"/><Relationship Id="rId131" Type="http://schemas.openxmlformats.org/officeDocument/2006/relationships/hyperlink" Target="http://consorciofia.info/cdr/ver_fuentes_w.php?NumCDR=084&amp;codEntidad=19999" TargetMode="External"/><Relationship Id="rId327" Type="http://schemas.openxmlformats.org/officeDocument/2006/relationships/hyperlink" Target="http://consorciofia.info/cdr/ver_fuentes_w.php?NumCDR=10&amp;codEntidad=19450" TargetMode="External"/><Relationship Id="rId369" Type="http://schemas.openxmlformats.org/officeDocument/2006/relationships/hyperlink" Target="http://consorciofia.info/cdr/ver_fuentes_w.php?NumCDR=288&amp;codEntidad=19999" TargetMode="External"/><Relationship Id="rId173" Type="http://schemas.openxmlformats.org/officeDocument/2006/relationships/hyperlink" Target="http://consorciofia.info/cdr/ver_fuentes_w.php?NumCDR=045&amp;codEntidad=19999" TargetMode="External"/><Relationship Id="rId229" Type="http://schemas.openxmlformats.org/officeDocument/2006/relationships/hyperlink" Target="http://consorciofia.info/cdr/ver_fuentes_w.php?NumCDR=048&amp;codEntidad=19999" TargetMode="External"/><Relationship Id="rId380" Type="http://schemas.openxmlformats.org/officeDocument/2006/relationships/hyperlink" Target="http://consorciofia.info/cdr/ver_fuentes_w.php?NumCDR=297&amp;codEntidad=19999" TargetMode="External"/><Relationship Id="rId436" Type="http://schemas.openxmlformats.org/officeDocument/2006/relationships/hyperlink" Target="http://consorciofia.info/cdr/ver_fuentes_w.php?NumCDR=273&amp;codEntidad=19999" TargetMode="External"/><Relationship Id="rId240" Type="http://schemas.openxmlformats.org/officeDocument/2006/relationships/hyperlink" Target="http://consorciofia.info/cdr/ver_fuentes_w.php?NumCDR=135&amp;codEntidad=19999" TargetMode="External"/><Relationship Id="rId478" Type="http://schemas.openxmlformats.org/officeDocument/2006/relationships/hyperlink" Target="http://consorciofia.info/cdr/ver_fuentes_w.php?NumCDR=14&amp;codEntidad=19318" TargetMode="External"/><Relationship Id="rId35" Type="http://schemas.openxmlformats.org/officeDocument/2006/relationships/hyperlink" Target="http://consorciofia.info/cdr/ver_fuentes_w.php?NumCDR=021&amp;codEntidad=19999" TargetMode="External"/><Relationship Id="rId77" Type="http://schemas.openxmlformats.org/officeDocument/2006/relationships/hyperlink" Target="http://consorciofia.info/cdr/ver_fuentes_w.php?NumCDR=051&amp;codEntidad=19999" TargetMode="External"/><Relationship Id="rId100" Type="http://schemas.openxmlformats.org/officeDocument/2006/relationships/hyperlink" Target="http://consorciofia.info/cdr/ver_fuentes_w.php?NumCDR=058&amp;codEntidad=19999" TargetMode="External"/><Relationship Id="rId282" Type="http://schemas.openxmlformats.org/officeDocument/2006/relationships/hyperlink" Target="http://consorciofia.info/cdr/ver_fuentes_w.php?NumCDR=006&amp;codEntidad=19824" TargetMode="External"/><Relationship Id="rId338" Type="http://schemas.openxmlformats.org/officeDocument/2006/relationships/hyperlink" Target="http://consorciofia.info/cdr/ver_fuentes_w.php?NumCDR=7&amp;codEntidad=19392" TargetMode="External"/><Relationship Id="rId503" Type="http://schemas.openxmlformats.org/officeDocument/2006/relationships/hyperlink" Target="http://consorciofia.info/cdr/ver_fuentes_w.php?NumCDR=16&amp;codEntidad=19450" TargetMode="External"/><Relationship Id="rId8" Type="http://schemas.openxmlformats.org/officeDocument/2006/relationships/hyperlink" Target="http://consorciofia.info/cdr/ver_fuentes_w.php?NumCDR=029&amp;codEntidad=19999" TargetMode="External"/><Relationship Id="rId142" Type="http://schemas.openxmlformats.org/officeDocument/2006/relationships/hyperlink" Target="http://consorciofia.info/cdr/ver_fuentes_w.php?NumCDR=101&amp;codEntidad=19999" TargetMode="External"/><Relationship Id="rId184" Type="http://schemas.openxmlformats.org/officeDocument/2006/relationships/hyperlink" Target="http://consorciofia.info/cdr/ver_fuentes_w.php?NumCDR=157&amp;codEntidad=19999" TargetMode="External"/><Relationship Id="rId391" Type="http://schemas.openxmlformats.org/officeDocument/2006/relationships/hyperlink" Target="http://consorciofia.info/cdr/ver_fuentes_w.php?NumCDR=300&amp;codEntidad=19999" TargetMode="External"/><Relationship Id="rId405" Type="http://schemas.openxmlformats.org/officeDocument/2006/relationships/hyperlink" Target="http://consorciofia.info/cdr/ver_fuentes_w.php?NumCDR=308&amp;codEntidad=19999" TargetMode="External"/><Relationship Id="rId447" Type="http://schemas.openxmlformats.org/officeDocument/2006/relationships/hyperlink" Target="http://consorciofia.info/cdr/ver_fuentes_w.php?NumCDR=14&amp;codEntidad=19450"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6.xml"/><Relationship Id="rId1" Type="http://schemas.openxmlformats.org/officeDocument/2006/relationships/hyperlink" Target="http://consorciofia.info/cdr/ver_cdrs_w.php?municipios=19999" TargetMode="External"/><Relationship Id="rId5" Type="http://schemas.openxmlformats.org/officeDocument/2006/relationships/image" Target="../media/image4.emf"/><Relationship Id="rId4" Type="http://schemas.openxmlformats.org/officeDocument/2006/relationships/control" Target="../activeX/activeX21.xml"/></Relationships>
</file>

<file path=xl/worksheets/_rels/sheet22.xml.rels><?xml version="1.0" encoding="UTF-8" standalone="yes"?>
<Relationships xmlns="http://schemas.openxmlformats.org/package/2006/relationships"><Relationship Id="rId8" Type="http://schemas.openxmlformats.org/officeDocument/2006/relationships/control" Target="../activeX/activeX24.xml"/><Relationship Id="rId3" Type="http://schemas.openxmlformats.org/officeDocument/2006/relationships/drawing" Target="../drawings/drawing17.xml"/><Relationship Id="rId7" Type="http://schemas.openxmlformats.org/officeDocument/2006/relationships/control" Target="../activeX/activeX23.xml"/><Relationship Id="rId2" Type="http://schemas.openxmlformats.org/officeDocument/2006/relationships/printerSettings" Target="../printerSettings/printerSettings8.bin"/><Relationship Id="rId1" Type="http://schemas.openxmlformats.org/officeDocument/2006/relationships/hyperlink" Target="http://consorciofia.info/cdr/ver_cdrs_w.php?municipios=19999" TargetMode="External"/><Relationship Id="rId6" Type="http://schemas.openxmlformats.org/officeDocument/2006/relationships/image" Target="../media/image4.emf"/><Relationship Id="rId5" Type="http://schemas.openxmlformats.org/officeDocument/2006/relationships/control" Target="../activeX/activeX22.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1" Type="http://schemas.openxmlformats.org/officeDocument/2006/relationships/hyperlink" Target="http://consorciofia.info/cdr/ver_cdrs_w.php?municipios=19999"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consorciofia.info/cdr/ver_cdrs_w.php?municipios=19999"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hyperlink" Target="http://consorciofia.info/cdr/ver_cdrs_w.php?municipios=19999" TargetMode="External"/><Relationship Id="rId5" Type="http://schemas.openxmlformats.org/officeDocument/2006/relationships/image" Target="../media/image2.emf"/><Relationship Id="rId4" Type="http://schemas.openxmlformats.org/officeDocument/2006/relationships/control" Target="../activeX/activeX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4.vml"/><Relationship Id="rId1" Type="http://schemas.openxmlformats.org/officeDocument/2006/relationships/drawing" Target="../drawings/drawing3.xml"/><Relationship Id="rId4" Type="http://schemas.openxmlformats.org/officeDocument/2006/relationships/image" Target="../media/image2.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ntrol" Target="../activeX/activeX4.xml"/><Relationship Id="rId5" Type="http://schemas.openxmlformats.org/officeDocument/2006/relationships/image" Target="../media/image2.emf"/><Relationship Id="rId4" Type="http://schemas.openxmlformats.org/officeDocument/2006/relationships/control" Target="../activeX/activeX3.xml"/></Relationships>
</file>

<file path=xl/worksheets/_rels/sheet6.xml.rels><?xml version="1.0" encoding="UTF-8" standalone="yes"?>
<Relationships xmlns="http://schemas.openxmlformats.org/package/2006/relationships"><Relationship Id="rId8" Type="http://schemas.openxmlformats.org/officeDocument/2006/relationships/hyperlink" Target="http://consorciofia.info/cdr/ver_fuentes_w.php?NumCDR=023&amp;codEntidad=19999" TargetMode="External"/><Relationship Id="rId13" Type="http://schemas.openxmlformats.org/officeDocument/2006/relationships/hyperlink" Target="http://consorciofia.info/cdr/ver_fuentes_w.php?NumCDR=016&amp;codEntidad=19999" TargetMode="External"/><Relationship Id="rId18" Type="http://schemas.openxmlformats.org/officeDocument/2006/relationships/hyperlink" Target="http://consorciofia.info/cdr/ver_fuentes_w.php?NumCDR=099&amp;codEntidad=19999" TargetMode="External"/><Relationship Id="rId26" Type="http://schemas.openxmlformats.org/officeDocument/2006/relationships/vmlDrawing" Target="../drawings/vmlDrawing6.vml"/><Relationship Id="rId3" Type="http://schemas.openxmlformats.org/officeDocument/2006/relationships/hyperlink" Target="../../../CRISTIAN/AppData/Roaming/Usuario/Downloads/Pagos%20CDRs%20FIA/CDR%20003%20-%20Contrato%20007-2010.jpg" TargetMode="External"/><Relationship Id="rId21" Type="http://schemas.openxmlformats.org/officeDocument/2006/relationships/hyperlink" Target="http://consorciofia.info/cdr/ver_fuentes_w.php?NumCDR=002&amp;codEntidad=19392" TargetMode="External"/><Relationship Id="rId7" Type="http://schemas.openxmlformats.org/officeDocument/2006/relationships/hyperlink" Target="http://consorciofia.info/cdr/ver_fuentes_w.php?NumCDR=0011&amp;codEntidad=19999" TargetMode="External"/><Relationship Id="rId12" Type="http://schemas.openxmlformats.org/officeDocument/2006/relationships/hyperlink" Target="http://consorciofia.info/cdr/ver_fuentes_w.php?NumCDR=013&amp;codEntidad=19999" TargetMode="External"/><Relationship Id="rId17" Type="http://schemas.openxmlformats.org/officeDocument/2006/relationships/hyperlink" Target="http://consorciofia.info/cdr/ver_fuentes_w.php?NumCDR=085&amp;codEntidad=19999" TargetMode="External"/><Relationship Id="rId25" Type="http://schemas.openxmlformats.org/officeDocument/2006/relationships/printerSettings" Target="../printerSettings/printerSettings4.bin"/><Relationship Id="rId2" Type="http://schemas.openxmlformats.org/officeDocument/2006/relationships/hyperlink" Target="http://consorciofia.info/cdr/ver_fuentes_w.php?NumCDR=001&amp;codEntidad=19513" TargetMode="External"/><Relationship Id="rId16" Type="http://schemas.openxmlformats.org/officeDocument/2006/relationships/hyperlink" Target="http://consorciofia.info/cdr/ver_fuentes_w.php?NumCDR=158&amp;codEntidad=19999" TargetMode="External"/><Relationship Id="rId20" Type="http://schemas.openxmlformats.org/officeDocument/2006/relationships/hyperlink" Target="http://consorciofia.info/cdr/ver_fuentes_w.php?NumCDR=002&amp;codEntidad=19698" TargetMode="External"/><Relationship Id="rId1" Type="http://schemas.openxmlformats.org/officeDocument/2006/relationships/hyperlink" Target="http://consorciofia.info/cdr/ver_fuentes_w.php?NumCDR=125&amp;codEntidad=19999" TargetMode="External"/><Relationship Id="rId6" Type="http://schemas.openxmlformats.org/officeDocument/2006/relationships/hyperlink" Target="http://consorciofia.info/cdr/ver_fuentes_w.php?NumCDR=011&amp;codEntidad=19999" TargetMode="External"/><Relationship Id="rId11" Type="http://schemas.openxmlformats.org/officeDocument/2006/relationships/hyperlink" Target="http://consorciofia.info/cdr/ver_fuentes_w.php?NumCDR=013&amp;codEntidad=19999" TargetMode="External"/><Relationship Id="rId24" Type="http://schemas.openxmlformats.org/officeDocument/2006/relationships/hyperlink" Target="http://consorciofia.info/cdr/ver_fuentes_w.php?NumCDR=109&amp;codEntidad=19999" TargetMode="External"/><Relationship Id="rId5" Type="http://schemas.openxmlformats.org/officeDocument/2006/relationships/hyperlink" Target="http://consorciofia.info/cdr/ver_fuentes_w.php?NumCDR=005&amp;codEntidad=19999" TargetMode="External"/><Relationship Id="rId15" Type="http://schemas.openxmlformats.org/officeDocument/2006/relationships/hyperlink" Target="http://consorciofia.info/cdr/ver_fuentes_w.php?NumCDR=040&amp;codEntidad=19999" TargetMode="External"/><Relationship Id="rId23" Type="http://schemas.openxmlformats.org/officeDocument/2006/relationships/hyperlink" Target="http://consorciofia.info/cdr/ver_fuentes_w.php?NumCDR=223&amp;codEntidad=19999" TargetMode="External"/><Relationship Id="rId10" Type="http://schemas.openxmlformats.org/officeDocument/2006/relationships/hyperlink" Target="http://consorciofia.info/cdr/ver_fuentes_w.php?NumCDR=012&amp;codEntidad=19999" TargetMode="External"/><Relationship Id="rId19" Type="http://schemas.openxmlformats.org/officeDocument/2006/relationships/hyperlink" Target="http://consorciofia.info/cdr/ver_fuentes_w.php?NumCDR=106&amp;codEntidad=19999" TargetMode="External"/><Relationship Id="rId4" Type="http://schemas.openxmlformats.org/officeDocument/2006/relationships/hyperlink" Target="http://consorciofia.info/cdr/ver_fuentes_w.php?NumCDR=003&amp;codEntidad=19999" TargetMode="External"/><Relationship Id="rId9" Type="http://schemas.openxmlformats.org/officeDocument/2006/relationships/hyperlink" Target="http://consorciofia.info/cdr/ver_fuentes_w.php?NumCDR=012&amp;codEntidad=19999" TargetMode="External"/><Relationship Id="rId14" Type="http://schemas.openxmlformats.org/officeDocument/2006/relationships/hyperlink" Target="http://consorciofia.info/cdr/ver_fuentes_w.php?NumCDR=040&amp;codEntidad=19999" TargetMode="External"/><Relationship Id="rId22" Type="http://schemas.openxmlformats.org/officeDocument/2006/relationships/hyperlink" Target="http://consorciofia.info/cdr/ver_fuentes_w.php?NumCDR=337&amp;codEntidad=19999" TargetMode="External"/><Relationship Id="rId27"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hyperlink" Target="http://consorciofia.info/cdr/ver_fuentes_w.php?NumCDR=188&amp;codEntidad=19999" TargetMode="External"/><Relationship Id="rId3" Type="http://schemas.openxmlformats.org/officeDocument/2006/relationships/hyperlink" Target="http://consorciofia.info/cdr/ver_fuentes_w.php?NumCDR=006&amp;codEntidad=19999" TargetMode="External"/><Relationship Id="rId7" Type="http://schemas.openxmlformats.org/officeDocument/2006/relationships/hyperlink" Target="http://consorciofia.info/cdr/ver_fuentes_w.php?NumCDR=103&amp;codEntidad=19999" TargetMode="External"/><Relationship Id="rId12" Type="http://schemas.openxmlformats.org/officeDocument/2006/relationships/comments" Target="../comments4.xml"/><Relationship Id="rId2" Type="http://schemas.openxmlformats.org/officeDocument/2006/relationships/hyperlink" Target="http://consorciofia.info/cdr/ver_fuentes_w.php?NumCDR=019&amp;codEntidad=19999" TargetMode="External"/><Relationship Id="rId1" Type="http://schemas.openxmlformats.org/officeDocument/2006/relationships/hyperlink" Target="http://consorciofia.info/cdr/ver_fuentes_w.php?NumCDR=019&amp;codEntidad=19999" TargetMode="External"/><Relationship Id="rId6" Type="http://schemas.openxmlformats.org/officeDocument/2006/relationships/hyperlink" Target="http://consorciofia.info/cdr/ver_fuentes_w.php?NumCDR=174&amp;codEntidad=19999" TargetMode="External"/><Relationship Id="rId11" Type="http://schemas.openxmlformats.org/officeDocument/2006/relationships/vmlDrawing" Target="../drawings/vmlDrawing7.vml"/><Relationship Id="rId5" Type="http://schemas.openxmlformats.org/officeDocument/2006/relationships/hyperlink" Target="http://consorciofia.info/cdr/ver_fuentes_w.php?NumCDR=093&amp;codEntidad=19999" TargetMode="External"/><Relationship Id="rId10" Type="http://schemas.openxmlformats.org/officeDocument/2006/relationships/hyperlink" Target="http://consorciofia.info/cdr/ver_fuentes_w.php?NumCDR=022&amp;codEntidad=19999" TargetMode="External"/><Relationship Id="rId4" Type="http://schemas.openxmlformats.org/officeDocument/2006/relationships/hyperlink" Target="http://consorciofia.info/cdr/ver_fuentes_w.php?NumCDR=090&amp;codEntidad=19999" TargetMode="External"/><Relationship Id="rId9" Type="http://schemas.openxmlformats.org/officeDocument/2006/relationships/hyperlink" Target="http://consorciofia.info/cdr/ver_fuentes_w.php?NumCDR=106&amp;codEntidad=19999" TargetMode="External"/></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5.xml"/><Relationship Id="rId2" Type="http://schemas.openxmlformats.org/officeDocument/2006/relationships/vmlDrawing" Target="../drawings/vmlDrawing8.vml"/><Relationship Id="rId1" Type="http://schemas.openxmlformats.org/officeDocument/2006/relationships/drawing" Target="../drawings/drawing5.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6.xml"/><Relationship Id="rId2" Type="http://schemas.openxmlformats.org/officeDocument/2006/relationships/vmlDrawing" Target="../drawings/vmlDrawing9.vml"/><Relationship Id="rId1" Type="http://schemas.openxmlformats.org/officeDocument/2006/relationships/drawing" Target="../drawings/drawing6.xml"/><Relationship Id="rId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1797"/>
  <sheetViews>
    <sheetView tabSelected="1" zoomScale="72" workbookViewId="0">
      <pane xSplit="1" ySplit="2" topLeftCell="B1740" activePane="bottomRight" state="frozen"/>
      <selection pane="topRight" activeCell="B1" sqref="B1"/>
      <selection pane="bottomLeft" activeCell="A3" sqref="A3"/>
      <selection pane="bottomRight" activeCell="A1747" sqref="A1747:A1748"/>
    </sheetView>
  </sheetViews>
  <sheetFormatPr baseColWidth="10" defaultColWidth="11.42578125" defaultRowHeight="15.75"/>
  <cols>
    <col min="1" max="1" width="18.5703125" style="46" customWidth="1"/>
    <col min="2" max="2" width="14.28515625" style="47" customWidth="1"/>
    <col min="3" max="3" width="17.140625" style="46" customWidth="1"/>
    <col min="4" max="4" width="12" style="46" customWidth="1"/>
    <col min="5" max="5" width="14.140625" style="48" customWidth="1"/>
    <col min="6" max="6" width="8" style="48" customWidth="1"/>
    <col min="7" max="7" width="18.5703125" style="46" customWidth="1"/>
    <col min="8" max="8" width="16.28515625" style="46" customWidth="1"/>
    <col min="9" max="9" width="15.7109375" style="46" customWidth="1"/>
    <col min="10" max="10" width="18.7109375" style="46" customWidth="1"/>
    <col min="11" max="11" width="16.85546875" style="46" customWidth="1"/>
    <col min="12" max="12" width="23.140625" style="46" customWidth="1"/>
    <col min="13" max="13" width="6.42578125" style="51" customWidth="1"/>
    <col min="14" max="14" width="8.28515625" style="49" customWidth="1"/>
    <col min="15" max="15" width="19.85546875" style="52" customWidth="1"/>
    <col min="16" max="16" width="25.140625" style="52" customWidth="1"/>
    <col min="17" max="17" width="20.28515625" style="52" customWidth="1"/>
    <col min="18" max="18" width="16.5703125" style="47" customWidth="1"/>
    <col min="19" max="19" width="20.28515625" style="53" hidden="1" customWidth="1"/>
    <col min="20" max="20" width="23.7109375" style="52" hidden="1" customWidth="1"/>
    <col min="21" max="21" width="16.5703125" style="52" hidden="1" customWidth="1"/>
    <col min="22" max="22" width="23.28515625" style="52" customWidth="1"/>
    <col min="23" max="23" width="20.28515625" style="52" customWidth="1"/>
    <col min="24" max="24" width="33.5703125" style="46" customWidth="1"/>
    <col min="25" max="25" width="36.42578125" style="49" customWidth="1"/>
    <col min="26" max="28" width="21.7109375" style="52" customWidth="1"/>
    <col min="29" max="29" width="15.7109375" style="47" customWidth="1"/>
    <col min="30" max="30" width="21.7109375" style="59" customWidth="1"/>
    <col min="31" max="31" width="16.7109375" style="59" customWidth="1"/>
    <col min="32" max="32" width="21.7109375" style="60" customWidth="1"/>
    <col min="33" max="33" width="19.42578125" style="60" customWidth="1"/>
    <col min="34" max="34" width="17.5703125" style="60" customWidth="1"/>
    <col min="35" max="35" width="19.140625" style="60" customWidth="1"/>
    <col min="36" max="36" width="21.5703125" style="52" customWidth="1"/>
    <col min="37" max="37" width="27.85546875" style="52" customWidth="1"/>
    <col min="38" max="38" width="25.5703125" style="52" customWidth="1"/>
    <col min="39" max="39" width="27.42578125" style="52" customWidth="1"/>
    <col min="40" max="40" width="35.5703125" style="50" customWidth="1"/>
    <col min="41" max="41" width="49.42578125" style="25" customWidth="1"/>
    <col min="42" max="42" width="21.85546875" style="25" customWidth="1"/>
    <col min="43" max="43" width="21.85546875" style="934" customWidth="1"/>
    <col min="44" max="44" width="16.28515625" style="25" bestFit="1" customWidth="1"/>
    <col min="45" max="45" width="15.28515625" style="25" customWidth="1"/>
    <col min="46" max="16384" width="11.42578125" style="25"/>
  </cols>
  <sheetData>
    <row r="1" spans="1:45" s="4" customFormat="1" ht="15" customHeight="1">
      <c r="A1" s="1342" t="s">
        <v>56</v>
      </c>
      <c r="B1" s="1342"/>
      <c r="C1" s="1342"/>
      <c r="D1" s="1342"/>
      <c r="E1" s="1342"/>
      <c r="F1" s="1342"/>
      <c r="G1" s="1342"/>
      <c r="H1" s="1342"/>
      <c r="I1" s="1342"/>
      <c r="J1" s="1342"/>
      <c r="K1" s="1342"/>
      <c r="L1" s="1342"/>
      <c r="M1" s="1343" t="s">
        <v>57</v>
      </c>
      <c r="N1" s="1343"/>
      <c r="O1" s="1343"/>
      <c r="P1" s="1343"/>
      <c r="Q1" s="1343"/>
      <c r="R1" s="1343"/>
      <c r="S1" s="1344" t="s">
        <v>284</v>
      </c>
      <c r="T1" s="1344"/>
      <c r="U1" s="1344"/>
      <c r="V1" s="1345" t="s">
        <v>63</v>
      </c>
      <c r="W1" s="1345"/>
      <c r="X1" s="1345"/>
      <c r="Y1" s="1346" t="s">
        <v>190</v>
      </c>
      <c r="Z1" s="1346"/>
      <c r="AA1" s="1346"/>
      <c r="AB1" s="1346"/>
      <c r="AC1" s="1346"/>
      <c r="AD1" s="1346"/>
      <c r="AE1" s="1346"/>
      <c r="AF1" s="1346"/>
      <c r="AG1" s="1346"/>
      <c r="AH1" s="1346"/>
      <c r="AI1" s="1346"/>
      <c r="AJ1" s="1347" t="s">
        <v>202</v>
      </c>
      <c r="AK1" s="1347"/>
      <c r="AL1" s="1347"/>
      <c r="AM1" s="1347"/>
      <c r="AN1" s="1341" t="s">
        <v>203</v>
      </c>
      <c r="AO1" s="1341"/>
      <c r="AQ1" s="1401" t="s">
        <v>2748</v>
      </c>
      <c r="AR1" s="1402"/>
      <c r="AS1" s="1403"/>
    </row>
    <row r="2" spans="1:45" s="61" customFormat="1" ht="15" customHeight="1">
      <c r="A2" s="16" t="s">
        <v>2880</v>
      </c>
      <c r="B2" s="17" t="s">
        <v>52</v>
      </c>
      <c r="C2" s="16" t="s">
        <v>64</v>
      </c>
      <c r="D2" s="16" t="s">
        <v>58</v>
      </c>
      <c r="E2" s="18" t="s">
        <v>3</v>
      </c>
      <c r="F2" s="18" t="s">
        <v>53</v>
      </c>
      <c r="G2" s="16" t="s">
        <v>2</v>
      </c>
      <c r="H2" s="16" t="s">
        <v>65</v>
      </c>
      <c r="I2" s="16" t="s">
        <v>201</v>
      </c>
      <c r="J2" s="16" t="s">
        <v>126</v>
      </c>
      <c r="K2" s="16" t="s">
        <v>68</v>
      </c>
      <c r="L2" s="16" t="s">
        <v>207</v>
      </c>
      <c r="M2" s="20" t="s">
        <v>358</v>
      </c>
      <c r="N2" s="19" t="s">
        <v>54</v>
      </c>
      <c r="O2" s="36" t="s">
        <v>60</v>
      </c>
      <c r="P2" s="36" t="s">
        <v>59</v>
      </c>
      <c r="Q2" s="36" t="s">
        <v>313</v>
      </c>
      <c r="R2" s="22" t="s">
        <v>187</v>
      </c>
      <c r="S2" s="37" t="s">
        <v>59</v>
      </c>
      <c r="T2" s="38" t="s">
        <v>60</v>
      </c>
      <c r="U2" s="38" t="s">
        <v>285</v>
      </c>
      <c r="V2" s="39" t="s">
        <v>314</v>
      </c>
      <c r="W2" s="39" t="s">
        <v>55</v>
      </c>
      <c r="X2" s="5" t="s">
        <v>61</v>
      </c>
      <c r="Y2" s="21" t="s">
        <v>315</v>
      </c>
      <c r="Z2" s="44" t="s">
        <v>371</v>
      </c>
      <c r="AA2" s="44" t="s">
        <v>189</v>
      </c>
      <c r="AB2" s="44" t="s">
        <v>316</v>
      </c>
      <c r="AC2" s="7" t="s">
        <v>179</v>
      </c>
      <c r="AD2" s="32" t="s">
        <v>330</v>
      </c>
      <c r="AE2" s="32" t="s">
        <v>395</v>
      </c>
      <c r="AF2" s="32" t="s">
        <v>317</v>
      </c>
      <c r="AG2" s="32" t="s">
        <v>328</v>
      </c>
      <c r="AH2" s="32" t="s">
        <v>318</v>
      </c>
      <c r="AI2" s="32" t="s">
        <v>293</v>
      </c>
      <c r="AJ2" s="45" t="s">
        <v>322</v>
      </c>
      <c r="AK2" s="45" t="s">
        <v>319</v>
      </c>
      <c r="AL2" s="45" t="s">
        <v>324</v>
      </c>
      <c r="AM2" s="45" t="s">
        <v>372</v>
      </c>
      <c r="AN2" s="35" t="s">
        <v>264</v>
      </c>
      <c r="AO2" s="8" t="s">
        <v>193</v>
      </c>
      <c r="AP2" s="61" t="s">
        <v>2465</v>
      </c>
      <c r="AQ2" s="934" t="s">
        <v>2749</v>
      </c>
      <c r="AR2" s="966" t="s">
        <v>2750</v>
      </c>
      <c r="AS2" s="966" t="s">
        <v>2751</v>
      </c>
    </row>
    <row r="3" spans="1:45" s="6" customFormat="1" ht="15" customHeight="1">
      <c r="A3" s="1339" t="s">
        <v>232</v>
      </c>
      <c r="B3" s="1253">
        <v>40212</v>
      </c>
      <c r="C3" s="1219" t="s">
        <v>45</v>
      </c>
      <c r="D3" s="1219" t="s">
        <v>188</v>
      </c>
      <c r="E3" s="1340">
        <v>817004988</v>
      </c>
      <c r="F3" s="1340">
        <v>3</v>
      </c>
      <c r="G3" s="1219" t="s">
        <v>2764</v>
      </c>
      <c r="H3" s="1219" t="s">
        <v>72</v>
      </c>
      <c r="I3" s="1329" t="s">
        <v>177</v>
      </c>
      <c r="J3" s="1219" t="s">
        <v>66</v>
      </c>
      <c r="K3" s="1219" t="s">
        <v>183</v>
      </c>
      <c r="L3" s="1219"/>
      <c r="M3" s="1318">
        <v>29</v>
      </c>
      <c r="N3" s="1219" t="s">
        <v>137</v>
      </c>
      <c r="O3" s="1084">
        <v>130000000</v>
      </c>
      <c r="P3" s="1084">
        <v>130000000</v>
      </c>
      <c r="Q3" s="1084">
        <f>P3+P7</f>
        <v>150984400</v>
      </c>
      <c r="R3" s="1253">
        <v>40211</v>
      </c>
      <c r="S3" s="124"/>
      <c r="T3" s="111"/>
      <c r="U3" s="111"/>
      <c r="V3" s="1084">
        <v>130000000</v>
      </c>
      <c r="W3" s="1084">
        <f>V3+V7</f>
        <v>150984400</v>
      </c>
      <c r="X3" s="1219" t="s">
        <v>192</v>
      </c>
      <c r="Y3" s="121" t="s">
        <v>2758</v>
      </c>
      <c r="Z3" s="111">
        <v>0</v>
      </c>
      <c r="AA3" s="111">
        <v>52000000</v>
      </c>
      <c r="AB3" s="111">
        <f t="shared" ref="AB3:AB14" si="0">Z3+AA3</f>
        <v>52000000</v>
      </c>
      <c r="AC3" s="125">
        <v>40305</v>
      </c>
      <c r="AD3" s="56">
        <v>52000000</v>
      </c>
      <c r="AE3" s="1219" t="s">
        <v>137</v>
      </c>
      <c r="AF3" s="1315">
        <f>SUM(AD3:AD6)</f>
        <v>130000000</v>
      </c>
      <c r="AG3" s="1315">
        <f>SUM(AD3:AD8)</f>
        <v>150984400</v>
      </c>
      <c r="AH3" s="1315">
        <f>P3-AF3</f>
        <v>0</v>
      </c>
      <c r="AI3" s="1315">
        <v>0</v>
      </c>
      <c r="AJ3" s="1084">
        <f>SUM(Z3:Z8)-SUM(AD3:AD8)</f>
        <v>0</v>
      </c>
      <c r="AK3" s="1084">
        <f>P3-V3</f>
        <v>0</v>
      </c>
      <c r="AL3" s="1084">
        <f>V3-SUM(Z3:Z6)</f>
        <v>0</v>
      </c>
      <c r="AM3" s="1084">
        <f>AK3+AL3</f>
        <v>0</v>
      </c>
      <c r="AN3" s="1328"/>
      <c r="AO3" s="1329" t="s">
        <v>320</v>
      </c>
      <c r="AQ3" s="934"/>
    </row>
    <row r="4" spans="1:45" s="6" customFormat="1" ht="15" customHeight="1">
      <c r="A4" s="1339"/>
      <c r="B4" s="1253"/>
      <c r="C4" s="1219"/>
      <c r="D4" s="1219"/>
      <c r="E4" s="1340"/>
      <c r="F4" s="1340"/>
      <c r="G4" s="1219"/>
      <c r="H4" s="1219"/>
      <c r="I4" s="1329"/>
      <c r="J4" s="1219"/>
      <c r="K4" s="1219"/>
      <c r="L4" s="1219"/>
      <c r="M4" s="1318"/>
      <c r="N4" s="1219"/>
      <c r="O4" s="1084"/>
      <c r="P4" s="1084"/>
      <c r="Q4" s="1084"/>
      <c r="R4" s="1253"/>
      <c r="S4" s="124"/>
      <c r="T4" s="111"/>
      <c r="U4" s="111"/>
      <c r="V4" s="1084"/>
      <c r="W4" s="1084"/>
      <c r="X4" s="1219"/>
      <c r="Y4" s="121" t="s">
        <v>2759</v>
      </c>
      <c r="Z4" s="111">
        <v>65000000</v>
      </c>
      <c r="AA4" s="111">
        <v>-26000000</v>
      </c>
      <c r="AB4" s="111">
        <f t="shared" si="0"/>
        <v>39000000</v>
      </c>
      <c r="AC4" s="125">
        <v>40457</v>
      </c>
      <c r="AD4" s="56">
        <v>39000000</v>
      </c>
      <c r="AE4" s="1219"/>
      <c r="AF4" s="1315"/>
      <c r="AG4" s="1315"/>
      <c r="AH4" s="1315"/>
      <c r="AI4" s="1315"/>
      <c r="AJ4" s="1084"/>
      <c r="AK4" s="1084"/>
      <c r="AL4" s="1084"/>
      <c r="AM4" s="1084"/>
      <c r="AN4" s="1328"/>
      <c r="AO4" s="1329"/>
      <c r="AQ4" s="934"/>
    </row>
    <row r="5" spans="1:45" s="6" customFormat="1" ht="15" customHeight="1">
      <c r="A5" s="1339"/>
      <c r="B5" s="1253"/>
      <c r="C5" s="1219"/>
      <c r="D5" s="1219"/>
      <c r="E5" s="1340"/>
      <c r="F5" s="1340"/>
      <c r="G5" s="1219"/>
      <c r="H5" s="1219"/>
      <c r="I5" s="1329"/>
      <c r="J5" s="1219"/>
      <c r="K5" s="1219"/>
      <c r="L5" s="1219"/>
      <c r="M5" s="1318"/>
      <c r="N5" s="1219"/>
      <c r="O5" s="1084"/>
      <c r="P5" s="1084"/>
      <c r="Q5" s="1084"/>
      <c r="R5" s="1253"/>
      <c r="S5" s="124"/>
      <c r="T5" s="111"/>
      <c r="U5" s="111"/>
      <c r="V5" s="1084"/>
      <c r="W5" s="1084"/>
      <c r="X5" s="1219"/>
      <c r="Y5" s="965" t="s">
        <v>2760</v>
      </c>
      <c r="Z5" s="111">
        <v>43290000</v>
      </c>
      <c r="AA5" s="111">
        <v>-17316000</v>
      </c>
      <c r="AB5" s="111">
        <f t="shared" si="0"/>
        <v>25974000</v>
      </c>
      <c r="AC5" s="125">
        <v>40753</v>
      </c>
      <c r="AD5" s="56">
        <v>25974000</v>
      </c>
      <c r="AE5" s="1219"/>
      <c r="AF5" s="1315"/>
      <c r="AG5" s="1315"/>
      <c r="AH5" s="1315"/>
      <c r="AI5" s="1315"/>
      <c r="AJ5" s="1084"/>
      <c r="AK5" s="1084"/>
      <c r="AL5" s="1084"/>
      <c r="AM5" s="1084"/>
      <c r="AN5" s="1328"/>
      <c r="AO5" s="1329"/>
      <c r="AQ5" s="934"/>
    </row>
    <row r="6" spans="1:45" s="6" customFormat="1" ht="15" customHeight="1">
      <c r="A6" s="1339"/>
      <c r="B6" s="1253"/>
      <c r="C6" s="1219"/>
      <c r="D6" s="1219"/>
      <c r="E6" s="1340"/>
      <c r="F6" s="1340"/>
      <c r="G6" s="1219"/>
      <c r="H6" s="1219"/>
      <c r="I6" s="1329"/>
      <c r="J6" s="1219"/>
      <c r="K6" s="1219"/>
      <c r="L6" s="1219"/>
      <c r="M6" s="1318"/>
      <c r="N6" s="1219"/>
      <c r="O6" s="1084"/>
      <c r="P6" s="1084"/>
      <c r="Q6" s="1084"/>
      <c r="R6" s="1253"/>
      <c r="S6" s="124"/>
      <c r="T6" s="111"/>
      <c r="U6" s="111"/>
      <c r="V6" s="1084"/>
      <c r="W6" s="1084"/>
      <c r="X6" s="1219"/>
      <c r="Y6" s="965" t="s">
        <v>2761</v>
      </c>
      <c r="Z6" s="111">
        <v>21710000</v>
      </c>
      <c r="AA6" s="111">
        <v>-8684000</v>
      </c>
      <c r="AB6" s="111">
        <f t="shared" si="0"/>
        <v>13026000</v>
      </c>
      <c r="AC6" s="125">
        <v>41379</v>
      </c>
      <c r="AD6" s="56">
        <v>13026000</v>
      </c>
      <c r="AE6" s="1219"/>
      <c r="AF6" s="1315"/>
      <c r="AG6" s="1315"/>
      <c r="AH6" s="1315"/>
      <c r="AI6" s="1315"/>
      <c r="AJ6" s="1084"/>
      <c r="AK6" s="1084"/>
      <c r="AL6" s="1084"/>
      <c r="AM6" s="1084"/>
      <c r="AN6" s="1328"/>
      <c r="AO6" s="1329"/>
      <c r="AQ6" s="934"/>
    </row>
    <row r="7" spans="1:45" s="6" customFormat="1" ht="15" customHeight="1">
      <c r="A7" s="1339"/>
      <c r="B7" s="1253"/>
      <c r="C7" s="1219"/>
      <c r="D7" s="1219"/>
      <c r="E7" s="1340"/>
      <c r="F7" s="1340"/>
      <c r="G7" s="1219"/>
      <c r="H7" s="1219" t="s">
        <v>72</v>
      </c>
      <c r="I7" s="1329"/>
      <c r="J7" s="1219" t="s">
        <v>67</v>
      </c>
      <c r="K7" s="1219"/>
      <c r="L7" s="1219"/>
      <c r="M7" s="1318">
        <v>190</v>
      </c>
      <c r="N7" s="1219" t="s">
        <v>7</v>
      </c>
      <c r="O7" s="1084">
        <v>20984400</v>
      </c>
      <c r="P7" s="1084">
        <v>20984400</v>
      </c>
      <c r="Q7" s="1084"/>
      <c r="R7" s="1253">
        <v>40759</v>
      </c>
      <c r="S7" s="124"/>
      <c r="T7" s="111"/>
      <c r="U7" s="111"/>
      <c r="V7" s="1084">
        <v>20984400</v>
      </c>
      <c r="W7" s="1084"/>
      <c r="X7" s="1219"/>
      <c r="Y7" s="965" t="s">
        <v>2762</v>
      </c>
      <c r="Z7" s="111">
        <v>17480005</v>
      </c>
      <c r="AA7" s="111">
        <v>0</v>
      </c>
      <c r="AB7" s="111">
        <f t="shared" si="0"/>
        <v>17480005</v>
      </c>
      <c r="AC7" s="125">
        <v>40802</v>
      </c>
      <c r="AD7" s="56">
        <v>17480005</v>
      </c>
      <c r="AE7" s="1219" t="s">
        <v>7</v>
      </c>
      <c r="AF7" s="1315">
        <f>SUM(AD7:AD8)</f>
        <v>20984400</v>
      </c>
      <c r="AG7" s="1315"/>
      <c r="AH7" s="1315">
        <f>P7-AF7</f>
        <v>0</v>
      </c>
      <c r="AI7" s="1315">
        <v>0</v>
      </c>
      <c r="AJ7" s="1084"/>
      <c r="AK7" s="1084">
        <f>P7-V7</f>
        <v>0</v>
      </c>
      <c r="AL7" s="1084">
        <f>V7-SUM(Z7:Z8)</f>
        <v>0</v>
      </c>
      <c r="AM7" s="1084">
        <f>AK7+AL7</f>
        <v>0</v>
      </c>
      <c r="AN7" s="1328"/>
      <c r="AO7" s="1329"/>
      <c r="AQ7" s="934"/>
    </row>
    <row r="8" spans="1:45" s="6" customFormat="1" ht="15" customHeight="1">
      <c r="A8" s="1339"/>
      <c r="B8" s="1253"/>
      <c r="C8" s="1219"/>
      <c r="D8" s="1219"/>
      <c r="E8" s="1340"/>
      <c r="F8" s="1340"/>
      <c r="G8" s="1219"/>
      <c r="H8" s="1219"/>
      <c r="I8" s="1329"/>
      <c r="J8" s="1219"/>
      <c r="K8" s="1219"/>
      <c r="L8" s="1219"/>
      <c r="M8" s="1318"/>
      <c r="N8" s="1219"/>
      <c r="O8" s="1084"/>
      <c r="P8" s="1084"/>
      <c r="Q8" s="1084"/>
      <c r="R8" s="1253"/>
      <c r="S8" s="124"/>
      <c r="T8" s="111"/>
      <c r="U8" s="111"/>
      <c r="V8" s="1084"/>
      <c r="W8" s="1084"/>
      <c r="X8" s="1219"/>
      <c r="Y8" s="965" t="s">
        <v>2763</v>
      </c>
      <c r="Z8" s="111">
        <v>3504395</v>
      </c>
      <c r="AA8" s="111">
        <v>0</v>
      </c>
      <c r="AB8" s="111">
        <f t="shared" si="0"/>
        <v>3504395</v>
      </c>
      <c r="AC8" s="125">
        <v>41374</v>
      </c>
      <c r="AD8" s="56">
        <f>AB8</f>
        <v>3504395</v>
      </c>
      <c r="AE8" s="1219"/>
      <c r="AF8" s="1315"/>
      <c r="AG8" s="1315"/>
      <c r="AH8" s="1315"/>
      <c r="AI8" s="1315"/>
      <c r="AJ8" s="1084"/>
      <c r="AK8" s="1084"/>
      <c r="AL8" s="1084"/>
      <c r="AM8" s="1084"/>
      <c r="AN8" s="1328"/>
      <c r="AO8" s="1329"/>
      <c r="AQ8" s="934"/>
    </row>
    <row r="9" spans="1:45" s="4" customFormat="1" ht="15" customHeight="1">
      <c r="A9" s="1075" t="s">
        <v>233</v>
      </c>
      <c r="B9" s="1171">
        <v>40256</v>
      </c>
      <c r="C9" s="1219" t="s">
        <v>5</v>
      </c>
      <c r="D9" s="1076" t="s">
        <v>175</v>
      </c>
      <c r="E9" s="1252">
        <v>900346392</v>
      </c>
      <c r="F9" s="1252">
        <v>2</v>
      </c>
      <c r="G9" s="1076" t="s">
        <v>2812</v>
      </c>
      <c r="H9" s="1076" t="s">
        <v>72</v>
      </c>
      <c r="I9" s="1204" t="s">
        <v>177</v>
      </c>
      <c r="J9" s="1076" t="s">
        <v>66</v>
      </c>
      <c r="K9" s="1076" t="s">
        <v>183</v>
      </c>
      <c r="L9" s="1076"/>
      <c r="M9" s="1318">
        <v>1</v>
      </c>
      <c r="N9" s="1076" t="s">
        <v>137</v>
      </c>
      <c r="O9" s="1119">
        <v>82867500</v>
      </c>
      <c r="P9" s="1119">
        <v>82867500</v>
      </c>
      <c r="Q9" s="1119">
        <f>P9+O12</f>
        <v>92867500</v>
      </c>
      <c r="R9" s="1171">
        <v>40211</v>
      </c>
      <c r="S9" s="110"/>
      <c r="T9" s="109"/>
      <c r="U9" s="109"/>
      <c r="V9" s="1119">
        <v>82855436</v>
      </c>
      <c r="W9" s="1119">
        <f>V9+V12</f>
        <v>92855436</v>
      </c>
      <c r="X9" s="1076" t="s">
        <v>178</v>
      </c>
      <c r="Y9" s="965" t="s">
        <v>2758</v>
      </c>
      <c r="Z9" s="109">
        <v>0</v>
      </c>
      <c r="AA9" s="109">
        <v>33142174</v>
      </c>
      <c r="AB9" s="111">
        <f t="shared" si="0"/>
        <v>33142174</v>
      </c>
      <c r="AC9" s="97">
        <v>40305</v>
      </c>
      <c r="AD9" s="56">
        <v>33142174</v>
      </c>
      <c r="AE9" s="1076" t="s">
        <v>137</v>
      </c>
      <c r="AF9" s="1315">
        <f>SUM(AD9:AD11)</f>
        <v>82855436</v>
      </c>
      <c r="AG9" s="1315">
        <f>SUM(AD9:AD13)</f>
        <v>92855361</v>
      </c>
      <c r="AH9" s="1315">
        <v>0</v>
      </c>
      <c r="AI9" s="1315">
        <v>0</v>
      </c>
      <c r="AJ9" s="1119">
        <f>SUM(Z9:Z13)-SUM(AD9:AD13)</f>
        <v>0</v>
      </c>
      <c r="AK9" s="1119">
        <f>P9-V9</f>
        <v>12064</v>
      </c>
      <c r="AL9" s="1119">
        <f>V9-SUM(Z9:Z11)</f>
        <v>0</v>
      </c>
      <c r="AM9" s="1119">
        <f>AK9+AL9</f>
        <v>12064</v>
      </c>
      <c r="AN9" s="1203"/>
      <c r="AO9" s="1204" t="s">
        <v>321</v>
      </c>
      <c r="AQ9" s="934"/>
    </row>
    <row r="10" spans="1:45" s="4" customFormat="1" ht="15" customHeight="1">
      <c r="A10" s="1075"/>
      <c r="B10" s="1171"/>
      <c r="C10" s="1219"/>
      <c r="D10" s="1076"/>
      <c r="E10" s="1252"/>
      <c r="F10" s="1252"/>
      <c r="G10" s="1076"/>
      <c r="H10" s="1076"/>
      <c r="I10" s="1204"/>
      <c r="J10" s="1076"/>
      <c r="K10" s="1076"/>
      <c r="L10" s="1076"/>
      <c r="M10" s="1318"/>
      <c r="N10" s="1076"/>
      <c r="O10" s="1119"/>
      <c r="P10" s="1119"/>
      <c r="Q10" s="1119"/>
      <c r="R10" s="1171"/>
      <c r="S10" s="110"/>
      <c r="T10" s="109"/>
      <c r="U10" s="109"/>
      <c r="V10" s="1119"/>
      <c r="W10" s="1119"/>
      <c r="X10" s="1076"/>
      <c r="Y10" s="965" t="s">
        <v>2759</v>
      </c>
      <c r="Z10" s="109">
        <v>74569892</v>
      </c>
      <c r="AA10" s="109">
        <v>-29827957</v>
      </c>
      <c r="AB10" s="109">
        <f t="shared" si="0"/>
        <v>44741935</v>
      </c>
      <c r="AC10" s="97">
        <v>41129</v>
      </c>
      <c r="AD10" s="56">
        <v>44741935</v>
      </c>
      <c r="AE10" s="1076"/>
      <c r="AF10" s="1315"/>
      <c r="AG10" s="1315"/>
      <c r="AH10" s="1315"/>
      <c r="AI10" s="1315"/>
      <c r="AJ10" s="1119"/>
      <c r="AK10" s="1119"/>
      <c r="AL10" s="1119"/>
      <c r="AM10" s="1119"/>
      <c r="AN10" s="1203"/>
      <c r="AO10" s="1204"/>
      <c r="AQ10" s="934"/>
    </row>
    <row r="11" spans="1:45" s="4" customFormat="1" ht="15" customHeight="1">
      <c r="A11" s="1075"/>
      <c r="B11" s="1171"/>
      <c r="C11" s="1219"/>
      <c r="D11" s="1076"/>
      <c r="E11" s="1252"/>
      <c r="F11" s="1252"/>
      <c r="G11" s="1076"/>
      <c r="H11" s="1076"/>
      <c r="I11" s="1204"/>
      <c r="J11" s="1076"/>
      <c r="K11" s="1076"/>
      <c r="L11" s="1076"/>
      <c r="M11" s="1318"/>
      <c r="N11" s="1076"/>
      <c r="O11" s="1119"/>
      <c r="P11" s="1119"/>
      <c r="Q11" s="1119"/>
      <c r="R11" s="1171"/>
      <c r="S11" s="110"/>
      <c r="T11" s="109"/>
      <c r="U11" s="109"/>
      <c r="V11" s="1119"/>
      <c r="W11" s="1119"/>
      <c r="X11" s="1076"/>
      <c r="Y11" s="965" t="s">
        <v>2760</v>
      </c>
      <c r="Z11" s="109">
        <v>8285544</v>
      </c>
      <c r="AA11" s="109">
        <v>-3314217</v>
      </c>
      <c r="AB11" s="109">
        <f t="shared" si="0"/>
        <v>4971327</v>
      </c>
      <c r="AC11" s="97">
        <v>42478</v>
      </c>
      <c r="AD11" s="56">
        <v>4971327</v>
      </c>
      <c r="AE11" s="1076"/>
      <c r="AF11" s="1315"/>
      <c r="AG11" s="1315"/>
      <c r="AH11" s="1315"/>
      <c r="AI11" s="1315"/>
      <c r="AJ11" s="1119"/>
      <c r="AK11" s="1119"/>
      <c r="AL11" s="1119"/>
      <c r="AM11" s="1119"/>
      <c r="AN11" s="1203"/>
      <c r="AO11" s="1204"/>
      <c r="AQ11" s="934"/>
    </row>
    <row r="12" spans="1:45" s="4" customFormat="1" ht="15" customHeight="1">
      <c r="A12" s="1075"/>
      <c r="B12" s="1171"/>
      <c r="C12" s="1219"/>
      <c r="D12" s="1076"/>
      <c r="E12" s="1252"/>
      <c r="F12" s="1252"/>
      <c r="G12" s="1076"/>
      <c r="H12" s="1076"/>
      <c r="I12" s="1204"/>
      <c r="J12" s="1076" t="s">
        <v>171</v>
      </c>
      <c r="K12" s="1076"/>
      <c r="L12" s="1076"/>
      <c r="M12" s="1318">
        <v>174</v>
      </c>
      <c r="N12" s="1076" t="s">
        <v>7</v>
      </c>
      <c r="O12" s="1119">
        <v>10000000</v>
      </c>
      <c r="P12" s="1119">
        <v>1511282659</v>
      </c>
      <c r="Q12" s="1119"/>
      <c r="R12" s="1171">
        <v>40745</v>
      </c>
      <c r="S12" s="110"/>
      <c r="T12" s="109"/>
      <c r="U12" s="109"/>
      <c r="V12" s="1119">
        <v>10000000</v>
      </c>
      <c r="W12" s="1119"/>
      <c r="X12" s="1076"/>
      <c r="Y12" s="965" t="s">
        <v>2761</v>
      </c>
      <c r="Z12" s="109">
        <v>999925</v>
      </c>
      <c r="AA12" s="109">
        <v>0</v>
      </c>
      <c r="AB12" s="109">
        <f t="shared" si="0"/>
        <v>999925</v>
      </c>
      <c r="AC12" s="97">
        <v>42478</v>
      </c>
      <c r="AD12" s="56">
        <v>999925</v>
      </c>
      <c r="AE12" s="1076" t="s">
        <v>7</v>
      </c>
      <c r="AF12" s="1315">
        <f>SUM(AD12:AD13)</f>
        <v>9999925</v>
      </c>
      <c r="AG12" s="1315"/>
      <c r="AH12" s="1315">
        <v>0</v>
      </c>
      <c r="AI12" s="1315">
        <v>0</v>
      </c>
      <c r="AJ12" s="1119"/>
      <c r="AK12" s="1324">
        <f>P12-V12</f>
        <v>1501282659</v>
      </c>
      <c r="AL12" s="1324">
        <f>V12-SUM(Z12:Z13)</f>
        <v>75</v>
      </c>
      <c r="AM12" s="1324">
        <f>AK12+AL12</f>
        <v>1501282734</v>
      </c>
      <c r="AN12" s="1203"/>
      <c r="AO12" s="1204"/>
      <c r="AQ12" s="934"/>
    </row>
    <row r="13" spans="1:45" s="4" customFormat="1" ht="15" customHeight="1">
      <c r="A13" s="1075"/>
      <c r="B13" s="1171"/>
      <c r="C13" s="1219"/>
      <c r="D13" s="1076"/>
      <c r="E13" s="1252"/>
      <c r="F13" s="1252"/>
      <c r="G13" s="1076"/>
      <c r="H13" s="1076"/>
      <c r="I13" s="1204"/>
      <c r="J13" s="1076"/>
      <c r="K13" s="1076"/>
      <c r="L13" s="1076"/>
      <c r="M13" s="1318"/>
      <c r="N13" s="1076"/>
      <c r="O13" s="1119"/>
      <c r="P13" s="1119"/>
      <c r="Q13" s="1119"/>
      <c r="R13" s="1171"/>
      <c r="S13" s="110"/>
      <c r="T13" s="109"/>
      <c r="U13" s="109"/>
      <c r="V13" s="1119"/>
      <c r="W13" s="1119"/>
      <c r="X13" s="1076"/>
      <c r="Y13" s="965" t="s">
        <v>2762</v>
      </c>
      <c r="Z13" s="109">
        <v>9000000</v>
      </c>
      <c r="AA13" s="109">
        <v>0</v>
      </c>
      <c r="AB13" s="109">
        <f t="shared" si="0"/>
        <v>9000000</v>
      </c>
      <c r="AC13" s="97">
        <v>42478</v>
      </c>
      <c r="AD13" s="56">
        <v>9000000</v>
      </c>
      <c r="AE13" s="1076"/>
      <c r="AF13" s="1315"/>
      <c r="AG13" s="1315"/>
      <c r="AH13" s="1315"/>
      <c r="AI13" s="1315"/>
      <c r="AJ13" s="1119"/>
      <c r="AK13" s="1324"/>
      <c r="AL13" s="1324"/>
      <c r="AM13" s="1324"/>
      <c r="AN13" s="1203"/>
      <c r="AO13" s="1204"/>
      <c r="AQ13" s="934"/>
    </row>
    <row r="14" spans="1:45" s="6" customFormat="1" ht="15" customHeight="1">
      <c r="A14" s="1339" t="s">
        <v>234</v>
      </c>
      <c r="B14" s="1253">
        <v>40239</v>
      </c>
      <c r="C14" s="1219" t="s">
        <v>5</v>
      </c>
      <c r="D14" s="1219" t="s">
        <v>6</v>
      </c>
      <c r="E14" s="1340">
        <v>900342899</v>
      </c>
      <c r="F14" s="1340">
        <v>6</v>
      </c>
      <c r="G14" s="1219" t="s">
        <v>2747</v>
      </c>
      <c r="H14" s="1219" t="s">
        <v>72</v>
      </c>
      <c r="I14" s="1329" t="s">
        <v>177</v>
      </c>
      <c r="J14" s="1219" t="s">
        <v>66</v>
      </c>
      <c r="K14" s="1219" t="s">
        <v>183</v>
      </c>
      <c r="L14" s="1219"/>
      <c r="M14" s="1318">
        <v>2</v>
      </c>
      <c r="N14" s="1219" t="s">
        <v>137</v>
      </c>
      <c r="O14" s="1084">
        <v>96932500</v>
      </c>
      <c r="P14" s="1084">
        <v>96932500</v>
      </c>
      <c r="Q14" s="1084">
        <f>P14+P16</f>
        <v>138932500</v>
      </c>
      <c r="R14" s="1253">
        <v>40211</v>
      </c>
      <c r="S14" s="124"/>
      <c r="T14" s="111"/>
      <c r="U14" s="111"/>
      <c r="V14" s="1084">
        <v>96932500</v>
      </c>
      <c r="W14" s="1084">
        <f>V14+V16</f>
        <v>138932500</v>
      </c>
      <c r="X14" s="1219" t="s">
        <v>62</v>
      </c>
      <c r="Y14" s="121" t="s">
        <v>2758</v>
      </c>
      <c r="Z14" s="111">
        <v>0</v>
      </c>
      <c r="AA14" s="111">
        <v>37572964</v>
      </c>
      <c r="AB14" s="109">
        <f t="shared" si="0"/>
        <v>37572964</v>
      </c>
      <c r="AC14" s="125">
        <v>40333</v>
      </c>
      <c r="AD14" s="56">
        <f>AB14</f>
        <v>37572964</v>
      </c>
      <c r="AE14" s="1219" t="s">
        <v>137</v>
      </c>
      <c r="AF14" s="1315">
        <f>SUM(AD14:AD15)</f>
        <v>96932409</v>
      </c>
      <c r="AG14" s="1315">
        <f>SUM(AD14:AD16)</f>
        <v>138932409</v>
      </c>
      <c r="AH14" s="1315">
        <v>0</v>
      </c>
      <c r="AI14" s="1315">
        <v>0</v>
      </c>
      <c r="AJ14" s="1084">
        <f>SUM(Z14:Z16)-SUM(AD14:AD16)</f>
        <v>0</v>
      </c>
      <c r="AK14" s="1084">
        <f>P14-V14</f>
        <v>0</v>
      </c>
      <c r="AL14" s="1084">
        <f>V14-SUM(Z14:Z15)</f>
        <v>91</v>
      </c>
      <c r="AM14" s="1084">
        <f>AK14+AL14</f>
        <v>91</v>
      </c>
      <c r="AN14" s="1328"/>
      <c r="AO14" s="1329" t="s">
        <v>340</v>
      </c>
      <c r="AQ14" s="934"/>
    </row>
    <row r="15" spans="1:45" s="6" customFormat="1" ht="15" customHeight="1">
      <c r="A15" s="1339"/>
      <c r="B15" s="1253"/>
      <c r="C15" s="1219"/>
      <c r="D15" s="1219"/>
      <c r="E15" s="1340"/>
      <c r="F15" s="1340"/>
      <c r="G15" s="1219"/>
      <c r="H15" s="1219"/>
      <c r="I15" s="1329"/>
      <c r="J15" s="1219"/>
      <c r="K15" s="1219"/>
      <c r="L15" s="1219"/>
      <c r="M15" s="1318"/>
      <c r="N15" s="1219"/>
      <c r="O15" s="1084"/>
      <c r="P15" s="1084"/>
      <c r="Q15" s="1084"/>
      <c r="R15" s="1253"/>
      <c r="S15" s="124"/>
      <c r="T15" s="111"/>
      <c r="U15" s="111"/>
      <c r="V15" s="1084"/>
      <c r="W15" s="1084"/>
      <c r="X15" s="1219"/>
      <c r="Y15" s="121" t="s">
        <v>2759</v>
      </c>
      <c r="Z15" s="111">
        <v>96932409</v>
      </c>
      <c r="AA15" s="111">
        <v>-37572963</v>
      </c>
      <c r="AB15" s="109">
        <f>Z15+AA15-1</f>
        <v>59359445</v>
      </c>
      <c r="AC15" s="125">
        <v>40816</v>
      </c>
      <c r="AD15" s="56">
        <f>56359445+3000000</f>
        <v>59359445</v>
      </c>
      <c r="AE15" s="1219"/>
      <c r="AF15" s="1315"/>
      <c r="AG15" s="1315"/>
      <c r="AH15" s="1315"/>
      <c r="AI15" s="1315"/>
      <c r="AJ15" s="1084"/>
      <c r="AK15" s="1084"/>
      <c r="AL15" s="1084"/>
      <c r="AM15" s="1084"/>
      <c r="AN15" s="1328"/>
      <c r="AO15" s="1329"/>
      <c r="AQ15" s="934"/>
    </row>
    <row r="16" spans="1:45" s="6" customFormat="1" ht="15" customHeight="1">
      <c r="A16" s="1339"/>
      <c r="B16" s="1253"/>
      <c r="C16" s="1219"/>
      <c r="D16" s="1219"/>
      <c r="E16" s="1340"/>
      <c r="F16" s="1340"/>
      <c r="G16" s="1219"/>
      <c r="H16" s="148" t="s">
        <v>72</v>
      </c>
      <c r="I16" s="1329"/>
      <c r="J16" s="148" t="s">
        <v>67</v>
      </c>
      <c r="K16" s="1219"/>
      <c r="L16" s="1219"/>
      <c r="M16" s="123">
        <v>187</v>
      </c>
      <c r="N16" s="148" t="s">
        <v>7</v>
      </c>
      <c r="O16" s="111">
        <v>42000000</v>
      </c>
      <c r="P16" s="111">
        <v>42000000</v>
      </c>
      <c r="Q16" s="1084"/>
      <c r="R16" s="125">
        <v>40759</v>
      </c>
      <c r="S16" s="124"/>
      <c r="T16" s="111"/>
      <c r="U16" s="111"/>
      <c r="V16" s="111">
        <v>42000000</v>
      </c>
      <c r="W16" s="1084"/>
      <c r="X16" s="1219"/>
      <c r="Y16" s="965" t="s">
        <v>2759</v>
      </c>
      <c r="Z16" s="111">
        <v>42000000</v>
      </c>
      <c r="AA16" s="111">
        <v>0</v>
      </c>
      <c r="AB16" s="109">
        <f t="shared" ref="AB16:AB21" si="1">Z16+AA16</f>
        <v>42000000</v>
      </c>
      <c r="AC16" s="125">
        <v>40816</v>
      </c>
      <c r="AD16" s="56">
        <v>42000000</v>
      </c>
      <c r="AE16" s="932" t="s">
        <v>7</v>
      </c>
      <c r="AF16" s="127">
        <f>AD16</f>
        <v>42000000</v>
      </c>
      <c r="AG16" s="1315"/>
      <c r="AH16" s="127">
        <v>0</v>
      </c>
      <c r="AI16" s="127">
        <v>0</v>
      </c>
      <c r="AJ16" s="1084"/>
      <c r="AK16" s="111">
        <f>P16-V16</f>
        <v>0</v>
      </c>
      <c r="AL16" s="111">
        <f>V16-Z16</f>
        <v>0</v>
      </c>
      <c r="AM16" s="111">
        <f>AK16+AL16</f>
        <v>0</v>
      </c>
      <c r="AN16" s="1328"/>
      <c r="AO16" s="1329"/>
      <c r="AQ16" s="934"/>
    </row>
    <row r="17" spans="1:46" s="4" customFormat="1" ht="15" customHeight="1">
      <c r="A17" s="1000" t="s">
        <v>802</v>
      </c>
      <c r="B17" s="97">
        <v>40256</v>
      </c>
      <c r="C17" s="113" t="s">
        <v>11</v>
      </c>
      <c r="D17" s="113" t="s">
        <v>447</v>
      </c>
      <c r="E17" s="120">
        <v>830040053</v>
      </c>
      <c r="F17" s="120">
        <v>2</v>
      </c>
      <c r="G17" s="113" t="s">
        <v>446</v>
      </c>
      <c r="H17" s="113" t="s">
        <v>72</v>
      </c>
      <c r="I17" s="113" t="s">
        <v>206</v>
      </c>
      <c r="J17" s="113" t="s">
        <v>66</v>
      </c>
      <c r="K17" s="113" t="s">
        <v>49</v>
      </c>
      <c r="L17" s="113" t="s">
        <v>450</v>
      </c>
      <c r="M17" s="132">
        <v>3</v>
      </c>
      <c r="N17" s="141" t="s">
        <v>137</v>
      </c>
      <c r="O17" s="109">
        <v>101703000</v>
      </c>
      <c r="P17" s="109">
        <v>101703000</v>
      </c>
      <c r="Q17" s="109">
        <v>101703000</v>
      </c>
      <c r="R17" s="97">
        <v>40211</v>
      </c>
      <c r="S17" s="109">
        <v>101703000</v>
      </c>
      <c r="T17" s="109">
        <v>101703000</v>
      </c>
      <c r="U17" s="109">
        <f>S17-P17</f>
        <v>0</v>
      </c>
      <c r="V17" s="109">
        <v>98695700</v>
      </c>
      <c r="W17" s="109">
        <v>98695700</v>
      </c>
      <c r="X17" s="113" t="s">
        <v>178</v>
      </c>
      <c r="Y17" s="108" t="s">
        <v>449</v>
      </c>
      <c r="Z17" s="109">
        <v>0</v>
      </c>
      <c r="AA17" s="109">
        <v>39478280</v>
      </c>
      <c r="AB17" s="109">
        <f t="shared" si="1"/>
        <v>39478280</v>
      </c>
      <c r="AC17" s="97">
        <v>40305</v>
      </c>
      <c r="AD17" s="166">
        <f>AB17</f>
        <v>39478280</v>
      </c>
      <c r="AE17" s="166" t="s">
        <v>137</v>
      </c>
      <c r="AF17" s="166">
        <f>AD17</f>
        <v>39478280</v>
      </c>
      <c r="AG17" s="166">
        <f>AF17</f>
        <v>39478280</v>
      </c>
      <c r="AH17" s="166">
        <f>AB17-AD17</f>
        <v>0</v>
      </c>
      <c r="AI17" s="166">
        <v>0</v>
      </c>
      <c r="AJ17" s="109">
        <f>Z17-AD17</f>
        <v>-39478280</v>
      </c>
      <c r="AK17" s="109">
        <f>P17-V17</f>
        <v>3007300</v>
      </c>
      <c r="AL17" s="109">
        <f>(V17-Z17)+AJ17</f>
        <v>59217420</v>
      </c>
      <c r="AM17" s="109">
        <f>AK17</f>
        <v>3007300</v>
      </c>
      <c r="AN17" s="112" t="s">
        <v>437</v>
      </c>
      <c r="AO17" s="105" t="s">
        <v>803</v>
      </c>
      <c r="AP17" s="271" t="s">
        <v>2467</v>
      </c>
      <c r="AQ17" s="934"/>
      <c r="AR17" s="343"/>
      <c r="AS17" s="342"/>
      <c r="AT17" s="342" t="s">
        <v>2497</v>
      </c>
    </row>
    <row r="18" spans="1:46" s="4" customFormat="1" ht="15" customHeight="1">
      <c r="A18" s="1075" t="s">
        <v>439</v>
      </c>
      <c r="B18" s="1171">
        <v>40254</v>
      </c>
      <c r="C18" s="1076" t="s">
        <v>45</v>
      </c>
      <c r="D18" s="1076" t="s">
        <v>438</v>
      </c>
      <c r="E18" s="1252">
        <v>900347487</v>
      </c>
      <c r="F18" s="1252">
        <v>8</v>
      </c>
      <c r="G18" s="1076" t="s">
        <v>2817</v>
      </c>
      <c r="H18" s="1076" t="s">
        <v>72</v>
      </c>
      <c r="I18" s="1076" t="s">
        <v>206</v>
      </c>
      <c r="J18" s="1076" t="s">
        <v>66</v>
      </c>
      <c r="K18" s="1076" t="s">
        <v>183</v>
      </c>
      <c r="L18" s="1076" t="s">
        <v>448</v>
      </c>
      <c r="M18" s="1245">
        <v>4</v>
      </c>
      <c r="N18" s="1348" t="s">
        <v>137</v>
      </c>
      <c r="O18" s="1119">
        <f>P18</f>
        <v>98695700</v>
      </c>
      <c r="P18" s="1119">
        <v>98695700</v>
      </c>
      <c r="Q18" s="1119">
        <f>SUM(P18:P21)</f>
        <v>128223500</v>
      </c>
      <c r="R18" s="1253">
        <v>40211</v>
      </c>
      <c r="S18" s="1084">
        <v>98695700</v>
      </c>
      <c r="T18" s="1084">
        <v>98695700</v>
      </c>
      <c r="U18" s="1084">
        <f>P18-S18</f>
        <v>0</v>
      </c>
      <c r="V18" s="1119">
        <f>P18</f>
        <v>98695700</v>
      </c>
      <c r="W18" s="1119">
        <f>V18+V21</f>
        <v>128223500</v>
      </c>
      <c r="X18" s="1076" t="s">
        <v>178</v>
      </c>
      <c r="Y18" s="108" t="s">
        <v>441</v>
      </c>
      <c r="Z18" s="109">
        <v>0</v>
      </c>
      <c r="AA18" s="109">
        <v>39478280</v>
      </c>
      <c r="AB18" s="109">
        <f t="shared" si="1"/>
        <v>39478280</v>
      </c>
      <c r="AC18" s="97">
        <v>40305</v>
      </c>
      <c r="AD18" s="134">
        <f>AB18</f>
        <v>39478280</v>
      </c>
      <c r="AE18" s="109" t="s">
        <v>137</v>
      </c>
      <c r="AF18" s="1119">
        <f>SUM(AD18:AD20)</f>
        <v>98695700</v>
      </c>
      <c r="AG18" s="1315">
        <f>SUM(AF18:AF21)</f>
        <v>128223500</v>
      </c>
      <c r="AH18" s="1119">
        <v>0</v>
      </c>
      <c r="AI18" s="1119">
        <v>0</v>
      </c>
      <c r="AJ18" s="1084">
        <f>SUM(Z18:Z21)-SUM(AD18:AD21)</f>
        <v>0</v>
      </c>
      <c r="AK18" s="1119">
        <v>0</v>
      </c>
      <c r="AL18" s="1119">
        <f>SUM(Z18:Z20)-SUM(AD18:AD20)</f>
        <v>0</v>
      </c>
      <c r="AM18" s="1119">
        <v>0</v>
      </c>
      <c r="AN18" s="1203" t="s">
        <v>443</v>
      </c>
      <c r="AO18" s="1204" t="s">
        <v>785</v>
      </c>
      <c r="AQ18" s="934"/>
    </row>
    <row r="19" spans="1:46" s="4" customFormat="1" ht="15" customHeight="1">
      <c r="A19" s="1075"/>
      <c r="B19" s="1171"/>
      <c r="C19" s="1076"/>
      <c r="D19" s="1076"/>
      <c r="E19" s="1252"/>
      <c r="F19" s="1252"/>
      <c r="G19" s="1076"/>
      <c r="H19" s="1076"/>
      <c r="I19" s="1076"/>
      <c r="J19" s="1076"/>
      <c r="K19" s="1076"/>
      <c r="L19" s="1076"/>
      <c r="M19" s="1245"/>
      <c r="N19" s="1348"/>
      <c r="O19" s="1119"/>
      <c r="P19" s="1119"/>
      <c r="Q19" s="1119"/>
      <c r="R19" s="1253"/>
      <c r="S19" s="1084"/>
      <c r="T19" s="1084"/>
      <c r="U19" s="1084"/>
      <c r="V19" s="1119"/>
      <c r="W19" s="1119"/>
      <c r="X19" s="1076"/>
      <c r="Y19" s="108" t="s">
        <v>442</v>
      </c>
      <c r="Z19" s="109">
        <v>82246285</v>
      </c>
      <c r="AA19" s="109">
        <v>-32898435</v>
      </c>
      <c r="AB19" s="109">
        <f t="shared" si="1"/>
        <v>49347850</v>
      </c>
      <c r="AC19" s="97">
        <v>40547</v>
      </c>
      <c r="AD19" s="134">
        <v>49347850</v>
      </c>
      <c r="AE19" s="109" t="s">
        <v>137</v>
      </c>
      <c r="AF19" s="1119"/>
      <c r="AG19" s="1315"/>
      <c r="AH19" s="1119"/>
      <c r="AI19" s="1119"/>
      <c r="AJ19" s="1084"/>
      <c r="AK19" s="1119"/>
      <c r="AL19" s="1119"/>
      <c r="AM19" s="1119"/>
      <c r="AN19" s="1203"/>
      <c r="AO19" s="1204"/>
      <c r="AQ19" s="934"/>
    </row>
    <row r="20" spans="1:46" s="4" customFormat="1" ht="15" customHeight="1">
      <c r="A20" s="1075"/>
      <c r="B20" s="1171"/>
      <c r="C20" s="1076"/>
      <c r="D20" s="1076"/>
      <c r="E20" s="1252"/>
      <c r="F20" s="1252"/>
      <c r="G20" s="1076"/>
      <c r="H20" s="1076"/>
      <c r="I20" s="1076"/>
      <c r="J20" s="1076"/>
      <c r="K20" s="1076"/>
      <c r="L20" s="1076"/>
      <c r="M20" s="1245"/>
      <c r="N20" s="1348"/>
      <c r="O20" s="1119"/>
      <c r="P20" s="1119"/>
      <c r="Q20" s="1119"/>
      <c r="R20" s="1253"/>
      <c r="S20" s="1084"/>
      <c r="T20" s="1084"/>
      <c r="U20" s="1084"/>
      <c r="V20" s="1119"/>
      <c r="W20" s="1119"/>
      <c r="X20" s="1076"/>
      <c r="Y20" s="108" t="s">
        <v>444</v>
      </c>
      <c r="Z20" s="109">
        <v>16449415</v>
      </c>
      <c r="AA20" s="109">
        <f>-(AA18+AA19)</f>
        <v>-6579845</v>
      </c>
      <c r="AB20" s="109">
        <f t="shared" si="1"/>
        <v>9869570</v>
      </c>
      <c r="AC20" s="97">
        <v>42879</v>
      </c>
      <c r="AD20" s="134">
        <v>9869570</v>
      </c>
      <c r="AE20" s="109" t="s">
        <v>137</v>
      </c>
      <c r="AF20" s="1119"/>
      <c r="AG20" s="1315"/>
      <c r="AH20" s="1119"/>
      <c r="AI20" s="1119"/>
      <c r="AJ20" s="1084"/>
      <c r="AK20" s="1119"/>
      <c r="AL20" s="1119"/>
      <c r="AM20" s="1119"/>
      <c r="AN20" s="1203"/>
      <c r="AO20" s="1204"/>
      <c r="AQ20" s="934"/>
    </row>
    <row r="21" spans="1:46" s="4" customFormat="1" ht="15" customHeight="1">
      <c r="A21" s="1075"/>
      <c r="B21" s="1171"/>
      <c r="C21" s="1076"/>
      <c r="D21" s="1076"/>
      <c r="E21" s="1252"/>
      <c r="F21" s="1252"/>
      <c r="G21" s="1076"/>
      <c r="H21" s="1076"/>
      <c r="I21" s="1076"/>
      <c r="J21" s="113" t="s">
        <v>171</v>
      </c>
      <c r="K21" s="1076"/>
      <c r="L21" s="1076"/>
      <c r="M21" s="132">
        <v>191</v>
      </c>
      <c r="N21" s="141" t="s">
        <v>7</v>
      </c>
      <c r="O21" s="109">
        <f>P21</f>
        <v>29527800</v>
      </c>
      <c r="P21" s="109">
        <v>29527800</v>
      </c>
      <c r="Q21" s="1119"/>
      <c r="R21" s="97">
        <v>40759</v>
      </c>
      <c r="S21" s="109">
        <v>29527800</v>
      </c>
      <c r="T21" s="109">
        <v>29527800</v>
      </c>
      <c r="U21" s="109">
        <f>O21-S21</f>
        <v>0</v>
      </c>
      <c r="V21" s="109">
        <f>P21</f>
        <v>29527800</v>
      </c>
      <c r="W21" s="1119"/>
      <c r="X21" s="1076"/>
      <c r="Y21" s="108" t="s">
        <v>445</v>
      </c>
      <c r="Z21" s="109">
        <v>29527800</v>
      </c>
      <c r="AA21" s="109">
        <v>0</v>
      </c>
      <c r="AB21" s="109">
        <f t="shared" si="1"/>
        <v>29527800</v>
      </c>
      <c r="AC21" s="97">
        <v>41491</v>
      </c>
      <c r="AD21" s="134">
        <f>AB21</f>
        <v>29527800</v>
      </c>
      <c r="AE21" s="109" t="s">
        <v>7</v>
      </c>
      <c r="AF21" s="109">
        <f>AD21</f>
        <v>29527800</v>
      </c>
      <c r="AG21" s="1315"/>
      <c r="AH21" s="1119"/>
      <c r="AI21" s="1119"/>
      <c r="AJ21" s="1084"/>
      <c r="AK21" s="1119"/>
      <c r="AL21" s="109">
        <f>Z21-AD21</f>
        <v>0</v>
      </c>
      <c r="AM21" s="1119"/>
      <c r="AN21" s="1203"/>
      <c r="AO21" s="1204"/>
      <c r="AQ21" s="934"/>
    </row>
    <row r="22" spans="1:46" s="4" customFormat="1" ht="15" customHeight="1">
      <c r="A22" s="1214" t="s">
        <v>235</v>
      </c>
      <c r="B22" s="1171">
        <v>40254</v>
      </c>
      <c r="C22" s="1076" t="s">
        <v>45</v>
      </c>
      <c r="D22" s="1076" t="s">
        <v>197</v>
      </c>
      <c r="E22" s="1252">
        <v>900347251</v>
      </c>
      <c r="F22" s="1252">
        <v>7</v>
      </c>
      <c r="G22" s="1076" t="s">
        <v>199</v>
      </c>
      <c r="H22" s="1076" t="s">
        <v>72</v>
      </c>
      <c r="I22" s="1204" t="s">
        <v>200</v>
      </c>
      <c r="J22" s="1076" t="s">
        <v>66</v>
      </c>
      <c r="K22" s="1076" t="s">
        <v>49</v>
      </c>
      <c r="L22" s="1076" t="s">
        <v>219</v>
      </c>
      <c r="M22" s="1318">
        <v>5</v>
      </c>
      <c r="N22" s="1076" t="s">
        <v>137</v>
      </c>
      <c r="O22" s="1119">
        <v>90770001</v>
      </c>
      <c r="P22" s="1119">
        <v>90770001</v>
      </c>
      <c r="Q22" s="1119">
        <f>P22+P24</f>
        <v>118002395</v>
      </c>
      <c r="R22" s="1171">
        <v>40211</v>
      </c>
      <c r="S22" s="110"/>
      <c r="T22" s="109"/>
      <c r="U22" s="109"/>
      <c r="V22" s="1119">
        <v>90770001</v>
      </c>
      <c r="W22" s="1119">
        <f>V22+V24</f>
        <v>118002395</v>
      </c>
      <c r="X22" s="1076" t="s">
        <v>198</v>
      </c>
      <c r="Y22" s="974" t="s">
        <v>2758</v>
      </c>
      <c r="Z22" s="109">
        <v>0</v>
      </c>
      <c r="AA22" s="109">
        <f>V22*40%</f>
        <v>36308000.399999999</v>
      </c>
      <c r="AB22" s="109">
        <f>AA22</f>
        <v>36308000.399999999</v>
      </c>
      <c r="AC22" s="97">
        <v>40305</v>
      </c>
      <c r="AD22" s="56">
        <v>36308000.399999999</v>
      </c>
      <c r="AE22" s="1076" t="s">
        <v>137</v>
      </c>
      <c r="AF22" s="1315">
        <f>SUM(AD22:AD23)</f>
        <v>52646726.399999999</v>
      </c>
      <c r="AG22" s="1315">
        <f>AF22+AF24</f>
        <v>52646726.399999999</v>
      </c>
      <c r="AH22" s="1315">
        <v>0</v>
      </c>
      <c r="AI22" s="1315">
        <v>0</v>
      </c>
      <c r="AJ22" s="1119">
        <f>SUM(Z22:Z24)-SUM(AD22:AD24)</f>
        <v>-25415516.399999999</v>
      </c>
      <c r="AK22" s="1119">
        <f>P22-V22</f>
        <v>0</v>
      </c>
      <c r="AL22" s="1324">
        <f>V22-SUM(Z22:Z23)</f>
        <v>63538791</v>
      </c>
      <c r="AM22" s="1324">
        <f>AK22+AL22</f>
        <v>63538791</v>
      </c>
      <c r="AN22" s="1203"/>
      <c r="AO22" s="1325" t="s">
        <v>2895</v>
      </c>
      <c r="AP22" s="1364" t="s">
        <v>2476</v>
      </c>
      <c r="AQ22" s="934"/>
    </row>
    <row r="23" spans="1:46" s="4" customFormat="1" ht="15" customHeight="1">
      <c r="A23" s="1214"/>
      <c r="B23" s="1171"/>
      <c r="C23" s="1076"/>
      <c r="D23" s="1076"/>
      <c r="E23" s="1252"/>
      <c r="F23" s="1252"/>
      <c r="G23" s="1076"/>
      <c r="H23" s="1076"/>
      <c r="I23" s="1204"/>
      <c r="J23" s="1076"/>
      <c r="K23" s="1076"/>
      <c r="L23" s="1076"/>
      <c r="M23" s="1318"/>
      <c r="N23" s="1076"/>
      <c r="O23" s="1119"/>
      <c r="P23" s="1119"/>
      <c r="Q23" s="1119"/>
      <c r="R23" s="1171"/>
      <c r="S23" s="110"/>
      <c r="T23" s="109"/>
      <c r="U23" s="109"/>
      <c r="V23" s="1119"/>
      <c r="W23" s="1119"/>
      <c r="X23" s="1076"/>
      <c r="Y23" s="108"/>
      <c r="Z23" s="109">
        <v>27231210</v>
      </c>
      <c r="AA23" s="109">
        <v>-10892484</v>
      </c>
      <c r="AB23" s="109">
        <f t="shared" ref="AB23:AB28" si="2">Z23+AA23</f>
        <v>16338726</v>
      </c>
      <c r="AC23" s="97">
        <v>41012</v>
      </c>
      <c r="AD23" s="56">
        <v>16338726</v>
      </c>
      <c r="AE23" s="1076"/>
      <c r="AF23" s="1315"/>
      <c r="AG23" s="1315"/>
      <c r="AH23" s="1315"/>
      <c r="AI23" s="1315"/>
      <c r="AJ23" s="1119"/>
      <c r="AK23" s="1119"/>
      <c r="AL23" s="1324"/>
      <c r="AM23" s="1324"/>
      <c r="AN23" s="1203"/>
      <c r="AO23" s="1204"/>
      <c r="AP23" s="1364"/>
      <c r="AQ23" s="934"/>
    </row>
    <row r="24" spans="1:46" s="4" customFormat="1" ht="15" customHeight="1">
      <c r="A24" s="1214"/>
      <c r="B24" s="1171"/>
      <c r="C24" s="1076"/>
      <c r="D24" s="1076"/>
      <c r="E24" s="1252"/>
      <c r="F24" s="1252"/>
      <c r="G24" s="1076"/>
      <c r="H24" s="113" t="s">
        <v>72</v>
      </c>
      <c r="I24" s="1204"/>
      <c r="J24" s="113" t="s">
        <v>67</v>
      </c>
      <c r="K24" s="1076"/>
      <c r="L24" s="1076"/>
      <c r="M24" s="123">
        <v>193</v>
      </c>
      <c r="N24" s="113" t="s">
        <v>7</v>
      </c>
      <c r="O24" s="109">
        <v>27232394</v>
      </c>
      <c r="P24" s="109">
        <v>27232394</v>
      </c>
      <c r="Q24" s="1119"/>
      <c r="R24" s="97">
        <v>40759</v>
      </c>
      <c r="S24" s="110"/>
      <c r="T24" s="109"/>
      <c r="U24" s="109"/>
      <c r="V24" s="109">
        <v>27232394</v>
      </c>
      <c r="W24" s="1119"/>
      <c r="X24" s="1076"/>
      <c r="Y24" s="108"/>
      <c r="Z24" s="109">
        <v>0</v>
      </c>
      <c r="AA24" s="109">
        <v>0</v>
      </c>
      <c r="AB24" s="109">
        <f t="shared" si="2"/>
        <v>0</v>
      </c>
      <c r="AC24" s="97"/>
      <c r="AD24" s="56">
        <v>0</v>
      </c>
      <c r="AE24" s="927" t="s">
        <v>7</v>
      </c>
      <c r="AF24" s="127">
        <f>AD24</f>
        <v>0</v>
      </c>
      <c r="AG24" s="1315"/>
      <c r="AH24" s="127">
        <v>0</v>
      </c>
      <c r="AI24" s="127">
        <v>0</v>
      </c>
      <c r="AJ24" s="1119"/>
      <c r="AK24" s="109">
        <f>P24-V24</f>
        <v>0</v>
      </c>
      <c r="AL24" s="147">
        <f>V24-Z24</f>
        <v>27232394</v>
      </c>
      <c r="AM24" s="147">
        <f>AK24+AL24</f>
        <v>27232394</v>
      </c>
      <c r="AN24" s="1203"/>
      <c r="AO24" s="1204"/>
      <c r="AP24" s="1364"/>
      <c r="AQ24" s="934"/>
    </row>
    <row r="25" spans="1:46" s="4" customFormat="1" ht="15" customHeight="1">
      <c r="A25" s="1214" t="s">
        <v>236</v>
      </c>
      <c r="B25" s="1171">
        <v>40253</v>
      </c>
      <c r="C25" s="1076" t="s">
        <v>24</v>
      </c>
      <c r="D25" s="1076" t="s">
        <v>204</v>
      </c>
      <c r="E25" s="1252">
        <v>10534582</v>
      </c>
      <c r="F25" s="1252"/>
      <c r="G25" s="1076" t="s">
        <v>2765</v>
      </c>
      <c r="H25" s="1076" t="s">
        <v>72</v>
      </c>
      <c r="I25" s="1076" t="s">
        <v>206</v>
      </c>
      <c r="J25" s="1076" t="s">
        <v>66</v>
      </c>
      <c r="K25" s="1076" t="s">
        <v>183</v>
      </c>
      <c r="L25" s="1076" t="s">
        <v>220</v>
      </c>
      <c r="M25" s="1318">
        <v>8</v>
      </c>
      <c r="N25" s="1076" t="s">
        <v>137</v>
      </c>
      <c r="O25" s="1119">
        <v>145507500</v>
      </c>
      <c r="P25" s="1119">
        <v>145507500</v>
      </c>
      <c r="Q25" s="1119">
        <f>P25+P28</f>
        <v>218261250</v>
      </c>
      <c r="R25" s="1171">
        <v>43863</v>
      </c>
      <c r="S25" s="110"/>
      <c r="T25" s="109"/>
      <c r="U25" s="109"/>
      <c r="V25" s="1119">
        <v>145507500</v>
      </c>
      <c r="W25" s="1119">
        <f>V25+V28</f>
        <v>218261250</v>
      </c>
      <c r="X25" s="1076" t="s">
        <v>198</v>
      </c>
      <c r="Y25" s="108">
        <v>2</v>
      </c>
      <c r="Z25" s="109">
        <v>0</v>
      </c>
      <c r="AA25" s="109">
        <v>58203000</v>
      </c>
      <c r="AB25" s="109">
        <f t="shared" si="2"/>
        <v>58203000</v>
      </c>
      <c r="AC25" s="97">
        <v>40326</v>
      </c>
      <c r="AD25" s="56">
        <v>58203000</v>
      </c>
      <c r="AE25" s="1076" t="s">
        <v>137</v>
      </c>
      <c r="AF25" s="1315">
        <f>SUM(AD25:AD27)</f>
        <v>145507500</v>
      </c>
      <c r="AG25" s="1315">
        <f>AF25+AF28</f>
        <v>218261250</v>
      </c>
      <c r="AH25" s="1315">
        <v>0</v>
      </c>
      <c r="AI25" s="1315">
        <v>0</v>
      </c>
      <c r="AJ25" s="1119">
        <f>SUM(Z25:Z28)-SUM(AD25:AD28)</f>
        <v>0</v>
      </c>
      <c r="AK25" s="1119">
        <f>P25-V25</f>
        <v>0</v>
      </c>
      <c r="AL25" s="1119">
        <f>V25-SUM(Z25:Z27)</f>
        <v>0</v>
      </c>
      <c r="AM25" s="1119">
        <f>AK25+AL25</f>
        <v>0</v>
      </c>
      <c r="AN25" s="1203"/>
      <c r="AO25" s="1204" t="s">
        <v>320</v>
      </c>
      <c r="AQ25" s="934"/>
    </row>
    <row r="26" spans="1:46" s="4" customFormat="1" ht="15" customHeight="1">
      <c r="A26" s="1214"/>
      <c r="B26" s="1171"/>
      <c r="C26" s="1076"/>
      <c r="D26" s="1076"/>
      <c r="E26" s="1252"/>
      <c r="F26" s="1252"/>
      <c r="G26" s="1076"/>
      <c r="H26" s="1076"/>
      <c r="I26" s="1076"/>
      <c r="J26" s="1076"/>
      <c r="K26" s="1076"/>
      <c r="L26" s="1076"/>
      <c r="M26" s="1318"/>
      <c r="N26" s="1076"/>
      <c r="O26" s="1119"/>
      <c r="P26" s="1119"/>
      <c r="Q26" s="1119"/>
      <c r="R26" s="1171"/>
      <c r="S26" s="110"/>
      <c r="T26" s="109"/>
      <c r="U26" s="109"/>
      <c r="V26" s="1119"/>
      <c r="W26" s="1119"/>
      <c r="X26" s="1076"/>
      <c r="Y26" s="108"/>
      <c r="Z26" s="109">
        <v>72753750</v>
      </c>
      <c r="AA26" s="109">
        <v>-29101500</v>
      </c>
      <c r="AB26" s="109">
        <f t="shared" si="2"/>
        <v>43652250</v>
      </c>
      <c r="AC26" s="97">
        <v>40750</v>
      </c>
      <c r="AD26" s="56">
        <v>43652250</v>
      </c>
      <c r="AE26" s="1076"/>
      <c r="AF26" s="1315"/>
      <c r="AG26" s="1315"/>
      <c r="AH26" s="1315"/>
      <c r="AI26" s="1315"/>
      <c r="AJ26" s="1119"/>
      <c r="AK26" s="1119"/>
      <c r="AL26" s="1119"/>
      <c r="AM26" s="1119"/>
      <c r="AN26" s="1203"/>
      <c r="AO26" s="1204"/>
      <c r="AQ26" s="934"/>
    </row>
    <row r="27" spans="1:46" s="4" customFormat="1" ht="15" customHeight="1">
      <c r="A27" s="1214"/>
      <c r="B27" s="1171"/>
      <c r="C27" s="1076"/>
      <c r="D27" s="1076"/>
      <c r="E27" s="1252"/>
      <c r="F27" s="1252"/>
      <c r="G27" s="1076"/>
      <c r="H27" s="1076"/>
      <c r="I27" s="1076"/>
      <c r="J27" s="1076"/>
      <c r="K27" s="1076"/>
      <c r="L27" s="1076"/>
      <c r="M27" s="1318"/>
      <c r="N27" s="1076"/>
      <c r="O27" s="1119"/>
      <c r="P27" s="1119"/>
      <c r="Q27" s="1119"/>
      <c r="R27" s="1171"/>
      <c r="S27" s="110"/>
      <c r="T27" s="109"/>
      <c r="U27" s="109"/>
      <c r="V27" s="1119"/>
      <c r="W27" s="1119"/>
      <c r="X27" s="1076"/>
      <c r="Y27" s="108">
        <v>101</v>
      </c>
      <c r="Z27" s="109">
        <v>72753750</v>
      </c>
      <c r="AA27" s="109">
        <v>-29101500</v>
      </c>
      <c r="AB27" s="109">
        <f t="shared" si="2"/>
        <v>43652250</v>
      </c>
      <c r="AC27" s="97">
        <v>41550</v>
      </c>
      <c r="AD27" s="56">
        <v>43652250</v>
      </c>
      <c r="AE27" s="1076"/>
      <c r="AF27" s="1315"/>
      <c r="AG27" s="1315"/>
      <c r="AH27" s="1315"/>
      <c r="AI27" s="1315"/>
      <c r="AJ27" s="1119"/>
      <c r="AK27" s="1119"/>
      <c r="AL27" s="1119"/>
      <c r="AM27" s="1119"/>
      <c r="AN27" s="1203"/>
      <c r="AO27" s="1204"/>
      <c r="AQ27" s="934"/>
    </row>
    <row r="28" spans="1:46" s="4" customFormat="1" ht="15" customHeight="1">
      <c r="A28" s="1214"/>
      <c r="B28" s="1171"/>
      <c r="C28" s="1076"/>
      <c r="D28" s="1076"/>
      <c r="E28" s="1252"/>
      <c r="F28" s="1252"/>
      <c r="G28" s="1076"/>
      <c r="H28" s="1076"/>
      <c r="I28" s="1076"/>
      <c r="J28" s="113" t="s">
        <v>67</v>
      </c>
      <c r="K28" s="1076"/>
      <c r="L28" s="1076"/>
      <c r="M28" s="123">
        <v>164</v>
      </c>
      <c r="N28" s="113" t="s">
        <v>7</v>
      </c>
      <c r="O28" s="109">
        <v>72753750</v>
      </c>
      <c r="P28" s="109">
        <v>72753750</v>
      </c>
      <c r="Q28" s="1119"/>
      <c r="R28" s="97">
        <v>40701</v>
      </c>
      <c r="S28" s="110"/>
      <c r="T28" s="109"/>
      <c r="U28" s="109"/>
      <c r="V28" s="109">
        <v>72753750</v>
      </c>
      <c r="W28" s="1119"/>
      <c r="X28" s="1076"/>
      <c r="Y28" s="108">
        <v>104</v>
      </c>
      <c r="Z28" s="109">
        <v>72753750</v>
      </c>
      <c r="AA28" s="109">
        <v>0</v>
      </c>
      <c r="AB28" s="109">
        <f t="shared" si="2"/>
        <v>72753750</v>
      </c>
      <c r="AC28" s="97">
        <v>41550</v>
      </c>
      <c r="AD28" s="56">
        <v>72753750</v>
      </c>
      <c r="AE28" s="927" t="s">
        <v>7</v>
      </c>
      <c r="AF28" s="127">
        <f>AD28</f>
        <v>72753750</v>
      </c>
      <c r="AG28" s="1315"/>
      <c r="AH28" s="127">
        <v>0</v>
      </c>
      <c r="AI28" s="127">
        <v>0</v>
      </c>
      <c r="AJ28" s="1119"/>
      <c r="AK28" s="109">
        <f>P28-V28</f>
        <v>0</v>
      </c>
      <c r="AL28" s="109">
        <f>V28-Z28</f>
        <v>0</v>
      </c>
      <c r="AM28" s="109">
        <f>AK28+AL28</f>
        <v>0</v>
      </c>
      <c r="AN28" s="1203"/>
      <c r="AO28" s="1204"/>
      <c r="AQ28" s="934"/>
    </row>
    <row r="29" spans="1:46" ht="15" customHeight="1">
      <c r="A29" s="1214" t="s">
        <v>894</v>
      </c>
      <c r="B29" s="1171">
        <v>40262</v>
      </c>
      <c r="C29" s="1076" t="s">
        <v>24</v>
      </c>
      <c r="D29" s="1076" t="s">
        <v>895</v>
      </c>
      <c r="E29" s="1252">
        <v>900347149</v>
      </c>
      <c r="F29" s="1252">
        <v>3</v>
      </c>
      <c r="G29" s="1076" t="s">
        <v>2766</v>
      </c>
      <c r="H29" s="1076" t="s">
        <v>72</v>
      </c>
      <c r="I29" s="1076" t="s">
        <v>177</v>
      </c>
      <c r="J29" s="1076" t="s">
        <v>66</v>
      </c>
      <c r="K29" s="1076" t="s">
        <v>183</v>
      </c>
      <c r="L29" s="1076" t="s">
        <v>898</v>
      </c>
      <c r="M29" s="1251">
        <v>9</v>
      </c>
      <c r="N29" s="1123" t="s">
        <v>137</v>
      </c>
      <c r="O29" s="1119">
        <v>206190001</v>
      </c>
      <c r="P29" s="1119">
        <v>206190001</v>
      </c>
      <c r="Q29" s="1119">
        <f>P29</f>
        <v>206190001</v>
      </c>
      <c r="R29" s="1171">
        <v>40211</v>
      </c>
      <c r="S29" s="1119">
        <v>206167031</v>
      </c>
      <c r="T29" s="1119">
        <v>206167031</v>
      </c>
      <c r="U29" s="1119">
        <f>O29-T29</f>
        <v>22970</v>
      </c>
      <c r="V29" s="1119">
        <v>206167031</v>
      </c>
      <c r="W29" s="1119">
        <v>206167031</v>
      </c>
      <c r="X29" s="1076" t="s">
        <v>897</v>
      </c>
      <c r="Y29" s="108" t="s">
        <v>899</v>
      </c>
      <c r="Z29" s="109">
        <v>0</v>
      </c>
      <c r="AA29" s="109">
        <v>82466812.400000006</v>
      </c>
      <c r="AB29" s="109">
        <f t="shared" ref="AB29:AB41" si="3">Z29+AA29</f>
        <v>82466812.400000006</v>
      </c>
      <c r="AC29" s="97">
        <v>40326</v>
      </c>
      <c r="AD29" s="119">
        <v>82466812</v>
      </c>
      <c r="AE29" s="119" t="s">
        <v>137</v>
      </c>
      <c r="AF29" s="1084">
        <f>SUM(AD29:AD32)</f>
        <v>206167031</v>
      </c>
      <c r="AG29" s="1084">
        <f>AF29</f>
        <v>206167031</v>
      </c>
      <c r="AH29" s="111">
        <f t="shared" ref="AH29:AH42" si="4">AB29-AD29</f>
        <v>0.40000000596046448</v>
      </c>
      <c r="AI29" s="1084">
        <f>V29-AD29-AD30-AD31-AD32</f>
        <v>0</v>
      </c>
      <c r="AJ29" s="1119">
        <f>SUM(Z29:Z32)-SUM(AD29:AD32)</f>
        <v>0</v>
      </c>
      <c r="AK29" s="1119">
        <f>P29-V29</f>
        <v>22970</v>
      </c>
      <c r="AL29" s="1119">
        <f>V29-SUM(Z29:Z32)</f>
        <v>0</v>
      </c>
      <c r="AM29" s="1119">
        <v>0</v>
      </c>
      <c r="AN29" s="1249" t="s">
        <v>523</v>
      </c>
      <c r="AO29" s="1248" t="s">
        <v>903</v>
      </c>
    </row>
    <row r="30" spans="1:46" ht="15" customHeight="1">
      <c r="A30" s="1214"/>
      <c r="B30" s="1171"/>
      <c r="C30" s="1076"/>
      <c r="D30" s="1076"/>
      <c r="E30" s="1252"/>
      <c r="F30" s="1252"/>
      <c r="G30" s="1076"/>
      <c r="H30" s="1076"/>
      <c r="I30" s="1076"/>
      <c r="J30" s="1076"/>
      <c r="K30" s="1076"/>
      <c r="L30" s="1076"/>
      <c r="M30" s="1251"/>
      <c r="N30" s="1123"/>
      <c r="O30" s="1119"/>
      <c r="P30" s="1119"/>
      <c r="Q30" s="1119"/>
      <c r="R30" s="1171"/>
      <c r="S30" s="1119"/>
      <c r="T30" s="1119"/>
      <c r="U30" s="1119"/>
      <c r="V30" s="1119"/>
      <c r="W30" s="1119"/>
      <c r="X30" s="1076"/>
      <c r="Y30" s="108" t="s">
        <v>900</v>
      </c>
      <c r="Z30" s="109">
        <v>144316921</v>
      </c>
      <c r="AA30" s="109">
        <v>-57726768</v>
      </c>
      <c r="AB30" s="109">
        <f t="shared" si="3"/>
        <v>86590153</v>
      </c>
      <c r="AC30" s="97">
        <v>40548</v>
      </c>
      <c r="AD30" s="119">
        <v>86590153</v>
      </c>
      <c r="AE30" s="119" t="s">
        <v>137</v>
      </c>
      <c r="AF30" s="1084"/>
      <c r="AG30" s="1084"/>
      <c r="AH30" s="111">
        <f t="shared" si="4"/>
        <v>0</v>
      </c>
      <c r="AI30" s="1084"/>
      <c r="AJ30" s="1119"/>
      <c r="AK30" s="1119"/>
      <c r="AL30" s="1119"/>
      <c r="AM30" s="1119"/>
      <c r="AN30" s="1249"/>
      <c r="AO30" s="1249"/>
    </row>
    <row r="31" spans="1:46" ht="15" customHeight="1">
      <c r="A31" s="1214"/>
      <c r="B31" s="1171"/>
      <c r="C31" s="1076"/>
      <c r="D31" s="1076"/>
      <c r="E31" s="1252"/>
      <c r="F31" s="1252"/>
      <c r="G31" s="1076"/>
      <c r="H31" s="1076"/>
      <c r="I31" s="1076"/>
      <c r="J31" s="1076"/>
      <c r="K31" s="1076"/>
      <c r="L31" s="1076"/>
      <c r="M31" s="1251"/>
      <c r="N31" s="1123"/>
      <c r="O31" s="1119"/>
      <c r="P31" s="1119"/>
      <c r="Q31" s="1119"/>
      <c r="R31" s="1171"/>
      <c r="S31" s="1119"/>
      <c r="T31" s="1119"/>
      <c r="U31" s="1119"/>
      <c r="V31" s="1119"/>
      <c r="W31" s="1119"/>
      <c r="X31" s="1076"/>
      <c r="Y31" s="108" t="s">
        <v>901</v>
      </c>
      <c r="Z31" s="109">
        <v>27420215</v>
      </c>
      <c r="AA31" s="109">
        <v>-10968086</v>
      </c>
      <c r="AB31" s="109">
        <f t="shared" si="3"/>
        <v>16452129</v>
      </c>
      <c r="AC31" s="97">
        <v>40905</v>
      </c>
      <c r="AD31" s="119">
        <v>16452129</v>
      </c>
      <c r="AE31" s="119" t="s">
        <v>137</v>
      </c>
      <c r="AF31" s="1084"/>
      <c r="AG31" s="1084"/>
      <c r="AH31" s="111">
        <f t="shared" si="4"/>
        <v>0</v>
      </c>
      <c r="AI31" s="1084"/>
      <c r="AJ31" s="1119"/>
      <c r="AK31" s="1119"/>
      <c r="AL31" s="1119"/>
      <c r="AM31" s="1119"/>
      <c r="AN31" s="1249"/>
      <c r="AO31" s="1249"/>
    </row>
    <row r="32" spans="1:46" ht="15" customHeight="1">
      <c r="A32" s="1214"/>
      <c r="B32" s="1171"/>
      <c r="C32" s="1076"/>
      <c r="D32" s="1076"/>
      <c r="E32" s="1252"/>
      <c r="F32" s="1252"/>
      <c r="G32" s="1076"/>
      <c r="H32" s="1076"/>
      <c r="I32" s="1076"/>
      <c r="J32" s="1076"/>
      <c r="K32" s="1076"/>
      <c r="L32" s="1076"/>
      <c r="M32" s="1251"/>
      <c r="N32" s="1123"/>
      <c r="O32" s="1119"/>
      <c r="P32" s="1119"/>
      <c r="Q32" s="1119"/>
      <c r="R32" s="1171"/>
      <c r="S32" s="1119"/>
      <c r="T32" s="1119"/>
      <c r="U32" s="1119"/>
      <c r="V32" s="1119"/>
      <c r="W32" s="1119"/>
      <c r="X32" s="1076"/>
      <c r="Y32" s="108" t="s">
        <v>902</v>
      </c>
      <c r="Z32" s="109">
        <v>34429895</v>
      </c>
      <c r="AA32" s="109">
        <v>-13771958.4</v>
      </c>
      <c r="AB32" s="109">
        <f t="shared" si="3"/>
        <v>20657936.600000001</v>
      </c>
      <c r="AC32" s="97">
        <v>40913</v>
      </c>
      <c r="AD32" s="119">
        <v>20657937</v>
      </c>
      <c r="AE32" s="119" t="s">
        <v>137</v>
      </c>
      <c r="AF32" s="1084"/>
      <c r="AG32" s="1084"/>
      <c r="AH32" s="111">
        <f t="shared" si="4"/>
        <v>-0.39999999850988388</v>
      </c>
      <c r="AI32" s="1084"/>
      <c r="AJ32" s="1119"/>
      <c r="AK32" s="1119"/>
      <c r="AL32" s="1119"/>
      <c r="AM32" s="1119"/>
      <c r="AN32" s="1249"/>
      <c r="AO32" s="1249"/>
    </row>
    <row r="33" spans="1:46" ht="15" customHeight="1" thickBot="1">
      <c r="A33" s="1214" t="s">
        <v>893</v>
      </c>
      <c r="B33" s="1171">
        <v>40238</v>
      </c>
      <c r="C33" s="1076" t="s">
        <v>33</v>
      </c>
      <c r="D33" s="1076" t="s">
        <v>759</v>
      </c>
      <c r="E33" s="1252">
        <v>51978434</v>
      </c>
      <c r="F33" s="1252"/>
      <c r="G33" s="1076" t="s">
        <v>2767</v>
      </c>
      <c r="H33" s="1076" t="s">
        <v>72</v>
      </c>
      <c r="I33" s="1076" t="s">
        <v>177</v>
      </c>
      <c r="J33" s="1076" t="s">
        <v>66</v>
      </c>
      <c r="K33" s="1076" t="s">
        <v>49</v>
      </c>
      <c r="L33" s="1076" t="s">
        <v>905</v>
      </c>
      <c r="M33" s="1251">
        <v>10</v>
      </c>
      <c r="N33" s="1123" t="s">
        <v>137</v>
      </c>
      <c r="O33" s="1119">
        <v>82638845</v>
      </c>
      <c r="P33" s="1119">
        <v>82638845</v>
      </c>
      <c r="Q33" s="1119">
        <f>P33</f>
        <v>82638845</v>
      </c>
      <c r="R33" s="1171">
        <v>40211</v>
      </c>
      <c r="S33" s="1119">
        <v>82638845</v>
      </c>
      <c r="T33" s="1119">
        <v>82638845</v>
      </c>
      <c r="U33" s="1119">
        <f>O33-T33</f>
        <v>0</v>
      </c>
      <c r="V33" s="1119">
        <v>82638845</v>
      </c>
      <c r="W33" s="1119">
        <v>82638845</v>
      </c>
      <c r="X33" s="1076" t="s">
        <v>897</v>
      </c>
      <c r="Y33" s="108" t="s">
        <v>906</v>
      </c>
      <c r="Z33" s="109">
        <v>0</v>
      </c>
      <c r="AA33" s="109">
        <v>33055538</v>
      </c>
      <c r="AB33" s="109">
        <f t="shared" si="3"/>
        <v>33055538</v>
      </c>
      <c r="AC33" s="97">
        <v>40325</v>
      </c>
      <c r="AD33" s="119">
        <v>33055538</v>
      </c>
      <c r="AE33" s="119" t="s">
        <v>137</v>
      </c>
      <c r="AF33" s="1084">
        <f>SUM(AD33:AD36)</f>
        <v>57847192</v>
      </c>
      <c r="AG33" s="1084">
        <f>AF33</f>
        <v>57847192</v>
      </c>
      <c r="AH33" s="111">
        <f t="shared" si="4"/>
        <v>0</v>
      </c>
      <c r="AI33" s="1084">
        <f>O33-AD33-AD34-AD35-AD36</f>
        <v>24791653</v>
      </c>
      <c r="AJ33" s="1119">
        <f>SUM(Z33:Z36)-SUM(AD33:AD36)</f>
        <v>-16527769</v>
      </c>
      <c r="AK33" s="1119">
        <f>P33-V33</f>
        <v>0</v>
      </c>
      <c r="AL33" s="1119">
        <f>V33-SUM(Z33:Z36)+AJ33</f>
        <v>24791653</v>
      </c>
      <c r="AM33" s="1119"/>
      <c r="AN33" s="1204" t="s">
        <v>883</v>
      </c>
      <c r="AO33" s="1237" t="s">
        <v>908</v>
      </c>
      <c r="AP33" s="1074" t="s">
        <v>2466</v>
      </c>
      <c r="AR33" s="339"/>
      <c r="AS33" s="339"/>
      <c r="AT33" s="339" t="s">
        <v>2403</v>
      </c>
    </row>
    <row r="34" spans="1:46" ht="15" customHeight="1">
      <c r="A34" s="1214"/>
      <c r="B34" s="1171"/>
      <c r="C34" s="1076"/>
      <c r="D34" s="1076"/>
      <c r="E34" s="1252"/>
      <c r="F34" s="1252"/>
      <c r="G34" s="1076"/>
      <c r="H34" s="1076"/>
      <c r="I34" s="1076"/>
      <c r="J34" s="1076"/>
      <c r="K34" s="1076"/>
      <c r="L34" s="1076"/>
      <c r="M34" s="1251"/>
      <c r="N34" s="1123"/>
      <c r="O34" s="1119"/>
      <c r="P34" s="1119"/>
      <c r="Q34" s="1119"/>
      <c r="R34" s="1171"/>
      <c r="S34" s="1119"/>
      <c r="T34" s="1119"/>
      <c r="U34" s="1119"/>
      <c r="V34" s="1119"/>
      <c r="W34" s="1119"/>
      <c r="X34" s="1076"/>
      <c r="Y34" s="108" t="s">
        <v>907</v>
      </c>
      <c r="Z34" s="109">
        <v>41319423</v>
      </c>
      <c r="AA34" s="109">
        <v>-16527769</v>
      </c>
      <c r="AB34" s="109">
        <f t="shared" si="3"/>
        <v>24791654</v>
      </c>
      <c r="AC34" s="97">
        <v>40548</v>
      </c>
      <c r="AD34" s="119">
        <v>24791654</v>
      </c>
      <c r="AE34" s="119" t="s">
        <v>137</v>
      </c>
      <c r="AF34" s="1084"/>
      <c r="AG34" s="1084"/>
      <c r="AH34" s="111">
        <f t="shared" si="4"/>
        <v>0</v>
      </c>
      <c r="AI34" s="1084"/>
      <c r="AJ34" s="1119"/>
      <c r="AK34" s="1119"/>
      <c r="AL34" s="1119"/>
      <c r="AM34" s="1119"/>
      <c r="AN34" s="1204"/>
      <c r="AO34" s="1204"/>
      <c r="AP34" s="1074"/>
      <c r="AR34" s="340"/>
      <c r="AS34" s="341"/>
      <c r="AT34" s="341" t="s">
        <v>2491</v>
      </c>
    </row>
    <row r="35" spans="1:46" ht="15" customHeight="1">
      <c r="A35" s="1214"/>
      <c r="B35" s="1171"/>
      <c r="C35" s="1076"/>
      <c r="D35" s="1076"/>
      <c r="E35" s="1252"/>
      <c r="F35" s="1252"/>
      <c r="G35" s="1076"/>
      <c r="H35" s="1076"/>
      <c r="I35" s="1076"/>
      <c r="J35" s="1076"/>
      <c r="K35" s="1076"/>
      <c r="L35" s="1076"/>
      <c r="M35" s="1251"/>
      <c r="N35" s="1123"/>
      <c r="O35" s="1119"/>
      <c r="P35" s="1119"/>
      <c r="Q35" s="1119"/>
      <c r="R35" s="1171"/>
      <c r="S35" s="1119"/>
      <c r="T35" s="1119"/>
      <c r="U35" s="1119"/>
      <c r="V35" s="1119"/>
      <c r="W35" s="1119"/>
      <c r="X35" s="1076"/>
      <c r="Y35" s="108"/>
      <c r="Z35" s="109"/>
      <c r="AA35" s="109"/>
      <c r="AB35" s="109">
        <f t="shared" si="3"/>
        <v>0</v>
      </c>
      <c r="AC35" s="97"/>
      <c r="AD35" s="119"/>
      <c r="AE35" s="119"/>
      <c r="AF35" s="1084"/>
      <c r="AG35" s="1084"/>
      <c r="AH35" s="111">
        <f t="shared" si="4"/>
        <v>0</v>
      </c>
      <c r="AI35" s="1084"/>
      <c r="AJ35" s="1119"/>
      <c r="AK35" s="1119"/>
      <c r="AL35" s="1119"/>
      <c r="AM35" s="1119"/>
      <c r="AN35" s="1204"/>
      <c r="AO35" s="1204"/>
      <c r="AP35" s="1074"/>
    </row>
    <row r="36" spans="1:46" ht="15" customHeight="1">
      <c r="A36" s="1214"/>
      <c r="B36" s="1171"/>
      <c r="C36" s="1076"/>
      <c r="D36" s="1076"/>
      <c r="E36" s="1252"/>
      <c r="F36" s="1252"/>
      <c r="G36" s="1076"/>
      <c r="H36" s="1076"/>
      <c r="I36" s="1076"/>
      <c r="J36" s="1076"/>
      <c r="K36" s="1076"/>
      <c r="L36" s="1076"/>
      <c r="M36" s="1251"/>
      <c r="N36" s="1123"/>
      <c r="O36" s="1119"/>
      <c r="P36" s="1119"/>
      <c r="Q36" s="1119"/>
      <c r="R36" s="1171"/>
      <c r="S36" s="1119"/>
      <c r="T36" s="1119"/>
      <c r="U36" s="1119"/>
      <c r="V36" s="1119"/>
      <c r="W36" s="1119"/>
      <c r="X36" s="1076"/>
      <c r="Y36" s="108"/>
      <c r="Z36" s="109"/>
      <c r="AA36" s="109"/>
      <c r="AB36" s="109">
        <f t="shared" si="3"/>
        <v>0</v>
      </c>
      <c r="AC36" s="97"/>
      <c r="AD36" s="119"/>
      <c r="AE36" s="119"/>
      <c r="AF36" s="1084"/>
      <c r="AG36" s="1084"/>
      <c r="AH36" s="111">
        <f t="shared" si="4"/>
        <v>0</v>
      </c>
      <c r="AI36" s="1084"/>
      <c r="AJ36" s="1119"/>
      <c r="AK36" s="1119"/>
      <c r="AL36" s="1119"/>
      <c r="AM36" s="1119"/>
      <c r="AN36" s="1204"/>
      <c r="AO36" s="1204"/>
      <c r="AP36" s="1074"/>
    </row>
    <row r="37" spans="1:46" ht="15" customHeight="1">
      <c r="A37" s="1214" t="s">
        <v>909</v>
      </c>
      <c r="B37" s="1171">
        <v>40199</v>
      </c>
      <c r="C37" s="1076" t="s">
        <v>13</v>
      </c>
      <c r="D37" s="1076" t="s">
        <v>910</v>
      </c>
      <c r="E37" s="1252">
        <v>10528694</v>
      </c>
      <c r="F37" s="1252"/>
      <c r="G37" s="1076" t="s">
        <v>2768</v>
      </c>
      <c r="H37" s="1076" t="s">
        <v>72</v>
      </c>
      <c r="I37" s="1076" t="s">
        <v>177</v>
      </c>
      <c r="J37" s="1076" t="s">
        <v>66</v>
      </c>
      <c r="K37" s="1076" t="s">
        <v>48</v>
      </c>
      <c r="L37" s="1076" t="s">
        <v>918</v>
      </c>
      <c r="M37" s="1268">
        <v>11</v>
      </c>
      <c r="N37" s="1123" t="s">
        <v>137</v>
      </c>
      <c r="O37" s="1119">
        <v>144797000</v>
      </c>
      <c r="P37" s="1119">
        <v>144797000</v>
      </c>
      <c r="Q37" s="1119">
        <f>P37+P41</f>
        <v>215671550</v>
      </c>
      <c r="R37" s="1171">
        <v>40211</v>
      </c>
      <c r="S37" s="1119">
        <v>56812005</v>
      </c>
      <c r="T37" s="1119">
        <v>56812005</v>
      </c>
      <c r="U37" s="1119">
        <f>O37-T37</f>
        <v>87984995</v>
      </c>
      <c r="V37" s="1119">
        <v>142030014</v>
      </c>
      <c r="W37" s="1119">
        <v>212904564</v>
      </c>
      <c r="X37" s="1076" t="s">
        <v>912</v>
      </c>
      <c r="Y37" s="108" t="s">
        <v>913</v>
      </c>
      <c r="Z37" s="109">
        <v>0</v>
      </c>
      <c r="AA37" s="109">
        <v>56812006</v>
      </c>
      <c r="AB37" s="109">
        <f t="shared" si="3"/>
        <v>56812006</v>
      </c>
      <c r="AC37" s="97">
        <v>40326</v>
      </c>
      <c r="AD37" s="167">
        <v>56812005</v>
      </c>
      <c r="AE37" s="1123" t="s">
        <v>137</v>
      </c>
      <c r="AF37" s="1084">
        <f>AD37</f>
        <v>56812005</v>
      </c>
      <c r="AG37" s="1084">
        <f>SUM(AD37:AD42)</f>
        <v>212904563</v>
      </c>
      <c r="AH37" s="111">
        <f t="shared" si="4"/>
        <v>1</v>
      </c>
      <c r="AI37" s="1084"/>
      <c r="AJ37" s="1119"/>
      <c r="AK37" s="1119"/>
      <c r="AL37" s="1119"/>
      <c r="AM37" s="1119"/>
      <c r="AN37" s="1203" t="s">
        <v>512</v>
      </c>
      <c r="AO37" s="1263" t="s">
        <v>917</v>
      </c>
      <c r="AP37" s="1074" t="s">
        <v>2489</v>
      </c>
    </row>
    <row r="38" spans="1:46" ht="15" customHeight="1">
      <c r="A38" s="1214"/>
      <c r="B38" s="1171"/>
      <c r="C38" s="1076"/>
      <c r="D38" s="1076"/>
      <c r="E38" s="1252"/>
      <c r="F38" s="1252"/>
      <c r="G38" s="1076"/>
      <c r="H38" s="1076"/>
      <c r="I38" s="1076"/>
      <c r="J38" s="1076"/>
      <c r="K38" s="1076"/>
      <c r="L38" s="1076"/>
      <c r="M38" s="1268"/>
      <c r="N38" s="1123"/>
      <c r="O38" s="1119"/>
      <c r="P38" s="1119"/>
      <c r="Q38" s="1119"/>
      <c r="R38" s="1171"/>
      <c r="S38" s="1119"/>
      <c r="T38" s="1119"/>
      <c r="U38" s="1119"/>
      <c r="V38" s="1119"/>
      <c r="W38" s="1119"/>
      <c r="X38" s="1076"/>
      <c r="Y38" s="108" t="s">
        <v>914</v>
      </c>
      <c r="Z38" s="109">
        <v>118357700</v>
      </c>
      <c r="AA38" s="109">
        <v>-47343080</v>
      </c>
      <c r="AB38" s="109">
        <f t="shared" si="3"/>
        <v>71014620</v>
      </c>
      <c r="AC38" s="97">
        <v>40542</v>
      </c>
      <c r="AD38" s="168">
        <v>71014620</v>
      </c>
      <c r="AE38" s="1123"/>
      <c r="AF38" s="1084"/>
      <c r="AG38" s="1084"/>
      <c r="AH38" s="111">
        <f t="shared" si="4"/>
        <v>0</v>
      </c>
      <c r="AI38" s="1084"/>
      <c r="AJ38" s="1119"/>
      <c r="AK38" s="1119"/>
      <c r="AL38" s="1119"/>
      <c r="AM38" s="1119"/>
      <c r="AN38" s="1203"/>
      <c r="AO38" s="1203"/>
      <c r="AP38" s="1074"/>
    </row>
    <row r="39" spans="1:46" ht="15" customHeight="1">
      <c r="A39" s="1214"/>
      <c r="B39" s="1171"/>
      <c r="C39" s="1076"/>
      <c r="D39" s="1076"/>
      <c r="E39" s="1252"/>
      <c r="F39" s="1252"/>
      <c r="G39" s="1076"/>
      <c r="H39" s="1076"/>
      <c r="I39" s="1076"/>
      <c r="J39" s="1076"/>
      <c r="K39" s="1076"/>
      <c r="L39" s="1076"/>
      <c r="M39" s="1268"/>
      <c r="N39" s="1123"/>
      <c r="O39" s="1119"/>
      <c r="P39" s="1119"/>
      <c r="Q39" s="1119"/>
      <c r="R39" s="1171"/>
      <c r="S39" s="1119"/>
      <c r="T39" s="1119"/>
      <c r="U39" s="1119"/>
      <c r="V39" s="1119"/>
      <c r="W39" s="1119"/>
      <c r="X39" s="1076"/>
      <c r="Y39" s="108" t="s">
        <v>915</v>
      </c>
      <c r="Z39" s="109">
        <v>9469313</v>
      </c>
      <c r="AA39" s="109">
        <v>-3787725</v>
      </c>
      <c r="AB39" s="109">
        <f t="shared" si="3"/>
        <v>5681588</v>
      </c>
      <c r="AC39" s="97">
        <v>41019</v>
      </c>
      <c r="AD39" s="168">
        <v>5681588</v>
      </c>
      <c r="AE39" s="1123"/>
      <c r="AF39" s="1084"/>
      <c r="AG39" s="1084"/>
      <c r="AH39" s="111">
        <f t="shared" si="4"/>
        <v>0</v>
      </c>
      <c r="AI39" s="1084"/>
      <c r="AJ39" s="1119"/>
      <c r="AK39" s="1119"/>
      <c r="AL39" s="1119"/>
      <c r="AM39" s="1119"/>
      <c r="AN39" s="1203"/>
      <c r="AO39" s="1203"/>
      <c r="AP39" s="1074"/>
    </row>
    <row r="40" spans="1:46" ht="15" customHeight="1">
      <c r="A40" s="1214"/>
      <c r="B40" s="1171"/>
      <c r="C40" s="1076"/>
      <c r="D40" s="1076"/>
      <c r="E40" s="1252"/>
      <c r="F40" s="1252"/>
      <c r="G40" s="1076"/>
      <c r="H40" s="1076"/>
      <c r="I40" s="1076"/>
      <c r="J40" s="1076"/>
      <c r="K40" s="1076"/>
      <c r="L40" s="1076"/>
      <c r="M40" s="1268"/>
      <c r="N40" s="1123"/>
      <c r="O40" s="1119"/>
      <c r="P40" s="1119"/>
      <c r="Q40" s="1119"/>
      <c r="R40" s="1171"/>
      <c r="S40" s="1119"/>
      <c r="T40" s="1119"/>
      <c r="U40" s="1119"/>
      <c r="V40" s="1119"/>
      <c r="W40" s="1119"/>
      <c r="X40" s="1076"/>
      <c r="Y40" s="696" t="s">
        <v>2714</v>
      </c>
      <c r="Z40" s="109">
        <v>14203001</v>
      </c>
      <c r="AA40" s="109">
        <v>-5681201</v>
      </c>
      <c r="AB40" s="109">
        <v>8521800</v>
      </c>
      <c r="AC40" s="697">
        <v>43461</v>
      </c>
      <c r="AD40" s="119">
        <f>+AB40</f>
        <v>8521800</v>
      </c>
      <c r="AE40" s="1123"/>
      <c r="AF40" s="1084"/>
      <c r="AG40" s="1084"/>
      <c r="AH40" s="111">
        <f t="shared" si="4"/>
        <v>0</v>
      </c>
      <c r="AI40" s="1084"/>
      <c r="AJ40" s="1119"/>
      <c r="AK40" s="1119"/>
      <c r="AL40" s="1119"/>
      <c r="AM40" s="1119"/>
      <c r="AN40" s="1203"/>
      <c r="AO40" s="1203"/>
      <c r="AP40" s="1074"/>
    </row>
    <row r="41" spans="1:46" ht="15" customHeight="1">
      <c r="A41" s="1214"/>
      <c r="B41" s="1171"/>
      <c r="C41" s="1076"/>
      <c r="D41" s="1076"/>
      <c r="E41" s="1252"/>
      <c r="F41" s="1252"/>
      <c r="G41" s="1076"/>
      <c r="H41" s="1076"/>
      <c r="I41" s="1076"/>
      <c r="J41" s="1076" t="s">
        <v>67</v>
      </c>
      <c r="K41" s="1076"/>
      <c r="L41" s="1076"/>
      <c r="M41" s="1251">
        <v>159</v>
      </c>
      <c r="N41" s="1123" t="s">
        <v>7</v>
      </c>
      <c r="O41" s="1119">
        <v>70874550</v>
      </c>
      <c r="P41" s="1119">
        <v>70874550</v>
      </c>
      <c r="Q41" s="1119"/>
      <c r="R41" s="1171">
        <v>40701</v>
      </c>
      <c r="S41" s="1119">
        <v>70874550</v>
      </c>
      <c r="T41" s="1119">
        <v>70874550</v>
      </c>
      <c r="U41" s="1119">
        <f>O41-T41</f>
        <v>0</v>
      </c>
      <c r="V41" s="1119">
        <v>70874550</v>
      </c>
      <c r="W41" s="1119"/>
      <c r="X41" s="1076"/>
      <c r="Y41" s="108" t="s">
        <v>916</v>
      </c>
      <c r="Z41" s="109">
        <v>63787095</v>
      </c>
      <c r="AA41" s="109">
        <v>0</v>
      </c>
      <c r="AB41" s="109">
        <f t="shared" si="3"/>
        <v>63787095</v>
      </c>
      <c r="AC41" s="97">
        <v>41019</v>
      </c>
      <c r="AD41" s="167">
        <v>63787095</v>
      </c>
      <c r="AE41" s="1377" t="s">
        <v>7</v>
      </c>
      <c r="AF41" s="1084">
        <f>SUM(AD41:AD42)</f>
        <v>70874550</v>
      </c>
      <c r="AG41" s="1084"/>
      <c r="AH41" s="111">
        <f t="shared" si="4"/>
        <v>0</v>
      </c>
      <c r="AI41" s="1084"/>
      <c r="AJ41" s="1119"/>
      <c r="AK41" s="1119"/>
      <c r="AL41" s="1119"/>
      <c r="AM41" s="1119"/>
      <c r="AN41" s="1203"/>
      <c r="AO41" s="1203"/>
      <c r="AP41" s="1074"/>
    </row>
    <row r="42" spans="1:46" ht="15" customHeight="1">
      <c r="A42" s="1214"/>
      <c r="B42" s="1171"/>
      <c r="C42" s="1076"/>
      <c r="D42" s="1076"/>
      <c r="E42" s="1252"/>
      <c r="F42" s="1252"/>
      <c r="G42" s="1076"/>
      <c r="H42" s="1076"/>
      <c r="I42" s="1076"/>
      <c r="J42" s="1076"/>
      <c r="K42" s="1076"/>
      <c r="L42" s="1076"/>
      <c r="M42" s="1251"/>
      <c r="N42" s="1123"/>
      <c r="O42" s="1119"/>
      <c r="P42" s="1119"/>
      <c r="Q42" s="1119"/>
      <c r="R42" s="1171"/>
      <c r="S42" s="1119"/>
      <c r="T42" s="1119"/>
      <c r="U42" s="1119"/>
      <c r="V42" s="1119"/>
      <c r="W42" s="1119"/>
      <c r="X42" s="1076"/>
      <c r="Y42" s="696" t="s">
        <v>2714</v>
      </c>
      <c r="Z42" s="109">
        <v>7087455</v>
      </c>
      <c r="AA42" s="109">
        <v>0</v>
      </c>
      <c r="AB42" s="109">
        <v>7087455</v>
      </c>
      <c r="AC42" s="97">
        <v>43461</v>
      </c>
      <c r="AD42" s="119">
        <f>+AB42</f>
        <v>7087455</v>
      </c>
      <c r="AE42" s="1378"/>
      <c r="AF42" s="1084"/>
      <c r="AG42" s="1084"/>
      <c r="AH42" s="111">
        <f t="shared" si="4"/>
        <v>0</v>
      </c>
      <c r="AI42" s="1084"/>
      <c r="AJ42" s="1119"/>
      <c r="AK42" s="1119"/>
      <c r="AL42" s="1119"/>
      <c r="AM42" s="1119"/>
      <c r="AN42" s="1203"/>
      <c r="AO42" s="1203"/>
      <c r="AP42" s="1074"/>
      <c r="AQ42" s="977"/>
    </row>
    <row r="43" spans="1:46" s="4" customFormat="1" ht="15" customHeight="1">
      <c r="A43" s="1030" t="s">
        <v>237</v>
      </c>
      <c r="B43" s="97">
        <v>40254</v>
      </c>
      <c r="C43" s="113" t="s">
        <v>9</v>
      </c>
      <c r="D43" s="113" t="s">
        <v>222</v>
      </c>
      <c r="E43" s="120">
        <v>76305303</v>
      </c>
      <c r="F43" s="120"/>
      <c r="G43" s="113" t="s">
        <v>2769</v>
      </c>
      <c r="H43" s="113" t="s">
        <v>72</v>
      </c>
      <c r="I43" s="113" t="s">
        <v>177</v>
      </c>
      <c r="J43" s="113" t="s">
        <v>66</v>
      </c>
      <c r="K43" s="113" t="s">
        <v>49</v>
      </c>
      <c r="L43" s="113" t="s">
        <v>224</v>
      </c>
      <c r="M43" s="1009">
        <v>12</v>
      </c>
      <c r="N43" s="1011" t="s">
        <v>137</v>
      </c>
      <c r="O43" s="1062">
        <v>39139451</v>
      </c>
      <c r="P43" s="1062">
        <v>39139451</v>
      </c>
      <c r="Q43" s="1062">
        <f>P43</f>
        <v>39139451</v>
      </c>
      <c r="R43" s="97">
        <v>40211</v>
      </c>
      <c r="S43" s="110"/>
      <c r="T43" s="109"/>
      <c r="U43" s="109"/>
      <c r="V43" s="1062">
        <v>39134399</v>
      </c>
      <c r="W43" s="1062">
        <v>39134399</v>
      </c>
      <c r="X43" s="113" t="s">
        <v>198</v>
      </c>
      <c r="Y43" s="108" t="s">
        <v>223</v>
      </c>
      <c r="Z43" s="109">
        <v>0</v>
      </c>
      <c r="AA43" s="109">
        <v>15653759.600000001</v>
      </c>
      <c r="AB43" s="109">
        <v>15653759.600000001</v>
      </c>
      <c r="AC43" s="97">
        <v>40305</v>
      </c>
      <c r="AD43" s="56">
        <v>15653760</v>
      </c>
      <c r="AE43" s="1011" t="s">
        <v>137</v>
      </c>
      <c r="AF43" s="1013">
        <f>SUM(AD43:AD44)</f>
        <v>27394079.300000001</v>
      </c>
      <c r="AG43" s="1013">
        <f>+AF43</f>
        <v>27394079.300000001</v>
      </c>
      <c r="AH43" s="127">
        <v>0</v>
      </c>
      <c r="AI43" s="127">
        <v>0</v>
      </c>
      <c r="AJ43" s="109">
        <f>Z44-AD43-AD44</f>
        <v>0</v>
      </c>
      <c r="AK43" s="109">
        <f>P43-V43</f>
        <v>5052</v>
      </c>
      <c r="AL43" s="147">
        <f>V43-Z43-Z44+AJ43</f>
        <v>11740319.699999999</v>
      </c>
      <c r="AM43" s="147">
        <f>AK43+AL43</f>
        <v>11745371.699999999</v>
      </c>
      <c r="AN43" s="112"/>
      <c r="AO43" s="1357" t="s">
        <v>2896</v>
      </c>
      <c r="AP43" s="4" t="s">
        <v>2492</v>
      </c>
      <c r="AQ43" s="1253">
        <v>43280</v>
      </c>
      <c r="AR43" s="1013">
        <f>+AM43</f>
        <v>11745371.699999999</v>
      </c>
      <c r="AS43" s="1076" t="str">
        <f>+N43</f>
        <v>Departamento - SGP</v>
      </c>
    </row>
    <row r="44" spans="1:46" s="4" customFormat="1" ht="15" customHeight="1">
      <c r="A44" s="1032"/>
      <c r="B44" s="665"/>
      <c r="C44" s="647"/>
      <c r="D44" s="647"/>
      <c r="E44" s="679"/>
      <c r="F44" s="679"/>
      <c r="G44" s="647"/>
      <c r="H44" s="647"/>
      <c r="I44" s="647"/>
      <c r="J44" s="647"/>
      <c r="K44" s="647"/>
      <c r="L44" s="647"/>
      <c r="M44" s="1010"/>
      <c r="N44" s="1012"/>
      <c r="O44" s="1064"/>
      <c r="P44" s="1064"/>
      <c r="Q44" s="1064"/>
      <c r="R44" s="665"/>
      <c r="S44" s="668"/>
      <c r="T44" s="666"/>
      <c r="U44" s="666"/>
      <c r="V44" s="1064"/>
      <c r="W44" s="1064"/>
      <c r="X44" s="647"/>
      <c r="Z44" s="666">
        <v>27394079.300000001</v>
      </c>
      <c r="AA44" s="666">
        <v>-15653760</v>
      </c>
      <c r="AB44" s="666">
        <v>11740319.300000001</v>
      </c>
      <c r="AC44" s="665">
        <v>43080</v>
      </c>
      <c r="AD44" s="56">
        <f>+AB44</f>
        <v>11740319.300000001</v>
      </c>
      <c r="AE44" s="1012"/>
      <c r="AF44" s="1014"/>
      <c r="AG44" s="1014"/>
      <c r="AH44" s="681"/>
      <c r="AI44" s="681"/>
      <c r="AJ44" s="666"/>
      <c r="AK44" s="666"/>
      <c r="AL44" s="684"/>
      <c r="AM44" s="684"/>
      <c r="AN44" s="669"/>
      <c r="AO44" s="1399"/>
      <c r="AQ44" s="1253"/>
      <c r="AR44" s="1014"/>
      <c r="AS44" s="1076"/>
    </row>
    <row r="45" spans="1:46" s="4" customFormat="1" ht="15" customHeight="1">
      <c r="A45" s="1214" t="s">
        <v>238</v>
      </c>
      <c r="B45" s="1171">
        <v>40254</v>
      </c>
      <c r="C45" s="1076" t="s">
        <v>9</v>
      </c>
      <c r="D45" s="1076" t="s">
        <v>208</v>
      </c>
      <c r="E45" s="1252">
        <v>76322409</v>
      </c>
      <c r="F45" s="1252"/>
      <c r="G45" s="1076" t="s">
        <v>2754</v>
      </c>
      <c r="H45" s="1076" t="s">
        <v>72</v>
      </c>
      <c r="I45" s="1076" t="s">
        <v>206</v>
      </c>
      <c r="J45" s="1076" t="s">
        <v>66</v>
      </c>
      <c r="K45" s="1076" t="s">
        <v>183</v>
      </c>
      <c r="L45" s="1076" t="s">
        <v>214</v>
      </c>
      <c r="M45" s="1318">
        <v>14</v>
      </c>
      <c r="N45" s="1076" t="s">
        <v>137</v>
      </c>
      <c r="O45" s="1119">
        <v>37241974</v>
      </c>
      <c r="P45" s="1119">
        <v>37241974</v>
      </c>
      <c r="Q45" s="1119">
        <f>P45</f>
        <v>37241974</v>
      </c>
      <c r="R45" s="1171"/>
      <c r="S45" s="110"/>
      <c r="T45" s="109"/>
      <c r="U45" s="109"/>
      <c r="V45" s="1119">
        <v>37241974</v>
      </c>
      <c r="W45" s="1119">
        <v>37241974</v>
      </c>
      <c r="X45" s="1076" t="s">
        <v>198</v>
      </c>
      <c r="Y45" s="108" t="s">
        <v>213</v>
      </c>
      <c r="Z45" s="109">
        <v>0</v>
      </c>
      <c r="AA45" s="109">
        <f>V45*40%</f>
        <v>14896789.600000001</v>
      </c>
      <c r="AB45" s="109">
        <f t="shared" ref="AB45:AB50" si="5">Z45+AA45</f>
        <v>14896789.600000001</v>
      </c>
      <c r="AC45" s="97">
        <v>40326</v>
      </c>
      <c r="AD45" s="56">
        <v>14896790</v>
      </c>
      <c r="AE45" s="1076" t="s">
        <v>137</v>
      </c>
      <c r="AF45" s="1315">
        <f>SUM(AD45:AD48)</f>
        <v>37241974</v>
      </c>
      <c r="AG45" s="1315">
        <f>AF45</f>
        <v>37241974</v>
      </c>
      <c r="AH45" s="1315">
        <v>0</v>
      </c>
      <c r="AI45" s="1315">
        <v>0</v>
      </c>
      <c r="AJ45" s="1119">
        <f>SUM(Z45:Z48)-SUM(AD45:AD48)</f>
        <v>0</v>
      </c>
      <c r="AK45" s="1119">
        <f>P45-V45</f>
        <v>0</v>
      </c>
      <c r="AL45" s="1119">
        <f>V45-SUM(Z45:Z48)</f>
        <v>0</v>
      </c>
      <c r="AM45" s="1119">
        <f>AK45+AL45</f>
        <v>0</v>
      </c>
      <c r="AN45" s="1203"/>
      <c r="AO45" s="1204" t="s">
        <v>320</v>
      </c>
      <c r="AQ45" s="978"/>
    </row>
    <row r="46" spans="1:46" s="4" customFormat="1" ht="15" customHeight="1">
      <c r="A46" s="1214"/>
      <c r="B46" s="1171"/>
      <c r="C46" s="1076"/>
      <c r="D46" s="1076"/>
      <c r="E46" s="1252"/>
      <c r="F46" s="1252"/>
      <c r="G46" s="1076"/>
      <c r="H46" s="1076"/>
      <c r="I46" s="1076"/>
      <c r="J46" s="1076"/>
      <c r="K46" s="1076"/>
      <c r="L46" s="1076"/>
      <c r="M46" s="1318"/>
      <c r="N46" s="1076"/>
      <c r="O46" s="1119"/>
      <c r="P46" s="1119"/>
      <c r="Q46" s="1119"/>
      <c r="R46" s="1171"/>
      <c r="S46" s="110"/>
      <c r="T46" s="109"/>
      <c r="U46" s="109"/>
      <c r="V46" s="1119"/>
      <c r="W46" s="1119"/>
      <c r="X46" s="1076"/>
      <c r="Y46" s="108" t="s">
        <v>210</v>
      </c>
      <c r="Z46" s="109">
        <v>18620987</v>
      </c>
      <c r="AA46" s="109">
        <v>-7448395</v>
      </c>
      <c r="AB46" s="109">
        <f t="shared" si="5"/>
        <v>11172592</v>
      </c>
      <c r="AC46" s="97">
        <v>40494</v>
      </c>
      <c r="AD46" s="56">
        <v>11172592</v>
      </c>
      <c r="AE46" s="1076"/>
      <c r="AF46" s="1315"/>
      <c r="AG46" s="1315"/>
      <c r="AH46" s="1315"/>
      <c r="AI46" s="1315"/>
      <c r="AJ46" s="1119"/>
      <c r="AK46" s="1119"/>
      <c r="AL46" s="1119"/>
      <c r="AM46" s="1119"/>
      <c r="AN46" s="1203"/>
      <c r="AO46" s="1204"/>
      <c r="AQ46" s="934"/>
    </row>
    <row r="47" spans="1:46" s="4" customFormat="1" ht="15" customHeight="1">
      <c r="A47" s="1214"/>
      <c r="B47" s="1171"/>
      <c r="C47" s="1076"/>
      <c r="D47" s="1076"/>
      <c r="E47" s="1252"/>
      <c r="F47" s="1252"/>
      <c r="G47" s="1076"/>
      <c r="H47" s="1076"/>
      <c r="I47" s="1076"/>
      <c r="J47" s="1076"/>
      <c r="K47" s="1076"/>
      <c r="L47" s="1076"/>
      <c r="M47" s="1318"/>
      <c r="N47" s="1076"/>
      <c r="O47" s="1119"/>
      <c r="P47" s="1119"/>
      <c r="Q47" s="1119"/>
      <c r="R47" s="1171"/>
      <c r="S47" s="110"/>
      <c r="T47" s="109"/>
      <c r="U47" s="109"/>
      <c r="V47" s="1119"/>
      <c r="W47" s="1119"/>
      <c r="X47" s="1076"/>
      <c r="Y47" s="108" t="s">
        <v>211</v>
      </c>
      <c r="Z47" s="109">
        <v>14896790</v>
      </c>
      <c r="AA47" s="109">
        <v>-5958716</v>
      </c>
      <c r="AB47" s="109">
        <f t="shared" si="5"/>
        <v>8938074</v>
      </c>
      <c r="AC47" s="97">
        <v>40548</v>
      </c>
      <c r="AD47" s="56">
        <v>8938074</v>
      </c>
      <c r="AE47" s="1076"/>
      <c r="AF47" s="1315"/>
      <c r="AG47" s="1315"/>
      <c r="AH47" s="1315"/>
      <c r="AI47" s="1315"/>
      <c r="AJ47" s="1119"/>
      <c r="AK47" s="1119"/>
      <c r="AL47" s="1119"/>
      <c r="AM47" s="1119"/>
      <c r="AN47" s="1203"/>
      <c r="AO47" s="1204"/>
      <c r="AQ47" s="934"/>
    </row>
    <row r="48" spans="1:46" s="4" customFormat="1" ht="15" customHeight="1">
      <c r="A48" s="1214"/>
      <c r="B48" s="1171"/>
      <c r="C48" s="1076"/>
      <c r="D48" s="1076"/>
      <c r="E48" s="1252"/>
      <c r="F48" s="1252"/>
      <c r="G48" s="1076"/>
      <c r="H48" s="1076"/>
      <c r="I48" s="1076"/>
      <c r="J48" s="1076"/>
      <c r="K48" s="1076"/>
      <c r="L48" s="1076"/>
      <c r="M48" s="1318"/>
      <c r="N48" s="1076"/>
      <c r="O48" s="1119"/>
      <c r="P48" s="1119"/>
      <c r="Q48" s="1119"/>
      <c r="R48" s="1171"/>
      <c r="S48" s="110"/>
      <c r="T48" s="109"/>
      <c r="U48" s="109"/>
      <c r="V48" s="1119"/>
      <c r="W48" s="1119"/>
      <c r="X48" s="1076"/>
      <c r="Y48" s="108" t="s">
        <v>212</v>
      </c>
      <c r="Z48" s="109">
        <v>3724197</v>
      </c>
      <c r="AA48" s="109">
        <v>-1489679</v>
      </c>
      <c r="AB48" s="109">
        <f t="shared" si="5"/>
        <v>2234518</v>
      </c>
      <c r="AC48" s="97">
        <v>41051</v>
      </c>
      <c r="AD48" s="56">
        <v>2234518</v>
      </c>
      <c r="AE48" s="1076"/>
      <c r="AF48" s="1315"/>
      <c r="AG48" s="1315"/>
      <c r="AH48" s="1315"/>
      <c r="AI48" s="1315"/>
      <c r="AJ48" s="1119"/>
      <c r="AK48" s="1119"/>
      <c r="AL48" s="1119"/>
      <c r="AM48" s="1119"/>
      <c r="AN48" s="1203"/>
      <c r="AO48" s="1204"/>
      <c r="AQ48" s="934"/>
    </row>
    <row r="49" spans="1:43" s="4" customFormat="1" ht="15" customHeight="1">
      <c r="A49" s="1214" t="s">
        <v>239</v>
      </c>
      <c r="B49" s="1171">
        <v>40256</v>
      </c>
      <c r="C49" s="1076" t="s">
        <v>39</v>
      </c>
      <c r="D49" s="1076" t="s">
        <v>225</v>
      </c>
      <c r="E49" s="1252">
        <v>900345960</v>
      </c>
      <c r="F49" s="1252">
        <v>1</v>
      </c>
      <c r="G49" s="1076" t="s">
        <v>2770</v>
      </c>
      <c r="H49" s="1076" t="s">
        <v>72</v>
      </c>
      <c r="I49" s="1076" t="s">
        <v>206</v>
      </c>
      <c r="J49" s="1076" t="s">
        <v>66</v>
      </c>
      <c r="K49" s="1076" t="s">
        <v>49</v>
      </c>
      <c r="L49" s="1076" t="s">
        <v>326</v>
      </c>
      <c r="M49" s="1009">
        <v>17</v>
      </c>
      <c r="N49" s="1011" t="s">
        <v>137</v>
      </c>
      <c r="O49" s="1119">
        <v>115565000</v>
      </c>
      <c r="P49" s="1119">
        <v>115565000</v>
      </c>
      <c r="Q49" s="1119">
        <f>P49+P52</f>
        <v>173347500</v>
      </c>
      <c r="R49" s="1171">
        <v>40211</v>
      </c>
      <c r="S49" s="110"/>
      <c r="T49" s="109"/>
      <c r="U49" s="109"/>
      <c r="V49" s="1119">
        <v>115565000</v>
      </c>
      <c r="W49" s="1119">
        <f>V49+V52</f>
        <v>173347500</v>
      </c>
      <c r="X49" s="1076" t="s">
        <v>198</v>
      </c>
      <c r="Y49" s="108" t="s">
        <v>310</v>
      </c>
      <c r="Z49" s="109">
        <v>0</v>
      </c>
      <c r="AA49" s="109">
        <v>46226000</v>
      </c>
      <c r="AB49" s="109">
        <f t="shared" si="5"/>
        <v>46226000</v>
      </c>
      <c r="AC49" s="97">
        <v>40361</v>
      </c>
      <c r="AD49" s="56">
        <v>46226000</v>
      </c>
      <c r="AE49" s="1011" t="s">
        <v>137</v>
      </c>
      <c r="AF49" s="1315">
        <f>SUM(AD49:AD50)</f>
        <v>108631100</v>
      </c>
      <c r="AG49" s="1315">
        <f>AF49+AF52</f>
        <v>166413600</v>
      </c>
      <c r="AH49" s="1315">
        <v>0</v>
      </c>
      <c r="AI49" s="1315">
        <v>0</v>
      </c>
      <c r="AJ49" s="1119">
        <f>SUM(Z49:Z52)-SUM(AD49:AD52)</f>
        <v>0</v>
      </c>
      <c r="AK49" s="1119">
        <f>P49-V49</f>
        <v>0</v>
      </c>
      <c r="AL49" s="1324">
        <f>V49-SUM(Z49:Z50)+AJ49</f>
        <v>11556500</v>
      </c>
      <c r="AM49" s="1324">
        <f>AK49+AL49</f>
        <v>11556500</v>
      </c>
      <c r="AN49" s="1203" t="s">
        <v>352</v>
      </c>
      <c r="AO49" s="1325" t="s">
        <v>339</v>
      </c>
      <c r="AP49" s="1074" t="s">
        <v>2501</v>
      </c>
      <c r="AQ49" s="1120"/>
    </row>
    <row r="50" spans="1:43" s="4" customFormat="1" ht="15" customHeight="1">
      <c r="A50" s="1214"/>
      <c r="B50" s="1171"/>
      <c r="C50" s="1076"/>
      <c r="D50" s="1076"/>
      <c r="E50" s="1252"/>
      <c r="F50" s="1252"/>
      <c r="G50" s="1076"/>
      <c r="H50" s="1076"/>
      <c r="I50" s="1076"/>
      <c r="J50" s="1076"/>
      <c r="K50" s="1076"/>
      <c r="L50" s="1076"/>
      <c r="M50" s="1039"/>
      <c r="N50" s="1033"/>
      <c r="O50" s="1119"/>
      <c r="P50" s="1119"/>
      <c r="Q50" s="1119"/>
      <c r="R50" s="1171"/>
      <c r="S50" s="110"/>
      <c r="T50" s="109"/>
      <c r="U50" s="109"/>
      <c r="V50" s="1119"/>
      <c r="W50" s="1119"/>
      <c r="X50" s="1076"/>
      <c r="Y50" s="108" t="s">
        <v>312</v>
      </c>
      <c r="Z50" s="109">
        <v>104008500</v>
      </c>
      <c r="AA50" s="109">
        <v>-41603400</v>
      </c>
      <c r="AB50" s="109">
        <f t="shared" si="5"/>
        <v>62405100</v>
      </c>
      <c r="AC50" s="97">
        <v>40847</v>
      </c>
      <c r="AD50" s="56">
        <v>62405100</v>
      </c>
      <c r="AE50" s="1033"/>
      <c r="AF50" s="1315"/>
      <c r="AG50" s="1315"/>
      <c r="AH50" s="1315"/>
      <c r="AI50" s="1315"/>
      <c r="AJ50" s="1119"/>
      <c r="AK50" s="1119"/>
      <c r="AL50" s="1324"/>
      <c r="AM50" s="1324"/>
      <c r="AN50" s="1203"/>
      <c r="AO50" s="1204"/>
      <c r="AP50" s="1074"/>
      <c r="AQ50" s="1121"/>
    </row>
    <row r="51" spans="1:43" s="4" customFormat="1" ht="15" customHeight="1">
      <c r="A51" s="1214"/>
      <c r="B51" s="1171"/>
      <c r="C51" s="1076"/>
      <c r="D51" s="1076"/>
      <c r="E51" s="1252"/>
      <c r="F51" s="1252"/>
      <c r="G51" s="1076"/>
      <c r="H51" s="1076"/>
      <c r="I51" s="1076"/>
      <c r="J51" s="485"/>
      <c r="K51" s="1076"/>
      <c r="L51" s="1076"/>
      <c r="M51" s="1010"/>
      <c r="N51" s="1012"/>
      <c r="O51" s="482"/>
      <c r="P51" s="482"/>
      <c r="Q51" s="1119"/>
      <c r="R51" s="487"/>
      <c r="S51" s="484"/>
      <c r="T51" s="482"/>
      <c r="U51" s="482"/>
      <c r="V51" s="482"/>
      <c r="W51" s="1119"/>
      <c r="X51" s="1076"/>
      <c r="Y51" s="489" t="s">
        <v>2609</v>
      </c>
      <c r="Z51" s="482">
        <v>11556500</v>
      </c>
      <c r="AA51" s="482">
        <v>-4622600</v>
      </c>
      <c r="AB51" s="482">
        <f>+Z51+AA51</f>
        <v>6933900</v>
      </c>
      <c r="AC51" s="487">
        <v>43011</v>
      </c>
      <c r="AD51" s="56">
        <f>+AB51</f>
        <v>6933900</v>
      </c>
      <c r="AE51" s="1012"/>
      <c r="AF51" s="493"/>
      <c r="AG51" s="1315"/>
      <c r="AH51" s="493"/>
      <c r="AI51" s="493"/>
      <c r="AJ51" s="1119"/>
      <c r="AK51" s="482"/>
      <c r="AL51" s="494"/>
      <c r="AM51" s="494"/>
      <c r="AN51" s="1203"/>
      <c r="AO51" s="1204"/>
      <c r="AP51" s="1074"/>
      <c r="AQ51" s="1121"/>
    </row>
    <row r="52" spans="1:43" s="4" customFormat="1" ht="15" customHeight="1">
      <c r="A52" s="1214"/>
      <c r="B52" s="1171"/>
      <c r="C52" s="1076"/>
      <c r="D52" s="1076"/>
      <c r="E52" s="1252"/>
      <c r="F52" s="1252"/>
      <c r="G52" s="1076"/>
      <c r="H52" s="1076"/>
      <c r="I52" s="1076"/>
      <c r="J52" s="113" t="s">
        <v>311</v>
      </c>
      <c r="K52" s="1076"/>
      <c r="L52" s="1076"/>
      <c r="M52" s="123">
        <v>160</v>
      </c>
      <c r="N52" s="113" t="s">
        <v>7</v>
      </c>
      <c r="O52" s="109">
        <v>57782500</v>
      </c>
      <c r="P52" s="109">
        <v>57782500</v>
      </c>
      <c r="Q52" s="1119"/>
      <c r="R52" s="97">
        <v>40701</v>
      </c>
      <c r="S52" s="110"/>
      <c r="T52" s="109"/>
      <c r="U52" s="109"/>
      <c r="V52" s="109">
        <v>57782500</v>
      </c>
      <c r="W52" s="1119"/>
      <c r="X52" s="1076"/>
      <c r="Y52" s="108"/>
      <c r="Z52" s="109">
        <v>57782500</v>
      </c>
      <c r="AA52" s="109">
        <v>0</v>
      </c>
      <c r="AB52" s="482">
        <f>+Z52+AA52</f>
        <v>57782500</v>
      </c>
      <c r="AC52" s="487">
        <v>43011</v>
      </c>
      <c r="AD52" s="56">
        <f>+AB52</f>
        <v>57782500</v>
      </c>
      <c r="AE52" s="927" t="s">
        <v>7</v>
      </c>
      <c r="AF52" s="127">
        <f>AD52</f>
        <v>57782500</v>
      </c>
      <c r="AG52" s="1315"/>
      <c r="AH52" s="127">
        <v>0</v>
      </c>
      <c r="AI52" s="127">
        <v>0</v>
      </c>
      <c r="AJ52" s="1119"/>
      <c r="AK52" s="109">
        <f>P52-V52</f>
        <v>0</v>
      </c>
      <c r="AL52" s="147">
        <f>V52-Z52</f>
        <v>0</v>
      </c>
      <c r="AM52" s="147">
        <f>AK52+AL52</f>
        <v>0</v>
      </c>
      <c r="AN52" s="1203"/>
      <c r="AO52" s="1204"/>
      <c r="AP52" s="1074"/>
      <c r="AQ52" s="1160"/>
    </row>
    <row r="53" spans="1:43" s="4" customFormat="1" ht="15" customHeight="1">
      <c r="A53" s="1214" t="s">
        <v>240</v>
      </c>
      <c r="B53" s="1171">
        <v>40254</v>
      </c>
      <c r="C53" s="1076" t="s">
        <v>39</v>
      </c>
      <c r="D53" s="1076" t="s">
        <v>175</v>
      </c>
      <c r="E53" s="1252">
        <v>900346392</v>
      </c>
      <c r="F53" s="1252">
        <v>2</v>
      </c>
      <c r="G53" s="1076" t="s">
        <v>2771</v>
      </c>
      <c r="H53" s="1076" t="s">
        <v>72</v>
      </c>
      <c r="I53" s="1076" t="s">
        <v>177</v>
      </c>
      <c r="J53" s="1076" t="s">
        <v>66</v>
      </c>
      <c r="K53" s="1076" t="s">
        <v>217</v>
      </c>
      <c r="L53" s="1076" t="s">
        <v>218</v>
      </c>
      <c r="M53" s="1318">
        <v>19</v>
      </c>
      <c r="N53" s="1076" t="s">
        <v>137</v>
      </c>
      <c r="O53" s="1119">
        <v>83995000</v>
      </c>
      <c r="P53" s="1119">
        <v>83995000</v>
      </c>
      <c r="Q53" s="1119">
        <f>P53</f>
        <v>83995000</v>
      </c>
      <c r="R53" s="1171">
        <v>40211</v>
      </c>
      <c r="S53" s="110"/>
      <c r="T53" s="109"/>
      <c r="U53" s="109"/>
      <c r="V53" s="1119">
        <v>83971240</v>
      </c>
      <c r="W53" s="1119">
        <v>83971240</v>
      </c>
      <c r="X53" s="1076" t="s">
        <v>198</v>
      </c>
      <c r="Y53" s="108" t="s">
        <v>216</v>
      </c>
      <c r="Z53" s="109">
        <v>0</v>
      </c>
      <c r="AA53" s="109">
        <v>33588496</v>
      </c>
      <c r="AB53" s="109">
        <f t="shared" ref="AB53:AB60" si="6">Z53+AA53</f>
        <v>33588496</v>
      </c>
      <c r="AC53" s="97">
        <v>40476</v>
      </c>
      <c r="AD53" s="56">
        <v>33588496</v>
      </c>
      <c r="AE53" s="1076" t="s">
        <v>137</v>
      </c>
      <c r="AF53" s="1315">
        <f>SUM(AD53:AD54)</f>
        <v>58779652</v>
      </c>
      <c r="AG53" s="1315">
        <f>AF53</f>
        <v>58779652</v>
      </c>
      <c r="AH53" s="1315">
        <v>0</v>
      </c>
      <c r="AI53" s="1315">
        <v>0</v>
      </c>
      <c r="AJ53" s="1119">
        <f>SUM(Z53:Z54)-SUM(AD53:AD54)</f>
        <v>25191588</v>
      </c>
      <c r="AK53" s="1119">
        <f>P53-V53</f>
        <v>23760</v>
      </c>
      <c r="AL53" s="1119">
        <f>V53-SUM(Z53:Z54)</f>
        <v>0</v>
      </c>
      <c r="AM53" s="1119">
        <f>AK53+AL53</f>
        <v>23760</v>
      </c>
      <c r="AN53" s="1203"/>
      <c r="AO53" s="1204" t="s">
        <v>327</v>
      </c>
      <c r="AQ53" s="934"/>
    </row>
    <row r="54" spans="1:43" s="4" customFormat="1" ht="15" customHeight="1">
      <c r="A54" s="1214"/>
      <c r="B54" s="1171"/>
      <c r="C54" s="1076"/>
      <c r="D54" s="1076"/>
      <c r="E54" s="1252"/>
      <c r="F54" s="1252"/>
      <c r="G54" s="1076"/>
      <c r="H54" s="1076"/>
      <c r="I54" s="1076"/>
      <c r="J54" s="1076"/>
      <c r="K54" s="1076"/>
      <c r="L54" s="1076"/>
      <c r="M54" s="1318"/>
      <c r="N54" s="1076"/>
      <c r="O54" s="1119"/>
      <c r="P54" s="1119"/>
      <c r="Q54" s="1119"/>
      <c r="R54" s="1171"/>
      <c r="S54" s="110"/>
      <c r="T54" s="109"/>
      <c r="U54" s="109"/>
      <c r="V54" s="1119"/>
      <c r="W54" s="1119"/>
      <c r="X54" s="1076"/>
      <c r="Y54" s="108"/>
      <c r="Z54" s="109">
        <f>V53</f>
        <v>83971240</v>
      </c>
      <c r="AA54" s="109">
        <v>-33588496</v>
      </c>
      <c r="AB54" s="109">
        <f t="shared" si="6"/>
        <v>50382744</v>
      </c>
      <c r="AC54" s="97">
        <v>40473</v>
      </c>
      <c r="AD54" s="56">
        <v>25191156</v>
      </c>
      <c r="AE54" s="1076"/>
      <c r="AF54" s="1315"/>
      <c r="AG54" s="1315"/>
      <c r="AH54" s="1315"/>
      <c r="AI54" s="1315"/>
      <c r="AJ54" s="1119"/>
      <c r="AK54" s="1119"/>
      <c r="AL54" s="1119"/>
      <c r="AM54" s="1119"/>
      <c r="AN54" s="1203"/>
      <c r="AO54" s="1204"/>
      <c r="AQ54" s="934"/>
    </row>
    <row r="55" spans="1:43" s="4" customFormat="1" ht="15" customHeight="1">
      <c r="A55" s="1214" t="s">
        <v>241</v>
      </c>
      <c r="B55" s="1171">
        <v>40253</v>
      </c>
      <c r="C55" s="1076" t="s">
        <v>39</v>
      </c>
      <c r="D55" s="1076" t="s">
        <v>6</v>
      </c>
      <c r="E55" s="1252">
        <v>900342899</v>
      </c>
      <c r="F55" s="1252">
        <v>6</v>
      </c>
      <c r="G55" s="1076" t="s">
        <v>2772</v>
      </c>
      <c r="H55" s="1076" t="s">
        <v>72</v>
      </c>
      <c r="I55" s="1076" t="s">
        <v>177</v>
      </c>
      <c r="J55" s="1076" t="s">
        <v>66</v>
      </c>
      <c r="K55" s="1076" t="s">
        <v>183</v>
      </c>
      <c r="L55" s="1076" t="s">
        <v>230</v>
      </c>
      <c r="M55" s="1318">
        <v>20</v>
      </c>
      <c r="N55" s="1076" t="s">
        <v>137</v>
      </c>
      <c r="O55" s="1119">
        <v>52562500</v>
      </c>
      <c r="P55" s="1084">
        <v>52562500</v>
      </c>
      <c r="Q55" s="1084">
        <f>P55</f>
        <v>52562500</v>
      </c>
      <c r="R55" s="1171">
        <v>40211</v>
      </c>
      <c r="S55" s="110"/>
      <c r="T55" s="109"/>
      <c r="U55" s="109"/>
      <c r="V55" s="1119">
        <v>52562354</v>
      </c>
      <c r="W55" s="1119">
        <v>52562354</v>
      </c>
      <c r="X55" s="1076" t="s">
        <v>198</v>
      </c>
      <c r="Y55" s="108" t="s">
        <v>227</v>
      </c>
      <c r="Z55" s="109">
        <v>0</v>
      </c>
      <c r="AA55" s="109">
        <v>21024941.600000001</v>
      </c>
      <c r="AB55" s="109">
        <f t="shared" si="6"/>
        <v>21024941.600000001</v>
      </c>
      <c r="AC55" s="97">
        <v>40381</v>
      </c>
      <c r="AD55" s="56">
        <v>21024942</v>
      </c>
      <c r="AE55" s="1076" t="s">
        <v>137</v>
      </c>
      <c r="AF55" s="1315">
        <f>SUM(AD55:AD57)</f>
        <v>52562354</v>
      </c>
      <c r="AG55" s="1315">
        <f>AF55</f>
        <v>52562354</v>
      </c>
      <c r="AH55" s="1315">
        <v>0</v>
      </c>
      <c r="AI55" s="1315">
        <v>0</v>
      </c>
      <c r="AJ55" s="1119">
        <f>SUM(Z55:Z57)-SUM(AD55:AD57)</f>
        <v>0</v>
      </c>
      <c r="AK55" s="1119">
        <f>P55-V55</f>
        <v>146</v>
      </c>
      <c r="AL55" s="1119">
        <f>V55-SUM(Z55:Z57)</f>
        <v>0</v>
      </c>
      <c r="AM55" s="1119">
        <f>AK55-AL55</f>
        <v>146</v>
      </c>
      <c r="AN55" s="1203"/>
      <c r="AO55" s="1325" t="s">
        <v>229</v>
      </c>
      <c r="AQ55" s="934"/>
    </row>
    <row r="56" spans="1:43" s="4" customFormat="1" ht="15" customHeight="1">
      <c r="A56" s="1214"/>
      <c r="B56" s="1171"/>
      <c r="C56" s="1076"/>
      <c r="D56" s="1076"/>
      <c r="E56" s="1252"/>
      <c r="F56" s="1252"/>
      <c r="G56" s="1076"/>
      <c r="H56" s="1076"/>
      <c r="I56" s="1076"/>
      <c r="J56" s="1076"/>
      <c r="K56" s="1076"/>
      <c r="L56" s="1076"/>
      <c r="M56" s="1318"/>
      <c r="N56" s="1076"/>
      <c r="O56" s="1119"/>
      <c r="P56" s="1084"/>
      <c r="Q56" s="1084"/>
      <c r="R56" s="1171"/>
      <c r="S56" s="110"/>
      <c r="T56" s="109"/>
      <c r="U56" s="109"/>
      <c r="V56" s="1119"/>
      <c r="W56" s="1119"/>
      <c r="X56" s="1076"/>
      <c r="Y56" s="108" t="s">
        <v>228</v>
      </c>
      <c r="Z56" s="109">
        <v>47306118.600000001</v>
      </c>
      <c r="AA56" s="109">
        <v>-18922447</v>
      </c>
      <c r="AB56" s="109">
        <f t="shared" si="6"/>
        <v>28383671.600000001</v>
      </c>
      <c r="AC56" s="97">
        <v>40830</v>
      </c>
      <c r="AD56" s="56">
        <v>28383672</v>
      </c>
      <c r="AE56" s="1076"/>
      <c r="AF56" s="1315"/>
      <c r="AG56" s="1315"/>
      <c r="AH56" s="1315"/>
      <c r="AI56" s="1315"/>
      <c r="AJ56" s="1119"/>
      <c r="AK56" s="1119"/>
      <c r="AL56" s="1119"/>
      <c r="AM56" s="1119"/>
      <c r="AN56" s="1203"/>
      <c r="AO56" s="1204"/>
      <c r="AQ56" s="934"/>
    </row>
    <row r="57" spans="1:43" s="4" customFormat="1" ht="15" customHeight="1">
      <c r="A57" s="1214"/>
      <c r="B57" s="1171"/>
      <c r="C57" s="1076"/>
      <c r="D57" s="1076"/>
      <c r="E57" s="1252"/>
      <c r="F57" s="1252"/>
      <c r="G57" s="1076"/>
      <c r="H57" s="1076"/>
      <c r="I57" s="1076"/>
      <c r="J57" s="1076"/>
      <c r="K57" s="1076"/>
      <c r="L57" s="1076"/>
      <c r="M57" s="1318"/>
      <c r="N57" s="1076"/>
      <c r="O57" s="1119"/>
      <c r="P57" s="1084"/>
      <c r="Q57" s="1084"/>
      <c r="R57" s="1171"/>
      <c r="S57" s="110"/>
      <c r="T57" s="109"/>
      <c r="U57" s="109"/>
      <c r="V57" s="1119"/>
      <c r="W57" s="1119"/>
      <c r="X57" s="1076"/>
      <c r="Y57" s="108" t="s">
        <v>231</v>
      </c>
      <c r="Z57" s="109">
        <v>5256235.4000000004</v>
      </c>
      <c r="AA57" s="109">
        <v>-2102494.16</v>
      </c>
      <c r="AB57" s="109">
        <f t="shared" si="6"/>
        <v>3153741.24</v>
      </c>
      <c r="AC57" s="97">
        <v>41271</v>
      </c>
      <c r="AD57" s="56">
        <v>3153740</v>
      </c>
      <c r="AE57" s="1076"/>
      <c r="AF57" s="1315"/>
      <c r="AG57" s="1315"/>
      <c r="AH57" s="1315"/>
      <c r="AI57" s="1315"/>
      <c r="AJ57" s="1119"/>
      <c r="AK57" s="1119"/>
      <c r="AL57" s="1119"/>
      <c r="AM57" s="1119"/>
      <c r="AN57" s="1203"/>
      <c r="AO57" s="1204"/>
      <c r="AQ57" s="934"/>
    </row>
    <row r="58" spans="1:43" ht="15" customHeight="1">
      <c r="A58" s="1214" t="s">
        <v>919</v>
      </c>
      <c r="B58" s="1171">
        <v>40254</v>
      </c>
      <c r="C58" s="1076" t="s">
        <v>31</v>
      </c>
      <c r="D58" s="1076" t="s">
        <v>910</v>
      </c>
      <c r="E58" s="1252">
        <v>10528694</v>
      </c>
      <c r="F58" s="1252"/>
      <c r="G58" s="1076" t="s">
        <v>2773</v>
      </c>
      <c r="H58" s="1076" t="s">
        <v>72</v>
      </c>
      <c r="I58" s="1076" t="s">
        <v>177</v>
      </c>
      <c r="J58" s="1076" t="s">
        <v>66</v>
      </c>
      <c r="K58" s="1076" t="s">
        <v>250</v>
      </c>
      <c r="L58" s="1076" t="s">
        <v>927</v>
      </c>
      <c r="M58" s="1251">
        <v>23</v>
      </c>
      <c r="N58" s="1123" t="s">
        <v>137</v>
      </c>
      <c r="O58" s="1119">
        <v>172332500</v>
      </c>
      <c r="P58" s="1119">
        <v>172332500</v>
      </c>
      <c r="Q58" s="1119">
        <f>P58+P62</f>
        <v>257705983</v>
      </c>
      <c r="R58" s="1171">
        <v>40211</v>
      </c>
      <c r="S58" s="1196">
        <v>139321078</v>
      </c>
      <c r="T58" s="1196">
        <v>139321078</v>
      </c>
      <c r="U58" s="1119">
        <f>O58-T58</f>
        <v>33011422</v>
      </c>
      <c r="V58" s="1119">
        <v>170766144</v>
      </c>
      <c r="W58" s="1119">
        <v>256139627</v>
      </c>
      <c r="X58" s="1076" t="s">
        <v>897</v>
      </c>
      <c r="Y58" s="108" t="s">
        <v>921</v>
      </c>
      <c r="Z58" s="109">
        <v>0</v>
      </c>
      <c r="AA58" s="109">
        <v>68306457.600000009</v>
      </c>
      <c r="AB58" s="109">
        <f t="shared" si="6"/>
        <v>68306457.600000009</v>
      </c>
      <c r="AC58" s="97">
        <v>40326</v>
      </c>
      <c r="AD58" s="167">
        <v>68306458</v>
      </c>
      <c r="AE58" s="119" t="s">
        <v>137</v>
      </c>
      <c r="AF58" s="1084">
        <f>SUM(AD58:AE60)</f>
        <v>160520298</v>
      </c>
      <c r="AG58" s="1084">
        <f>SUM(AD58:AD64)</f>
        <v>211744388</v>
      </c>
      <c r="AH58" s="111">
        <f t="shared" ref="AH58:AH69" si="7">AB58-AD58</f>
        <v>-0.39999999105930328</v>
      </c>
      <c r="AI58" s="111"/>
      <c r="AJ58" s="1119"/>
      <c r="AK58" s="1119"/>
      <c r="AL58" s="1119"/>
      <c r="AM58" s="1119"/>
      <c r="AN58" s="1204" t="s">
        <v>926</v>
      </c>
      <c r="AO58" s="1262" t="s">
        <v>928</v>
      </c>
    </row>
    <row r="59" spans="1:43" ht="15" customHeight="1">
      <c r="A59" s="1214"/>
      <c r="B59" s="1171"/>
      <c r="C59" s="1076"/>
      <c r="D59" s="1076"/>
      <c r="E59" s="1252"/>
      <c r="F59" s="1252"/>
      <c r="G59" s="1076"/>
      <c r="H59" s="1076"/>
      <c r="I59" s="1076"/>
      <c r="J59" s="1076"/>
      <c r="K59" s="1076"/>
      <c r="L59" s="1076"/>
      <c r="M59" s="1251"/>
      <c r="N59" s="1123"/>
      <c r="O59" s="1119"/>
      <c r="P59" s="1119"/>
      <c r="Q59" s="1119"/>
      <c r="R59" s="1171"/>
      <c r="S59" s="1196"/>
      <c r="T59" s="1196"/>
      <c r="U59" s="1119"/>
      <c r="V59" s="1119"/>
      <c r="W59" s="1119"/>
      <c r="X59" s="1076"/>
      <c r="Y59" s="108" t="s">
        <v>922</v>
      </c>
      <c r="Z59" s="109">
        <v>119536504</v>
      </c>
      <c r="AA59" s="109">
        <v>-47814601</v>
      </c>
      <c r="AB59" s="109">
        <f t="shared" si="6"/>
        <v>71721903</v>
      </c>
      <c r="AC59" s="97">
        <v>40707</v>
      </c>
      <c r="AD59" s="168">
        <v>71721903</v>
      </c>
      <c r="AE59" s="119" t="s">
        <v>137</v>
      </c>
      <c r="AF59" s="1084"/>
      <c r="AG59" s="1084"/>
      <c r="AH59" s="111">
        <f t="shared" si="7"/>
        <v>0</v>
      </c>
      <c r="AI59" s="111"/>
      <c r="AJ59" s="1119"/>
      <c r="AK59" s="1119"/>
      <c r="AL59" s="1119"/>
      <c r="AM59" s="1119"/>
      <c r="AN59" s="1204"/>
      <c r="AO59" s="1262"/>
    </row>
    <row r="60" spans="1:43" ht="15" customHeight="1">
      <c r="A60" s="1214"/>
      <c r="B60" s="1171"/>
      <c r="C60" s="1076"/>
      <c r="D60" s="1076"/>
      <c r="E60" s="1252"/>
      <c r="F60" s="1252"/>
      <c r="G60" s="1076"/>
      <c r="H60" s="1076"/>
      <c r="I60" s="1076"/>
      <c r="J60" s="1076"/>
      <c r="K60" s="1076"/>
      <c r="L60" s="1076"/>
      <c r="M60" s="1251"/>
      <c r="N60" s="1123"/>
      <c r="O60" s="1119"/>
      <c r="P60" s="1119"/>
      <c r="Q60" s="1119"/>
      <c r="R60" s="1171"/>
      <c r="S60" s="1196"/>
      <c r="T60" s="1196"/>
      <c r="U60" s="1119"/>
      <c r="V60" s="1119"/>
      <c r="W60" s="1119"/>
      <c r="X60" s="1076"/>
      <c r="Y60" s="108" t="s">
        <v>923</v>
      </c>
      <c r="Z60" s="109">
        <v>34153229</v>
      </c>
      <c r="AA60" s="109">
        <v>-13661292</v>
      </c>
      <c r="AB60" s="109">
        <f t="shared" si="6"/>
        <v>20491937</v>
      </c>
      <c r="AC60" s="97">
        <v>41583</v>
      </c>
      <c r="AD60" s="168">
        <v>20491937</v>
      </c>
      <c r="AE60" s="119" t="s">
        <v>137</v>
      </c>
      <c r="AF60" s="1084"/>
      <c r="AG60" s="1084"/>
      <c r="AH60" s="111">
        <f t="shared" si="7"/>
        <v>0</v>
      </c>
      <c r="AI60" s="111"/>
      <c r="AJ60" s="1119"/>
      <c r="AK60" s="1119"/>
      <c r="AL60" s="1119"/>
      <c r="AM60" s="1119"/>
      <c r="AN60" s="1204"/>
      <c r="AO60" s="1262"/>
    </row>
    <row r="61" spans="1:43" ht="15" customHeight="1">
      <c r="A61" s="1214"/>
      <c r="B61" s="1171"/>
      <c r="C61" s="1076"/>
      <c r="D61" s="1076"/>
      <c r="E61" s="1252"/>
      <c r="F61" s="1252"/>
      <c r="G61" s="1076"/>
      <c r="H61" s="1076"/>
      <c r="I61" s="1076"/>
      <c r="J61" s="1076"/>
      <c r="K61" s="1076"/>
      <c r="L61" s="1076"/>
      <c r="M61" s="1251"/>
      <c r="N61" s="1123"/>
      <c r="O61" s="1119"/>
      <c r="P61" s="1119"/>
      <c r="Q61" s="1119"/>
      <c r="R61" s="1171"/>
      <c r="S61" s="1196"/>
      <c r="T61" s="1196"/>
      <c r="U61" s="1119"/>
      <c r="V61" s="1119"/>
      <c r="W61" s="1119"/>
      <c r="X61" s="1076"/>
      <c r="Y61" s="108"/>
      <c r="Z61" s="109"/>
      <c r="AA61" s="109"/>
      <c r="AB61" s="109"/>
      <c r="AC61" s="97"/>
      <c r="AD61" s="119"/>
      <c r="AE61" s="119"/>
      <c r="AF61" s="1084"/>
      <c r="AG61" s="1084"/>
      <c r="AH61" s="111">
        <f t="shared" si="7"/>
        <v>0</v>
      </c>
      <c r="AI61" s="111"/>
      <c r="AJ61" s="1119"/>
      <c r="AK61" s="1119"/>
      <c r="AL61" s="1119"/>
      <c r="AM61" s="1119"/>
      <c r="AN61" s="1204"/>
      <c r="AO61" s="1262"/>
    </row>
    <row r="62" spans="1:43" ht="15" customHeight="1">
      <c r="A62" s="1214"/>
      <c r="B62" s="1171"/>
      <c r="C62" s="1076"/>
      <c r="D62" s="1076"/>
      <c r="E62" s="1252"/>
      <c r="F62" s="1252"/>
      <c r="G62" s="1076"/>
      <c r="H62" s="1076"/>
      <c r="I62" s="1076"/>
      <c r="J62" s="1076" t="s">
        <v>67</v>
      </c>
      <c r="K62" s="1076"/>
      <c r="L62" s="1076"/>
      <c r="M62" s="1251">
        <v>139</v>
      </c>
      <c r="N62" s="1123" t="s">
        <v>7</v>
      </c>
      <c r="O62" s="1119">
        <v>85373483</v>
      </c>
      <c r="P62" s="1119">
        <v>85373483</v>
      </c>
      <c r="Q62" s="1119"/>
      <c r="R62" s="1171">
        <v>40647</v>
      </c>
      <c r="S62" s="1196">
        <v>85373483</v>
      </c>
      <c r="T62" s="1196">
        <v>85373483</v>
      </c>
      <c r="U62" s="1196">
        <f>O62-T62</f>
        <v>0</v>
      </c>
      <c r="V62" s="1119">
        <v>85373483</v>
      </c>
      <c r="W62" s="1119"/>
      <c r="X62" s="1076"/>
      <c r="Y62" s="108" t="s">
        <v>924</v>
      </c>
      <c r="Z62" s="109">
        <v>25612045</v>
      </c>
      <c r="AA62" s="109">
        <v>0</v>
      </c>
      <c r="AB62" s="109">
        <f t="shared" ref="AB62:AB70" si="8">Z62+AA62</f>
        <v>25612045</v>
      </c>
      <c r="AC62" s="97">
        <v>41992</v>
      </c>
      <c r="AD62" s="119">
        <v>25612045</v>
      </c>
      <c r="AE62" s="119" t="s">
        <v>7</v>
      </c>
      <c r="AF62" s="1084">
        <f>SUM(AD62:AD64)</f>
        <v>51224090</v>
      </c>
      <c r="AG62" s="1084"/>
      <c r="AH62" s="111">
        <f t="shared" si="7"/>
        <v>0</v>
      </c>
      <c r="AI62" s="111"/>
      <c r="AJ62" s="1119"/>
      <c r="AK62" s="1119"/>
      <c r="AL62" s="1119"/>
      <c r="AM62" s="1119"/>
      <c r="AN62" s="1204"/>
      <c r="AO62" s="1262"/>
    </row>
    <row r="63" spans="1:43" ht="15" customHeight="1">
      <c r="A63" s="1214"/>
      <c r="B63" s="1171"/>
      <c r="C63" s="1076"/>
      <c r="D63" s="1076"/>
      <c r="E63" s="1252"/>
      <c r="F63" s="1252"/>
      <c r="G63" s="1076"/>
      <c r="H63" s="1076"/>
      <c r="I63" s="1076"/>
      <c r="J63" s="1076"/>
      <c r="K63" s="1076"/>
      <c r="L63" s="1076"/>
      <c r="M63" s="1251"/>
      <c r="N63" s="1123"/>
      <c r="O63" s="1119"/>
      <c r="P63" s="1119"/>
      <c r="Q63" s="1119"/>
      <c r="R63" s="1171"/>
      <c r="S63" s="1196"/>
      <c r="T63" s="1196"/>
      <c r="U63" s="1196"/>
      <c r="V63" s="1119"/>
      <c r="W63" s="1119"/>
      <c r="X63" s="1076"/>
      <c r="Y63" s="108" t="s">
        <v>925</v>
      </c>
      <c r="Z63" s="109">
        <v>25612045</v>
      </c>
      <c r="AA63" s="109">
        <v>0</v>
      </c>
      <c r="AB63" s="109">
        <f t="shared" si="8"/>
        <v>25612045</v>
      </c>
      <c r="AC63" s="97">
        <v>42201</v>
      </c>
      <c r="AD63" s="119">
        <v>25612045</v>
      </c>
      <c r="AE63" s="119" t="s">
        <v>7</v>
      </c>
      <c r="AF63" s="1084"/>
      <c r="AG63" s="1084"/>
      <c r="AH63" s="111">
        <f t="shared" si="7"/>
        <v>0</v>
      </c>
      <c r="AI63" s="111"/>
      <c r="AJ63" s="1119"/>
      <c r="AK63" s="1119"/>
      <c r="AL63" s="1119"/>
      <c r="AM63" s="1119"/>
      <c r="AN63" s="1204"/>
      <c r="AO63" s="1262"/>
    </row>
    <row r="64" spans="1:43" ht="15" customHeight="1">
      <c r="A64" s="1214"/>
      <c r="B64" s="1171"/>
      <c r="C64" s="1076"/>
      <c r="D64" s="1076"/>
      <c r="E64" s="1252"/>
      <c r="F64" s="1252"/>
      <c r="G64" s="1076"/>
      <c r="H64" s="1076"/>
      <c r="I64" s="1076"/>
      <c r="J64" s="1076"/>
      <c r="K64" s="1076"/>
      <c r="L64" s="1076"/>
      <c r="M64" s="1251"/>
      <c r="N64" s="1123"/>
      <c r="O64" s="1119"/>
      <c r="P64" s="1119"/>
      <c r="Q64" s="1119"/>
      <c r="R64" s="1171"/>
      <c r="S64" s="1196"/>
      <c r="T64" s="1196"/>
      <c r="U64" s="1196"/>
      <c r="V64" s="1119"/>
      <c r="W64" s="1119"/>
      <c r="X64" s="1076"/>
      <c r="Y64" s="108"/>
      <c r="Z64" s="109"/>
      <c r="AA64" s="109"/>
      <c r="AB64" s="109">
        <f t="shared" si="8"/>
        <v>0</v>
      </c>
      <c r="AC64" s="97"/>
      <c r="AD64" s="119"/>
      <c r="AE64" s="119"/>
      <c r="AF64" s="1084"/>
      <c r="AG64" s="1084"/>
      <c r="AH64" s="111">
        <f t="shared" si="7"/>
        <v>0</v>
      </c>
      <c r="AI64" s="111"/>
      <c r="AJ64" s="1119"/>
      <c r="AK64" s="1119"/>
      <c r="AL64" s="1119"/>
      <c r="AM64" s="1119"/>
      <c r="AN64" s="1204"/>
      <c r="AO64" s="1262"/>
    </row>
    <row r="65" spans="1:45" ht="15" customHeight="1">
      <c r="A65" s="1214" t="s">
        <v>929</v>
      </c>
      <c r="B65" s="1171">
        <v>40254</v>
      </c>
      <c r="C65" s="1076" t="s">
        <v>47</v>
      </c>
      <c r="D65" s="1076" t="s">
        <v>175</v>
      </c>
      <c r="E65" s="1252">
        <v>900346392</v>
      </c>
      <c r="F65" s="1252">
        <v>2</v>
      </c>
      <c r="G65" s="1076" t="s">
        <v>2774</v>
      </c>
      <c r="H65" s="1076" t="s">
        <v>72</v>
      </c>
      <c r="I65" s="1076" t="s">
        <v>177</v>
      </c>
      <c r="J65" s="1076" t="s">
        <v>66</v>
      </c>
      <c r="K65" s="1076" t="s">
        <v>183</v>
      </c>
      <c r="L65" s="1076" t="s">
        <v>935</v>
      </c>
      <c r="M65" s="1251">
        <v>28</v>
      </c>
      <c r="N65" s="1123" t="s">
        <v>137</v>
      </c>
      <c r="O65" s="1119">
        <v>150147500</v>
      </c>
      <c r="P65" s="1119">
        <v>150147500</v>
      </c>
      <c r="Q65" s="1119">
        <f>P65+P68</f>
        <v>210281900</v>
      </c>
      <c r="R65" s="1171">
        <v>40211</v>
      </c>
      <c r="S65" s="1196">
        <v>150147500</v>
      </c>
      <c r="T65" s="1196">
        <v>150147500</v>
      </c>
      <c r="U65" s="1119">
        <f>O65-T65</f>
        <v>0</v>
      </c>
      <c r="V65" s="1119">
        <v>150141120</v>
      </c>
      <c r="W65" s="1119">
        <f>SUM(V65:V68)</f>
        <v>210275520</v>
      </c>
      <c r="X65" s="1076" t="s">
        <v>897</v>
      </c>
      <c r="Y65" s="108" t="s">
        <v>931</v>
      </c>
      <c r="Z65" s="109">
        <v>0</v>
      </c>
      <c r="AA65" s="109">
        <v>60056448</v>
      </c>
      <c r="AB65" s="109">
        <f t="shared" si="8"/>
        <v>60056448</v>
      </c>
      <c r="AC65" s="97">
        <v>40326</v>
      </c>
      <c r="AD65" s="119">
        <v>60056448</v>
      </c>
      <c r="AE65" s="119" t="s">
        <v>137</v>
      </c>
      <c r="AF65" s="1084">
        <f>SUM(AD65:AD67)</f>
        <v>150141120</v>
      </c>
      <c r="AG65" s="1084">
        <f>AF65+AF68</f>
        <v>210275220</v>
      </c>
      <c r="AH65" s="111">
        <f t="shared" si="7"/>
        <v>0</v>
      </c>
      <c r="AI65" s="1084"/>
      <c r="AJ65" s="1119">
        <f>SUM(Z65:Z67)-SUM(AD65:AD67)</f>
        <v>0</v>
      </c>
      <c r="AK65" s="1119">
        <f>P65-V65</f>
        <v>6380</v>
      </c>
      <c r="AL65" s="1119">
        <f>V65-SUM(Z65:Z67)</f>
        <v>0</v>
      </c>
      <c r="AM65" s="1119">
        <f>AK65+AL65</f>
        <v>6380</v>
      </c>
      <c r="AN65" s="1204" t="s">
        <v>606</v>
      </c>
      <c r="AO65" s="1204" t="s">
        <v>936</v>
      </c>
    </row>
    <row r="66" spans="1:45" ht="15" customHeight="1">
      <c r="A66" s="1214"/>
      <c r="B66" s="1171"/>
      <c r="C66" s="1076"/>
      <c r="D66" s="1076"/>
      <c r="E66" s="1252"/>
      <c r="F66" s="1252"/>
      <c r="G66" s="1076"/>
      <c r="H66" s="1076"/>
      <c r="I66" s="1076"/>
      <c r="J66" s="1076"/>
      <c r="K66" s="1076"/>
      <c r="L66" s="1076"/>
      <c r="M66" s="1251"/>
      <c r="N66" s="1123"/>
      <c r="O66" s="1119"/>
      <c r="P66" s="1119"/>
      <c r="Q66" s="1119"/>
      <c r="R66" s="1171"/>
      <c r="S66" s="1196"/>
      <c r="T66" s="1196"/>
      <c r="U66" s="1119"/>
      <c r="V66" s="1119"/>
      <c r="W66" s="1119"/>
      <c r="X66" s="1076"/>
      <c r="Y66" s="108" t="s">
        <v>932</v>
      </c>
      <c r="Z66" s="109">
        <v>125117600</v>
      </c>
      <c r="AA66" s="109">
        <v>-50047040</v>
      </c>
      <c r="AB66" s="109">
        <f t="shared" si="8"/>
        <v>75070560</v>
      </c>
      <c r="AC66" s="97">
        <v>40548</v>
      </c>
      <c r="AD66" s="119">
        <v>75070560</v>
      </c>
      <c r="AE66" s="119" t="s">
        <v>137</v>
      </c>
      <c r="AF66" s="1084"/>
      <c r="AG66" s="1084"/>
      <c r="AH66" s="111">
        <f t="shared" si="7"/>
        <v>0</v>
      </c>
      <c r="AI66" s="1084"/>
      <c r="AJ66" s="1119"/>
      <c r="AK66" s="1119"/>
      <c r="AL66" s="1119"/>
      <c r="AM66" s="1119"/>
      <c r="AN66" s="1204"/>
      <c r="AO66" s="1204"/>
    </row>
    <row r="67" spans="1:45" ht="15" customHeight="1">
      <c r="A67" s="1214"/>
      <c r="B67" s="1171"/>
      <c r="C67" s="1076"/>
      <c r="D67" s="1076"/>
      <c r="E67" s="1252"/>
      <c r="F67" s="1252"/>
      <c r="G67" s="1076"/>
      <c r="H67" s="1076"/>
      <c r="I67" s="1076"/>
      <c r="J67" s="1076"/>
      <c r="K67" s="1076"/>
      <c r="L67" s="1076"/>
      <c r="M67" s="1251"/>
      <c r="N67" s="1123"/>
      <c r="O67" s="1119"/>
      <c r="P67" s="1119"/>
      <c r="Q67" s="1119"/>
      <c r="R67" s="1171"/>
      <c r="S67" s="1196"/>
      <c r="T67" s="1196"/>
      <c r="U67" s="1119"/>
      <c r="V67" s="1119"/>
      <c r="W67" s="1119"/>
      <c r="X67" s="1076"/>
      <c r="Y67" s="108" t="s">
        <v>933</v>
      </c>
      <c r="Z67" s="109">
        <v>25023520</v>
      </c>
      <c r="AA67" s="109">
        <v>-10009408</v>
      </c>
      <c r="AB67" s="109">
        <f t="shared" si="8"/>
        <v>15014112</v>
      </c>
      <c r="AC67" s="97">
        <v>40912</v>
      </c>
      <c r="AD67" s="119">
        <v>15014112</v>
      </c>
      <c r="AE67" s="119" t="s">
        <v>137</v>
      </c>
      <c r="AF67" s="1084"/>
      <c r="AG67" s="1084"/>
      <c r="AH67" s="111">
        <f t="shared" si="7"/>
        <v>0</v>
      </c>
      <c r="AI67" s="1084"/>
      <c r="AJ67" s="1119"/>
      <c r="AK67" s="1119"/>
      <c r="AL67" s="1119"/>
      <c r="AM67" s="1119"/>
      <c r="AN67" s="1204"/>
      <c r="AO67" s="1204"/>
    </row>
    <row r="68" spans="1:45" ht="15" customHeight="1">
      <c r="A68" s="1214"/>
      <c r="B68" s="1171"/>
      <c r="C68" s="113" t="s">
        <v>41</v>
      </c>
      <c r="D68" s="1076"/>
      <c r="E68" s="1252"/>
      <c r="F68" s="1252"/>
      <c r="G68" s="1076"/>
      <c r="H68" s="1076"/>
      <c r="I68" s="1076"/>
      <c r="J68" s="113" t="s">
        <v>67</v>
      </c>
      <c r="K68" s="1076"/>
      <c r="L68" s="1076"/>
      <c r="M68" s="122">
        <v>206</v>
      </c>
      <c r="N68" s="108" t="s">
        <v>7</v>
      </c>
      <c r="O68" s="109">
        <v>60134400</v>
      </c>
      <c r="P68" s="109">
        <v>60134400</v>
      </c>
      <c r="Q68" s="1119"/>
      <c r="R68" s="97">
        <v>40779</v>
      </c>
      <c r="S68" s="110">
        <v>60134400</v>
      </c>
      <c r="T68" s="110">
        <v>60134400</v>
      </c>
      <c r="U68" s="110">
        <f>P68-T68</f>
        <v>0</v>
      </c>
      <c r="V68" s="109">
        <v>60134400</v>
      </c>
      <c r="W68" s="1119"/>
      <c r="X68" s="1076"/>
      <c r="Y68" s="108" t="s">
        <v>934</v>
      </c>
      <c r="Z68" s="109">
        <v>60134100</v>
      </c>
      <c r="AA68" s="109">
        <v>0</v>
      </c>
      <c r="AB68" s="109">
        <f t="shared" si="8"/>
        <v>60134100</v>
      </c>
      <c r="AC68" s="97">
        <v>40913</v>
      </c>
      <c r="AD68" s="119">
        <v>60134100</v>
      </c>
      <c r="AE68" s="119" t="s">
        <v>7</v>
      </c>
      <c r="AF68" s="111">
        <f>SUM(AD68:AD68)</f>
        <v>60134100</v>
      </c>
      <c r="AG68" s="1084"/>
      <c r="AH68" s="111">
        <f t="shared" si="7"/>
        <v>0</v>
      </c>
      <c r="AI68" s="111"/>
      <c r="AJ68" s="109">
        <f>SUM(Z68:Z68)-SUM(AD68:AD68)</f>
        <v>0</v>
      </c>
      <c r="AK68" s="109">
        <f>P68-V68</f>
        <v>0</v>
      </c>
      <c r="AL68" s="109">
        <f>SUM(V68:V68)-SUM(Z68:Z68)</f>
        <v>300</v>
      </c>
      <c r="AM68" s="109">
        <f>AK68+AL68</f>
        <v>300</v>
      </c>
      <c r="AN68" s="1204"/>
      <c r="AO68" s="1204"/>
    </row>
    <row r="69" spans="1:45" ht="15" customHeight="1">
      <c r="A69" s="1214" t="s">
        <v>937</v>
      </c>
      <c r="B69" s="1171">
        <v>40254</v>
      </c>
      <c r="C69" s="1076" t="s">
        <v>35</v>
      </c>
      <c r="D69" s="1076" t="s">
        <v>938</v>
      </c>
      <c r="E69" s="1252">
        <v>900347119</v>
      </c>
      <c r="F69" s="1252">
        <v>2</v>
      </c>
      <c r="G69" s="1076" t="s">
        <v>939</v>
      </c>
      <c r="H69" s="1076" t="s">
        <v>72</v>
      </c>
      <c r="I69" s="1076" t="s">
        <v>177</v>
      </c>
      <c r="J69" s="1076" t="s">
        <v>66</v>
      </c>
      <c r="K69" s="1076" t="s">
        <v>217</v>
      </c>
      <c r="L69" s="1076" t="s">
        <v>941</v>
      </c>
      <c r="M69" s="1251">
        <v>6</v>
      </c>
      <c r="N69" s="1123" t="s">
        <v>137</v>
      </c>
      <c r="O69" s="1119">
        <v>79654300</v>
      </c>
      <c r="P69" s="1119">
        <v>79654300</v>
      </c>
      <c r="Q69" s="1119">
        <v>79654300</v>
      </c>
      <c r="R69" s="1171">
        <v>40211</v>
      </c>
      <c r="S69" s="1196">
        <v>79654300</v>
      </c>
      <c r="T69" s="1196">
        <v>79654300</v>
      </c>
      <c r="U69" s="1196">
        <f>O69-T69</f>
        <v>0</v>
      </c>
      <c r="V69" s="1119">
        <v>79641540</v>
      </c>
      <c r="W69" s="1119">
        <v>79641540</v>
      </c>
      <c r="X69" s="1076" t="s">
        <v>940</v>
      </c>
      <c r="Y69" s="108" t="s">
        <v>943</v>
      </c>
      <c r="Z69" s="109">
        <v>0</v>
      </c>
      <c r="AA69" s="109">
        <v>31856616</v>
      </c>
      <c r="AB69" s="109">
        <f t="shared" si="8"/>
        <v>31856616</v>
      </c>
      <c r="AC69" s="97">
        <v>40351</v>
      </c>
      <c r="AD69" s="119">
        <v>31856616</v>
      </c>
      <c r="AE69" s="1377" t="s">
        <v>137</v>
      </c>
      <c r="AF69" s="1084">
        <f>SUM(AD69:AD70)</f>
        <v>79641540</v>
      </c>
      <c r="AG69" s="1084">
        <f>AF69</f>
        <v>79641540</v>
      </c>
      <c r="AH69" s="1084">
        <f t="shared" si="7"/>
        <v>0</v>
      </c>
      <c r="AI69" s="1084">
        <f>O69-AD69-AD70</f>
        <v>12760</v>
      </c>
      <c r="AJ69" s="1119">
        <f>SUM(Z69:Z70)-SUM(AD69:AD70)</f>
        <v>0</v>
      </c>
      <c r="AK69" s="1119">
        <f>P69-V69</f>
        <v>12760</v>
      </c>
      <c r="AL69" s="1119">
        <f>V69-SUM(Z69:Z70)</f>
        <v>0</v>
      </c>
      <c r="AM69" s="1119">
        <f>AK69+AL69</f>
        <v>12760</v>
      </c>
      <c r="AN69" s="1204" t="s">
        <v>942</v>
      </c>
      <c r="AO69" s="1237" t="s">
        <v>945</v>
      </c>
    </row>
    <row r="70" spans="1:45" ht="15" customHeight="1">
      <c r="A70" s="1214"/>
      <c r="B70" s="1171"/>
      <c r="C70" s="1076"/>
      <c r="D70" s="1076"/>
      <c r="E70" s="1252"/>
      <c r="F70" s="1252"/>
      <c r="G70" s="1076"/>
      <c r="H70" s="1076"/>
      <c r="I70" s="1076"/>
      <c r="J70" s="1076"/>
      <c r="K70" s="1076"/>
      <c r="L70" s="1076"/>
      <c r="M70" s="1251"/>
      <c r="N70" s="1123"/>
      <c r="O70" s="1119"/>
      <c r="P70" s="1119"/>
      <c r="Q70" s="1119"/>
      <c r="R70" s="1171"/>
      <c r="S70" s="1196"/>
      <c r="T70" s="1196"/>
      <c r="U70" s="1196"/>
      <c r="V70" s="1119"/>
      <c r="W70" s="1119"/>
      <c r="X70" s="1076"/>
      <c r="Y70" s="108" t="s">
        <v>944</v>
      </c>
      <c r="Z70" s="109">
        <v>79641540</v>
      </c>
      <c r="AA70" s="109">
        <v>-31856616</v>
      </c>
      <c r="AB70" s="109">
        <f t="shared" si="8"/>
        <v>47784924</v>
      </c>
      <c r="AC70" s="97">
        <v>43095</v>
      </c>
      <c r="AD70" s="119">
        <v>47784924</v>
      </c>
      <c r="AE70" s="1378"/>
      <c r="AF70" s="1084"/>
      <c r="AG70" s="1084"/>
      <c r="AH70" s="1084"/>
      <c r="AI70" s="1084"/>
      <c r="AJ70" s="1119"/>
      <c r="AK70" s="1119"/>
      <c r="AL70" s="1119"/>
      <c r="AM70" s="1119"/>
      <c r="AN70" s="1204"/>
      <c r="AO70" s="1204"/>
    </row>
    <row r="71" spans="1:45" s="4" customFormat="1" ht="15" customHeight="1">
      <c r="A71" s="1030" t="s">
        <v>242</v>
      </c>
      <c r="B71" s="1171">
        <v>40254</v>
      </c>
      <c r="C71" s="1076" t="s">
        <v>9</v>
      </c>
      <c r="D71" s="1076" t="s">
        <v>244</v>
      </c>
      <c r="E71" s="1252">
        <v>900347121</v>
      </c>
      <c r="F71" s="1252">
        <v>8</v>
      </c>
      <c r="G71" s="1076" t="s">
        <v>2775</v>
      </c>
      <c r="H71" s="1076" t="s">
        <v>72</v>
      </c>
      <c r="I71" s="1076" t="s">
        <v>177</v>
      </c>
      <c r="J71" s="1076" t="s">
        <v>66</v>
      </c>
      <c r="K71" s="1076" t="s">
        <v>250</v>
      </c>
      <c r="L71" s="1076" t="s">
        <v>249</v>
      </c>
      <c r="M71" s="1335">
        <v>13</v>
      </c>
      <c r="N71" s="1011" t="s">
        <v>137</v>
      </c>
      <c r="O71" s="1119">
        <v>35617606</v>
      </c>
      <c r="P71" s="1119">
        <v>35617606</v>
      </c>
      <c r="Q71" s="1119">
        <f>P71</f>
        <v>35617606</v>
      </c>
      <c r="R71" s="1171">
        <v>40211</v>
      </c>
      <c r="S71" s="110"/>
      <c r="T71" s="109"/>
      <c r="U71" s="109"/>
      <c r="V71" s="1119">
        <v>35607708</v>
      </c>
      <c r="W71" s="1119">
        <v>35607708</v>
      </c>
      <c r="X71" s="1076" t="s">
        <v>198</v>
      </c>
      <c r="Y71" s="108" t="s">
        <v>247</v>
      </c>
      <c r="Z71" s="109">
        <v>0</v>
      </c>
      <c r="AA71" s="109">
        <v>14243083</v>
      </c>
      <c r="AB71" s="109">
        <f>Z71+AA71</f>
        <v>14243083</v>
      </c>
      <c r="AC71" s="97">
        <v>40305</v>
      </c>
      <c r="AD71" s="56">
        <v>14243083</v>
      </c>
      <c r="AE71" s="1011" t="s">
        <v>137</v>
      </c>
      <c r="AF71" s="1013">
        <f>SUM(AD71:AD73)</f>
        <v>35607708</v>
      </c>
      <c r="AG71" s="1315">
        <f>AF71</f>
        <v>35607708</v>
      </c>
      <c r="AH71" s="1315">
        <v>0</v>
      </c>
      <c r="AI71" s="1315">
        <v>0</v>
      </c>
      <c r="AJ71" s="1324">
        <f>SUM(Z71:Z73)-SUM(AD71:AD73)</f>
        <v>0</v>
      </c>
      <c r="AK71" s="1324">
        <f>P71-V71</f>
        <v>9898</v>
      </c>
      <c r="AL71" s="1324">
        <f>V71-SUM(Z71:Z73)+AJ71</f>
        <v>0</v>
      </c>
      <c r="AM71" s="1324">
        <f>AK71+AL71</f>
        <v>9898</v>
      </c>
      <c r="AN71" s="1338"/>
      <c r="AO71" s="1204" t="s">
        <v>2896</v>
      </c>
      <c r="AP71" s="1074" t="s">
        <v>2501</v>
      </c>
      <c r="AQ71" s="1253">
        <v>43280</v>
      </c>
      <c r="AR71" s="1013">
        <f>+AM71</f>
        <v>9898</v>
      </c>
      <c r="AS71" s="1076" t="str">
        <f>+N71</f>
        <v>Departamento - SGP</v>
      </c>
    </row>
    <row r="72" spans="1:45" s="4" customFormat="1" ht="15" customHeight="1">
      <c r="A72" s="1031"/>
      <c r="B72" s="1171"/>
      <c r="C72" s="1076"/>
      <c r="D72" s="1076"/>
      <c r="E72" s="1252"/>
      <c r="F72" s="1252"/>
      <c r="G72" s="1076"/>
      <c r="H72" s="1076"/>
      <c r="I72" s="1076"/>
      <c r="J72" s="1076"/>
      <c r="K72" s="1076"/>
      <c r="L72" s="1076"/>
      <c r="M72" s="1336"/>
      <c r="N72" s="1033"/>
      <c r="O72" s="1119"/>
      <c r="P72" s="1119"/>
      <c r="Q72" s="1119"/>
      <c r="R72" s="1171"/>
      <c r="S72" s="110"/>
      <c r="T72" s="109"/>
      <c r="U72" s="109"/>
      <c r="V72" s="1119"/>
      <c r="W72" s="1119"/>
      <c r="X72" s="1076"/>
      <c r="Y72" s="108" t="s">
        <v>246</v>
      </c>
      <c r="Z72" s="109">
        <v>17803854</v>
      </c>
      <c r="AA72" s="109">
        <v>-7121542</v>
      </c>
      <c r="AB72" s="109">
        <f>Z72+AA72</f>
        <v>10682312</v>
      </c>
      <c r="AC72" s="97">
        <v>40494</v>
      </c>
      <c r="AD72" s="56">
        <v>10682312</v>
      </c>
      <c r="AE72" s="1033"/>
      <c r="AF72" s="1400"/>
      <c r="AG72" s="1315"/>
      <c r="AH72" s="1315"/>
      <c r="AI72" s="1315"/>
      <c r="AJ72" s="1324"/>
      <c r="AK72" s="1324"/>
      <c r="AL72" s="1324"/>
      <c r="AM72" s="1324"/>
      <c r="AN72" s="1338"/>
      <c r="AO72" s="1204"/>
      <c r="AP72" s="1074"/>
      <c r="AQ72" s="1253"/>
      <c r="AR72" s="1014"/>
      <c r="AS72" s="1076"/>
    </row>
    <row r="73" spans="1:45" s="4" customFormat="1" ht="15" customHeight="1">
      <c r="A73" s="1032"/>
      <c r="B73" s="665"/>
      <c r="C73" s="647"/>
      <c r="D73" s="647"/>
      <c r="E73" s="679"/>
      <c r="F73" s="679"/>
      <c r="G73" s="647"/>
      <c r="H73" s="647"/>
      <c r="I73" s="647"/>
      <c r="J73" s="647"/>
      <c r="K73" s="647"/>
      <c r="L73" s="647"/>
      <c r="M73" s="1337"/>
      <c r="N73" s="1012"/>
      <c r="O73" s="666"/>
      <c r="P73" s="666"/>
      <c r="Q73" s="666"/>
      <c r="R73" s="665"/>
      <c r="S73" s="668"/>
      <c r="T73" s="666"/>
      <c r="U73" s="666"/>
      <c r="V73" s="666"/>
      <c r="W73" s="666"/>
      <c r="X73" s="647"/>
      <c r="Y73" s="700" t="s">
        <v>2697</v>
      </c>
      <c r="Z73" s="973">
        <v>17803854</v>
      </c>
      <c r="AA73" s="666">
        <f>-AA71-AA72</f>
        <v>-7121541</v>
      </c>
      <c r="AB73" s="973">
        <f>Z73+AA73</f>
        <v>10682313</v>
      </c>
      <c r="AC73" s="665">
        <v>43083</v>
      </c>
      <c r="AD73" s="56">
        <v>10682313</v>
      </c>
      <c r="AE73" s="1012"/>
      <c r="AF73" s="1014"/>
      <c r="AG73" s="681"/>
      <c r="AH73" s="681"/>
      <c r="AI73" s="681"/>
      <c r="AJ73" s="684"/>
      <c r="AK73" s="684"/>
      <c r="AL73" s="684"/>
      <c r="AM73" s="684"/>
      <c r="AN73" s="685"/>
      <c r="AO73" s="670"/>
      <c r="AP73" s="646"/>
      <c r="AQ73" s="934"/>
    </row>
    <row r="74" spans="1:45" s="4" customFormat="1" ht="15" customHeight="1">
      <c r="A74" s="1030" t="s">
        <v>265</v>
      </c>
      <c r="B74" s="97">
        <v>42811</v>
      </c>
      <c r="C74" s="113" t="s">
        <v>9</v>
      </c>
      <c r="D74" s="113" t="s">
        <v>222</v>
      </c>
      <c r="E74" s="120">
        <v>76305303</v>
      </c>
      <c r="F74" s="120"/>
      <c r="G74" s="113" t="s">
        <v>2776</v>
      </c>
      <c r="H74" s="113" t="s">
        <v>72</v>
      </c>
      <c r="I74" s="113" t="s">
        <v>177</v>
      </c>
      <c r="J74" s="113" t="s">
        <v>66</v>
      </c>
      <c r="K74" s="113" t="s">
        <v>50</v>
      </c>
      <c r="L74" s="113" t="s">
        <v>269</v>
      </c>
      <c r="M74" s="1009">
        <v>16</v>
      </c>
      <c r="N74" s="1011" t="s">
        <v>137</v>
      </c>
      <c r="O74" s="109">
        <v>31263001</v>
      </c>
      <c r="P74" s="109">
        <v>31263001</v>
      </c>
      <c r="Q74" s="109">
        <f>P74</f>
        <v>31263001</v>
      </c>
      <c r="R74" s="97">
        <v>40211</v>
      </c>
      <c r="S74" s="110"/>
      <c r="T74" s="109"/>
      <c r="U74" s="109"/>
      <c r="V74" s="109">
        <v>31247370</v>
      </c>
      <c r="W74" s="109">
        <v>31247370</v>
      </c>
      <c r="X74" s="113" t="s">
        <v>198</v>
      </c>
      <c r="Y74" s="108" t="s">
        <v>268</v>
      </c>
      <c r="Z74" s="109">
        <v>0</v>
      </c>
      <c r="AA74" s="109">
        <v>12498948</v>
      </c>
      <c r="AB74" s="109">
        <v>12498948</v>
      </c>
      <c r="AC74" s="97">
        <v>40305</v>
      </c>
      <c r="AD74" s="56">
        <v>12498948</v>
      </c>
      <c r="AE74" s="1011" t="s">
        <v>137</v>
      </c>
      <c r="AF74" s="127">
        <f>AD74</f>
        <v>12498948</v>
      </c>
      <c r="AG74" s="127">
        <f>AF74</f>
        <v>12498948</v>
      </c>
      <c r="AH74" s="127">
        <v>0</v>
      </c>
      <c r="AI74" s="127">
        <v>0</v>
      </c>
      <c r="AJ74" s="147">
        <f>Z74-AD74</f>
        <v>-12498948</v>
      </c>
      <c r="AK74" s="147">
        <f>P74-V74</f>
        <v>15631</v>
      </c>
      <c r="AL74" s="147">
        <f>V74-Z74+AJ74</f>
        <v>18748422</v>
      </c>
      <c r="AM74" s="147">
        <f>AK74+AL74</f>
        <v>18764053</v>
      </c>
      <c r="AN74" s="112" t="s">
        <v>267</v>
      </c>
      <c r="AO74" s="105" t="s">
        <v>329</v>
      </c>
      <c r="AP74" s="1074" t="s">
        <v>2501</v>
      </c>
      <c r="AQ74" s="934"/>
    </row>
    <row r="75" spans="1:45" s="4" customFormat="1" ht="15" customHeight="1">
      <c r="A75" s="1032"/>
      <c r="B75" s="589"/>
      <c r="C75" s="582"/>
      <c r="D75" s="582"/>
      <c r="E75" s="597"/>
      <c r="F75" s="597"/>
      <c r="G75" s="582"/>
      <c r="H75" s="582"/>
      <c r="I75" s="582"/>
      <c r="J75" s="582"/>
      <c r="K75" s="582"/>
      <c r="L75" s="582"/>
      <c r="M75" s="1010"/>
      <c r="N75" s="1012"/>
      <c r="O75" s="590"/>
      <c r="P75" s="590"/>
      <c r="Q75" s="590"/>
      <c r="R75" s="589"/>
      <c r="S75" s="592"/>
      <c r="T75" s="590"/>
      <c r="U75" s="590"/>
      <c r="V75" s="590"/>
      <c r="W75" s="590"/>
      <c r="X75" s="582"/>
      <c r="Y75" s="586"/>
      <c r="Z75" s="642">
        <v>31247370</v>
      </c>
      <c r="AA75" s="590">
        <v>-12498948</v>
      </c>
      <c r="AB75" s="643">
        <f>+Z75+AA75</f>
        <v>18748422</v>
      </c>
      <c r="AC75" s="589">
        <v>43054</v>
      </c>
      <c r="AD75" s="56">
        <v>18748422</v>
      </c>
      <c r="AE75" s="1012"/>
      <c r="AF75" s="598"/>
      <c r="AG75" s="598"/>
      <c r="AH75" s="598"/>
      <c r="AI75" s="598"/>
      <c r="AJ75" s="599"/>
      <c r="AK75" s="599"/>
      <c r="AL75" s="599"/>
      <c r="AM75" s="599"/>
      <c r="AN75" s="593"/>
      <c r="AO75" s="594"/>
      <c r="AP75" s="1074"/>
      <c r="AQ75" s="934"/>
    </row>
    <row r="76" spans="1:45" s="4" customFormat="1" ht="15" customHeight="1">
      <c r="A76" s="1214" t="s">
        <v>243</v>
      </c>
      <c r="B76" s="1171">
        <v>40253</v>
      </c>
      <c r="C76" s="1076" t="s">
        <v>12</v>
      </c>
      <c r="D76" s="1076" t="s">
        <v>251</v>
      </c>
      <c r="E76" s="1252">
        <v>900346554</v>
      </c>
      <c r="F76" s="1252">
        <v>9</v>
      </c>
      <c r="G76" s="1076" t="s">
        <v>2777</v>
      </c>
      <c r="H76" s="1076" t="s">
        <v>72</v>
      </c>
      <c r="I76" s="1076" t="s">
        <v>177</v>
      </c>
      <c r="J76" s="1076" t="s">
        <v>66</v>
      </c>
      <c r="K76" s="1076" t="s">
        <v>183</v>
      </c>
      <c r="L76" s="1076" t="s">
        <v>258</v>
      </c>
      <c r="M76" s="1318">
        <v>21</v>
      </c>
      <c r="N76" s="1076" t="s">
        <v>137</v>
      </c>
      <c r="O76" s="1119">
        <v>76270000</v>
      </c>
      <c r="P76" s="1119">
        <v>76270000</v>
      </c>
      <c r="Q76" s="1119">
        <f>P76+P79</f>
        <v>97150000</v>
      </c>
      <c r="R76" s="1171">
        <v>40211</v>
      </c>
      <c r="S76" s="110"/>
      <c r="T76" s="109"/>
      <c r="U76" s="109"/>
      <c r="V76" s="1119">
        <v>76270000</v>
      </c>
      <c r="W76" s="1119">
        <f>V76+V79</f>
        <v>97150000</v>
      </c>
      <c r="X76" s="1076" t="s">
        <v>198</v>
      </c>
      <c r="Y76" s="108" t="s">
        <v>253</v>
      </c>
      <c r="Z76" s="109">
        <v>0</v>
      </c>
      <c r="AA76" s="109">
        <v>30508000</v>
      </c>
      <c r="AB76" s="109">
        <f>Z76+AA76</f>
        <v>30508000</v>
      </c>
      <c r="AC76" s="97">
        <v>40326</v>
      </c>
      <c r="AD76" s="56">
        <v>30508000</v>
      </c>
      <c r="AE76" s="1076" t="s">
        <v>137</v>
      </c>
      <c r="AF76" s="1315">
        <f>SUM(AD76:AD78)</f>
        <v>76270000</v>
      </c>
      <c r="AG76" s="1315">
        <f>AF76+AF79</f>
        <v>97150000</v>
      </c>
      <c r="AH76" s="1315">
        <v>0</v>
      </c>
      <c r="AI76" s="1315">
        <v>0</v>
      </c>
      <c r="AJ76" s="1119">
        <f>SUM(Z76:Z80)-SUM(AD76:AD80)</f>
        <v>0</v>
      </c>
      <c r="AK76" s="1119">
        <f>P76-V76</f>
        <v>0</v>
      </c>
      <c r="AL76" s="1119">
        <f>V76-SUM(Z76:Z78)</f>
        <v>0</v>
      </c>
      <c r="AM76" s="1119">
        <f>AK76+AL76</f>
        <v>0</v>
      </c>
      <c r="AN76" s="1203"/>
      <c r="AO76" s="1204" t="s">
        <v>320</v>
      </c>
      <c r="AP76" s="1074"/>
      <c r="AQ76" s="934"/>
    </row>
    <row r="77" spans="1:45" s="4" customFormat="1" ht="15" customHeight="1">
      <c r="A77" s="1214"/>
      <c r="B77" s="1171"/>
      <c r="C77" s="1076"/>
      <c r="D77" s="1076"/>
      <c r="E77" s="1252"/>
      <c r="F77" s="1252"/>
      <c r="G77" s="1076"/>
      <c r="H77" s="1076"/>
      <c r="I77" s="1076"/>
      <c r="J77" s="1076"/>
      <c r="K77" s="1076"/>
      <c r="L77" s="1076"/>
      <c r="M77" s="1318"/>
      <c r="N77" s="1076"/>
      <c r="O77" s="1119"/>
      <c r="P77" s="1119"/>
      <c r="Q77" s="1119"/>
      <c r="R77" s="1171"/>
      <c r="S77" s="110"/>
      <c r="T77" s="109"/>
      <c r="U77" s="109"/>
      <c r="V77" s="1119"/>
      <c r="W77" s="1119"/>
      <c r="X77" s="1076"/>
      <c r="Y77" s="108" t="s">
        <v>254</v>
      </c>
      <c r="Z77" s="109">
        <v>68643000</v>
      </c>
      <c r="AA77" s="109">
        <v>-27457200</v>
      </c>
      <c r="AB77" s="109">
        <f>Z77+AA77</f>
        <v>41185800</v>
      </c>
      <c r="AC77" s="97">
        <v>40816</v>
      </c>
      <c r="AD77" s="56">
        <v>41185800</v>
      </c>
      <c r="AE77" s="1076"/>
      <c r="AF77" s="1315"/>
      <c r="AG77" s="1315"/>
      <c r="AH77" s="1315"/>
      <c r="AI77" s="1315"/>
      <c r="AJ77" s="1119"/>
      <c r="AK77" s="1119"/>
      <c r="AL77" s="1119"/>
      <c r="AM77" s="1119"/>
      <c r="AN77" s="1203"/>
      <c r="AO77" s="1204"/>
      <c r="AQ77" s="934"/>
    </row>
    <row r="78" spans="1:45" s="4" customFormat="1" ht="15" customHeight="1">
      <c r="A78" s="1214"/>
      <c r="B78" s="1171"/>
      <c r="C78" s="1076"/>
      <c r="D78" s="1076"/>
      <c r="E78" s="1252"/>
      <c r="F78" s="1252"/>
      <c r="G78" s="1076"/>
      <c r="H78" s="1076"/>
      <c r="I78" s="1076"/>
      <c r="J78" s="1076"/>
      <c r="K78" s="1076"/>
      <c r="L78" s="1076"/>
      <c r="M78" s="1318"/>
      <c r="N78" s="1076"/>
      <c r="O78" s="1119"/>
      <c r="P78" s="1119"/>
      <c r="Q78" s="1119"/>
      <c r="R78" s="1171"/>
      <c r="S78" s="110"/>
      <c r="T78" s="109"/>
      <c r="U78" s="109"/>
      <c r="V78" s="1119"/>
      <c r="W78" s="1119"/>
      <c r="X78" s="1076"/>
      <c r="Y78" s="108" t="s">
        <v>257</v>
      </c>
      <c r="Z78" s="109">
        <v>7627000</v>
      </c>
      <c r="AA78" s="109">
        <v>-3050800</v>
      </c>
      <c r="AB78" s="109">
        <v>4576200</v>
      </c>
      <c r="AC78" s="97">
        <v>41603</v>
      </c>
      <c r="AD78" s="56">
        <v>4576200</v>
      </c>
      <c r="AE78" s="1076"/>
      <c r="AF78" s="1315"/>
      <c r="AG78" s="1315"/>
      <c r="AH78" s="1315"/>
      <c r="AI78" s="1315"/>
      <c r="AJ78" s="1119"/>
      <c r="AK78" s="1119"/>
      <c r="AL78" s="1119"/>
      <c r="AM78" s="1119"/>
      <c r="AN78" s="1203"/>
      <c r="AO78" s="1204"/>
      <c r="AQ78" s="934"/>
    </row>
    <row r="79" spans="1:45" s="4" customFormat="1" ht="15" customHeight="1">
      <c r="A79" s="1214"/>
      <c r="B79" s="1171"/>
      <c r="C79" s="1076"/>
      <c r="D79" s="1076"/>
      <c r="E79" s="1252"/>
      <c r="F79" s="1252"/>
      <c r="G79" s="1076"/>
      <c r="H79" s="1076"/>
      <c r="I79" s="1076"/>
      <c r="J79" s="1076" t="s">
        <v>171</v>
      </c>
      <c r="K79" s="1076"/>
      <c r="L79" s="1076"/>
      <c r="M79" s="1318">
        <v>224</v>
      </c>
      <c r="N79" s="1076" t="s">
        <v>7</v>
      </c>
      <c r="O79" s="1119">
        <v>20880000</v>
      </c>
      <c r="P79" s="1119">
        <v>20880000</v>
      </c>
      <c r="Q79" s="1119"/>
      <c r="R79" s="1171">
        <v>40864</v>
      </c>
      <c r="S79" s="110"/>
      <c r="T79" s="109"/>
      <c r="U79" s="109"/>
      <c r="V79" s="1119">
        <v>20880000</v>
      </c>
      <c r="W79" s="1119"/>
      <c r="X79" s="1076"/>
      <c r="Y79" s="108" t="s">
        <v>255</v>
      </c>
      <c r="Z79" s="109">
        <v>18792000</v>
      </c>
      <c r="AA79" s="109">
        <v>0</v>
      </c>
      <c r="AB79" s="109">
        <v>18792000</v>
      </c>
      <c r="AC79" s="97">
        <v>40921</v>
      </c>
      <c r="AD79" s="56">
        <v>18792000</v>
      </c>
      <c r="AE79" s="1076" t="s">
        <v>7</v>
      </c>
      <c r="AF79" s="1315">
        <f>SUM(AD79:AD80)</f>
        <v>20880000</v>
      </c>
      <c r="AG79" s="1315"/>
      <c r="AH79" s="1315"/>
      <c r="AI79" s="1315"/>
      <c r="AJ79" s="1119"/>
      <c r="AK79" s="1119">
        <f>P79-V79</f>
        <v>0</v>
      </c>
      <c r="AL79" s="1119">
        <f>V79-SUM(Z79:Z80)</f>
        <v>0</v>
      </c>
      <c r="AM79" s="1119">
        <f>AK79+AL79</f>
        <v>0</v>
      </c>
      <c r="AN79" s="1203"/>
      <c r="AO79" s="1204"/>
      <c r="AQ79" s="934"/>
    </row>
    <row r="80" spans="1:45" s="4" customFormat="1" ht="15" customHeight="1">
      <c r="A80" s="1214"/>
      <c r="B80" s="1171"/>
      <c r="C80" s="1076"/>
      <c r="D80" s="1076"/>
      <c r="E80" s="1252"/>
      <c r="F80" s="1252"/>
      <c r="G80" s="1076"/>
      <c r="H80" s="1076"/>
      <c r="I80" s="1076"/>
      <c r="J80" s="1076"/>
      <c r="K80" s="1076"/>
      <c r="L80" s="1076"/>
      <c r="M80" s="1318"/>
      <c r="N80" s="1076"/>
      <c r="O80" s="1119"/>
      <c r="P80" s="1119"/>
      <c r="Q80" s="1119"/>
      <c r="R80" s="1171"/>
      <c r="S80" s="110"/>
      <c r="T80" s="109"/>
      <c r="U80" s="109"/>
      <c r="V80" s="1119"/>
      <c r="W80" s="1119"/>
      <c r="X80" s="1076"/>
      <c r="Y80" s="108" t="s">
        <v>256</v>
      </c>
      <c r="Z80" s="109">
        <v>2088000</v>
      </c>
      <c r="AA80" s="109">
        <v>0</v>
      </c>
      <c r="AB80" s="109">
        <v>2088000</v>
      </c>
      <c r="AC80" s="97">
        <v>41603</v>
      </c>
      <c r="AD80" s="56">
        <v>2088000</v>
      </c>
      <c r="AE80" s="1076"/>
      <c r="AF80" s="1315"/>
      <c r="AG80" s="1315"/>
      <c r="AH80" s="1315"/>
      <c r="AI80" s="1315"/>
      <c r="AJ80" s="1119"/>
      <c r="AK80" s="1119"/>
      <c r="AL80" s="1119"/>
      <c r="AM80" s="1119"/>
      <c r="AN80" s="1203"/>
      <c r="AO80" s="1204"/>
      <c r="AQ80" s="934"/>
    </row>
    <row r="81" spans="1:43" s="4" customFormat="1" ht="15" customHeight="1">
      <c r="A81" s="1214" t="s">
        <v>259</v>
      </c>
      <c r="B81" s="1171">
        <v>40255</v>
      </c>
      <c r="C81" s="1076" t="s">
        <v>22</v>
      </c>
      <c r="D81" s="1076" t="s">
        <v>260</v>
      </c>
      <c r="E81" s="1252">
        <v>900346831</v>
      </c>
      <c r="F81" s="1252">
        <v>4</v>
      </c>
      <c r="G81" s="1076" t="s">
        <v>2753</v>
      </c>
      <c r="H81" s="1076" t="s">
        <v>72</v>
      </c>
      <c r="I81" s="1076" t="s">
        <v>177</v>
      </c>
      <c r="J81" s="1076" t="s">
        <v>66</v>
      </c>
      <c r="K81" s="1076" t="s">
        <v>250</v>
      </c>
      <c r="L81" s="1076" t="s">
        <v>249</v>
      </c>
      <c r="M81" s="1318">
        <v>25</v>
      </c>
      <c r="N81" s="1076" t="s">
        <v>137</v>
      </c>
      <c r="O81" s="1119">
        <v>50046750</v>
      </c>
      <c r="P81" s="1119">
        <v>50046750</v>
      </c>
      <c r="Q81" s="1119">
        <f>P81</f>
        <v>50046750</v>
      </c>
      <c r="R81" s="1171">
        <v>40211</v>
      </c>
      <c r="S81" s="110"/>
      <c r="T81" s="109"/>
      <c r="U81" s="109"/>
      <c r="V81" s="1119">
        <v>50000000</v>
      </c>
      <c r="W81" s="1119">
        <v>50000000</v>
      </c>
      <c r="X81" s="1076" t="s">
        <v>198</v>
      </c>
      <c r="Y81" s="108" t="s">
        <v>262</v>
      </c>
      <c r="Z81" s="109">
        <v>0</v>
      </c>
      <c r="AA81" s="109">
        <v>20000000</v>
      </c>
      <c r="AB81" s="109">
        <v>20000000</v>
      </c>
      <c r="AC81" s="97">
        <v>40351</v>
      </c>
      <c r="AD81" s="56">
        <v>20000000</v>
      </c>
      <c r="AE81" s="1076" t="s">
        <v>137</v>
      </c>
      <c r="AF81" s="1315">
        <f>SUM(AD81:AD82)</f>
        <v>47000000</v>
      </c>
      <c r="AG81" s="1315">
        <f>AF81</f>
        <v>47000000</v>
      </c>
      <c r="AH81" s="1315">
        <v>0</v>
      </c>
      <c r="AI81" s="1315">
        <v>0</v>
      </c>
      <c r="AJ81" s="1324">
        <f>SUM(Z81:Z82)-SUM(AD81:AD82)</f>
        <v>-2000000</v>
      </c>
      <c r="AK81" s="1324">
        <f>P81-V81</f>
        <v>46750</v>
      </c>
      <c r="AL81" s="1324">
        <f>V81-SUM(Z81:Z82)+AJ81</f>
        <v>3000000</v>
      </c>
      <c r="AM81" s="1324">
        <f>AK81+AL81</f>
        <v>3046750</v>
      </c>
      <c r="AN81" s="1203"/>
      <c r="AO81" s="1204" t="s">
        <v>331</v>
      </c>
      <c r="AQ81" s="934"/>
    </row>
    <row r="82" spans="1:43" s="4" customFormat="1" ht="15" customHeight="1">
      <c r="A82" s="1214"/>
      <c r="B82" s="1171"/>
      <c r="C82" s="1076"/>
      <c r="D82" s="1076"/>
      <c r="E82" s="1252"/>
      <c r="F82" s="1252"/>
      <c r="G82" s="1076"/>
      <c r="H82" s="1076"/>
      <c r="I82" s="1076"/>
      <c r="J82" s="1076"/>
      <c r="K82" s="1076"/>
      <c r="L82" s="1076"/>
      <c r="M82" s="1318"/>
      <c r="N82" s="1076"/>
      <c r="O82" s="1119"/>
      <c r="P82" s="1119"/>
      <c r="Q82" s="1119"/>
      <c r="R82" s="1171"/>
      <c r="S82" s="110"/>
      <c r="T82" s="109"/>
      <c r="U82" s="109"/>
      <c r="V82" s="1119"/>
      <c r="W82" s="1119"/>
      <c r="X82" s="1076"/>
      <c r="Y82" s="108" t="s">
        <v>263</v>
      </c>
      <c r="Z82" s="109">
        <v>45000000</v>
      </c>
      <c r="AA82" s="109">
        <v>-18000000</v>
      </c>
      <c r="AB82" s="109">
        <v>27000000</v>
      </c>
      <c r="AC82" s="97">
        <v>40581</v>
      </c>
      <c r="AD82" s="56">
        <v>27000000</v>
      </c>
      <c r="AE82" s="1076"/>
      <c r="AF82" s="1315"/>
      <c r="AG82" s="1315"/>
      <c r="AH82" s="1315"/>
      <c r="AI82" s="1315"/>
      <c r="AJ82" s="1324"/>
      <c r="AK82" s="1324"/>
      <c r="AL82" s="1324"/>
      <c r="AM82" s="1324"/>
      <c r="AN82" s="1203"/>
      <c r="AO82" s="1204"/>
      <c r="AQ82" s="934"/>
    </row>
    <row r="83" spans="1:43" ht="15" customHeight="1">
      <c r="A83" s="1075" t="s">
        <v>946</v>
      </c>
      <c r="B83" s="1171">
        <v>40298</v>
      </c>
      <c r="C83" s="1076" t="s">
        <v>5</v>
      </c>
      <c r="D83" s="1076" t="s">
        <v>947</v>
      </c>
      <c r="E83" s="1252">
        <v>4611917</v>
      </c>
      <c r="F83" s="1252"/>
      <c r="G83" s="1076" t="s">
        <v>2755</v>
      </c>
      <c r="H83" s="1076" t="s">
        <v>70</v>
      </c>
      <c r="I83" s="1076" t="s">
        <v>177</v>
      </c>
      <c r="J83" s="1076" t="s">
        <v>66</v>
      </c>
      <c r="K83" s="1076" t="s">
        <v>183</v>
      </c>
      <c r="L83" s="1076" t="s">
        <v>954</v>
      </c>
      <c r="M83" s="1251">
        <v>31</v>
      </c>
      <c r="N83" s="1123" t="s">
        <v>7</v>
      </c>
      <c r="O83" s="1119">
        <v>2177441</v>
      </c>
      <c r="P83" s="1119">
        <f>O83+O86</f>
        <v>6628434</v>
      </c>
      <c r="Q83" s="1119">
        <f>P83+P87+P91</f>
        <v>20244626</v>
      </c>
      <c r="R83" s="1171">
        <v>40353</v>
      </c>
      <c r="S83" s="1196">
        <f>T83+T86</f>
        <v>6628434</v>
      </c>
      <c r="T83" s="1196">
        <v>2177441</v>
      </c>
      <c r="U83" s="1196">
        <f>O83-T83</f>
        <v>0</v>
      </c>
      <c r="V83" s="1119">
        <v>2177441</v>
      </c>
      <c r="W83" s="1119">
        <v>20000000</v>
      </c>
      <c r="X83" s="1076" t="s">
        <v>949</v>
      </c>
      <c r="Y83" s="1123" t="s">
        <v>950</v>
      </c>
      <c r="Z83" s="109">
        <v>0</v>
      </c>
      <c r="AA83" s="109">
        <v>870976.2</v>
      </c>
      <c r="AB83" s="109">
        <f t="shared" ref="AB83:AB96" si="9">Z83+AA83</f>
        <v>870976.2</v>
      </c>
      <c r="AC83" s="1171">
        <v>40388</v>
      </c>
      <c r="AD83" s="1215">
        <v>2651373</v>
      </c>
      <c r="AE83" s="1215" t="s">
        <v>7</v>
      </c>
      <c r="AF83" s="1084">
        <f>SUM(AD83:AD86)</f>
        <v>6628434</v>
      </c>
      <c r="AG83" s="1084">
        <f>AF83+AF87+AF91</f>
        <v>20000000</v>
      </c>
      <c r="AH83" s="1084">
        <f>(AB83+AB84)-AD83</f>
        <v>0</v>
      </c>
      <c r="AI83" s="1084">
        <f>O83-AD83-AD85</f>
        <v>-1780396.8</v>
      </c>
      <c r="AJ83" s="1119">
        <f>SUM(Z83:Z86)-SUM(AD83:AD86)</f>
        <v>0</v>
      </c>
      <c r="AK83" s="1119">
        <f>P83-V83-V86</f>
        <v>0</v>
      </c>
      <c r="AL83" s="1119">
        <f>SUM(V83:V86)-SUM(Z83:Z86)</f>
        <v>0</v>
      </c>
      <c r="AM83" s="1119">
        <f>AK83+AL83</f>
        <v>0</v>
      </c>
      <c r="AN83" s="1204" t="s">
        <v>953</v>
      </c>
      <c r="AO83" s="1237" t="s">
        <v>955</v>
      </c>
    </row>
    <row r="84" spans="1:43" ht="15" customHeight="1">
      <c r="A84" s="1075"/>
      <c r="B84" s="1171"/>
      <c r="C84" s="1076"/>
      <c r="D84" s="1076"/>
      <c r="E84" s="1252"/>
      <c r="F84" s="1252"/>
      <c r="G84" s="1076"/>
      <c r="H84" s="1076"/>
      <c r="I84" s="1076"/>
      <c r="J84" s="1076"/>
      <c r="K84" s="1076"/>
      <c r="L84" s="1076"/>
      <c r="M84" s="1251"/>
      <c r="N84" s="1123"/>
      <c r="O84" s="1119"/>
      <c r="P84" s="1119"/>
      <c r="Q84" s="1119"/>
      <c r="R84" s="1171"/>
      <c r="S84" s="1196"/>
      <c r="T84" s="1196"/>
      <c r="U84" s="1196"/>
      <c r="V84" s="1119"/>
      <c r="W84" s="1119"/>
      <c r="X84" s="1076"/>
      <c r="Y84" s="1123"/>
      <c r="Z84" s="109">
        <v>0</v>
      </c>
      <c r="AA84" s="109">
        <v>1780396.8</v>
      </c>
      <c r="AB84" s="109">
        <f t="shared" si="9"/>
        <v>1780396.8</v>
      </c>
      <c r="AC84" s="1171"/>
      <c r="AD84" s="1215"/>
      <c r="AE84" s="1215"/>
      <c r="AF84" s="1084"/>
      <c r="AG84" s="1084"/>
      <c r="AH84" s="1084"/>
      <c r="AI84" s="1084"/>
      <c r="AJ84" s="1119"/>
      <c r="AK84" s="1119"/>
      <c r="AL84" s="1119"/>
      <c r="AM84" s="1119"/>
      <c r="AN84" s="1204"/>
      <c r="AO84" s="1204"/>
    </row>
    <row r="85" spans="1:43" ht="15" customHeight="1">
      <c r="A85" s="1075"/>
      <c r="B85" s="1171"/>
      <c r="C85" s="1076"/>
      <c r="D85" s="1076"/>
      <c r="E85" s="1252"/>
      <c r="F85" s="1252"/>
      <c r="G85" s="1076"/>
      <c r="H85" s="1076"/>
      <c r="I85" s="1076"/>
      <c r="J85" s="1076"/>
      <c r="K85" s="1076"/>
      <c r="L85" s="1076"/>
      <c r="M85" s="1251"/>
      <c r="N85" s="1123"/>
      <c r="O85" s="1119"/>
      <c r="P85" s="1119"/>
      <c r="Q85" s="1119"/>
      <c r="R85" s="1171"/>
      <c r="S85" s="1196"/>
      <c r="T85" s="1196"/>
      <c r="U85" s="1196"/>
      <c r="V85" s="1119"/>
      <c r="W85" s="1119"/>
      <c r="X85" s="1076"/>
      <c r="Y85" s="1123" t="s">
        <v>951</v>
      </c>
      <c r="Z85" s="109">
        <v>2177441</v>
      </c>
      <c r="AA85" s="109">
        <v>-870976.2</v>
      </c>
      <c r="AB85" s="109">
        <f t="shared" si="9"/>
        <v>1306464.8</v>
      </c>
      <c r="AC85" s="1171">
        <v>42023</v>
      </c>
      <c r="AD85" s="119">
        <v>1306464.8</v>
      </c>
      <c r="AE85" s="119" t="s">
        <v>7</v>
      </c>
      <c r="AF85" s="1084"/>
      <c r="AG85" s="1084"/>
      <c r="AH85" s="111">
        <f>AB85-AD85</f>
        <v>0</v>
      </c>
      <c r="AI85" s="1084"/>
      <c r="AJ85" s="1119"/>
      <c r="AK85" s="1119"/>
      <c r="AL85" s="1119"/>
      <c r="AM85" s="1119"/>
      <c r="AN85" s="1204"/>
      <c r="AO85" s="1204"/>
    </row>
    <row r="86" spans="1:43" ht="15" customHeight="1">
      <c r="A86" s="1075"/>
      <c r="B86" s="1171"/>
      <c r="C86" s="1076"/>
      <c r="D86" s="1076"/>
      <c r="E86" s="1252"/>
      <c r="F86" s="1252"/>
      <c r="G86" s="1076"/>
      <c r="H86" s="1076"/>
      <c r="I86" s="1076"/>
      <c r="J86" s="1076"/>
      <c r="K86" s="1076"/>
      <c r="L86" s="1076"/>
      <c r="M86" s="1251"/>
      <c r="N86" s="108" t="s">
        <v>137</v>
      </c>
      <c r="O86" s="109">
        <v>4450993</v>
      </c>
      <c r="P86" s="1119"/>
      <c r="Q86" s="1119"/>
      <c r="R86" s="1171"/>
      <c r="S86" s="1196"/>
      <c r="T86" s="110">
        <v>4450993</v>
      </c>
      <c r="U86" s="109">
        <f>O86-T86</f>
        <v>0</v>
      </c>
      <c r="V86" s="109">
        <v>4450993</v>
      </c>
      <c r="W86" s="1119"/>
      <c r="X86" s="1076"/>
      <c r="Y86" s="1123"/>
      <c r="Z86" s="109">
        <v>4450993</v>
      </c>
      <c r="AA86" s="109">
        <v>-1780396.8</v>
      </c>
      <c r="AB86" s="109">
        <f t="shared" si="9"/>
        <v>2670596.2000000002</v>
      </c>
      <c r="AC86" s="1171"/>
      <c r="AD86" s="119">
        <v>2670596.2000000002</v>
      </c>
      <c r="AE86" s="119" t="s">
        <v>137</v>
      </c>
      <c r="AF86" s="1084"/>
      <c r="AG86" s="1084"/>
      <c r="AH86" s="111">
        <f>AB86-AD86</f>
        <v>0</v>
      </c>
      <c r="AI86" s="111">
        <f>O86-AD86</f>
        <v>1780396.7999999998</v>
      </c>
      <c r="AJ86" s="1119"/>
      <c r="AK86" s="1119"/>
      <c r="AL86" s="1119"/>
      <c r="AM86" s="1119"/>
      <c r="AN86" s="1204"/>
      <c r="AO86" s="1204"/>
    </row>
    <row r="87" spans="1:43" s="29" customFormat="1" ht="15" customHeight="1">
      <c r="A87" s="1075"/>
      <c r="B87" s="1171"/>
      <c r="C87" s="1076"/>
      <c r="D87" s="1076"/>
      <c r="E87" s="1252"/>
      <c r="F87" s="1252"/>
      <c r="G87" s="1076"/>
      <c r="H87" s="1076"/>
      <c r="I87" s="1076"/>
      <c r="J87" s="1076"/>
      <c r="K87" s="1076"/>
      <c r="L87" s="1076"/>
      <c r="M87" s="1251">
        <v>32</v>
      </c>
      <c r="N87" s="1254" t="s">
        <v>7</v>
      </c>
      <c r="O87" s="1084">
        <v>2468543</v>
      </c>
      <c r="P87" s="1084">
        <f>O87+O90</f>
        <v>7514592</v>
      </c>
      <c r="Q87" s="1119"/>
      <c r="R87" s="1253">
        <v>40353</v>
      </c>
      <c r="S87" s="1261">
        <f>T87+T90</f>
        <v>7514592</v>
      </c>
      <c r="T87" s="1261">
        <v>2468543</v>
      </c>
      <c r="U87" s="1261">
        <f>O87-T87</f>
        <v>0</v>
      </c>
      <c r="V87" s="1084">
        <v>2468543</v>
      </c>
      <c r="W87" s="1119"/>
      <c r="X87" s="1076"/>
      <c r="Y87" s="1254" t="s">
        <v>950</v>
      </c>
      <c r="Z87" s="111">
        <v>0</v>
      </c>
      <c r="AA87" s="111">
        <v>987417.27</v>
      </c>
      <c r="AB87" s="109">
        <f t="shared" si="9"/>
        <v>987417.27</v>
      </c>
      <c r="AC87" s="1253">
        <v>40388</v>
      </c>
      <c r="AD87" s="1215">
        <v>3005837</v>
      </c>
      <c r="AE87" s="1215" t="s">
        <v>7</v>
      </c>
      <c r="AF87" s="1084">
        <f>SUM(AD87:AD90)</f>
        <v>7514592</v>
      </c>
      <c r="AG87" s="1084"/>
      <c r="AH87" s="1084">
        <f>(AA87+AA88)-AD87</f>
        <v>0</v>
      </c>
      <c r="AI87" s="1084">
        <f>O87-AD87-AD89</f>
        <v>-2018419.73</v>
      </c>
      <c r="AJ87" s="1084">
        <f>SUM(Z87:Z90)-SUM(AD87:AD90)</f>
        <v>0</v>
      </c>
      <c r="AK87" s="1084">
        <f>P87-V87-V90</f>
        <v>0</v>
      </c>
      <c r="AL87" s="1084">
        <f>SUM(V87:V90)-SUM(Z87:Z90)</f>
        <v>0</v>
      </c>
      <c r="AM87" s="1084">
        <f>AK87+AL87</f>
        <v>0</v>
      </c>
      <c r="AN87" s="1204"/>
      <c r="AO87" s="1204"/>
      <c r="AQ87" s="934"/>
    </row>
    <row r="88" spans="1:43" s="29" customFormat="1" ht="15" customHeight="1">
      <c r="A88" s="1075"/>
      <c r="B88" s="1171"/>
      <c r="C88" s="1076"/>
      <c r="D88" s="1076"/>
      <c r="E88" s="1252"/>
      <c r="F88" s="1252"/>
      <c r="G88" s="1076"/>
      <c r="H88" s="1076"/>
      <c r="I88" s="1076"/>
      <c r="J88" s="1076"/>
      <c r="K88" s="1076"/>
      <c r="L88" s="1076"/>
      <c r="M88" s="1251"/>
      <c r="N88" s="1254"/>
      <c r="O88" s="1084"/>
      <c r="P88" s="1084"/>
      <c r="Q88" s="1119"/>
      <c r="R88" s="1253"/>
      <c r="S88" s="1261"/>
      <c r="T88" s="1261"/>
      <c r="U88" s="1261"/>
      <c r="V88" s="1084"/>
      <c r="W88" s="1119"/>
      <c r="X88" s="1076"/>
      <c r="Y88" s="1254"/>
      <c r="Z88" s="111">
        <v>0</v>
      </c>
      <c r="AA88" s="111">
        <v>2018419.73</v>
      </c>
      <c r="AB88" s="109">
        <f t="shared" si="9"/>
        <v>2018419.73</v>
      </c>
      <c r="AC88" s="1253"/>
      <c r="AD88" s="1215"/>
      <c r="AE88" s="1215"/>
      <c r="AF88" s="1084"/>
      <c r="AG88" s="1084"/>
      <c r="AH88" s="1084"/>
      <c r="AI88" s="1084"/>
      <c r="AJ88" s="1084"/>
      <c r="AK88" s="1084"/>
      <c r="AL88" s="1084"/>
      <c r="AM88" s="1084"/>
      <c r="AN88" s="1204"/>
      <c r="AO88" s="1204"/>
      <c r="AQ88" s="934"/>
    </row>
    <row r="89" spans="1:43" s="29" customFormat="1" ht="15" customHeight="1">
      <c r="A89" s="1075"/>
      <c r="B89" s="1171"/>
      <c r="C89" s="1076"/>
      <c r="D89" s="1076"/>
      <c r="E89" s="1252"/>
      <c r="F89" s="1252"/>
      <c r="G89" s="1076"/>
      <c r="H89" s="1076"/>
      <c r="I89" s="1076"/>
      <c r="J89" s="1076"/>
      <c r="K89" s="1076"/>
      <c r="L89" s="1076"/>
      <c r="M89" s="1251"/>
      <c r="N89" s="1254"/>
      <c r="O89" s="1084"/>
      <c r="P89" s="1084"/>
      <c r="Q89" s="1119"/>
      <c r="R89" s="1253"/>
      <c r="S89" s="1261"/>
      <c r="T89" s="1261"/>
      <c r="U89" s="1261"/>
      <c r="V89" s="1084"/>
      <c r="W89" s="1119"/>
      <c r="X89" s="1076"/>
      <c r="Y89" s="1254" t="s">
        <v>951</v>
      </c>
      <c r="Z89" s="111">
        <v>2468543</v>
      </c>
      <c r="AA89" s="111">
        <v>-987417.27</v>
      </c>
      <c r="AB89" s="109">
        <f t="shared" si="9"/>
        <v>1481125.73</v>
      </c>
      <c r="AC89" s="1253">
        <v>42023</v>
      </c>
      <c r="AD89" s="119">
        <v>1481125.73</v>
      </c>
      <c r="AE89" s="119" t="s">
        <v>7</v>
      </c>
      <c r="AF89" s="1084"/>
      <c r="AG89" s="1084"/>
      <c r="AH89" s="111">
        <f>AB89-AD89</f>
        <v>0</v>
      </c>
      <c r="AI89" s="1084"/>
      <c r="AJ89" s="1084"/>
      <c r="AK89" s="1084"/>
      <c r="AL89" s="1084"/>
      <c r="AM89" s="1084"/>
      <c r="AN89" s="1204"/>
      <c r="AO89" s="1204"/>
      <c r="AQ89" s="934"/>
    </row>
    <row r="90" spans="1:43" s="29" customFormat="1" ht="15" customHeight="1">
      <c r="A90" s="1075"/>
      <c r="B90" s="1171"/>
      <c r="C90" s="1076"/>
      <c r="D90" s="1076"/>
      <c r="E90" s="1252"/>
      <c r="F90" s="1252"/>
      <c r="G90" s="1076"/>
      <c r="H90" s="1076"/>
      <c r="I90" s="1076"/>
      <c r="J90" s="1076"/>
      <c r="K90" s="1076"/>
      <c r="L90" s="1076"/>
      <c r="M90" s="1251"/>
      <c r="N90" s="121" t="s">
        <v>137</v>
      </c>
      <c r="O90" s="111">
        <v>5046049</v>
      </c>
      <c r="P90" s="1084"/>
      <c r="Q90" s="1119"/>
      <c r="R90" s="1253"/>
      <c r="S90" s="1261"/>
      <c r="T90" s="111">
        <v>5046049</v>
      </c>
      <c r="U90" s="111">
        <f>O90-T90</f>
        <v>0</v>
      </c>
      <c r="V90" s="111">
        <v>5046049</v>
      </c>
      <c r="W90" s="1119"/>
      <c r="X90" s="1076"/>
      <c r="Y90" s="1254"/>
      <c r="Z90" s="111">
        <v>5046049</v>
      </c>
      <c r="AA90" s="111">
        <v>-2018419.73</v>
      </c>
      <c r="AB90" s="109">
        <f t="shared" si="9"/>
        <v>3027629.27</v>
      </c>
      <c r="AC90" s="1253"/>
      <c r="AD90" s="119">
        <v>3027629.27</v>
      </c>
      <c r="AE90" s="119" t="s">
        <v>137</v>
      </c>
      <c r="AF90" s="1084"/>
      <c r="AG90" s="1084"/>
      <c r="AH90" s="111">
        <f>AB90-AD90</f>
        <v>0</v>
      </c>
      <c r="AI90" s="111">
        <f>O90-AD90</f>
        <v>2018419.73</v>
      </c>
      <c r="AJ90" s="1084"/>
      <c r="AK90" s="1084"/>
      <c r="AL90" s="1084"/>
      <c r="AM90" s="1084"/>
      <c r="AN90" s="1204"/>
      <c r="AO90" s="1204"/>
      <c r="AQ90" s="934"/>
    </row>
    <row r="91" spans="1:43" ht="15" customHeight="1">
      <c r="A91" s="1075"/>
      <c r="B91" s="1171"/>
      <c r="C91" s="1076" t="s">
        <v>12</v>
      </c>
      <c r="D91" s="1076"/>
      <c r="E91" s="1252"/>
      <c r="F91" s="1252"/>
      <c r="G91" s="1076"/>
      <c r="H91" s="1076"/>
      <c r="I91" s="1076"/>
      <c r="J91" s="1076"/>
      <c r="K91" s="1076"/>
      <c r="L91" s="1076"/>
      <c r="M91" s="1251">
        <v>48</v>
      </c>
      <c r="N91" s="1123" t="s">
        <v>7</v>
      </c>
      <c r="O91" s="1119">
        <v>2004376</v>
      </c>
      <c r="P91" s="1119">
        <f>O91+O94</f>
        <v>6101600</v>
      </c>
      <c r="Q91" s="1119"/>
      <c r="R91" s="1171">
        <v>40353</v>
      </c>
      <c r="S91" s="1196">
        <f>T91+T94</f>
        <v>5856974</v>
      </c>
      <c r="T91" s="1196">
        <v>1932801</v>
      </c>
      <c r="U91" s="1196">
        <f>O91-T91</f>
        <v>71575</v>
      </c>
      <c r="V91" s="1119">
        <v>1932801</v>
      </c>
      <c r="W91" s="1119"/>
      <c r="X91" s="1076"/>
      <c r="Y91" s="1123" t="s">
        <v>950</v>
      </c>
      <c r="Z91" s="109">
        <v>0</v>
      </c>
      <c r="AA91" s="109">
        <v>773120.53</v>
      </c>
      <c r="AB91" s="109">
        <f t="shared" si="9"/>
        <v>773120.53</v>
      </c>
      <c r="AC91" s="1171">
        <v>40388</v>
      </c>
      <c r="AD91" s="1215">
        <v>2342790</v>
      </c>
      <c r="AE91" s="1215" t="s">
        <v>7</v>
      </c>
      <c r="AF91" s="1084">
        <f>SUM(AD91:AD94)</f>
        <v>5856974</v>
      </c>
      <c r="AG91" s="1084"/>
      <c r="AH91" s="1084">
        <f>(AA91+AA92)-AD91</f>
        <v>0</v>
      </c>
      <c r="AI91" s="1119">
        <f>O91-AD91-AD93</f>
        <v>-1498094.47</v>
      </c>
      <c r="AJ91" s="1119">
        <f>SUM(Z91:Z94)-SUM(AD91:AD94)</f>
        <v>0</v>
      </c>
      <c r="AK91" s="1119">
        <f>O91-V91</f>
        <v>71575</v>
      </c>
      <c r="AL91" s="1119">
        <f>SUM(V91:V94)-SUM(Z91:Z94)</f>
        <v>0</v>
      </c>
      <c r="AM91" s="1119">
        <v>0</v>
      </c>
      <c r="AN91" s="1204"/>
      <c r="AO91" s="1204"/>
    </row>
    <row r="92" spans="1:43" ht="15" customHeight="1">
      <c r="A92" s="1075"/>
      <c r="B92" s="1171"/>
      <c r="C92" s="1076"/>
      <c r="D92" s="1076"/>
      <c r="E92" s="1252"/>
      <c r="F92" s="1252"/>
      <c r="G92" s="1076"/>
      <c r="H92" s="1076"/>
      <c r="I92" s="1076"/>
      <c r="J92" s="1076"/>
      <c r="K92" s="1076"/>
      <c r="L92" s="1076"/>
      <c r="M92" s="1251"/>
      <c r="N92" s="1123"/>
      <c r="O92" s="1119"/>
      <c r="P92" s="1119"/>
      <c r="Q92" s="1119"/>
      <c r="R92" s="1171"/>
      <c r="S92" s="1196"/>
      <c r="T92" s="1196"/>
      <c r="U92" s="1196"/>
      <c r="V92" s="1119"/>
      <c r="W92" s="1119"/>
      <c r="X92" s="1076"/>
      <c r="Y92" s="1123"/>
      <c r="Z92" s="109">
        <v>0</v>
      </c>
      <c r="AA92" s="109">
        <v>1569669.47</v>
      </c>
      <c r="AB92" s="109">
        <f t="shared" si="9"/>
        <v>1569669.47</v>
      </c>
      <c r="AC92" s="1171"/>
      <c r="AD92" s="1215"/>
      <c r="AE92" s="1215"/>
      <c r="AF92" s="1084"/>
      <c r="AG92" s="1084"/>
      <c r="AH92" s="1084"/>
      <c r="AI92" s="1119"/>
      <c r="AJ92" s="1119"/>
      <c r="AK92" s="1119"/>
      <c r="AL92" s="1119"/>
      <c r="AM92" s="1119"/>
      <c r="AN92" s="1204"/>
      <c r="AO92" s="1204"/>
    </row>
    <row r="93" spans="1:43" ht="15" customHeight="1">
      <c r="A93" s="1075"/>
      <c r="B93" s="1171"/>
      <c r="C93" s="1076"/>
      <c r="D93" s="1076"/>
      <c r="E93" s="1252"/>
      <c r="F93" s="1252"/>
      <c r="G93" s="1076"/>
      <c r="H93" s="1076"/>
      <c r="I93" s="1076"/>
      <c r="J93" s="1076"/>
      <c r="K93" s="1076"/>
      <c r="L93" s="1076"/>
      <c r="M93" s="1251"/>
      <c r="N93" s="1123"/>
      <c r="O93" s="1119"/>
      <c r="P93" s="1119"/>
      <c r="Q93" s="1119"/>
      <c r="R93" s="1171"/>
      <c r="S93" s="1196"/>
      <c r="T93" s="1196"/>
      <c r="U93" s="1196"/>
      <c r="V93" s="1119"/>
      <c r="W93" s="1119"/>
      <c r="X93" s="1076"/>
      <c r="Y93" s="1123" t="s">
        <v>952</v>
      </c>
      <c r="Z93" s="109">
        <v>1932801</v>
      </c>
      <c r="AA93" s="109">
        <v>-773120.53</v>
      </c>
      <c r="AB93" s="109">
        <f t="shared" si="9"/>
        <v>1159680.47</v>
      </c>
      <c r="AC93" s="1171">
        <v>42023</v>
      </c>
      <c r="AD93" s="119">
        <v>1159680.47</v>
      </c>
      <c r="AE93" s="119" t="s">
        <v>7</v>
      </c>
      <c r="AF93" s="1084"/>
      <c r="AG93" s="1084"/>
      <c r="AH93" s="111">
        <f>AB93-AD93</f>
        <v>0</v>
      </c>
      <c r="AI93" s="1119"/>
      <c r="AJ93" s="1119"/>
      <c r="AK93" s="1119"/>
      <c r="AL93" s="1119"/>
      <c r="AM93" s="1119"/>
      <c r="AN93" s="1204"/>
      <c r="AO93" s="1204"/>
    </row>
    <row r="94" spans="1:43" ht="15" customHeight="1">
      <c r="A94" s="1075"/>
      <c r="B94" s="1171"/>
      <c r="C94" s="1076"/>
      <c r="D94" s="1076"/>
      <c r="E94" s="1252"/>
      <c r="F94" s="1252"/>
      <c r="G94" s="1076"/>
      <c r="H94" s="1076"/>
      <c r="I94" s="1076"/>
      <c r="J94" s="1076"/>
      <c r="K94" s="1076"/>
      <c r="L94" s="1076"/>
      <c r="M94" s="1251"/>
      <c r="N94" s="108" t="s">
        <v>137</v>
      </c>
      <c r="O94" s="109">
        <v>4097224</v>
      </c>
      <c r="P94" s="1119"/>
      <c r="Q94" s="1119"/>
      <c r="R94" s="1171"/>
      <c r="S94" s="1196"/>
      <c r="T94" s="109">
        <v>3924173</v>
      </c>
      <c r="U94" s="109">
        <f>O94-T94</f>
        <v>173051</v>
      </c>
      <c r="V94" s="109">
        <v>3924173</v>
      </c>
      <c r="W94" s="1119"/>
      <c r="X94" s="1076"/>
      <c r="Y94" s="1123"/>
      <c r="Z94" s="109">
        <v>3924173</v>
      </c>
      <c r="AA94" s="109">
        <v>-1569669.47</v>
      </c>
      <c r="AB94" s="109">
        <f t="shared" si="9"/>
        <v>2354503.5300000003</v>
      </c>
      <c r="AC94" s="1171"/>
      <c r="AD94" s="119">
        <v>2354503.5299999998</v>
      </c>
      <c r="AE94" s="119" t="s">
        <v>137</v>
      </c>
      <c r="AF94" s="1084"/>
      <c r="AG94" s="1084"/>
      <c r="AH94" s="111">
        <f>AB94-AD94</f>
        <v>0</v>
      </c>
      <c r="AI94" s="111">
        <f>O94-AD94</f>
        <v>1742720.4700000002</v>
      </c>
      <c r="AJ94" s="1119"/>
      <c r="AK94" s="109">
        <f>O94-V94</f>
        <v>173051</v>
      </c>
      <c r="AL94" s="1119"/>
      <c r="AM94" s="1119"/>
      <c r="AN94" s="1204"/>
      <c r="AO94" s="1204"/>
    </row>
    <row r="95" spans="1:43" s="4" customFormat="1" ht="15" customHeight="1">
      <c r="A95" s="1214" t="s">
        <v>270</v>
      </c>
      <c r="B95" s="1171">
        <v>40298</v>
      </c>
      <c r="C95" s="1076" t="s">
        <v>24</v>
      </c>
      <c r="D95" s="1076" t="s">
        <v>272</v>
      </c>
      <c r="E95" s="1252">
        <v>19432500</v>
      </c>
      <c r="F95" s="1252"/>
      <c r="G95" s="1076" t="s">
        <v>271</v>
      </c>
      <c r="H95" s="1076" t="s">
        <v>70</v>
      </c>
      <c r="I95" s="1076" t="s">
        <v>177</v>
      </c>
      <c r="J95" s="1076" t="s">
        <v>66</v>
      </c>
      <c r="K95" s="1076" t="s">
        <v>183</v>
      </c>
      <c r="L95" s="1076" t="s">
        <v>278</v>
      </c>
      <c r="M95" s="1318">
        <v>37</v>
      </c>
      <c r="N95" s="1076" t="s">
        <v>7</v>
      </c>
      <c r="O95" s="1119">
        <v>3823937</v>
      </c>
      <c r="P95" s="1119">
        <v>11640600</v>
      </c>
      <c r="Q95" s="1119">
        <f>P95+P100+P105</f>
        <v>23832223</v>
      </c>
      <c r="R95" s="1171">
        <v>40353</v>
      </c>
      <c r="S95" s="110"/>
      <c r="T95" s="109"/>
      <c r="U95" s="109"/>
      <c r="V95" s="1119">
        <f>O95</f>
        <v>3823937</v>
      </c>
      <c r="W95" s="1119">
        <f>V95+V98+V100+V105</f>
        <v>23832084</v>
      </c>
      <c r="X95" s="1076" t="s">
        <v>273</v>
      </c>
      <c r="Y95" s="108" t="s">
        <v>275</v>
      </c>
      <c r="Z95" s="109">
        <v>0</v>
      </c>
      <c r="AA95" s="109">
        <v>4656240</v>
      </c>
      <c r="AB95" s="109">
        <f t="shared" si="9"/>
        <v>4656240</v>
      </c>
      <c r="AC95" s="97">
        <v>40382</v>
      </c>
      <c r="AD95" s="56">
        <v>4656240</v>
      </c>
      <c r="AE95" s="1076" t="s">
        <v>7</v>
      </c>
      <c r="AF95" s="1315">
        <f>SUM(AD95:AD99)</f>
        <v>11640459.26</v>
      </c>
      <c r="AG95" s="1315">
        <f>AF95+AF100+AF105</f>
        <v>23832082.260000002</v>
      </c>
      <c r="AH95" s="1315">
        <v>0</v>
      </c>
      <c r="AI95" s="1315">
        <f>O95-SUM(AD95:AD97)</f>
        <v>-3126561.8</v>
      </c>
      <c r="AJ95" s="1119">
        <f>SUM(Z95:Z106)-SUM(AD95:AD106)</f>
        <v>1.7400000020861626</v>
      </c>
      <c r="AK95" s="1119">
        <f>O95-V95</f>
        <v>0</v>
      </c>
      <c r="AL95" s="1119">
        <f>SUM(V95:V99)-SUM(Z95:Z99)</f>
        <v>0</v>
      </c>
      <c r="AM95" s="1119">
        <f>AK95+AL95</f>
        <v>0</v>
      </c>
      <c r="AN95" s="1203"/>
      <c r="AO95" s="1204" t="s">
        <v>332</v>
      </c>
      <c r="AQ95" s="934"/>
    </row>
    <row r="96" spans="1:43" s="4" customFormat="1" ht="15" customHeight="1">
      <c r="A96" s="1214"/>
      <c r="B96" s="1171"/>
      <c r="C96" s="1076"/>
      <c r="D96" s="1076"/>
      <c r="E96" s="1252"/>
      <c r="F96" s="1252"/>
      <c r="G96" s="1076"/>
      <c r="H96" s="1076"/>
      <c r="I96" s="1076"/>
      <c r="J96" s="1076"/>
      <c r="K96" s="1076"/>
      <c r="L96" s="1076"/>
      <c r="M96" s="1318"/>
      <c r="N96" s="1076"/>
      <c r="O96" s="1119"/>
      <c r="P96" s="1119"/>
      <c r="Q96" s="1119"/>
      <c r="R96" s="1171"/>
      <c r="S96" s="110"/>
      <c r="T96" s="109"/>
      <c r="U96" s="109"/>
      <c r="V96" s="1119"/>
      <c r="W96" s="1119"/>
      <c r="X96" s="1076"/>
      <c r="Y96" s="1123" t="s">
        <v>274</v>
      </c>
      <c r="Z96" s="1119">
        <v>11640461</v>
      </c>
      <c r="AA96" s="1119">
        <v>-4656240</v>
      </c>
      <c r="AB96" s="1119">
        <f t="shared" si="9"/>
        <v>6984221</v>
      </c>
      <c r="AC96" s="97">
        <v>41996</v>
      </c>
      <c r="AD96" s="56">
        <v>1555653.8</v>
      </c>
      <c r="AE96" s="1076"/>
      <c r="AF96" s="1315"/>
      <c r="AG96" s="1315"/>
      <c r="AH96" s="1315"/>
      <c r="AI96" s="1315"/>
      <c r="AJ96" s="1119"/>
      <c r="AK96" s="1119"/>
      <c r="AL96" s="1119"/>
      <c r="AM96" s="1119"/>
      <c r="AN96" s="1203"/>
      <c r="AO96" s="1204"/>
      <c r="AQ96" s="934"/>
    </row>
    <row r="97" spans="1:43" s="4" customFormat="1" ht="15" customHeight="1">
      <c r="A97" s="1214"/>
      <c r="B97" s="1171"/>
      <c r="C97" s="1076"/>
      <c r="D97" s="1076"/>
      <c r="E97" s="1252"/>
      <c r="F97" s="1252"/>
      <c r="G97" s="1076"/>
      <c r="H97" s="1076"/>
      <c r="I97" s="1076"/>
      <c r="J97" s="1076"/>
      <c r="K97" s="1076"/>
      <c r="L97" s="1076"/>
      <c r="M97" s="1318"/>
      <c r="N97" s="1076"/>
      <c r="O97" s="1119"/>
      <c r="P97" s="1119"/>
      <c r="Q97" s="1119"/>
      <c r="R97" s="1171"/>
      <c r="S97" s="110"/>
      <c r="T97" s="109"/>
      <c r="U97" s="109"/>
      <c r="V97" s="1119"/>
      <c r="W97" s="1119"/>
      <c r="X97" s="1076"/>
      <c r="Y97" s="1123"/>
      <c r="Z97" s="1119"/>
      <c r="AA97" s="1119"/>
      <c r="AB97" s="1119"/>
      <c r="AC97" s="97">
        <v>41997</v>
      </c>
      <c r="AD97" s="56">
        <v>738605</v>
      </c>
      <c r="AE97" s="1076"/>
      <c r="AF97" s="1315"/>
      <c r="AG97" s="1315"/>
      <c r="AH97" s="1315"/>
      <c r="AI97" s="1315"/>
      <c r="AJ97" s="1119"/>
      <c r="AK97" s="1119"/>
      <c r="AL97" s="1119"/>
      <c r="AM97" s="1119"/>
      <c r="AN97" s="1203"/>
      <c r="AO97" s="1204"/>
      <c r="AQ97" s="934"/>
    </row>
    <row r="98" spans="1:43" s="4" customFormat="1" ht="15" customHeight="1">
      <c r="A98" s="1214"/>
      <c r="B98" s="1171"/>
      <c r="C98" s="1076"/>
      <c r="D98" s="1076"/>
      <c r="E98" s="1252"/>
      <c r="F98" s="1252"/>
      <c r="G98" s="1076"/>
      <c r="H98" s="1076"/>
      <c r="I98" s="1076"/>
      <c r="J98" s="1076"/>
      <c r="K98" s="1076"/>
      <c r="L98" s="1076"/>
      <c r="M98" s="1318"/>
      <c r="N98" s="1076" t="s">
        <v>137</v>
      </c>
      <c r="O98" s="1119">
        <v>7816663</v>
      </c>
      <c r="P98" s="1119"/>
      <c r="Q98" s="1119"/>
      <c r="R98" s="1171"/>
      <c r="S98" s="110"/>
      <c r="T98" s="109"/>
      <c r="U98" s="109"/>
      <c r="V98" s="1119">
        <v>7816524</v>
      </c>
      <c r="W98" s="1119"/>
      <c r="X98" s="1076"/>
      <c r="Y98" s="1123"/>
      <c r="Z98" s="1119"/>
      <c r="AA98" s="1119"/>
      <c r="AB98" s="1119"/>
      <c r="AC98" s="97">
        <v>41996</v>
      </c>
      <c r="AD98" s="56">
        <v>3180093.46</v>
      </c>
      <c r="AE98" s="1076" t="s">
        <v>137</v>
      </c>
      <c r="AF98" s="1315"/>
      <c r="AG98" s="1315"/>
      <c r="AH98" s="1315"/>
      <c r="AI98" s="1315">
        <f>O98-SUM(AD98:AD99)</f>
        <v>3126702.54</v>
      </c>
      <c r="AJ98" s="1119"/>
      <c r="AK98" s="1119">
        <f>O98-V98+AJ95</f>
        <v>140.74000000208616</v>
      </c>
      <c r="AL98" s="1119"/>
      <c r="AM98" s="1324">
        <f>AK98+AL95</f>
        <v>140.74000000208616</v>
      </c>
      <c r="AN98" s="1203"/>
      <c r="AO98" s="1204"/>
      <c r="AQ98" s="934"/>
    </row>
    <row r="99" spans="1:43" s="4" customFormat="1" ht="15" customHeight="1">
      <c r="A99" s="1214"/>
      <c r="B99" s="1171"/>
      <c r="C99" s="1076"/>
      <c r="D99" s="1076"/>
      <c r="E99" s="1252"/>
      <c r="F99" s="1252"/>
      <c r="G99" s="1076"/>
      <c r="H99" s="1076"/>
      <c r="I99" s="1076"/>
      <c r="J99" s="1076"/>
      <c r="K99" s="1076"/>
      <c r="L99" s="1076"/>
      <c r="M99" s="1318"/>
      <c r="N99" s="1076"/>
      <c r="O99" s="1119"/>
      <c r="P99" s="1119"/>
      <c r="Q99" s="1119"/>
      <c r="R99" s="1171"/>
      <c r="S99" s="110"/>
      <c r="T99" s="109"/>
      <c r="U99" s="109"/>
      <c r="V99" s="1119"/>
      <c r="W99" s="1119"/>
      <c r="X99" s="1076"/>
      <c r="Y99" s="1123"/>
      <c r="Z99" s="1119"/>
      <c r="AA99" s="1119"/>
      <c r="AB99" s="1119"/>
      <c r="AC99" s="97">
        <v>41997</v>
      </c>
      <c r="AD99" s="56">
        <v>1509867</v>
      </c>
      <c r="AE99" s="1076"/>
      <c r="AF99" s="1315"/>
      <c r="AG99" s="1315"/>
      <c r="AH99" s="1315"/>
      <c r="AI99" s="1315"/>
      <c r="AJ99" s="1119"/>
      <c r="AK99" s="1119"/>
      <c r="AL99" s="1119"/>
      <c r="AM99" s="1324"/>
      <c r="AN99" s="1203"/>
      <c r="AO99" s="1204"/>
      <c r="AQ99" s="934"/>
    </row>
    <row r="100" spans="1:43" s="4" customFormat="1" ht="15" customHeight="1">
      <c r="A100" s="1214"/>
      <c r="B100" s="1171"/>
      <c r="C100" s="1076" t="s">
        <v>35</v>
      </c>
      <c r="D100" s="1076"/>
      <c r="E100" s="1252"/>
      <c r="F100" s="1252"/>
      <c r="G100" s="1076"/>
      <c r="H100" s="1076"/>
      <c r="I100" s="1076"/>
      <c r="J100" s="1076"/>
      <c r="K100" s="1076"/>
      <c r="L100" s="1076"/>
      <c r="M100" s="1318">
        <v>36</v>
      </c>
      <c r="N100" s="1076" t="s">
        <v>7</v>
      </c>
      <c r="O100" s="1119">
        <v>2092980</v>
      </c>
      <c r="P100" s="1119">
        <v>6371323</v>
      </c>
      <c r="Q100" s="1119"/>
      <c r="R100" s="1171">
        <v>40353</v>
      </c>
      <c r="S100" s="110"/>
      <c r="T100" s="109"/>
      <c r="U100" s="109"/>
      <c r="V100" s="1119">
        <f>P100</f>
        <v>6371323</v>
      </c>
      <c r="W100" s="1119"/>
      <c r="X100" s="1076"/>
      <c r="Y100" s="108" t="s">
        <v>275</v>
      </c>
      <c r="Z100" s="109">
        <v>0</v>
      </c>
      <c r="AA100" s="109">
        <v>2548474</v>
      </c>
      <c r="AB100" s="109">
        <f>Z100+AA100</f>
        <v>2548474</v>
      </c>
      <c r="AC100" s="97">
        <v>40382</v>
      </c>
      <c r="AD100" s="56">
        <v>2548474</v>
      </c>
      <c r="AE100" s="1076" t="s">
        <v>7</v>
      </c>
      <c r="AF100" s="1315">
        <f>SUM(AD100:AD104)</f>
        <v>6371323.0000000009</v>
      </c>
      <c r="AG100" s="1315"/>
      <c r="AH100" s="1315">
        <v>0</v>
      </c>
      <c r="AI100" s="1315">
        <f>O100-SUM(AD100:AD102)</f>
        <v>-1711300.1300000004</v>
      </c>
      <c r="AJ100" s="1119"/>
      <c r="AK100" s="1119">
        <f>P100-V100</f>
        <v>0</v>
      </c>
      <c r="AL100" s="1119">
        <f>V100-SUM(Z100:Z104)</f>
        <v>0</v>
      </c>
      <c r="AM100" s="1119">
        <f>AK100+AL100</f>
        <v>0</v>
      </c>
      <c r="AN100" s="1203"/>
      <c r="AO100" s="1204"/>
      <c r="AQ100" s="934"/>
    </row>
    <row r="101" spans="1:43" s="4" customFormat="1" ht="15" customHeight="1">
      <c r="A101" s="1214"/>
      <c r="B101" s="1171"/>
      <c r="C101" s="1076"/>
      <c r="D101" s="1076"/>
      <c r="E101" s="1252"/>
      <c r="F101" s="1252"/>
      <c r="G101" s="1076"/>
      <c r="H101" s="1076"/>
      <c r="I101" s="1076"/>
      <c r="J101" s="1076"/>
      <c r="K101" s="1076"/>
      <c r="L101" s="1076"/>
      <c r="M101" s="1318"/>
      <c r="N101" s="1076"/>
      <c r="O101" s="1119"/>
      <c r="P101" s="1119"/>
      <c r="Q101" s="1119"/>
      <c r="R101" s="1171"/>
      <c r="S101" s="110"/>
      <c r="T101" s="109"/>
      <c r="U101" s="109"/>
      <c r="V101" s="1119"/>
      <c r="W101" s="1119"/>
      <c r="X101" s="1076"/>
      <c r="Y101" s="1123" t="s">
        <v>276</v>
      </c>
      <c r="Z101" s="1119">
        <v>6371323</v>
      </c>
      <c r="AA101" s="1119">
        <v>-2548474</v>
      </c>
      <c r="AB101" s="1119">
        <f>Z101+AA101</f>
        <v>3822849</v>
      </c>
      <c r="AC101" s="97">
        <v>41996</v>
      </c>
      <c r="AD101" s="56">
        <v>851526.03</v>
      </c>
      <c r="AE101" s="1076"/>
      <c r="AF101" s="1315"/>
      <c r="AG101" s="1315"/>
      <c r="AH101" s="1315"/>
      <c r="AI101" s="1315"/>
      <c r="AJ101" s="1119"/>
      <c r="AK101" s="1119"/>
      <c r="AL101" s="1119"/>
      <c r="AM101" s="1119"/>
      <c r="AN101" s="1203"/>
      <c r="AO101" s="1204"/>
      <c r="AQ101" s="934"/>
    </row>
    <row r="102" spans="1:43" s="4" customFormat="1" ht="15" customHeight="1">
      <c r="A102" s="1214"/>
      <c r="B102" s="1171"/>
      <c r="C102" s="1076"/>
      <c r="D102" s="1076"/>
      <c r="E102" s="1252"/>
      <c r="F102" s="1252"/>
      <c r="G102" s="1076"/>
      <c r="H102" s="1076"/>
      <c r="I102" s="1076"/>
      <c r="J102" s="1076"/>
      <c r="K102" s="1076"/>
      <c r="L102" s="1076"/>
      <c r="M102" s="1318"/>
      <c r="N102" s="1076"/>
      <c r="O102" s="1119"/>
      <c r="P102" s="1119"/>
      <c r="Q102" s="1119"/>
      <c r="R102" s="1171"/>
      <c r="S102" s="110"/>
      <c r="T102" s="109"/>
      <c r="U102" s="109"/>
      <c r="V102" s="1119"/>
      <c r="W102" s="1119"/>
      <c r="X102" s="1076"/>
      <c r="Y102" s="1123"/>
      <c r="Z102" s="1119"/>
      <c r="AA102" s="1119"/>
      <c r="AB102" s="1119"/>
      <c r="AC102" s="97">
        <v>41997</v>
      </c>
      <c r="AD102" s="56">
        <v>404280.1</v>
      </c>
      <c r="AE102" s="1076"/>
      <c r="AF102" s="1315"/>
      <c r="AG102" s="1315"/>
      <c r="AH102" s="1315"/>
      <c r="AI102" s="1315"/>
      <c r="AJ102" s="1119"/>
      <c r="AK102" s="1119"/>
      <c r="AL102" s="1119"/>
      <c r="AM102" s="1119"/>
      <c r="AN102" s="1203"/>
      <c r="AO102" s="1204"/>
      <c r="AQ102" s="934"/>
    </row>
    <row r="103" spans="1:43" s="4" customFormat="1" ht="15" customHeight="1">
      <c r="A103" s="1214"/>
      <c r="B103" s="1171"/>
      <c r="C103" s="1076"/>
      <c r="D103" s="1076"/>
      <c r="E103" s="1252"/>
      <c r="F103" s="1252"/>
      <c r="G103" s="1076"/>
      <c r="H103" s="1076"/>
      <c r="I103" s="1076"/>
      <c r="J103" s="1076"/>
      <c r="K103" s="1076"/>
      <c r="L103" s="1076"/>
      <c r="M103" s="1318"/>
      <c r="N103" s="1076" t="s">
        <v>137</v>
      </c>
      <c r="O103" s="1119">
        <v>4278343</v>
      </c>
      <c r="P103" s="1119"/>
      <c r="Q103" s="1119"/>
      <c r="R103" s="1171"/>
      <c r="S103" s="110"/>
      <c r="T103" s="109"/>
      <c r="U103" s="109"/>
      <c r="V103" s="1119"/>
      <c r="W103" s="1119"/>
      <c r="X103" s="1076"/>
      <c r="Y103" s="1123"/>
      <c r="Z103" s="1119"/>
      <c r="AA103" s="1119"/>
      <c r="AB103" s="1119"/>
      <c r="AC103" s="97">
        <v>41996</v>
      </c>
      <c r="AD103" s="56">
        <v>1740637.97</v>
      </c>
      <c r="AE103" s="1076" t="s">
        <v>137</v>
      </c>
      <c r="AF103" s="1315"/>
      <c r="AG103" s="1315"/>
      <c r="AH103" s="1315"/>
      <c r="AI103" s="1315">
        <f>O103-SUM(AD103:AD104)</f>
        <v>1711300.13</v>
      </c>
      <c r="AJ103" s="1119"/>
      <c r="AK103" s="1119"/>
      <c r="AL103" s="1119"/>
      <c r="AM103" s="1119"/>
      <c r="AN103" s="1203"/>
      <c r="AO103" s="1204"/>
      <c r="AQ103" s="934"/>
    </row>
    <row r="104" spans="1:43" s="4" customFormat="1" ht="15" customHeight="1">
      <c r="A104" s="1214"/>
      <c r="B104" s="1171"/>
      <c r="C104" s="1076"/>
      <c r="D104" s="1076"/>
      <c r="E104" s="1252"/>
      <c r="F104" s="1252"/>
      <c r="G104" s="1076"/>
      <c r="H104" s="1076"/>
      <c r="I104" s="1076"/>
      <c r="J104" s="1076"/>
      <c r="K104" s="1076"/>
      <c r="L104" s="1076"/>
      <c r="M104" s="1318"/>
      <c r="N104" s="1076"/>
      <c r="O104" s="1119"/>
      <c r="P104" s="1119"/>
      <c r="Q104" s="1119"/>
      <c r="R104" s="1171"/>
      <c r="S104" s="110"/>
      <c r="T104" s="109"/>
      <c r="U104" s="109"/>
      <c r="V104" s="1119"/>
      <c r="W104" s="1119"/>
      <c r="X104" s="1076"/>
      <c r="Y104" s="1123"/>
      <c r="Z104" s="1119"/>
      <c r="AA104" s="1119"/>
      <c r="AB104" s="1119"/>
      <c r="AC104" s="97">
        <v>41997</v>
      </c>
      <c r="AD104" s="56">
        <v>826404.9</v>
      </c>
      <c r="AE104" s="1076"/>
      <c r="AF104" s="1315"/>
      <c r="AG104" s="1315"/>
      <c r="AH104" s="1315"/>
      <c r="AI104" s="1315"/>
      <c r="AJ104" s="1119"/>
      <c r="AK104" s="1119"/>
      <c r="AL104" s="1119"/>
      <c r="AM104" s="1119"/>
      <c r="AN104" s="1203"/>
      <c r="AO104" s="1204"/>
      <c r="AQ104" s="934"/>
    </row>
    <row r="105" spans="1:43" s="4" customFormat="1" ht="15" customHeight="1">
      <c r="A105" s="1214"/>
      <c r="B105" s="1171"/>
      <c r="C105" s="1076"/>
      <c r="D105" s="1076"/>
      <c r="E105" s="1252"/>
      <c r="F105" s="1252"/>
      <c r="G105" s="1076"/>
      <c r="H105" s="1076"/>
      <c r="I105" s="1076"/>
      <c r="J105" s="1076" t="s">
        <v>67</v>
      </c>
      <c r="K105" s="1076"/>
      <c r="L105" s="1076"/>
      <c r="M105" s="1318">
        <v>165</v>
      </c>
      <c r="N105" s="1076" t="s">
        <v>7</v>
      </c>
      <c r="O105" s="1119">
        <v>5820300</v>
      </c>
      <c r="P105" s="1119">
        <v>5820300</v>
      </c>
      <c r="Q105" s="1119"/>
      <c r="R105" s="1171">
        <v>40701</v>
      </c>
      <c r="S105" s="110"/>
      <c r="T105" s="109"/>
      <c r="U105" s="109"/>
      <c r="V105" s="1119">
        <v>5820300</v>
      </c>
      <c r="W105" s="1119"/>
      <c r="X105" s="1076"/>
      <c r="Y105" s="1123" t="s">
        <v>277</v>
      </c>
      <c r="Z105" s="1119">
        <v>5820300</v>
      </c>
      <c r="AA105" s="1119">
        <v>0</v>
      </c>
      <c r="AB105" s="1119">
        <v>5820300</v>
      </c>
      <c r="AC105" s="97">
        <v>41996</v>
      </c>
      <c r="AD105" s="56">
        <v>4779440</v>
      </c>
      <c r="AE105" s="1076" t="s">
        <v>7</v>
      </c>
      <c r="AF105" s="1315">
        <f>SUM(AD105:AD106)</f>
        <v>5820300</v>
      </c>
      <c r="AG105" s="1315"/>
      <c r="AH105" s="1315">
        <v>0</v>
      </c>
      <c r="AI105" s="1315">
        <f>O105-SUM(AD105:AD106)</f>
        <v>0</v>
      </c>
      <c r="AJ105" s="1119"/>
      <c r="AK105" s="1119">
        <f>P105-V105</f>
        <v>0</v>
      </c>
      <c r="AL105" s="1119">
        <f>V105-Z105</f>
        <v>0</v>
      </c>
      <c r="AM105" s="1119">
        <f>AK105+AL105</f>
        <v>0</v>
      </c>
      <c r="AN105" s="1203"/>
      <c r="AO105" s="1204"/>
      <c r="AQ105" s="934"/>
    </row>
    <row r="106" spans="1:43" s="4" customFormat="1" ht="15" customHeight="1">
      <c r="A106" s="1214"/>
      <c r="B106" s="1171"/>
      <c r="C106" s="1076"/>
      <c r="D106" s="1076"/>
      <c r="E106" s="1252"/>
      <c r="F106" s="1252"/>
      <c r="G106" s="1076"/>
      <c r="H106" s="1076"/>
      <c r="I106" s="1076"/>
      <c r="J106" s="1076"/>
      <c r="K106" s="1076"/>
      <c r="L106" s="1076"/>
      <c r="M106" s="1318"/>
      <c r="N106" s="1076"/>
      <c r="O106" s="1119"/>
      <c r="P106" s="1119"/>
      <c r="Q106" s="1119"/>
      <c r="R106" s="1171"/>
      <c r="S106" s="110"/>
      <c r="T106" s="109"/>
      <c r="U106" s="109"/>
      <c r="V106" s="1119"/>
      <c r="W106" s="1119"/>
      <c r="X106" s="1076"/>
      <c r="Y106" s="1123"/>
      <c r="Z106" s="1119"/>
      <c r="AA106" s="1119"/>
      <c r="AB106" s="1119"/>
      <c r="AC106" s="97">
        <v>41997</v>
      </c>
      <c r="AD106" s="56">
        <v>1040860</v>
      </c>
      <c r="AE106" s="1076"/>
      <c r="AF106" s="1315"/>
      <c r="AG106" s="1315"/>
      <c r="AH106" s="1315"/>
      <c r="AI106" s="1315"/>
      <c r="AJ106" s="1119"/>
      <c r="AK106" s="1119"/>
      <c r="AL106" s="1119"/>
      <c r="AM106" s="1119"/>
      <c r="AN106" s="1203"/>
      <c r="AO106" s="1204"/>
      <c r="AQ106" s="934"/>
    </row>
    <row r="107" spans="1:43" s="4" customFormat="1" ht="15" customHeight="1">
      <c r="A107" s="1214" t="s">
        <v>279</v>
      </c>
      <c r="B107" s="1171">
        <v>40298</v>
      </c>
      <c r="C107" s="1076" t="s">
        <v>24</v>
      </c>
      <c r="D107" s="1076" t="s">
        <v>280</v>
      </c>
      <c r="E107" s="1252">
        <v>76304401</v>
      </c>
      <c r="F107" s="1252"/>
      <c r="G107" s="1076" t="s">
        <v>2818</v>
      </c>
      <c r="H107" s="1076" t="s">
        <v>70</v>
      </c>
      <c r="I107" s="1076" t="s">
        <v>177</v>
      </c>
      <c r="J107" s="1076" t="s">
        <v>66</v>
      </c>
      <c r="K107" s="1076" t="s">
        <v>183</v>
      </c>
      <c r="L107" s="1076" t="s">
        <v>289</v>
      </c>
      <c r="M107" s="1318">
        <v>38</v>
      </c>
      <c r="N107" s="1076" t="s">
        <v>7</v>
      </c>
      <c r="O107" s="1119">
        <v>5418673</v>
      </c>
      <c r="P107" s="1119">
        <v>16495200</v>
      </c>
      <c r="Q107" s="1119">
        <f>P107</f>
        <v>16495200</v>
      </c>
      <c r="R107" s="1171">
        <v>40353</v>
      </c>
      <c r="S107" s="110"/>
      <c r="T107" s="109"/>
      <c r="U107" s="109"/>
      <c r="V107" s="1119">
        <v>16495200</v>
      </c>
      <c r="W107" s="1119">
        <v>16495200</v>
      </c>
      <c r="X107" s="1076" t="s">
        <v>282</v>
      </c>
      <c r="Y107" s="1123" t="s">
        <v>283</v>
      </c>
      <c r="Z107" s="1119">
        <v>0</v>
      </c>
      <c r="AA107" s="1119">
        <f>4430611+2167469</f>
        <v>6598080</v>
      </c>
      <c r="AB107" s="1119">
        <v>6598080</v>
      </c>
      <c r="AC107" s="1171">
        <v>40382</v>
      </c>
      <c r="AD107" s="56">
        <v>4430611</v>
      </c>
      <c r="AE107" s="1076" t="s">
        <v>7</v>
      </c>
      <c r="AF107" s="1315">
        <f>SUM(AD107:AD114)</f>
        <v>16495200.000000002</v>
      </c>
      <c r="AG107" s="1315">
        <f>AF107</f>
        <v>16495200.000000002</v>
      </c>
      <c r="AH107" s="1315">
        <v>0</v>
      </c>
      <c r="AI107" s="1315">
        <f>O107-AD107-AD108-AD109-AD113-AD114</f>
        <v>-6821260.4400000004</v>
      </c>
      <c r="AJ107" s="1119">
        <f>SUM(Z107:Z114)-SUM(AD107:AD114)</f>
        <v>0</v>
      </c>
      <c r="AK107" s="1119">
        <f>P107-V107</f>
        <v>0</v>
      </c>
      <c r="AL107" s="1119">
        <f>V107-SUM(Z107:Z114)</f>
        <v>0</v>
      </c>
      <c r="AM107" s="1119">
        <f>AK107+AL107</f>
        <v>0</v>
      </c>
      <c r="AN107" s="1203"/>
      <c r="AO107" s="1204" t="s">
        <v>333</v>
      </c>
      <c r="AQ107" s="934"/>
    </row>
    <row r="108" spans="1:43" s="4" customFormat="1" ht="15" customHeight="1">
      <c r="A108" s="1214"/>
      <c r="B108" s="1171"/>
      <c r="C108" s="1076"/>
      <c r="D108" s="1076"/>
      <c r="E108" s="1252"/>
      <c r="F108" s="1252"/>
      <c r="G108" s="1076"/>
      <c r="H108" s="1076"/>
      <c r="I108" s="1076"/>
      <c r="J108" s="1076"/>
      <c r="K108" s="1076"/>
      <c r="L108" s="1076"/>
      <c r="M108" s="1318"/>
      <c r="N108" s="1076"/>
      <c r="O108" s="1119"/>
      <c r="P108" s="1119"/>
      <c r="Q108" s="1119"/>
      <c r="R108" s="1171"/>
      <c r="S108" s="110"/>
      <c r="T108" s="109"/>
      <c r="U108" s="109"/>
      <c r="V108" s="1119"/>
      <c r="W108" s="1119"/>
      <c r="X108" s="1076"/>
      <c r="Y108" s="1123"/>
      <c r="Z108" s="1119"/>
      <c r="AA108" s="1119"/>
      <c r="AB108" s="1119"/>
      <c r="AC108" s="1171"/>
      <c r="AD108" s="56">
        <v>2167469</v>
      </c>
      <c r="AE108" s="1076"/>
      <c r="AF108" s="1315"/>
      <c r="AG108" s="1315"/>
      <c r="AH108" s="1315"/>
      <c r="AI108" s="1315"/>
      <c r="AJ108" s="1119"/>
      <c r="AK108" s="1119"/>
      <c r="AL108" s="1119"/>
      <c r="AM108" s="1119"/>
      <c r="AN108" s="1203"/>
      <c r="AO108" s="1204"/>
      <c r="AQ108" s="934"/>
    </row>
    <row r="109" spans="1:43" s="4" customFormat="1" ht="15" customHeight="1">
      <c r="A109" s="1214"/>
      <c r="B109" s="1171"/>
      <c r="C109" s="1076"/>
      <c r="D109" s="1076"/>
      <c r="E109" s="1252"/>
      <c r="F109" s="1252"/>
      <c r="G109" s="1076"/>
      <c r="H109" s="1076"/>
      <c r="I109" s="1076"/>
      <c r="J109" s="1076"/>
      <c r="K109" s="1076"/>
      <c r="L109" s="1076"/>
      <c r="M109" s="1318"/>
      <c r="N109" s="1076"/>
      <c r="O109" s="1119"/>
      <c r="P109" s="1119"/>
      <c r="Q109" s="1119"/>
      <c r="R109" s="1171"/>
      <c r="S109" s="110"/>
      <c r="T109" s="109"/>
      <c r="U109" s="109"/>
      <c r="V109" s="1119"/>
      <c r="W109" s="1119"/>
      <c r="X109" s="1076"/>
      <c r="Y109" s="1123" t="s">
        <v>286</v>
      </c>
      <c r="Z109" s="1119">
        <v>11546640</v>
      </c>
      <c r="AA109" s="1119">
        <v>-4618656</v>
      </c>
      <c r="AB109" s="1119">
        <f>Z109+AA109</f>
        <v>6927984</v>
      </c>
      <c r="AC109" s="1171">
        <v>40548</v>
      </c>
      <c r="AD109" s="56">
        <v>4652141.4400000004</v>
      </c>
      <c r="AE109" s="1076"/>
      <c r="AF109" s="1315"/>
      <c r="AG109" s="1315"/>
      <c r="AH109" s="1315"/>
      <c r="AI109" s="1315"/>
      <c r="AJ109" s="1119"/>
      <c r="AK109" s="1119"/>
      <c r="AL109" s="1119"/>
      <c r="AM109" s="1119"/>
      <c r="AN109" s="1203"/>
      <c r="AO109" s="1204"/>
      <c r="AQ109" s="934"/>
    </row>
    <row r="110" spans="1:43" s="4" customFormat="1" ht="15" customHeight="1">
      <c r="A110" s="1214"/>
      <c r="B110" s="1171"/>
      <c r="C110" s="1076"/>
      <c r="D110" s="1076"/>
      <c r="E110" s="1252"/>
      <c r="F110" s="1252"/>
      <c r="G110" s="1076"/>
      <c r="H110" s="1076"/>
      <c r="I110" s="1076"/>
      <c r="J110" s="1076"/>
      <c r="K110" s="1076"/>
      <c r="L110" s="1076"/>
      <c r="M110" s="1318"/>
      <c r="N110" s="1076"/>
      <c r="O110" s="1119"/>
      <c r="P110" s="1119"/>
      <c r="Q110" s="1119"/>
      <c r="R110" s="1171"/>
      <c r="S110" s="110"/>
      <c r="T110" s="109"/>
      <c r="U110" s="109"/>
      <c r="V110" s="1119"/>
      <c r="W110" s="1119"/>
      <c r="X110" s="1076"/>
      <c r="Y110" s="1123"/>
      <c r="Z110" s="1119"/>
      <c r="AA110" s="1119"/>
      <c r="AB110" s="1119"/>
      <c r="AC110" s="1171"/>
      <c r="AD110" s="56">
        <v>2275842.56</v>
      </c>
      <c r="AE110" s="1076"/>
      <c r="AF110" s="1315"/>
      <c r="AG110" s="1315"/>
      <c r="AH110" s="1315"/>
      <c r="AI110" s="1315"/>
      <c r="AJ110" s="1119"/>
      <c r="AK110" s="1119"/>
      <c r="AL110" s="1119"/>
      <c r="AM110" s="1119"/>
      <c r="AN110" s="1203"/>
      <c r="AO110" s="1204"/>
      <c r="AQ110" s="934"/>
    </row>
    <row r="111" spans="1:43" s="4" customFormat="1" ht="15" customHeight="1">
      <c r="A111" s="1214"/>
      <c r="B111" s="1171"/>
      <c r="C111" s="1076"/>
      <c r="D111" s="1076"/>
      <c r="E111" s="1252"/>
      <c r="F111" s="1252"/>
      <c r="G111" s="1076"/>
      <c r="H111" s="1076"/>
      <c r="I111" s="1076"/>
      <c r="J111" s="1076"/>
      <c r="K111" s="1076"/>
      <c r="L111" s="1076"/>
      <c r="M111" s="1318"/>
      <c r="N111" s="1076" t="s">
        <v>137</v>
      </c>
      <c r="O111" s="1119">
        <v>11076527</v>
      </c>
      <c r="P111" s="1119"/>
      <c r="Q111" s="1119"/>
      <c r="R111" s="1171"/>
      <c r="S111" s="110"/>
      <c r="T111" s="109"/>
      <c r="U111" s="109"/>
      <c r="V111" s="1119"/>
      <c r="W111" s="1119"/>
      <c r="X111" s="1076"/>
      <c r="Y111" s="1123" t="s">
        <v>287</v>
      </c>
      <c r="Z111" s="1119">
        <v>3299040</v>
      </c>
      <c r="AA111" s="1119">
        <v>-1319616</v>
      </c>
      <c r="AB111" s="1119">
        <f>Z111+AA111</f>
        <v>1979424</v>
      </c>
      <c r="AC111" s="1171">
        <v>40889</v>
      </c>
      <c r="AD111" s="56">
        <v>1329262.23</v>
      </c>
      <c r="AE111" s="1076" t="s">
        <v>137</v>
      </c>
      <c r="AF111" s="1315"/>
      <c r="AG111" s="1315"/>
      <c r="AH111" s="1315"/>
      <c r="AI111" s="1315">
        <f>O111-AD110-AD111-AD112</f>
        <v>6821260.4399999995</v>
      </c>
      <c r="AJ111" s="1119"/>
      <c r="AK111" s="1119"/>
      <c r="AL111" s="1119"/>
      <c r="AM111" s="1119"/>
      <c r="AN111" s="1203"/>
      <c r="AO111" s="1204"/>
      <c r="AQ111" s="934"/>
    </row>
    <row r="112" spans="1:43" s="4" customFormat="1" ht="15" customHeight="1">
      <c r="A112" s="1214"/>
      <c r="B112" s="1171"/>
      <c r="C112" s="1076"/>
      <c r="D112" s="1076"/>
      <c r="E112" s="1252"/>
      <c r="F112" s="1252"/>
      <c r="G112" s="1076"/>
      <c r="H112" s="1076"/>
      <c r="I112" s="1076"/>
      <c r="J112" s="1076"/>
      <c r="K112" s="1076"/>
      <c r="L112" s="1076"/>
      <c r="M112" s="1318"/>
      <c r="N112" s="1076"/>
      <c r="O112" s="1119"/>
      <c r="P112" s="1119"/>
      <c r="Q112" s="1119"/>
      <c r="R112" s="1171"/>
      <c r="S112" s="110"/>
      <c r="T112" s="109"/>
      <c r="U112" s="109"/>
      <c r="V112" s="1119"/>
      <c r="W112" s="1119"/>
      <c r="X112" s="1076"/>
      <c r="Y112" s="1123"/>
      <c r="Z112" s="1119"/>
      <c r="AA112" s="1119"/>
      <c r="AB112" s="1119"/>
      <c r="AC112" s="1171"/>
      <c r="AD112" s="56">
        <v>650161.77</v>
      </c>
      <c r="AE112" s="1076"/>
      <c r="AF112" s="1315"/>
      <c r="AG112" s="1315"/>
      <c r="AH112" s="1315"/>
      <c r="AI112" s="1315"/>
      <c r="AJ112" s="1119"/>
      <c r="AK112" s="1119"/>
      <c r="AL112" s="1119"/>
      <c r="AM112" s="1119"/>
      <c r="AN112" s="1203"/>
      <c r="AO112" s="1204"/>
      <c r="AQ112" s="934"/>
    </row>
    <row r="113" spans="1:43" s="4" customFormat="1" ht="15" customHeight="1">
      <c r="A113" s="1214"/>
      <c r="B113" s="1171"/>
      <c r="C113" s="1076"/>
      <c r="D113" s="1076"/>
      <c r="E113" s="1252"/>
      <c r="F113" s="1252"/>
      <c r="G113" s="1076"/>
      <c r="H113" s="1076"/>
      <c r="I113" s="1076"/>
      <c r="J113" s="1076"/>
      <c r="K113" s="1076"/>
      <c r="L113" s="1076"/>
      <c r="M113" s="1318"/>
      <c r="N113" s="1076"/>
      <c r="O113" s="1119"/>
      <c r="P113" s="1119"/>
      <c r="Q113" s="1119"/>
      <c r="R113" s="1171"/>
      <c r="S113" s="110"/>
      <c r="T113" s="109"/>
      <c r="U113" s="109"/>
      <c r="V113" s="1119"/>
      <c r="W113" s="1119"/>
      <c r="X113" s="1076"/>
      <c r="Y113" s="1123" t="s">
        <v>288</v>
      </c>
      <c r="Z113" s="1119">
        <v>1649520</v>
      </c>
      <c r="AA113" s="1119">
        <v>-659808</v>
      </c>
      <c r="AB113" s="1119">
        <f>Z113+AA113</f>
        <v>989712</v>
      </c>
      <c r="AC113" s="1171">
        <v>41031</v>
      </c>
      <c r="AD113" s="56">
        <v>664631</v>
      </c>
      <c r="AE113" s="1076"/>
      <c r="AF113" s="1315"/>
      <c r="AG113" s="1315"/>
      <c r="AH113" s="1315"/>
      <c r="AI113" s="1315"/>
      <c r="AJ113" s="1119"/>
      <c r="AK113" s="1119"/>
      <c r="AL113" s="1119"/>
      <c r="AM113" s="1119"/>
      <c r="AN113" s="1203"/>
      <c r="AO113" s="1204"/>
      <c r="AQ113" s="934"/>
    </row>
    <row r="114" spans="1:43" s="4" customFormat="1" ht="15" customHeight="1">
      <c r="A114" s="1214"/>
      <c r="B114" s="1171"/>
      <c r="C114" s="1076"/>
      <c r="D114" s="1076"/>
      <c r="E114" s="1252"/>
      <c r="F114" s="1252"/>
      <c r="G114" s="1076"/>
      <c r="H114" s="1076"/>
      <c r="I114" s="1076"/>
      <c r="J114" s="1076"/>
      <c r="K114" s="1076"/>
      <c r="L114" s="1076"/>
      <c r="M114" s="1318"/>
      <c r="N114" s="1076"/>
      <c r="O114" s="1119"/>
      <c r="P114" s="1119"/>
      <c r="Q114" s="1119"/>
      <c r="R114" s="1171"/>
      <c r="S114" s="110"/>
      <c r="T114" s="109"/>
      <c r="U114" s="109"/>
      <c r="V114" s="1119"/>
      <c r="W114" s="1119"/>
      <c r="X114" s="1076"/>
      <c r="Y114" s="1123"/>
      <c r="Z114" s="1119"/>
      <c r="AA114" s="1119"/>
      <c r="AB114" s="1119"/>
      <c r="AC114" s="1171"/>
      <c r="AD114" s="56">
        <v>325081</v>
      </c>
      <c r="AE114" s="1076"/>
      <c r="AF114" s="1315"/>
      <c r="AG114" s="1315"/>
      <c r="AH114" s="1315"/>
      <c r="AI114" s="1315"/>
      <c r="AJ114" s="1119"/>
      <c r="AK114" s="1119"/>
      <c r="AL114" s="1119"/>
      <c r="AM114" s="1119"/>
      <c r="AN114" s="1203"/>
      <c r="AO114" s="1204"/>
      <c r="AQ114" s="934"/>
    </row>
    <row r="115" spans="1:43" s="4" customFormat="1" ht="15" customHeight="1">
      <c r="A115" s="1214" t="s">
        <v>290</v>
      </c>
      <c r="B115" s="1171">
        <v>40298</v>
      </c>
      <c r="C115" s="1076" t="s">
        <v>13</v>
      </c>
      <c r="D115" s="1076" t="s">
        <v>291</v>
      </c>
      <c r="E115" s="1252">
        <v>76330273</v>
      </c>
      <c r="F115" s="1252"/>
      <c r="G115" s="1076" t="s">
        <v>2852</v>
      </c>
      <c r="H115" s="1076" t="s">
        <v>70</v>
      </c>
      <c r="I115" s="1076" t="s">
        <v>177</v>
      </c>
      <c r="J115" s="1076" t="s">
        <v>66</v>
      </c>
      <c r="K115" s="1076" t="s">
        <v>250</v>
      </c>
      <c r="L115" s="1076" t="s">
        <v>295</v>
      </c>
      <c r="M115" s="1318">
        <v>40</v>
      </c>
      <c r="N115" s="1076" t="s">
        <v>7</v>
      </c>
      <c r="O115" s="1119">
        <v>3732549</v>
      </c>
      <c r="P115" s="1119">
        <v>11362401</v>
      </c>
      <c r="Q115" s="1119">
        <f>P115+P119</f>
        <v>17032365</v>
      </c>
      <c r="R115" s="1171">
        <v>40353</v>
      </c>
      <c r="S115" s="110"/>
      <c r="T115" s="109"/>
      <c r="U115" s="109"/>
      <c r="V115" s="1119">
        <v>3732549</v>
      </c>
      <c r="W115" s="1119">
        <f>V115+V117+V119</f>
        <v>17009964</v>
      </c>
      <c r="X115" s="1076" t="s">
        <v>282</v>
      </c>
      <c r="Y115" s="1123" t="s">
        <v>294</v>
      </c>
      <c r="Z115" s="1119">
        <v>0</v>
      </c>
      <c r="AA115" s="1119">
        <v>4536000</v>
      </c>
      <c r="AB115" s="1119">
        <v>4536000</v>
      </c>
      <c r="AC115" s="1171">
        <v>40389</v>
      </c>
      <c r="AD115" s="56">
        <v>1484060</v>
      </c>
      <c r="AE115" s="1076" t="s">
        <v>7</v>
      </c>
      <c r="AF115" s="1315">
        <f>SUM(AD115:AD118)</f>
        <v>10659601</v>
      </c>
      <c r="AG115" s="1315">
        <f>AF115+AF119</f>
        <v>10659601</v>
      </c>
      <c r="AH115" s="1315">
        <v>0</v>
      </c>
      <c r="AI115" s="1084">
        <f>O115-AD115-AD117</f>
        <v>-2315979.62</v>
      </c>
      <c r="AJ115" s="1119">
        <f>SUM(Z115:Z119)-SUM(AD115:AD119)</f>
        <v>-453601</v>
      </c>
      <c r="AK115" s="1119">
        <f>O115-V115</f>
        <v>0</v>
      </c>
      <c r="AL115" s="1119">
        <v>0</v>
      </c>
      <c r="AM115" s="1119">
        <f>AK115+AL115</f>
        <v>0</v>
      </c>
      <c r="AN115" s="1203"/>
      <c r="AO115" s="1204" t="s">
        <v>334</v>
      </c>
      <c r="AP115" s="1074" t="s">
        <v>2501</v>
      </c>
      <c r="AQ115" s="934"/>
    </row>
    <row r="116" spans="1:43" s="4" customFormat="1" ht="15" customHeight="1">
      <c r="A116" s="1214"/>
      <c r="B116" s="1171"/>
      <c r="C116" s="1076"/>
      <c r="D116" s="1076"/>
      <c r="E116" s="1252"/>
      <c r="F116" s="1252"/>
      <c r="G116" s="1076"/>
      <c r="H116" s="1076"/>
      <c r="I116" s="1076"/>
      <c r="J116" s="1076"/>
      <c r="K116" s="1076"/>
      <c r="L116" s="1076"/>
      <c r="M116" s="1318"/>
      <c r="N116" s="1076"/>
      <c r="O116" s="1119"/>
      <c r="P116" s="1119"/>
      <c r="Q116" s="1119"/>
      <c r="R116" s="1171"/>
      <c r="S116" s="110"/>
      <c r="T116" s="109"/>
      <c r="U116" s="109"/>
      <c r="V116" s="1119"/>
      <c r="W116" s="1119"/>
      <c r="X116" s="1076"/>
      <c r="Y116" s="1123"/>
      <c r="Z116" s="1119"/>
      <c r="AA116" s="1119"/>
      <c r="AB116" s="1119"/>
      <c r="AC116" s="1171"/>
      <c r="AD116" s="56">
        <v>3051941</v>
      </c>
      <c r="AE116" s="1076"/>
      <c r="AF116" s="1315"/>
      <c r="AG116" s="1315"/>
      <c r="AH116" s="1315"/>
      <c r="AI116" s="1084"/>
      <c r="AJ116" s="1119"/>
      <c r="AK116" s="1119"/>
      <c r="AL116" s="1119"/>
      <c r="AM116" s="1119"/>
      <c r="AN116" s="1203"/>
      <c r="AO116" s="1204"/>
      <c r="AP116" s="1074"/>
      <c r="AQ116" s="934"/>
    </row>
    <row r="117" spans="1:43" s="4" customFormat="1" ht="15" customHeight="1">
      <c r="A117" s="1214"/>
      <c r="B117" s="1171"/>
      <c r="C117" s="1076"/>
      <c r="D117" s="1076"/>
      <c r="E117" s="1252"/>
      <c r="F117" s="1252"/>
      <c r="G117" s="1076"/>
      <c r="H117" s="1076"/>
      <c r="I117" s="1076"/>
      <c r="J117" s="1076"/>
      <c r="K117" s="1076"/>
      <c r="L117" s="1076"/>
      <c r="M117" s="1318"/>
      <c r="N117" s="1076" t="s">
        <v>137</v>
      </c>
      <c r="O117" s="1119">
        <v>7629852</v>
      </c>
      <c r="P117" s="1119"/>
      <c r="Q117" s="1119"/>
      <c r="R117" s="1171"/>
      <c r="S117" s="110"/>
      <c r="T117" s="109"/>
      <c r="U117" s="109"/>
      <c r="V117" s="1119">
        <v>7607451</v>
      </c>
      <c r="W117" s="1119"/>
      <c r="X117" s="1076"/>
      <c r="Y117" s="1123" t="s">
        <v>253</v>
      </c>
      <c r="Z117" s="1119">
        <v>10206000</v>
      </c>
      <c r="AA117" s="1119">
        <v>-4082400</v>
      </c>
      <c r="AB117" s="1119">
        <f>Z117+AA117</f>
        <v>6123600</v>
      </c>
      <c r="AC117" s="1171">
        <v>40547</v>
      </c>
      <c r="AD117" s="56">
        <v>4564468.62</v>
      </c>
      <c r="AE117" s="1076" t="s">
        <v>137</v>
      </c>
      <c r="AF117" s="1315"/>
      <c r="AG117" s="1315"/>
      <c r="AH117" s="1315"/>
      <c r="AI117" s="1084">
        <f>O117-AD116-AD118</f>
        <v>3018779.62</v>
      </c>
      <c r="AJ117" s="1119"/>
      <c r="AK117" s="1119">
        <f>O117-V117</f>
        <v>22401</v>
      </c>
      <c r="AL117" s="1119">
        <f>SUM(V115:V118)-SUM(Z115:Z118)+AJ115</f>
        <v>680399</v>
      </c>
      <c r="AM117" s="1119">
        <f>AK117+AL117</f>
        <v>702800</v>
      </c>
      <c r="AN117" s="1203"/>
      <c r="AO117" s="1204"/>
      <c r="AP117" s="1074"/>
      <c r="AQ117" s="934"/>
    </row>
    <row r="118" spans="1:43" s="4" customFormat="1" ht="15" customHeight="1">
      <c r="A118" s="1214"/>
      <c r="B118" s="1171"/>
      <c r="C118" s="1076"/>
      <c r="D118" s="1076"/>
      <c r="E118" s="1252"/>
      <c r="F118" s="1252"/>
      <c r="G118" s="1076"/>
      <c r="H118" s="1076"/>
      <c r="I118" s="1076"/>
      <c r="J118" s="1076"/>
      <c r="K118" s="1076"/>
      <c r="L118" s="1076"/>
      <c r="M118" s="1318"/>
      <c r="N118" s="1076"/>
      <c r="O118" s="1119"/>
      <c r="P118" s="1119"/>
      <c r="Q118" s="1119"/>
      <c r="R118" s="1171"/>
      <c r="S118" s="110"/>
      <c r="T118" s="109"/>
      <c r="U118" s="109"/>
      <c r="V118" s="1119"/>
      <c r="W118" s="1119"/>
      <c r="X118" s="1076"/>
      <c r="Y118" s="1123"/>
      <c r="Z118" s="1119"/>
      <c r="AA118" s="1119"/>
      <c r="AB118" s="1119"/>
      <c r="AC118" s="1171"/>
      <c r="AD118" s="56">
        <v>1559131.38</v>
      </c>
      <c r="AE118" s="1076"/>
      <c r="AF118" s="1315"/>
      <c r="AG118" s="1315"/>
      <c r="AH118" s="1315"/>
      <c r="AI118" s="1084"/>
      <c r="AJ118" s="1119"/>
      <c r="AK118" s="1119"/>
      <c r="AL118" s="1119"/>
      <c r="AM118" s="1119"/>
      <c r="AN118" s="1203"/>
      <c r="AO118" s="1204"/>
      <c r="AP118" s="1074"/>
      <c r="AQ118" s="934"/>
    </row>
    <row r="119" spans="1:43" s="4" customFormat="1" ht="15" customHeight="1">
      <c r="A119" s="1214"/>
      <c r="B119" s="1171"/>
      <c r="C119" s="1076"/>
      <c r="D119" s="1076"/>
      <c r="E119" s="1252"/>
      <c r="F119" s="1252"/>
      <c r="G119" s="1076"/>
      <c r="H119" s="1076"/>
      <c r="I119" s="1076"/>
      <c r="J119" s="113" t="s">
        <v>171</v>
      </c>
      <c r="K119" s="1076"/>
      <c r="L119" s="1076"/>
      <c r="M119" s="123">
        <v>158</v>
      </c>
      <c r="N119" s="113" t="s">
        <v>7</v>
      </c>
      <c r="O119" s="109">
        <v>5669964</v>
      </c>
      <c r="P119" s="109">
        <v>5669964</v>
      </c>
      <c r="Q119" s="1119"/>
      <c r="R119" s="97">
        <v>40701</v>
      </c>
      <c r="S119" s="110"/>
      <c r="T119" s="109"/>
      <c r="U119" s="109"/>
      <c r="V119" s="109">
        <v>5669964</v>
      </c>
      <c r="W119" s="1119"/>
      <c r="X119" s="1076"/>
      <c r="Y119" s="108"/>
      <c r="Z119" s="109">
        <v>0</v>
      </c>
      <c r="AA119" s="109">
        <v>0</v>
      </c>
      <c r="AB119" s="109">
        <v>0</v>
      </c>
      <c r="AC119" s="97" t="s">
        <v>180</v>
      </c>
      <c r="AD119" s="56">
        <v>0</v>
      </c>
      <c r="AE119" s="927" t="s">
        <v>7</v>
      </c>
      <c r="AF119" s="127">
        <f>AD119</f>
        <v>0</v>
      </c>
      <c r="AG119" s="1315"/>
      <c r="AH119" s="127">
        <v>0</v>
      </c>
      <c r="AI119" s="111">
        <v>0</v>
      </c>
      <c r="AJ119" s="1119"/>
      <c r="AK119" s="109">
        <f>P119-V119</f>
        <v>0</v>
      </c>
      <c r="AL119" s="109">
        <f>V119-Z119</f>
        <v>5669964</v>
      </c>
      <c r="AM119" s="109">
        <f>AK119+AL119</f>
        <v>5669964</v>
      </c>
      <c r="AN119" s="1203"/>
      <c r="AO119" s="1204"/>
      <c r="AP119" s="1074"/>
      <c r="AQ119" s="934"/>
    </row>
    <row r="120" spans="1:43" s="10" customFormat="1" ht="15" customHeight="1">
      <c r="A120" s="1304" t="s">
        <v>808</v>
      </c>
      <c r="B120" s="1305">
        <v>40298</v>
      </c>
      <c r="C120" s="1305" t="s">
        <v>33</v>
      </c>
      <c r="D120" s="1171" t="s">
        <v>349</v>
      </c>
      <c r="E120" s="1306">
        <v>4610657</v>
      </c>
      <c r="F120" s="1306"/>
      <c r="G120" s="1076" t="s">
        <v>2757</v>
      </c>
      <c r="H120" s="1296" t="s">
        <v>70</v>
      </c>
      <c r="I120" s="1296" t="s">
        <v>373</v>
      </c>
      <c r="J120" s="1296" t="s">
        <v>66</v>
      </c>
      <c r="K120" s="1076" t="s">
        <v>348</v>
      </c>
      <c r="L120" s="1076" t="s">
        <v>374</v>
      </c>
      <c r="M120" s="1321">
        <v>39</v>
      </c>
      <c r="N120" s="1320" t="s">
        <v>7</v>
      </c>
      <c r="O120" s="1258">
        <v>2171749</v>
      </c>
      <c r="P120" s="1258">
        <v>6611107</v>
      </c>
      <c r="Q120" s="1258">
        <f>P120+P124+P127+P131+P135+P139</f>
        <v>22069620</v>
      </c>
      <c r="R120" s="1305"/>
      <c r="S120" s="1258">
        <v>6611107</v>
      </c>
      <c r="T120" s="1258">
        <v>2171749</v>
      </c>
      <c r="U120" s="1258">
        <f>O120-T120</f>
        <v>0</v>
      </c>
      <c r="V120" s="1258">
        <v>2171749</v>
      </c>
      <c r="W120" s="1258">
        <f>SUM(V120:V142)</f>
        <v>22005200</v>
      </c>
      <c r="X120" s="1076" t="s">
        <v>282</v>
      </c>
      <c r="Y120" s="108" t="s">
        <v>375</v>
      </c>
      <c r="Z120" s="130">
        <v>0</v>
      </c>
      <c r="AA120" s="130">
        <v>2644443</v>
      </c>
      <c r="AB120" s="130">
        <f t="shared" ref="AB120:AB142" si="10">SUM(Z120:AA120)</f>
        <v>2644443</v>
      </c>
      <c r="AC120" s="139">
        <v>40387</v>
      </c>
      <c r="AD120" s="57">
        <v>2644443</v>
      </c>
      <c r="AE120" s="1320" t="s">
        <v>7</v>
      </c>
      <c r="AF120" s="1258">
        <f>SUM(AD120:AD123)</f>
        <v>6611106.9000000004</v>
      </c>
      <c r="AG120" s="1258">
        <f>AF120+AF124+AF127+AF131+AF135+AF139</f>
        <v>21112853.199999999</v>
      </c>
      <c r="AH120" s="130">
        <f t="shared" ref="AH120:AH159" si="11">AB120-AD120</f>
        <v>0</v>
      </c>
      <c r="AI120" s="1258">
        <f>T120-AD120-AD121-AD122</f>
        <v>-2427472</v>
      </c>
      <c r="AJ120" s="1258">
        <f>SUM(Z120:Z142)-SUM(AD120:AD142)</f>
        <v>-613267.07000000402</v>
      </c>
      <c r="AK120" s="1258">
        <f>P120-V120-V123</f>
        <v>0</v>
      </c>
      <c r="AL120" s="1258">
        <f>SUM(V120:V123)-SUM(Z120:Z123)</f>
        <v>9.999999962747097E-2</v>
      </c>
      <c r="AM120" s="1258">
        <f>AK120+AL120</f>
        <v>9.999999962747097E-2</v>
      </c>
      <c r="AN120" s="1203" t="s">
        <v>382</v>
      </c>
      <c r="AO120" s="1204" t="s">
        <v>786</v>
      </c>
      <c r="AQ120" s="934"/>
    </row>
    <row r="121" spans="1:43" s="10" customFormat="1" ht="15" customHeight="1">
      <c r="A121" s="1304"/>
      <c r="B121" s="1305"/>
      <c r="C121" s="1305"/>
      <c r="D121" s="1171"/>
      <c r="E121" s="1306"/>
      <c r="F121" s="1306"/>
      <c r="G121" s="1076"/>
      <c r="H121" s="1296"/>
      <c r="I121" s="1296"/>
      <c r="J121" s="1296"/>
      <c r="K121" s="1076"/>
      <c r="L121" s="1076"/>
      <c r="M121" s="1321"/>
      <c r="N121" s="1320"/>
      <c r="O121" s="1258"/>
      <c r="P121" s="1258"/>
      <c r="Q121" s="1258"/>
      <c r="R121" s="1305"/>
      <c r="S121" s="1258"/>
      <c r="T121" s="1258"/>
      <c r="U121" s="1258"/>
      <c r="V121" s="1258"/>
      <c r="W121" s="1258"/>
      <c r="X121" s="1076"/>
      <c r="Y121" s="1123" t="s">
        <v>376</v>
      </c>
      <c r="Z121" s="130">
        <v>1966200</v>
      </c>
      <c r="AA121" s="130">
        <v>-653762</v>
      </c>
      <c r="AB121" s="130">
        <f t="shared" si="10"/>
        <v>1312438</v>
      </c>
      <c r="AC121" s="1322">
        <v>40499</v>
      </c>
      <c r="AD121" s="57">
        <v>1312438</v>
      </c>
      <c r="AE121" s="1320"/>
      <c r="AF121" s="1258"/>
      <c r="AG121" s="1258"/>
      <c r="AH121" s="130">
        <f t="shared" si="11"/>
        <v>0</v>
      </c>
      <c r="AI121" s="1258"/>
      <c r="AJ121" s="1258"/>
      <c r="AK121" s="1258"/>
      <c r="AL121" s="1258"/>
      <c r="AM121" s="1258"/>
      <c r="AN121" s="1203"/>
      <c r="AO121" s="1204"/>
      <c r="AQ121" s="934"/>
    </row>
    <row r="122" spans="1:43" s="10" customFormat="1" ht="15" customHeight="1">
      <c r="A122" s="1304"/>
      <c r="B122" s="1305"/>
      <c r="C122" s="1305"/>
      <c r="D122" s="1171"/>
      <c r="E122" s="1306"/>
      <c r="F122" s="1306"/>
      <c r="G122" s="1076"/>
      <c r="H122" s="1296"/>
      <c r="I122" s="1296"/>
      <c r="J122" s="1296"/>
      <c r="K122" s="1076"/>
      <c r="L122" s="1076"/>
      <c r="M122" s="1321"/>
      <c r="N122" s="1320"/>
      <c r="O122" s="1258"/>
      <c r="P122" s="1258"/>
      <c r="Q122" s="1258"/>
      <c r="R122" s="1305"/>
      <c r="S122" s="1258"/>
      <c r="T122" s="1258"/>
      <c r="U122" s="1258"/>
      <c r="V122" s="1258"/>
      <c r="W122" s="1258"/>
      <c r="X122" s="1076"/>
      <c r="Y122" s="1123"/>
      <c r="Z122" s="130">
        <v>1310800</v>
      </c>
      <c r="AA122" s="130">
        <v>-668460</v>
      </c>
      <c r="AB122" s="130">
        <f t="shared" si="10"/>
        <v>642340</v>
      </c>
      <c r="AC122" s="1323"/>
      <c r="AD122" s="57">
        <v>642340</v>
      </c>
      <c r="AE122" s="1320"/>
      <c r="AF122" s="1258"/>
      <c r="AG122" s="1258"/>
      <c r="AH122" s="130">
        <f t="shared" si="11"/>
        <v>0</v>
      </c>
      <c r="AI122" s="1258"/>
      <c r="AJ122" s="1258"/>
      <c r="AK122" s="1258"/>
      <c r="AL122" s="1258"/>
      <c r="AM122" s="1258"/>
      <c r="AN122" s="1203"/>
      <c r="AO122" s="1204"/>
      <c r="AQ122" s="934"/>
    </row>
    <row r="123" spans="1:43" s="10" customFormat="1" ht="15" customHeight="1">
      <c r="A123" s="1304"/>
      <c r="B123" s="1305"/>
      <c r="C123" s="1305"/>
      <c r="D123" s="1171"/>
      <c r="E123" s="1306"/>
      <c r="F123" s="1306"/>
      <c r="G123" s="1076"/>
      <c r="H123" s="1296"/>
      <c r="I123" s="1296"/>
      <c r="J123" s="1296"/>
      <c r="K123" s="1076"/>
      <c r="L123" s="1076"/>
      <c r="M123" s="1321"/>
      <c r="N123" s="137" t="s">
        <v>137</v>
      </c>
      <c r="O123" s="130">
        <v>4439358</v>
      </c>
      <c r="P123" s="1258"/>
      <c r="Q123" s="1258"/>
      <c r="R123" s="1305"/>
      <c r="S123" s="1258"/>
      <c r="T123" s="130">
        <v>4439358</v>
      </c>
      <c r="U123" s="130">
        <f>O123-T123</f>
        <v>0</v>
      </c>
      <c r="V123" s="130">
        <v>4439358</v>
      </c>
      <c r="W123" s="1258"/>
      <c r="X123" s="1076"/>
      <c r="Y123" s="108" t="s">
        <v>381</v>
      </c>
      <c r="Z123" s="130">
        <v>3334106.9</v>
      </c>
      <c r="AA123" s="130">
        <v>-1322221</v>
      </c>
      <c r="AB123" s="130">
        <f t="shared" si="10"/>
        <v>2011885.9</v>
      </c>
      <c r="AC123" s="139">
        <v>40555</v>
      </c>
      <c r="AD123" s="57">
        <v>2011885.9</v>
      </c>
      <c r="AE123" s="936" t="s">
        <v>137</v>
      </c>
      <c r="AF123" s="1258"/>
      <c r="AG123" s="1258"/>
      <c r="AH123" s="130">
        <f t="shared" si="11"/>
        <v>0</v>
      </c>
      <c r="AI123" s="130">
        <f>T123-AD123</f>
        <v>2427472.1</v>
      </c>
      <c r="AJ123" s="1258"/>
      <c r="AK123" s="1258"/>
      <c r="AL123" s="1258"/>
      <c r="AM123" s="1258"/>
      <c r="AN123" s="1203"/>
      <c r="AO123" s="1204"/>
      <c r="AQ123" s="934"/>
    </row>
    <row r="124" spans="1:43" s="10" customFormat="1" ht="15" customHeight="1">
      <c r="A124" s="1304"/>
      <c r="B124" s="1305"/>
      <c r="C124" s="1305" t="s">
        <v>9</v>
      </c>
      <c r="D124" s="1171"/>
      <c r="E124" s="1306"/>
      <c r="F124" s="1306"/>
      <c r="G124" s="1076"/>
      <c r="H124" s="1296"/>
      <c r="I124" s="1296"/>
      <c r="J124" s="1296"/>
      <c r="K124" s="1076"/>
      <c r="L124" s="1076"/>
      <c r="M124" s="1321">
        <v>41</v>
      </c>
      <c r="N124" s="1320" t="s">
        <v>7</v>
      </c>
      <c r="O124" s="1258">
        <v>1028452</v>
      </c>
      <c r="P124" s="1258">
        <v>3130751</v>
      </c>
      <c r="Q124" s="1258"/>
      <c r="R124" s="1305"/>
      <c r="S124" s="1258">
        <v>3130751</v>
      </c>
      <c r="T124" s="1258">
        <v>1028452</v>
      </c>
      <c r="U124" s="1258">
        <f>O124-T124</f>
        <v>0</v>
      </c>
      <c r="V124" s="1258">
        <v>1028452</v>
      </c>
      <c r="W124" s="1258"/>
      <c r="X124" s="1076"/>
      <c r="Y124" s="108" t="s">
        <v>375</v>
      </c>
      <c r="Z124" s="130">
        <v>0</v>
      </c>
      <c r="AA124" s="130">
        <v>1226533</v>
      </c>
      <c r="AB124" s="130">
        <f t="shared" si="10"/>
        <v>1226533</v>
      </c>
      <c r="AC124" s="139">
        <v>40387</v>
      </c>
      <c r="AD124" s="57">
        <v>1226533</v>
      </c>
      <c r="AE124" s="1320" t="s">
        <v>7</v>
      </c>
      <c r="AF124" s="1258">
        <f>SUM(AD124:AD126)</f>
        <v>2173987</v>
      </c>
      <c r="AG124" s="1258"/>
      <c r="AH124" s="130">
        <f t="shared" si="11"/>
        <v>0</v>
      </c>
      <c r="AI124" s="1258">
        <f>T124-AD124-AD125</f>
        <v>-1145535</v>
      </c>
      <c r="AJ124" s="1258"/>
      <c r="AK124" s="1258">
        <f>P124-V124-V126</f>
        <v>64420</v>
      </c>
      <c r="AL124" s="1258">
        <f>SUM(V124:V126)-SUM(Z124:Z126)+AJ120</f>
        <v>887688.42999999598</v>
      </c>
      <c r="AM124" s="1258">
        <f>AK124+AL124</f>
        <v>952108.42999999598</v>
      </c>
      <c r="AN124" s="1203"/>
      <c r="AO124" s="1204"/>
      <c r="AQ124" s="934"/>
    </row>
    <row r="125" spans="1:43" s="10" customFormat="1" ht="15" customHeight="1">
      <c r="A125" s="1304"/>
      <c r="B125" s="1305"/>
      <c r="C125" s="1305"/>
      <c r="D125" s="1171"/>
      <c r="E125" s="1306"/>
      <c r="F125" s="1306"/>
      <c r="G125" s="1076"/>
      <c r="H125" s="1296"/>
      <c r="I125" s="1296"/>
      <c r="J125" s="1296"/>
      <c r="K125" s="1076"/>
      <c r="L125" s="1076"/>
      <c r="M125" s="1321"/>
      <c r="N125" s="1320"/>
      <c r="O125" s="1258"/>
      <c r="P125" s="1258"/>
      <c r="Q125" s="1258"/>
      <c r="R125" s="1305"/>
      <c r="S125" s="1258"/>
      <c r="T125" s="1258"/>
      <c r="U125" s="1258"/>
      <c r="V125" s="1258"/>
      <c r="W125" s="1258"/>
      <c r="X125" s="1076"/>
      <c r="Y125" s="108" t="s">
        <v>377</v>
      </c>
      <c r="Z125" s="130">
        <f>S124*50%</f>
        <v>1565375.5</v>
      </c>
      <c r="AA125" s="130">
        <v>-617921.5</v>
      </c>
      <c r="AB125" s="130">
        <f t="shared" si="10"/>
        <v>947454</v>
      </c>
      <c r="AC125" s="139">
        <v>40508</v>
      </c>
      <c r="AD125" s="57">
        <v>947454</v>
      </c>
      <c r="AE125" s="1320"/>
      <c r="AF125" s="1258"/>
      <c r="AG125" s="1258"/>
      <c r="AH125" s="130">
        <f t="shared" si="11"/>
        <v>0</v>
      </c>
      <c r="AI125" s="1258"/>
      <c r="AJ125" s="1258"/>
      <c r="AK125" s="1258"/>
      <c r="AL125" s="1258"/>
      <c r="AM125" s="1258"/>
      <c r="AN125" s="1203"/>
      <c r="AO125" s="1204"/>
      <c r="AQ125" s="934"/>
    </row>
    <row r="126" spans="1:43" s="10" customFormat="1" ht="15" customHeight="1">
      <c r="A126" s="1304"/>
      <c r="B126" s="1305"/>
      <c r="C126" s="1305"/>
      <c r="D126" s="1171"/>
      <c r="E126" s="1306"/>
      <c r="F126" s="1306"/>
      <c r="G126" s="1076"/>
      <c r="H126" s="1296"/>
      <c r="I126" s="1296"/>
      <c r="J126" s="1296"/>
      <c r="K126" s="1076"/>
      <c r="L126" s="1076"/>
      <c r="M126" s="1321"/>
      <c r="N126" s="137" t="s">
        <v>137</v>
      </c>
      <c r="O126" s="130">
        <v>2102299</v>
      </c>
      <c r="P126" s="1258"/>
      <c r="Q126" s="1258"/>
      <c r="R126" s="1305"/>
      <c r="S126" s="1258"/>
      <c r="T126" s="130">
        <v>2102299</v>
      </c>
      <c r="U126" s="130">
        <f>O126-T126</f>
        <v>0</v>
      </c>
      <c r="V126" s="130">
        <f>2102299-64420</f>
        <v>2037879</v>
      </c>
      <c r="W126" s="1258"/>
      <c r="X126" s="1076"/>
      <c r="Y126" s="108"/>
      <c r="Z126" s="130">
        <v>0</v>
      </c>
      <c r="AA126" s="130">
        <v>0</v>
      </c>
      <c r="AB126" s="130">
        <f t="shared" si="10"/>
        <v>0</v>
      </c>
      <c r="AC126" s="140"/>
      <c r="AD126" s="57">
        <v>0</v>
      </c>
      <c r="AE126" s="936" t="s">
        <v>137</v>
      </c>
      <c r="AF126" s="1258"/>
      <c r="AG126" s="1258"/>
      <c r="AH126" s="130">
        <f t="shared" si="11"/>
        <v>0</v>
      </c>
      <c r="AI126" s="130">
        <f>V126-AD126</f>
        <v>2037879</v>
      </c>
      <c r="AJ126" s="1258"/>
      <c r="AK126" s="1258"/>
      <c r="AL126" s="1258"/>
      <c r="AM126" s="1258"/>
      <c r="AN126" s="1203"/>
      <c r="AO126" s="1204"/>
      <c r="AQ126" s="934"/>
    </row>
    <row r="127" spans="1:43" s="10" customFormat="1" ht="15" customHeight="1">
      <c r="A127" s="1304"/>
      <c r="B127" s="1305"/>
      <c r="C127" s="1305"/>
      <c r="D127" s="1171"/>
      <c r="E127" s="1306"/>
      <c r="F127" s="1306"/>
      <c r="G127" s="1076"/>
      <c r="H127" s="1296"/>
      <c r="I127" s="1296"/>
      <c r="J127" s="1296"/>
      <c r="K127" s="1076"/>
      <c r="L127" s="1076"/>
      <c r="M127" s="1321">
        <v>42</v>
      </c>
      <c r="N127" s="1320" t="s">
        <v>7</v>
      </c>
      <c r="O127" s="1258">
        <v>935770</v>
      </c>
      <c r="P127" s="1258">
        <v>2848616</v>
      </c>
      <c r="Q127" s="1258"/>
      <c r="R127" s="1305"/>
      <c r="S127" s="1258">
        <v>2848616</v>
      </c>
      <c r="T127" s="1258">
        <v>935770</v>
      </c>
      <c r="U127" s="1258">
        <f>O127-T127</f>
        <v>0</v>
      </c>
      <c r="V127" s="1258">
        <v>935770</v>
      </c>
      <c r="W127" s="1258"/>
      <c r="X127" s="1076"/>
      <c r="Y127" s="108" t="s">
        <v>375</v>
      </c>
      <c r="Z127" s="130">
        <v>0</v>
      </c>
      <c r="AA127" s="130">
        <v>1139446</v>
      </c>
      <c r="AB127" s="130">
        <f t="shared" si="10"/>
        <v>1139446</v>
      </c>
      <c r="AC127" s="139">
        <v>40387</v>
      </c>
      <c r="AD127" s="57">
        <v>1139446</v>
      </c>
      <c r="AE127" s="1320" t="s">
        <v>7</v>
      </c>
      <c r="AF127" s="1258">
        <f>SUM(AD127:AD130)</f>
        <v>2848616</v>
      </c>
      <c r="AG127" s="1258"/>
      <c r="AH127" s="130">
        <f t="shared" si="11"/>
        <v>0</v>
      </c>
      <c r="AI127" s="1258">
        <f>T127-AD127-AD128-AD129</f>
        <v>-1632115</v>
      </c>
      <c r="AJ127" s="1258"/>
      <c r="AK127" s="1258">
        <f>P127-V127-V130</f>
        <v>0</v>
      </c>
      <c r="AL127" s="1258">
        <f>SUM(V127:V130)-SUM(Z127:Z130)</f>
        <v>-0.33000000007450581</v>
      </c>
      <c r="AM127" s="1258">
        <f>AK127+AL127</f>
        <v>-0.33000000007450581</v>
      </c>
      <c r="AN127" s="1203"/>
      <c r="AO127" s="1204"/>
      <c r="AQ127" s="934"/>
    </row>
    <row r="128" spans="1:43" s="10" customFormat="1" ht="15" customHeight="1">
      <c r="A128" s="1304"/>
      <c r="B128" s="1305"/>
      <c r="C128" s="1305"/>
      <c r="D128" s="1171"/>
      <c r="E128" s="1306"/>
      <c r="F128" s="1306"/>
      <c r="G128" s="1076"/>
      <c r="H128" s="1296"/>
      <c r="I128" s="1296"/>
      <c r="J128" s="1296"/>
      <c r="K128" s="1076"/>
      <c r="L128" s="1076"/>
      <c r="M128" s="1321"/>
      <c r="N128" s="1320"/>
      <c r="O128" s="1258"/>
      <c r="P128" s="1258"/>
      <c r="Q128" s="1258"/>
      <c r="R128" s="1305"/>
      <c r="S128" s="1258"/>
      <c r="T128" s="1258"/>
      <c r="U128" s="1258"/>
      <c r="V128" s="1258"/>
      <c r="W128" s="1258"/>
      <c r="X128" s="1076"/>
      <c r="Y128" s="108" t="s">
        <v>377</v>
      </c>
      <c r="Z128" s="130">
        <v>1424308</v>
      </c>
      <c r="AA128" s="130">
        <v>-569723</v>
      </c>
      <c r="AB128" s="130">
        <f t="shared" si="10"/>
        <v>854585</v>
      </c>
      <c r="AC128" s="139">
        <v>40508</v>
      </c>
      <c r="AD128" s="57">
        <v>854585</v>
      </c>
      <c r="AE128" s="1320"/>
      <c r="AF128" s="1258"/>
      <c r="AG128" s="1258"/>
      <c r="AH128" s="130">
        <f t="shared" si="11"/>
        <v>0</v>
      </c>
      <c r="AI128" s="1258"/>
      <c r="AJ128" s="1258"/>
      <c r="AK128" s="1258"/>
      <c r="AL128" s="1258"/>
      <c r="AM128" s="1258"/>
      <c r="AN128" s="1203"/>
      <c r="AO128" s="1204"/>
      <c r="AQ128" s="934"/>
    </row>
    <row r="129" spans="1:43" s="10" customFormat="1" ht="15" customHeight="1">
      <c r="A129" s="1304"/>
      <c r="B129" s="1305"/>
      <c r="C129" s="1305"/>
      <c r="D129" s="1171"/>
      <c r="E129" s="1306"/>
      <c r="F129" s="1306"/>
      <c r="G129" s="1076"/>
      <c r="H129" s="1296"/>
      <c r="I129" s="1296"/>
      <c r="J129" s="1296"/>
      <c r="K129" s="1076"/>
      <c r="L129" s="1076"/>
      <c r="M129" s="1321"/>
      <c r="N129" s="1320"/>
      <c r="O129" s="1258"/>
      <c r="P129" s="1258"/>
      <c r="Q129" s="1258"/>
      <c r="R129" s="1305"/>
      <c r="S129" s="1258"/>
      <c r="T129" s="1258"/>
      <c r="U129" s="1258"/>
      <c r="V129" s="1258"/>
      <c r="W129" s="1258"/>
      <c r="X129" s="1076"/>
      <c r="Y129" s="1123" t="s">
        <v>379</v>
      </c>
      <c r="Z129" s="130">
        <v>854584.99800000002</v>
      </c>
      <c r="AA129" s="130">
        <v>-280730.99800000002</v>
      </c>
      <c r="AB129" s="130">
        <f t="shared" si="10"/>
        <v>573854</v>
      </c>
      <c r="AC129" s="1322">
        <v>40597</v>
      </c>
      <c r="AD129" s="57">
        <v>573854</v>
      </c>
      <c r="AE129" s="1320"/>
      <c r="AF129" s="1258"/>
      <c r="AG129" s="1258"/>
      <c r="AH129" s="130">
        <f t="shared" si="11"/>
        <v>0</v>
      </c>
      <c r="AI129" s="1258"/>
      <c r="AJ129" s="1258"/>
      <c r="AK129" s="1258"/>
      <c r="AL129" s="1258"/>
      <c r="AM129" s="1258"/>
      <c r="AN129" s="1203"/>
      <c r="AO129" s="1204"/>
      <c r="AQ129" s="934"/>
    </row>
    <row r="130" spans="1:43" s="10" customFormat="1" ht="15" customHeight="1">
      <c r="A130" s="1304"/>
      <c r="B130" s="1305"/>
      <c r="C130" s="1305"/>
      <c r="D130" s="1171"/>
      <c r="E130" s="1306"/>
      <c r="F130" s="1306"/>
      <c r="G130" s="1076"/>
      <c r="H130" s="1296"/>
      <c r="I130" s="1296"/>
      <c r="J130" s="1296"/>
      <c r="K130" s="1076"/>
      <c r="L130" s="1076"/>
      <c r="M130" s="1321"/>
      <c r="N130" s="137" t="s">
        <v>137</v>
      </c>
      <c r="O130" s="130">
        <v>1912846</v>
      </c>
      <c r="P130" s="1258"/>
      <c r="Q130" s="1258"/>
      <c r="R130" s="1305"/>
      <c r="S130" s="1258"/>
      <c r="T130" s="130">
        <v>1912846</v>
      </c>
      <c r="U130" s="130">
        <f>O130-T130</f>
        <v>0</v>
      </c>
      <c r="V130" s="130">
        <v>1912846</v>
      </c>
      <c r="W130" s="1258"/>
      <c r="X130" s="1076"/>
      <c r="Y130" s="1123"/>
      <c r="Z130" s="130">
        <v>569723.33200000005</v>
      </c>
      <c r="AA130" s="130">
        <v>-288992.33199999999</v>
      </c>
      <c r="AB130" s="130">
        <f t="shared" si="10"/>
        <v>280731.00000000006</v>
      </c>
      <c r="AC130" s="1323"/>
      <c r="AD130" s="57">
        <v>280731</v>
      </c>
      <c r="AE130" s="936" t="s">
        <v>137</v>
      </c>
      <c r="AF130" s="1258"/>
      <c r="AG130" s="1258"/>
      <c r="AH130" s="130">
        <f t="shared" si="11"/>
        <v>0</v>
      </c>
      <c r="AI130" s="130">
        <f>T130-AD130</f>
        <v>1632115</v>
      </c>
      <c r="AJ130" s="1258"/>
      <c r="AK130" s="1258"/>
      <c r="AL130" s="1258"/>
      <c r="AM130" s="1258"/>
      <c r="AN130" s="1203"/>
      <c r="AO130" s="1204"/>
      <c r="AQ130" s="934"/>
    </row>
    <row r="131" spans="1:43" s="10" customFormat="1" ht="15" customHeight="1">
      <c r="A131" s="1304"/>
      <c r="B131" s="1305"/>
      <c r="C131" s="1305"/>
      <c r="D131" s="1171"/>
      <c r="E131" s="1306"/>
      <c r="F131" s="1306"/>
      <c r="G131" s="1076"/>
      <c r="H131" s="1296"/>
      <c r="I131" s="1296"/>
      <c r="J131" s="1296"/>
      <c r="K131" s="1076"/>
      <c r="L131" s="1076"/>
      <c r="M131" s="1321">
        <v>43</v>
      </c>
      <c r="N131" s="1320" t="s">
        <v>7</v>
      </c>
      <c r="O131" s="1258">
        <v>978719</v>
      </c>
      <c r="P131" s="1258">
        <v>2979357</v>
      </c>
      <c r="Q131" s="1258"/>
      <c r="R131" s="1305"/>
      <c r="S131" s="1258">
        <v>2979357</v>
      </c>
      <c r="T131" s="1258">
        <v>978719</v>
      </c>
      <c r="U131" s="1258">
        <f>O131-T131</f>
        <v>0</v>
      </c>
      <c r="V131" s="1258">
        <v>978719</v>
      </c>
      <c r="W131" s="1258"/>
      <c r="X131" s="1076"/>
      <c r="Y131" s="108" t="s">
        <v>375</v>
      </c>
      <c r="Z131" s="130">
        <v>0</v>
      </c>
      <c r="AA131" s="130">
        <v>1191743</v>
      </c>
      <c r="AB131" s="130">
        <f t="shared" si="10"/>
        <v>1191743</v>
      </c>
      <c r="AC131" s="139">
        <v>40387</v>
      </c>
      <c r="AD131" s="57">
        <v>1191743</v>
      </c>
      <c r="AE131" s="1320" t="s">
        <v>7</v>
      </c>
      <c r="AF131" s="1258">
        <f>SUM(AD131:AD134)</f>
        <v>2979354.3</v>
      </c>
      <c r="AG131" s="1258"/>
      <c r="AH131" s="130">
        <f t="shared" si="11"/>
        <v>0</v>
      </c>
      <c r="AI131" s="1258">
        <f>T131-AD131-AD132-AD133</f>
        <v>-1707020.3</v>
      </c>
      <c r="AJ131" s="1258"/>
      <c r="AK131" s="1258">
        <f>P131-V131-V134</f>
        <v>0</v>
      </c>
      <c r="AL131" s="1258">
        <f>SUM(V131:V134)-SUM(Z131:Z134)</f>
        <v>2.6000000000931323</v>
      </c>
      <c r="AM131" s="1258">
        <f>AK131+AL131</f>
        <v>2.6000000000931323</v>
      </c>
      <c r="AN131" s="1203"/>
      <c r="AO131" s="1204"/>
      <c r="AQ131" s="934"/>
    </row>
    <row r="132" spans="1:43" s="10" customFormat="1" ht="15" customHeight="1">
      <c r="A132" s="1304"/>
      <c r="B132" s="1305"/>
      <c r="C132" s="1305"/>
      <c r="D132" s="1171"/>
      <c r="E132" s="1306"/>
      <c r="F132" s="1306"/>
      <c r="G132" s="1076"/>
      <c r="H132" s="1296"/>
      <c r="I132" s="1296"/>
      <c r="J132" s="1296"/>
      <c r="K132" s="1076"/>
      <c r="L132" s="1076"/>
      <c r="M132" s="1321"/>
      <c r="N132" s="1320"/>
      <c r="O132" s="1258"/>
      <c r="P132" s="1258"/>
      <c r="Q132" s="1258"/>
      <c r="R132" s="1305"/>
      <c r="S132" s="1258"/>
      <c r="T132" s="1258"/>
      <c r="U132" s="1258"/>
      <c r="V132" s="1258"/>
      <c r="W132" s="1258"/>
      <c r="X132" s="1076"/>
      <c r="Y132" s="108" t="s">
        <v>377</v>
      </c>
      <c r="Z132" s="130">
        <v>1489678.5</v>
      </c>
      <c r="AA132" s="130">
        <v>-595871.5</v>
      </c>
      <c r="AB132" s="130">
        <f t="shared" si="10"/>
        <v>893807</v>
      </c>
      <c r="AC132" s="139">
        <v>40508</v>
      </c>
      <c r="AD132" s="57">
        <v>893807</v>
      </c>
      <c r="AE132" s="1320"/>
      <c r="AF132" s="1258"/>
      <c r="AG132" s="1258"/>
      <c r="AH132" s="130">
        <f t="shared" si="11"/>
        <v>0</v>
      </c>
      <c r="AI132" s="1258"/>
      <c r="AJ132" s="1258"/>
      <c r="AK132" s="1258"/>
      <c r="AL132" s="1258"/>
      <c r="AM132" s="1258"/>
      <c r="AN132" s="1203"/>
      <c r="AO132" s="1204"/>
      <c r="AQ132" s="934"/>
    </row>
    <row r="133" spans="1:43" s="10" customFormat="1" ht="15" customHeight="1">
      <c r="A133" s="1304"/>
      <c r="B133" s="1305"/>
      <c r="C133" s="1305"/>
      <c r="D133" s="1171"/>
      <c r="E133" s="1306"/>
      <c r="F133" s="1306"/>
      <c r="G133" s="1076"/>
      <c r="H133" s="1296"/>
      <c r="I133" s="1296"/>
      <c r="J133" s="1296"/>
      <c r="K133" s="1076"/>
      <c r="L133" s="1076"/>
      <c r="M133" s="1321"/>
      <c r="N133" s="1320"/>
      <c r="O133" s="1258"/>
      <c r="P133" s="1258"/>
      <c r="Q133" s="1258"/>
      <c r="R133" s="1305"/>
      <c r="S133" s="1258"/>
      <c r="T133" s="1258"/>
      <c r="U133" s="1258"/>
      <c r="V133" s="1258"/>
      <c r="W133" s="1258"/>
      <c r="X133" s="1076"/>
      <c r="Y133" s="1123" t="s">
        <v>383</v>
      </c>
      <c r="Z133" s="130">
        <v>893805.54</v>
      </c>
      <c r="AA133" s="130">
        <v>-293616.24</v>
      </c>
      <c r="AB133" s="130">
        <f t="shared" si="10"/>
        <v>600189.30000000005</v>
      </c>
      <c r="AC133" s="1322">
        <v>40569</v>
      </c>
      <c r="AD133" s="57">
        <v>600189.30000000005</v>
      </c>
      <c r="AE133" s="1320"/>
      <c r="AF133" s="1258"/>
      <c r="AG133" s="1258"/>
      <c r="AH133" s="130">
        <f t="shared" si="11"/>
        <v>0</v>
      </c>
      <c r="AI133" s="1258"/>
      <c r="AJ133" s="1258"/>
      <c r="AK133" s="1258"/>
      <c r="AL133" s="1258"/>
      <c r="AM133" s="1258"/>
      <c r="AN133" s="1203"/>
      <c r="AO133" s="1204"/>
      <c r="AQ133" s="934"/>
    </row>
    <row r="134" spans="1:43" s="10" customFormat="1" ht="15" customHeight="1">
      <c r="A134" s="1304"/>
      <c r="B134" s="1305"/>
      <c r="C134" s="1305"/>
      <c r="D134" s="1171"/>
      <c r="E134" s="1306"/>
      <c r="F134" s="1306"/>
      <c r="G134" s="1076"/>
      <c r="H134" s="1296"/>
      <c r="I134" s="1296"/>
      <c r="J134" s="1296"/>
      <c r="K134" s="1076"/>
      <c r="L134" s="1076"/>
      <c r="M134" s="1321"/>
      <c r="N134" s="137" t="s">
        <v>137</v>
      </c>
      <c r="O134" s="130">
        <v>2000638</v>
      </c>
      <c r="P134" s="1258"/>
      <c r="Q134" s="1258"/>
      <c r="R134" s="1305"/>
      <c r="S134" s="1258"/>
      <c r="T134" s="130">
        <v>2000638</v>
      </c>
      <c r="U134" s="130">
        <f>O134-T134</f>
        <v>0</v>
      </c>
      <c r="V134" s="130">
        <v>2000638</v>
      </c>
      <c r="W134" s="1258"/>
      <c r="X134" s="1076"/>
      <c r="Y134" s="1123"/>
      <c r="Z134" s="130">
        <v>595870.36</v>
      </c>
      <c r="AA134" s="130">
        <v>-302255.35999999999</v>
      </c>
      <c r="AB134" s="130">
        <f t="shared" si="10"/>
        <v>293615</v>
      </c>
      <c r="AC134" s="1322"/>
      <c r="AD134" s="57">
        <v>293615</v>
      </c>
      <c r="AE134" s="936" t="s">
        <v>137</v>
      </c>
      <c r="AF134" s="1258"/>
      <c r="AG134" s="1258"/>
      <c r="AH134" s="130">
        <f t="shared" si="11"/>
        <v>0</v>
      </c>
      <c r="AI134" s="130">
        <f>T134-AD134</f>
        <v>1707023</v>
      </c>
      <c r="AJ134" s="1258"/>
      <c r="AK134" s="1258"/>
      <c r="AL134" s="1258"/>
      <c r="AM134" s="1258"/>
      <c r="AN134" s="1203"/>
      <c r="AO134" s="1204"/>
      <c r="AQ134" s="934"/>
    </row>
    <row r="135" spans="1:43" s="10" customFormat="1" ht="15" customHeight="1">
      <c r="A135" s="1304"/>
      <c r="B135" s="1305"/>
      <c r="C135" s="1305"/>
      <c r="D135" s="1171"/>
      <c r="E135" s="1306"/>
      <c r="F135" s="1306"/>
      <c r="G135" s="1076"/>
      <c r="H135" s="1296"/>
      <c r="I135" s="1296"/>
      <c r="J135" s="1296"/>
      <c r="K135" s="1076"/>
      <c r="L135" s="1076"/>
      <c r="M135" s="1321">
        <v>44</v>
      </c>
      <c r="N135" s="1320" t="s">
        <v>7</v>
      </c>
      <c r="O135" s="1258">
        <v>821181</v>
      </c>
      <c r="P135" s="1258">
        <v>2499789</v>
      </c>
      <c r="Q135" s="1258"/>
      <c r="R135" s="1305"/>
      <c r="S135" s="1258">
        <v>2499789</v>
      </c>
      <c r="T135" s="1258">
        <v>821181</v>
      </c>
      <c r="U135" s="1258">
        <f>O135-T135</f>
        <v>0</v>
      </c>
      <c r="V135" s="1258">
        <v>821181</v>
      </c>
      <c r="W135" s="1258"/>
      <c r="X135" s="1076"/>
      <c r="Y135" s="108" t="s">
        <v>375</v>
      </c>
      <c r="Z135" s="130">
        <v>0</v>
      </c>
      <c r="AA135" s="130">
        <v>999915</v>
      </c>
      <c r="AB135" s="130">
        <f t="shared" si="10"/>
        <v>999915</v>
      </c>
      <c r="AC135" s="139">
        <v>40387</v>
      </c>
      <c r="AD135" s="57">
        <v>999915</v>
      </c>
      <c r="AE135" s="1320" t="s">
        <v>7</v>
      </c>
      <c r="AF135" s="1258">
        <f>SUM(AD135:AD138)</f>
        <v>2499789</v>
      </c>
      <c r="AG135" s="1258"/>
      <c r="AH135" s="130">
        <f t="shared" si="11"/>
        <v>0</v>
      </c>
      <c r="AI135" s="1258">
        <f>T135-AD135-AD136-AD137</f>
        <v>-1432254</v>
      </c>
      <c r="AJ135" s="1258"/>
      <c r="AK135" s="1258">
        <f>P135-V135-V138</f>
        <v>0</v>
      </c>
      <c r="AL135" s="1258">
        <f>SUM(V135:V138)-SUM(Z135:Z138)</f>
        <v>4656</v>
      </c>
      <c r="AM135" s="1258">
        <f>AK135+AL135</f>
        <v>4656</v>
      </c>
      <c r="AN135" s="1203"/>
      <c r="AO135" s="1204"/>
      <c r="AQ135" s="934"/>
    </row>
    <row r="136" spans="1:43" s="10" customFormat="1" ht="15" customHeight="1">
      <c r="A136" s="1304"/>
      <c r="B136" s="1305"/>
      <c r="C136" s="1305"/>
      <c r="D136" s="1171"/>
      <c r="E136" s="1306"/>
      <c r="F136" s="1306"/>
      <c r="G136" s="1076"/>
      <c r="H136" s="1296"/>
      <c r="I136" s="1296"/>
      <c r="J136" s="1296"/>
      <c r="K136" s="1076"/>
      <c r="L136" s="1076"/>
      <c r="M136" s="1321"/>
      <c r="N136" s="1320"/>
      <c r="O136" s="1258"/>
      <c r="P136" s="1258"/>
      <c r="Q136" s="1258"/>
      <c r="R136" s="1305"/>
      <c r="S136" s="1258"/>
      <c r="T136" s="1258"/>
      <c r="U136" s="1258"/>
      <c r="V136" s="1258"/>
      <c r="W136" s="1258"/>
      <c r="X136" s="1076"/>
      <c r="Y136" s="108" t="s">
        <v>377</v>
      </c>
      <c r="Z136" s="130">
        <v>1245237.5</v>
      </c>
      <c r="AA136" s="130">
        <v>-495300.5</v>
      </c>
      <c r="AB136" s="130">
        <f t="shared" si="10"/>
        <v>749937</v>
      </c>
      <c r="AC136" s="139">
        <v>40508</v>
      </c>
      <c r="AD136" s="57">
        <v>749937</v>
      </c>
      <c r="AE136" s="1320"/>
      <c r="AF136" s="1258"/>
      <c r="AG136" s="1258"/>
      <c r="AH136" s="130">
        <f t="shared" si="11"/>
        <v>0</v>
      </c>
      <c r="AI136" s="1258"/>
      <c r="AJ136" s="1258"/>
      <c r="AK136" s="1258"/>
      <c r="AL136" s="1258"/>
      <c r="AM136" s="1258"/>
      <c r="AN136" s="1203"/>
      <c r="AO136" s="1204"/>
      <c r="AQ136" s="934"/>
    </row>
    <row r="137" spans="1:43" s="10" customFormat="1" ht="15" customHeight="1">
      <c r="A137" s="1304"/>
      <c r="B137" s="1305"/>
      <c r="C137" s="1305"/>
      <c r="D137" s="1171"/>
      <c r="E137" s="1306"/>
      <c r="F137" s="1306"/>
      <c r="G137" s="1076"/>
      <c r="H137" s="1296"/>
      <c r="I137" s="1296"/>
      <c r="J137" s="1296"/>
      <c r="K137" s="1076"/>
      <c r="L137" s="1076"/>
      <c r="M137" s="1321"/>
      <c r="N137" s="1320"/>
      <c r="O137" s="1258"/>
      <c r="P137" s="1258"/>
      <c r="Q137" s="1258"/>
      <c r="R137" s="1305"/>
      <c r="S137" s="1258"/>
      <c r="T137" s="1258"/>
      <c r="U137" s="1258"/>
      <c r="V137" s="1258"/>
      <c r="W137" s="1258"/>
      <c r="X137" s="1076"/>
      <c r="Y137" s="1123" t="s">
        <v>380</v>
      </c>
      <c r="Z137" s="130">
        <f>1249895.5*60%</f>
        <v>749937.29999999993</v>
      </c>
      <c r="AA137" s="130">
        <v>-246354.3</v>
      </c>
      <c r="AB137" s="130">
        <f t="shared" si="10"/>
        <v>503582.99999999994</v>
      </c>
      <c r="AC137" s="1322">
        <v>40578</v>
      </c>
      <c r="AD137" s="57">
        <v>503583</v>
      </c>
      <c r="AE137" s="1320"/>
      <c r="AF137" s="1258"/>
      <c r="AG137" s="1258"/>
      <c r="AH137" s="130">
        <f t="shared" si="11"/>
        <v>0</v>
      </c>
      <c r="AI137" s="1258"/>
      <c r="AJ137" s="1258"/>
      <c r="AK137" s="1258"/>
      <c r="AL137" s="1258"/>
      <c r="AM137" s="1258"/>
      <c r="AN137" s="1203"/>
      <c r="AO137" s="1204"/>
      <c r="AQ137" s="934"/>
    </row>
    <row r="138" spans="1:43" s="10" customFormat="1" ht="15" customHeight="1">
      <c r="A138" s="1304"/>
      <c r="B138" s="1305"/>
      <c r="C138" s="1305"/>
      <c r="D138" s="1171"/>
      <c r="E138" s="1306"/>
      <c r="F138" s="1306"/>
      <c r="G138" s="1076"/>
      <c r="H138" s="1296"/>
      <c r="I138" s="1296"/>
      <c r="J138" s="1296"/>
      <c r="K138" s="1076"/>
      <c r="L138" s="1076"/>
      <c r="M138" s="1321"/>
      <c r="N138" s="137" t="s">
        <v>137</v>
      </c>
      <c r="O138" s="130">
        <v>1678608</v>
      </c>
      <c r="P138" s="1258"/>
      <c r="Q138" s="1258"/>
      <c r="R138" s="1305"/>
      <c r="S138" s="1258"/>
      <c r="T138" s="130">
        <v>1678608</v>
      </c>
      <c r="U138" s="130">
        <f>O138-T138</f>
        <v>0</v>
      </c>
      <c r="V138" s="130">
        <v>1678608</v>
      </c>
      <c r="W138" s="1258"/>
      <c r="X138" s="1076"/>
      <c r="Y138" s="1123"/>
      <c r="Z138" s="130">
        <f>1249895.5*40%</f>
        <v>499958.2</v>
      </c>
      <c r="AA138" s="130">
        <v>-253604.2</v>
      </c>
      <c r="AB138" s="130">
        <f t="shared" si="10"/>
        <v>246354</v>
      </c>
      <c r="AC138" s="1323"/>
      <c r="AD138" s="57">
        <v>246354</v>
      </c>
      <c r="AE138" s="936" t="s">
        <v>137</v>
      </c>
      <c r="AF138" s="1258"/>
      <c r="AG138" s="1258"/>
      <c r="AH138" s="130">
        <f t="shared" si="11"/>
        <v>0</v>
      </c>
      <c r="AI138" s="130">
        <f>T138-AD138</f>
        <v>1432254</v>
      </c>
      <c r="AJ138" s="1258"/>
      <c r="AK138" s="1258"/>
      <c r="AL138" s="1258"/>
      <c r="AM138" s="1258"/>
      <c r="AN138" s="1203"/>
      <c r="AO138" s="1204"/>
      <c r="AQ138" s="934"/>
    </row>
    <row r="139" spans="1:43" s="10" customFormat="1" ht="15" customHeight="1">
      <c r="A139" s="1304"/>
      <c r="B139" s="1305"/>
      <c r="C139" s="1305" t="s">
        <v>22</v>
      </c>
      <c r="D139" s="1171"/>
      <c r="E139" s="1306"/>
      <c r="F139" s="1306"/>
      <c r="G139" s="1076"/>
      <c r="H139" s="1296"/>
      <c r="I139" s="1296"/>
      <c r="J139" s="1296"/>
      <c r="K139" s="1076"/>
      <c r="L139" s="1076"/>
      <c r="M139" s="1321">
        <v>50</v>
      </c>
      <c r="N139" s="1320" t="s">
        <v>7</v>
      </c>
      <c r="O139" s="1258">
        <v>1314000</v>
      </c>
      <c r="P139" s="1258">
        <v>4000000</v>
      </c>
      <c r="Q139" s="1258"/>
      <c r="R139" s="1305"/>
      <c r="S139" s="1258">
        <v>4000000</v>
      </c>
      <c r="T139" s="1258">
        <v>1314000</v>
      </c>
      <c r="U139" s="1258">
        <f>O139-T139</f>
        <v>0</v>
      </c>
      <c r="V139" s="1258">
        <v>1314000</v>
      </c>
      <c r="W139" s="1258"/>
      <c r="X139" s="1076"/>
      <c r="Y139" s="108" t="s">
        <v>375</v>
      </c>
      <c r="Z139" s="130">
        <v>0</v>
      </c>
      <c r="AA139" s="130">
        <v>1600000</v>
      </c>
      <c r="AB139" s="130">
        <f t="shared" si="10"/>
        <v>1600000</v>
      </c>
      <c r="AC139" s="139">
        <v>40387</v>
      </c>
      <c r="AD139" s="57">
        <v>1600000</v>
      </c>
      <c r="AE139" s="1320" t="s">
        <v>7</v>
      </c>
      <c r="AF139" s="1258">
        <f>SUM(AD139:AD142)</f>
        <v>4000000</v>
      </c>
      <c r="AG139" s="1258"/>
      <c r="AH139" s="130">
        <f t="shared" si="11"/>
        <v>0</v>
      </c>
      <c r="AI139" s="1258">
        <f>T139-AD139-AD140-AD141</f>
        <v>-1487000</v>
      </c>
      <c r="AJ139" s="1258"/>
      <c r="AK139" s="1258">
        <f>P139-V139-V142</f>
        <v>0</v>
      </c>
      <c r="AL139" s="1258">
        <f>SUM(V139:V142)-SUM(Z139:Z142)</f>
        <v>0</v>
      </c>
      <c r="AM139" s="1258">
        <f>AK139+AL139</f>
        <v>0</v>
      </c>
      <c r="AN139" s="1203"/>
      <c r="AO139" s="1204"/>
      <c r="AQ139" s="934"/>
    </row>
    <row r="140" spans="1:43" s="10" customFormat="1" ht="15" customHeight="1">
      <c r="A140" s="1304"/>
      <c r="B140" s="1305"/>
      <c r="C140" s="1305"/>
      <c r="D140" s="1171"/>
      <c r="E140" s="1306"/>
      <c r="F140" s="1306"/>
      <c r="G140" s="1076"/>
      <c r="H140" s="1296"/>
      <c r="I140" s="1296"/>
      <c r="J140" s="1296"/>
      <c r="K140" s="1076"/>
      <c r="L140" s="1076"/>
      <c r="M140" s="1321"/>
      <c r="N140" s="1320"/>
      <c r="O140" s="1258"/>
      <c r="P140" s="1258"/>
      <c r="Q140" s="1258"/>
      <c r="R140" s="1305"/>
      <c r="S140" s="1258"/>
      <c r="T140" s="1258"/>
      <c r="U140" s="1258"/>
      <c r="V140" s="1258"/>
      <c r="W140" s="1258"/>
      <c r="X140" s="1076"/>
      <c r="Y140" s="1123" t="s">
        <v>378</v>
      </c>
      <c r="Z140" s="130">
        <v>1200600</v>
      </c>
      <c r="AA140" s="130">
        <v>-393800</v>
      </c>
      <c r="AB140" s="130">
        <f t="shared" si="10"/>
        <v>806800</v>
      </c>
      <c r="AC140" s="1322">
        <v>40519</v>
      </c>
      <c r="AD140" s="57">
        <v>806800</v>
      </c>
      <c r="AE140" s="1320"/>
      <c r="AF140" s="1258"/>
      <c r="AG140" s="1258"/>
      <c r="AH140" s="130">
        <f t="shared" si="11"/>
        <v>0</v>
      </c>
      <c r="AI140" s="1258"/>
      <c r="AJ140" s="1258"/>
      <c r="AK140" s="1258"/>
      <c r="AL140" s="1258"/>
      <c r="AM140" s="1258"/>
      <c r="AN140" s="1203"/>
      <c r="AO140" s="1204"/>
      <c r="AQ140" s="934"/>
    </row>
    <row r="141" spans="1:43" s="10" customFormat="1" ht="15" customHeight="1">
      <c r="A141" s="1304"/>
      <c r="B141" s="1305"/>
      <c r="C141" s="1305"/>
      <c r="D141" s="1171"/>
      <c r="E141" s="1306"/>
      <c r="F141" s="1306"/>
      <c r="G141" s="1076"/>
      <c r="H141" s="1296"/>
      <c r="I141" s="1296"/>
      <c r="J141" s="1296"/>
      <c r="K141" s="1076"/>
      <c r="L141" s="1076"/>
      <c r="M141" s="1321"/>
      <c r="N141" s="1320"/>
      <c r="O141" s="1258"/>
      <c r="P141" s="1258"/>
      <c r="Q141" s="1258"/>
      <c r="R141" s="1305"/>
      <c r="S141" s="1258"/>
      <c r="T141" s="1258"/>
      <c r="U141" s="1258"/>
      <c r="V141" s="1258"/>
      <c r="W141" s="1258"/>
      <c r="X141" s="1076"/>
      <c r="Y141" s="1123"/>
      <c r="Z141" s="130">
        <v>800400</v>
      </c>
      <c r="AA141" s="130">
        <v>-406200</v>
      </c>
      <c r="AB141" s="130">
        <f t="shared" si="10"/>
        <v>394200</v>
      </c>
      <c r="AC141" s="1323"/>
      <c r="AD141" s="57">
        <v>394200</v>
      </c>
      <c r="AE141" s="1320"/>
      <c r="AF141" s="1258"/>
      <c r="AG141" s="1258"/>
      <c r="AH141" s="130">
        <f t="shared" si="11"/>
        <v>0</v>
      </c>
      <c r="AI141" s="1258"/>
      <c r="AJ141" s="1258"/>
      <c r="AK141" s="1258"/>
      <c r="AL141" s="1258"/>
      <c r="AM141" s="1258"/>
      <c r="AN141" s="1203"/>
      <c r="AO141" s="1204"/>
      <c r="AQ141" s="934"/>
    </row>
    <row r="142" spans="1:43" s="10" customFormat="1" ht="15" customHeight="1">
      <c r="A142" s="1304"/>
      <c r="B142" s="1305"/>
      <c r="C142" s="1305"/>
      <c r="D142" s="1171"/>
      <c r="E142" s="1306"/>
      <c r="F142" s="1306"/>
      <c r="G142" s="1076"/>
      <c r="H142" s="1296"/>
      <c r="I142" s="1296"/>
      <c r="J142" s="1296"/>
      <c r="K142" s="1076"/>
      <c r="L142" s="1076"/>
      <c r="M142" s="1321"/>
      <c r="N142" s="137" t="s">
        <v>137</v>
      </c>
      <c r="O142" s="130">
        <v>2686000</v>
      </c>
      <c r="P142" s="1258"/>
      <c r="Q142" s="1258"/>
      <c r="R142" s="1305"/>
      <c r="S142" s="1258"/>
      <c r="T142" s="130">
        <v>2686000</v>
      </c>
      <c r="U142" s="130">
        <f>O142-T142</f>
        <v>0</v>
      </c>
      <c r="V142" s="130">
        <v>2686000</v>
      </c>
      <c r="W142" s="1258"/>
      <c r="X142" s="1076"/>
      <c r="Y142" s="108" t="s">
        <v>383</v>
      </c>
      <c r="Z142" s="130">
        <v>1999000</v>
      </c>
      <c r="AA142" s="130">
        <v>-800000</v>
      </c>
      <c r="AB142" s="130">
        <f t="shared" si="10"/>
        <v>1199000</v>
      </c>
      <c r="AC142" s="139">
        <v>40555</v>
      </c>
      <c r="AD142" s="57">
        <v>1199000</v>
      </c>
      <c r="AE142" s="936" t="s">
        <v>137</v>
      </c>
      <c r="AF142" s="1258"/>
      <c r="AG142" s="1258"/>
      <c r="AH142" s="130">
        <f t="shared" si="11"/>
        <v>0</v>
      </c>
      <c r="AI142" s="130">
        <f>T142-AD142</f>
        <v>1487000</v>
      </c>
      <c r="AJ142" s="1258"/>
      <c r="AK142" s="1258"/>
      <c r="AL142" s="1258"/>
      <c r="AM142" s="1258"/>
      <c r="AN142" s="1203"/>
      <c r="AO142" s="1204"/>
      <c r="AQ142" s="934"/>
    </row>
    <row r="143" spans="1:43" ht="15" customHeight="1">
      <c r="A143" s="1214" t="s">
        <v>670</v>
      </c>
      <c r="B143" s="1171">
        <v>40298</v>
      </c>
      <c r="C143" s="1076" t="s">
        <v>39</v>
      </c>
      <c r="D143" s="1076" t="s">
        <v>671</v>
      </c>
      <c r="E143" s="1252">
        <v>10523123</v>
      </c>
      <c r="F143" s="1252"/>
      <c r="G143" s="1076" t="s">
        <v>2819</v>
      </c>
      <c r="H143" s="1076" t="s">
        <v>72</v>
      </c>
      <c r="I143" s="1076" t="s">
        <v>177</v>
      </c>
      <c r="J143" s="1076" t="s">
        <v>66</v>
      </c>
      <c r="K143" s="1076" t="s">
        <v>217</v>
      </c>
      <c r="L143" s="1076" t="s">
        <v>679</v>
      </c>
      <c r="M143" s="1251">
        <v>45</v>
      </c>
      <c r="N143" s="1123" t="s">
        <v>137</v>
      </c>
      <c r="O143" s="1119">
        <v>6208152</v>
      </c>
      <c r="P143" s="1119">
        <v>9245200</v>
      </c>
      <c r="Q143" s="1119">
        <f>P143+P151+P159</f>
        <v>20585499</v>
      </c>
      <c r="R143" s="1171">
        <v>40353</v>
      </c>
      <c r="S143" s="1196">
        <f>T143+T146</f>
        <v>6208152</v>
      </c>
      <c r="T143" s="1119">
        <v>6208152</v>
      </c>
      <c r="U143" s="1119">
        <f>O143-T143</f>
        <v>0</v>
      </c>
      <c r="V143" s="1119">
        <v>6208152</v>
      </c>
      <c r="W143" s="1119">
        <v>20585499</v>
      </c>
      <c r="X143" s="1076" t="s">
        <v>673</v>
      </c>
      <c r="Y143" s="1123" t="s">
        <v>675</v>
      </c>
      <c r="Z143" s="109">
        <v>0</v>
      </c>
      <c r="AA143" s="109">
        <v>1214819</v>
      </c>
      <c r="AB143" s="109">
        <f t="shared" ref="AB143:AB159" si="12">Z143+AA143</f>
        <v>1214819</v>
      </c>
      <c r="AC143" s="665">
        <v>40382</v>
      </c>
      <c r="AD143" s="119">
        <v>2483260.7999999998</v>
      </c>
      <c r="AE143" s="1123" t="s">
        <v>137</v>
      </c>
      <c r="AF143" s="1084">
        <f>SUM(AD143:AD150)</f>
        <v>9245200</v>
      </c>
      <c r="AG143" s="1084">
        <f>AF143+AF151+AF159</f>
        <v>20585499</v>
      </c>
      <c r="AH143" s="111">
        <f t="shared" si="11"/>
        <v>-1268441.7999999998</v>
      </c>
      <c r="AI143" s="1084">
        <f>O143-AD144-AD146-AD148-AD149</f>
        <v>1607666.7999999998</v>
      </c>
      <c r="AJ143" s="1119">
        <f>SUM(Z143:Z150)-SUM(AD143:AD150)</f>
        <v>0</v>
      </c>
      <c r="AK143" s="1119">
        <f>P143-V143-V147</f>
        <v>0</v>
      </c>
      <c r="AL143" s="1119">
        <f>SUM(V143:V150)-SUM(Z143:Z150)</f>
        <v>0</v>
      </c>
      <c r="AM143" s="1119">
        <f>AK143+AL143</f>
        <v>0</v>
      </c>
      <c r="AN143" s="1203" t="s">
        <v>695</v>
      </c>
      <c r="AO143" s="1204" t="s">
        <v>694</v>
      </c>
    </row>
    <row r="144" spans="1:43" ht="15" customHeight="1">
      <c r="A144" s="1214"/>
      <c r="B144" s="1171"/>
      <c r="C144" s="1076"/>
      <c r="D144" s="1076"/>
      <c r="E144" s="1252"/>
      <c r="F144" s="1252"/>
      <c r="G144" s="1076"/>
      <c r="H144" s="1076"/>
      <c r="I144" s="1076"/>
      <c r="J144" s="1076"/>
      <c r="K144" s="1076"/>
      <c r="L144" s="1076"/>
      <c r="M144" s="1251"/>
      <c r="N144" s="1123"/>
      <c r="O144" s="1119"/>
      <c r="P144" s="1119"/>
      <c r="Q144" s="1119"/>
      <c r="R144" s="1171"/>
      <c r="S144" s="1196"/>
      <c r="T144" s="1119"/>
      <c r="U144" s="1119"/>
      <c r="V144" s="1119"/>
      <c r="W144" s="1119"/>
      <c r="X144" s="1076"/>
      <c r="Y144" s="1123"/>
      <c r="Z144" s="109">
        <v>0</v>
      </c>
      <c r="AA144" s="109">
        <v>2483261</v>
      </c>
      <c r="AB144" s="109">
        <f t="shared" si="12"/>
        <v>2483261</v>
      </c>
      <c r="AC144" s="665">
        <v>40548</v>
      </c>
      <c r="AD144" s="119">
        <v>2607424</v>
      </c>
      <c r="AE144" s="1123"/>
      <c r="AF144" s="1084"/>
      <c r="AG144" s="1084"/>
      <c r="AH144" s="111">
        <f t="shared" si="11"/>
        <v>-124163</v>
      </c>
      <c r="AI144" s="1084"/>
      <c r="AJ144" s="1119"/>
      <c r="AK144" s="1119"/>
      <c r="AL144" s="1119"/>
      <c r="AM144" s="1119"/>
      <c r="AN144" s="1203"/>
      <c r="AO144" s="1204"/>
    </row>
    <row r="145" spans="1:43" ht="15" customHeight="1">
      <c r="A145" s="1214"/>
      <c r="B145" s="1171"/>
      <c r="C145" s="1076"/>
      <c r="D145" s="1076"/>
      <c r="E145" s="1252"/>
      <c r="F145" s="1252"/>
      <c r="G145" s="1076"/>
      <c r="H145" s="1076"/>
      <c r="I145" s="1076"/>
      <c r="J145" s="1076"/>
      <c r="K145" s="1076"/>
      <c r="L145" s="1076"/>
      <c r="M145" s="1251"/>
      <c r="N145" s="1123"/>
      <c r="O145" s="1119"/>
      <c r="P145" s="1119"/>
      <c r="Q145" s="1119"/>
      <c r="R145" s="1171"/>
      <c r="S145" s="1196"/>
      <c r="T145" s="1119"/>
      <c r="U145" s="1119"/>
      <c r="V145" s="1119"/>
      <c r="W145" s="1119"/>
      <c r="X145" s="1076"/>
      <c r="Y145" s="1123" t="s">
        <v>676</v>
      </c>
      <c r="Z145" s="109">
        <v>2138710</v>
      </c>
      <c r="AA145" s="109">
        <v>-863150</v>
      </c>
      <c r="AB145" s="109">
        <f t="shared" si="12"/>
        <v>1275560</v>
      </c>
      <c r="AC145" s="665">
        <v>40869</v>
      </c>
      <c r="AD145" s="119">
        <v>755492</v>
      </c>
      <c r="AE145" s="1123"/>
      <c r="AF145" s="1084"/>
      <c r="AG145" s="1084"/>
      <c r="AH145" s="111">
        <f t="shared" si="11"/>
        <v>520068</v>
      </c>
      <c r="AI145" s="1084"/>
      <c r="AJ145" s="1119"/>
      <c r="AK145" s="1119"/>
      <c r="AL145" s="1119"/>
      <c r="AM145" s="1119"/>
      <c r="AN145" s="1203"/>
      <c r="AO145" s="1204"/>
    </row>
    <row r="146" spans="1:43" ht="15" customHeight="1">
      <c r="A146" s="1214"/>
      <c r="B146" s="1171"/>
      <c r="C146" s="1076"/>
      <c r="D146" s="1076"/>
      <c r="E146" s="1252"/>
      <c r="F146" s="1252"/>
      <c r="G146" s="1076"/>
      <c r="H146" s="1076"/>
      <c r="I146" s="1076"/>
      <c r="J146" s="1076"/>
      <c r="K146" s="1076"/>
      <c r="L146" s="1076"/>
      <c r="M146" s="1251"/>
      <c r="N146" s="1123"/>
      <c r="O146" s="1119"/>
      <c r="P146" s="1119"/>
      <c r="Q146" s="1119"/>
      <c r="R146" s="1171"/>
      <c r="S146" s="1196"/>
      <c r="T146" s="1119"/>
      <c r="U146" s="1119"/>
      <c r="V146" s="1119"/>
      <c r="W146" s="1119"/>
      <c r="X146" s="1076"/>
      <c r="Y146" s="1123"/>
      <c r="Z146" s="109">
        <v>4342227</v>
      </c>
      <c r="AA146" s="109">
        <v>-1734803</v>
      </c>
      <c r="AB146" s="109">
        <f t="shared" si="12"/>
        <v>2607424</v>
      </c>
      <c r="AC146" s="665">
        <v>43005</v>
      </c>
      <c r="AD146" s="119">
        <v>361975.2</v>
      </c>
      <c r="AE146" s="1123"/>
      <c r="AF146" s="1084"/>
      <c r="AG146" s="1084"/>
      <c r="AH146" s="111">
        <f t="shared" si="11"/>
        <v>2245448.7999999998</v>
      </c>
      <c r="AI146" s="1084"/>
      <c r="AJ146" s="1119"/>
      <c r="AK146" s="1119"/>
      <c r="AL146" s="1119"/>
      <c r="AM146" s="1119"/>
      <c r="AN146" s="1203"/>
      <c r="AO146" s="1204"/>
    </row>
    <row r="147" spans="1:43" ht="15" customHeight="1">
      <c r="A147" s="1214"/>
      <c r="B147" s="1171"/>
      <c r="C147" s="1076"/>
      <c r="D147" s="1076"/>
      <c r="E147" s="1252"/>
      <c r="F147" s="1252"/>
      <c r="G147" s="1076"/>
      <c r="H147" s="1076"/>
      <c r="I147" s="1076"/>
      <c r="J147" s="1076"/>
      <c r="K147" s="1076"/>
      <c r="L147" s="1076"/>
      <c r="M147" s="1251"/>
      <c r="N147" s="1123" t="s">
        <v>7</v>
      </c>
      <c r="O147" s="1119">
        <v>3037048</v>
      </c>
      <c r="P147" s="1119"/>
      <c r="Q147" s="1119"/>
      <c r="R147" s="1171"/>
      <c r="S147" s="1196"/>
      <c r="T147" s="1119">
        <v>3037048</v>
      </c>
      <c r="U147" s="1119">
        <f>O147-T147</f>
        <v>0</v>
      </c>
      <c r="V147" s="1119">
        <v>3037048</v>
      </c>
      <c r="W147" s="1119"/>
      <c r="X147" s="1076"/>
      <c r="Y147" s="1123" t="s">
        <v>678</v>
      </c>
      <c r="Z147" s="109">
        <v>591693</v>
      </c>
      <c r="AA147" s="109">
        <v>-236167</v>
      </c>
      <c r="AB147" s="109">
        <f t="shared" si="12"/>
        <v>355526</v>
      </c>
      <c r="AC147" s="665">
        <v>40382</v>
      </c>
      <c r="AD147" s="119">
        <v>1214819.2</v>
      </c>
      <c r="AE147" s="1123" t="s">
        <v>7</v>
      </c>
      <c r="AF147" s="1084"/>
      <c r="AG147" s="1084"/>
      <c r="AH147" s="111">
        <f t="shared" si="11"/>
        <v>-859293.2</v>
      </c>
      <c r="AI147" s="1084">
        <f>O147-AD143-AD145-AD147-AD150</f>
        <v>-1607666.7999999998</v>
      </c>
      <c r="AJ147" s="1119"/>
      <c r="AK147" s="1119"/>
      <c r="AL147" s="1119"/>
      <c r="AM147" s="1119"/>
      <c r="AN147" s="1203"/>
      <c r="AO147" s="1204"/>
    </row>
    <row r="148" spans="1:43" ht="15" customHeight="1">
      <c r="A148" s="1214"/>
      <c r="B148" s="1171"/>
      <c r="C148" s="1076"/>
      <c r="D148" s="1076"/>
      <c r="E148" s="1252"/>
      <c r="F148" s="1252"/>
      <c r="G148" s="1076"/>
      <c r="H148" s="1076"/>
      <c r="I148" s="1076"/>
      <c r="J148" s="1076"/>
      <c r="K148" s="1076"/>
      <c r="L148" s="1076"/>
      <c r="M148" s="1251"/>
      <c r="N148" s="1123"/>
      <c r="O148" s="1119"/>
      <c r="P148" s="1119"/>
      <c r="Q148" s="1119"/>
      <c r="R148" s="1171"/>
      <c r="S148" s="1196"/>
      <c r="T148" s="1119"/>
      <c r="U148" s="1119"/>
      <c r="V148" s="1119"/>
      <c r="W148" s="1119"/>
      <c r="X148" s="1076"/>
      <c r="Y148" s="1123"/>
      <c r="Z148" s="109">
        <v>1257347</v>
      </c>
      <c r="AA148" s="109">
        <v>-501855</v>
      </c>
      <c r="AB148" s="109">
        <f t="shared" si="12"/>
        <v>755492</v>
      </c>
      <c r="AC148" s="665">
        <v>40548</v>
      </c>
      <c r="AD148" s="119">
        <v>1275560</v>
      </c>
      <c r="AE148" s="1123"/>
      <c r="AF148" s="1084"/>
      <c r="AG148" s="1084"/>
      <c r="AH148" s="111">
        <f t="shared" si="11"/>
        <v>-520068</v>
      </c>
      <c r="AI148" s="1084"/>
      <c r="AJ148" s="1119"/>
      <c r="AK148" s="1119"/>
      <c r="AL148" s="1119"/>
      <c r="AM148" s="1119"/>
      <c r="AN148" s="1203"/>
      <c r="AO148" s="1204"/>
    </row>
    <row r="149" spans="1:43" ht="15" customHeight="1">
      <c r="A149" s="1214"/>
      <c r="B149" s="1171"/>
      <c r="C149" s="1076"/>
      <c r="D149" s="1076"/>
      <c r="E149" s="1252"/>
      <c r="F149" s="1252"/>
      <c r="G149" s="1076"/>
      <c r="H149" s="1076"/>
      <c r="I149" s="1076"/>
      <c r="J149" s="1076"/>
      <c r="K149" s="1076"/>
      <c r="L149" s="1076"/>
      <c r="M149" s="1251"/>
      <c r="N149" s="1123"/>
      <c r="O149" s="1119"/>
      <c r="P149" s="1119"/>
      <c r="Q149" s="1119"/>
      <c r="R149" s="1171"/>
      <c r="S149" s="1196"/>
      <c r="T149" s="1119"/>
      <c r="U149" s="1119"/>
      <c r="V149" s="1119"/>
      <c r="W149" s="1119"/>
      <c r="X149" s="1076"/>
      <c r="Y149" s="1123" t="s">
        <v>693</v>
      </c>
      <c r="Z149" s="109">
        <f>915223*40%</f>
        <v>366089.2</v>
      </c>
      <c r="AA149" s="109">
        <v>-246603</v>
      </c>
      <c r="AB149" s="109">
        <f t="shared" si="12"/>
        <v>119486.20000000001</v>
      </c>
      <c r="AC149" s="665">
        <v>40869</v>
      </c>
      <c r="AD149" s="119">
        <v>355526</v>
      </c>
      <c r="AE149" s="1123"/>
      <c r="AF149" s="1084"/>
      <c r="AG149" s="1084"/>
      <c r="AH149" s="111">
        <f t="shared" si="11"/>
        <v>-236039.8</v>
      </c>
      <c r="AI149" s="1084"/>
      <c r="AJ149" s="1119"/>
      <c r="AK149" s="1119"/>
      <c r="AL149" s="1119"/>
      <c r="AM149" s="1119"/>
      <c r="AN149" s="1203"/>
      <c r="AO149" s="1204"/>
    </row>
    <row r="150" spans="1:43" ht="15" customHeight="1">
      <c r="A150" s="1214"/>
      <c r="B150" s="1171"/>
      <c r="C150" s="1076"/>
      <c r="D150" s="1076"/>
      <c r="E150" s="1252"/>
      <c r="F150" s="1252"/>
      <c r="G150" s="1076"/>
      <c r="H150" s="1076"/>
      <c r="I150" s="1076"/>
      <c r="J150" s="1076"/>
      <c r="K150" s="1076"/>
      <c r="L150" s="1076"/>
      <c r="M150" s="1251"/>
      <c r="N150" s="1123"/>
      <c r="O150" s="1119"/>
      <c r="P150" s="1119"/>
      <c r="Q150" s="1119"/>
      <c r="R150" s="1171"/>
      <c r="S150" s="1196"/>
      <c r="T150" s="1119"/>
      <c r="U150" s="1119"/>
      <c r="V150" s="1119"/>
      <c r="W150" s="1119"/>
      <c r="X150" s="1076"/>
      <c r="Y150" s="1123"/>
      <c r="Z150" s="109">
        <f>915223*60%</f>
        <v>549133.79999999993</v>
      </c>
      <c r="AA150" s="109">
        <v>-115502</v>
      </c>
      <c r="AB150" s="109">
        <f t="shared" si="12"/>
        <v>433631.79999999993</v>
      </c>
      <c r="AC150" s="665">
        <v>43005</v>
      </c>
      <c r="AD150" s="119">
        <v>191142.8</v>
      </c>
      <c r="AE150" s="1123"/>
      <c r="AF150" s="1084"/>
      <c r="AG150" s="1084"/>
      <c r="AH150" s="111">
        <f t="shared" si="11"/>
        <v>242488.99999999994</v>
      </c>
      <c r="AI150" s="1084"/>
      <c r="AJ150" s="1119"/>
      <c r="AK150" s="1119"/>
      <c r="AL150" s="1119"/>
      <c r="AM150" s="1119"/>
      <c r="AN150" s="1203"/>
      <c r="AO150" s="1204"/>
    </row>
    <row r="151" spans="1:43" ht="15" customHeight="1">
      <c r="A151" s="1214"/>
      <c r="B151" s="1171"/>
      <c r="C151" s="1076"/>
      <c r="D151" s="1076"/>
      <c r="E151" s="1252"/>
      <c r="F151" s="1252"/>
      <c r="G151" s="1076"/>
      <c r="H151" s="1076"/>
      <c r="I151" s="1076"/>
      <c r="J151" s="1076"/>
      <c r="K151" s="1076"/>
      <c r="L151" s="1076"/>
      <c r="M151" s="1251">
        <v>46</v>
      </c>
      <c r="N151" s="1123" t="s">
        <v>137</v>
      </c>
      <c r="O151" s="1119">
        <v>4510935</v>
      </c>
      <c r="P151" s="1119">
        <v>6717699</v>
      </c>
      <c r="Q151" s="1119"/>
      <c r="R151" s="1171">
        <v>40353</v>
      </c>
      <c r="S151" s="1196">
        <f>T151+T154</f>
        <v>4510935</v>
      </c>
      <c r="T151" s="1119">
        <v>4510935</v>
      </c>
      <c r="U151" s="1119">
        <f>O151-T151</f>
        <v>0</v>
      </c>
      <c r="V151" s="1119">
        <v>4510935</v>
      </c>
      <c r="W151" s="1119"/>
      <c r="X151" s="1076"/>
      <c r="Y151" s="108" t="s">
        <v>674</v>
      </c>
      <c r="Z151" s="109">
        <v>0</v>
      </c>
      <c r="AA151" s="109">
        <v>2687080</v>
      </c>
      <c r="AB151" s="109">
        <f t="shared" si="12"/>
        <v>2687080</v>
      </c>
      <c r="AC151" s="665">
        <v>40382</v>
      </c>
      <c r="AD151" s="119">
        <v>1804374.27</v>
      </c>
      <c r="AE151" s="1123" t="s">
        <v>137</v>
      </c>
      <c r="AF151" s="1084">
        <f>SUM(AD151:AD158)</f>
        <v>6717698.9999999991</v>
      </c>
      <c r="AG151" s="1084"/>
      <c r="AH151" s="111">
        <f t="shared" si="11"/>
        <v>882705.73</v>
      </c>
      <c r="AI151" s="1084">
        <f>O151-AD158</f>
        <v>4371167.63</v>
      </c>
      <c r="AJ151" s="1119">
        <f>SUM(Z151:Z158)-SUM(AD151:AD158)</f>
        <v>0.18000000063329935</v>
      </c>
      <c r="AK151" s="1119">
        <f>P151-V151-V155</f>
        <v>9</v>
      </c>
      <c r="AL151" s="1119">
        <f>SUM(V151:V158)-SUM(Z151:Z158)</f>
        <v>-9.1799999997019768</v>
      </c>
      <c r="AM151" s="1119">
        <f>AK151+AL151</f>
        <v>-0.17999999970197678</v>
      </c>
      <c r="AN151" s="1203"/>
      <c r="AO151" s="1204"/>
    </row>
    <row r="152" spans="1:43" ht="15" customHeight="1">
      <c r="A152" s="1214"/>
      <c r="B152" s="1171"/>
      <c r="C152" s="1076"/>
      <c r="D152" s="1076"/>
      <c r="E152" s="1252"/>
      <c r="F152" s="1252"/>
      <c r="G152" s="1076"/>
      <c r="H152" s="1076"/>
      <c r="I152" s="1076"/>
      <c r="J152" s="1076"/>
      <c r="K152" s="1076"/>
      <c r="L152" s="1076"/>
      <c r="M152" s="1251"/>
      <c r="N152" s="1123"/>
      <c r="O152" s="1119"/>
      <c r="P152" s="1119"/>
      <c r="Q152" s="1119"/>
      <c r="R152" s="1171"/>
      <c r="S152" s="1196"/>
      <c r="T152" s="1119"/>
      <c r="U152" s="1119"/>
      <c r="V152" s="1119"/>
      <c r="W152" s="1119"/>
      <c r="X152" s="1076"/>
      <c r="Y152" s="650"/>
      <c r="Z152" s="666"/>
      <c r="AA152" s="666"/>
      <c r="AB152" s="666"/>
      <c r="AC152" s="665">
        <v>40548</v>
      </c>
      <c r="AD152" s="672">
        <v>1894593</v>
      </c>
      <c r="AE152" s="1123"/>
      <c r="AF152" s="1084"/>
      <c r="AG152" s="1084"/>
      <c r="AH152" s="648"/>
      <c r="AI152" s="1084"/>
      <c r="AJ152" s="1119"/>
      <c r="AK152" s="1119"/>
      <c r="AL152" s="1119"/>
      <c r="AM152" s="1119"/>
      <c r="AN152" s="1203"/>
      <c r="AO152" s="1204"/>
    </row>
    <row r="153" spans="1:43" ht="15" customHeight="1">
      <c r="A153" s="1214"/>
      <c r="B153" s="1171"/>
      <c r="C153" s="1076"/>
      <c r="D153" s="1076"/>
      <c r="E153" s="1252"/>
      <c r="F153" s="1252"/>
      <c r="G153" s="1076"/>
      <c r="H153" s="1076"/>
      <c r="I153" s="1076"/>
      <c r="J153" s="1076"/>
      <c r="K153" s="1076"/>
      <c r="L153" s="1076"/>
      <c r="M153" s="1251"/>
      <c r="N153" s="1123"/>
      <c r="O153" s="1119"/>
      <c r="P153" s="1119"/>
      <c r="Q153" s="1119"/>
      <c r="R153" s="1171"/>
      <c r="S153" s="1196"/>
      <c r="T153" s="1119"/>
      <c r="U153" s="1119"/>
      <c r="V153" s="1119"/>
      <c r="W153" s="1119"/>
      <c r="X153" s="1076"/>
      <c r="Y153" s="650"/>
      <c r="Z153" s="666"/>
      <c r="AA153" s="666"/>
      <c r="AB153" s="666"/>
      <c r="AC153" s="665">
        <v>40869</v>
      </c>
      <c r="AD153" s="672">
        <v>547080</v>
      </c>
      <c r="AE153" s="1123"/>
      <c r="AF153" s="1084"/>
      <c r="AG153" s="1084"/>
      <c r="AH153" s="648"/>
      <c r="AI153" s="1084"/>
      <c r="AJ153" s="1119"/>
      <c r="AK153" s="1119"/>
      <c r="AL153" s="1119"/>
      <c r="AM153" s="1119"/>
      <c r="AN153" s="1203"/>
      <c r="AO153" s="1204"/>
    </row>
    <row r="154" spans="1:43" ht="15" customHeight="1">
      <c r="A154" s="1214"/>
      <c r="B154" s="1171"/>
      <c r="C154" s="1076"/>
      <c r="D154" s="1076"/>
      <c r="E154" s="1252"/>
      <c r="F154" s="1252"/>
      <c r="G154" s="1076"/>
      <c r="H154" s="1076"/>
      <c r="I154" s="1076"/>
      <c r="J154" s="1076"/>
      <c r="K154" s="1076"/>
      <c r="L154" s="1076"/>
      <c r="M154" s="1251"/>
      <c r="N154" s="1123"/>
      <c r="O154" s="1119"/>
      <c r="P154" s="1119"/>
      <c r="Q154" s="1119"/>
      <c r="R154" s="1171"/>
      <c r="S154" s="1196"/>
      <c r="T154" s="1119"/>
      <c r="U154" s="1119"/>
      <c r="V154" s="1119"/>
      <c r="W154" s="1119"/>
      <c r="X154" s="1076"/>
      <c r="Y154" s="108" t="s">
        <v>676</v>
      </c>
      <c r="Z154" s="109">
        <f>11174029*42%</f>
        <v>4693092.18</v>
      </c>
      <c r="AA154" s="109">
        <v>-1871658.9</v>
      </c>
      <c r="AB154" s="109">
        <f t="shared" si="12"/>
        <v>2821433.28</v>
      </c>
      <c r="AC154" s="665">
        <v>43005</v>
      </c>
      <c r="AD154" s="119">
        <v>264887.63</v>
      </c>
      <c r="AE154" s="1123"/>
      <c r="AF154" s="1084"/>
      <c r="AG154" s="1084"/>
      <c r="AH154" s="111">
        <f t="shared" si="11"/>
        <v>2556545.65</v>
      </c>
      <c r="AI154" s="1084"/>
      <c r="AJ154" s="1119"/>
      <c r="AK154" s="1119"/>
      <c r="AL154" s="1119"/>
      <c r="AM154" s="1119"/>
      <c r="AN154" s="1203"/>
      <c r="AO154" s="1204"/>
    </row>
    <row r="155" spans="1:43" ht="15" customHeight="1">
      <c r="A155" s="1214"/>
      <c r="B155" s="1171"/>
      <c r="C155" s="1076"/>
      <c r="D155" s="1076"/>
      <c r="E155" s="1252"/>
      <c r="F155" s="1252"/>
      <c r="G155" s="1076"/>
      <c r="H155" s="1076"/>
      <c r="I155" s="1076"/>
      <c r="J155" s="1076"/>
      <c r="K155" s="1076"/>
      <c r="L155" s="1076"/>
      <c r="M155" s="1251"/>
      <c r="N155" s="1123" t="s">
        <v>7</v>
      </c>
      <c r="O155" s="1119">
        <v>2206764</v>
      </c>
      <c r="P155" s="1119"/>
      <c r="Q155" s="1119"/>
      <c r="R155" s="1171"/>
      <c r="S155" s="1196"/>
      <c r="T155" s="1119">
        <v>2206764</v>
      </c>
      <c r="U155" s="1119">
        <f>O155-T155</f>
        <v>0</v>
      </c>
      <c r="V155" s="1119">
        <v>2206755</v>
      </c>
      <c r="W155" s="1119"/>
      <c r="X155" s="1076"/>
      <c r="Y155" s="108" t="s">
        <v>677</v>
      </c>
      <c r="Z155" s="109">
        <v>1343540</v>
      </c>
      <c r="AA155" s="109">
        <v>-539010</v>
      </c>
      <c r="AB155" s="109">
        <f t="shared" si="12"/>
        <v>804530</v>
      </c>
      <c r="AC155" s="665">
        <v>40382</v>
      </c>
      <c r="AD155" s="119">
        <v>882705.73</v>
      </c>
      <c r="AE155" s="1123" t="s">
        <v>7</v>
      </c>
      <c r="AF155" s="1084"/>
      <c r="AG155" s="1084"/>
      <c r="AH155" s="111">
        <f t="shared" si="11"/>
        <v>-78175.729999999981</v>
      </c>
      <c r="AI155" s="1084">
        <f>O155-AD151-AD154-AD155</f>
        <v>-745203.63</v>
      </c>
      <c r="AJ155" s="1119"/>
      <c r="AK155" s="1119"/>
      <c r="AL155" s="1119"/>
      <c r="AM155" s="1119"/>
      <c r="AN155" s="1203"/>
      <c r="AO155" s="1204"/>
    </row>
    <row r="156" spans="1:43" ht="15" customHeight="1">
      <c r="A156" s="1214"/>
      <c r="B156" s="1171"/>
      <c r="C156" s="1076"/>
      <c r="D156" s="1076"/>
      <c r="E156" s="1252"/>
      <c r="F156" s="1252"/>
      <c r="G156" s="1076"/>
      <c r="H156" s="1076"/>
      <c r="I156" s="1076"/>
      <c r="J156" s="1076"/>
      <c r="K156" s="1076"/>
      <c r="L156" s="1076"/>
      <c r="M156" s="1251"/>
      <c r="N156" s="1123"/>
      <c r="O156" s="1119"/>
      <c r="P156" s="1119"/>
      <c r="Q156" s="1119"/>
      <c r="R156" s="1171"/>
      <c r="S156" s="1196"/>
      <c r="T156" s="1119"/>
      <c r="U156" s="1119"/>
      <c r="V156" s="1119"/>
      <c r="W156" s="1119"/>
      <c r="X156" s="1076"/>
      <c r="Y156" s="650"/>
      <c r="Z156" s="666"/>
      <c r="AA156" s="666"/>
      <c r="AB156" s="666"/>
      <c r="AC156" s="665">
        <v>40548</v>
      </c>
      <c r="AD156" s="672">
        <v>926841</v>
      </c>
      <c r="AE156" s="1123"/>
      <c r="AF156" s="1084"/>
      <c r="AG156" s="1084"/>
      <c r="AH156" s="648"/>
      <c r="AI156" s="1084"/>
      <c r="AJ156" s="1119"/>
      <c r="AK156" s="1119"/>
      <c r="AL156" s="1119"/>
      <c r="AM156" s="1119"/>
      <c r="AN156" s="1203"/>
      <c r="AO156" s="1204"/>
    </row>
    <row r="157" spans="1:43" ht="15" customHeight="1">
      <c r="A157" s="1214"/>
      <c r="B157" s="1171"/>
      <c r="C157" s="1076"/>
      <c r="D157" s="1076"/>
      <c r="E157" s="1252"/>
      <c r="F157" s="1252"/>
      <c r="G157" s="1076"/>
      <c r="H157" s="1076"/>
      <c r="I157" s="1076"/>
      <c r="J157" s="1076"/>
      <c r="K157" s="1076"/>
      <c r="L157" s="1076"/>
      <c r="M157" s="1251"/>
      <c r="N157" s="1123"/>
      <c r="O157" s="1119"/>
      <c r="P157" s="1119"/>
      <c r="Q157" s="1119"/>
      <c r="R157" s="1171"/>
      <c r="S157" s="1196"/>
      <c r="T157" s="1119"/>
      <c r="U157" s="1119"/>
      <c r="V157" s="1119"/>
      <c r="W157" s="1119"/>
      <c r="X157" s="1076"/>
      <c r="Y157" s="650"/>
      <c r="Z157" s="666"/>
      <c r="AA157" s="666"/>
      <c r="AB157" s="666"/>
      <c r="AC157" s="665">
        <v>40869</v>
      </c>
      <c r="AD157" s="672">
        <v>257450</v>
      </c>
      <c r="AE157" s="1123"/>
      <c r="AF157" s="1084"/>
      <c r="AG157" s="1084"/>
      <c r="AH157" s="648"/>
      <c r="AI157" s="1084"/>
      <c r="AJ157" s="1119"/>
      <c r="AK157" s="1119"/>
      <c r="AL157" s="1119"/>
      <c r="AM157" s="1119"/>
      <c r="AN157" s="1203"/>
      <c r="AO157" s="1204"/>
    </row>
    <row r="158" spans="1:43" ht="15" customHeight="1">
      <c r="A158" s="1214"/>
      <c r="B158" s="1171"/>
      <c r="C158" s="1076"/>
      <c r="D158" s="1076"/>
      <c r="E158" s="1252"/>
      <c r="F158" s="1252"/>
      <c r="G158" s="1076"/>
      <c r="H158" s="1076"/>
      <c r="I158" s="1076"/>
      <c r="J158" s="1076"/>
      <c r="K158" s="1076"/>
      <c r="L158" s="1076"/>
      <c r="M158" s="1251"/>
      <c r="N158" s="1123"/>
      <c r="O158" s="1119"/>
      <c r="P158" s="1119"/>
      <c r="Q158" s="1119"/>
      <c r="R158" s="1171"/>
      <c r="S158" s="1196"/>
      <c r="T158" s="1119"/>
      <c r="U158" s="1119"/>
      <c r="V158" s="1119"/>
      <c r="W158" s="1119"/>
      <c r="X158" s="1076"/>
      <c r="Y158" s="108" t="s">
        <v>693</v>
      </c>
      <c r="Z158" s="109">
        <v>681067</v>
      </c>
      <c r="AA158" s="109">
        <v>-276411</v>
      </c>
      <c r="AB158" s="109">
        <f t="shared" si="12"/>
        <v>404656</v>
      </c>
      <c r="AC158" s="665">
        <v>43005</v>
      </c>
      <c r="AD158" s="119">
        <v>139767.37</v>
      </c>
      <c r="AE158" s="1123"/>
      <c r="AF158" s="1084"/>
      <c r="AG158" s="1084"/>
      <c r="AH158" s="111">
        <f t="shared" si="11"/>
        <v>264888.63</v>
      </c>
      <c r="AI158" s="1084"/>
      <c r="AJ158" s="1119"/>
      <c r="AK158" s="1119"/>
      <c r="AL158" s="1119"/>
      <c r="AM158" s="1119"/>
      <c r="AN158" s="1203"/>
      <c r="AO158" s="1204"/>
    </row>
    <row r="159" spans="1:43" ht="15" customHeight="1">
      <c r="A159" s="1214"/>
      <c r="B159" s="1171"/>
      <c r="C159" s="1076"/>
      <c r="D159" s="1076"/>
      <c r="E159" s="1252"/>
      <c r="F159" s="1252"/>
      <c r="G159" s="1076"/>
      <c r="H159" s="1076"/>
      <c r="I159" s="1076"/>
      <c r="J159" s="113" t="s">
        <v>171</v>
      </c>
      <c r="K159" s="1076"/>
      <c r="L159" s="1076"/>
      <c r="M159" s="122">
        <v>161</v>
      </c>
      <c r="N159" s="108" t="s">
        <v>7</v>
      </c>
      <c r="O159" s="109">
        <v>4622600</v>
      </c>
      <c r="P159" s="109">
        <f>O159</f>
        <v>4622600</v>
      </c>
      <c r="Q159" s="1119"/>
      <c r="R159" s="97"/>
      <c r="S159" s="110">
        <v>4622600</v>
      </c>
      <c r="T159" s="109">
        <v>4622600</v>
      </c>
      <c r="U159" s="109">
        <f>O159-T159</f>
        <v>0</v>
      </c>
      <c r="V159" s="109">
        <v>4622600</v>
      </c>
      <c r="W159" s="1119"/>
      <c r="X159" s="1076"/>
      <c r="Y159" s="108" t="s">
        <v>693</v>
      </c>
      <c r="Z159" s="109">
        <v>4622600</v>
      </c>
      <c r="AA159" s="109">
        <v>0</v>
      </c>
      <c r="AB159" s="109">
        <f t="shared" si="12"/>
        <v>4622600</v>
      </c>
      <c r="AC159" s="97">
        <v>43005</v>
      </c>
      <c r="AD159" s="119">
        <f>+AB159</f>
        <v>4622600</v>
      </c>
      <c r="AE159" s="119" t="s">
        <v>7</v>
      </c>
      <c r="AF159" s="111">
        <f>AD159</f>
        <v>4622600</v>
      </c>
      <c r="AG159" s="1084"/>
      <c r="AH159" s="111">
        <f t="shared" si="11"/>
        <v>0</v>
      </c>
      <c r="AI159" s="111">
        <f>P159-AD159</f>
        <v>0</v>
      </c>
      <c r="AJ159" s="109">
        <f>Z159-AD159</f>
        <v>0</v>
      </c>
      <c r="AK159" s="109">
        <f>P159-V159</f>
        <v>0</v>
      </c>
      <c r="AL159" s="109">
        <f>V159-Z159</f>
        <v>0</v>
      </c>
      <c r="AM159" s="109">
        <f>AK159+AL159</f>
        <v>0</v>
      </c>
      <c r="AN159" s="1203"/>
      <c r="AO159" s="1204"/>
    </row>
    <row r="160" spans="1:43" s="4" customFormat="1" ht="15" customHeight="1">
      <c r="A160" s="1214" t="s">
        <v>296</v>
      </c>
      <c r="B160" s="1171">
        <v>40298</v>
      </c>
      <c r="C160" s="1076" t="s">
        <v>31</v>
      </c>
      <c r="D160" s="1076" t="s">
        <v>297</v>
      </c>
      <c r="E160" s="1252">
        <v>25287865</v>
      </c>
      <c r="F160" s="1252"/>
      <c r="G160" s="1076" t="s">
        <v>2820</v>
      </c>
      <c r="H160" s="1076" t="s">
        <v>70</v>
      </c>
      <c r="I160" s="1076" t="s">
        <v>177</v>
      </c>
      <c r="J160" s="1076" t="s">
        <v>66</v>
      </c>
      <c r="K160" s="1319" t="s">
        <v>50</v>
      </c>
      <c r="L160" s="1076" t="s">
        <v>300</v>
      </c>
      <c r="M160" s="1318">
        <v>49</v>
      </c>
      <c r="N160" s="1076" t="s">
        <v>7</v>
      </c>
      <c r="O160" s="1119">
        <v>4487734</v>
      </c>
      <c r="P160" s="1119">
        <v>13661291</v>
      </c>
      <c r="Q160" s="1119">
        <f>P160+P164</f>
        <v>20082098</v>
      </c>
      <c r="R160" s="1171">
        <v>40353</v>
      </c>
      <c r="S160" s="110"/>
      <c r="T160" s="109"/>
      <c r="U160" s="109"/>
      <c r="V160" s="1119">
        <v>4487734</v>
      </c>
      <c r="W160" s="1119">
        <f>V160+V162+V164</f>
        <v>20082098</v>
      </c>
      <c r="X160" s="1076" t="s">
        <v>282</v>
      </c>
      <c r="Y160" s="1123" t="s">
        <v>346</v>
      </c>
      <c r="Z160" s="1119">
        <v>0</v>
      </c>
      <c r="AA160" s="1119">
        <v>5464516</v>
      </c>
      <c r="AB160" s="1119">
        <v>5464516</v>
      </c>
      <c r="AC160" s="1171">
        <v>40389</v>
      </c>
      <c r="AD160" s="56">
        <v>1795094</v>
      </c>
      <c r="AE160" s="1076" t="s">
        <v>7</v>
      </c>
      <c r="AF160" s="1315">
        <f>SUM(AD160:AD163)</f>
        <v>12841615</v>
      </c>
      <c r="AG160" s="1315">
        <f>AF160+AF164</f>
        <v>14767857</v>
      </c>
      <c r="AH160" s="1315">
        <v>0</v>
      </c>
      <c r="AI160" s="1084">
        <v>0</v>
      </c>
      <c r="AJ160" s="1119">
        <f>SUM(Z160:Z164)-SUM(AD160:AD164)</f>
        <v>-546453</v>
      </c>
      <c r="AK160" s="1119">
        <f>O160-V160</f>
        <v>0</v>
      </c>
      <c r="AL160" s="1119">
        <f>V160-AD160-AD162</f>
        <v>269263.35999999987</v>
      </c>
      <c r="AM160" s="1119">
        <f>AK160+AL160</f>
        <v>269263.35999999987</v>
      </c>
      <c r="AN160" s="1203" t="s">
        <v>353</v>
      </c>
      <c r="AO160" s="1204" t="s">
        <v>335</v>
      </c>
      <c r="AQ160" s="934"/>
    </row>
    <row r="161" spans="1:43" s="4" customFormat="1" ht="15" customHeight="1">
      <c r="A161" s="1214"/>
      <c r="B161" s="1171"/>
      <c r="C161" s="1076"/>
      <c r="D161" s="1076"/>
      <c r="E161" s="1252"/>
      <c r="F161" s="1252"/>
      <c r="G161" s="1076"/>
      <c r="H161" s="1076"/>
      <c r="I161" s="1076"/>
      <c r="J161" s="1076"/>
      <c r="K161" s="1319"/>
      <c r="L161" s="1076"/>
      <c r="M161" s="1318"/>
      <c r="N161" s="1076"/>
      <c r="O161" s="1119"/>
      <c r="P161" s="1119"/>
      <c r="Q161" s="1119"/>
      <c r="R161" s="1171"/>
      <c r="S161" s="110"/>
      <c r="T161" s="109"/>
      <c r="U161" s="109"/>
      <c r="V161" s="1119"/>
      <c r="W161" s="1119"/>
      <c r="X161" s="1076"/>
      <c r="Y161" s="1123"/>
      <c r="Z161" s="1119"/>
      <c r="AA161" s="1119"/>
      <c r="AB161" s="1119"/>
      <c r="AC161" s="1171"/>
      <c r="AD161" s="56">
        <v>3669423</v>
      </c>
      <c r="AE161" s="1076"/>
      <c r="AF161" s="1315"/>
      <c r="AG161" s="1315"/>
      <c r="AH161" s="1315"/>
      <c r="AI161" s="1084"/>
      <c r="AJ161" s="1119"/>
      <c r="AK161" s="1119"/>
      <c r="AL161" s="1119"/>
      <c r="AM161" s="1119"/>
      <c r="AN161" s="1203"/>
      <c r="AO161" s="1204"/>
      <c r="AQ161" s="934"/>
    </row>
    <row r="162" spans="1:43" s="4" customFormat="1" ht="15" customHeight="1">
      <c r="A162" s="1214"/>
      <c r="B162" s="1171"/>
      <c r="C162" s="1076"/>
      <c r="D162" s="1076"/>
      <c r="E162" s="1252"/>
      <c r="F162" s="1252"/>
      <c r="G162" s="1076"/>
      <c r="H162" s="1076"/>
      <c r="I162" s="1076"/>
      <c r="J162" s="1076"/>
      <c r="K162" s="1319"/>
      <c r="L162" s="1076"/>
      <c r="M162" s="1318"/>
      <c r="N162" s="1076" t="s">
        <v>137</v>
      </c>
      <c r="O162" s="1119">
        <v>9173557</v>
      </c>
      <c r="P162" s="1119"/>
      <c r="Q162" s="1119"/>
      <c r="R162" s="1171"/>
      <c r="S162" s="110"/>
      <c r="T162" s="109"/>
      <c r="U162" s="109"/>
      <c r="V162" s="1119">
        <v>9173557</v>
      </c>
      <c r="W162" s="1119"/>
      <c r="X162" s="1076"/>
      <c r="Y162" s="1123" t="s">
        <v>299</v>
      </c>
      <c r="Z162" s="1119">
        <v>12295162</v>
      </c>
      <c r="AA162" s="1119">
        <v>-4918064</v>
      </c>
      <c r="AB162" s="1119">
        <f>Z162+AA162</f>
        <v>7377098</v>
      </c>
      <c r="AC162" s="1171">
        <v>41992</v>
      </c>
      <c r="AD162" s="56">
        <v>2423376.64</v>
      </c>
      <c r="AE162" s="1076" t="s">
        <v>137</v>
      </c>
      <c r="AF162" s="1315"/>
      <c r="AG162" s="1315"/>
      <c r="AH162" s="1315"/>
      <c r="AI162" s="1084">
        <v>0</v>
      </c>
      <c r="AJ162" s="1119"/>
      <c r="AK162" s="1119">
        <f>O162-V162</f>
        <v>0</v>
      </c>
      <c r="AL162" s="1119">
        <f>V162-AD161-AD163</f>
        <v>550412.63999999966</v>
      </c>
      <c r="AM162" s="1119">
        <f>AK162+AL162</f>
        <v>550412.63999999966</v>
      </c>
      <c r="AN162" s="1203"/>
      <c r="AO162" s="1204"/>
      <c r="AQ162" s="934"/>
    </row>
    <row r="163" spans="1:43" s="4" customFormat="1" ht="15" customHeight="1">
      <c r="A163" s="1214"/>
      <c r="B163" s="1171"/>
      <c r="C163" s="1076"/>
      <c r="D163" s="1076"/>
      <c r="E163" s="1252"/>
      <c r="F163" s="1252"/>
      <c r="G163" s="1076"/>
      <c r="H163" s="1076"/>
      <c r="I163" s="1076"/>
      <c r="J163" s="1076"/>
      <c r="K163" s="1319"/>
      <c r="L163" s="1076"/>
      <c r="M163" s="1318"/>
      <c r="N163" s="1076"/>
      <c r="O163" s="1119"/>
      <c r="P163" s="1119"/>
      <c r="Q163" s="1119"/>
      <c r="R163" s="1171"/>
      <c r="S163" s="110"/>
      <c r="T163" s="109"/>
      <c r="U163" s="109"/>
      <c r="V163" s="1119"/>
      <c r="W163" s="1119"/>
      <c r="X163" s="1076"/>
      <c r="Y163" s="1123"/>
      <c r="Z163" s="1119"/>
      <c r="AA163" s="1119"/>
      <c r="AB163" s="1119"/>
      <c r="AC163" s="1171"/>
      <c r="AD163" s="56">
        <v>4953721.3600000003</v>
      </c>
      <c r="AE163" s="1076"/>
      <c r="AF163" s="1315"/>
      <c r="AG163" s="1315"/>
      <c r="AH163" s="1315"/>
      <c r="AI163" s="1084"/>
      <c r="AJ163" s="1119"/>
      <c r="AK163" s="1119"/>
      <c r="AL163" s="1119"/>
      <c r="AM163" s="1119"/>
      <c r="AN163" s="1203"/>
      <c r="AO163" s="1204"/>
      <c r="AQ163" s="934"/>
    </row>
    <row r="164" spans="1:43" s="4" customFormat="1" ht="15" customHeight="1">
      <c r="A164" s="1214"/>
      <c r="B164" s="1171"/>
      <c r="C164" s="1076"/>
      <c r="D164" s="1076"/>
      <c r="E164" s="1252"/>
      <c r="F164" s="1252"/>
      <c r="G164" s="1076"/>
      <c r="H164" s="1076"/>
      <c r="I164" s="1076"/>
      <c r="J164" s="113" t="s">
        <v>67</v>
      </c>
      <c r="K164" s="1319"/>
      <c r="L164" s="1076"/>
      <c r="M164" s="123">
        <v>140</v>
      </c>
      <c r="N164" s="113" t="s">
        <v>7</v>
      </c>
      <c r="O164" s="109">
        <v>6420807</v>
      </c>
      <c r="P164" s="109">
        <v>6420807</v>
      </c>
      <c r="Q164" s="1119"/>
      <c r="R164" s="97">
        <v>40647</v>
      </c>
      <c r="S164" s="110"/>
      <c r="T164" s="109"/>
      <c r="U164" s="109"/>
      <c r="V164" s="109">
        <v>6420807</v>
      </c>
      <c r="W164" s="1119"/>
      <c r="X164" s="1076"/>
      <c r="Y164" s="108" t="s">
        <v>347</v>
      </c>
      <c r="Z164" s="109">
        <v>1926242</v>
      </c>
      <c r="AA164" s="109">
        <v>0</v>
      </c>
      <c r="AB164" s="109">
        <f>Z164+AA164</f>
        <v>1926242</v>
      </c>
      <c r="AC164" s="97">
        <v>41992</v>
      </c>
      <c r="AD164" s="56">
        <v>1926242</v>
      </c>
      <c r="AE164" s="927" t="s">
        <v>7</v>
      </c>
      <c r="AF164" s="127">
        <f>AD164</f>
        <v>1926242</v>
      </c>
      <c r="AG164" s="1315"/>
      <c r="AH164" s="127">
        <v>0</v>
      </c>
      <c r="AI164" s="111">
        <v>0</v>
      </c>
      <c r="AJ164" s="1119"/>
      <c r="AK164" s="109">
        <f>P164-V164</f>
        <v>0</v>
      </c>
      <c r="AL164" s="109">
        <f>V164-Z164</f>
        <v>4494565</v>
      </c>
      <c r="AM164" s="109">
        <f>AK164+AL164</f>
        <v>4494565</v>
      </c>
      <c r="AN164" s="1203"/>
      <c r="AO164" s="1204"/>
      <c r="AQ164" s="934"/>
    </row>
    <row r="165" spans="1:43" s="4" customFormat="1" ht="15" customHeight="1">
      <c r="A165" s="1075" t="s">
        <v>301</v>
      </c>
      <c r="B165" s="1171">
        <v>40298</v>
      </c>
      <c r="C165" s="1076" t="s">
        <v>47</v>
      </c>
      <c r="D165" s="1076" t="s">
        <v>302</v>
      </c>
      <c r="E165" s="1252">
        <v>10529171</v>
      </c>
      <c r="F165" s="1252"/>
      <c r="G165" s="1076" t="s">
        <v>2821</v>
      </c>
      <c r="H165" s="1076" t="s">
        <v>70</v>
      </c>
      <c r="I165" s="1076" t="s">
        <v>177</v>
      </c>
      <c r="J165" s="1076" t="s">
        <v>66</v>
      </c>
      <c r="K165" s="1076" t="s">
        <v>183</v>
      </c>
      <c r="L165" s="1076" t="s">
        <v>306</v>
      </c>
      <c r="M165" s="1318">
        <v>51</v>
      </c>
      <c r="N165" s="1076" t="s">
        <v>7</v>
      </c>
      <c r="O165" s="1119">
        <v>3945876</v>
      </c>
      <c r="P165" s="1119">
        <v>12011800</v>
      </c>
      <c r="Q165" s="1119">
        <f>P165+P173+P174</f>
        <v>16821848</v>
      </c>
      <c r="R165" s="1171">
        <v>40353</v>
      </c>
      <c r="S165" s="110"/>
      <c r="T165" s="109"/>
      <c r="U165" s="109"/>
      <c r="V165" s="1119">
        <v>3945876</v>
      </c>
      <c r="W165" s="1119">
        <f>V165+V169+V173+V174</f>
        <v>16821848</v>
      </c>
      <c r="X165" s="1076" t="s">
        <v>282</v>
      </c>
      <c r="Y165" s="1123" t="s">
        <v>344</v>
      </c>
      <c r="Z165" s="1119">
        <v>0</v>
      </c>
      <c r="AA165" s="1119">
        <v>4804720</v>
      </c>
      <c r="AB165" s="1119">
        <f>Z165+AA165</f>
        <v>4804720</v>
      </c>
      <c r="AC165" s="1171">
        <v>40382</v>
      </c>
      <c r="AD165" s="56">
        <v>3226370</v>
      </c>
      <c r="AE165" s="1076" t="s">
        <v>7</v>
      </c>
      <c r="AF165" s="1315">
        <f>SUM(AD165:AD172)</f>
        <v>12011800</v>
      </c>
      <c r="AG165" s="1315">
        <f>AF165+AF173+AF174</f>
        <v>16821848</v>
      </c>
      <c r="AH165" s="1315">
        <v>0</v>
      </c>
      <c r="AI165" s="1084">
        <f>O165-AD165-AD166-AD167-AD171-AD172</f>
        <v>-4479801.2</v>
      </c>
      <c r="AJ165" s="1119">
        <f>SUM(Z165:Z174)-SUM(AD165:AD174)</f>
        <v>0</v>
      </c>
      <c r="AK165" s="1119">
        <f>P165-SUM(V165:V172)</f>
        <v>0</v>
      </c>
      <c r="AL165" s="1119">
        <f>SUM(V165:V172)-SUM(Z165:Z172)</f>
        <v>0</v>
      </c>
      <c r="AM165" s="1119">
        <f>AK165+AL165</f>
        <v>0</v>
      </c>
      <c r="AN165" s="1203" t="s">
        <v>354</v>
      </c>
      <c r="AO165" s="1204" t="s">
        <v>320</v>
      </c>
      <c r="AQ165" s="934"/>
    </row>
    <row r="166" spans="1:43" s="4" customFormat="1" ht="15" customHeight="1">
      <c r="A166" s="1075"/>
      <c r="B166" s="1171"/>
      <c r="C166" s="1076"/>
      <c r="D166" s="1076"/>
      <c r="E166" s="1252"/>
      <c r="F166" s="1252"/>
      <c r="G166" s="1076"/>
      <c r="H166" s="1076"/>
      <c r="I166" s="1076"/>
      <c r="J166" s="1076"/>
      <c r="K166" s="1076"/>
      <c r="L166" s="1076"/>
      <c r="M166" s="1318"/>
      <c r="N166" s="1076"/>
      <c r="O166" s="1119"/>
      <c r="P166" s="1119"/>
      <c r="Q166" s="1119"/>
      <c r="R166" s="1171"/>
      <c r="S166" s="110"/>
      <c r="T166" s="109"/>
      <c r="U166" s="109"/>
      <c r="V166" s="1119"/>
      <c r="W166" s="1119"/>
      <c r="X166" s="1076"/>
      <c r="Y166" s="1123"/>
      <c r="Z166" s="1119"/>
      <c r="AA166" s="1119"/>
      <c r="AB166" s="1119"/>
      <c r="AC166" s="1171"/>
      <c r="AD166" s="56">
        <v>1578350</v>
      </c>
      <c r="AE166" s="1076"/>
      <c r="AF166" s="1315"/>
      <c r="AG166" s="1315"/>
      <c r="AH166" s="1315"/>
      <c r="AI166" s="1084"/>
      <c r="AJ166" s="1119"/>
      <c r="AK166" s="1119"/>
      <c r="AL166" s="1119"/>
      <c r="AM166" s="1119"/>
      <c r="AN166" s="1203"/>
      <c r="AO166" s="1204"/>
      <c r="AQ166" s="934"/>
    </row>
    <row r="167" spans="1:43" s="4" customFormat="1" ht="15" customHeight="1">
      <c r="A167" s="1075"/>
      <c r="B167" s="1171"/>
      <c r="C167" s="1076"/>
      <c r="D167" s="1076"/>
      <c r="E167" s="1252"/>
      <c r="F167" s="1252"/>
      <c r="G167" s="1076"/>
      <c r="H167" s="1076"/>
      <c r="I167" s="1076"/>
      <c r="J167" s="1076"/>
      <c r="K167" s="1076"/>
      <c r="L167" s="1076"/>
      <c r="M167" s="1318"/>
      <c r="N167" s="1076"/>
      <c r="O167" s="1119"/>
      <c r="P167" s="1119"/>
      <c r="Q167" s="1119"/>
      <c r="R167" s="1171"/>
      <c r="S167" s="110"/>
      <c r="T167" s="109"/>
      <c r="U167" s="109"/>
      <c r="V167" s="1119"/>
      <c r="W167" s="1119"/>
      <c r="X167" s="1076"/>
      <c r="Y167" s="1123" t="s">
        <v>304</v>
      </c>
      <c r="Z167" s="1119">
        <v>6005900</v>
      </c>
      <c r="AA167" s="1119">
        <v>-2402360</v>
      </c>
      <c r="AB167" s="1119">
        <f>Z167+AA167</f>
        <v>3603540</v>
      </c>
      <c r="AC167" s="1171">
        <v>40499</v>
      </c>
      <c r="AD167" s="56">
        <v>2419777.2000000002</v>
      </c>
      <c r="AE167" s="1076"/>
      <c r="AF167" s="1315"/>
      <c r="AG167" s="1315"/>
      <c r="AH167" s="1315"/>
      <c r="AI167" s="1084"/>
      <c r="AJ167" s="1119"/>
      <c r="AK167" s="1119"/>
      <c r="AL167" s="1119"/>
      <c r="AM167" s="1119"/>
      <c r="AN167" s="1203"/>
      <c r="AO167" s="1204"/>
      <c r="AQ167" s="934"/>
    </row>
    <row r="168" spans="1:43" s="4" customFormat="1" ht="15" customHeight="1">
      <c r="A168" s="1075"/>
      <c r="B168" s="1171"/>
      <c r="C168" s="1076"/>
      <c r="D168" s="1076"/>
      <c r="E168" s="1252"/>
      <c r="F168" s="1252"/>
      <c r="G168" s="1076"/>
      <c r="H168" s="1076"/>
      <c r="I168" s="1076"/>
      <c r="J168" s="1076"/>
      <c r="K168" s="1076"/>
      <c r="L168" s="1076"/>
      <c r="M168" s="1318"/>
      <c r="N168" s="1076"/>
      <c r="O168" s="1119"/>
      <c r="P168" s="1119"/>
      <c r="Q168" s="1119"/>
      <c r="R168" s="1171"/>
      <c r="S168" s="110"/>
      <c r="T168" s="109"/>
      <c r="U168" s="109"/>
      <c r="V168" s="1119"/>
      <c r="W168" s="1119"/>
      <c r="X168" s="1076"/>
      <c r="Y168" s="1123"/>
      <c r="Z168" s="1119"/>
      <c r="AA168" s="1119"/>
      <c r="AB168" s="1119"/>
      <c r="AC168" s="1171"/>
      <c r="AD168" s="56">
        <v>1183762.8</v>
      </c>
      <c r="AE168" s="1076"/>
      <c r="AF168" s="1315"/>
      <c r="AG168" s="1315"/>
      <c r="AH168" s="1315"/>
      <c r="AI168" s="1084"/>
      <c r="AJ168" s="1119"/>
      <c r="AK168" s="1119"/>
      <c r="AL168" s="1119"/>
      <c r="AM168" s="1119"/>
      <c r="AN168" s="1203"/>
      <c r="AO168" s="1204"/>
      <c r="AQ168" s="934"/>
    </row>
    <row r="169" spans="1:43" s="4" customFormat="1" ht="15" customHeight="1">
      <c r="A169" s="1075"/>
      <c r="B169" s="1171"/>
      <c r="C169" s="1076"/>
      <c r="D169" s="1076"/>
      <c r="E169" s="1252"/>
      <c r="F169" s="1252"/>
      <c r="G169" s="1076"/>
      <c r="H169" s="1076"/>
      <c r="I169" s="1076"/>
      <c r="J169" s="1076"/>
      <c r="K169" s="1076"/>
      <c r="L169" s="1076"/>
      <c r="M169" s="1318"/>
      <c r="N169" s="1076" t="s">
        <v>137</v>
      </c>
      <c r="O169" s="1119">
        <v>8065924</v>
      </c>
      <c r="P169" s="1119"/>
      <c r="Q169" s="1119"/>
      <c r="R169" s="1171"/>
      <c r="S169" s="110"/>
      <c r="T169" s="109"/>
      <c r="U169" s="109"/>
      <c r="V169" s="1119">
        <v>8065924</v>
      </c>
      <c r="W169" s="1119"/>
      <c r="X169" s="1076"/>
      <c r="Y169" s="1123" t="s">
        <v>305</v>
      </c>
      <c r="Z169" s="1119">
        <v>4003933</v>
      </c>
      <c r="AA169" s="1119">
        <v>-1601573</v>
      </c>
      <c r="AB169" s="1119">
        <f>Z169+AA169</f>
        <v>2402360</v>
      </c>
      <c r="AC169" s="1171">
        <v>40542</v>
      </c>
      <c r="AD169" s="56">
        <v>1613184</v>
      </c>
      <c r="AE169" s="1076" t="s">
        <v>137</v>
      </c>
      <c r="AF169" s="1315"/>
      <c r="AG169" s="1315"/>
      <c r="AH169" s="1315"/>
      <c r="AI169" s="1084">
        <f>O169-AD168-AD169-AD170</f>
        <v>4479801.2</v>
      </c>
      <c r="AJ169" s="1119"/>
      <c r="AK169" s="1119"/>
      <c r="AL169" s="1119"/>
      <c r="AM169" s="1119"/>
      <c r="AN169" s="1203"/>
      <c r="AO169" s="1204"/>
      <c r="AQ169" s="934"/>
    </row>
    <row r="170" spans="1:43" s="4" customFormat="1" ht="15" customHeight="1">
      <c r="A170" s="1075"/>
      <c r="B170" s="1171"/>
      <c r="C170" s="1076"/>
      <c r="D170" s="1076"/>
      <c r="E170" s="1252"/>
      <c r="F170" s="1252"/>
      <c r="G170" s="1076"/>
      <c r="H170" s="1076"/>
      <c r="I170" s="1076"/>
      <c r="J170" s="1076"/>
      <c r="K170" s="1076"/>
      <c r="L170" s="1076"/>
      <c r="M170" s="1318"/>
      <c r="N170" s="1076"/>
      <c r="O170" s="1119"/>
      <c r="P170" s="1119"/>
      <c r="Q170" s="1119"/>
      <c r="R170" s="1171"/>
      <c r="S170" s="110"/>
      <c r="T170" s="109"/>
      <c r="U170" s="109"/>
      <c r="V170" s="1119"/>
      <c r="W170" s="1119"/>
      <c r="X170" s="1076"/>
      <c r="Y170" s="1123"/>
      <c r="Z170" s="1119"/>
      <c r="AA170" s="1119"/>
      <c r="AB170" s="1119"/>
      <c r="AC170" s="1171"/>
      <c r="AD170" s="56">
        <v>789176</v>
      </c>
      <c r="AE170" s="1076"/>
      <c r="AF170" s="1315"/>
      <c r="AG170" s="1315"/>
      <c r="AH170" s="1315"/>
      <c r="AI170" s="1084"/>
      <c r="AJ170" s="1119"/>
      <c r="AK170" s="1119"/>
      <c r="AL170" s="1119"/>
      <c r="AM170" s="1119"/>
      <c r="AN170" s="1203"/>
      <c r="AO170" s="1204"/>
      <c r="AQ170" s="934"/>
    </row>
    <row r="171" spans="1:43" s="4" customFormat="1" ht="15" customHeight="1">
      <c r="A171" s="1075"/>
      <c r="B171" s="1171"/>
      <c r="C171" s="1076"/>
      <c r="D171" s="1076"/>
      <c r="E171" s="1252"/>
      <c r="F171" s="1252"/>
      <c r="G171" s="1076"/>
      <c r="H171" s="1076"/>
      <c r="I171" s="1076"/>
      <c r="J171" s="1076"/>
      <c r="K171" s="1076"/>
      <c r="L171" s="1076"/>
      <c r="M171" s="1318"/>
      <c r="N171" s="1076"/>
      <c r="O171" s="1119"/>
      <c r="P171" s="1119"/>
      <c r="Q171" s="1119"/>
      <c r="R171" s="1171"/>
      <c r="S171" s="110"/>
      <c r="T171" s="109"/>
      <c r="U171" s="109"/>
      <c r="V171" s="1119"/>
      <c r="W171" s="1119"/>
      <c r="X171" s="1076"/>
      <c r="Y171" s="1123" t="s">
        <v>308</v>
      </c>
      <c r="Z171" s="1119">
        <v>2001967</v>
      </c>
      <c r="AA171" s="1119">
        <v>-800786.8</v>
      </c>
      <c r="AB171" s="1119">
        <f>Z171+AA171</f>
        <v>1201180.2</v>
      </c>
      <c r="AC171" s="1171">
        <v>40912</v>
      </c>
      <c r="AD171" s="56">
        <v>806591.87</v>
      </c>
      <c r="AE171" s="1076"/>
      <c r="AF171" s="1315"/>
      <c r="AG171" s="1315"/>
      <c r="AH171" s="1315"/>
      <c r="AI171" s="1084"/>
      <c r="AJ171" s="1119"/>
      <c r="AK171" s="1119"/>
      <c r="AL171" s="1119"/>
      <c r="AM171" s="1119"/>
      <c r="AN171" s="1203"/>
      <c r="AO171" s="1204"/>
      <c r="AQ171" s="934"/>
    </row>
    <row r="172" spans="1:43" s="4" customFormat="1" ht="15" customHeight="1">
      <c r="A172" s="1075"/>
      <c r="B172" s="1171"/>
      <c r="C172" s="1076"/>
      <c r="D172" s="1076"/>
      <c r="E172" s="1252"/>
      <c r="F172" s="1252"/>
      <c r="G172" s="1076"/>
      <c r="H172" s="1076"/>
      <c r="I172" s="1076"/>
      <c r="J172" s="1076"/>
      <c r="K172" s="1076"/>
      <c r="L172" s="1076"/>
      <c r="M172" s="1318"/>
      <c r="N172" s="1076"/>
      <c r="O172" s="1119"/>
      <c r="P172" s="1119"/>
      <c r="Q172" s="1119"/>
      <c r="R172" s="1171"/>
      <c r="S172" s="110"/>
      <c r="T172" s="109"/>
      <c r="U172" s="109"/>
      <c r="V172" s="1119"/>
      <c r="W172" s="1119"/>
      <c r="X172" s="1076"/>
      <c r="Y172" s="1123"/>
      <c r="Z172" s="1119"/>
      <c r="AA172" s="1119"/>
      <c r="AB172" s="1119"/>
      <c r="AC172" s="1171"/>
      <c r="AD172" s="56">
        <v>394588.13</v>
      </c>
      <c r="AE172" s="1076"/>
      <c r="AF172" s="1315"/>
      <c r="AG172" s="1315"/>
      <c r="AH172" s="1315"/>
      <c r="AI172" s="1084"/>
      <c r="AJ172" s="1119"/>
      <c r="AK172" s="1119"/>
      <c r="AL172" s="1119"/>
      <c r="AM172" s="1119"/>
      <c r="AN172" s="1203"/>
      <c r="AO172" s="1204"/>
      <c r="AQ172" s="934"/>
    </row>
    <row r="173" spans="1:43" s="4" customFormat="1" ht="15" customHeight="1">
      <c r="A173" s="1075"/>
      <c r="B173" s="1171"/>
      <c r="C173" s="1076"/>
      <c r="D173" s="1076"/>
      <c r="E173" s="1252"/>
      <c r="F173" s="1252"/>
      <c r="G173" s="1076"/>
      <c r="H173" s="1076"/>
      <c r="I173" s="1076"/>
      <c r="J173" s="113" t="s">
        <v>67</v>
      </c>
      <c r="K173" s="1076"/>
      <c r="L173" s="1076"/>
      <c r="M173" s="123">
        <v>207</v>
      </c>
      <c r="N173" s="113" t="s">
        <v>7</v>
      </c>
      <c r="O173" s="109">
        <v>3170048</v>
      </c>
      <c r="P173" s="109">
        <v>3170048</v>
      </c>
      <c r="Q173" s="1119"/>
      <c r="R173" s="97">
        <v>40779</v>
      </c>
      <c r="S173" s="110"/>
      <c r="T173" s="109"/>
      <c r="U173" s="109"/>
      <c r="V173" s="109">
        <v>3170048</v>
      </c>
      <c r="W173" s="1119"/>
      <c r="X173" s="1076"/>
      <c r="Y173" s="108" t="s">
        <v>343</v>
      </c>
      <c r="Z173" s="109">
        <v>3170048</v>
      </c>
      <c r="AA173" s="109">
        <v>0</v>
      </c>
      <c r="AB173" s="109">
        <v>3170048</v>
      </c>
      <c r="AC173" s="97">
        <v>40910</v>
      </c>
      <c r="AD173" s="56">
        <v>3170048</v>
      </c>
      <c r="AE173" s="927" t="s">
        <v>7</v>
      </c>
      <c r="AF173" s="127">
        <f>AD173</f>
        <v>3170048</v>
      </c>
      <c r="AG173" s="1315"/>
      <c r="AH173" s="127">
        <v>0</v>
      </c>
      <c r="AI173" s="111">
        <v>0</v>
      </c>
      <c r="AJ173" s="1119"/>
      <c r="AK173" s="109">
        <f>P173-V173</f>
        <v>0</v>
      </c>
      <c r="AL173" s="109">
        <f>V173-Z173</f>
        <v>0</v>
      </c>
      <c r="AM173" s="109">
        <f>AK173+AL173</f>
        <v>0</v>
      </c>
      <c r="AN173" s="1203"/>
      <c r="AO173" s="1204"/>
      <c r="AQ173" s="934"/>
    </row>
    <row r="174" spans="1:43" s="4" customFormat="1" ht="15" customHeight="1">
      <c r="A174" s="1075"/>
      <c r="B174" s="1171"/>
      <c r="C174" s="1076"/>
      <c r="D174" s="1076"/>
      <c r="E174" s="1252"/>
      <c r="F174" s="1252"/>
      <c r="G174" s="1076"/>
      <c r="H174" s="1076"/>
      <c r="I174" s="1076"/>
      <c r="J174" s="113" t="s">
        <v>171</v>
      </c>
      <c r="K174" s="1076"/>
      <c r="L174" s="1076"/>
      <c r="M174" s="123">
        <v>208</v>
      </c>
      <c r="N174" s="113" t="s">
        <v>7</v>
      </c>
      <c r="O174" s="109">
        <v>1640000</v>
      </c>
      <c r="P174" s="109">
        <v>1640000</v>
      </c>
      <c r="Q174" s="1119"/>
      <c r="R174" s="97">
        <v>40779</v>
      </c>
      <c r="S174" s="110"/>
      <c r="T174" s="109"/>
      <c r="U174" s="109"/>
      <c r="V174" s="109">
        <v>1640000</v>
      </c>
      <c r="W174" s="1119"/>
      <c r="X174" s="1076"/>
      <c r="Y174" s="108" t="s">
        <v>307</v>
      </c>
      <c r="Z174" s="109">
        <v>1640000</v>
      </c>
      <c r="AA174" s="109">
        <v>0</v>
      </c>
      <c r="AB174" s="109">
        <f>Z174+AA174</f>
        <v>1640000</v>
      </c>
      <c r="AC174" s="97">
        <v>41704</v>
      </c>
      <c r="AD174" s="56">
        <v>1640000</v>
      </c>
      <c r="AE174" s="927" t="s">
        <v>7</v>
      </c>
      <c r="AF174" s="127">
        <f>AD174</f>
        <v>1640000</v>
      </c>
      <c r="AG174" s="1315"/>
      <c r="AH174" s="127">
        <v>0</v>
      </c>
      <c r="AI174" s="111">
        <v>0</v>
      </c>
      <c r="AJ174" s="1119"/>
      <c r="AK174" s="109">
        <f>P174-V174</f>
        <v>0</v>
      </c>
      <c r="AL174" s="109">
        <f>V174-Z174</f>
        <v>0</v>
      </c>
      <c r="AM174" s="109">
        <f>AK174+AL174</f>
        <v>0</v>
      </c>
      <c r="AN174" s="1203"/>
      <c r="AO174" s="1204"/>
      <c r="AQ174" s="934"/>
    </row>
    <row r="175" spans="1:43" s="4" customFormat="1" ht="15" customHeight="1">
      <c r="A175" s="1075" t="s">
        <v>355</v>
      </c>
      <c r="B175" s="1171">
        <v>40301</v>
      </c>
      <c r="C175" s="1076" t="s">
        <v>11</v>
      </c>
      <c r="D175" s="1076" t="s">
        <v>351</v>
      </c>
      <c r="E175" s="1252" t="s">
        <v>357</v>
      </c>
      <c r="F175" s="1252"/>
      <c r="G175" s="1076" t="s">
        <v>2822</v>
      </c>
      <c r="H175" s="1076" t="s">
        <v>70</v>
      </c>
      <c r="I175" s="1076" t="s">
        <v>177</v>
      </c>
      <c r="J175" s="1076" t="s">
        <v>66</v>
      </c>
      <c r="K175" s="1076" t="s">
        <v>48</v>
      </c>
      <c r="L175" s="1076" t="s">
        <v>369</v>
      </c>
      <c r="M175" s="1245">
        <v>33</v>
      </c>
      <c r="N175" s="1282" t="s">
        <v>7</v>
      </c>
      <c r="O175" s="1119">
        <v>2593723</v>
      </c>
      <c r="P175" s="1119">
        <f>O175+O179</f>
        <v>7895655</v>
      </c>
      <c r="Q175" s="1119">
        <f>P175+P183+P191+P199+P200</f>
        <v>27593726</v>
      </c>
      <c r="R175" s="1171">
        <v>40353</v>
      </c>
      <c r="S175" s="110"/>
      <c r="T175" s="109"/>
      <c r="U175" s="109"/>
      <c r="V175" s="1119">
        <f>O175</f>
        <v>2593723</v>
      </c>
      <c r="W175" s="1119">
        <f>SUM(V175:V200)+2</f>
        <v>27593728</v>
      </c>
      <c r="X175" s="1076" t="s">
        <v>273</v>
      </c>
      <c r="Y175" s="1123" t="s">
        <v>361</v>
      </c>
      <c r="Z175" s="1119">
        <v>0</v>
      </c>
      <c r="AA175" s="1119">
        <v>3158262</v>
      </c>
      <c r="AB175" s="1119">
        <f>Z175+AA175</f>
        <v>3158262</v>
      </c>
      <c r="AC175" s="1171">
        <v>40452</v>
      </c>
      <c r="AD175" s="119">
        <v>1037489</v>
      </c>
      <c r="AE175" s="1282" t="s">
        <v>7</v>
      </c>
      <c r="AF175" s="1084">
        <f>SUM(AD175:AD182)</f>
        <v>6688813.2700000005</v>
      </c>
      <c r="AG175" s="1084">
        <f>AF175+AF183+AF191+AF199+AF200</f>
        <v>21891523.810000002</v>
      </c>
      <c r="AH175" s="1084"/>
      <c r="AI175" s="1084"/>
      <c r="AJ175" s="1119">
        <f>SUM(Z175:Z182)-SUM(AD175:AD182)</f>
        <v>-804561.16000000108</v>
      </c>
      <c r="AK175" s="1119">
        <f>P175-V175-V179</f>
        <v>0</v>
      </c>
      <c r="AL175" s="1119">
        <f>SUM(V175:V182)-SUM(Z175:Z182)+AJ175</f>
        <v>1206841.7299999995</v>
      </c>
      <c r="AM175" s="1119"/>
      <c r="AN175" s="1203" t="s">
        <v>370</v>
      </c>
      <c r="AO175" s="1204" t="s">
        <v>787</v>
      </c>
      <c r="AP175" s="1364" t="s">
        <v>2495</v>
      </c>
      <c r="AQ175" s="934"/>
    </row>
    <row r="176" spans="1:43" s="4" customFormat="1" ht="15" customHeight="1">
      <c r="A176" s="1075"/>
      <c r="B176" s="1171"/>
      <c r="C176" s="1076"/>
      <c r="D176" s="1076"/>
      <c r="E176" s="1252"/>
      <c r="F176" s="1252"/>
      <c r="G176" s="1076"/>
      <c r="H176" s="1076"/>
      <c r="I176" s="1076"/>
      <c r="J176" s="1076"/>
      <c r="K176" s="1076"/>
      <c r="L176" s="1076"/>
      <c r="M176" s="1245"/>
      <c r="N176" s="1282"/>
      <c r="O176" s="1119"/>
      <c r="P176" s="1119"/>
      <c r="Q176" s="1119"/>
      <c r="R176" s="1171"/>
      <c r="S176" s="110"/>
      <c r="T176" s="109"/>
      <c r="U176" s="109"/>
      <c r="V176" s="1119"/>
      <c r="W176" s="1119"/>
      <c r="X176" s="1076"/>
      <c r="Y176" s="1123"/>
      <c r="Z176" s="1119"/>
      <c r="AA176" s="1119"/>
      <c r="AB176" s="1119"/>
      <c r="AC176" s="1171"/>
      <c r="AD176" s="119">
        <v>2120773</v>
      </c>
      <c r="AE176" s="1282"/>
      <c r="AF176" s="1084"/>
      <c r="AG176" s="1084"/>
      <c r="AH176" s="1084"/>
      <c r="AI176" s="1084"/>
      <c r="AJ176" s="1119"/>
      <c r="AK176" s="1119"/>
      <c r="AL176" s="1119"/>
      <c r="AM176" s="1119"/>
      <c r="AN176" s="1203"/>
      <c r="AO176" s="1204"/>
      <c r="AP176" s="1364"/>
      <c r="AQ176" s="934"/>
    </row>
    <row r="177" spans="1:43" s="4" customFormat="1" ht="15" customHeight="1">
      <c r="A177" s="1075"/>
      <c r="B177" s="1171"/>
      <c r="C177" s="1076"/>
      <c r="D177" s="1076"/>
      <c r="E177" s="1252"/>
      <c r="F177" s="1252"/>
      <c r="G177" s="1076"/>
      <c r="H177" s="1076"/>
      <c r="I177" s="1076"/>
      <c r="J177" s="1076"/>
      <c r="K177" s="1076"/>
      <c r="L177" s="1076"/>
      <c r="M177" s="1245"/>
      <c r="N177" s="1282"/>
      <c r="O177" s="1119"/>
      <c r="P177" s="1119"/>
      <c r="Q177" s="1119"/>
      <c r="R177" s="1171"/>
      <c r="S177" s="110"/>
      <c r="T177" s="109"/>
      <c r="U177" s="109"/>
      <c r="V177" s="1119"/>
      <c r="W177" s="1119"/>
      <c r="X177" s="1076"/>
      <c r="Y177" s="1123" t="s">
        <v>362</v>
      </c>
      <c r="Z177" s="109">
        <v>888353.95</v>
      </c>
      <c r="AA177" s="109">
        <v>-355341.58</v>
      </c>
      <c r="AB177" s="109">
        <f t="shared" ref="AB177:AB183" si="13">Z177+AA177</f>
        <v>533012.36999999988</v>
      </c>
      <c r="AC177" s="1171">
        <v>42459</v>
      </c>
      <c r="AD177" s="119">
        <v>533012.37</v>
      </c>
      <c r="AE177" s="1282"/>
      <c r="AF177" s="1084"/>
      <c r="AG177" s="1084"/>
      <c r="AH177" s="1084"/>
      <c r="AI177" s="1084"/>
      <c r="AJ177" s="1119"/>
      <c r="AK177" s="1119"/>
      <c r="AL177" s="1119"/>
      <c r="AM177" s="1119"/>
      <c r="AN177" s="1203"/>
      <c r="AO177" s="1204"/>
      <c r="AP177" s="1364"/>
      <c r="AQ177" s="934"/>
    </row>
    <row r="178" spans="1:43" s="4" customFormat="1" ht="15" customHeight="1">
      <c r="A178" s="1075"/>
      <c r="B178" s="1171"/>
      <c r="C178" s="1076"/>
      <c r="D178" s="1076"/>
      <c r="E178" s="1252"/>
      <c r="F178" s="1252"/>
      <c r="G178" s="1076"/>
      <c r="H178" s="1076"/>
      <c r="I178" s="1076"/>
      <c r="J178" s="1076"/>
      <c r="K178" s="1076"/>
      <c r="L178" s="1076"/>
      <c r="M178" s="1245"/>
      <c r="N178" s="1282"/>
      <c r="O178" s="1119"/>
      <c r="P178" s="1119"/>
      <c r="Q178" s="1119"/>
      <c r="R178" s="1171"/>
      <c r="S178" s="110"/>
      <c r="T178" s="109"/>
      <c r="U178" s="109"/>
      <c r="V178" s="1119"/>
      <c r="W178" s="1119"/>
      <c r="X178" s="1076"/>
      <c r="Y178" s="1123"/>
      <c r="Z178" s="109">
        <v>1815919.53</v>
      </c>
      <c r="AA178" s="109">
        <v>-726367.81</v>
      </c>
      <c r="AB178" s="109">
        <f t="shared" si="13"/>
        <v>1089551.72</v>
      </c>
      <c r="AC178" s="1171"/>
      <c r="AD178" s="119">
        <v>1089551.72</v>
      </c>
      <c r="AE178" s="1282"/>
      <c r="AF178" s="1084"/>
      <c r="AG178" s="1084"/>
      <c r="AH178" s="1084"/>
      <c r="AI178" s="1084"/>
      <c r="AJ178" s="1119"/>
      <c r="AK178" s="1119"/>
      <c r="AL178" s="1119"/>
      <c r="AM178" s="1119"/>
      <c r="AN178" s="1203"/>
      <c r="AO178" s="1204"/>
      <c r="AP178" s="1364"/>
      <c r="AQ178" s="934"/>
    </row>
    <row r="179" spans="1:43" s="4" customFormat="1" ht="15" customHeight="1">
      <c r="A179" s="1075"/>
      <c r="B179" s="1171"/>
      <c r="C179" s="1076"/>
      <c r="D179" s="1076"/>
      <c r="E179" s="1252"/>
      <c r="F179" s="1252"/>
      <c r="G179" s="1076"/>
      <c r="H179" s="1076"/>
      <c r="I179" s="1076"/>
      <c r="J179" s="1076"/>
      <c r="K179" s="1076"/>
      <c r="L179" s="1076"/>
      <c r="M179" s="1245"/>
      <c r="N179" s="1282" t="s">
        <v>137</v>
      </c>
      <c r="O179" s="1119">
        <v>5301932</v>
      </c>
      <c r="P179" s="1119"/>
      <c r="Q179" s="1119"/>
      <c r="R179" s="1171"/>
      <c r="S179" s="110"/>
      <c r="T179" s="109"/>
      <c r="U179" s="109"/>
      <c r="V179" s="1119">
        <f>O179</f>
        <v>5301932</v>
      </c>
      <c r="W179" s="1119"/>
      <c r="X179" s="1076"/>
      <c r="Y179" s="1123" t="s">
        <v>364</v>
      </c>
      <c r="Z179" s="109">
        <v>245104.56</v>
      </c>
      <c r="AA179" s="109">
        <v>-98041.83</v>
      </c>
      <c r="AB179" s="109">
        <f t="shared" si="13"/>
        <v>147062.72999999998</v>
      </c>
      <c r="AC179" s="1171">
        <v>42459</v>
      </c>
      <c r="AD179" s="119">
        <v>147062.73000000001</v>
      </c>
      <c r="AE179" s="1282" t="s">
        <v>137</v>
      </c>
      <c r="AF179" s="1084"/>
      <c r="AG179" s="1084"/>
      <c r="AH179" s="1084"/>
      <c r="AI179" s="1084"/>
      <c r="AJ179" s="1119"/>
      <c r="AK179" s="1119"/>
      <c r="AL179" s="1119"/>
      <c r="AM179" s="1119"/>
      <c r="AN179" s="1203"/>
      <c r="AO179" s="1204"/>
      <c r="AP179" s="1364"/>
      <c r="AQ179" s="934"/>
    </row>
    <row r="180" spans="1:43" s="4" customFormat="1" ht="15" customHeight="1">
      <c r="A180" s="1075"/>
      <c r="B180" s="1171"/>
      <c r="C180" s="1076"/>
      <c r="D180" s="1076"/>
      <c r="E180" s="1252"/>
      <c r="F180" s="1252"/>
      <c r="G180" s="1076"/>
      <c r="H180" s="1076"/>
      <c r="I180" s="1076"/>
      <c r="J180" s="1076"/>
      <c r="K180" s="1076"/>
      <c r="L180" s="1076"/>
      <c r="M180" s="1245"/>
      <c r="N180" s="1282"/>
      <c r="O180" s="1119"/>
      <c r="P180" s="1119"/>
      <c r="Q180" s="1119"/>
      <c r="R180" s="1171"/>
      <c r="S180" s="110"/>
      <c r="T180" s="109"/>
      <c r="U180" s="109"/>
      <c r="V180" s="1119"/>
      <c r="W180" s="1119"/>
      <c r="X180" s="1076"/>
      <c r="Y180" s="1123"/>
      <c r="Z180" s="109">
        <v>501027.96</v>
      </c>
      <c r="AA180" s="109">
        <v>-200411.18</v>
      </c>
      <c r="AB180" s="109">
        <f t="shared" si="13"/>
        <v>300616.78000000003</v>
      </c>
      <c r="AC180" s="1171"/>
      <c r="AD180" s="119">
        <v>300616.78000000003</v>
      </c>
      <c r="AE180" s="1282"/>
      <c r="AF180" s="1084"/>
      <c r="AG180" s="1084"/>
      <c r="AH180" s="1084"/>
      <c r="AI180" s="1084"/>
      <c r="AJ180" s="1119"/>
      <c r="AK180" s="1119"/>
      <c r="AL180" s="1119"/>
      <c r="AM180" s="1119"/>
      <c r="AN180" s="1203"/>
      <c r="AO180" s="1204"/>
      <c r="AP180" s="1364"/>
      <c r="AQ180" s="934"/>
    </row>
    <row r="181" spans="1:43" s="4" customFormat="1" ht="15" customHeight="1">
      <c r="A181" s="1075"/>
      <c r="B181" s="1171"/>
      <c r="C181" s="1076"/>
      <c r="D181" s="1076"/>
      <c r="E181" s="1252"/>
      <c r="F181" s="1252"/>
      <c r="G181" s="1076"/>
      <c r="H181" s="1076"/>
      <c r="I181" s="1076"/>
      <c r="J181" s="1076"/>
      <c r="K181" s="1076"/>
      <c r="L181" s="1076"/>
      <c r="M181" s="1245"/>
      <c r="N181" s="1282"/>
      <c r="O181" s="1119"/>
      <c r="P181" s="1119"/>
      <c r="Q181" s="1119"/>
      <c r="R181" s="1171"/>
      <c r="S181" s="110"/>
      <c r="T181" s="109"/>
      <c r="U181" s="109"/>
      <c r="V181" s="1119"/>
      <c r="W181" s="1119"/>
      <c r="X181" s="1076"/>
      <c r="Y181" s="1123" t="s">
        <v>366</v>
      </c>
      <c r="Z181" s="109">
        <v>799518.55</v>
      </c>
      <c r="AA181" s="109">
        <v>-319807.42</v>
      </c>
      <c r="AB181" s="109">
        <f t="shared" si="13"/>
        <v>479711.13000000006</v>
      </c>
      <c r="AC181" s="1171">
        <v>42459</v>
      </c>
      <c r="AD181" s="119">
        <v>479711.13</v>
      </c>
      <c r="AE181" s="1282"/>
      <c r="AF181" s="1084"/>
      <c r="AG181" s="1084"/>
      <c r="AH181" s="1084"/>
      <c r="AI181" s="1084"/>
      <c r="AJ181" s="1119"/>
      <c r="AK181" s="1119"/>
      <c r="AL181" s="1119"/>
      <c r="AM181" s="1119"/>
      <c r="AN181" s="1203"/>
      <c r="AO181" s="1204"/>
      <c r="AP181" s="1364"/>
      <c r="AQ181" s="934"/>
    </row>
    <row r="182" spans="1:43" s="4" customFormat="1" ht="15" customHeight="1">
      <c r="A182" s="1075"/>
      <c r="B182" s="1171"/>
      <c r="C182" s="1076"/>
      <c r="D182" s="1076"/>
      <c r="E182" s="1252"/>
      <c r="F182" s="1252"/>
      <c r="G182" s="1076"/>
      <c r="H182" s="1076"/>
      <c r="I182" s="1076"/>
      <c r="J182" s="1076"/>
      <c r="K182" s="1076"/>
      <c r="L182" s="1076"/>
      <c r="M182" s="1245"/>
      <c r="N182" s="1282"/>
      <c r="O182" s="1119"/>
      <c r="P182" s="1119"/>
      <c r="Q182" s="1119"/>
      <c r="R182" s="1171"/>
      <c r="S182" s="110"/>
      <c r="T182" s="109"/>
      <c r="U182" s="109"/>
      <c r="V182" s="1119"/>
      <c r="W182" s="1119"/>
      <c r="X182" s="1076"/>
      <c r="Y182" s="1123"/>
      <c r="Z182" s="109">
        <v>1634327.56</v>
      </c>
      <c r="AA182" s="109">
        <v>-653731.02</v>
      </c>
      <c r="AB182" s="109">
        <f t="shared" si="13"/>
        <v>980596.54</v>
      </c>
      <c r="AC182" s="1171"/>
      <c r="AD182" s="119">
        <v>980596.54</v>
      </c>
      <c r="AE182" s="1282"/>
      <c r="AF182" s="1084"/>
      <c r="AG182" s="1084"/>
      <c r="AH182" s="1084"/>
      <c r="AI182" s="1084"/>
      <c r="AJ182" s="1119"/>
      <c r="AK182" s="1119"/>
      <c r="AL182" s="1119"/>
      <c r="AM182" s="1119"/>
      <c r="AN182" s="1203"/>
      <c r="AO182" s="1204"/>
      <c r="AP182" s="1364"/>
      <c r="AQ182" s="934"/>
    </row>
    <row r="183" spans="1:43" s="4" customFormat="1" ht="15" customHeight="1">
      <c r="A183" s="1075"/>
      <c r="B183" s="1171"/>
      <c r="C183" s="1076" t="s">
        <v>45</v>
      </c>
      <c r="D183" s="1076"/>
      <c r="E183" s="1252"/>
      <c r="F183" s="1252"/>
      <c r="G183" s="1076"/>
      <c r="H183" s="1076"/>
      <c r="I183" s="1076"/>
      <c r="J183" s="1076"/>
      <c r="K183" s="1076"/>
      <c r="L183" s="1076"/>
      <c r="M183" s="1245">
        <v>34</v>
      </c>
      <c r="N183" s="1282" t="s">
        <v>7</v>
      </c>
      <c r="O183" s="1119">
        <v>2593723</v>
      </c>
      <c r="P183" s="1119">
        <f>O183+O187</f>
        <v>7895656</v>
      </c>
      <c r="Q183" s="1119"/>
      <c r="R183" s="1171">
        <v>40353</v>
      </c>
      <c r="S183" s="110"/>
      <c r="T183" s="109"/>
      <c r="U183" s="109"/>
      <c r="V183" s="1119">
        <f>O183</f>
        <v>2593723</v>
      </c>
      <c r="W183" s="1119"/>
      <c r="X183" s="1076"/>
      <c r="Y183" s="1123" t="s">
        <v>359</v>
      </c>
      <c r="Z183" s="1119">
        <v>0</v>
      </c>
      <c r="AA183" s="1119">
        <v>3158262.4000000004</v>
      </c>
      <c r="AB183" s="1119">
        <f t="shared" si="13"/>
        <v>3158262.4000000004</v>
      </c>
      <c r="AC183" s="1171">
        <v>40382</v>
      </c>
      <c r="AD183" s="119">
        <v>424423.74</v>
      </c>
      <c r="AE183" s="1282" t="s">
        <v>7</v>
      </c>
      <c r="AF183" s="1084">
        <f>SUM(AD183:AD190)</f>
        <v>6921323.0999999996</v>
      </c>
      <c r="AG183" s="1084"/>
      <c r="AH183" s="1084"/>
      <c r="AI183" s="1084"/>
      <c r="AJ183" s="1119">
        <f>SUM(Z183:Z190)-SUM(AD183:AD190)</f>
        <v>-1037070.2499999991</v>
      </c>
      <c r="AK183" s="1119">
        <f>P183-V183-V187</f>
        <v>0</v>
      </c>
      <c r="AL183" s="1119">
        <f>SUM(V183:V190)-SUM(Z183:Z190)+AJ183</f>
        <v>974332.90000000037</v>
      </c>
      <c r="AM183" s="1119"/>
      <c r="AN183" s="1203"/>
      <c r="AO183" s="1204"/>
      <c r="AP183" s="1364"/>
      <c r="AQ183" s="934"/>
    </row>
    <row r="184" spans="1:43" s="4" customFormat="1" ht="15" customHeight="1">
      <c r="A184" s="1075"/>
      <c r="B184" s="1171"/>
      <c r="C184" s="1076"/>
      <c r="D184" s="1076"/>
      <c r="E184" s="1252"/>
      <c r="F184" s="1252"/>
      <c r="G184" s="1076"/>
      <c r="H184" s="1076"/>
      <c r="I184" s="1076"/>
      <c r="J184" s="1076"/>
      <c r="K184" s="1076"/>
      <c r="L184" s="1076"/>
      <c r="M184" s="1245"/>
      <c r="N184" s="1282"/>
      <c r="O184" s="1119"/>
      <c r="P184" s="1119"/>
      <c r="Q184" s="1119"/>
      <c r="R184" s="1171"/>
      <c r="S184" s="110"/>
      <c r="T184" s="109"/>
      <c r="U184" s="109"/>
      <c r="V184" s="1119"/>
      <c r="W184" s="1119"/>
      <c r="X184" s="1076"/>
      <c r="Y184" s="1123"/>
      <c r="Z184" s="1119"/>
      <c r="AA184" s="1119"/>
      <c r="AB184" s="1119"/>
      <c r="AC184" s="1171"/>
      <c r="AD184" s="119">
        <v>2733836.26</v>
      </c>
      <c r="AE184" s="1282"/>
      <c r="AF184" s="1084"/>
      <c r="AG184" s="1084"/>
      <c r="AH184" s="1084"/>
      <c r="AI184" s="1084"/>
      <c r="AJ184" s="1119"/>
      <c r="AK184" s="1119"/>
      <c r="AL184" s="1119"/>
      <c r="AM184" s="1119"/>
      <c r="AN184" s="1203"/>
      <c r="AO184" s="1204"/>
      <c r="AP184" s="1364"/>
      <c r="AQ184" s="934"/>
    </row>
    <row r="185" spans="1:43" s="4" customFormat="1" ht="15" customHeight="1">
      <c r="A185" s="1075"/>
      <c r="B185" s="1171"/>
      <c r="C185" s="1076"/>
      <c r="D185" s="1076"/>
      <c r="E185" s="1252"/>
      <c r="F185" s="1252"/>
      <c r="G185" s="1076"/>
      <c r="H185" s="1076"/>
      <c r="I185" s="1076"/>
      <c r="J185" s="1076"/>
      <c r="K185" s="1076"/>
      <c r="L185" s="1076"/>
      <c r="M185" s="1245"/>
      <c r="N185" s="1282"/>
      <c r="O185" s="1119"/>
      <c r="P185" s="1119"/>
      <c r="Q185" s="1119"/>
      <c r="R185" s="1171"/>
      <c r="S185" s="110"/>
      <c r="T185" s="109"/>
      <c r="U185" s="109"/>
      <c r="V185" s="1119"/>
      <c r="W185" s="1119"/>
      <c r="X185" s="1076"/>
      <c r="Y185" s="1123" t="s">
        <v>360</v>
      </c>
      <c r="Z185" s="109">
        <v>888353.95</v>
      </c>
      <c r="AA185" s="109">
        <v>-116255.7</v>
      </c>
      <c r="AB185" s="109">
        <f t="shared" ref="AB185:AB191" si="14">Z185+AA185</f>
        <v>772098.25</v>
      </c>
      <c r="AC185" s="1171">
        <v>42459</v>
      </c>
      <c r="AD185" s="119">
        <v>772098.25</v>
      </c>
      <c r="AE185" s="1282"/>
      <c r="AF185" s="1084"/>
      <c r="AG185" s="1084"/>
      <c r="AH185" s="1084"/>
      <c r="AI185" s="1084"/>
      <c r="AJ185" s="1119"/>
      <c r="AK185" s="1119"/>
      <c r="AL185" s="1119"/>
      <c r="AM185" s="1119"/>
      <c r="AN185" s="1203"/>
      <c r="AO185" s="1204"/>
      <c r="AP185" s="1364"/>
      <c r="AQ185" s="934"/>
    </row>
    <row r="186" spans="1:43" s="4" customFormat="1" ht="15" customHeight="1">
      <c r="A186" s="1075"/>
      <c r="B186" s="1171"/>
      <c r="C186" s="1076"/>
      <c r="D186" s="1076"/>
      <c r="E186" s="1252"/>
      <c r="F186" s="1252"/>
      <c r="G186" s="1076"/>
      <c r="H186" s="1076"/>
      <c r="I186" s="1076"/>
      <c r="J186" s="1076"/>
      <c r="K186" s="1076"/>
      <c r="L186" s="1076"/>
      <c r="M186" s="1245"/>
      <c r="N186" s="1282"/>
      <c r="O186" s="1119"/>
      <c r="P186" s="1119"/>
      <c r="Q186" s="1119"/>
      <c r="R186" s="1171"/>
      <c r="S186" s="110"/>
      <c r="T186" s="109"/>
      <c r="U186" s="109"/>
      <c r="V186" s="1119"/>
      <c r="W186" s="1119"/>
      <c r="X186" s="1076"/>
      <c r="Y186" s="1123"/>
      <c r="Z186" s="109">
        <v>1815919.87</v>
      </c>
      <c r="AA186" s="109">
        <v>-806063.23</v>
      </c>
      <c r="AB186" s="109">
        <f t="shared" si="14"/>
        <v>1009856.6400000001</v>
      </c>
      <c r="AC186" s="1171"/>
      <c r="AD186" s="119">
        <v>1009856.64</v>
      </c>
      <c r="AE186" s="1282"/>
      <c r="AF186" s="1084"/>
      <c r="AG186" s="1084"/>
      <c r="AH186" s="1084"/>
      <c r="AI186" s="1084"/>
      <c r="AJ186" s="1119"/>
      <c r="AK186" s="1119"/>
      <c r="AL186" s="1119"/>
      <c r="AM186" s="1119"/>
      <c r="AN186" s="1203"/>
      <c r="AO186" s="1204"/>
      <c r="AP186" s="1364"/>
      <c r="AQ186" s="934"/>
    </row>
    <row r="187" spans="1:43" s="4" customFormat="1" ht="15" customHeight="1">
      <c r="A187" s="1075"/>
      <c r="B187" s="1171"/>
      <c r="C187" s="1076"/>
      <c r="D187" s="1076"/>
      <c r="E187" s="1252"/>
      <c r="F187" s="1252"/>
      <c r="G187" s="1076"/>
      <c r="H187" s="1076"/>
      <c r="I187" s="1076"/>
      <c r="J187" s="1076"/>
      <c r="K187" s="1076"/>
      <c r="L187" s="1076"/>
      <c r="M187" s="1245"/>
      <c r="N187" s="1282" t="s">
        <v>137</v>
      </c>
      <c r="O187" s="1119">
        <v>5301933</v>
      </c>
      <c r="P187" s="1119"/>
      <c r="Q187" s="1119"/>
      <c r="R187" s="1171"/>
      <c r="S187" s="110"/>
      <c r="T187" s="109"/>
      <c r="U187" s="109"/>
      <c r="V187" s="1119">
        <f>O187</f>
        <v>5301933</v>
      </c>
      <c r="W187" s="1119"/>
      <c r="X187" s="1076"/>
      <c r="Y187" s="1123" t="s">
        <v>365</v>
      </c>
      <c r="Z187" s="109">
        <v>245104.57</v>
      </c>
      <c r="AA187" s="109">
        <v>-54840.61</v>
      </c>
      <c r="AB187" s="109">
        <f t="shared" si="14"/>
        <v>190263.96000000002</v>
      </c>
      <c r="AC187" s="1171">
        <v>42459</v>
      </c>
      <c r="AD187" s="119">
        <v>190263.96</v>
      </c>
      <c r="AE187" s="1282" t="s">
        <v>137</v>
      </c>
      <c r="AF187" s="1084"/>
      <c r="AG187" s="1084"/>
      <c r="AH187" s="1084"/>
      <c r="AI187" s="1084"/>
      <c r="AJ187" s="1119"/>
      <c r="AK187" s="1119"/>
      <c r="AL187" s="1119"/>
      <c r="AM187" s="1119"/>
      <c r="AN187" s="1203"/>
      <c r="AO187" s="1204"/>
      <c r="AP187" s="1364"/>
      <c r="AQ187" s="934"/>
    </row>
    <row r="188" spans="1:43" s="4" customFormat="1" ht="15" customHeight="1">
      <c r="A188" s="1075"/>
      <c r="B188" s="1171"/>
      <c r="C188" s="1076"/>
      <c r="D188" s="1076"/>
      <c r="E188" s="1252"/>
      <c r="F188" s="1252"/>
      <c r="G188" s="1076"/>
      <c r="H188" s="1076"/>
      <c r="I188" s="1076"/>
      <c r="J188" s="1076"/>
      <c r="K188" s="1076"/>
      <c r="L188" s="1076"/>
      <c r="M188" s="1245"/>
      <c r="N188" s="1282"/>
      <c r="O188" s="1119"/>
      <c r="P188" s="1119"/>
      <c r="Q188" s="1119"/>
      <c r="R188" s="1171"/>
      <c r="S188" s="110"/>
      <c r="T188" s="109"/>
      <c r="U188" s="109"/>
      <c r="V188" s="1119"/>
      <c r="W188" s="1119"/>
      <c r="X188" s="1076"/>
      <c r="Y188" s="1123"/>
      <c r="Z188" s="109">
        <v>501028.05</v>
      </c>
      <c r="AA188" s="109">
        <v>-214811.63</v>
      </c>
      <c r="AB188" s="109">
        <f t="shared" si="14"/>
        <v>286216.42</v>
      </c>
      <c r="AC188" s="1171"/>
      <c r="AD188" s="119">
        <v>286216.42</v>
      </c>
      <c r="AE188" s="1282"/>
      <c r="AF188" s="1084"/>
      <c r="AG188" s="1084"/>
      <c r="AH188" s="1084"/>
      <c r="AI188" s="1084"/>
      <c r="AJ188" s="1119"/>
      <c r="AK188" s="1119"/>
      <c r="AL188" s="1119"/>
      <c r="AM188" s="1119"/>
      <c r="AN188" s="1203"/>
      <c r="AO188" s="1204"/>
      <c r="AP188" s="1364"/>
      <c r="AQ188" s="934"/>
    </row>
    <row r="189" spans="1:43" s="4" customFormat="1" ht="15" customHeight="1">
      <c r="A189" s="1075"/>
      <c r="B189" s="1171"/>
      <c r="C189" s="1076"/>
      <c r="D189" s="1076"/>
      <c r="E189" s="1252"/>
      <c r="F189" s="1252"/>
      <c r="G189" s="1076"/>
      <c r="H189" s="1076"/>
      <c r="I189" s="1076"/>
      <c r="J189" s="1076"/>
      <c r="K189" s="1076"/>
      <c r="L189" s="1076"/>
      <c r="M189" s="1245"/>
      <c r="N189" s="1282"/>
      <c r="O189" s="1119"/>
      <c r="P189" s="1119"/>
      <c r="Q189" s="1119"/>
      <c r="R189" s="1171"/>
      <c r="S189" s="110"/>
      <c r="T189" s="109"/>
      <c r="U189" s="109"/>
      <c r="V189" s="1119"/>
      <c r="W189" s="1119"/>
      <c r="X189" s="1076"/>
      <c r="Y189" s="1123" t="s">
        <v>367</v>
      </c>
      <c r="Z189" s="109">
        <v>799518.55</v>
      </c>
      <c r="AA189" s="109">
        <v>-253327.43</v>
      </c>
      <c r="AB189" s="109">
        <f t="shared" si="14"/>
        <v>546191.12000000011</v>
      </c>
      <c r="AC189" s="1171">
        <v>42459</v>
      </c>
      <c r="AD189" s="119">
        <v>546191.12</v>
      </c>
      <c r="AE189" s="1282"/>
      <c r="AF189" s="1084"/>
      <c r="AG189" s="1084"/>
      <c r="AH189" s="1084"/>
      <c r="AI189" s="1084"/>
      <c r="AJ189" s="1119"/>
      <c r="AK189" s="1119"/>
      <c r="AL189" s="1119"/>
      <c r="AM189" s="1119"/>
      <c r="AN189" s="1203"/>
      <c r="AO189" s="1204"/>
      <c r="AP189" s="1364"/>
      <c r="AQ189" s="934"/>
    </row>
    <row r="190" spans="1:43" s="4" customFormat="1" ht="15" customHeight="1">
      <c r="A190" s="1075"/>
      <c r="B190" s="1171"/>
      <c r="C190" s="1076"/>
      <c r="D190" s="1076"/>
      <c r="E190" s="1252"/>
      <c r="F190" s="1252"/>
      <c r="G190" s="1076"/>
      <c r="H190" s="1076"/>
      <c r="I190" s="1076"/>
      <c r="J190" s="1076"/>
      <c r="K190" s="1076"/>
      <c r="L190" s="1076"/>
      <c r="M190" s="1245"/>
      <c r="N190" s="1282"/>
      <c r="O190" s="1119"/>
      <c r="P190" s="1119"/>
      <c r="Q190" s="1119"/>
      <c r="R190" s="1171"/>
      <c r="S190" s="110"/>
      <c r="T190" s="109"/>
      <c r="U190" s="109"/>
      <c r="V190" s="1119"/>
      <c r="W190" s="1119"/>
      <c r="X190" s="1076"/>
      <c r="Y190" s="1123"/>
      <c r="Z190" s="109">
        <v>1634327.86</v>
      </c>
      <c r="AA190" s="109">
        <v>-675891.15</v>
      </c>
      <c r="AB190" s="109">
        <f t="shared" si="14"/>
        <v>958436.71000000008</v>
      </c>
      <c r="AC190" s="1171"/>
      <c r="AD190" s="119">
        <v>958436.71</v>
      </c>
      <c r="AE190" s="1282"/>
      <c r="AF190" s="1084"/>
      <c r="AG190" s="1084"/>
      <c r="AH190" s="1084"/>
      <c r="AI190" s="1084"/>
      <c r="AJ190" s="1119"/>
      <c r="AK190" s="1119"/>
      <c r="AL190" s="1119"/>
      <c r="AM190" s="1119"/>
      <c r="AN190" s="1203"/>
      <c r="AO190" s="1204"/>
      <c r="AP190" s="1364"/>
      <c r="AQ190" s="934"/>
    </row>
    <row r="191" spans="1:43" s="4" customFormat="1" ht="15" customHeight="1">
      <c r="A191" s="1075"/>
      <c r="B191" s="1171"/>
      <c r="C191" s="1076"/>
      <c r="D191" s="1076"/>
      <c r="E191" s="1252"/>
      <c r="F191" s="1252"/>
      <c r="G191" s="1076"/>
      <c r="H191" s="1076"/>
      <c r="I191" s="1076"/>
      <c r="J191" s="1076"/>
      <c r="K191" s="1076"/>
      <c r="L191" s="1076"/>
      <c r="M191" s="1245">
        <v>35</v>
      </c>
      <c r="N191" s="1282" t="s">
        <v>7</v>
      </c>
      <c r="O191" s="1119">
        <v>2385436</v>
      </c>
      <c r="P191" s="1119">
        <f>O191+O195</f>
        <v>7261600</v>
      </c>
      <c r="Q191" s="1119"/>
      <c r="R191" s="1171">
        <v>40353</v>
      </c>
      <c r="S191" s="110"/>
      <c r="T191" s="109"/>
      <c r="U191" s="109"/>
      <c r="V191" s="1119">
        <f>O191</f>
        <v>2385436</v>
      </c>
      <c r="W191" s="1119"/>
      <c r="X191" s="1076"/>
      <c r="Y191" s="1123" t="s">
        <v>359</v>
      </c>
      <c r="Z191" s="1119">
        <v>0</v>
      </c>
      <c r="AA191" s="1119">
        <v>2904640</v>
      </c>
      <c r="AB191" s="1119">
        <f t="shared" si="14"/>
        <v>2904640</v>
      </c>
      <c r="AC191" s="1171">
        <v>40382</v>
      </c>
      <c r="AD191" s="119">
        <v>954175.06</v>
      </c>
      <c r="AE191" s="1282" t="s">
        <v>7</v>
      </c>
      <c r="AF191" s="1084">
        <f>SUM(AD191:AD198)</f>
        <v>5919163.4400000004</v>
      </c>
      <c r="AG191" s="1084"/>
      <c r="AH191" s="1084"/>
      <c r="AI191" s="1084"/>
      <c r="AJ191" s="1119">
        <f>SUM(Z191:Z198)-SUM(AD191:AD198)</f>
        <v>-507442.05000000075</v>
      </c>
      <c r="AK191" s="1119">
        <f>P191-V191-V195</f>
        <v>0</v>
      </c>
      <c r="AL191" s="1119">
        <f>SUM(V191:V198)-SUM(Z191:Z198)+AJ191</f>
        <v>1342436.5599999996</v>
      </c>
      <c r="AM191" s="1119"/>
      <c r="AN191" s="1203"/>
      <c r="AO191" s="1204"/>
      <c r="AP191" s="1364"/>
      <c r="AQ191" s="934"/>
    </row>
    <row r="192" spans="1:43" s="4" customFormat="1" ht="15" customHeight="1">
      <c r="A192" s="1075"/>
      <c r="B192" s="1171"/>
      <c r="C192" s="1076"/>
      <c r="D192" s="1076"/>
      <c r="E192" s="1252"/>
      <c r="F192" s="1252"/>
      <c r="G192" s="1076"/>
      <c r="H192" s="1076"/>
      <c r="I192" s="1076"/>
      <c r="J192" s="1076"/>
      <c r="K192" s="1076"/>
      <c r="L192" s="1076"/>
      <c r="M192" s="1245"/>
      <c r="N192" s="1282"/>
      <c r="O192" s="1119"/>
      <c r="P192" s="1119"/>
      <c r="Q192" s="1119"/>
      <c r="R192" s="1171"/>
      <c r="S192" s="110"/>
      <c r="T192" s="109"/>
      <c r="U192" s="109"/>
      <c r="V192" s="1119"/>
      <c r="W192" s="1119"/>
      <c r="X192" s="1076"/>
      <c r="Y192" s="1123"/>
      <c r="Z192" s="1119"/>
      <c r="AA192" s="1119"/>
      <c r="AB192" s="1119"/>
      <c r="AC192" s="1171"/>
      <c r="AD192" s="119">
        <v>1950466.94</v>
      </c>
      <c r="AE192" s="1282"/>
      <c r="AF192" s="1084"/>
      <c r="AG192" s="1084"/>
      <c r="AH192" s="1084"/>
      <c r="AI192" s="1084"/>
      <c r="AJ192" s="1119"/>
      <c r="AK192" s="1119"/>
      <c r="AL192" s="1119"/>
      <c r="AM192" s="1119"/>
      <c r="AN192" s="1203"/>
      <c r="AO192" s="1204"/>
      <c r="AP192" s="1364"/>
      <c r="AQ192" s="934"/>
    </row>
    <row r="193" spans="1:43" s="4" customFormat="1" ht="15" customHeight="1">
      <c r="A193" s="1075"/>
      <c r="B193" s="1171"/>
      <c r="C193" s="1076"/>
      <c r="D193" s="1076"/>
      <c r="E193" s="1252"/>
      <c r="F193" s="1252"/>
      <c r="G193" s="1076"/>
      <c r="H193" s="1076"/>
      <c r="I193" s="1076"/>
      <c r="J193" s="1076"/>
      <c r="K193" s="1076"/>
      <c r="L193" s="1076"/>
      <c r="M193" s="1245"/>
      <c r="N193" s="1282"/>
      <c r="O193" s="1119"/>
      <c r="P193" s="1119"/>
      <c r="Q193" s="1119"/>
      <c r="R193" s="1171"/>
      <c r="S193" s="110"/>
      <c r="T193" s="109"/>
      <c r="U193" s="109"/>
      <c r="V193" s="1119"/>
      <c r="W193" s="1119"/>
      <c r="X193" s="1076"/>
      <c r="Y193" s="1123" t="s">
        <v>360</v>
      </c>
      <c r="Z193" s="109">
        <v>817015.35</v>
      </c>
      <c r="AA193" s="109">
        <v>-406501.44</v>
      </c>
      <c r="AB193" s="109">
        <f t="shared" ref="AB193:AB199" si="15">Z193+AA193</f>
        <v>410513.91</v>
      </c>
      <c r="AC193" s="1171">
        <v>42459</v>
      </c>
      <c r="AD193" s="119">
        <v>410513.91</v>
      </c>
      <c r="AE193" s="1282"/>
      <c r="AF193" s="1084"/>
      <c r="AG193" s="1084"/>
      <c r="AH193" s="1084"/>
      <c r="AI193" s="1084"/>
      <c r="AJ193" s="1119"/>
      <c r="AK193" s="1119"/>
      <c r="AL193" s="1119"/>
      <c r="AM193" s="1119"/>
      <c r="AN193" s="1203"/>
      <c r="AO193" s="1204"/>
      <c r="AP193" s="1364"/>
      <c r="AQ193" s="934"/>
    </row>
    <row r="194" spans="1:43" s="4" customFormat="1" ht="15" customHeight="1">
      <c r="A194" s="1075"/>
      <c r="B194" s="1171"/>
      <c r="C194" s="1076"/>
      <c r="D194" s="1076"/>
      <c r="E194" s="1252"/>
      <c r="F194" s="1252"/>
      <c r="G194" s="1076"/>
      <c r="H194" s="1076"/>
      <c r="I194" s="1076"/>
      <c r="J194" s="1076"/>
      <c r="K194" s="1076"/>
      <c r="L194" s="1076"/>
      <c r="M194" s="1245"/>
      <c r="N194" s="1282"/>
      <c r="O194" s="1119"/>
      <c r="P194" s="1119"/>
      <c r="Q194" s="1119"/>
      <c r="R194" s="1171"/>
      <c r="S194" s="110"/>
      <c r="T194" s="109"/>
      <c r="U194" s="109"/>
      <c r="V194" s="1119"/>
      <c r="W194" s="1119"/>
      <c r="X194" s="1076"/>
      <c r="Y194" s="1123"/>
      <c r="Z194" s="109">
        <v>1670093.35</v>
      </c>
      <c r="AA194" s="109">
        <v>-747732.64</v>
      </c>
      <c r="AB194" s="109">
        <f t="shared" si="15"/>
        <v>922360.71000000008</v>
      </c>
      <c r="AC194" s="1171"/>
      <c r="AD194" s="119">
        <v>922360.71</v>
      </c>
      <c r="AE194" s="1282"/>
      <c r="AF194" s="1084"/>
      <c r="AG194" s="1084"/>
      <c r="AH194" s="1084"/>
      <c r="AI194" s="1084"/>
      <c r="AJ194" s="1119"/>
      <c r="AK194" s="1119"/>
      <c r="AL194" s="1119"/>
      <c r="AM194" s="1119"/>
      <c r="AN194" s="1203"/>
      <c r="AO194" s="1204"/>
      <c r="AP194" s="1364"/>
      <c r="AQ194" s="934"/>
    </row>
    <row r="195" spans="1:43" s="4" customFormat="1" ht="15" customHeight="1">
      <c r="A195" s="1075"/>
      <c r="B195" s="1171"/>
      <c r="C195" s="1076"/>
      <c r="D195" s="1076"/>
      <c r="E195" s="1252"/>
      <c r="F195" s="1252"/>
      <c r="G195" s="1076"/>
      <c r="H195" s="1076"/>
      <c r="I195" s="1076"/>
      <c r="J195" s="1076"/>
      <c r="K195" s="1076"/>
      <c r="L195" s="1076"/>
      <c r="M195" s="1245"/>
      <c r="N195" s="1282" t="s">
        <v>137</v>
      </c>
      <c r="O195" s="1119">
        <v>4876164</v>
      </c>
      <c r="P195" s="1119"/>
      <c r="Q195" s="1119"/>
      <c r="R195" s="1171"/>
      <c r="S195" s="110"/>
      <c r="T195" s="109"/>
      <c r="U195" s="109"/>
      <c r="V195" s="1119">
        <f>O195</f>
        <v>4876164</v>
      </c>
      <c r="W195" s="1119"/>
      <c r="X195" s="1076"/>
      <c r="Y195" s="1123" t="s">
        <v>365</v>
      </c>
      <c r="Z195" s="109">
        <v>225421.63</v>
      </c>
      <c r="AA195" s="109">
        <v>-104569.06</v>
      </c>
      <c r="AB195" s="109">
        <f t="shared" si="15"/>
        <v>120852.57</v>
      </c>
      <c r="AC195" s="1171">
        <v>42459</v>
      </c>
      <c r="AD195" s="119">
        <v>120852.57</v>
      </c>
      <c r="AE195" s="1282" t="s">
        <v>137</v>
      </c>
      <c r="AF195" s="1084"/>
      <c r="AG195" s="1084"/>
      <c r="AH195" s="1084"/>
      <c r="AI195" s="1084"/>
      <c r="AJ195" s="1119"/>
      <c r="AK195" s="1119"/>
      <c r="AL195" s="1119"/>
      <c r="AM195" s="1119"/>
      <c r="AN195" s="1203"/>
      <c r="AO195" s="1204"/>
      <c r="AP195" s="1364"/>
      <c r="AQ195" s="934"/>
    </row>
    <row r="196" spans="1:43" s="4" customFormat="1" ht="15" customHeight="1">
      <c r="A196" s="1075"/>
      <c r="B196" s="1171"/>
      <c r="C196" s="1076"/>
      <c r="D196" s="1076"/>
      <c r="E196" s="1252"/>
      <c r="F196" s="1252"/>
      <c r="G196" s="1076"/>
      <c r="H196" s="1076"/>
      <c r="I196" s="1076"/>
      <c r="J196" s="1076"/>
      <c r="K196" s="1076"/>
      <c r="L196" s="1076"/>
      <c r="M196" s="1245"/>
      <c r="N196" s="1282"/>
      <c r="O196" s="1119"/>
      <c r="P196" s="1119"/>
      <c r="Q196" s="1119"/>
      <c r="R196" s="1171"/>
      <c r="S196" s="110"/>
      <c r="T196" s="109"/>
      <c r="U196" s="109"/>
      <c r="V196" s="1119"/>
      <c r="W196" s="1119"/>
      <c r="X196" s="1076"/>
      <c r="Y196" s="1123"/>
      <c r="Z196" s="109">
        <v>460793.25</v>
      </c>
      <c r="AA196" s="109">
        <v>-198717.7</v>
      </c>
      <c r="AB196" s="109">
        <f t="shared" si="15"/>
        <v>262075.55</v>
      </c>
      <c r="AC196" s="1171"/>
      <c r="AD196" s="119">
        <v>262075.55</v>
      </c>
      <c r="AE196" s="1282"/>
      <c r="AF196" s="1084"/>
      <c r="AG196" s="1084"/>
      <c r="AH196" s="1084"/>
      <c r="AI196" s="1084"/>
      <c r="AJ196" s="1119"/>
      <c r="AK196" s="1119"/>
      <c r="AL196" s="1119"/>
      <c r="AM196" s="1119"/>
      <c r="AN196" s="1203"/>
      <c r="AO196" s="1204"/>
      <c r="AP196" s="1364"/>
      <c r="AQ196" s="934"/>
    </row>
    <row r="197" spans="1:43" s="4" customFormat="1" ht="15" customHeight="1">
      <c r="A197" s="1075"/>
      <c r="B197" s="1171"/>
      <c r="C197" s="1076"/>
      <c r="D197" s="1076"/>
      <c r="E197" s="1252"/>
      <c r="F197" s="1252"/>
      <c r="G197" s="1076"/>
      <c r="H197" s="1076"/>
      <c r="I197" s="1076"/>
      <c r="J197" s="1076"/>
      <c r="K197" s="1076"/>
      <c r="L197" s="1076"/>
      <c r="M197" s="1245"/>
      <c r="N197" s="1282"/>
      <c r="O197" s="1119"/>
      <c r="P197" s="1119"/>
      <c r="Q197" s="1119"/>
      <c r="R197" s="1171"/>
      <c r="S197" s="110"/>
      <c r="T197" s="109"/>
      <c r="U197" s="109"/>
      <c r="V197" s="1119"/>
      <c r="W197" s="1119"/>
      <c r="X197" s="1076"/>
      <c r="Y197" s="1123" t="s">
        <v>367</v>
      </c>
      <c r="Z197" s="109">
        <v>735313.8</v>
      </c>
      <c r="AA197" s="109">
        <v>-316285.51</v>
      </c>
      <c r="AB197" s="109">
        <f t="shared" si="15"/>
        <v>419028.29000000004</v>
      </c>
      <c r="AC197" s="1171">
        <v>42459</v>
      </c>
      <c r="AD197" s="119">
        <v>419028.29</v>
      </c>
      <c r="AE197" s="1282"/>
      <c r="AF197" s="1084"/>
      <c r="AG197" s="1084"/>
      <c r="AH197" s="1084"/>
      <c r="AI197" s="1084"/>
      <c r="AJ197" s="1119"/>
      <c r="AK197" s="1119"/>
      <c r="AL197" s="1119"/>
      <c r="AM197" s="1119"/>
      <c r="AN197" s="1203"/>
      <c r="AO197" s="1204"/>
      <c r="AP197" s="1364"/>
      <c r="AQ197" s="934"/>
    </row>
    <row r="198" spans="1:43" s="4" customFormat="1" ht="15" customHeight="1">
      <c r="A198" s="1075"/>
      <c r="B198" s="1171"/>
      <c r="C198" s="1076"/>
      <c r="D198" s="1076"/>
      <c r="E198" s="1252"/>
      <c r="F198" s="1252"/>
      <c r="G198" s="1076"/>
      <c r="H198" s="1076"/>
      <c r="I198" s="1076"/>
      <c r="J198" s="1076"/>
      <c r="K198" s="1076"/>
      <c r="L198" s="1076"/>
      <c r="M198" s="1245"/>
      <c r="N198" s="1282"/>
      <c r="O198" s="1119"/>
      <c r="P198" s="1119"/>
      <c r="Q198" s="1119"/>
      <c r="R198" s="1171"/>
      <c r="S198" s="110"/>
      <c r="T198" s="109"/>
      <c r="U198" s="109"/>
      <c r="V198" s="1119"/>
      <c r="W198" s="1119"/>
      <c r="X198" s="1076"/>
      <c r="Y198" s="1123"/>
      <c r="Z198" s="109">
        <v>1503084.01</v>
      </c>
      <c r="AA198" s="109">
        <v>-623393.6</v>
      </c>
      <c r="AB198" s="109">
        <f t="shared" si="15"/>
        <v>879690.41</v>
      </c>
      <c r="AC198" s="1171"/>
      <c r="AD198" s="119">
        <v>879690.41</v>
      </c>
      <c r="AE198" s="1282"/>
      <c r="AF198" s="1084"/>
      <c r="AG198" s="1084"/>
      <c r="AH198" s="1084"/>
      <c r="AI198" s="1084"/>
      <c r="AJ198" s="1119"/>
      <c r="AK198" s="1119"/>
      <c r="AL198" s="1119"/>
      <c r="AM198" s="1119"/>
      <c r="AN198" s="1203"/>
      <c r="AO198" s="1204"/>
      <c r="AP198" s="1364"/>
      <c r="AQ198" s="934"/>
    </row>
    <row r="199" spans="1:43" s="4" customFormat="1" ht="15" customHeight="1">
      <c r="A199" s="1075"/>
      <c r="B199" s="1171"/>
      <c r="C199" s="1076"/>
      <c r="D199" s="1076"/>
      <c r="E199" s="1252"/>
      <c r="F199" s="1252"/>
      <c r="G199" s="1076"/>
      <c r="H199" s="1076"/>
      <c r="I199" s="1076"/>
      <c r="J199" s="1076" t="s">
        <v>67</v>
      </c>
      <c r="K199" s="1076"/>
      <c r="L199" s="1076"/>
      <c r="M199" s="132">
        <v>192</v>
      </c>
      <c r="N199" s="135" t="s">
        <v>7</v>
      </c>
      <c r="O199" s="109">
        <v>2362224</v>
      </c>
      <c r="P199" s="109">
        <f>O199</f>
        <v>2362224</v>
      </c>
      <c r="Q199" s="1119"/>
      <c r="R199" s="97">
        <v>40759</v>
      </c>
      <c r="S199" s="110"/>
      <c r="T199" s="109"/>
      <c r="U199" s="109"/>
      <c r="V199" s="109">
        <f>O199</f>
        <v>2362224</v>
      </c>
      <c r="W199" s="1119"/>
      <c r="X199" s="1076"/>
      <c r="Y199" s="108" t="s">
        <v>363</v>
      </c>
      <c r="Z199" s="109">
        <v>2362224</v>
      </c>
      <c r="AA199" s="109">
        <v>0</v>
      </c>
      <c r="AB199" s="109">
        <f t="shared" si="15"/>
        <v>2362224</v>
      </c>
      <c r="AC199" s="97">
        <v>42459</v>
      </c>
      <c r="AD199" s="119">
        <v>2362224</v>
      </c>
      <c r="AE199" s="935" t="s">
        <v>7</v>
      </c>
      <c r="AF199" s="111">
        <f>AD199</f>
        <v>2362224</v>
      </c>
      <c r="AG199" s="1084"/>
      <c r="AH199" s="111"/>
      <c r="AI199" s="111"/>
      <c r="AJ199" s="109">
        <v>0</v>
      </c>
      <c r="AK199" s="109">
        <f>P199-V199</f>
        <v>0</v>
      </c>
      <c r="AL199" s="109">
        <f>V199-Z199</f>
        <v>0</v>
      </c>
      <c r="AM199" s="109"/>
      <c r="AN199" s="1203"/>
      <c r="AO199" s="1204"/>
      <c r="AP199" s="1364"/>
      <c r="AQ199" s="934"/>
    </row>
    <row r="200" spans="1:43" s="4" customFormat="1" ht="15" customHeight="1">
      <c r="A200" s="1075"/>
      <c r="B200" s="1171"/>
      <c r="C200" s="1076"/>
      <c r="D200" s="1076"/>
      <c r="E200" s="1252"/>
      <c r="F200" s="1252"/>
      <c r="G200" s="1076"/>
      <c r="H200" s="1076"/>
      <c r="I200" s="1076"/>
      <c r="J200" s="1076"/>
      <c r="K200" s="1076"/>
      <c r="L200" s="1076"/>
      <c r="M200" s="132">
        <v>194</v>
      </c>
      <c r="N200" s="135" t="s">
        <v>7</v>
      </c>
      <c r="O200" s="109">
        <v>2178591</v>
      </c>
      <c r="P200" s="109">
        <f>O200</f>
        <v>2178591</v>
      </c>
      <c r="Q200" s="1119"/>
      <c r="R200" s="97">
        <v>40759</v>
      </c>
      <c r="S200" s="110"/>
      <c r="T200" s="109"/>
      <c r="U200" s="109"/>
      <c r="V200" s="109">
        <f>O200</f>
        <v>2178591</v>
      </c>
      <c r="W200" s="1119"/>
      <c r="X200" s="1076"/>
      <c r="Y200" s="108"/>
      <c r="Z200" s="109">
        <v>0</v>
      </c>
      <c r="AA200" s="109">
        <v>0</v>
      </c>
      <c r="AB200" s="109">
        <v>0</v>
      </c>
      <c r="AC200" s="97"/>
      <c r="AD200" s="119">
        <v>0</v>
      </c>
      <c r="AE200" s="935" t="s">
        <v>7</v>
      </c>
      <c r="AF200" s="111">
        <f>AD200</f>
        <v>0</v>
      </c>
      <c r="AG200" s="1084"/>
      <c r="AH200" s="111"/>
      <c r="AI200" s="111"/>
      <c r="AJ200" s="109">
        <v>0</v>
      </c>
      <c r="AK200" s="109">
        <f>P200-V200</f>
        <v>0</v>
      </c>
      <c r="AL200" s="109">
        <f>V200-Z200</f>
        <v>2178591</v>
      </c>
      <c r="AM200" s="109"/>
      <c r="AN200" s="1203"/>
      <c r="AO200" s="1204"/>
      <c r="AP200" s="1364"/>
      <c r="AQ200" s="934"/>
    </row>
    <row r="201" spans="1:43" s="4" customFormat="1" ht="15" customHeight="1">
      <c r="A201" s="1075" t="s">
        <v>384</v>
      </c>
      <c r="B201" s="1171">
        <v>40301</v>
      </c>
      <c r="C201" s="1076" t="s">
        <v>10</v>
      </c>
      <c r="D201" s="1076" t="s">
        <v>385</v>
      </c>
      <c r="E201" s="1252">
        <v>10536762</v>
      </c>
      <c r="F201" s="1252"/>
      <c r="G201" s="1076" t="s">
        <v>2823</v>
      </c>
      <c r="H201" s="1076" t="s">
        <v>70</v>
      </c>
      <c r="I201" s="1076" t="s">
        <v>177</v>
      </c>
      <c r="J201" s="1076" t="s">
        <v>66</v>
      </c>
      <c r="K201" s="1076" t="s">
        <v>49</v>
      </c>
      <c r="L201" s="1076" t="s">
        <v>389</v>
      </c>
      <c r="M201" s="1245">
        <v>65</v>
      </c>
      <c r="N201" s="135" t="s">
        <v>137</v>
      </c>
      <c r="O201" s="109">
        <v>1692000</v>
      </c>
      <c r="P201" s="1119">
        <f>O201+O202</f>
        <v>4230000</v>
      </c>
      <c r="Q201" s="1119">
        <f>P201+P203+P205+P207</f>
        <v>24376763</v>
      </c>
      <c r="R201" s="1171">
        <v>40413</v>
      </c>
      <c r="S201" s="1196">
        <v>4230000</v>
      </c>
      <c r="T201" s="110">
        <v>1692000</v>
      </c>
      <c r="U201" s="109">
        <f t="shared" ref="U201:U206" si="16">O201-T201</f>
        <v>0</v>
      </c>
      <c r="V201" s="109">
        <v>1692000</v>
      </c>
      <c r="W201" s="1119">
        <f>22470000+V207</f>
        <v>24375779</v>
      </c>
      <c r="X201" s="1076" t="s">
        <v>282</v>
      </c>
      <c r="Y201" s="108" t="s">
        <v>388</v>
      </c>
      <c r="Z201" s="109">
        <v>0</v>
      </c>
      <c r="AA201" s="109">
        <v>1692000</v>
      </c>
      <c r="AB201" s="109">
        <f>Z201+AA201</f>
        <v>1692000</v>
      </c>
      <c r="AC201" s="97">
        <v>40442</v>
      </c>
      <c r="AD201" s="119">
        <v>1692000</v>
      </c>
      <c r="AE201" s="935" t="s">
        <v>137</v>
      </c>
      <c r="AF201" s="1084">
        <f>SUM(AD201:AD202)</f>
        <v>1692000</v>
      </c>
      <c r="AG201" s="1084">
        <f>SUM(AF201:AF207)</f>
        <v>8988000</v>
      </c>
      <c r="AH201" s="111">
        <v>0</v>
      </c>
      <c r="AI201" s="111">
        <v>0</v>
      </c>
      <c r="AJ201" s="1119">
        <f>SUM(Z201:Z202)-SUM(AD201:AD202)</f>
        <v>-1692000</v>
      </c>
      <c r="AK201" s="1119">
        <f>P201-SUM(V201:V202)</f>
        <v>0</v>
      </c>
      <c r="AL201" s="1119">
        <f>SUM(V201:V202)-SUM(Z201:Z202)+AJ201</f>
        <v>2538000</v>
      </c>
      <c r="AM201" s="1119"/>
      <c r="AN201" s="1203" t="s">
        <v>390</v>
      </c>
      <c r="AO201" s="1204" t="s">
        <v>788</v>
      </c>
      <c r="AQ201" s="934"/>
    </row>
    <row r="202" spans="1:43" s="4" customFormat="1" ht="15" customHeight="1">
      <c r="A202" s="1075"/>
      <c r="B202" s="1171"/>
      <c r="C202" s="1076"/>
      <c r="D202" s="1076"/>
      <c r="E202" s="1252"/>
      <c r="F202" s="1252"/>
      <c r="G202" s="1076"/>
      <c r="H202" s="1076"/>
      <c r="I202" s="1076"/>
      <c r="J202" s="1076"/>
      <c r="K202" s="1076"/>
      <c r="L202" s="1076"/>
      <c r="M202" s="1245"/>
      <c r="N202" s="135" t="s">
        <v>7</v>
      </c>
      <c r="O202" s="109">
        <v>2538000</v>
      </c>
      <c r="P202" s="1119"/>
      <c r="Q202" s="1119"/>
      <c r="R202" s="1171"/>
      <c r="S202" s="1196"/>
      <c r="T202" s="110">
        <v>2538000</v>
      </c>
      <c r="U202" s="109">
        <f t="shared" si="16"/>
        <v>0</v>
      </c>
      <c r="V202" s="109">
        <v>2538000</v>
      </c>
      <c r="W202" s="1119"/>
      <c r="X202" s="1076"/>
      <c r="Y202" s="108"/>
      <c r="Z202" s="109">
        <v>0</v>
      </c>
      <c r="AA202" s="109">
        <v>0</v>
      </c>
      <c r="AB202" s="109">
        <v>0</v>
      </c>
      <c r="AC202" s="97"/>
      <c r="AD202" s="119">
        <v>0</v>
      </c>
      <c r="AE202" s="935" t="s">
        <v>7</v>
      </c>
      <c r="AF202" s="1084"/>
      <c r="AG202" s="1084"/>
      <c r="AH202" s="111">
        <v>0</v>
      </c>
      <c r="AI202" s="111">
        <v>0</v>
      </c>
      <c r="AJ202" s="1119"/>
      <c r="AK202" s="1119"/>
      <c r="AL202" s="1119"/>
      <c r="AM202" s="1119"/>
      <c r="AN202" s="1203"/>
      <c r="AO202" s="1204"/>
      <c r="AQ202" s="934"/>
    </row>
    <row r="203" spans="1:43" s="4" customFormat="1" ht="15" customHeight="1">
      <c r="A203" s="1075"/>
      <c r="B203" s="1171"/>
      <c r="C203" s="1076" t="s">
        <v>9</v>
      </c>
      <c r="D203" s="1076"/>
      <c r="E203" s="1252"/>
      <c r="F203" s="1252"/>
      <c r="G203" s="1076"/>
      <c r="H203" s="1076"/>
      <c r="I203" s="1076"/>
      <c r="J203" s="1076"/>
      <c r="K203" s="1076"/>
      <c r="L203" s="1076"/>
      <c r="M203" s="1245">
        <v>66</v>
      </c>
      <c r="N203" s="135" t="s">
        <v>137</v>
      </c>
      <c r="O203" s="109">
        <v>1568393.6</v>
      </c>
      <c r="P203" s="1119">
        <f>O203+O204</f>
        <v>3920984</v>
      </c>
      <c r="Q203" s="1119"/>
      <c r="R203" s="1171">
        <v>40413</v>
      </c>
      <c r="S203" s="1196">
        <v>3920984</v>
      </c>
      <c r="T203" s="109">
        <v>1568393.6</v>
      </c>
      <c r="U203" s="109">
        <f t="shared" si="16"/>
        <v>0</v>
      </c>
      <c r="V203" s="109">
        <v>1568000</v>
      </c>
      <c r="W203" s="1119"/>
      <c r="X203" s="1076"/>
      <c r="Y203" s="108" t="s">
        <v>387</v>
      </c>
      <c r="Z203" s="109">
        <v>0</v>
      </c>
      <c r="AA203" s="109">
        <v>1568000</v>
      </c>
      <c r="AB203" s="109">
        <f>Z203+AA203</f>
        <v>1568000</v>
      </c>
      <c r="AC203" s="97">
        <v>40442</v>
      </c>
      <c r="AD203" s="119">
        <v>1568000</v>
      </c>
      <c r="AE203" s="935" t="s">
        <v>137</v>
      </c>
      <c r="AF203" s="1084">
        <f>SUM(AD203:AD204)</f>
        <v>1568000</v>
      </c>
      <c r="AG203" s="1084"/>
      <c r="AH203" s="111">
        <v>0</v>
      </c>
      <c r="AI203" s="111">
        <v>0</v>
      </c>
      <c r="AJ203" s="1119">
        <f>SUM(Z203:Z204)-SUM(AD203:AD204)</f>
        <v>-1568000</v>
      </c>
      <c r="AK203" s="1119">
        <f>P203-SUM(V203:V204)</f>
        <v>984</v>
      </c>
      <c r="AL203" s="1119">
        <f>SUM(V203:V204)-SUM(Z203:Z204)+AJ203</f>
        <v>2352000</v>
      </c>
      <c r="AM203" s="1119">
        <f>AK203</f>
        <v>984</v>
      </c>
      <c r="AN203" s="1203"/>
      <c r="AO203" s="1204"/>
      <c r="AQ203" s="934"/>
    </row>
    <row r="204" spans="1:43" s="4" customFormat="1" ht="15" customHeight="1">
      <c r="A204" s="1075"/>
      <c r="B204" s="1171"/>
      <c r="C204" s="1076"/>
      <c r="D204" s="1076"/>
      <c r="E204" s="1252"/>
      <c r="F204" s="1252"/>
      <c r="G204" s="1076"/>
      <c r="H204" s="1076"/>
      <c r="I204" s="1076"/>
      <c r="J204" s="1076"/>
      <c r="K204" s="1076"/>
      <c r="L204" s="1076"/>
      <c r="M204" s="1245"/>
      <c r="N204" s="135" t="s">
        <v>7</v>
      </c>
      <c r="O204" s="109">
        <v>2352590.4</v>
      </c>
      <c r="P204" s="1119"/>
      <c r="Q204" s="1119"/>
      <c r="R204" s="1171"/>
      <c r="S204" s="1196"/>
      <c r="T204" s="109">
        <v>2352590.4</v>
      </c>
      <c r="U204" s="109">
        <f t="shared" si="16"/>
        <v>0</v>
      </c>
      <c r="V204" s="109">
        <v>2352000</v>
      </c>
      <c r="W204" s="1119"/>
      <c r="X204" s="1076"/>
      <c r="Y204" s="108"/>
      <c r="Z204" s="109">
        <v>0</v>
      </c>
      <c r="AA204" s="109">
        <v>0</v>
      </c>
      <c r="AB204" s="109">
        <v>0</v>
      </c>
      <c r="AC204" s="97"/>
      <c r="AD204" s="119">
        <v>0</v>
      </c>
      <c r="AE204" s="935" t="s">
        <v>7</v>
      </c>
      <c r="AF204" s="1084"/>
      <c r="AG204" s="1084"/>
      <c r="AH204" s="111">
        <v>0</v>
      </c>
      <c r="AI204" s="111">
        <v>0</v>
      </c>
      <c r="AJ204" s="1119"/>
      <c r="AK204" s="1119"/>
      <c r="AL204" s="1119"/>
      <c r="AM204" s="1119"/>
      <c r="AN204" s="1203"/>
      <c r="AO204" s="1204"/>
      <c r="AQ204" s="934"/>
    </row>
    <row r="205" spans="1:43" s="4" customFormat="1" ht="15" customHeight="1">
      <c r="A205" s="1075"/>
      <c r="B205" s="1171"/>
      <c r="C205" s="1076" t="s">
        <v>11</v>
      </c>
      <c r="D205" s="1076"/>
      <c r="E205" s="1252"/>
      <c r="F205" s="1252"/>
      <c r="G205" s="1076"/>
      <c r="H205" s="1076"/>
      <c r="I205" s="1076"/>
      <c r="J205" s="1076"/>
      <c r="K205" s="1076"/>
      <c r="L205" s="1076"/>
      <c r="M205" s="1245">
        <v>67</v>
      </c>
      <c r="N205" s="135" t="s">
        <v>137</v>
      </c>
      <c r="O205" s="109">
        <v>5728000</v>
      </c>
      <c r="P205" s="1119">
        <f>O205+O206</f>
        <v>14320000</v>
      </c>
      <c r="Q205" s="1119"/>
      <c r="R205" s="1171">
        <v>40413</v>
      </c>
      <c r="S205" s="1196">
        <v>14320000</v>
      </c>
      <c r="T205" s="109">
        <v>5728000</v>
      </c>
      <c r="U205" s="109">
        <f t="shared" si="16"/>
        <v>0</v>
      </c>
      <c r="V205" s="109">
        <v>5728000</v>
      </c>
      <c r="W205" s="1119"/>
      <c r="X205" s="1076"/>
      <c r="Y205" s="108" t="s">
        <v>387</v>
      </c>
      <c r="Z205" s="109">
        <v>0</v>
      </c>
      <c r="AA205" s="109">
        <v>5728000</v>
      </c>
      <c r="AB205" s="109">
        <f>Z205+AA205</f>
        <v>5728000</v>
      </c>
      <c r="AC205" s="97">
        <v>40442</v>
      </c>
      <c r="AD205" s="119">
        <v>5728000</v>
      </c>
      <c r="AE205" s="935" t="s">
        <v>137</v>
      </c>
      <c r="AF205" s="1084">
        <f>SUM(AD205:AD206)</f>
        <v>5728000</v>
      </c>
      <c r="AG205" s="1084"/>
      <c r="AH205" s="111">
        <v>0</v>
      </c>
      <c r="AI205" s="111">
        <v>0</v>
      </c>
      <c r="AJ205" s="1119">
        <f>SUM(Z205:Z206)-SUM(AD205:AD206)</f>
        <v>-5728000</v>
      </c>
      <c r="AK205" s="1119">
        <f>P205-SUM(V205:V206)</f>
        <v>0</v>
      </c>
      <c r="AL205" s="1119">
        <f>SUM(V205:V206)-SUM(Z205:Z206)+AJ205</f>
        <v>8592000</v>
      </c>
      <c r="AM205" s="1119"/>
      <c r="AN205" s="1203"/>
      <c r="AO205" s="1204"/>
      <c r="AQ205" s="934"/>
    </row>
    <row r="206" spans="1:43" s="4" customFormat="1" ht="15" customHeight="1">
      <c r="A206" s="1075"/>
      <c r="B206" s="1171"/>
      <c r="C206" s="1076"/>
      <c r="D206" s="1076"/>
      <c r="E206" s="1252"/>
      <c r="F206" s="1252"/>
      <c r="G206" s="1076"/>
      <c r="H206" s="1076"/>
      <c r="I206" s="1076"/>
      <c r="J206" s="1076"/>
      <c r="K206" s="1076"/>
      <c r="L206" s="1076"/>
      <c r="M206" s="1245"/>
      <c r="N206" s="135" t="s">
        <v>7</v>
      </c>
      <c r="O206" s="109">
        <v>8592000</v>
      </c>
      <c r="P206" s="1119"/>
      <c r="Q206" s="1119"/>
      <c r="R206" s="1171"/>
      <c r="S206" s="1196"/>
      <c r="T206" s="109">
        <v>8592000</v>
      </c>
      <c r="U206" s="109">
        <f t="shared" si="16"/>
        <v>0</v>
      </c>
      <c r="V206" s="109">
        <v>8592000</v>
      </c>
      <c r="W206" s="1119"/>
      <c r="X206" s="1076"/>
      <c r="Y206" s="108"/>
      <c r="Z206" s="109">
        <v>0</v>
      </c>
      <c r="AA206" s="109">
        <v>0</v>
      </c>
      <c r="AB206" s="109">
        <v>0</v>
      </c>
      <c r="AC206" s="97"/>
      <c r="AD206" s="119">
        <v>0</v>
      </c>
      <c r="AE206" s="935" t="s">
        <v>7</v>
      </c>
      <c r="AF206" s="1084"/>
      <c r="AG206" s="1084"/>
      <c r="AH206" s="111">
        <v>0</v>
      </c>
      <c r="AI206" s="111">
        <v>0</v>
      </c>
      <c r="AJ206" s="1119"/>
      <c r="AK206" s="1119"/>
      <c r="AL206" s="1119"/>
      <c r="AM206" s="1119"/>
      <c r="AN206" s="1203"/>
      <c r="AO206" s="1204"/>
      <c r="AQ206" s="934"/>
    </row>
    <row r="207" spans="1:43" s="4" customFormat="1" ht="15" customHeight="1">
      <c r="A207" s="1075"/>
      <c r="B207" s="1171"/>
      <c r="C207" s="113" t="s">
        <v>9</v>
      </c>
      <c r="D207" s="1076"/>
      <c r="E207" s="1252"/>
      <c r="F207" s="1252"/>
      <c r="G207" s="1076"/>
      <c r="H207" s="1076"/>
      <c r="I207" s="1076"/>
      <c r="J207" s="113" t="s">
        <v>67</v>
      </c>
      <c r="K207" s="1076"/>
      <c r="L207" s="1076"/>
      <c r="M207" s="132">
        <v>163</v>
      </c>
      <c r="N207" s="135" t="s">
        <v>7</v>
      </c>
      <c r="O207" s="109">
        <v>1905779</v>
      </c>
      <c r="P207" s="109">
        <f>O207</f>
        <v>1905779</v>
      </c>
      <c r="Q207" s="1119"/>
      <c r="R207" s="97">
        <v>40701</v>
      </c>
      <c r="S207" s="110">
        <v>1905779</v>
      </c>
      <c r="T207" s="109">
        <v>1905779</v>
      </c>
      <c r="U207" s="109">
        <f>P207-S207</f>
        <v>0</v>
      </c>
      <c r="V207" s="109">
        <v>1905779</v>
      </c>
      <c r="W207" s="1119"/>
      <c r="X207" s="1076"/>
      <c r="Y207" s="108"/>
      <c r="Z207" s="109">
        <v>0</v>
      </c>
      <c r="AA207" s="109">
        <v>0</v>
      </c>
      <c r="AB207" s="109">
        <v>0</v>
      </c>
      <c r="AC207" s="97"/>
      <c r="AD207" s="119">
        <v>0</v>
      </c>
      <c r="AE207" s="935" t="s">
        <v>7</v>
      </c>
      <c r="AF207" s="111">
        <f>AD207</f>
        <v>0</v>
      </c>
      <c r="AG207" s="1084"/>
      <c r="AH207" s="111">
        <v>0</v>
      </c>
      <c r="AI207" s="111">
        <v>0</v>
      </c>
      <c r="AJ207" s="109">
        <f>Z207-AD207</f>
        <v>0</v>
      </c>
      <c r="AK207" s="109">
        <f>P207-V207</f>
        <v>0</v>
      </c>
      <c r="AL207" s="109">
        <f>V207-Z207</f>
        <v>1905779</v>
      </c>
      <c r="AM207" s="109"/>
      <c r="AN207" s="1203"/>
      <c r="AO207" s="1204"/>
      <c r="AQ207" s="934"/>
    </row>
    <row r="208" spans="1:43" s="6" customFormat="1" ht="15" customHeight="1">
      <c r="A208" s="1330" t="s">
        <v>392</v>
      </c>
      <c r="B208" s="1120">
        <v>40301</v>
      </c>
      <c r="C208" s="1142" t="s">
        <v>25</v>
      </c>
      <c r="D208" s="1142" t="s">
        <v>393</v>
      </c>
      <c r="E208" s="1327">
        <v>10517839</v>
      </c>
      <c r="F208" s="1327"/>
      <c r="G208" s="1142" t="s">
        <v>2853</v>
      </c>
      <c r="H208" s="1142" t="s">
        <v>70</v>
      </c>
      <c r="I208" s="1142" t="s">
        <v>177</v>
      </c>
      <c r="J208" s="1142" t="s">
        <v>66</v>
      </c>
      <c r="K208" s="1142" t="s">
        <v>50</v>
      </c>
      <c r="L208" s="1142" t="s">
        <v>411</v>
      </c>
      <c r="M208" s="1286">
        <v>58</v>
      </c>
      <c r="N208" s="1326" t="s">
        <v>137</v>
      </c>
      <c r="O208" s="1084">
        <v>964000</v>
      </c>
      <c r="P208" s="1043">
        <f>O208+O210</f>
        <v>2410000</v>
      </c>
      <c r="Q208" s="1043">
        <f>P208+P212+P216+P220+P224+P228+P232+P236+P237+P238</f>
        <v>26823931</v>
      </c>
      <c r="R208" s="1120">
        <v>40413</v>
      </c>
      <c r="S208" s="111"/>
      <c r="T208" s="111"/>
      <c r="U208" s="111"/>
      <c r="V208" s="1084">
        <v>964000</v>
      </c>
      <c r="W208" s="1043">
        <f>24724371+V238</f>
        <v>26824371</v>
      </c>
      <c r="X208" s="1142" t="s">
        <v>282</v>
      </c>
      <c r="Y208" s="96" t="s">
        <v>396</v>
      </c>
      <c r="Z208" s="111">
        <v>0</v>
      </c>
      <c r="AA208" s="111">
        <v>964000</v>
      </c>
      <c r="AB208" s="111">
        <f t="shared" ref="AB208:AB242" si="17">Z208+AA208</f>
        <v>964000</v>
      </c>
      <c r="AC208" s="145">
        <v>40438</v>
      </c>
      <c r="AD208" s="119">
        <v>964000</v>
      </c>
      <c r="AE208" s="111" t="s">
        <v>137</v>
      </c>
      <c r="AF208" s="1043">
        <f>SUM(AD208:AD211)</f>
        <v>2265400</v>
      </c>
      <c r="AG208" s="1084">
        <f>SUM(AF208:AF239)</f>
        <v>24998252</v>
      </c>
      <c r="AH208" s="111">
        <f t="shared" ref="AH208:AH239" si="18">AB208-AD208</f>
        <v>0</v>
      </c>
      <c r="AI208" s="1084">
        <f>O208-AD208-AD209</f>
        <v>-520560</v>
      </c>
      <c r="AJ208" s="1043">
        <f>SUM(Z208:Z211)-SUM(AD208:AD211)</f>
        <v>144600</v>
      </c>
      <c r="AK208" s="1043">
        <f>SUM(O208:O211)-SUM(V208:V211)</f>
        <v>0</v>
      </c>
      <c r="AL208" s="1043">
        <f>SUM(V208:V211)-SUM(Z208:Z211)</f>
        <v>0</v>
      </c>
      <c r="AM208" s="1043">
        <f>AK208+AL208</f>
        <v>0</v>
      </c>
      <c r="AN208" s="1328" t="s">
        <v>412</v>
      </c>
      <c r="AO208" s="1329" t="s">
        <v>789</v>
      </c>
      <c r="AQ208" s="934"/>
    </row>
    <row r="209" spans="1:43" s="6" customFormat="1" ht="15" customHeight="1">
      <c r="A209" s="1331"/>
      <c r="B209" s="1121"/>
      <c r="C209" s="1143"/>
      <c r="D209" s="1143"/>
      <c r="E209" s="1193"/>
      <c r="F209" s="1193"/>
      <c r="G209" s="1143"/>
      <c r="H209" s="1143"/>
      <c r="I209" s="1143"/>
      <c r="J209" s="1143"/>
      <c r="K209" s="1143"/>
      <c r="L209" s="1143"/>
      <c r="M209" s="1287"/>
      <c r="N209" s="1326"/>
      <c r="O209" s="1084"/>
      <c r="P209" s="1044"/>
      <c r="Q209" s="1044"/>
      <c r="R209" s="1121"/>
      <c r="S209" s="111"/>
      <c r="T209" s="111"/>
      <c r="U209" s="111"/>
      <c r="V209" s="1084"/>
      <c r="W209" s="1044"/>
      <c r="X209" s="1143"/>
      <c r="Y209" s="1254" t="s">
        <v>409</v>
      </c>
      <c r="Z209" s="111">
        <v>867600</v>
      </c>
      <c r="AA209" s="111">
        <v>-347040</v>
      </c>
      <c r="AB209" s="111">
        <f t="shared" si="17"/>
        <v>520560</v>
      </c>
      <c r="AC209" s="1253">
        <v>41047</v>
      </c>
      <c r="AD209" s="119">
        <v>520560</v>
      </c>
      <c r="AE209" s="111" t="s">
        <v>137</v>
      </c>
      <c r="AF209" s="1044"/>
      <c r="AG209" s="1084"/>
      <c r="AH209" s="111">
        <f t="shared" si="18"/>
        <v>0</v>
      </c>
      <c r="AI209" s="1084"/>
      <c r="AJ209" s="1044"/>
      <c r="AK209" s="1044"/>
      <c r="AL209" s="1044"/>
      <c r="AM209" s="1044"/>
      <c r="AN209" s="1328"/>
      <c r="AO209" s="1329"/>
      <c r="AQ209" s="934"/>
    </row>
    <row r="210" spans="1:43" s="6" customFormat="1" ht="15" customHeight="1">
      <c r="A210" s="1331"/>
      <c r="B210" s="1121"/>
      <c r="C210" s="1143"/>
      <c r="D210" s="1143"/>
      <c r="E210" s="1193"/>
      <c r="F210" s="1193"/>
      <c r="G210" s="1143"/>
      <c r="H210" s="1143"/>
      <c r="I210" s="1143"/>
      <c r="J210" s="1143"/>
      <c r="K210" s="1143"/>
      <c r="L210" s="1143"/>
      <c r="M210" s="1287"/>
      <c r="N210" s="1316" t="s">
        <v>7</v>
      </c>
      <c r="O210" s="1043">
        <v>1446000</v>
      </c>
      <c r="P210" s="1044"/>
      <c r="Q210" s="1044"/>
      <c r="R210" s="1121"/>
      <c r="S210" s="111"/>
      <c r="T210" s="111"/>
      <c r="U210" s="111"/>
      <c r="V210" s="1043">
        <v>1446000</v>
      </c>
      <c r="W210" s="1044"/>
      <c r="X210" s="1143"/>
      <c r="Y210" s="1254"/>
      <c r="Z210" s="111">
        <v>1301400</v>
      </c>
      <c r="AA210" s="111">
        <v>-520560</v>
      </c>
      <c r="AB210" s="111">
        <f t="shared" si="17"/>
        <v>780840</v>
      </c>
      <c r="AC210" s="1253"/>
      <c r="AD210" s="119">
        <v>780840</v>
      </c>
      <c r="AE210" s="111" t="s">
        <v>7</v>
      </c>
      <c r="AF210" s="1044"/>
      <c r="AG210" s="1084"/>
      <c r="AH210" s="111">
        <f t="shared" si="18"/>
        <v>0</v>
      </c>
      <c r="AI210" s="1043">
        <f>O210-AD210</f>
        <v>665160</v>
      </c>
      <c r="AJ210" s="1044"/>
      <c r="AK210" s="1044"/>
      <c r="AL210" s="1044"/>
      <c r="AM210" s="1044"/>
      <c r="AN210" s="1328"/>
      <c r="AO210" s="1329"/>
      <c r="AQ210" s="934"/>
    </row>
    <row r="211" spans="1:43" s="6" customFormat="1" ht="15" customHeight="1">
      <c r="A211" s="1331"/>
      <c r="B211" s="1121"/>
      <c r="C211" s="1144"/>
      <c r="D211" s="1143"/>
      <c r="E211" s="1193"/>
      <c r="F211" s="1193"/>
      <c r="G211" s="1143"/>
      <c r="H211" s="1143"/>
      <c r="I211" s="1143"/>
      <c r="J211" s="1143"/>
      <c r="K211" s="1143"/>
      <c r="L211" s="1143"/>
      <c r="M211" s="1288"/>
      <c r="N211" s="1317"/>
      <c r="O211" s="1045"/>
      <c r="P211" s="1045"/>
      <c r="Q211" s="1044"/>
      <c r="R211" s="1160"/>
      <c r="S211" s="111"/>
      <c r="T211" s="111"/>
      <c r="U211" s="111"/>
      <c r="V211" s="1045"/>
      <c r="W211" s="1044"/>
      <c r="X211" s="1143"/>
      <c r="Y211" s="96"/>
      <c r="Z211" s="111">
        <v>241000</v>
      </c>
      <c r="AA211" s="111">
        <v>-96400</v>
      </c>
      <c r="AB211" s="111">
        <f t="shared" si="17"/>
        <v>144600</v>
      </c>
      <c r="AC211" s="144"/>
      <c r="AD211" s="119">
        <v>0</v>
      </c>
      <c r="AE211" s="111"/>
      <c r="AF211" s="1045"/>
      <c r="AG211" s="1084"/>
      <c r="AH211" s="111">
        <f t="shared" si="18"/>
        <v>144600</v>
      </c>
      <c r="AI211" s="1045"/>
      <c r="AJ211" s="1045"/>
      <c r="AK211" s="1045"/>
      <c r="AL211" s="1045"/>
      <c r="AM211" s="1045"/>
      <c r="AN211" s="1328"/>
      <c r="AO211" s="1329"/>
      <c r="AQ211" s="934"/>
    </row>
    <row r="212" spans="1:43" s="6" customFormat="1" ht="15" customHeight="1">
      <c r="A212" s="1331"/>
      <c r="B212" s="1121"/>
      <c r="C212" s="1142" t="s">
        <v>12</v>
      </c>
      <c r="D212" s="1143"/>
      <c r="E212" s="1193"/>
      <c r="F212" s="1193"/>
      <c r="G212" s="1143"/>
      <c r="H212" s="1143"/>
      <c r="I212" s="1143"/>
      <c r="J212" s="1143"/>
      <c r="K212" s="1143"/>
      <c r="L212" s="1143"/>
      <c r="M212" s="1286">
        <v>59</v>
      </c>
      <c r="N212" s="1326" t="s">
        <v>137</v>
      </c>
      <c r="O212" s="1084">
        <v>424000</v>
      </c>
      <c r="P212" s="1043">
        <f>O212+O214</f>
        <v>1060000</v>
      </c>
      <c r="Q212" s="1044"/>
      <c r="R212" s="1120">
        <v>40413</v>
      </c>
      <c r="S212" s="124"/>
      <c r="T212" s="111"/>
      <c r="U212" s="111"/>
      <c r="V212" s="1084">
        <v>424000</v>
      </c>
      <c r="W212" s="1044"/>
      <c r="X212" s="1143"/>
      <c r="Y212" s="121" t="s">
        <v>397</v>
      </c>
      <c r="Z212" s="111">
        <v>0</v>
      </c>
      <c r="AA212" s="111">
        <v>424000</v>
      </c>
      <c r="AB212" s="111">
        <f t="shared" si="17"/>
        <v>424000</v>
      </c>
      <c r="AC212" s="125">
        <v>40438</v>
      </c>
      <c r="AD212" s="119">
        <v>424000</v>
      </c>
      <c r="AE212" s="119" t="s">
        <v>137</v>
      </c>
      <c r="AF212" s="1043">
        <f>SUM(AD212:AD215)</f>
        <v>996400</v>
      </c>
      <c r="AG212" s="1084"/>
      <c r="AH212" s="111">
        <f t="shared" si="18"/>
        <v>0</v>
      </c>
      <c r="AI212" s="1084">
        <f>O212-AD212-AD213</f>
        <v>-343440</v>
      </c>
      <c r="AJ212" s="1043">
        <f>SUM(Z212:Z215)-SUM(AD212:AD215)</f>
        <v>63600</v>
      </c>
      <c r="AK212" s="1043">
        <f>SUM(O212:O215)-SUM(V212:V215)</f>
        <v>0</v>
      </c>
      <c r="AL212" s="1043">
        <f>SUM(V212:V215)-SUM(Z212:Z215)</f>
        <v>0</v>
      </c>
      <c r="AM212" s="1043">
        <f>AK212+AL212</f>
        <v>0</v>
      </c>
      <c r="AN212" s="1328"/>
      <c r="AO212" s="1329"/>
      <c r="AQ212" s="934"/>
    </row>
    <row r="213" spans="1:43" s="6" customFormat="1" ht="15" customHeight="1">
      <c r="A213" s="1331"/>
      <c r="B213" s="1121"/>
      <c r="C213" s="1143"/>
      <c r="D213" s="1143"/>
      <c r="E213" s="1193"/>
      <c r="F213" s="1193"/>
      <c r="G213" s="1143"/>
      <c r="H213" s="1143"/>
      <c r="I213" s="1143"/>
      <c r="J213" s="1143"/>
      <c r="K213" s="1143"/>
      <c r="L213" s="1143"/>
      <c r="M213" s="1287"/>
      <c r="N213" s="1326"/>
      <c r="O213" s="1084"/>
      <c r="P213" s="1044"/>
      <c r="Q213" s="1044"/>
      <c r="R213" s="1121"/>
      <c r="S213" s="124"/>
      <c r="T213" s="111"/>
      <c r="U213" s="111"/>
      <c r="V213" s="1084"/>
      <c r="W213" s="1044"/>
      <c r="X213" s="1143"/>
      <c r="Y213" s="1254" t="s">
        <v>401</v>
      </c>
      <c r="Z213" s="111">
        <v>381600</v>
      </c>
      <c r="AA213" s="111">
        <v>-152640</v>
      </c>
      <c r="AB213" s="111">
        <f t="shared" si="17"/>
        <v>228960</v>
      </c>
      <c r="AC213" s="1253">
        <v>40835</v>
      </c>
      <c r="AD213" s="119">
        <v>343440</v>
      </c>
      <c r="AE213" s="119" t="s">
        <v>137</v>
      </c>
      <c r="AF213" s="1044"/>
      <c r="AG213" s="1084"/>
      <c r="AH213" s="111">
        <f t="shared" si="18"/>
        <v>-114480</v>
      </c>
      <c r="AI213" s="1084"/>
      <c r="AJ213" s="1044"/>
      <c r="AK213" s="1044"/>
      <c r="AL213" s="1044"/>
      <c r="AM213" s="1044"/>
      <c r="AN213" s="1328"/>
      <c r="AO213" s="1329"/>
      <c r="AQ213" s="934"/>
    </row>
    <row r="214" spans="1:43" s="6" customFormat="1" ht="15" customHeight="1">
      <c r="A214" s="1331"/>
      <c r="B214" s="1121"/>
      <c r="C214" s="1143"/>
      <c r="D214" s="1143"/>
      <c r="E214" s="1193"/>
      <c r="F214" s="1193"/>
      <c r="G214" s="1143"/>
      <c r="H214" s="1143"/>
      <c r="I214" s="1143"/>
      <c r="J214" s="1143"/>
      <c r="K214" s="1143"/>
      <c r="L214" s="1143"/>
      <c r="M214" s="1287"/>
      <c r="N214" s="1316" t="s">
        <v>7</v>
      </c>
      <c r="O214" s="1043">
        <v>636000</v>
      </c>
      <c r="P214" s="1044"/>
      <c r="Q214" s="1044"/>
      <c r="R214" s="1121"/>
      <c r="S214" s="124"/>
      <c r="T214" s="111"/>
      <c r="U214" s="111"/>
      <c r="V214" s="1043">
        <v>636000</v>
      </c>
      <c r="W214" s="1044"/>
      <c r="X214" s="1143"/>
      <c r="Y214" s="1254"/>
      <c r="Z214" s="111">
        <v>572400</v>
      </c>
      <c r="AA214" s="111">
        <v>-228960</v>
      </c>
      <c r="AB214" s="111">
        <f t="shared" si="17"/>
        <v>343440</v>
      </c>
      <c r="AC214" s="1253"/>
      <c r="AD214" s="119">
        <v>228960</v>
      </c>
      <c r="AE214" s="119" t="s">
        <v>7</v>
      </c>
      <c r="AF214" s="1044"/>
      <c r="AG214" s="1084"/>
      <c r="AH214" s="111">
        <f t="shared" si="18"/>
        <v>114480</v>
      </c>
      <c r="AI214" s="1043">
        <f>O214-AD214</f>
        <v>407040</v>
      </c>
      <c r="AJ214" s="1044"/>
      <c r="AK214" s="1044"/>
      <c r="AL214" s="1044"/>
      <c r="AM214" s="1044"/>
      <c r="AN214" s="1328"/>
      <c r="AO214" s="1329"/>
      <c r="AQ214" s="934"/>
    </row>
    <row r="215" spans="1:43" s="6" customFormat="1" ht="15" customHeight="1">
      <c r="A215" s="1331"/>
      <c r="B215" s="1121"/>
      <c r="C215" s="1144"/>
      <c r="D215" s="1143"/>
      <c r="E215" s="1193"/>
      <c r="F215" s="1193"/>
      <c r="G215" s="1143"/>
      <c r="H215" s="1143"/>
      <c r="I215" s="1143"/>
      <c r="J215" s="1143"/>
      <c r="K215" s="1143"/>
      <c r="L215" s="1143"/>
      <c r="M215" s="1288"/>
      <c r="N215" s="1317"/>
      <c r="O215" s="1045"/>
      <c r="P215" s="1045"/>
      <c r="Q215" s="1044"/>
      <c r="R215" s="1160"/>
      <c r="S215" s="124"/>
      <c r="T215" s="111"/>
      <c r="U215" s="111"/>
      <c r="V215" s="1045"/>
      <c r="W215" s="1044"/>
      <c r="X215" s="1143"/>
      <c r="Y215" s="121"/>
      <c r="Z215" s="111">
        <v>106000</v>
      </c>
      <c r="AA215" s="111">
        <v>-42400</v>
      </c>
      <c r="AB215" s="111">
        <f t="shared" si="17"/>
        <v>63600</v>
      </c>
      <c r="AC215" s="125"/>
      <c r="AD215" s="119">
        <v>0</v>
      </c>
      <c r="AE215" s="119"/>
      <c r="AF215" s="1045"/>
      <c r="AG215" s="1084"/>
      <c r="AH215" s="111">
        <f t="shared" si="18"/>
        <v>63600</v>
      </c>
      <c r="AI215" s="1045"/>
      <c r="AJ215" s="1045"/>
      <c r="AK215" s="1045"/>
      <c r="AL215" s="1045"/>
      <c r="AM215" s="1045"/>
      <c r="AN215" s="1328"/>
      <c r="AO215" s="1329"/>
      <c r="AQ215" s="934"/>
    </row>
    <row r="216" spans="1:43" s="6" customFormat="1" ht="15" customHeight="1">
      <c r="A216" s="1331"/>
      <c r="B216" s="1121"/>
      <c r="C216" s="1142" t="s">
        <v>35</v>
      </c>
      <c r="D216" s="1143"/>
      <c r="E216" s="1193"/>
      <c r="F216" s="1193"/>
      <c r="G216" s="1143"/>
      <c r="H216" s="1143"/>
      <c r="I216" s="1143"/>
      <c r="J216" s="1143"/>
      <c r="K216" s="1143"/>
      <c r="L216" s="1143"/>
      <c r="M216" s="1286">
        <v>60</v>
      </c>
      <c r="N216" s="1326" t="s">
        <v>137</v>
      </c>
      <c r="O216" s="1084">
        <v>2100000</v>
      </c>
      <c r="P216" s="1043">
        <f>O216+O218</f>
        <v>5250000</v>
      </c>
      <c r="Q216" s="1044"/>
      <c r="R216" s="1120">
        <v>40413</v>
      </c>
      <c r="S216" s="124"/>
      <c r="T216" s="111"/>
      <c r="U216" s="111"/>
      <c r="V216" s="1084">
        <v>2100000</v>
      </c>
      <c r="W216" s="1044"/>
      <c r="X216" s="1143"/>
      <c r="Y216" s="121" t="s">
        <v>398</v>
      </c>
      <c r="Z216" s="111">
        <v>0</v>
      </c>
      <c r="AA216" s="111">
        <v>2100000</v>
      </c>
      <c r="AB216" s="111">
        <f t="shared" si="17"/>
        <v>2100000</v>
      </c>
      <c r="AC216" s="125">
        <v>40438</v>
      </c>
      <c r="AD216" s="119">
        <v>2100000</v>
      </c>
      <c r="AE216" s="119" t="s">
        <v>137</v>
      </c>
      <c r="AF216" s="1043">
        <f>SUM(AD216:AD219)</f>
        <v>4935000</v>
      </c>
      <c r="AG216" s="1084"/>
      <c r="AH216" s="111">
        <f t="shared" si="18"/>
        <v>0</v>
      </c>
      <c r="AI216" s="1084">
        <f>O216-AD216-AD217</f>
        <v>-1134000</v>
      </c>
      <c r="AJ216" s="1043">
        <f>SUM(Z216:Z219)-SUM(AD216:AD219)</f>
        <v>315000</v>
      </c>
      <c r="AK216" s="1043">
        <f>SUM(O216:O219)-SUM(V216:V219)</f>
        <v>0</v>
      </c>
      <c r="AL216" s="1043">
        <f>SUM(V216:V219)-SUM(Z216:Z219)</f>
        <v>0</v>
      </c>
      <c r="AM216" s="1043">
        <f>AK216+AL216</f>
        <v>0</v>
      </c>
      <c r="AN216" s="1328"/>
      <c r="AO216" s="1329"/>
      <c r="AQ216" s="934"/>
    </row>
    <row r="217" spans="1:43" s="6" customFormat="1" ht="15" customHeight="1">
      <c r="A217" s="1331"/>
      <c r="B217" s="1121"/>
      <c r="C217" s="1143"/>
      <c r="D217" s="1143"/>
      <c r="E217" s="1193"/>
      <c r="F217" s="1193"/>
      <c r="G217" s="1143"/>
      <c r="H217" s="1143"/>
      <c r="I217" s="1143"/>
      <c r="J217" s="1143"/>
      <c r="K217" s="1143"/>
      <c r="L217" s="1143"/>
      <c r="M217" s="1287"/>
      <c r="N217" s="1326"/>
      <c r="O217" s="1084"/>
      <c r="P217" s="1044"/>
      <c r="Q217" s="1044"/>
      <c r="R217" s="1121"/>
      <c r="S217" s="124"/>
      <c r="T217" s="111"/>
      <c r="U217" s="111"/>
      <c r="V217" s="1084"/>
      <c r="W217" s="1044"/>
      <c r="X217" s="1143"/>
      <c r="Y217" s="1254" t="s">
        <v>404</v>
      </c>
      <c r="Z217" s="111">
        <v>1890000</v>
      </c>
      <c r="AA217" s="111">
        <v>-756000</v>
      </c>
      <c r="AB217" s="111">
        <f t="shared" si="17"/>
        <v>1134000</v>
      </c>
      <c r="AC217" s="1253">
        <v>40837</v>
      </c>
      <c r="AD217" s="119">
        <v>1134000</v>
      </c>
      <c r="AE217" s="119" t="s">
        <v>137</v>
      </c>
      <c r="AF217" s="1044"/>
      <c r="AG217" s="1084"/>
      <c r="AH217" s="111">
        <f t="shared" si="18"/>
        <v>0</v>
      </c>
      <c r="AI217" s="1084"/>
      <c r="AJ217" s="1044"/>
      <c r="AK217" s="1044"/>
      <c r="AL217" s="1044"/>
      <c r="AM217" s="1044"/>
      <c r="AN217" s="1328"/>
      <c r="AO217" s="1329"/>
      <c r="AQ217" s="934"/>
    </row>
    <row r="218" spans="1:43" s="6" customFormat="1" ht="15" customHeight="1">
      <c r="A218" s="1331"/>
      <c r="B218" s="1121"/>
      <c r="C218" s="1143"/>
      <c r="D218" s="1143"/>
      <c r="E218" s="1193"/>
      <c r="F218" s="1193"/>
      <c r="G218" s="1143"/>
      <c r="H218" s="1143"/>
      <c r="I218" s="1143"/>
      <c r="J218" s="1143"/>
      <c r="K218" s="1143"/>
      <c r="L218" s="1143"/>
      <c r="M218" s="1287"/>
      <c r="N218" s="1316" t="s">
        <v>7</v>
      </c>
      <c r="O218" s="1043">
        <v>3150000</v>
      </c>
      <c r="P218" s="1044"/>
      <c r="Q218" s="1044"/>
      <c r="R218" s="1121"/>
      <c r="S218" s="124"/>
      <c r="T218" s="111"/>
      <c r="U218" s="111"/>
      <c r="V218" s="1043">
        <v>3150000</v>
      </c>
      <c r="W218" s="1044"/>
      <c r="X218" s="1143"/>
      <c r="Y218" s="1254"/>
      <c r="Z218" s="111">
        <v>2835000</v>
      </c>
      <c r="AA218" s="111">
        <v>-1134000</v>
      </c>
      <c r="AB218" s="111">
        <f t="shared" si="17"/>
        <v>1701000</v>
      </c>
      <c r="AC218" s="1253"/>
      <c r="AD218" s="119">
        <v>1701000</v>
      </c>
      <c r="AE218" s="119" t="s">
        <v>7</v>
      </c>
      <c r="AF218" s="1044"/>
      <c r="AG218" s="1084"/>
      <c r="AH218" s="111">
        <f t="shared" si="18"/>
        <v>0</v>
      </c>
      <c r="AI218" s="1043">
        <f>O218-AD218</f>
        <v>1449000</v>
      </c>
      <c r="AJ218" s="1044"/>
      <c r="AK218" s="1044"/>
      <c r="AL218" s="1044"/>
      <c r="AM218" s="1044"/>
      <c r="AN218" s="1328"/>
      <c r="AO218" s="1329"/>
      <c r="AQ218" s="934"/>
    </row>
    <row r="219" spans="1:43" s="6" customFormat="1" ht="15" customHeight="1">
      <c r="A219" s="1331"/>
      <c r="B219" s="1121"/>
      <c r="C219" s="1144"/>
      <c r="D219" s="1143"/>
      <c r="E219" s="1193"/>
      <c r="F219" s="1193"/>
      <c r="G219" s="1143"/>
      <c r="H219" s="1143"/>
      <c r="I219" s="1143"/>
      <c r="J219" s="1143"/>
      <c r="K219" s="1143"/>
      <c r="L219" s="1143"/>
      <c r="M219" s="1288"/>
      <c r="N219" s="1317"/>
      <c r="O219" s="1045"/>
      <c r="P219" s="1045"/>
      <c r="Q219" s="1044"/>
      <c r="R219" s="1160"/>
      <c r="S219" s="124"/>
      <c r="T219" s="111"/>
      <c r="U219" s="111"/>
      <c r="V219" s="1045"/>
      <c r="W219" s="1044"/>
      <c r="X219" s="1143"/>
      <c r="Y219" s="121"/>
      <c r="Z219" s="111">
        <v>525000</v>
      </c>
      <c r="AA219" s="111">
        <v>-210000</v>
      </c>
      <c r="AB219" s="111">
        <f t="shared" si="17"/>
        <v>315000</v>
      </c>
      <c r="AC219" s="125"/>
      <c r="AD219" s="119">
        <v>0</v>
      </c>
      <c r="AE219" s="119"/>
      <c r="AF219" s="1045"/>
      <c r="AG219" s="1084"/>
      <c r="AH219" s="111">
        <f t="shared" si="18"/>
        <v>315000</v>
      </c>
      <c r="AI219" s="1045"/>
      <c r="AJ219" s="1045"/>
      <c r="AK219" s="1045"/>
      <c r="AL219" s="1045"/>
      <c r="AM219" s="1045"/>
      <c r="AN219" s="1328"/>
      <c r="AO219" s="1329"/>
      <c r="AQ219" s="934"/>
    </row>
    <row r="220" spans="1:43" s="6" customFormat="1" ht="15" customHeight="1">
      <c r="A220" s="1331"/>
      <c r="B220" s="1121"/>
      <c r="C220" s="1142" t="s">
        <v>41</v>
      </c>
      <c r="D220" s="1143"/>
      <c r="E220" s="1193"/>
      <c r="F220" s="1193"/>
      <c r="G220" s="1143"/>
      <c r="H220" s="1143"/>
      <c r="I220" s="1143"/>
      <c r="J220" s="1143"/>
      <c r="K220" s="1143"/>
      <c r="L220" s="1143"/>
      <c r="M220" s="1286">
        <v>61</v>
      </c>
      <c r="N220" s="1326" t="s">
        <v>137</v>
      </c>
      <c r="O220" s="1084">
        <v>788000</v>
      </c>
      <c r="P220" s="1043">
        <f>O220+O222</f>
        <v>1970000</v>
      </c>
      <c r="Q220" s="1044"/>
      <c r="R220" s="1120">
        <v>40413</v>
      </c>
      <c r="S220" s="124"/>
      <c r="T220" s="111"/>
      <c r="U220" s="111"/>
      <c r="V220" s="1084">
        <v>788000</v>
      </c>
      <c r="W220" s="1044"/>
      <c r="X220" s="1143"/>
      <c r="Y220" s="121" t="s">
        <v>399</v>
      </c>
      <c r="Z220" s="111">
        <v>0</v>
      </c>
      <c r="AA220" s="111">
        <v>788000</v>
      </c>
      <c r="AB220" s="111">
        <f t="shared" si="17"/>
        <v>788000</v>
      </c>
      <c r="AC220" s="125">
        <v>40438</v>
      </c>
      <c r="AD220" s="119">
        <v>788000</v>
      </c>
      <c r="AE220" s="119" t="s">
        <v>137</v>
      </c>
      <c r="AF220" s="1043">
        <f>SUM(AD220:AD223)</f>
        <v>1851800</v>
      </c>
      <c r="AG220" s="1084"/>
      <c r="AH220" s="111">
        <f t="shared" si="18"/>
        <v>0</v>
      </c>
      <c r="AI220" s="1084">
        <f>O220-AD220-AD221</f>
        <v>-425520</v>
      </c>
      <c r="AJ220" s="1043">
        <f>SUM(Z220:Z223)-SUM(AD220:AD223)</f>
        <v>118200</v>
      </c>
      <c r="AK220" s="1043">
        <f>SUM(O220:O223)-SUM(V220:V223)</f>
        <v>0</v>
      </c>
      <c r="AL220" s="1043">
        <f>SUM(V220:V223)-SUM(Z220:Z223)</f>
        <v>0</v>
      </c>
      <c r="AM220" s="1043">
        <f>AK220+AL220</f>
        <v>0</v>
      </c>
      <c r="AN220" s="1328"/>
      <c r="AO220" s="1329"/>
      <c r="AQ220" s="934"/>
    </row>
    <row r="221" spans="1:43" s="6" customFormat="1" ht="15" customHeight="1">
      <c r="A221" s="1331"/>
      <c r="B221" s="1121"/>
      <c r="C221" s="1143"/>
      <c r="D221" s="1143"/>
      <c r="E221" s="1193"/>
      <c r="F221" s="1193"/>
      <c r="G221" s="1143"/>
      <c r="H221" s="1143"/>
      <c r="I221" s="1143"/>
      <c r="J221" s="1143"/>
      <c r="K221" s="1143"/>
      <c r="L221" s="1143"/>
      <c r="M221" s="1287"/>
      <c r="N221" s="1326"/>
      <c r="O221" s="1084"/>
      <c r="P221" s="1044"/>
      <c r="Q221" s="1044"/>
      <c r="R221" s="1121"/>
      <c r="S221" s="124"/>
      <c r="T221" s="111"/>
      <c r="U221" s="111"/>
      <c r="V221" s="1084"/>
      <c r="W221" s="1044"/>
      <c r="X221" s="1143"/>
      <c r="Y221" s="1254" t="s">
        <v>410</v>
      </c>
      <c r="Z221" s="111">
        <v>709200</v>
      </c>
      <c r="AA221" s="111">
        <v>-283680</v>
      </c>
      <c r="AB221" s="111">
        <f t="shared" si="17"/>
        <v>425520</v>
      </c>
      <c r="AC221" s="1253">
        <v>41191</v>
      </c>
      <c r="AD221" s="119">
        <v>425520</v>
      </c>
      <c r="AE221" s="119" t="s">
        <v>137</v>
      </c>
      <c r="AF221" s="1044"/>
      <c r="AG221" s="1084"/>
      <c r="AH221" s="111">
        <f t="shared" si="18"/>
        <v>0</v>
      </c>
      <c r="AI221" s="1084"/>
      <c r="AJ221" s="1044"/>
      <c r="AK221" s="1044"/>
      <c r="AL221" s="1044"/>
      <c r="AM221" s="1044"/>
      <c r="AN221" s="1328"/>
      <c r="AO221" s="1329"/>
      <c r="AQ221" s="934"/>
    </row>
    <row r="222" spans="1:43" s="6" customFormat="1" ht="15" customHeight="1">
      <c r="A222" s="1331"/>
      <c r="B222" s="1121"/>
      <c r="C222" s="1143"/>
      <c r="D222" s="1143"/>
      <c r="E222" s="1193"/>
      <c r="F222" s="1193"/>
      <c r="G222" s="1143"/>
      <c r="H222" s="1143"/>
      <c r="I222" s="1143"/>
      <c r="J222" s="1143"/>
      <c r="K222" s="1143"/>
      <c r="L222" s="1143"/>
      <c r="M222" s="1287"/>
      <c r="N222" s="1316" t="s">
        <v>7</v>
      </c>
      <c r="O222" s="1043">
        <v>1182000</v>
      </c>
      <c r="P222" s="1044"/>
      <c r="Q222" s="1044"/>
      <c r="R222" s="1121"/>
      <c r="S222" s="124"/>
      <c r="T222" s="111"/>
      <c r="U222" s="111"/>
      <c r="V222" s="1043">
        <v>1182000</v>
      </c>
      <c r="W222" s="1044"/>
      <c r="X222" s="1143"/>
      <c r="Y222" s="1254"/>
      <c r="Z222" s="111">
        <v>1063800</v>
      </c>
      <c r="AA222" s="111">
        <v>-425520</v>
      </c>
      <c r="AB222" s="111">
        <f t="shared" si="17"/>
        <v>638280</v>
      </c>
      <c r="AC222" s="1253"/>
      <c r="AD222" s="119">
        <v>638280</v>
      </c>
      <c r="AE222" s="119" t="s">
        <v>7</v>
      </c>
      <c r="AF222" s="1044"/>
      <c r="AG222" s="1084"/>
      <c r="AH222" s="111">
        <f t="shared" si="18"/>
        <v>0</v>
      </c>
      <c r="AI222" s="1043">
        <f>O222-AD222</f>
        <v>543720</v>
      </c>
      <c r="AJ222" s="1044"/>
      <c r="AK222" s="1044"/>
      <c r="AL222" s="1044"/>
      <c r="AM222" s="1044"/>
      <c r="AN222" s="1328"/>
      <c r="AO222" s="1329"/>
      <c r="AQ222" s="934"/>
    </row>
    <row r="223" spans="1:43" s="6" customFormat="1" ht="15" customHeight="1">
      <c r="A223" s="1331"/>
      <c r="B223" s="1121"/>
      <c r="C223" s="1143"/>
      <c r="D223" s="1143"/>
      <c r="E223" s="1193"/>
      <c r="F223" s="1193"/>
      <c r="G223" s="1143"/>
      <c r="H223" s="1143"/>
      <c r="I223" s="1143"/>
      <c r="J223" s="1143"/>
      <c r="K223" s="1143"/>
      <c r="L223" s="1143"/>
      <c r="M223" s="1288"/>
      <c r="N223" s="1317"/>
      <c r="O223" s="1045"/>
      <c r="P223" s="1045"/>
      <c r="Q223" s="1044"/>
      <c r="R223" s="1160"/>
      <c r="S223" s="124"/>
      <c r="T223" s="111"/>
      <c r="U223" s="111"/>
      <c r="V223" s="1045"/>
      <c r="W223" s="1044"/>
      <c r="X223" s="1143"/>
      <c r="Y223" s="121"/>
      <c r="Z223" s="111">
        <v>197000</v>
      </c>
      <c r="AA223" s="111">
        <v>-78800</v>
      </c>
      <c r="AB223" s="111">
        <f t="shared" si="17"/>
        <v>118200</v>
      </c>
      <c r="AC223" s="125"/>
      <c r="AD223" s="119">
        <v>0</v>
      </c>
      <c r="AE223" s="119"/>
      <c r="AF223" s="1045"/>
      <c r="AG223" s="1084"/>
      <c r="AH223" s="111">
        <f t="shared" si="18"/>
        <v>118200</v>
      </c>
      <c r="AI223" s="1045"/>
      <c r="AJ223" s="1045"/>
      <c r="AK223" s="1045"/>
      <c r="AL223" s="1045"/>
      <c r="AM223" s="1045"/>
      <c r="AN223" s="1328"/>
      <c r="AO223" s="1329"/>
      <c r="AQ223" s="934"/>
    </row>
    <row r="224" spans="1:43" s="6" customFormat="1" ht="15" customHeight="1">
      <c r="A224" s="1331"/>
      <c r="B224" s="1121"/>
      <c r="C224" s="1143"/>
      <c r="D224" s="1143"/>
      <c r="E224" s="1193"/>
      <c r="F224" s="1193"/>
      <c r="G224" s="1143"/>
      <c r="H224" s="1143"/>
      <c r="I224" s="1143"/>
      <c r="J224" s="1143"/>
      <c r="K224" s="1143"/>
      <c r="L224" s="1143"/>
      <c r="M224" s="1286">
        <v>62</v>
      </c>
      <c r="N224" s="1326" t="s">
        <v>137</v>
      </c>
      <c r="O224" s="1084">
        <v>1040000</v>
      </c>
      <c r="P224" s="1043">
        <f>O224+O226</f>
        <v>2600000</v>
      </c>
      <c r="Q224" s="1044"/>
      <c r="R224" s="1120">
        <v>40413</v>
      </c>
      <c r="S224" s="124"/>
      <c r="T224" s="111"/>
      <c r="U224" s="111"/>
      <c r="V224" s="1084">
        <v>1040000</v>
      </c>
      <c r="W224" s="1044"/>
      <c r="X224" s="1143"/>
      <c r="Y224" s="121" t="s">
        <v>399</v>
      </c>
      <c r="Z224" s="111">
        <v>0</v>
      </c>
      <c r="AA224" s="111">
        <v>1040000</v>
      </c>
      <c r="AB224" s="111">
        <f t="shared" si="17"/>
        <v>1040000</v>
      </c>
      <c r="AC224" s="125">
        <v>40438</v>
      </c>
      <c r="AD224" s="119">
        <v>1040000</v>
      </c>
      <c r="AE224" s="119" t="s">
        <v>137</v>
      </c>
      <c r="AF224" s="1043">
        <f>SUM(AD224:AD227)</f>
        <v>2444000</v>
      </c>
      <c r="AG224" s="1084"/>
      <c r="AH224" s="111">
        <f t="shared" si="18"/>
        <v>0</v>
      </c>
      <c r="AI224" s="1084">
        <f>O224-AD224-AD225</f>
        <v>-561600</v>
      </c>
      <c r="AJ224" s="1043">
        <f>SUM(Z224:Z227)-SUM(AD224:AD227)</f>
        <v>156000</v>
      </c>
      <c r="AK224" s="1043">
        <f>SUM(O224:O227)-SUM(V224:V227)</f>
        <v>0</v>
      </c>
      <c r="AL224" s="1043">
        <f>SUM(V224:V227)-SUM(Z224:Z227)</f>
        <v>0</v>
      </c>
      <c r="AM224" s="1043">
        <f>AK224+AL224</f>
        <v>0</v>
      </c>
      <c r="AN224" s="1328"/>
      <c r="AO224" s="1329"/>
      <c r="AQ224" s="934"/>
    </row>
    <row r="225" spans="1:43" s="6" customFormat="1" ht="15" customHeight="1">
      <c r="A225" s="1331"/>
      <c r="B225" s="1121"/>
      <c r="C225" s="1143"/>
      <c r="D225" s="1143"/>
      <c r="E225" s="1193"/>
      <c r="F225" s="1193"/>
      <c r="G225" s="1143"/>
      <c r="H225" s="1143"/>
      <c r="I225" s="1143"/>
      <c r="J225" s="1143"/>
      <c r="K225" s="1143"/>
      <c r="L225" s="1143"/>
      <c r="M225" s="1287"/>
      <c r="N225" s="1326"/>
      <c r="O225" s="1084"/>
      <c r="P225" s="1044"/>
      <c r="Q225" s="1044"/>
      <c r="R225" s="1121"/>
      <c r="S225" s="124"/>
      <c r="T225" s="111"/>
      <c r="U225" s="111"/>
      <c r="V225" s="1084"/>
      <c r="W225" s="1044"/>
      <c r="X225" s="1143"/>
      <c r="Y225" s="1254" t="s">
        <v>403</v>
      </c>
      <c r="Z225" s="111">
        <v>936000</v>
      </c>
      <c r="AA225" s="111">
        <v>-374400</v>
      </c>
      <c r="AB225" s="111">
        <f t="shared" si="17"/>
        <v>561600</v>
      </c>
      <c r="AC225" s="1253">
        <v>40835</v>
      </c>
      <c r="AD225" s="119">
        <v>561600</v>
      </c>
      <c r="AE225" s="119" t="s">
        <v>137</v>
      </c>
      <c r="AF225" s="1044"/>
      <c r="AG225" s="1084"/>
      <c r="AH225" s="111">
        <f t="shared" si="18"/>
        <v>0</v>
      </c>
      <c r="AI225" s="1084"/>
      <c r="AJ225" s="1044"/>
      <c r="AK225" s="1044"/>
      <c r="AL225" s="1044"/>
      <c r="AM225" s="1044"/>
      <c r="AN225" s="1328"/>
      <c r="AO225" s="1329"/>
      <c r="AQ225" s="934"/>
    </row>
    <row r="226" spans="1:43" s="6" customFormat="1" ht="15" customHeight="1">
      <c r="A226" s="1331"/>
      <c r="B226" s="1121"/>
      <c r="C226" s="1143"/>
      <c r="D226" s="1143"/>
      <c r="E226" s="1193"/>
      <c r="F226" s="1193"/>
      <c r="G226" s="1143"/>
      <c r="H226" s="1143"/>
      <c r="I226" s="1143"/>
      <c r="J226" s="1143"/>
      <c r="K226" s="1143"/>
      <c r="L226" s="1143"/>
      <c r="M226" s="1287"/>
      <c r="N226" s="1157" t="s">
        <v>7</v>
      </c>
      <c r="O226" s="1043">
        <v>1560000</v>
      </c>
      <c r="P226" s="1044"/>
      <c r="Q226" s="1044"/>
      <c r="R226" s="1121"/>
      <c r="S226" s="124"/>
      <c r="T226" s="111"/>
      <c r="U226" s="111"/>
      <c r="V226" s="1043">
        <v>1560000</v>
      </c>
      <c r="W226" s="1044"/>
      <c r="X226" s="1143"/>
      <c r="Y226" s="1254"/>
      <c r="Z226" s="111">
        <v>1404000</v>
      </c>
      <c r="AA226" s="111">
        <v>-561600</v>
      </c>
      <c r="AB226" s="111">
        <f t="shared" si="17"/>
        <v>842400</v>
      </c>
      <c r="AC226" s="1253"/>
      <c r="AD226" s="119">
        <v>842400</v>
      </c>
      <c r="AE226" s="119" t="s">
        <v>7</v>
      </c>
      <c r="AF226" s="1044"/>
      <c r="AG226" s="1084"/>
      <c r="AH226" s="111">
        <f t="shared" si="18"/>
        <v>0</v>
      </c>
      <c r="AI226" s="1043">
        <f>O226-AD226</f>
        <v>717600</v>
      </c>
      <c r="AJ226" s="1044"/>
      <c r="AK226" s="1044"/>
      <c r="AL226" s="1044"/>
      <c r="AM226" s="1044"/>
      <c r="AN226" s="1328"/>
      <c r="AO226" s="1329"/>
      <c r="AQ226" s="934"/>
    </row>
    <row r="227" spans="1:43" s="6" customFormat="1" ht="15" customHeight="1">
      <c r="A227" s="1331"/>
      <c r="B227" s="1121"/>
      <c r="C227" s="1143"/>
      <c r="D227" s="1143"/>
      <c r="E227" s="1193"/>
      <c r="F227" s="1193"/>
      <c r="G227" s="1143"/>
      <c r="H227" s="1143"/>
      <c r="I227" s="1143"/>
      <c r="J227" s="1143"/>
      <c r="K227" s="1143"/>
      <c r="L227" s="1143"/>
      <c r="M227" s="1288"/>
      <c r="N227" s="1159"/>
      <c r="O227" s="1045"/>
      <c r="P227" s="1045"/>
      <c r="Q227" s="1044"/>
      <c r="R227" s="1160"/>
      <c r="S227" s="124"/>
      <c r="T227" s="111"/>
      <c r="U227" s="111"/>
      <c r="V227" s="1045"/>
      <c r="W227" s="1044"/>
      <c r="X227" s="1143"/>
      <c r="Y227" s="121"/>
      <c r="Z227" s="111">
        <v>260000</v>
      </c>
      <c r="AA227" s="111">
        <v>-104000</v>
      </c>
      <c r="AB227" s="111">
        <f t="shared" si="17"/>
        <v>156000</v>
      </c>
      <c r="AC227" s="125"/>
      <c r="AD227" s="119">
        <v>0</v>
      </c>
      <c r="AE227" s="119"/>
      <c r="AF227" s="1045"/>
      <c r="AG227" s="1084"/>
      <c r="AH227" s="111">
        <f t="shared" si="18"/>
        <v>156000</v>
      </c>
      <c r="AI227" s="1045"/>
      <c r="AJ227" s="1045"/>
      <c r="AK227" s="1045"/>
      <c r="AL227" s="1045"/>
      <c r="AM227" s="1045"/>
      <c r="AN227" s="1328"/>
      <c r="AO227" s="1329"/>
      <c r="AQ227" s="934"/>
    </row>
    <row r="228" spans="1:43" s="6" customFormat="1" ht="15" customHeight="1">
      <c r="A228" s="1331"/>
      <c r="B228" s="1121"/>
      <c r="C228" s="1143"/>
      <c r="D228" s="1143"/>
      <c r="E228" s="1193"/>
      <c r="F228" s="1193"/>
      <c r="G228" s="1143"/>
      <c r="H228" s="1143"/>
      <c r="I228" s="1143"/>
      <c r="J228" s="1143"/>
      <c r="K228" s="1143"/>
      <c r="L228" s="1143"/>
      <c r="M228" s="1286">
        <v>63</v>
      </c>
      <c r="N228" s="1326" t="s">
        <v>137</v>
      </c>
      <c r="O228" s="1084">
        <v>1592000</v>
      </c>
      <c r="P228" s="1043">
        <f>O228+O230</f>
        <v>3980000</v>
      </c>
      <c r="Q228" s="1044"/>
      <c r="R228" s="1120">
        <v>40413</v>
      </c>
      <c r="S228" s="124"/>
      <c r="T228" s="111"/>
      <c r="U228" s="111"/>
      <c r="V228" s="1084">
        <v>1592000</v>
      </c>
      <c r="W228" s="1044"/>
      <c r="X228" s="1143"/>
      <c r="Y228" s="121" t="s">
        <v>399</v>
      </c>
      <c r="Z228" s="111">
        <v>0</v>
      </c>
      <c r="AA228" s="111">
        <v>1592000</v>
      </c>
      <c r="AB228" s="111">
        <f t="shared" si="17"/>
        <v>1592000</v>
      </c>
      <c r="AC228" s="125">
        <v>40438</v>
      </c>
      <c r="AD228" s="119">
        <v>1592000</v>
      </c>
      <c r="AE228" s="119" t="s">
        <v>137</v>
      </c>
      <c r="AF228" s="1043">
        <f>SUM(AD228:AD231)</f>
        <v>3741200</v>
      </c>
      <c r="AG228" s="1084"/>
      <c r="AH228" s="111">
        <f t="shared" si="18"/>
        <v>0</v>
      </c>
      <c r="AI228" s="1084">
        <f>O228-AD228-AD229</f>
        <v>-859680.5</v>
      </c>
      <c r="AJ228" s="1043">
        <f>SUM(Z228:Z231)-SUM(AD228:AD231)</f>
        <v>238800</v>
      </c>
      <c r="AK228" s="1043">
        <f>SUM(O228:O231)-SUM(V228:V231)</f>
        <v>0</v>
      </c>
      <c r="AL228" s="1043">
        <f>SUM(V228:V231)-SUM(Z228:Z231)</f>
        <v>0</v>
      </c>
      <c r="AM228" s="1043">
        <f>AK228+AL228</f>
        <v>0</v>
      </c>
      <c r="AN228" s="1328"/>
      <c r="AO228" s="1329"/>
      <c r="AQ228" s="934"/>
    </row>
    <row r="229" spans="1:43" s="6" customFormat="1" ht="15" customHeight="1">
      <c r="A229" s="1331"/>
      <c r="B229" s="1121"/>
      <c r="C229" s="1143"/>
      <c r="D229" s="1143"/>
      <c r="E229" s="1193"/>
      <c r="F229" s="1193"/>
      <c r="G229" s="1143"/>
      <c r="H229" s="1143"/>
      <c r="I229" s="1143"/>
      <c r="J229" s="1143"/>
      <c r="K229" s="1143"/>
      <c r="L229" s="1143"/>
      <c r="M229" s="1287"/>
      <c r="N229" s="1326"/>
      <c r="O229" s="1084"/>
      <c r="P229" s="1044"/>
      <c r="Q229" s="1044"/>
      <c r="R229" s="1121"/>
      <c r="S229" s="124"/>
      <c r="T229" s="111"/>
      <c r="U229" s="111"/>
      <c r="V229" s="1084"/>
      <c r="W229" s="1044"/>
      <c r="X229" s="1143"/>
      <c r="Y229" s="1254" t="s">
        <v>402</v>
      </c>
      <c r="Z229" s="111">
        <v>1432800</v>
      </c>
      <c r="AA229" s="111">
        <v>-573120</v>
      </c>
      <c r="AB229" s="111">
        <f t="shared" si="17"/>
        <v>859680</v>
      </c>
      <c r="AC229" s="1253">
        <v>40835</v>
      </c>
      <c r="AD229" s="119">
        <v>859680.5</v>
      </c>
      <c r="AE229" s="119" t="s">
        <v>137</v>
      </c>
      <c r="AF229" s="1044"/>
      <c r="AG229" s="1084"/>
      <c r="AH229" s="111">
        <f t="shared" si="18"/>
        <v>-0.5</v>
      </c>
      <c r="AI229" s="1084"/>
      <c r="AJ229" s="1044"/>
      <c r="AK229" s="1044"/>
      <c r="AL229" s="1044"/>
      <c r="AM229" s="1044"/>
      <c r="AN229" s="1328"/>
      <c r="AO229" s="1329"/>
      <c r="AQ229" s="934"/>
    </row>
    <row r="230" spans="1:43" s="6" customFormat="1" ht="15" customHeight="1">
      <c r="A230" s="1331"/>
      <c r="B230" s="1121"/>
      <c r="C230" s="1143"/>
      <c r="D230" s="1143"/>
      <c r="E230" s="1193"/>
      <c r="F230" s="1193"/>
      <c r="G230" s="1143"/>
      <c r="H230" s="1143"/>
      <c r="I230" s="1143"/>
      <c r="J230" s="1143"/>
      <c r="K230" s="1143"/>
      <c r="L230" s="1143"/>
      <c r="M230" s="1287"/>
      <c r="N230" s="1157" t="s">
        <v>7</v>
      </c>
      <c r="O230" s="1043">
        <v>2388000</v>
      </c>
      <c r="P230" s="1044"/>
      <c r="Q230" s="1044"/>
      <c r="R230" s="1121"/>
      <c r="S230" s="124"/>
      <c r="T230" s="111"/>
      <c r="U230" s="111"/>
      <c r="V230" s="1043">
        <v>2388000</v>
      </c>
      <c r="W230" s="1044"/>
      <c r="X230" s="1143"/>
      <c r="Y230" s="1254"/>
      <c r="Z230" s="111">
        <v>2149200</v>
      </c>
      <c r="AA230" s="111">
        <v>-859680</v>
      </c>
      <c r="AB230" s="111">
        <f t="shared" si="17"/>
        <v>1289520</v>
      </c>
      <c r="AC230" s="1253"/>
      <c r="AD230" s="119">
        <v>1289519.5</v>
      </c>
      <c r="AE230" s="119" t="s">
        <v>7</v>
      </c>
      <c r="AF230" s="1044"/>
      <c r="AG230" s="1084"/>
      <c r="AH230" s="111">
        <f t="shared" si="18"/>
        <v>0.5</v>
      </c>
      <c r="AI230" s="1043">
        <f>O230-AD230</f>
        <v>1098480.5</v>
      </c>
      <c r="AJ230" s="1044"/>
      <c r="AK230" s="1044"/>
      <c r="AL230" s="1044"/>
      <c r="AM230" s="1044"/>
      <c r="AN230" s="1328"/>
      <c r="AO230" s="1329"/>
      <c r="AQ230" s="934"/>
    </row>
    <row r="231" spans="1:43" s="6" customFormat="1" ht="15" customHeight="1">
      <c r="A231" s="1331"/>
      <c r="B231" s="1121"/>
      <c r="C231" s="1144"/>
      <c r="D231" s="1143"/>
      <c r="E231" s="1193"/>
      <c r="F231" s="1193"/>
      <c r="G231" s="1143"/>
      <c r="H231" s="1143"/>
      <c r="I231" s="1143"/>
      <c r="J231" s="1143"/>
      <c r="K231" s="1143"/>
      <c r="L231" s="1143"/>
      <c r="M231" s="1288"/>
      <c r="N231" s="1159"/>
      <c r="O231" s="1045"/>
      <c r="P231" s="1045"/>
      <c r="Q231" s="1044"/>
      <c r="R231" s="1160"/>
      <c r="S231" s="124"/>
      <c r="T231" s="111"/>
      <c r="U231" s="111"/>
      <c r="V231" s="1045"/>
      <c r="W231" s="1044"/>
      <c r="X231" s="1143"/>
      <c r="Y231" s="121"/>
      <c r="Z231" s="111">
        <v>398000</v>
      </c>
      <c r="AA231" s="111">
        <v>-159200</v>
      </c>
      <c r="AB231" s="111">
        <f t="shared" si="17"/>
        <v>238800</v>
      </c>
      <c r="AC231" s="125"/>
      <c r="AD231" s="119">
        <v>0</v>
      </c>
      <c r="AE231" s="119"/>
      <c r="AF231" s="1045"/>
      <c r="AG231" s="1084"/>
      <c r="AH231" s="111">
        <f t="shared" si="18"/>
        <v>238800</v>
      </c>
      <c r="AI231" s="1045"/>
      <c r="AJ231" s="1045"/>
      <c r="AK231" s="1045"/>
      <c r="AL231" s="1045"/>
      <c r="AM231" s="1045"/>
      <c r="AN231" s="1328"/>
      <c r="AO231" s="1329"/>
      <c r="AQ231" s="934"/>
    </row>
    <row r="232" spans="1:43" s="6" customFormat="1" ht="15" customHeight="1">
      <c r="A232" s="1331"/>
      <c r="B232" s="1121"/>
      <c r="C232" s="1142" t="s">
        <v>17</v>
      </c>
      <c r="D232" s="1143"/>
      <c r="E232" s="1193"/>
      <c r="F232" s="1193"/>
      <c r="G232" s="1143"/>
      <c r="H232" s="1143"/>
      <c r="I232" s="1143"/>
      <c r="J232" s="1143"/>
      <c r="K232" s="1143"/>
      <c r="L232" s="1143"/>
      <c r="M232" s="1286">
        <v>64</v>
      </c>
      <c r="N232" s="1326" t="s">
        <v>137</v>
      </c>
      <c r="O232" s="1084">
        <v>1655172.4</v>
      </c>
      <c r="P232" s="1043">
        <f>O232+O234</f>
        <v>4137931</v>
      </c>
      <c r="Q232" s="1044"/>
      <c r="R232" s="1120">
        <v>40413</v>
      </c>
      <c r="S232" s="124"/>
      <c r="T232" s="111"/>
      <c r="U232" s="111"/>
      <c r="V232" s="1084">
        <v>1655172.4</v>
      </c>
      <c r="W232" s="1044"/>
      <c r="X232" s="1143"/>
      <c r="Y232" s="121" t="s">
        <v>400</v>
      </c>
      <c r="Z232" s="111">
        <v>0</v>
      </c>
      <c r="AA232" s="111">
        <v>1655172</v>
      </c>
      <c r="AB232" s="111">
        <f t="shared" si="17"/>
        <v>1655172</v>
      </c>
      <c r="AC232" s="125">
        <v>40438</v>
      </c>
      <c r="AD232" s="119">
        <v>1655173</v>
      </c>
      <c r="AE232" s="119" t="s">
        <v>137</v>
      </c>
      <c r="AF232" s="1043">
        <f>SUM(AD232:AD235)</f>
        <v>3889656</v>
      </c>
      <c r="AG232" s="1084"/>
      <c r="AH232" s="111">
        <f t="shared" si="18"/>
        <v>-1</v>
      </c>
      <c r="AI232" s="1084">
        <f>O232-AD232-AD233</f>
        <v>-893793.54</v>
      </c>
      <c r="AJ232" s="1043">
        <f>SUM(Z232:Z235)-SUM(AD232:AD235)</f>
        <v>248275</v>
      </c>
      <c r="AK232" s="1043">
        <f>SUM(O232:O235)-SUM(V232:V235)</f>
        <v>0</v>
      </c>
      <c r="AL232" s="1043">
        <f>SUM(V232:V235)-SUM(Z232:Z235)</f>
        <v>0</v>
      </c>
      <c r="AM232" s="1043">
        <f>AK232+AL232</f>
        <v>0</v>
      </c>
      <c r="AN232" s="1328"/>
      <c r="AO232" s="1329"/>
      <c r="AQ232" s="934"/>
    </row>
    <row r="233" spans="1:43" s="6" customFormat="1" ht="15" customHeight="1">
      <c r="A233" s="1331"/>
      <c r="B233" s="1121"/>
      <c r="C233" s="1143"/>
      <c r="D233" s="1143"/>
      <c r="E233" s="1193"/>
      <c r="F233" s="1193"/>
      <c r="G233" s="1143"/>
      <c r="H233" s="1143"/>
      <c r="I233" s="1143"/>
      <c r="J233" s="1143"/>
      <c r="K233" s="1143"/>
      <c r="L233" s="1143"/>
      <c r="M233" s="1287"/>
      <c r="N233" s="1326"/>
      <c r="O233" s="1084"/>
      <c r="P233" s="1044"/>
      <c r="Q233" s="1044"/>
      <c r="R233" s="1121"/>
      <c r="S233" s="124"/>
      <c r="T233" s="111"/>
      <c r="U233" s="111"/>
      <c r="V233" s="1084"/>
      <c r="W233" s="1044"/>
      <c r="X233" s="1143"/>
      <c r="Y233" s="1254" t="s">
        <v>405</v>
      </c>
      <c r="Z233" s="111">
        <v>1489655</v>
      </c>
      <c r="AA233" s="111">
        <v>-595862</v>
      </c>
      <c r="AB233" s="111">
        <f t="shared" si="17"/>
        <v>893793</v>
      </c>
      <c r="AC233" s="1253">
        <v>40835</v>
      </c>
      <c r="AD233" s="119">
        <v>893792.94</v>
      </c>
      <c r="AE233" s="119" t="s">
        <v>137</v>
      </c>
      <c r="AF233" s="1044"/>
      <c r="AG233" s="1084"/>
      <c r="AH233" s="111">
        <f t="shared" si="18"/>
        <v>6.0000000055879354E-2</v>
      </c>
      <c r="AI233" s="1084"/>
      <c r="AJ233" s="1044"/>
      <c r="AK233" s="1044"/>
      <c r="AL233" s="1044"/>
      <c r="AM233" s="1044"/>
      <c r="AN233" s="1328"/>
      <c r="AO233" s="1329"/>
      <c r="AQ233" s="934"/>
    </row>
    <row r="234" spans="1:43" s="6" customFormat="1" ht="15" customHeight="1">
      <c r="A234" s="1331"/>
      <c r="B234" s="1121"/>
      <c r="C234" s="1143"/>
      <c r="D234" s="1143"/>
      <c r="E234" s="1193"/>
      <c r="F234" s="1193"/>
      <c r="G234" s="1143"/>
      <c r="H234" s="1143"/>
      <c r="I234" s="1143"/>
      <c r="J234" s="1143"/>
      <c r="K234" s="1143"/>
      <c r="L234" s="1143"/>
      <c r="M234" s="1287"/>
      <c r="N234" s="1157" t="s">
        <v>7</v>
      </c>
      <c r="O234" s="1043">
        <v>2482758.6</v>
      </c>
      <c r="P234" s="1044"/>
      <c r="Q234" s="1044"/>
      <c r="R234" s="1121"/>
      <c r="S234" s="124"/>
      <c r="T234" s="111"/>
      <c r="U234" s="111"/>
      <c r="V234" s="1043">
        <v>2482758.6</v>
      </c>
      <c r="W234" s="1044"/>
      <c r="X234" s="1143"/>
      <c r="Y234" s="1254"/>
      <c r="Z234" s="111">
        <v>2234483</v>
      </c>
      <c r="AA234" s="111">
        <v>-893793</v>
      </c>
      <c r="AB234" s="111">
        <f t="shared" si="17"/>
        <v>1340690</v>
      </c>
      <c r="AC234" s="1253"/>
      <c r="AD234" s="119">
        <v>1340690.06</v>
      </c>
      <c r="AE234" s="1157" t="s">
        <v>7</v>
      </c>
      <c r="AF234" s="1044"/>
      <c r="AG234" s="1084"/>
      <c r="AH234" s="111">
        <f t="shared" si="18"/>
        <v>-6.0000000055879354E-2</v>
      </c>
      <c r="AI234" s="1043">
        <f>O234-AD234</f>
        <v>1142068.54</v>
      </c>
      <c r="AJ234" s="1044"/>
      <c r="AK234" s="1044"/>
      <c r="AL234" s="1044"/>
      <c r="AM234" s="1044"/>
      <c r="AN234" s="1328"/>
      <c r="AO234" s="1329"/>
      <c r="AQ234" s="934"/>
    </row>
    <row r="235" spans="1:43" s="6" customFormat="1" ht="15" customHeight="1">
      <c r="A235" s="1331"/>
      <c r="B235" s="1121"/>
      <c r="C235" s="1144"/>
      <c r="D235" s="1143"/>
      <c r="E235" s="1193"/>
      <c r="F235" s="1193"/>
      <c r="G235" s="1143"/>
      <c r="H235" s="1143"/>
      <c r="I235" s="1143"/>
      <c r="J235" s="1144"/>
      <c r="K235" s="1143"/>
      <c r="L235" s="1143"/>
      <c r="M235" s="1288"/>
      <c r="N235" s="1159"/>
      <c r="O235" s="1045"/>
      <c r="P235" s="1045"/>
      <c r="Q235" s="1044"/>
      <c r="R235" s="1160"/>
      <c r="S235" s="124"/>
      <c r="T235" s="111"/>
      <c r="U235" s="111"/>
      <c r="V235" s="1045"/>
      <c r="W235" s="1044"/>
      <c r="X235" s="1143"/>
      <c r="Y235" s="121"/>
      <c r="Z235" s="111">
        <v>413793</v>
      </c>
      <c r="AA235" s="111">
        <v>-165517</v>
      </c>
      <c r="AB235" s="111">
        <f t="shared" si="17"/>
        <v>248276</v>
      </c>
      <c r="AC235" s="125"/>
      <c r="AD235" s="119">
        <v>0</v>
      </c>
      <c r="AE235" s="1159"/>
      <c r="AF235" s="1045"/>
      <c r="AG235" s="1084"/>
      <c r="AH235" s="111">
        <f t="shared" si="18"/>
        <v>248276</v>
      </c>
      <c r="AI235" s="1045"/>
      <c r="AJ235" s="1045"/>
      <c r="AK235" s="1045"/>
      <c r="AL235" s="1045"/>
      <c r="AM235" s="1045"/>
      <c r="AN235" s="1328"/>
      <c r="AO235" s="1329"/>
      <c r="AQ235" s="934"/>
    </row>
    <row r="236" spans="1:43" s="6" customFormat="1" ht="15" customHeight="1">
      <c r="A236" s="1331"/>
      <c r="B236" s="1121"/>
      <c r="C236" s="143" t="s">
        <v>41</v>
      </c>
      <c r="D236" s="1143"/>
      <c r="E236" s="1193"/>
      <c r="F236" s="1193"/>
      <c r="G236" s="1143"/>
      <c r="H236" s="1143"/>
      <c r="I236" s="1143"/>
      <c r="J236" s="143" t="s">
        <v>67</v>
      </c>
      <c r="K236" s="1143"/>
      <c r="L236" s="1143"/>
      <c r="M236" s="136">
        <v>196</v>
      </c>
      <c r="N236" s="146" t="s">
        <v>7</v>
      </c>
      <c r="O236" s="88">
        <v>1924000</v>
      </c>
      <c r="P236" s="88">
        <f>O236</f>
        <v>1924000</v>
      </c>
      <c r="Q236" s="1044"/>
      <c r="R236" s="133">
        <v>40779</v>
      </c>
      <c r="S236" s="124"/>
      <c r="T236" s="111"/>
      <c r="U236" s="111"/>
      <c r="V236" s="88">
        <v>1924440</v>
      </c>
      <c r="W236" s="1044"/>
      <c r="X236" s="1143"/>
      <c r="Y236" s="121"/>
      <c r="Z236" s="111">
        <v>1924440</v>
      </c>
      <c r="AA236" s="111">
        <v>0</v>
      </c>
      <c r="AB236" s="111">
        <f t="shared" si="17"/>
        <v>1924440</v>
      </c>
      <c r="AC236" s="125"/>
      <c r="AD236" s="119">
        <v>0</v>
      </c>
      <c r="AE236" s="119"/>
      <c r="AF236" s="88">
        <f>AD236</f>
        <v>0</v>
      </c>
      <c r="AG236" s="1084"/>
      <c r="AH236" s="111">
        <f t="shared" si="18"/>
        <v>1924440</v>
      </c>
      <c r="AI236" s="111"/>
      <c r="AJ236" s="111">
        <f>Z236-AD236</f>
        <v>1924440</v>
      </c>
      <c r="AK236" s="111">
        <f>O236-V236</f>
        <v>-440</v>
      </c>
      <c r="AL236" s="111">
        <f>V236-Z236</f>
        <v>0</v>
      </c>
      <c r="AM236" s="111">
        <v>0</v>
      </c>
      <c r="AN236" s="1328"/>
      <c r="AO236" s="1329"/>
      <c r="AQ236" s="934"/>
    </row>
    <row r="237" spans="1:43" s="6" customFormat="1" ht="15" customHeight="1">
      <c r="A237" s="1331"/>
      <c r="B237" s="1121"/>
      <c r="C237" s="148" t="s">
        <v>41</v>
      </c>
      <c r="D237" s="1143"/>
      <c r="E237" s="1193"/>
      <c r="F237" s="1193"/>
      <c r="G237" s="1143"/>
      <c r="H237" s="1143"/>
      <c r="I237" s="1143"/>
      <c r="J237" s="1142" t="s">
        <v>171</v>
      </c>
      <c r="K237" s="1143"/>
      <c r="L237" s="1143"/>
      <c r="M237" s="1286">
        <v>174</v>
      </c>
      <c r="N237" s="1157" t="s">
        <v>7</v>
      </c>
      <c r="O237" s="111">
        <v>1392000</v>
      </c>
      <c r="P237" s="111">
        <f>O237</f>
        <v>1392000</v>
      </c>
      <c r="Q237" s="1044"/>
      <c r="R237" s="1120"/>
      <c r="S237" s="124"/>
      <c r="T237" s="111"/>
      <c r="U237" s="111"/>
      <c r="V237" s="111">
        <v>1392000</v>
      </c>
      <c r="W237" s="1044"/>
      <c r="X237" s="1143"/>
      <c r="Y237" s="121" t="s">
        <v>406</v>
      </c>
      <c r="Z237" s="111">
        <v>1731996</v>
      </c>
      <c r="AA237" s="111">
        <v>0</v>
      </c>
      <c r="AB237" s="111">
        <f t="shared" si="17"/>
        <v>1731996</v>
      </c>
      <c r="AC237" s="125">
        <v>41093</v>
      </c>
      <c r="AD237" s="119">
        <v>1731996</v>
      </c>
      <c r="AE237" s="119" t="s">
        <v>7</v>
      </c>
      <c r="AF237" s="1084">
        <f>SUM(AD237:AD239)</f>
        <v>4874796</v>
      </c>
      <c r="AG237" s="1084"/>
      <c r="AH237" s="111">
        <f t="shared" si="18"/>
        <v>0</v>
      </c>
      <c r="AI237" s="1043"/>
      <c r="AJ237" s="1084">
        <f>SUM(Z237:Z239)-SUM(AD237:AD239)</f>
        <v>0</v>
      </c>
      <c r="AK237" s="1084">
        <f>SUM(O237:O239)-SUM(V237:V239)</f>
        <v>0</v>
      </c>
      <c r="AL237" s="1084">
        <v>0</v>
      </c>
      <c r="AM237" s="1084">
        <f>AK237+AL237</f>
        <v>0</v>
      </c>
      <c r="AN237" s="1328"/>
      <c r="AO237" s="1329"/>
      <c r="AQ237" s="934"/>
    </row>
    <row r="238" spans="1:43" s="6" customFormat="1" ht="15" customHeight="1">
      <c r="A238" s="1331"/>
      <c r="B238" s="1121"/>
      <c r="C238" s="148" t="s">
        <v>17</v>
      </c>
      <c r="D238" s="1143"/>
      <c r="E238" s="1193"/>
      <c r="F238" s="1193"/>
      <c r="G238" s="1143"/>
      <c r="H238" s="1143"/>
      <c r="I238" s="1143"/>
      <c r="J238" s="1144"/>
      <c r="K238" s="1143"/>
      <c r="L238" s="1143"/>
      <c r="M238" s="1287"/>
      <c r="N238" s="1158"/>
      <c r="O238" s="1043">
        <v>2100000</v>
      </c>
      <c r="P238" s="1043">
        <f>O238</f>
        <v>2100000</v>
      </c>
      <c r="Q238" s="1044"/>
      <c r="R238" s="1121"/>
      <c r="S238" s="124"/>
      <c r="T238" s="111"/>
      <c r="U238" s="111"/>
      <c r="V238" s="1043">
        <v>2100000</v>
      </c>
      <c r="W238" s="1044"/>
      <c r="X238" s="1143"/>
      <c r="Y238" s="121" t="s">
        <v>407</v>
      </c>
      <c r="Z238" s="111">
        <v>1890000</v>
      </c>
      <c r="AA238" s="111">
        <v>0</v>
      </c>
      <c r="AB238" s="111">
        <f t="shared" si="17"/>
        <v>1890000</v>
      </c>
      <c r="AC238" s="125">
        <v>41093</v>
      </c>
      <c r="AD238" s="119">
        <v>1890000</v>
      </c>
      <c r="AE238" s="119" t="s">
        <v>7</v>
      </c>
      <c r="AF238" s="1084"/>
      <c r="AG238" s="1084"/>
      <c r="AH238" s="111">
        <f t="shared" si="18"/>
        <v>0</v>
      </c>
      <c r="AI238" s="1044"/>
      <c r="AJ238" s="1084"/>
      <c r="AK238" s="1084"/>
      <c r="AL238" s="1084"/>
      <c r="AM238" s="1084"/>
      <c r="AN238" s="1328"/>
      <c r="AO238" s="1329"/>
      <c r="AQ238" s="934"/>
    </row>
    <row r="239" spans="1:43" s="6" customFormat="1" ht="15" customHeight="1">
      <c r="A239" s="1331"/>
      <c r="B239" s="1121"/>
      <c r="C239" s="143" t="s">
        <v>25</v>
      </c>
      <c r="D239" s="1143"/>
      <c r="E239" s="1193"/>
      <c r="F239" s="1193"/>
      <c r="G239" s="1143"/>
      <c r="H239" s="1143"/>
      <c r="I239" s="1143"/>
      <c r="J239" s="143" t="s">
        <v>172</v>
      </c>
      <c r="K239" s="1143"/>
      <c r="L239" s="1143"/>
      <c r="M239" s="1287"/>
      <c r="N239" s="1158"/>
      <c r="O239" s="1044"/>
      <c r="P239" s="1044"/>
      <c r="Q239" s="1044"/>
      <c r="R239" s="1121"/>
      <c r="S239" s="124"/>
      <c r="T239" s="111"/>
      <c r="U239" s="111"/>
      <c r="V239" s="1044"/>
      <c r="W239" s="1044"/>
      <c r="X239" s="1143"/>
      <c r="Y239" s="121" t="s">
        <v>408</v>
      </c>
      <c r="Z239" s="111">
        <v>1252800</v>
      </c>
      <c r="AA239" s="111">
        <v>0</v>
      </c>
      <c r="AB239" s="111">
        <f t="shared" si="17"/>
        <v>1252800</v>
      </c>
      <c r="AC239" s="125">
        <v>41093</v>
      </c>
      <c r="AD239" s="119">
        <v>1252800</v>
      </c>
      <c r="AE239" s="119" t="s">
        <v>7</v>
      </c>
      <c r="AF239" s="1084"/>
      <c r="AG239" s="1084"/>
      <c r="AH239" s="111">
        <f t="shared" si="18"/>
        <v>0</v>
      </c>
      <c r="AI239" s="1045"/>
      <c r="AJ239" s="1084"/>
      <c r="AK239" s="1084"/>
      <c r="AL239" s="1084"/>
      <c r="AM239" s="1084"/>
      <c r="AN239" s="1328"/>
      <c r="AO239" s="1329"/>
      <c r="AQ239" s="934"/>
    </row>
    <row r="240" spans="1:43" s="4" customFormat="1" ht="15" customHeight="1">
      <c r="A240" s="1075" t="s">
        <v>413</v>
      </c>
      <c r="B240" s="1171">
        <v>40301</v>
      </c>
      <c r="C240" s="1076" t="s">
        <v>34</v>
      </c>
      <c r="D240" s="1076" t="s">
        <v>414</v>
      </c>
      <c r="E240" s="1252">
        <v>4742764</v>
      </c>
      <c r="F240" s="1252"/>
      <c r="G240" s="1076" t="s">
        <v>2824</v>
      </c>
      <c r="H240" s="1076" t="s">
        <v>70</v>
      </c>
      <c r="I240" s="1076" t="s">
        <v>177</v>
      </c>
      <c r="J240" s="1076" t="s">
        <v>66</v>
      </c>
      <c r="K240" s="1076" t="s">
        <v>49</v>
      </c>
      <c r="L240" s="1076" t="s">
        <v>421</v>
      </c>
      <c r="M240" s="1245">
        <v>52</v>
      </c>
      <c r="N240" s="1282" t="s">
        <v>137</v>
      </c>
      <c r="O240" s="1119">
        <v>1584000</v>
      </c>
      <c r="P240" s="1119">
        <f>O240+O242</f>
        <v>3960000</v>
      </c>
      <c r="Q240" s="1119">
        <f>P240+P243+P246+P249+P252+P255+P258</f>
        <v>19857878</v>
      </c>
      <c r="R240" s="1171">
        <v>40413</v>
      </c>
      <c r="S240" s="110"/>
      <c r="T240" s="109"/>
      <c r="U240" s="109"/>
      <c r="V240" s="1119">
        <v>1584000</v>
      </c>
      <c r="W240" s="1119">
        <v>19857878</v>
      </c>
      <c r="X240" s="1076" t="s">
        <v>282</v>
      </c>
      <c r="Y240" s="108" t="s">
        <v>416</v>
      </c>
      <c r="Z240" s="109">
        <v>0</v>
      </c>
      <c r="AA240" s="109">
        <v>1584000</v>
      </c>
      <c r="AB240" s="109">
        <f t="shared" si="17"/>
        <v>1584000</v>
      </c>
      <c r="AC240" s="97">
        <v>40443</v>
      </c>
      <c r="AD240" s="119">
        <v>1584000</v>
      </c>
      <c r="AE240" s="119" t="s">
        <v>137</v>
      </c>
      <c r="AF240" s="1084">
        <f>SUM(AD240:AD242)</f>
        <v>3500816</v>
      </c>
      <c r="AG240" s="1084">
        <f>SUM(AD240:AD258)</f>
        <v>14710237</v>
      </c>
      <c r="AH240" s="111">
        <f t="shared" ref="AH240:AH301" si="19">AB240-AD240</f>
        <v>0</v>
      </c>
      <c r="AI240" s="1084">
        <f>O240-AD240-AD241</f>
        <v>-1150090</v>
      </c>
      <c r="AJ240" s="1119">
        <f>SUM(Z240:Z242)-SUM(AD240:AD242)</f>
        <v>1</v>
      </c>
      <c r="AK240" s="1119">
        <f>P240-V240-V242</f>
        <v>0</v>
      </c>
      <c r="AL240" s="1119">
        <f>SUM(V240:V242)-SUM(Z240:Z242)</f>
        <v>459183</v>
      </c>
      <c r="AM240" s="1119"/>
      <c r="AN240" s="1203" t="s">
        <v>418</v>
      </c>
      <c r="AO240" s="1204" t="s">
        <v>790</v>
      </c>
      <c r="AQ240" s="934"/>
    </row>
    <row r="241" spans="1:43" s="4" customFormat="1" ht="15" customHeight="1">
      <c r="A241" s="1075"/>
      <c r="B241" s="1171"/>
      <c r="C241" s="1076"/>
      <c r="D241" s="1076"/>
      <c r="E241" s="1252"/>
      <c r="F241" s="1252"/>
      <c r="G241" s="1076"/>
      <c r="H241" s="1076"/>
      <c r="I241" s="1076"/>
      <c r="J241" s="1076"/>
      <c r="K241" s="1076"/>
      <c r="L241" s="1076"/>
      <c r="M241" s="1245"/>
      <c r="N241" s="1282"/>
      <c r="O241" s="1119"/>
      <c r="P241" s="1119"/>
      <c r="Q241" s="1119"/>
      <c r="R241" s="1171"/>
      <c r="S241" s="110"/>
      <c r="T241" s="109"/>
      <c r="U241" s="109"/>
      <c r="V241" s="1119"/>
      <c r="W241" s="1119"/>
      <c r="X241" s="1076"/>
      <c r="Y241" s="1123" t="s">
        <v>419</v>
      </c>
      <c r="Z241" s="109">
        <v>1400327</v>
      </c>
      <c r="AA241" s="109">
        <v>-250237</v>
      </c>
      <c r="AB241" s="109">
        <f t="shared" si="17"/>
        <v>1150090</v>
      </c>
      <c r="AC241" s="1171">
        <v>41492</v>
      </c>
      <c r="AD241" s="119">
        <v>1150090</v>
      </c>
      <c r="AE241" s="119" t="s">
        <v>137</v>
      </c>
      <c r="AF241" s="1084"/>
      <c r="AG241" s="1084"/>
      <c r="AH241" s="111">
        <f t="shared" si="19"/>
        <v>0</v>
      </c>
      <c r="AI241" s="1084"/>
      <c r="AJ241" s="1119"/>
      <c r="AK241" s="1119"/>
      <c r="AL241" s="1119"/>
      <c r="AM241" s="1119"/>
      <c r="AN241" s="1203"/>
      <c r="AO241" s="1204"/>
      <c r="AQ241" s="934"/>
    </row>
    <row r="242" spans="1:43" s="4" customFormat="1" ht="15" customHeight="1">
      <c r="A242" s="1075"/>
      <c r="B242" s="1171"/>
      <c r="C242" s="1076"/>
      <c r="D242" s="1076"/>
      <c r="E242" s="1252"/>
      <c r="F242" s="1252"/>
      <c r="G242" s="1076"/>
      <c r="H242" s="1076"/>
      <c r="I242" s="1076"/>
      <c r="J242" s="1076"/>
      <c r="K242" s="1076"/>
      <c r="L242" s="1076"/>
      <c r="M242" s="1245"/>
      <c r="N242" s="135" t="s">
        <v>7</v>
      </c>
      <c r="O242" s="109">
        <v>2376000</v>
      </c>
      <c r="P242" s="1119"/>
      <c r="Q242" s="1119"/>
      <c r="R242" s="1171"/>
      <c r="S242" s="110"/>
      <c r="T242" s="109"/>
      <c r="U242" s="109"/>
      <c r="V242" s="109">
        <v>2376000</v>
      </c>
      <c r="W242" s="1119"/>
      <c r="X242" s="1076"/>
      <c r="Y242" s="1123"/>
      <c r="Z242" s="109">
        <v>2100490</v>
      </c>
      <c r="AA242" s="109">
        <v>-1333764</v>
      </c>
      <c r="AB242" s="109">
        <f t="shared" si="17"/>
        <v>766726</v>
      </c>
      <c r="AC242" s="1171"/>
      <c r="AD242" s="119">
        <v>766726</v>
      </c>
      <c r="AE242" s="119" t="s">
        <v>7</v>
      </c>
      <c r="AF242" s="1084"/>
      <c r="AG242" s="1084"/>
      <c r="AH242" s="111">
        <f t="shared" si="19"/>
        <v>0</v>
      </c>
      <c r="AI242" s="111">
        <f>O242-AD242</f>
        <v>1609274</v>
      </c>
      <c r="AJ242" s="1119"/>
      <c r="AK242" s="1119"/>
      <c r="AL242" s="1119"/>
      <c r="AM242" s="1119"/>
      <c r="AN242" s="1203"/>
      <c r="AO242" s="1204"/>
      <c r="AQ242" s="934"/>
    </row>
    <row r="243" spans="1:43" s="4" customFormat="1" ht="15" customHeight="1">
      <c r="A243" s="1075"/>
      <c r="B243" s="1171"/>
      <c r="C243" s="1076"/>
      <c r="D243" s="1076"/>
      <c r="E243" s="1252"/>
      <c r="F243" s="1252"/>
      <c r="G243" s="1076"/>
      <c r="H243" s="1076"/>
      <c r="I243" s="1076"/>
      <c r="J243" s="1076"/>
      <c r="K243" s="1076"/>
      <c r="L243" s="1076"/>
      <c r="M243" s="1245">
        <v>53</v>
      </c>
      <c r="N243" s="135" t="s">
        <v>137</v>
      </c>
      <c r="O243" s="109">
        <v>992000</v>
      </c>
      <c r="P243" s="1119">
        <f>O243+O244</f>
        <v>2480000</v>
      </c>
      <c r="Q243" s="1119"/>
      <c r="R243" s="1171">
        <v>40413</v>
      </c>
      <c r="S243" s="110"/>
      <c r="T243" s="109"/>
      <c r="U243" s="109"/>
      <c r="V243" s="109">
        <v>992000</v>
      </c>
      <c r="W243" s="1119"/>
      <c r="X243" s="1076"/>
      <c r="Y243" s="108" t="s">
        <v>416</v>
      </c>
      <c r="Z243" s="109">
        <v>0</v>
      </c>
      <c r="AA243" s="109">
        <v>992000</v>
      </c>
      <c r="AB243" s="109">
        <v>992000</v>
      </c>
      <c r="AC243" s="97">
        <v>40443</v>
      </c>
      <c r="AD243" s="119">
        <v>992000</v>
      </c>
      <c r="AE243" s="119" t="s">
        <v>137</v>
      </c>
      <c r="AF243" s="1084">
        <f>SUM(AD243:AD245)</f>
        <v>2192430</v>
      </c>
      <c r="AG243" s="1084"/>
      <c r="AH243" s="111">
        <f t="shared" si="19"/>
        <v>0</v>
      </c>
      <c r="AI243" s="111">
        <f>O243-AD243</f>
        <v>0</v>
      </c>
      <c r="AJ243" s="1119">
        <f>SUM(Z243:Z245)-SUM(AD243:AD245)</f>
        <v>0</v>
      </c>
      <c r="AK243" s="1119">
        <f>P243-V243-V244</f>
        <v>0</v>
      </c>
      <c r="AL243" s="1119">
        <f>SUM(V243:V245)-SUM(Z243:Z245)</f>
        <v>287570</v>
      </c>
      <c r="AM243" s="1119"/>
      <c r="AN243" s="1203"/>
      <c r="AO243" s="1204"/>
      <c r="AQ243" s="934"/>
    </row>
    <row r="244" spans="1:43" s="4" customFormat="1" ht="15" customHeight="1">
      <c r="A244" s="1075"/>
      <c r="B244" s="1171"/>
      <c r="C244" s="1076"/>
      <c r="D244" s="1076"/>
      <c r="E244" s="1252"/>
      <c r="F244" s="1252"/>
      <c r="G244" s="1076"/>
      <c r="H244" s="1076"/>
      <c r="I244" s="1076"/>
      <c r="J244" s="1076"/>
      <c r="K244" s="1076"/>
      <c r="L244" s="1076"/>
      <c r="M244" s="1245"/>
      <c r="N244" s="1282" t="s">
        <v>7</v>
      </c>
      <c r="O244" s="1119">
        <v>1488000</v>
      </c>
      <c r="P244" s="1119"/>
      <c r="Q244" s="1119"/>
      <c r="R244" s="1171"/>
      <c r="S244" s="110"/>
      <c r="T244" s="109"/>
      <c r="U244" s="109"/>
      <c r="V244" s="1119">
        <v>1488000</v>
      </c>
      <c r="W244" s="1119"/>
      <c r="X244" s="1076"/>
      <c r="Y244" s="1123" t="s">
        <v>419</v>
      </c>
      <c r="Z244" s="109">
        <v>876972</v>
      </c>
      <c r="AA244" s="109">
        <v>-156714</v>
      </c>
      <c r="AB244" s="109">
        <f t="shared" ref="AB244:AB257" si="20">Z244+AA244</f>
        <v>720258</v>
      </c>
      <c r="AC244" s="1171">
        <v>41492</v>
      </c>
      <c r="AD244" s="119">
        <v>720258</v>
      </c>
      <c r="AE244" s="119" t="s">
        <v>7</v>
      </c>
      <c r="AF244" s="1084"/>
      <c r="AG244" s="1084"/>
      <c r="AH244" s="111">
        <f t="shared" si="19"/>
        <v>0</v>
      </c>
      <c r="AI244" s="1084">
        <f>O244-AD244-AD245</f>
        <v>287570</v>
      </c>
      <c r="AJ244" s="1119"/>
      <c r="AK244" s="1119"/>
      <c r="AL244" s="1119"/>
      <c r="AM244" s="1119"/>
      <c r="AN244" s="1203"/>
      <c r="AO244" s="1204"/>
      <c r="AQ244" s="934"/>
    </row>
    <row r="245" spans="1:43" s="4" customFormat="1" ht="15" customHeight="1">
      <c r="A245" s="1075"/>
      <c r="B245" s="1171"/>
      <c r="C245" s="1076"/>
      <c r="D245" s="1076"/>
      <c r="E245" s="1252"/>
      <c r="F245" s="1252"/>
      <c r="G245" s="1076"/>
      <c r="H245" s="1076"/>
      <c r="I245" s="1076"/>
      <c r="J245" s="1076"/>
      <c r="K245" s="1076"/>
      <c r="L245" s="1076"/>
      <c r="M245" s="1245"/>
      <c r="N245" s="1282"/>
      <c r="O245" s="1119"/>
      <c r="P245" s="1119"/>
      <c r="Q245" s="1119"/>
      <c r="R245" s="1171"/>
      <c r="S245" s="110"/>
      <c r="T245" s="109"/>
      <c r="U245" s="109"/>
      <c r="V245" s="1119"/>
      <c r="W245" s="1119"/>
      <c r="X245" s="1076"/>
      <c r="Y245" s="1123"/>
      <c r="Z245" s="109">
        <v>1315458</v>
      </c>
      <c r="AA245" s="109">
        <v>-835286</v>
      </c>
      <c r="AB245" s="109">
        <f t="shared" si="20"/>
        <v>480172</v>
      </c>
      <c r="AC245" s="1171"/>
      <c r="AD245" s="119">
        <v>480172</v>
      </c>
      <c r="AE245" s="119" t="s">
        <v>7</v>
      </c>
      <c r="AF245" s="1084"/>
      <c r="AG245" s="1084"/>
      <c r="AH245" s="111">
        <f t="shared" si="19"/>
        <v>0</v>
      </c>
      <c r="AI245" s="1084"/>
      <c r="AJ245" s="1119"/>
      <c r="AK245" s="1119"/>
      <c r="AL245" s="1119"/>
      <c r="AM245" s="1119"/>
      <c r="AN245" s="1203"/>
      <c r="AO245" s="1204"/>
      <c r="AQ245" s="934"/>
    </row>
    <row r="246" spans="1:43" s="4" customFormat="1" ht="15" customHeight="1">
      <c r="A246" s="1075"/>
      <c r="B246" s="1171"/>
      <c r="C246" s="1076"/>
      <c r="D246" s="1076"/>
      <c r="E246" s="1252"/>
      <c r="F246" s="1252"/>
      <c r="G246" s="1076"/>
      <c r="H246" s="1076"/>
      <c r="I246" s="1076"/>
      <c r="J246" s="1076"/>
      <c r="K246" s="1076"/>
      <c r="L246" s="1076"/>
      <c r="M246" s="1245">
        <v>54</v>
      </c>
      <c r="N246" s="1282" t="s">
        <v>137</v>
      </c>
      <c r="O246" s="1119">
        <v>948000</v>
      </c>
      <c r="P246" s="1119">
        <f>O246+O248</f>
        <v>2370000</v>
      </c>
      <c r="Q246" s="1119"/>
      <c r="R246" s="1171">
        <v>40413</v>
      </c>
      <c r="S246" s="110"/>
      <c r="T246" s="109"/>
      <c r="U246" s="109"/>
      <c r="V246" s="1119">
        <v>948000</v>
      </c>
      <c r="W246" s="1119"/>
      <c r="X246" s="1076"/>
      <c r="Y246" s="108" t="s">
        <v>416</v>
      </c>
      <c r="Z246" s="109">
        <v>0</v>
      </c>
      <c r="AA246" s="109">
        <v>948000</v>
      </c>
      <c r="AB246" s="109">
        <f t="shared" si="20"/>
        <v>948000</v>
      </c>
      <c r="AC246" s="97">
        <v>40443</v>
      </c>
      <c r="AD246" s="119">
        <v>948000</v>
      </c>
      <c r="AE246" s="119" t="s">
        <v>137</v>
      </c>
      <c r="AF246" s="1084">
        <f>SUM(AD246:AD248)</f>
        <v>2095185</v>
      </c>
      <c r="AG246" s="1084"/>
      <c r="AH246" s="111">
        <f t="shared" si="19"/>
        <v>0</v>
      </c>
      <c r="AI246" s="1084">
        <f>O246-AD246-AD247</f>
        <v>-458874</v>
      </c>
      <c r="AJ246" s="1119">
        <f>SUM(Z246:Z248)-SUM(AD246:AD248)</f>
        <v>0</v>
      </c>
      <c r="AK246" s="1119">
        <f>P246-V246-V248</f>
        <v>0</v>
      </c>
      <c r="AL246" s="1119">
        <f>SUM(V246:V248)-SUM(Z246:Z248)</f>
        <v>274815</v>
      </c>
      <c r="AM246" s="1119"/>
      <c r="AN246" s="1203"/>
      <c r="AO246" s="1204"/>
      <c r="AQ246" s="934"/>
    </row>
    <row r="247" spans="1:43" s="4" customFormat="1" ht="15" customHeight="1">
      <c r="A247" s="1075"/>
      <c r="B247" s="1171"/>
      <c r="C247" s="1076"/>
      <c r="D247" s="1076"/>
      <c r="E247" s="1252"/>
      <c r="F247" s="1252"/>
      <c r="G247" s="1076"/>
      <c r="H247" s="1076"/>
      <c r="I247" s="1076"/>
      <c r="J247" s="1076"/>
      <c r="K247" s="1076"/>
      <c r="L247" s="1076"/>
      <c r="M247" s="1245"/>
      <c r="N247" s="1282"/>
      <c r="O247" s="1119"/>
      <c r="P247" s="1119"/>
      <c r="Q247" s="1119"/>
      <c r="R247" s="1171"/>
      <c r="S247" s="110"/>
      <c r="T247" s="109"/>
      <c r="U247" s="109"/>
      <c r="V247" s="1119"/>
      <c r="W247" s="1119"/>
      <c r="X247" s="1076"/>
      <c r="Y247" s="1123" t="s">
        <v>419</v>
      </c>
      <c r="Z247" s="109">
        <v>838074</v>
      </c>
      <c r="AA247" s="109">
        <v>-379200</v>
      </c>
      <c r="AB247" s="109">
        <f t="shared" si="20"/>
        <v>458874</v>
      </c>
      <c r="AC247" s="1171">
        <v>41492</v>
      </c>
      <c r="AD247" s="119">
        <v>458874</v>
      </c>
      <c r="AE247" s="119" t="s">
        <v>137</v>
      </c>
      <c r="AF247" s="1084"/>
      <c r="AG247" s="1084"/>
      <c r="AH247" s="111">
        <f t="shared" si="19"/>
        <v>0</v>
      </c>
      <c r="AI247" s="1084"/>
      <c r="AJ247" s="1119"/>
      <c r="AK247" s="1119"/>
      <c r="AL247" s="1119"/>
      <c r="AM247" s="1119"/>
      <c r="AN247" s="1203"/>
      <c r="AO247" s="1204"/>
      <c r="AQ247" s="934"/>
    </row>
    <row r="248" spans="1:43" s="4" customFormat="1" ht="15" customHeight="1">
      <c r="A248" s="1075"/>
      <c r="B248" s="1171"/>
      <c r="C248" s="1076"/>
      <c r="D248" s="1076"/>
      <c r="E248" s="1252"/>
      <c r="F248" s="1252"/>
      <c r="G248" s="1076"/>
      <c r="H248" s="1076"/>
      <c r="I248" s="1076"/>
      <c r="J248" s="1076"/>
      <c r="K248" s="1076"/>
      <c r="L248" s="1076"/>
      <c r="M248" s="1245"/>
      <c r="N248" s="135" t="s">
        <v>7</v>
      </c>
      <c r="O248" s="109">
        <v>1422000</v>
      </c>
      <c r="P248" s="1119"/>
      <c r="Q248" s="1119"/>
      <c r="R248" s="1171"/>
      <c r="S248" s="110"/>
      <c r="T248" s="109"/>
      <c r="U248" s="109"/>
      <c r="V248" s="109">
        <v>1422000</v>
      </c>
      <c r="W248" s="1119"/>
      <c r="X248" s="1076"/>
      <c r="Y248" s="1123"/>
      <c r="Z248" s="109">
        <v>1257111</v>
      </c>
      <c r="AA248" s="109">
        <v>-568800</v>
      </c>
      <c r="AB248" s="109">
        <f t="shared" si="20"/>
        <v>688311</v>
      </c>
      <c r="AC248" s="1171"/>
      <c r="AD248" s="119">
        <v>688311</v>
      </c>
      <c r="AE248" s="119" t="s">
        <v>7</v>
      </c>
      <c r="AF248" s="1084"/>
      <c r="AG248" s="1084"/>
      <c r="AH248" s="111">
        <f t="shared" si="19"/>
        <v>0</v>
      </c>
      <c r="AI248" s="111">
        <f>O248-AD248</f>
        <v>733689</v>
      </c>
      <c r="AJ248" s="1119"/>
      <c r="AK248" s="1119"/>
      <c r="AL248" s="1119"/>
      <c r="AM248" s="1119"/>
      <c r="AN248" s="1203"/>
      <c r="AO248" s="1204"/>
      <c r="AQ248" s="934"/>
    </row>
    <row r="249" spans="1:43" s="4" customFormat="1" ht="15" customHeight="1">
      <c r="A249" s="1075"/>
      <c r="B249" s="1171"/>
      <c r="C249" s="1076" t="s">
        <v>22</v>
      </c>
      <c r="D249" s="1076"/>
      <c r="E249" s="1252"/>
      <c r="F249" s="1252"/>
      <c r="G249" s="1076"/>
      <c r="H249" s="1076"/>
      <c r="I249" s="1076"/>
      <c r="J249" s="1076"/>
      <c r="K249" s="1076"/>
      <c r="L249" s="1076"/>
      <c r="M249" s="1245">
        <v>55</v>
      </c>
      <c r="N249" s="1282" t="s">
        <v>137</v>
      </c>
      <c r="O249" s="1119">
        <v>1976847.2</v>
      </c>
      <c r="P249" s="1119">
        <f>O249+O251</f>
        <v>4942118</v>
      </c>
      <c r="Q249" s="1119"/>
      <c r="R249" s="1171">
        <v>40413</v>
      </c>
      <c r="S249" s="110"/>
      <c r="T249" s="109"/>
      <c r="U249" s="109"/>
      <c r="V249" s="1119">
        <v>1976847.2</v>
      </c>
      <c r="W249" s="1119"/>
      <c r="X249" s="1076"/>
      <c r="Y249" s="108" t="s">
        <v>417</v>
      </c>
      <c r="Z249" s="109">
        <v>0</v>
      </c>
      <c r="AA249" s="109">
        <v>1976847.2000000002</v>
      </c>
      <c r="AB249" s="109">
        <f t="shared" si="20"/>
        <v>1976847.2000000002</v>
      </c>
      <c r="AC249" s="97">
        <v>40443</v>
      </c>
      <c r="AD249" s="119">
        <v>1976847</v>
      </c>
      <c r="AE249" s="119" t="s">
        <v>137</v>
      </c>
      <c r="AF249" s="1084">
        <f>SUM(AD249:AD251)</f>
        <v>3623724</v>
      </c>
      <c r="AG249" s="1084"/>
      <c r="AH249" s="111">
        <f t="shared" si="19"/>
        <v>0.20000000018626451</v>
      </c>
      <c r="AI249" s="1084">
        <f>O249-AD249-AD250</f>
        <v>-658750.80000000005</v>
      </c>
      <c r="AJ249" s="1119">
        <f>SUM(Z249:Z251)-SUM(AD249:AD251)</f>
        <v>0</v>
      </c>
      <c r="AK249" s="1119">
        <f>P249-V249-V251</f>
        <v>0</v>
      </c>
      <c r="AL249" s="1119">
        <f>SUM(V249:V251)-SUM(Z249:Z251)</f>
        <v>1318394</v>
      </c>
      <c r="AM249" s="1119"/>
      <c r="AN249" s="1203"/>
      <c r="AO249" s="1204"/>
      <c r="AQ249" s="934"/>
    </row>
    <row r="250" spans="1:43" s="4" customFormat="1" ht="15" customHeight="1">
      <c r="A250" s="1075"/>
      <c r="B250" s="1171"/>
      <c r="C250" s="1076"/>
      <c r="D250" s="1076"/>
      <c r="E250" s="1252"/>
      <c r="F250" s="1252"/>
      <c r="G250" s="1076"/>
      <c r="H250" s="1076"/>
      <c r="I250" s="1076"/>
      <c r="J250" s="1076"/>
      <c r="K250" s="1076"/>
      <c r="L250" s="1076"/>
      <c r="M250" s="1245"/>
      <c r="N250" s="1282"/>
      <c r="O250" s="1119"/>
      <c r="P250" s="1119"/>
      <c r="Q250" s="1119"/>
      <c r="R250" s="1171"/>
      <c r="S250" s="110"/>
      <c r="T250" s="109"/>
      <c r="U250" s="109"/>
      <c r="V250" s="1119"/>
      <c r="W250" s="1119"/>
      <c r="X250" s="1076"/>
      <c r="Y250" s="1123" t="s">
        <v>420</v>
      </c>
      <c r="Z250" s="109">
        <v>1449490</v>
      </c>
      <c r="AA250" s="109">
        <v>-790739</v>
      </c>
      <c r="AB250" s="109">
        <f t="shared" si="20"/>
        <v>658751</v>
      </c>
      <c r="AC250" s="97">
        <v>41535</v>
      </c>
      <c r="AD250" s="119">
        <v>658751</v>
      </c>
      <c r="AE250" s="119" t="s">
        <v>137</v>
      </c>
      <c r="AF250" s="1084"/>
      <c r="AG250" s="1084"/>
      <c r="AH250" s="111">
        <f t="shared" si="19"/>
        <v>0</v>
      </c>
      <c r="AI250" s="1084"/>
      <c r="AJ250" s="1119"/>
      <c r="AK250" s="1119"/>
      <c r="AL250" s="1119"/>
      <c r="AM250" s="1119"/>
      <c r="AN250" s="1203"/>
      <c r="AO250" s="1204"/>
      <c r="AQ250" s="934"/>
    </row>
    <row r="251" spans="1:43" s="4" customFormat="1" ht="15" customHeight="1">
      <c r="A251" s="1075"/>
      <c r="B251" s="1171"/>
      <c r="C251" s="1076"/>
      <c r="D251" s="1076"/>
      <c r="E251" s="1252"/>
      <c r="F251" s="1252"/>
      <c r="G251" s="1076"/>
      <c r="H251" s="1076"/>
      <c r="I251" s="1076"/>
      <c r="J251" s="1076"/>
      <c r="K251" s="1076"/>
      <c r="L251" s="1076"/>
      <c r="M251" s="1245"/>
      <c r="N251" s="135" t="s">
        <v>7</v>
      </c>
      <c r="O251" s="109">
        <v>2965270.8</v>
      </c>
      <c r="P251" s="1119"/>
      <c r="Q251" s="1119"/>
      <c r="R251" s="1171"/>
      <c r="S251" s="110"/>
      <c r="T251" s="109"/>
      <c r="U251" s="109"/>
      <c r="V251" s="109">
        <v>2965270.8</v>
      </c>
      <c r="W251" s="1119"/>
      <c r="X251" s="1076"/>
      <c r="Y251" s="1123"/>
      <c r="Z251" s="109">
        <v>2174234</v>
      </c>
      <c r="AA251" s="109">
        <v>-1186108</v>
      </c>
      <c r="AB251" s="109">
        <f t="shared" si="20"/>
        <v>988126</v>
      </c>
      <c r="AC251" s="97">
        <v>41492</v>
      </c>
      <c r="AD251" s="119">
        <v>988126</v>
      </c>
      <c r="AE251" s="119" t="s">
        <v>7</v>
      </c>
      <c r="AF251" s="1084"/>
      <c r="AG251" s="1084"/>
      <c r="AH251" s="111">
        <f t="shared" si="19"/>
        <v>0</v>
      </c>
      <c r="AI251" s="111">
        <f>O251-AD251</f>
        <v>1977144.7999999998</v>
      </c>
      <c r="AJ251" s="1119"/>
      <c r="AK251" s="1119"/>
      <c r="AL251" s="1119"/>
      <c r="AM251" s="1119"/>
      <c r="AN251" s="1203"/>
      <c r="AO251" s="1204"/>
      <c r="AQ251" s="934"/>
    </row>
    <row r="252" spans="1:43" s="4" customFormat="1" ht="15" customHeight="1">
      <c r="A252" s="1075"/>
      <c r="B252" s="1171"/>
      <c r="C252" s="1076"/>
      <c r="D252" s="1076"/>
      <c r="E252" s="1252"/>
      <c r="F252" s="1252"/>
      <c r="G252" s="1076"/>
      <c r="H252" s="1076"/>
      <c r="I252" s="1076"/>
      <c r="J252" s="1076"/>
      <c r="K252" s="1076"/>
      <c r="L252" s="1076"/>
      <c r="M252" s="1245">
        <v>56</v>
      </c>
      <c r="N252" s="135" t="s">
        <v>137</v>
      </c>
      <c r="O252" s="109">
        <v>899600</v>
      </c>
      <c r="P252" s="1119">
        <f>O252+O253</f>
        <v>2249000</v>
      </c>
      <c r="Q252" s="1119"/>
      <c r="R252" s="1171">
        <v>40413</v>
      </c>
      <c r="S252" s="110"/>
      <c r="T252" s="109"/>
      <c r="U252" s="109"/>
      <c r="V252" s="109">
        <v>899600</v>
      </c>
      <c r="W252" s="1119"/>
      <c r="X252" s="1076"/>
      <c r="Y252" s="108" t="s">
        <v>417</v>
      </c>
      <c r="Z252" s="109">
        <v>0</v>
      </c>
      <c r="AA252" s="109">
        <v>899600</v>
      </c>
      <c r="AB252" s="109">
        <f t="shared" si="20"/>
        <v>899600</v>
      </c>
      <c r="AC252" s="97">
        <v>40443</v>
      </c>
      <c r="AD252" s="119">
        <v>899600</v>
      </c>
      <c r="AE252" s="119" t="s">
        <v>137</v>
      </c>
      <c r="AF252" s="1084">
        <f>SUM(AD252:AD254)</f>
        <v>1649041</v>
      </c>
      <c r="AG252" s="1084"/>
      <c r="AH252" s="111">
        <f t="shared" si="19"/>
        <v>0</v>
      </c>
      <c r="AI252" s="111">
        <f>O252-AD252</f>
        <v>0</v>
      </c>
      <c r="AJ252" s="1119">
        <f>SUM(Z252:Z254)-SUM(AD252:AD254)</f>
        <v>0</v>
      </c>
      <c r="AK252" s="1119">
        <f>P252-V252-V253</f>
        <v>0</v>
      </c>
      <c r="AL252" s="1119">
        <f>SUM(V252:V254)-SUM(Z252:Z254)</f>
        <v>599959</v>
      </c>
      <c r="AM252" s="1119"/>
      <c r="AN252" s="1203"/>
      <c r="AO252" s="1204"/>
      <c r="AQ252" s="934"/>
    </row>
    <row r="253" spans="1:43" s="4" customFormat="1" ht="15" customHeight="1">
      <c r="A253" s="1075"/>
      <c r="B253" s="1171"/>
      <c r="C253" s="1076"/>
      <c r="D253" s="1076"/>
      <c r="E253" s="1252"/>
      <c r="F253" s="1252"/>
      <c r="G253" s="1076"/>
      <c r="H253" s="1076"/>
      <c r="I253" s="1076"/>
      <c r="J253" s="1076"/>
      <c r="K253" s="1076"/>
      <c r="L253" s="1076"/>
      <c r="M253" s="1245"/>
      <c r="N253" s="1282" t="s">
        <v>7</v>
      </c>
      <c r="O253" s="1119">
        <v>1349400</v>
      </c>
      <c r="P253" s="1119"/>
      <c r="Q253" s="1119"/>
      <c r="R253" s="1171"/>
      <c r="S253" s="110"/>
      <c r="T253" s="109"/>
      <c r="U253" s="109"/>
      <c r="V253" s="1119">
        <v>1349400</v>
      </c>
      <c r="W253" s="1119"/>
      <c r="X253" s="1076"/>
      <c r="Y253" s="1123" t="s">
        <v>420</v>
      </c>
      <c r="Z253" s="109">
        <v>659616</v>
      </c>
      <c r="AA253" s="109">
        <v>-209951</v>
      </c>
      <c r="AB253" s="109">
        <f t="shared" si="20"/>
        <v>449665</v>
      </c>
      <c r="AC253" s="1171">
        <v>41492</v>
      </c>
      <c r="AD253" s="119">
        <v>449665</v>
      </c>
      <c r="AE253" s="119" t="s">
        <v>7</v>
      </c>
      <c r="AF253" s="1084"/>
      <c r="AG253" s="1084"/>
      <c r="AH253" s="111">
        <f t="shared" si="19"/>
        <v>0</v>
      </c>
      <c r="AI253" s="1084">
        <f>O253-AD253-AD254</f>
        <v>599959</v>
      </c>
      <c r="AJ253" s="1119"/>
      <c r="AK253" s="1119"/>
      <c r="AL253" s="1119"/>
      <c r="AM253" s="1119"/>
      <c r="AN253" s="1203"/>
      <c r="AO253" s="1204"/>
      <c r="AQ253" s="934"/>
    </row>
    <row r="254" spans="1:43" s="4" customFormat="1" ht="15" customHeight="1">
      <c r="A254" s="1075"/>
      <c r="B254" s="1171"/>
      <c r="C254" s="1076"/>
      <c r="D254" s="1076"/>
      <c r="E254" s="1252"/>
      <c r="F254" s="1252"/>
      <c r="G254" s="1076"/>
      <c r="H254" s="1076"/>
      <c r="I254" s="1076"/>
      <c r="J254" s="1076"/>
      <c r="K254" s="1076"/>
      <c r="L254" s="1076"/>
      <c r="M254" s="1245"/>
      <c r="N254" s="1282"/>
      <c r="O254" s="1119"/>
      <c r="P254" s="1119"/>
      <c r="Q254" s="1119"/>
      <c r="R254" s="1171"/>
      <c r="S254" s="110"/>
      <c r="T254" s="109"/>
      <c r="U254" s="109"/>
      <c r="V254" s="1119"/>
      <c r="W254" s="1119"/>
      <c r="X254" s="1076"/>
      <c r="Y254" s="1123"/>
      <c r="Z254" s="109">
        <v>989425</v>
      </c>
      <c r="AA254" s="109">
        <v>-689649</v>
      </c>
      <c r="AB254" s="109">
        <f t="shared" si="20"/>
        <v>299776</v>
      </c>
      <c r="AC254" s="1171"/>
      <c r="AD254" s="119">
        <v>299776</v>
      </c>
      <c r="AE254" s="119" t="s">
        <v>7</v>
      </c>
      <c r="AF254" s="1084"/>
      <c r="AG254" s="1084"/>
      <c r="AH254" s="111">
        <f t="shared" si="19"/>
        <v>0</v>
      </c>
      <c r="AI254" s="1084"/>
      <c r="AJ254" s="1119"/>
      <c r="AK254" s="1119"/>
      <c r="AL254" s="1119"/>
      <c r="AM254" s="1119"/>
      <c r="AN254" s="1203"/>
      <c r="AO254" s="1204"/>
      <c r="AQ254" s="934"/>
    </row>
    <row r="255" spans="1:43" s="4" customFormat="1" ht="15" customHeight="1">
      <c r="A255" s="1075"/>
      <c r="B255" s="1171"/>
      <c r="C255" s="1076"/>
      <c r="D255" s="1076"/>
      <c r="E255" s="1252"/>
      <c r="F255" s="1252"/>
      <c r="G255" s="1076"/>
      <c r="H255" s="1076"/>
      <c r="I255" s="1076"/>
      <c r="J255" s="1076"/>
      <c r="K255" s="1076"/>
      <c r="L255" s="1076"/>
      <c r="M255" s="1245">
        <v>57</v>
      </c>
      <c r="N255" s="1282" t="s">
        <v>137</v>
      </c>
      <c r="O255" s="1119">
        <v>899600</v>
      </c>
      <c r="P255" s="1119">
        <f>O255+O257</f>
        <v>2249000</v>
      </c>
      <c r="Q255" s="1119"/>
      <c r="R255" s="1171">
        <v>40413</v>
      </c>
      <c r="S255" s="110"/>
      <c r="T255" s="109"/>
      <c r="U255" s="109"/>
      <c r="V255" s="1119">
        <v>899600</v>
      </c>
      <c r="W255" s="1119"/>
      <c r="X255" s="1076"/>
      <c r="Y255" s="108" t="s">
        <v>417</v>
      </c>
      <c r="Z255" s="109">
        <v>0</v>
      </c>
      <c r="AA255" s="109">
        <v>899600</v>
      </c>
      <c r="AB255" s="109">
        <f t="shared" si="20"/>
        <v>899600</v>
      </c>
      <c r="AC255" s="97">
        <v>40443</v>
      </c>
      <c r="AD255" s="119">
        <v>899600</v>
      </c>
      <c r="AE255" s="119" t="s">
        <v>137</v>
      </c>
      <c r="AF255" s="1084">
        <f>SUM(AD255:AD257)</f>
        <v>1649041</v>
      </c>
      <c r="AG255" s="1084"/>
      <c r="AH255" s="111">
        <f t="shared" si="19"/>
        <v>0</v>
      </c>
      <c r="AI255" s="1084">
        <f>O255-AD255-AD256</f>
        <v>-449665</v>
      </c>
      <c r="AJ255" s="1119">
        <f>SUM(Z255:Z257)-SUM(AD255:AD257)</f>
        <v>0</v>
      </c>
      <c r="AK255" s="1119">
        <f>P255-V255-V257</f>
        <v>0</v>
      </c>
      <c r="AL255" s="1119">
        <f>SUM(V255:V257)-SUM(Z255:Z257)</f>
        <v>599959</v>
      </c>
      <c r="AM255" s="1119"/>
      <c r="AN255" s="1203"/>
      <c r="AO255" s="1204"/>
      <c r="AQ255" s="934"/>
    </row>
    <row r="256" spans="1:43" s="4" customFormat="1" ht="15" customHeight="1">
      <c r="A256" s="1075"/>
      <c r="B256" s="1171"/>
      <c r="C256" s="1076"/>
      <c r="D256" s="1076"/>
      <c r="E256" s="1252"/>
      <c r="F256" s="1252"/>
      <c r="G256" s="1076"/>
      <c r="H256" s="1076"/>
      <c r="I256" s="1076"/>
      <c r="J256" s="1076"/>
      <c r="K256" s="1076"/>
      <c r="L256" s="1076"/>
      <c r="M256" s="1245"/>
      <c r="N256" s="1282"/>
      <c r="O256" s="1119"/>
      <c r="P256" s="1119"/>
      <c r="Q256" s="1119"/>
      <c r="R256" s="1171"/>
      <c r="S256" s="110"/>
      <c r="T256" s="109"/>
      <c r="U256" s="109"/>
      <c r="V256" s="1119"/>
      <c r="W256" s="1119"/>
      <c r="X256" s="1076"/>
      <c r="Y256" s="1123" t="s">
        <v>420</v>
      </c>
      <c r="Z256" s="109">
        <v>659616</v>
      </c>
      <c r="AA256" s="109">
        <v>-209951</v>
      </c>
      <c r="AB256" s="109">
        <f t="shared" si="20"/>
        <v>449665</v>
      </c>
      <c r="AC256" s="1171">
        <v>41492</v>
      </c>
      <c r="AD256" s="119">
        <v>449665</v>
      </c>
      <c r="AE256" s="119" t="s">
        <v>137</v>
      </c>
      <c r="AF256" s="1084"/>
      <c r="AG256" s="1084"/>
      <c r="AH256" s="111">
        <f t="shared" si="19"/>
        <v>0</v>
      </c>
      <c r="AI256" s="1084"/>
      <c r="AJ256" s="1119"/>
      <c r="AK256" s="1119"/>
      <c r="AL256" s="1119"/>
      <c r="AM256" s="1119"/>
      <c r="AN256" s="1203"/>
      <c r="AO256" s="1204"/>
      <c r="AQ256" s="934"/>
    </row>
    <row r="257" spans="1:43" s="4" customFormat="1" ht="15" customHeight="1">
      <c r="A257" s="1075"/>
      <c r="B257" s="1171"/>
      <c r="C257" s="1076"/>
      <c r="D257" s="1076"/>
      <c r="E257" s="1252"/>
      <c r="F257" s="1252"/>
      <c r="G257" s="1076"/>
      <c r="H257" s="1076"/>
      <c r="I257" s="1076"/>
      <c r="J257" s="1076"/>
      <c r="K257" s="1076"/>
      <c r="L257" s="1076"/>
      <c r="M257" s="1245"/>
      <c r="N257" s="135" t="s">
        <v>7</v>
      </c>
      <c r="O257" s="109">
        <v>1349400</v>
      </c>
      <c r="P257" s="1119"/>
      <c r="Q257" s="1119"/>
      <c r="R257" s="1171"/>
      <c r="S257" s="110"/>
      <c r="T257" s="109"/>
      <c r="U257" s="109"/>
      <c r="V257" s="109">
        <v>1349400</v>
      </c>
      <c r="W257" s="1119"/>
      <c r="X257" s="1076"/>
      <c r="Y257" s="1123"/>
      <c r="Z257" s="109">
        <v>989425</v>
      </c>
      <c r="AA257" s="109">
        <v>-689649</v>
      </c>
      <c r="AB257" s="109">
        <f t="shared" si="20"/>
        <v>299776</v>
      </c>
      <c r="AC257" s="1171"/>
      <c r="AD257" s="119">
        <v>299776</v>
      </c>
      <c r="AE257" s="119" t="s">
        <v>7</v>
      </c>
      <c r="AF257" s="1084"/>
      <c r="AG257" s="1084"/>
      <c r="AH257" s="111">
        <f t="shared" si="19"/>
        <v>0</v>
      </c>
      <c r="AI257" s="111">
        <f>O257-AD257</f>
        <v>1049624</v>
      </c>
      <c r="AJ257" s="1119"/>
      <c r="AK257" s="1119"/>
      <c r="AL257" s="1119"/>
      <c r="AM257" s="1119"/>
      <c r="AN257" s="1203"/>
      <c r="AO257" s="1204"/>
      <c r="AQ257" s="934"/>
    </row>
    <row r="258" spans="1:43" s="4" customFormat="1" ht="15" customHeight="1">
      <c r="A258" s="1075"/>
      <c r="B258" s="1171"/>
      <c r="C258" s="113" t="s">
        <v>34</v>
      </c>
      <c r="D258" s="1076"/>
      <c r="E258" s="1252"/>
      <c r="F258" s="1252"/>
      <c r="G258" s="1076"/>
      <c r="H258" s="1076"/>
      <c r="I258" s="1076"/>
      <c r="J258" s="113" t="s">
        <v>67</v>
      </c>
      <c r="K258" s="1076"/>
      <c r="L258" s="1076"/>
      <c r="M258" s="132">
        <v>197</v>
      </c>
      <c r="N258" s="135" t="s">
        <v>7</v>
      </c>
      <c r="O258" s="109">
        <v>1607760</v>
      </c>
      <c r="P258" s="109">
        <f>O258</f>
        <v>1607760</v>
      </c>
      <c r="Q258" s="1119"/>
      <c r="R258" s="97"/>
      <c r="S258" s="110"/>
      <c r="T258" s="109"/>
      <c r="U258" s="109"/>
      <c r="V258" s="109">
        <v>1607760</v>
      </c>
      <c r="W258" s="1119"/>
      <c r="X258" s="113"/>
      <c r="Y258" s="108"/>
      <c r="Z258" s="109">
        <v>0</v>
      </c>
      <c r="AA258" s="109">
        <v>0</v>
      </c>
      <c r="AB258" s="109">
        <v>0</v>
      </c>
      <c r="AC258" s="97"/>
      <c r="AD258" s="119">
        <v>0</v>
      </c>
      <c r="AE258" s="119"/>
      <c r="AF258" s="111">
        <f>AD258</f>
        <v>0</v>
      </c>
      <c r="AG258" s="1084"/>
      <c r="AH258" s="111">
        <f t="shared" si="19"/>
        <v>0</v>
      </c>
      <c r="AI258" s="111"/>
      <c r="AJ258" s="109">
        <f>Z258-AD258</f>
        <v>0</v>
      </c>
      <c r="AK258" s="109">
        <f>P258-V258</f>
        <v>0</v>
      </c>
      <c r="AL258" s="109">
        <f>V258-Z258</f>
        <v>1607760</v>
      </c>
      <c r="AM258" s="109"/>
      <c r="AN258" s="1203"/>
      <c r="AO258" s="1204"/>
      <c r="AQ258" s="934"/>
    </row>
    <row r="259" spans="1:43" ht="15" customHeight="1">
      <c r="A259" s="1030" t="s">
        <v>1560</v>
      </c>
      <c r="B259" s="1068">
        <v>40301</v>
      </c>
      <c r="C259" s="1011" t="s">
        <v>43</v>
      </c>
      <c r="D259" s="1011" t="s">
        <v>1561</v>
      </c>
      <c r="E259" s="1071">
        <v>10519803</v>
      </c>
      <c r="F259" s="1071"/>
      <c r="G259" s="1011" t="s">
        <v>1562</v>
      </c>
      <c r="H259" s="1011" t="s">
        <v>70</v>
      </c>
      <c r="I259" s="1011" t="s">
        <v>206</v>
      </c>
      <c r="J259" s="1011" t="s">
        <v>66</v>
      </c>
      <c r="K259" s="1011" t="s">
        <v>217</v>
      </c>
      <c r="L259" s="1011" t="s">
        <v>1565</v>
      </c>
      <c r="M259" s="1286">
        <v>68</v>
      </c>
      <c r="N259" s="1065" t="s">
        <v>137</v>
      </c>
      <c r="O259" s="1062">
        <v>928000</v>
      </c>
      <c r="P259" s="1062">
        <f>O259+O262</f>
        <v>2320000</v>
      </c>
      <c r="Q259" s="1062">
        <f>P259+P264+P271+P278+P285+P287</f>
        <v>24219015</v>
      </c>
      <c r="R259" s="1068">
        <v>40413</v>
      </c>
      <c r="S259" s="1092">
        <f>T259+T261</f>
        <v>928000</v>
      </c>
      <c r="T259" s="1062">
        <v>928000</v>
      </c>
      <c r="U259" s="1119">
        <f>O259-T259</f>
        <v>0</v>
      </c>
      <c r="V259" s="1062">
        <v>928000</v>
      </c>
      <c r="W259" s="1062">
        <f>V259+V262+V264+V268+V271+V274+V278+V282+V285+V287</f>
        <v>24219015</v>
      </c>
      <c r="X259" s="1011" t="s">
        <v>1564</v>
      </c>
      <c r="Y259" s="108" t="s">
        <v>1567</v>
      </c>
      <c r="Z259" s="109">
        <v>0</v>
      </c>
      <c r="AA259" s="109">
        <v>928000</v>
      </c>
      <c r="AB259" s="109">
        <f t="shared" ref="AB259:AB288" si="21">Z259+AA259</f>
        <v>928000</v>
      </c>
      <c r="AC259" s="97">
        <v>40438</v>
      </c>
      <c r="AD259" s="119">
        <v>928000</v>
      </c>
      <c r="AE259" s="119" t="s">
        <v>137</v>
      </c>
      <c r="AF259" s="1043">
        <f>SUM(AD259:AD263)</f>
        <v>2320000</v>
      </c>
      <c r="AG259" s="1043">
        <f>AF259+AF264+AF271+AF278+AF285+AF287</f>
        <v>20598701.359999999</v>
      </c>
      <c r="AH259" s="111">
        <f t="shared" ref="AH259:AH286" si="22">AB259-AD259</f>
        <v>0</v>
      </c>
      <c r="AI259" s="1043">
        <f>O259-AD259-AD260-AD262</f>
        <v>-554944</v>
      </c>
      <c r="AJ259" s="1062">
        <f>SUM(Z259:Z288)-SUM(AD259:AD288)</f>
        <v>3620313.6400000006</v>
      </c>
      <c r="AK259" s="1062">
        <f>P259-V259-V262</f>
        <v>0</v>
      </c>
      <c r="AL259" s="1062">
        <f>SUM(V259:V263)-SUM(Z259:Z263)</f>
        <v>0</v>
      </c>
      <c r="AM259" s="1062">
        <f>AK259+AL259+AK262+AL262</f>
        <v>0</v>
      </c>
      <c r="AN259" s="1108" t="s">
        <v>1579</v>
      </c>
      <c r="AO259" s="1103" t="s">
        <v>1580</v>
      </c>
    </row>
    <row r="260" spans="1:43" ht="15" customHeight="1">
      <c r="A260" s="1031"/>
      <c r="B260" s="1069"/>
      <c r="C260" s="1033"/>
      <c r="D260" s="1033"/>
      <c r="E260" s="1072"/>
      <c r="F260" s="1072"/>
      <c r="G260" s="1033"/>
      <c r="H260" s="1033"/>
      <c r="I260" s="1033"/>
      <c r="J260" s="1033"/>
      <c r="K260" s="1033"/>
      <c r="L260" s="1033"/>
      <c r="M260" s="1287"/>
      <c r="N260" s="1066"/>
      <c r="O260" s="1063"/>
      <c r="P260" s="1063"/>
      <c r="Q260" s="1063"/>
      <c r="R260" s="1069"/>
      <c r="S260" s="1093"/>
      <c r="T260" s="1063"/>
      <c r="U260" s="1119"/>
      <c r="V260" s="1063"/>
      <c r="W260" s="1063"/>
      <c r="X260" s="1033"/>
      <c r="Y260" s="1065" t="s">
        <v>1568</v>
      </c>
      <c r="Z260" s="109">
        <v>770240</v>
      </c>
      <c r="AA260" s="109">
        <v>-308096</v>
      </c>
      <c r="AB260" s="109">
        <f t="shared" si="21"/>
        <v>462144</v>
      </c>
      <c r="AC260" s="1068">
        <v>40585</v>
      </c>
      <c r="AD260" s="119">
        <v>462144</v>
      </c>
      <c r="AE260" s="119" t="s">
        <v>137</v>
      </c>
      <c r="AF260" s="1044"/>
      <c r="AG260" s="1044"/>
      <c r="AH260" s="111">
        <f t="shared" si="22"/>
        <v>0</v>
      </c>
      <c r="AI260" s="1044"/>
      <c r="AJ260" s="1063"/>
      <c r="AK260" s="1063"/>
      <c r="AL260" s="1063"/>
      <c r="AM260" s="1063"/>
      <c r="AN260" s="1109"/>
      <c r="AO260" s="1104"/>
    </row>
    <row r="261" spans="1:43" ht="15" customHeight="1">
      <c r="A261" s="1031"/>
      <c r="B261" s="1069"/>
      <c r="C261" s="1033"/>
      <c r="D261" s="1033"/>
      <c r="E261" s="1072"/>
      <c r="F261" s="1072"/>
      <c r="G261" s="1033"/>
      <c r="H261" s="1033"/>
      <c r="I261" s="1033"/>
      <c r="J261" s="1033"/>
      <c r="K261" s="1033"/>
      <c r="L261" s="1033"/>
      <c r="M261" s="1287"/>
      <c r="N261" s="1067"/>
      <c r="O261" s="1064"/>
      <c r="P261" s="1063"/>
      <c r="Q261" s="1063"/>
      <c r="R261" s="1069"/>
      <c r="S261" s="1093"/>
      <c r="T261" s="1064"/>
      <c r="U261" s="1119"/>
      <c r="V261" s="1064"/>
      <c r="W261" s="1063"/>
      <c r="X261" s="1033"/>
      <c r="Y261" s="1067"/>
      <c r="Z261" s="109">
        <v>1155360</v>
      </c>
      <c r="AA261" s="109">
        <v>-462144</v>
      </c>
      <c r="AB261" s="109">
        <f t="shared" si="21"/>
        <v>693216</v>
      </c>
      <c r="AC261" s="1070"/>
      <c r="AD261" s="119">
        <v>693216</v>
      </c>
      <c r="AE261" s="119" t="s">
        <v>7</v>
      </c>
      <c r="AF261" s="1044"/>
      <c r="AG261" s="1044"/>
      <c r="AH261" s="111">
        <f t="shared" si="22"/>
        <v>0</v>
      </c>
      <c r="AI261" s="1045"/>
      <c r="AJ261" s="1063"/>
      <c r="AK261" s="1063"/>
      <c r="AL261" s="1063"/>
      <c r="AM261" s="1063"/>
      <c r="AN261" s="1109"/>
      <c r="AO261" s="1104"/>
    </row>
    <row r="262" spans="1:43" ht="15" customHeight="1">
      <c r="A262" s="1031"/>
      <c r="B262" s="1069"/>
      <c r="C262" s="1033"/>
      <c r="D262" s="1033"/>
      <c r="E262" s="1072"/>
      <c r="F262" s="1072"/>
      <c r="G262" s="1033"/>
      <c r="H262" s="1033"/>
      <c r="I262" s="1033"/>
      <c r="J262" s="1033"/>
      <c r="K262" s="1033"/>
      <c r="L262" s="1033"/>
      <c r="M262" s="1287"/>
      <c r="N262" s="1065" t="s">
        <v>7</v>
      </c>
      <c r="O262" s="1062">
        <v>1392000</v>
      </c>
      <c r="P262" s="1063"/>
      <c r="Q262" s="1063"/>
      <c r="R262" s="1069"/>
      <c r="S262" s="1093"/>
      <c r="T262" s="1062">
        <v>1392000</v>
      </c>
      <c r="U262" s="1119">
        <f>O262-T262</f>
        <v>0</v>
      </c>
      <c r="V262" s="1062">
        <v>1392000</v>
      </c>
      <c r="W262" s="1063"/>
      <c r="X262" s="1033"/>
      <c r="Y262" s="1065" t="s">
        <v>1575</v>
      </c>
      <c r="Z262" s="109">
        <v>157760</v>
      </c>
      <c r="AA262" s="109">
        <v>-64960</v>
      </c>
      <c r="AB262" s="109">
        <f t="shared" si="21"/>
        <v>92800</v>
      </c>
      <c r="AC262" s="1068">
        <v>41045</v>
      </c>
      <c r="AD262" s="119">
        <v>92800</v>
      </c>
      <c r="AE262" s="119" t="s">
        <v>137</v>
      </c>
      <c r="AF262" s="1044"/>
      <c r="AG262" s="1044"/>
      <c r="AH262" s="111">
        <f t="shared" si="22"/>
        <v>0</v>
      </c>
      <c r="AI262" s="1043">
        <f>O262-AD261-AD263</f>
        <v>554944</v>
      </c>
      <c r="AJ262" s="1063"/>
      <c r="AK262" s="1063"/>
      <c r="AL262" s="1063"/>
      <c r="AM262" s="1063"/>
      <c r="AN262" s="1109"/>
      <c r="AO262" s="1104"/>
    </row>
    <row r="263" spans="1:43" ht="15" customHeight="1">
      <c r="A263" s="1031"/>
      <c r="B263" s="1069"/>
      <c r="C263" s="1033"/>
      <c r="D263" s="1033"/>
      <c r="E263" s="1072"/>
      <c r="F263" s="1072"/>
      <c r="G263" s="1033"/>
      <c r="H263" s="1033"/>
      <c r="I263" s="1033"/>
      <c r="J263" s="1033"/>
      <c r="K263" s="1033"/>
      <c r="L263" s="1033"/>
      <c r="M263" s="1288"/>
      <c r="N263" s="1067"/>
      <c r="O263" s="1064"/>
      <c r="P263" s="1064"/>
      <c r="Q263" s="1063"/>
      <c r="R263" s="1070"/>
      <c r="S263" s="1094"/>
      <c r="T263" s="1064"/>
      <c r="U263" s="1119"/>
      <c r="V263" s="1064"/>
      <c r="W263" s="1063"/>
      <c r="X263" s="1033"/>
      <c r="Y263" s="1067"/>
      <c r="Z263" s="109">
        <v>236640</v>
      </c>
      <c r="AA263" s="109">
        <v>-92800</v>
      </c>
      <c r="AB263" s="109">
        <f t="shared" si="21"/>
        <v>143840</v>
      </c>
      <c r="AC263" s="1070"/>
      <c r="AD263" s="119">
        <v>143840</v>
      </c>
      <c r="AE263" s="119" t="s">
        <v>7</v>
      </c>
      <c r="AF263" s="1045"/>
      <c r="AG263" s="1044"/>
      <c r="AH263" s="111">
        <f t="shared" si="22"/>
        <v>0</v>
      </c>
      <c r="AI263" s="1045"/>
      <c r="AJ263" s="1063"/>
      <c r="AK263" s="1064"/>
      <c r="AL263" s="1064"/>
      <c r="AM263" s="1064"/>
      <c r="AN263" s="1109"/>
      <c r="AO263" s="1104"/>
    </row>
    <row r="264" spans="1:43" ht="15" customHeight="1">
      <c r="A264" s="1031"/>
      <c r="B264" s="1069"/>
      <c r="C264" s="1033"/>
      <c r="D264" s="1033"/>
      <c r="E264" s="1072"/>
      <c r="F264" s="1072"/>
      <c r="G264" s="1033"/>
      <c r="H264" s="1033"/>
      <c r="I264" s="1033"/>
      <c r="J264" s="1033"/>
      <c r="K264" s="1033"/>
      <c r="L264" s="1033"/>
      <c r="M264" s="1286">
        <v>69</v>
      </c>
      <c r="N264" s="1065" t="s">
        <v>137</v>
      </c>
      <c r="O264" s="1062">
        <v>2744000</v>
      </c>
      <c r="P264" s="1062">
        <f>O264+O268</f>
        <v>6860000</v>
      </c>
      <c r="Q264" s="1063"/>
      <c r="R264" s="1068">
        <v>40413</v>
      </c>
      <c r="S264" s="1092">
        <f>T264+T268</f>
        <v>6860000</v>
      </c>
      <c r="T264" s="1092">
        <v>2744000</v>
      </c>
      <c r="U264" s="1092">
        <f>O264-T264</f>
        <v>0</v>
      </c>
      <c r="V264" s="1062">
        <v>2744000</v>
      </c>
      <c r="W264" s="1063"/>
      <c r="X264" s="1033"/>
      <c r="Y264" s="108" t="s">
        <v>1567</v>
      </c>
      <c r="Z264" s="109">
        <v>0</v>
      </c>
      <c r="AA264" s="109">
        <v>2744000</v>
      </c>
      <c r="AB264" s="109">
        <f t="shared" si="21"/>
        <v>2744000</v>
      </c>
      <c r="AC264" s="97">
        <v>40438</v>
      </c>
      <c r="AD264" s="119">
        <v>2744000</v>
      </c>
      <c r="AE264" s="119" t="s">
        <v>137</v>
      </c>
      <c r="AF264" s="1043">
        <f>SUM(AD264:AD270)</f>
        <v>6172628</v>
      </c>
      <c r="AG264" s="1044"/>
      <c r="AH264" s="111">
        <f t="shared" si="22"/>
        <v>0</v>
      </c>
      <c r="AI264" s="1043">
        <f>O264-AD264-AD265-AD266</f>
        <v>-2058000</v>
      </c>
      <c r="AJ264" s="1063"/>
      <c r="AK264" s="1062">
        <f>P264-V264-V268</f>
        <v>0</v>
      </c>
      <c r="AL264" s="1062">
        <f>(V264+V268)-SUM(Z264:Z270)</f>
        <v>0</v>
      </c>
      <c r="AM264" s="1062">
        <f>AK264+AL264</f>
        <v>0</v>
      </c>
      <c r="AN264" s="1109"/>
      <c r="AO264" s="1104"/>
    </row>
    <row r="265" spans="1:43" ht="15" customHeight="1">
      <c r="A265" s="1031"/>
      <c r="B265" s="1069"/>
      <c r="C265" s="1033"/>
      <c r="D265" s="1033"/>
      <c r="E265" s="1072"/>
      <c r="F265" s="1072"/>
      <c r="G265" s="1033"/>
      <c r="H265" s="1033"/>
      <c r="I265" s="1033"/>
      <c r="J265" s="1033"/>
      <c r="K265" s="1033"/>
      <c r="L265" s="1033"/>
      <c r="M265" s="1287"/>
      <c r="N265" s="1066"/>
      <c r="O265" s="1063"/>
      <c r="P265" s="1063"/>
      <c r="Q265" s="1063"/>
      <c r="R265" s="1069"/>
      <c r="S265" s="1093"/>
      <c r="T265" s="1093"/>
      <c r="U265" s="1093"/>
      <c r="V265" s="1063"/>
      <c r="W265" s="1063"/>
      <c r="X265" s="1033"/>
      <c r="Y265" s="1065" t="s">
        <v>1571</v>
      </c>
      <c r="Z265" s="109">
        <v>1372000</v>
      </c>
      <c r="AA265" s="109">
        <v>-548800</v>
      </c>
      <c r="AB265" s="109">
        <f t="shared" si="21"/>
        <v>823200</v>
      </c>
      <c r="AC265" s="1068">
        <v>40711</v>
      </c>
      <c r="AD265" s="119">
        <v>823200</v>
      </c>
      <c r="AE265" s="119" t="s">
        <v>137</v>
      </c>
      <c r="AF265" s="1044"/>
      <c r="AG265" s="1044"/>
      <c r="AH265" s="111">
        <f t="shared" si="22"/>
        <v>0</v>
      </c>
      <c r="AI265" s="1044"/>
      <c r="AJ265" s="1063"/>
      <c r="AK265" s="1063"/>
      <c r="AL265" s="1063"/>
      <c r="AM265" s="1063"/>
      <c r="AN265" s="1109"/>
      <c r="AO265" s="1104"/>
    </row>
    <row r="266" spans="1:43" ht="15" customHeight="1">
      <c r="A266" s="1031"/>
      <c r="B266" s="1069"/>
      <c r="C266" s="1033"/>
      <c r="D266" s="1033"/>
      <c r="E266" s="1072"/>
      <c r="F266" s="1072"/>
      <c r="G266" s="1033"/>
      <c r="H266" s="1033"/>
      <c r="I266" s="1033"/>
      <c r="J266" s="1033"/>
      <c r="K266" s="1033"/>
      <c r="L266" s="1033"/>
      <c r="M266" s="1287"/>
      <c r="N266" s="1066"/>
      <c r="O266" s="1063"/>
      <c r="P266" s="1063"/>
      <c r="Q266" s="1063"/>
      <c r="R266" s="1069"/>
      <c r="S266" s="1093"/>
      <c r="T266" s="1093"/>
      <c r="U266" s="1093"/>
      <c r="V266" s="1063"/>
      <c r="W266" s="1063"/>
      <c r="X266" s="1033"/>
      <c r="Y266" s="1067"/>
      <c r="Z266" s="109">
        <v>2058000</v>
      </c>
      <c r="AA266" s="109">
        <v>-823200</v>
      </c>
      <c r="AB266" s="109">
        <f t="shared" si="21"/>
        <v>1234800</v>
      </c>
      <c r="AC266" s="1070"/>
      <c r="AD266" s="119">
        <v>1234800</v>
      </c>
      <c r="AE266" s="119" t="s">
        <v>137</v>
      </c>
      <c r="AF266" s="1044"/>
      <c r="AG266" s="1044"/>
      <c r="AH266" s="111">
        <f t="shared" si="22"/>
        <v>0</v>
      </c>
      <c r="AI266" s="1044"/>
      <c r="AJ266" s="1063"/>
      <c r="AK266" s="1063"/>
      <c r="AL266" s="1063"/>
      <c r="AM266" s="1063"/>
      <c r="AN266" s="1109"/>
      <c r="AO266" s="1104"/>
    </row>
    <row r="267" spans="1:43" ht="15" customHeight="1">
      <c r="A267" s="1031"/>
      <c r="B267" s="1069"/>
      <c r="C267" s="1033"/>
      <c r="D267" s="1033"/>
      <c r="E267" s="1072"/>
      <c r="F267" s="1072"/>
      <c r="G267" s="1033"/>
      <c r="H267" s="1033"/>
      <c r="I267" s="1033"/>
      <c r="J267" s="1033"/>
      <c r="K267" s="1033"/>
      <c r="L267" s="1033"/>
      <c r="M267" s="1287"/>
      <c r="N267" s="1067"/>
      <c r="O267" s="1064"/>
      <c r="P267" s="1063"/>
      <c r="Q267" s="1063"/>
      <c r="R267" s="1069"/>
      <c r="S267" s="1093"/>
      <c r="T267" s="1094"/>
      <c r="U267" s="1094"/>
      <c r="V267" s="1064"/>
      <c r="W267" s="1063"/>
      <c r="X267" s="1033"/>
      <c r="Y267" s="1065" t="s">
        <v>1572</v>
      </c>
      <c r="Z267" s="109">
        <v>913752</v>
      </c>
      <c r="AA267" s="109">
        <v>-365501.46</v>
      </c>
      <c r="AB267" s="109">
        <f t="shared" si="21"/>
        <v>548250.54</v>
      </c>
      <c r="AC267" s="1068">
        <v>40736</v>
      </c>
      <c r="AD267" s="119">
        <v>548250.54</v>
      </c>
      <c r="AE267" s="119" t="s">
        <v>7</v>
      </c>
      <c r="AF267" s="1044"/>
      <c r="AG267" s="1044"/>
      <c r="AH267" s="111">
        <f t="shared" si="22"/>
        <v>0</v>
      </c>
      <c r="AI267" s="1045"/>
      <c r="AJ267" s="1063"/>
      <c r="AK267" s="1063"/>
      <c r="AL267" s="1063"/>
      <c r="AM267" s="1063"/>
      <c r="AN267" s="1109"/>
      <c r="AO267" s="1104"/>
    </row>
    <row r="268" spans="1:43" ht="15" customHeight="1">
      <c r="A268" s="1031"/>
      <c r="B268" s="1069"/>
      <c r="C268" s="1033"/>
      <c r="D268" s="1033"/>
      <c r="E268" s="1072"/>
      <c r="F268" s="1072"/>
      <c r="G268" s="1033"/>
      <c r="H268" s="1033"/>
      <c r="I268" s="1033"/>
      <c r="J268" s="1033"/>
      <c r="K268" s="1033"/>
      <c r="L268" s="1033"/>
      <c r="M268" s="1287"/>
      <c r="N268" s="1065" t="s">
        <v>7</v>
      </c>
      <c r="O268" s="1062">
        <v>4116000</v>
      </c>
      <c r="P268" s="1063"/>
      <c r="Q268" s="1063"/>
      <c r="R268" s="1069"/>
      <c r="S268" s="1093"/>
      <c r="T268" s="1062">
        <v>4116000</v>
      </c>
      <c r="U268" s="1062">
        <f>O268-T268</f>
        <v>0</v>
      </c>
      <c r="V268" s="1062">
        <v>4116000</v>
      </c>
      <c r="W268" s="1063"/>
      <c r="X268" s="1033"/>
      <c r="Y268" s="1067"/>
      <c r="Z268" s="109">
        <v>1370628</v>
      </c>
      <c r="AA268" s="109">
        <v>-548250.54</v>
      </c>
      <c r="AB268" s="109">
        <f t="shared" si="21"/>
        <v>822377.46</v>
      </c>
      <c r="AC268" s="1070"/>
      <c r="AD268" s="119">
        <v>822377.46</v>
      </c>
      <c r="AE268" s="119" t="s">
        <v>7</v>
      </c>
      <c r="AF268" s="1044"/>
      <c r="AG268" s="1044"/>
      <c r="AH268" s="111">
        <f t="shared" si="22"/>
        <v>0</v>
      </c>
      <c r="AI268" s="1043">
        <f>O268-AD267-AD268</f>
        <v>2745372</v>
      </c>
      <c r="AJ268" s="1063"/>
      <c r="AK268" s="1063"/>
      <c r="AL268" s="1063"/>
      <c r="AM268" s="1063"/>
      <c r="AN268" s="1109"/>
      <c r="AO268" s="1104"/>
    </row>
    <row r="269" spans="1:43" ht="15" customHeight="1">
      <c r="A269" s="1031"/>
      <c r="B269" s="1069"/>
      <c r="C269" s="1033"/>
      <c r="D269" s="1033"/>
      <c r="E269" s="1072"/>
      <c r="F269" s="1072"/>
      <c r="G269" s="1033"/>
      <c r="H269" s="1033"/>
      <c r="I269" s="1033"/>
      <c r="J269" s="1033"/>
      <c r="K269" s="1033"/>
      <c r="L269" s="1033"/>
      <c r="M269" s="1287"/>
      <c r="N269" s="1066"/>
      <c r="O269" s="1063"/>
      <c r="P269" s="1063"/>
      <c r="Q269" s="1063"/>
      <c r="R269" s="1069"/>
      <c r="S269" s="1093"/>
      <c r="T269" s="1063"/>
      <c r="U269" s="1063"/>
      <c r="V269" s="1063"/>
      <c r="W269" s="1063"/>
      <c r="X269" s="1033"/>
      <c r="Y269" s="1065" t="s">
        <v>1578</v>
      </c>
      <c r="Z269" s="109">
        <v>458248</v>
      </c>
      <c r="AA269" s="109">
        <v>-183299.20000000001</v>
      </c>
      <c r="AB269" s="109">
        <f t="shared" si="21"/>
        <v>274948.8</v>
      </c>
      <c r="AC269" s="97"/>
      <c r="AD269" s="119">
        <v>0</v>
      </c>
      <c r="AE269" s="119"/>
      <c r="AF269" s="1044"/>
      <c r="AG269" s="1044"/>
      <c r="AH269" s="111">
        <f t="shared" si="22"/>
        <v>274948.8</v>
      </c>
      <c r="AI269" s="1044"/>
      <c r="AJ269" s="1063"/>
      <c r="AK269" s="1063"/>
      <c r="AL269" s="1063"/>
      <c r="AM269" s="1063"/>
      <c r="AN269" s="1109"/>
      <c r="AO269" s="1104"/>
    </row>
    <row r="270" spans="1:43" ht="15" customHeight="1">
      <c r="A270" s="1031"/>
      <c r="B270" s="1069"/>
      <c r="C270" s="1012"/>
      <c r="D270" s="1033"/>
      <c r="E270" s="1072"/>
      <c r="F270" s="1072"/>
      <c r="G270" s="1033"/>
      <c r="H270" s="1033"/>
      <c r="I270" s="1033"/>
      <c r="J270" s="1033"/>
      <c r="K270" s="1033"/>
      <c r="L270" s="1033"/>
      <c r="M270" s="1288"/>
      <c r="N270" s="1067"/>
      <c r="O270" s="1064"/>
      <c r="P270" s="1064"/>
      <c r="Q270" s="1063"/>
      <c r="R270" s="1070"/>
      <c r="S270" s="1094"/>
      <c r="T270" s="1064"/>
      <c r="U270" s="1064"/>
      <c r="V270" s="1064"/>
      <c r="W270" s="1063"/>
      <c r="X270" s="1033"/>
      <c r="Y270" s="1067"/>
      <c r="Z270" s="109">
        <v>687372</v>
      </c>
      <c r="AA270" s="109">
        <v>-274948.8</v>
      </c>
      <c r="AB270" s="109">
        <f t="shared" si="21"/>
        <v>412423.2</v>
      </c>
      <c r="AC270" s="97"/>
      <c r="AD270" s="119">
        <v>0</v>
      </c>
      <c r="AE270" s="119"/>
      <c r="AF270" s="1045"/>
      <c r="AG270" s="1044"/>
      <c r="AH270" s="111">
        <f t="shared" si="22"/>
        <v>412423.2</v>
      </c>
      <c r="AI270" s="1045"/>
      <c r="AJ270" s="1063"/>
      <c r="AK270" s="1064"/>
      <c r="AL270" s="1064"/>
      <c r="AM270" s="1064"/>
      <c r="AN270" s="1109"/>
      <c r="AO270" s="1104"/>
    </row>
    <row r="271" spans="1:43" ht="15" customHeight="1">
      <c r="A271" s="1031"/>
      <c r="B271" s="1069"/>
      <c r="C271" s="1011" t="s">
        <v>13</v>
      </c>
      <c r="D271" s="1033"/>
      <c r="E271" s="1072"/>
      <c r="F271" s="1072"/>
      <c r="G271" s="1033"/>
      <c r="H271" s="1033"/>
      <c r="I271" s="1033"/>
      <c r="J271" s="1033"/>
      <c r="K271" s="1033"/>
      <c r="L271" s="1033"/>
      <c r="M271" s="1286">
        <v>70</v>
      </c>
      <c r="N271" s="1065" t="s">
        <v>137</v>
      </c>
      <c r="O271" s="1062">
        <v>1705623.2</v>
      </c>
      <c r="P271" s="1062">
        <f>O271+O274</f>
        <v>4264058</v>
      </c>
      <c r="Q271" s="1063"/>
      <c r="R271" s="1068">
        <v>40413</v>
      </c>
      <c r="S271" s="1092">
        <f>T271+T274</f>
        <v>4264058</v>
      </c>
      <c r="T271" s="1062">
        <v>1705623.2</v>
      </c>
      <c r="U271" s="1062">
        <f>O271-T271</f>
        <v>0</v>
      </c>
      <c r="V271" s="1062">
        <v>1705623.2</v>
      </c>
      <c r="W271" s="1063"/>
      <c r="X271" s="1033"/>
      <c r="Y271" s="108" t="s">
        <v>1566</v>
      </c>
      <c r="Z271" s="109">
        <v>0</v>
      </c>
      <c r="AA271" s="109">
        <v>1705623</v>
      </c>
      <c r="AB271" s="109">
        <f t="shared" si="21"/>
        <v>1705623</v>
      </c>
      <c r="AC271" s="97">
        <v>40438</v>
      </c>
      <c r="AD271" s="119">
        <v>1705623</v>
      </c>
      <c r="AE271" s="119" t="s">
        <v>137</v>
      </c>
      <c r="AF271" s="1043">
        <f>SUM(AD271:AD277)</f>
        <v>4008214.3600000003</v>
      </c>
      <c r="AG271" s="1044"/>
      <c r="AH271" s="111">
        <f t="shared" si="22"/>
        <v>0</v>
      </c>
      <c r="AI271" s="1043">
        <f>O271-AD271-AD272</f>
        <v>-716361.3600000001</v>
      </c>
      <c r="AJ271" s="1063"/>
      <c r="AK271" s="1062">
        <f>P271-V271-V274</f>
        <v>0</v>
      </c>
      <c r="AL271" s="1062">
        <f>(V271+V274)-SUM(Z271:Z277)</f>
        <v>0</v>
      </c>
      <c r="AM271" s="1062">
        <f>AK271+AL271</f>
        <v>0</v>
      </c>
      <c r="AN271" s="1109"/>
      <c r="AO271" s="1104"/>
    </row>
    <row r="272" spans="1:43" ht="15" customHeight="1">
      <c r="A272" s="1031"/>
      <c r="B272" s="1069"/>
      <c r="C272" s="1033"/>
      <c r="D272" s="1033"/>
      <c r="E272" s="1072"/>
      <c r="F272" s="1072"/>
      <c r="G272" s="1033"/>
      <c r="H272" s="1033"/>
      <c r="I272" s="1033"/>
      <c r="J272" s="1033"/>
      <c r="K272" s="1033"/>
      <c r="L272" s="1033"/>
      <c r="M272" s="1287"/>
      <c r="N272" s="1066"/>
      <c r="O272" s="1063"/>
      <c r="P272" s="1063"/>
      <c r="Q272" s="1063"/>
      <c r="R272" s="1069"/>
      <c r="S272" s="1093"/>
      <c r="T272" s="1063"/>
      <c r="U272" s="1063"/>
      <c r="V272" s="1063"/>
      <c r="W272" s="1063"/>
      <c r="X272" s="1033"/>
      <c r="Y272" s="1065" t="s">
        <v>1569</v>
      </c>
      <c r="Z272" s="109">
        <v>1193936.24</v>
      </c>
      <c r="AA272" s="109">
        <v>-477574.68</v>
      </c>
      <c r="AB272" s="109">
        <f t="shared" si="21"/>
        <v>716361.56</v>
      </c>
      <c r="AC272" s="1068">
        <v>40585</v>
      </c>
      <c r="AD272" s="119">
        <v>716361.56</v>
      </c>
      <c r="AE272" s="119" t="s">
        <v>137</v>
      </c>
      <c r="AF272" s="1044"/>
      <c r="AG272" s="1044"/>
      <c r="AH272" s="111">
        <f t="shared" si="22"/>
        <v>0</v>
      </c>
      <c r="AI272" s="1044"/>
      <c r="AJ272" s="1063"/>
      <c r="AK272" s="1063"/>
      <c r="AL272" s="1063"/>
      <c r="AM272" s="1063"/>
      <c r="AN272" s="1109"/>
      <c r="AO272" s="1104"/>
    </row>
    <row r="273" spans="1:42" ht="15" customHeight="1">
      <c r="A273" s="1031"/>
      <c r="B273" s="1069"/>
      <c r="C273" s="1033"/>
      <c r="D273" s="1033"/>
      <c r="E273" s="1072"/>
      <c r="F273" s="1072"/>
      <c r="G273" s="1033"/>
      <c r="H273" s="1033"/>
      <c r="I273" s="1033"/>
      <c r="J273" s="1033"/>
      <c r="K273" s="1033"/>
      <c r="L273" s="1033"/>
      <c r="M273" s="1287"/>
      <c r="N273" s="1067"/>
      <c r="O273" s="1064"/>
      <c r="P273" s="1063"/>
      <c r="Q273" s="1063"/>
      <c r="R273" s="1069"/>
      <c r="S273" s="1093"/>
      <c r="T273" s="1064"/>
      <c r="U273" s="1064"/>
      <c r="V273" s="1064"/>
      <c r="W273" s="1063"/>
      <c r="X273" s="1033"/>
      <c r="Y273" s="1067"/>
      <c r="Z273" s="109">
        <v>1790904.36</v>
      </c>
      <c r="AA273" s="109">
        <v>-716361.56</v>
      </c>
      <c r="AB273" s="109">
        <f t="shared" si="21"/>
        <v>1074542.8</v>
      </c>
      <c r="AC273" s="1070"/>
      <c r="AD273" s="119">
        <v>1074542.8</v>
      </c>
      <c r="AE273" s="119" t="s">
        <v>7</v>
      </c>
      <c r="AF273" s="1044"/>
      <c r="AG273" s="1044"/>
      <c r="AH273" s="111">
        <f t="shared" si="22"/>
        <v>0</v>
      </c>
      <c r="AI273" s="1045"/>
      <c r="AJ273" s="1063"/>
      <c r="AK273" s="1063"/>
      <c r="AL273" s="1063"/>
      <c r="AM273" s="1063"/>
      <c r="AN273" s="1109"/>
      <c r="AO273" s="1104"/>
    </row>
    <row r="274" spans="1:42" ht="15" customHeight="1">
      <c r="A274" s="1031"/>
      <c r="B274" s="1069"/>
      <c r="C274" s="1033"/>
      <c r="D274" s="1033"/>
      <c r="E274" s="1072"/>
      <c r="F274" s="1072"/>
      <c r="G274" s="1033"/>
      <c r="H274" s="1033"/>
      <c r="I274" s="1033"/>
      <c r="J274" s="1033"/>
      <c r="K274" s="1033"/>
      <c r="L274" s="1033"/>
      <c r="M274" s="1287"/>
      <c r="N274" s="1065" t="s">
        <v>7</v>
      </c>
      <c r="O274" s="1062">
        <v>2558434.7999999998</v>
      </c>
      <c r="P274" s="1063"/>
      <c r="Q274" s="1063"/>
      <c r="R274" s="1069"/>
      <c r="S274" s="1093"/>
      <c r="T274" s="1062">
        <v>2558434.7999999998</v>
      </c>
      <c r="U274" s="1062">
        <f>O274-T274</f>
        <v>0</v>
      </c>
      <c r="V274" s="1062">
        <v>2558434.7999999998</v>
      </c>
      <c r="W274" s="1063"/>
      <c r="X274" s="1033"/>
      <c r="Y274" s="1065" t="s">
        <v>1577</v>
      </c>
      <c r="Z274" s="109">
        <v>341124.64</v>
      </c>
      <c r="AA274" s="109">
        <v>-136449.64000000001</v>
      </c>
      <c r="AB274" s="109">
        <f t="shared" si="21"/>
        <v>204675</v>
      </c>
      <c r="AC274" s="1068">
        <v>41017</v>
      </c>
      <c r="AD274" s="119">
        <v>204675</v>
      </c>
      <c r="AE274" s="1065" t="s">
        <v>7</v>
      </c>
      <c r="AF274" s="1044"/>
      <c r="AG274" s="1044"/>
      <c r="AH274" s="111">
        <f t="shared" si="22"/>
        <v>0</v>
      </c>
      <c r="AI274" s="1043">
        <f>O274-AD273-AD274-AD275</f>
        <v>972204.99999999977</v>
      </c>
      <c r="AJ274" s="1063"/>
      <c r="AK274" s="1063"/>
      <c r="AL274" s="1063"/>
      <c r="AM274" s="1063"/>
      <c r="AN274" s="1109"/>
      <c r="AO274" s="1104"/>
    </row>
    <row r="275" spans="1:42" ht="15" customHeight="1">
      <c r="A275" s="1031"/>
      <c r="B275" s="1069"/>
      <c r="C275" s="1033"/>
      <c r="D275" s="1033"/>
      <c r="E275" s="1072"/>
      <c r="F275" s="1072"/>
      <c r="G275" s="1033"/>
      <c r="H275" s="1033"/>
      <c r="I275" s="1033"/>
      <c r="J275" s="1033"/>
      <c r="K275" s="1033"/>
      <c r="L275" s="1033"/>
      <c r="M275" s="1287"/>
      <c r="N275" s="1066"/>
      <c r="O275" s="1063"/>
      <c r="P275" s="1063"/>
      <c r="Q275" s="1063"/>
      <c r="R275" s="1069"/>
      <c r="S275" s="1093"/>
      <c r="T275" s="1063"/>
      <c r="U275" s="1063"/>
      <c r="V275" s="1063"/>
      <c r="W275" s="1063"/>
      <c r="X275" s="1033"/>
      <c r="Y275" s="1067"/>
      <c r="Z275" s="109">
        <v>511686.95999999996</v>
      </c>
      <c r="AA275" s="109">
        <v>-204674.96</v>
      </c>
      <c r="AB275" s="109">
        <f t="shared" si="21"/>
        <v>307012</v>
      </c>
      <c r="AC275" s="1070"/>
      <c r="AD275" s="119">
        <v>307012</v>
      </c>
      <c r="AE275" s="1066"/>
      <c r="AF275" s="1044"/>
      <c r="AG275" s="1044"/>
      <c r="AH275" s="111">
        <f t="shared" si="22"/>
        <v>0</v>
      </c>
      <c r="AI275" s="1044"/>
      <c r="AJ275" s="1063"/>
      <c r="AK275" s="1063"/>
      <c r="AL275" s="1063"/>
      <c r="AM275" s="1063"/>
      <c r="AN275" s="1109"/>
      <c r="AO275" s="1104"/>
    </row>
    <row r="276" spans="1:42" ht="15" customHeight="1">
      <c r="A276" s="1031"/>
      <c r="B276" s="1069"/>
      <c r="C276" s="1033"/>
      <c r="D276" s="1033"/>
      <c r="E276" s="1072"/>
      <c r="F276" s="1072"/>
      <c r="G276" s="1033"/>
      <c r="H276" s="1033"/>
      <c r="I276" s="1033"/>
      <c r="J276" s="1033"/>
      <c r="K276" s="1033"/>
      <c r="L276" s="1033"/>
      <c r="M276" s="1287"/>
      <c r="N276" s="1066"/>
      <c r="O276" s="1063"/>
      <c r="P276" s="1063"/>
      <c r="Q276" s="1063"/>
      <c r="R276" s="1069"/>
      <c r="S276" s="1093"/>
      <c r="T276" s="1063"/>
      <c r="U276" s="1063"/>
      <c r="V276" s="1063"/>
      <c r="W276" s="1063"/>
      <c r="X276" s="1033"/>
      <c r="Y276" s="1065" t="s">
        <v>1578</v>
      </c>
      <c r="Z276" s="109">
        <v>170562.32</v>
      </c>
      <c r="AA276" s="109">
        <v>-68224.928</v>
      </c>
      <c r="AB276" s="109">
        <f t="shared" si="21"/>
        <v>102337.39200000001</v>
      </c>
      <c r="AC276" s="97"/>
      <c r="AD276" s="119">
        <v>0</v>
      </c>
      <c r="AE276" s="1066"/>
      <c r="AF276" s="1044"/>
      <c r="AG276" s="1044"/>
      <c r="AH276" s="111">
        <f t="shared" si="22"/>
        <v>102337.39200000001</v>
      </c>
      <c r="AI276" s="1044"/>
      <c r="AJ276" s="1063"/>
      <c r="AK276" s="1063"/>
      <c r="AL276" s="1063"/>
      <c r="AM276" s="1063"/>
      <c r="AN276" s="1109"/>
      <c r="AO276" s="1104"/>
    </row>
    <row r="277" spans="1:42" ht="15" customHeight="1">
      <c r="A277" s="1031"/>
      <c r="B277" s="1069"/>
      <c r="C277" s="1012"/>
      <c r="D277" s="1033"/>
      <c r="E277" s="1072"/>
      <c r="F277" s="1072"/>
      <c r="G277" s="1033"/>
      <c r="H277" s="1033"/>
      <c r="I277" s="1033"/>
      <c r="J277" s="1033"/>
      <c r="K277" s="1033"/>
      <c r="L277" s="1033"/>
      <c r="M277" s="1288"/>
      <c r="N277" s="1067"/>
      <c r="O277" s="1064"/>
      <c r="P277" s="1064"/>
      <c r="Q277" s="1063"/>
      <c r="R277" s="1070"/>
      <c r="S277" s="1094"/>
      <c r="T277" s="1064"/>
      <c r="U277" s="1064"/>
      <c r="V277" s="1064"/>
      <c r="W277" s="1063"/>
      <c r="X277" s="1033"/>
      <c r="Y277" s="1067"/>
      <c r="Z277" s="109">
        <v>255843.47999999998</v>
      </c>
      <c r="AA277" s="109">
        <v>-102337.232</v>
      </c>
      <c r="AB277" s="109">
        <f t="shared" si="21"/>
        <v>153506.24799999996</v>
      </c>
      <c r="AC277" s="97"/>
      <c r="AD277" s="119">
        <v>0</v>
      </c>
      <c r="AE277" s="1067"/>
      <c r="AF277" s="1045"/>
      <c r="AG277" s="1044"/>
      <c r="AH277" s="111">
        <f t="shared" si="22"/>
        <v>153506.24799999996</v>
      </c>
      <c r="AI277" s="1045"/>
      <c r="AJ277" s="1063"/>
      <c r="AK277" s="1064"/>
      <c r="AL277" s="1064"/>
      <c r="AM277" s="1064"/>
      <c r="AN277" s="1109"/>
      <c r="AO277" s="1104"/>
    </row>
    <row r="278" spans="1:42" ht="15" customHeight="1">
      <c r="A278" s="1031"/>
      <c r="B278" s="1069"/>
      <c r="C278" s="1011" t="s">
        <v>20</v>
      </c>
      <c r="D278" s="1033"/>
      <c r="E278" s="1072"/>
      <c r="F278" s="1072"/>
      <c r="G278" s="1033"/>
      <c r="H278" s="1033"/>
      <c r="I278" s="1033"/>
      <c r="J278" s="1033"/>
      <c r="K278" s="1033"/>
      <c r="L278" s="1033"/>
      <c r="M278" s="1286">
        <v>71</v>
      </c>
      <c r="N278" s="1065" t="s">
        <v>137</v>
      </c>
      <c r="O278" s="1062">
        <v>2724000</v>
      </c>
      <c r="P278" s="1062">
        <f>O278+O282</f>
        <v>6810000</v>
      </c>
      <c r="Q278" s="1063"/>
      <c r="R278" s="1068">
        <v>40413</v>
      </c>
      <c r="S278" s="1092">
        <f>T278+T282</f>
        <v>6810000</v>
      </c>
      <c r="T278" s="1062">
        <v>2724000</v>
      </c>
      <c r="U278" s="1062">
        <f>O278-T278</f>
        <v>0</v>
      </c>
      <c r="V278" s="1062">
        <v>2724000</v>
      </c>
      <c r="W278" s="1063"/>
      <c r="X278" s="1033"/>
      <c r="Y278" s="108" t="s">
        <v>1566</v>
      </c>
      <c r="Z278" s="109">
        <v>0</v>
      </c>
      <c r="AA278" s="109">
        <v>2724000</v>
      </c>
      <c r="AB278" s="109">
        <f t="shared" si="21"/>
        <v>2724000</v>
      </c>
      <c r="AC278" s="97">
        <v>40438</v>
      </c>
      <c r="AD278" s="119">
        <v>2724000</v>
      </c>
      <c r="AE278" s="119" t="s">
        <v>137</v>
      </c>
      <c r="AF278" s="1043">
        <f>SUM(AD278:AD284)</f>
        <v>6115380</v>
      </c>
      <c r="AG278" s="1044"/>
      <c r="AH278" s="111">
        <f t="shared" si="22"/>
        <v>0</v>
      </c>
      <c r="AI278" s="1043">
        <f>O278-AD278-AD279-AD280</f>
        <v>-2043000</v>
      </c>
      <c r="AJ278" s="1063"/>
      <c r="AK278" s="1062">
        <f>P278-V278-V282</f>
        <v>0</v>
      </c>
      <c r="AL278" s="1062">
        <f>(V278+V282)-SUM(Z278:Z284)</f>
        <v>0</v>
      </c>
      <c r="AM278" s="1062">
        <f>AK278+AL278</f>
        <v>0</v>
      </c>
      <c r="AN278" s="1109"/>
      <c r="AO278" s="1104"/>
      <c r="AP278" s="344" t="s">
        <v>2498</v>
      </c>
    </row>
    <row r="279" spans="1:42" ht="15" customHeight="1">
      <c r="A279" s="1031"/>
      <c r="B279" s="1069"/>
      <c r="C279" s="1033"/>
      <c r="D279" s="1033"/>
      <c r="E279" s="1072"/>
      <c r="F279" s="1072"/>
      <c r="G279" s="1033"/>
      <c r="H279" s="1033"/>
      <c r="I279" s="1033"/>
      <c r="J279" s="1033"/>
      <c r="K279" s="1033"/>
      <c r="L279" s="1033"/>
      <c r="M279" s="1287"/>
      <c r="N279" s="1066"/>
      <c r="O279" s="1063"/>
      <c r="P279" s="1063"/>
      <c r="Q279" s="1063"/>
      <c r="R279" s="1069"/>
      <c r="S279" s="1093"/>
      <c r="T279" s="1063"/>
      <c r="U279" s="1063"/>
      <c r="V279" s="1063"/>
      <c r="W279" s="1063"/>
      <c r="X279" s="1033"/>
      <c r="Y279" s="1065" t="s">
        <v>1570</v>
      </c>
      <c r="Z279" s="109">
        <v>1362000</v>
      </c>
      <c r="AA279" s="109">
        <v>-544800</v>
      </c>
      <c r="AB279" s="109">
        <f t="shared" si="21"/>
        <v>817200</v>
      </c>
      <c r="AC279" s="1068">
        <v>40711</v>
      </c>
      <c r="AD279" s="119">
        <v>817200</v>
      </c>
      <c r="AE279" s="119" t="s">
        <v>137</v>
      </c>
      <c r="AF279" s="1044"/>
      <c r="AG279" s="1044"/>
      <c r="AH279" s="111">
        <f t="shared" si="22"/>
        <v>0</v>
      </c>
      <c r="AI279" s="1044"/>
      <c r="AJ279" s="1063"/>
      <c r="AK279" s="1063"/>
      <c r="AL279" s="1063"/>
      <c r="AM279" s="1063"/>
      <c r="AN279" s="1109"/>
      <c r="AO279" s="1104"/>
    </row>
    <row r="280" spans="1:42" ht="15" customHeight="1">
      <c r="A280" s="1031"/>
      <c r="B280" s="1069"/>
      <c r="C280" s="1033"/>
      <c r="D280" s="1033"/>
      <c r="E280" s="1072"/>
      <c r="F280" s="1072"/>
      <c r="G280" s="1033"/>
      <c r="H280" s="1033"/>
      <c r="I280" s="1033"/>
      <c r="J280" s="1033"/>
      <c r="K280" s="1033"/>
      <c r="L280" s="1033"/>
      <c r="M280" s="1287"/>
      <c r="N280" s="1066"/>
      <c r="O280" s="1063"/>
      <c r="P280" s="1063"/>
      <c r="Q280" s="1063"/>
      <c r="R280" s="1069"/>
      <c r="S280" s="1093"/>
      <c r="T280" s="1063"/>
      <c r="U280" s="1063"/>
      <c r="V280" s="1063"/>
      <c r="W280" s="1063"/>
      <c r="X280" s="1033"/>
      <c r="Y280" s="1067"/>
      <c r="Z280" s="109">
        <v>2043000</v>
      </c>
      <c r="AA280" s="109">
        <v>-817200</v>
      </c>
      <c r="AB280" s="109">
        <f t="shared" si="21"/>
        <v>1225800</v>
      </c>
      <c r="AC280" s="1070"/>
      <c r="AD280" s="119">
        <v>1225800</v>
      </c>
      <c r="AE280" s="119" t="s">
        <v>137</v>
      </c>
      <c r="AF280" s="1044"/>
      <c r="AG280" s="1044"/>
      <c r="AH280" s="111">
        <f t="shared" si="22"/>
        <v>0</v>
      </c>
      <c r="AI280" s="1044"/>
      <c r="AJ280" s="1063"/>
      <c r="AK280" s="1063"/>
      <c r="AL280" s="1063"/>
      <c r="AM280" s="1063"/>
      <c r="AN280" s="1109"/>
      <c r="AO280" s="1104"/>
    </row>
    <row r="281" spans="1:42" ht="15" customHeight="1">
      <c r="A281" s="1031"/>
      <c r="B281" s="1069"/>
      <c r="C281" s="1033"/>
      <c r="D281" s="1033"/>
      <c r="E281" s="1072"/>
      <c r="F281" s="1072"/>
      <c r="G281" s="1033"/>
      <c r="H281" s="1033"/>
      <c r="I281" s="1033"/>
      <c r="J281" s="1033"/>
      <c r="K281" s="1033"/>
      <c r="L281" s="1033"/>
      <c r="M281" s="1287"/>
      <c r="N281" s="1067"/>
      <c r="O281" s="1064"/>
      <c r="P281" s="1063"/>
      <c r="Q281" s="1063"/>
      <c r="R281" s="1069"/>
      <c r="S281" s="1093"/>
      <c r="T281" s="1064"/>
      <c r="U281" s="1064"/>
      <c r="V281" s="1064"/>
      <c r="W281" s="1063"/>
      <c r="X281" s="1033"/>
      <c r="Y281" s="1065" t="s">
        <v>1576</v>
      </c>
      <c r="Z281" s="109">
        <v>898920</v>
      </c>
      <c r="AA281" s="109">
        <v>-359568</v>
      </c>
      <c r="AB281" s="109">
        <f t="shared" si="21"/>
        <v>539352</v>
      </c>
      <c r="AC281" s="1068">
        <v>41018</v>
      </c>
      <c r="AD281" s="119">
        <v>539352</v>
      </c>
      <c r="AE281" s="119" t="s">
        <v>7</v>
      </c>
      <c r="AF281" s="1044"/>
      <c r="AG281" s="1044"/>
      <c r="AH281" s="111">
        <f t="shared" si="22"/>
        <v>0</v>
      </c>
      <c r="AI281" s="1045"/>
      <c r="AJ281" s="1063"/>
      <c r="AK281" s="1063"/>
      <c r="AL281" s="1063"/>
      <c r="AM281" s="1063"/>
      <c r="AN281" s="1109"/>
      <c r="AO281" s="1104"/>
    </row>
    <row r="282" spans="1:42" ht="15" customHeight="1">
      <c r="A282" s="1031"/>
      <c r="B282" s="1069"/>
      <c r="C282" s="1033"/>
      <c r="D282" s="1033"/>
      <c r="E282" s="1072"/>
      <c r="F282" s="1072"/>
      <c r="G282" s="1033"/>
      <c r="H282" s="1033"/>
      <c r="I282" s="1033"/>
      <c r="J282" s="1033"/>
      <c r="K282" s="1033"/>
      <c r="L282" s="1033"/>
      <c r="M282" s="1287"/>
      <c r="N282" s="1065" t="s">
        <v>7</v>
      </c>
      <c r="O282" s="1062">
        <v>4086000</v>
      </c>
      <c r="P282" s="1063"/>
      <c r="Q282" s="1063"/>
      <c r="R282" s="1069"/>
      <c r="S282" s="1093"/>
      <c r="T282" s="1062">
        <v>4086000</v>
      </c>
      <c r="U282" s="1062">
        <f>O282-T282</f>
        <v>0</v>
      </c>
      <c r="V282" s="1062">
        <v>4086000</v>
      </c>
      <c r="W282" s="1063"/>
      <c r="X282" s="1033"/>
      <c r="Y282" s="1067"/>
      <c r="Z282" s="109">
        <v>1348380</v>
      </c>
      <c r="AA282" s="109">
        <v>-539352</v>
      </c>
      <c r="AB282" s="109">
        <f t="shared" si="21"/>
        <v>809028</v>
      </c>
      <c r="AC282" s="1070"/>
      <c r="AD282" s="119">
        <v>809028</v>
      </c>
      <c r="AE282" s="1065" t="s">
        <v>7</v>
      </c>
      <c r="AF282" s="1044"/>
      <c r="AG282" s="1044"/>
      <c r="AH282" s="111">
        <f t="shared" si="22"/>
        <v>0</v>
      </c>
      <c r="AI282" s="1043">
        <f>O282-AD281-AD282</f>
        <v>2737620</v>
      </c>
      <c r="AJ282" s="1063"/>
      <c r="AK282" s="1063"/>
      <c r="AL282" s="1063"/>
      <c r="AM282" s="1063"/>
      <c r="AN282" s="1109"/>
      <c r="AO282" s="1104"/>
    </row>
    <row r="283" spans="1:42" ht="15" customHeight="1">
      <c r="A283" s="1031"/>
      <c r="B283" s="1069"/>
      <c r="C283" s="1033"/>
      <c r="D283" s="1033"/>
      <c r="E283" s="1072"/>
      <c r="F283" s="1072"/>
      <c r="G283" s="1033"/>
      <c r="H283" s="1033"/>
      <c r="I283" s="1033"/>
      <c r="J283" s="1033"/>
      <c r="K283" s="1033"/>
      <c r="L283" s="1033"/>
      <c r="M283" s="1287"/>
      <c r="N283" s="1066"/>
      <c r="O283" s="1063"/>
      <c r="P283" s="1063"/>
      <c r="Q283" s="1063"/>
      <c r="R283" s="1069"/>
      <c r="S283" s="1093"/>
      <c r="T283" s="1063"/>
      <c r="U283" s="1063"/>
      <c r="V283" s="1063"/>
      <c r="W283" s="1063"/>
      <c r="X283" s="1033"/>
      <c r="Y283" s="1065" t="s">
        <v>1578</v>
      </c>
      <c r="Z283" s="109">
        <v>463080</v>
      </c>
      <c r="AA283" s="109">
        <v>-185232</v>
      </c>
      <c r="AB283" s="109">
        <f t="shared" si="21"/>
        <v>277848</v>
      </c>
      <c r="AC283" s="97"/>
      <c r="AD283" s="119">
        <v>0</v>
      </c>
      <c r="AE283" s="1066"/>
      <c r="AF283" s="1044"/>
      <c r="AG283" s="1044"/>
      <c r="AH283" s="111">
        <f t="shared" si="22"/>
        <v>277848</v>
      </c>
      <c r="AI283" s="1044"/>
      <c r="AJ283" s="1063"/>
      <c r="AK283" s="1063"/>
      <c r="AL283" s="1063"/>
      <c r="AM283" s="1063"/>
      <c r="AN283" s="1109"/>
      <c r="AO283" s="1104"/>
    </row>
    <row r="284" spans="1:42" ht="15" customHeight="1">
      <c r="A284" s="1031"/>
      <c r="B284" s="1069"/>
      <c r="C284" s="1012"/>
      <c r="D284" s="1033"/>
      <c r="E284" s="1072"/>
      <c r="F284" s="1072"/>
      <c r="G284" s="1033"/>
      <c r="H284" s="1033"/>
      <c r="I284" s="1033"/>
      <c r="J284" s="1012"/>
      <c r="K284" s="1033"/>
      <c r="L284" s="1033"/>
      <c r="M284" s="1288"/>
      <c r="N284" s="1067"/>
      <c r="O284" s="1064"/>
      <c r="P284" s="1064"/>
      <c r="Q284" s="1063"/>
      <c r="R284" s="1070"/>
      <c r="S284" s="1094"/>
      <c r="T284" s="1064"/>
      <c r="U284" s="1064"/>
      <c r="V284" s="1064"/>
      <c r="W284" s="1063"/>
      <c r="X284" s="1033"/>
      <c r="Y284" s="1067"/>
      <c r="Z284" s="109">
        <v>694620</v>
      </c>
      <c r="AA284" s="109">
        <v>-277848</v>
      </c>
      <c r="AB284" s="109">
        <f t="shared" si="21"/>
        <v>416772</v>
      </c>
      <c r="AC284" s="97"/>
      <c r="AD284" s="119">
        <v>0</v>
      </c>
      <c r="AE284" s="1067"/>
      <c r="AF284" s="1045"/>
      <c r="AG284" s="1044"/>
      <c r="AH284" s="111">
        <f t="shared" si="22"/>
        <v>416772</v>
      </c>
      <c r="AI284" s="1045"/>
      <c r="AJ284" s="1063"/>
      <c r="AK284" s="1064"/>
      <c r="AL284" s="1064"/>
      <c r="AM284" s="1064"/>
      <c r="AN284" s="1109"/>
      <c r="AO284" s="1104"/>
    </row>
    <row r="285" spans="1:42" ht="15" customHeight="1">
      <c r="A285" s="1031"/>
      <c r="B285" s="1069"/>
      <c r="C285" s="1011" t="s">
        <v>43</v>
      </c>
      <c r="D285" s="1033"/>
      <c r="E285" s="1072"/>
      <c r="F285" s="1072"/>
      <c r="G285" s="1033"/>
      <c r="H285" s="1033"/>
      <c r="I285" s="1033"/>
      <c r="J285" s="1011" t="s">
        <v>67</v>
      </c>
      <c r="K285" s="1033"/>
      <c r="L285" s="1033"/>
      <c r="M285" s="1286">
        <v>168</v>
      </c>
      <c r="N285" s="1065" t="s">
        <v>7</v>
      </c>
      <c r="O285" s="1062">
        <v>2008742</v>
      </c>
      <c r="P285" s="1062">
        <v>2008742</v>
      </c>
      <c r="Q285" s="1063"/>
      <c r="R285" s="1068">
        <v>40707</v>
      </c>
      <c r="S285" s="1092">
        <f>T285</f>
        <v>2008742</v>
      </c>
      <c r="T285" s="1092">
        <v>2008742</v>
      </c>
      <c r="U285" s="1092">
        <f>O285-T285</f>
        <v>0</v>
      </c>
      <c r="V285" s="1062">
        <v>2008742</v>
      </c>
      <c r="W285" s="1063"/>
      <c r="X285" s="1033"/>
      <c r="Y285" s="108" t="s">
        <v>1573</v>
      </c>
      <c r="Z285" s="109">
        <v>1004371</v>
      </c>
      <c r="AA285" s="109">
        <v>0</v>
      </c>
      <c r="AB285" s="109">
        <f t="shared" si="21"/>
        <v>1004371</v>
      </c>
      <c r="AC285" s="97">
        <v>41089</v>
      </c>
      <c r="AD285" s="119">
        <v>1004371</v>
      </c>
      <c r="AE285" s="119" t="s">
        <v>7</v>
      </c>
      <c r="AF285" s="1043">
        <f>SUM(AD285:AD286)</f>
        <v>1004371</v>
      </c>
      <c r="AG285" s="1044"/>
      <c r="AH285" s="111">
        <f t="shared" si="22"/>
        <v>0</v>
      </c>
      <c r="AI285" s="1043">
        <f>O285-AD285+AD286</f>
        <v>1004371</v>
      </c>
      <c r="AJ285" s="1063"/>
      <c r="AK285" s="1062">
        <f>P285-V285</f>
        <v>0</v>
      </c>
      <c r="AL285" s="1062">
        <f>V285-Z285-Z286</f>
        <v>0</v>
      </c>
      <c r="AM285" s="1062">
        <f>AK285+AL285</f>
        <v>0</v>
      </c>
      <c r="AN285" s="1109"/>
      <c r="AO285" s="1104"/>
    </row>
    <row r="286" spans="1:42" ht="15" customHeight="1">
      <c r="A286" s="1031"/>
      <c r="B286" s="1069"/>
      <c r="C286" s="1033"/>
      <c r="D286" s="1033"/>
      <c r="E286" s="1072"/>
      <c r="F286" s="1072"/>
      <c r="G286" s="1033"/>
      <c r="H286" s="1033"/>
      <c r="I286" s="1033"/>
      <c r="J286" s="1012"/>
      <c r="K286" s="1033"/>
      <c r="L286" s="1033"/>
      <c r="M286" s="1288"/>
      <c r="N286" s="1067"/>
      <c r="O286" s="1064"/>
      <c r="P286" s="1064"/>
      <c r="Q286" s="1063"/>
      <c r="R286" s="1070"/>
      <c r="S286" s="1094"/>
      <c r="T286" s="1094"/>
      <c r="U286" s="1094"/>
      <c r="V286" s="1064"/>
      <c r="W286" s="1063"/>
      <c r="X286" s="1033"/>
      <c r="Y286" s="108" t="s">
        <v>1578</v>
      </c>
      <c r="Z286" s="109">
        <v>1004371</v>
      </c>
      <c r="AA286" s="109">
        <v>0</v>
      </c>
      <c r="AB286" s="109">
        <f t="shared" si="21"/>
        <v>1004371</v>
      </c>
      <c r="AC286" s="97"/>
      <c r="AD286" s="119">
        <v>0</v>
      </c>
      <c r="AE286" s="119"/>
      <c r="AF286" s="1045"/>
      <c r="AG286" s="1044"/>
      <c r="AH286" s="111">
        <f t="shared" si="22"/>
        <v>1004371</v>
      </c>
      <c r="AI286" s="1045"/>
      <c r="AJ286" s="1063"/>
      <c r="AK286" s="1064"/>
      <c r="AL286" s="1064"/>
      <c r="AM286" s="1064"/>
      <c r="AN286" s="1109"/>
      <c r="AO286" s="1104"/>
    </row>
    <row r="287" spans="1:42" ht="15" customHeight="1">
      <c r="A287" s="1031"/>
      <c r="B287" s="1069"/>
      <c r="C287" s="1033"/>
      <c r="D287" s="1033"/>
      <c r="E287" s="1072"/>
      <c r="F287" s="1072"/>
      <c r="G287" s="1033"/>
      <c r="H287" s="1033"/>
      <c r="I287" s="1033"/>
      <c r="J287" s="1011" t="s">
        <v>171</v>
      </c>
      <c r="K287" s="1033"/>
      <c r="L287" s="1033"/>
      <c r="M287" s="1286">
        <v>174</v>
      </c>
      <c r="N287" s="1065" t="s">
        <v>7</v>
      </c>
      <c r="O287" s="1062">
        <v>1956215</v>
      </c>
      <c r="P287" s="1062">
        <v>1956215</v>
      </c>
      <c r="Q287" s="1063"/>
      <c r="R287" s="1068">
        <v>40745</v>
      </c>
      <c r="S287" s="1092">
        <f>T287</f>
        <v>1956215</v>
      </c>
      <c r="T287" s="1092">
        <v>1956215</v>
      </c>
      <c r="U287" s="1092">
        <f>O287-T287</f>
        <v>0</v>
      </c>
      <c r="V287" s="1062">
        <v>1956215</v>
      </c>
      <c r="W287" s="1063"/>
      <c r="X287" s="1033"/>
      <c r="Y287" s="108" t="s">
        <v>1574</v>
      </c>
      <c r="Z287" s="109">
        <v>978108</v>
      </c>
      <c r="AA287" s="109">
        <v>0</v>
      </c>
      <c r="AB287" s="109">
        <f t="shared" si="21"/>
        <v>978108</v>
      </c>
      <c r="AC287" s="97">
        <v>41089</v>
      </c>
      <c r="AD287" s="119">
        <v>978108</v>
      </c>
      <c r="AE287" s="119" t="s">
        <v>7</v>
      </c>
      <c r="AF287" s="1043">
        <f>SUM(AD287:AD288)</f>
        <v>978108</v>
      </c>
      <c r="AG287" s="1044"/>
      <c r="AH287" s="111">
        <f>AB287+AD287</f>
        <v>1956216</v>
      </c>
      <c r="AI287" s="1043">
        <f>O287-SUM(AD287:AD288)</f>
        <v>978107</v>
      </c>
      <c r="AJ287" s="1063"/>
      <c r="AK287" s="1062">
        <f>P287-V287</f>
        <v>0</v>
      </c>
      <c r="AL287" s="1062">
        <f>V287-Z287-Z288</f>
        <v>0</v>
      </c>
      <c r="AM287" s="1062">
        <f>AK287+AL287</f>
        <v>0</v>
      </c>
      <c r="AN287" s="1109"/>
      <c r="AO287" s="1104"/>
    </row>
    <row r="288" spans="1:42" ht="15" customHeight="1">
      <c r="A288" s="1032"/>
      <c r="B288" s="1070"/>
      <c r="C288" s="1012"/>
      <c r="D288" s="1012"/>
      <c r="E288" s="1073"/>
      <c r="F288" s="1073"/>
      <c r="G288" s="1012"/>
      <c r="H288" s="1012"/>
      <c r="I288" s="1012"/>
      <c r="J288" s="1012"/>
      <c r="K288" s="1012"/>
      <c r="L288" s="1012"/>
      <c r="M288" s="1288"/>
      <c r="N288" s="1067"/>
      <c r="O288" s="1064"/>
      <c r="P288" s="1064"/>
      <c r="Q288" s="1064"/>
      <c r="R288" s="1070"/>
      <c r="S288" s="1094"/>
      <c r="T288" s="1094"/>
      <c r="U288" s="1094"/>
      <c r="V288" s="1064"/>
      <c r="W288" s="1064"/>
      <c r="X288" s="1012"/>
      <c r="Y288" s="108" t="s">
        <v>1578</v>
      </c>
      <c r="Z288" s="109">
        <v>978107</v>
      </c>
      <c r="AA288" s="109">
        <v>0</v>
      </c>
      <c r="AB288" s="109">
        <f t="shared" si="21"/>
        <v>978107</v>
      </c>
      <c r="AC288" s="97"/>
      <c r="AD288" s="119">
        <v>0</v>
      </c>
      <c r="AE288" s="119"/>
      <c r="AF288" s="1045"/>
      <c r="AG288" s="1045"/>
      <c r="AH288" s="111">
        <f>AB288+AD288</f>
        <v>978107</v>
      </c>
      <c r="AI288" s="1045"/>
      <c r="AJ288" s="1064"/>
      <c r="AK288" s="1064"/>
      <c r="AL288" s="1064"/>
      <c r="AM288" s="1064"/>
      <c r="AN288" s="1110"/>
      <c r="AO288" s="1105"/>
    </row>
    <row r="289" spans="1:43" s="10" customFormat="1" ht="15" customHeight="1">
      <c r="A289" s="1304" t="s">
        <v>431</v>
      </c>
      <c r="B289" s="1305">
        <v>40301</v>
      </c>
      <c r="C289" s="1310" t="s">
        <v>26</v>
      </c>
      <c r="D289" s="1076" t="s">
        <v>433</v>
      </c>
      <c r="E289" s="1306">
        <v>76315995</v>
      </c>
      <c r="F289" s="1306"/>
      <c r="G289" s="1075" t="s">
        <v>2756</v>
      </c>
      <c r="H289" s="1296" t="s">
        <v>70</v>
      </c>
      <c r="I289" s="1296" t="s">
        <v>177</v>
      </c>
      <c r="J289" s="1310" t="s">
        <v>66</v>
      </c>
      <c r="K289" s="1076" t="s">
        <v>217</v>
      </c>
      <c r="L289" s="1076" t="s">
        <v>436</v>
      </c>
      <c r="M289" s="1292">
        <v>72</v>
      </c>
      <c r="N289" s="170" t="s">
        <v>137</v>
      </c>
      <c r="O289" s="130">
        <v>2476910.7999999998</v>
      </c>
      <c r="P289" s="1265">
        <f>O289+O290</f>
        <v>6192277</v>
      </c>
      <c r="Q289" s="1258">
        <f>SUM(P289:P301)</f>
        <v>20906986</v>
      </c>
      <c r="R289" s="1332">
        <v>40413</v>
      </c>
      <c r="S289" s="1265">
        <f>T289+T290</f>
        <v>6192277</v>
      </c>
      <c r="T289" s="130">
        <v>2476910.7999999998</v>
      </c>
      <c r="U289" s="130">
        <f>O289-T289</f>
        <v>0</v>
      </c>
      <c r="V289" s="130">
        <v>2476910.7999999998</v>
      </c>
      <c r="W289" s="1258">
        <f>SUM(V289:V301)</f>
        <v>20906986</v>
      </c>
      <c r="X289" s="1349" t="s">
        <v>282</v>
      </c>
      <c r="Y289" s="108" t="s">
        <v>434</v>
      </c>
      <c r="Z289" s="130">
        <v>0</v>
      </c>
      <c r="AA289" s="130">
        <v>2476910.7999999998</v>
      </c>
      <c r="AB289" s="130">
        <f t="shared" ref="AB289:AB301" si="23">Z289+AA289</f>
        <v>2476910.7999999998</v>
      </c>
      <c r="AC289" s="139">
        <v>40554</v>
      </c>
      <c r="AD289" s="57">
        <v>2476910.7999999998</v>
      </c>
      <c r="AE289" s="130" t="s">
        <v>137</v>
      </c>
      <c r="AF289" s="1265">
        <f>SUM(AD289:AD291)</f>
        <v>2476910.7999999998</v>
      </c>
      <c r="AG289" s="1258">
        <f>SUM(AF289:AF301)</f>
        <v>7810794.4000000004</v>
      </c>
      <c r="AH289" s="130">
        <f t="shared" si="19"/>
        <v>0</v>
      </c>
      <c r="AI289" s="130"/>
      <c r="AJ289" s="1265">
        <f>SUM(Z289:Z291)-SUM(AD289:AD291)</f>
        <v>3715366.2</v>
      </c>
      <c r="AK289" s="1265">
        <f>P289-V289-V290</f>
        <v>0</v>
      </c>
      <c r="AL289" s="1265">
        <f>SUM(V289:V291)-SUM(Z289:Z291)</f>
        <v>0</v>
      </c>
      <c r="AM289" s="1265">
        <f>AK289+AL289</f>
        <v>0</v>
      </c>
      <c r="AN289" s="1203" t="s">
        <v>437</v>
      </c>
      <c r="AO289" s="1204" t="s">
        <v>804</v>
      </c>
      <c r="AQ289" s="934"/>
    </row>
    <row r="290" spans="1:43" s="10" customFormat="1" ht="15" customHeight="1">
      <c r="A290" s="1304"/>
      <c r="B290" s="1305"/>
      <c r="C290" s="1311"/>
      <c r="D290" s="1076"/>
      <c r="E290" s="1306"/>
      <c r="F290" s="1306"/>
      <c r="G290" s="1075"/>
      <c r="H290" s="1296"/>
      <c r="I290" s="1296"/>
      <c r="J290" s="1311"/>
      <c r="K290" s="1076"/>
      <c r="L290" s="1076"/>
      <c r="M290" s="1293"/>
      <c r="N290" s="1065" t="s">
        <v>7</v>
      </c>
      <c r="O290" s="1265">
        <v>3715366.2</v>
      </c>
      <c r="P290" s="1266"/>
      <c r="Q290" s="1258"/>
      <c r="R290" s="1333"/>
      <c r="S290" s="1266"/>
      <c r="T290" s="1265">
        <v>3715366.2</v>
      </c>
      <c r="U290" s="1265">
        <f>O290-T290</f>
        <v>0</v>
      </c>
      <c r="V290" s="1265">
        <v>3715366.2</v>
      </c>
      <c r="W290" s="1258"/>
      <c r="X290" s="1349"/>
      <c r="Y290" s="1313"/>
      <c r="Z290" s="130">
        <v>2476910.7999999998</v>
      </c>
      <c r="AA290" s="130">
        <v>-2476910.7999999998</v>
      </c>
      <c r="AB290" s="130">
        <f t="shared" si="23"/>
        <v>0</v>
      </c>
      <c r="AC290" s="139"/>
      <c r="AD290" s="57">
        <v>0</v>
      </c>
      <c r="AE290" s="130" t="s">
        <v>137</v>
      </c>
      <c r="AF290" s="1266"/>
      <c r="AG290" s="1258"/>
      <c r="AH290" s="130">
        <f t="shared" si="19"/>
        <v>0</v>
      </c>
      <c r="AI290" s="1265"/>
      <c r="AJ290" s="1266"/>
      <c r="AK290" s="1266"/>
      <c r="AL290" s="1266"/>
      <c r="AM290" s="1266"/>
      <c r="AN290" s="1203"/>
      <c r="AO290" s="1204"/>
      <c r="AQ290" s="934"/>
    </row>
    <row r="291" spans="1:43" s="10" customFormat="1" ht="15" customHeight="1">
      <c r="A291" s="1304"/>
      <c r="B291" s="1305"/>
      <c r="C291" s="1311"/>
      <c r="D291" s="1076"/>
      <c r="E291" s="1306"/>
      <c r="F291" s="1306"/>
      <c r="G291" s="1075"/>
      <c r="H291" s="1296"/>
      <c r="I291" s="1296"/>
      <c r="J291" s="1311"/>
      <c r="K291" s="1076"/>
      <c r="L291" s="1076"/>
      <c r="M291" s="1294"/>
      <c r="N291" s="1067"/>
      <c r="O291" s="1267"/>
      <c r="P291" s="1267"/>
      <c r="Q291" s="1258"/>
      <c r="R291" s="1334"/>
      <c r="S291" s="1267"/>
      <c r="T291" s="1267"/>
      <c r="U291" s="1267"/>
      <c r="V291" s="1267"/>
      <c r="W291" s="1258"/>
      <c r="X291" s="1349"/>
      <c r="Y291" s="1314"/>
      <c r="Z291" s="130">
        <v>3715366.2</v>
      </c>
      <c r="AA291" s="130">
        <v>0</v>
      </c>
      <c r="AB291" s="130">
        <f t="shared" si="23"/>
        <v>3715366.2</v>
      </c>
      <c r="AC291" s="139"/>
      <c r="AD291" s="57">
        <v>0</v>
      </c>
      <c r="AE291" s="130" t="s">
        <v>7</v>
      </c>
      <c r="AF291" s="1267"/>
      <c r="AG291" s="1258"/>
      <c r="AH291" s="130">
        <f t="shared" si="19"/>
        <v>3715366.2</v>
      </c>
      <c r="AI291" s="1267"/>
      <c r="AJ291" s="1267"/>
      <c r="AK291" s="1267"/>
      <c r="AL291" s="1267"/>
      <c r="AM291" s="1267"/>
      <c r="AN291" s="1203"/>
      <c r="AO291" s="1204"/>
      <c r="AQ291" s="934"/>
    </row>
    <row r="292" spans="1:43" s="10" customFormat="1" ht="15" customHeight="1">
      <c r="A292" s="1304"/>
      <c r="B292" s="1305"/>
      <c r="C292" s="1311"/>
      <c r="D292" s="1076"/>
      <c r="E292" s="1306"/>
      <c r="F292" s="1306"/>
      <c r="G292" s="1075"/>
      <c r="H292" s="1296"/>
      <c r="I292" s="1296"/>
      <c r="J292" s="1311"/>
      <c r="K292" s="1076"/>
      <c r="L292" s="1076"/>
      <c r="M292" s="1292">
        <v>73</v>
      </c>
      <c r="N292" s="170" t="s">
        <v>137</v>
      </c>
      <c r="O292" s="130">
        <v>1576563.6</v>
      </c>
      <c r="P292" s="1265">
        <f>O292+O293</f>
        <v>3941409</v>
      </c>
      <c r="Q292" s="1258"/>
      <c r="R292" s="1332">
        <v>40413</v>
      </c>
      <c r="S292" s="1265">
        <f>T292+T293</f>
        <v>3941409</v>
      </c>
      <c r="T292" s="130">
        <v>1576563.6</v>
      </c>
      <c r="U292" s="130">
        <f>O292-T292</f>
        <v>0</v>
      </c>
      <c r="V292" s="130">
        <v>1576563.6</v>
      </c>
      <c r="W292" s="1258"/>
      <c r="X292" s="1349"/>
      <c r="Y292" s="108" t="s">
        <v>434</v>
      </c>
      <c r="Z292" s="130">
        <v>0</v>
      </c>
      <c r="AA292" s="130">
        <v>1576563.6</v>
      </c>
      <c r="AB292" s="130">
        <f t="shared" si="23"/>
        <v>1576563.6</v>
      </c>
      <c r="AC292" s="139">
        <v>40554</v>
      </c>
      <c r="AD292" s="57">
        <f>O292</f>
        <v>1576563.6</v>
      </c>
      <c r="AE292" s="130" t="s">
        <v>137</v>
      </c>
      <c r="AF292" s="1265">
        <f>SUM(AD292:AD294)</f>
        <v>1576563.6</v>
      </c>
      <c r="AG292" s="1258"/>
      <c r="AH292" s="130">
        <f t="shared" si="19"/>
        <v>0</v>
      </c>
      <c r="AI292" s="130"/>
      <c r="AJ292" s="1265">
        <f>SUM(Z292:Z294)-SUM(AD292:AD294)</f>
        <v>2364845.4</v>
      </c>
      <c r="AK292" s="1265">
        <f>P292-V292-V293</f>
        <v>0</v>
      </c>
      <c r="AL292" s="1265">
        <f>SUM(V292:V294)-SUM(Z292:Z294)</f>
        <v>0</v>
      </c>
      <c r="AM292" s="1265">
        <f>AK292+AL292</f>
        <v>0</v>
      </c>
      <c r="AN292" s="1203"/>
      <c r="AO292" s="1204"/>
      <c r="AQ292" s="934"/>
    </row>
    <row r="293" spans="1:43" s="10" customFormat="1" ht="15" customHeight="1">
      <c r="A293" s="1304"/>
      <c r="B293" s="1305"/>
      <c r="C293" s="1311"/>
      <c r="D293" s="1076"/>
      <c r="E293" s="1306"/>
      <c r="F293" s="1306"/>
      <c r="G293" s="1075"/>
      <c r="H293" s="1296"/>
      <c r="I293" s="1296"/>
      <c r="J293" s="1311"/>
      <c r="K293" s="1076"/>
      <c r="L293" s="1076"/>
      <c r="M293" s="1293"/>
      <c r="N293" s="1065" t="s">
        <v>7</v>
      </c>
      <c r="O293" s="1265">
        <v>2364845.4</v>
      </c>
      <c r="P293" s="1266"/>
      <c r="Q293" s="1258"/>
      <c r="R293" s="1333"/>
      <c r="S293" s="1266"/>
      <c r="T293" s="1265">
        <v>2364845.4</v>
      </c>
      <c r="U293" s="1265">
        <f>O293-T293</f>
        <v>0</v>
      </c>
      <c r="V293" s="1265">
        <v>2364845.4</v>
      </c>
      <c r="W293" s="1258"/>
      <c r="X293" s="1349"/>
      <c r="Y293" s="1313"/>
      <c r="Z293" s="130">
        <v>1576563.6</v>
      </c>
      <c r="AA293" s="130">
        <v>-1576563.6</v>
      </c>
      <c r="AB293" s="130">
        <f t="shared" si="23"/>
        <v>0</v>
      </c>
      <c r="AC293" s="139"/>
      <c r="AD293" s="57">
        <v>0</v>
      </c>
      <c r="AE293" s="130" t="s">
        <v>137</v>
      </c>
      <c r="AF293" s="1266"/>
      <c r="AG293" s="1258"/>
      <c r="AH293" s="130">
        <f t="shared" si="19"/>
        <v>0</v>
      </c>
      <c r="AI293" s="1265"/>
      <c r="AJ293" s="1266"/>
      <c r="AK293" s="1266"/>
      <c r="AL293" s="1266"/>
      <c r="AM293" s="1266"/>
      <c r="AN293" s="1203"/>
      <c r="AO293" s="1204"/>
      <c r="AQ293" s="934"/>
    </row>
    <row r="294" spans="1:43" s="10" customFormat="1" ht="15" customHeight="1">
      <c r="A294" s="1304"/>
      <c r="B294" s="1305"/>
      <c r="C294" s="1312"/>
      <c r="D294" s="1076"/>
      <c r="E294" s="1306"/>
      <c r="F294" s="1306"/>
      <c r="G294" s="1075"/>
      <c r="H294" s="1296"/>
      <c r="I294" s="1296"/>
      <c r="J294" s="1311"/>
      <c r="K294" s="1076"/>
      <c r="L294" s="1076"/>
      <c r="M294" s="1294"/>
      <c r="N294" s="1067"/>
      <c r="O294" s="1267"/>
      <c r="P294" s="1267"/>
      <c r="Q294" s="1258"/>
      <c r="R294" s="1334"/>
      <c r="S294" s="1267"/>
      <c r="T294" s="1267"/>
      <c r="U294" s="1267"/>
      <c r="V294" s="1267"/>
      <c r="W294" s="1258"/>
      <c r="X294" s="1349"/>
      <c r="Y294" s="1314"/>
      <c r="Z294" s="130">
        <v>2364845.4</v>
      </c>
      <c r="AA294" s="130">
        <v>0</v>
      </c>
      <c r="AB294" s="130">
        <f t="shared" si="23"/>
        <v>2364845.4</v>
      </c>
      <c r="AC294" s="139"/>
      <c r="AD294" s="57">
        <v>0</v>
      </c>
      <c r="AE294" s="130" t="s">
        <v>7</v>
      </c>
      <c r="AF294" s="1267"/>
      <c r="AG294" s="1258"/>
      <c r="AH294" s="130">
        <f t="shared" si="19"/>
        <v>2364845.4</v>
      </c>
      <c r="AI294" s="1267"/>
      <c r="AJ294" s="1267"/>
      <c r="AK294" s="1267"/>
      <c r="AL294" s="1267"/>
      <c r="AM294" s="1267"/>
      <c r="AN294" s="1203"/>
      <c r="AO294" s="1204"/>
      <c r="AQ294" s="934"/>
    </row>
    <row r="295" spans="1:43" s="10" customFormat="1" ht="15" customHeight="1">
      <c r="A295" s="1304"/>
      <c r="B295" s="1305"/>
      <c r="C295" s="1296" t="s">
        <v>29</v>
      </c>
      <c r="D295" s="1076"/>
      <c r="E295" s="1306"/>
      <c r="F295" s="1306"/>
      <c r="G295" s="1075"/>
      <c r="H295" s="1296"/>
      <c r="I295" s="1296"/>
      <c r="J295" s="1311"/>
      <c r="K295" s="1076"/>
      <c r="L295" s="1076"/>
      <c r="M295" s="1292">
        <v>74</v>
      </c>
      <c r="N295" s="170" t="s">
        <v>137</v>
      </c>
      <c r="O295" s="130">
        <v>1657320</v>
      </c>
      <c r="P295" s="1265">
        <f>O295+O296</f>
        <v>4143300</v>
      </c>
      <c r="Q295" s="1258"/>
      <c r="R295" s="1332">
        <v>40413</v>
      </c>
      <c r="S295" s="1265">
        <f>T295+T296</f>
        <v>4143300</v>
      </c>
      <c r="T295" s="130">
        <v>1657320</v>
      </c>
      <c r="U295" s="130">
        <f>O295-T295</f>
        <v>0</v>
      </c>
      <c r="V295" s="130">
        <v>1657320</v>
      </c>
      <c r="W295" s="1258"/>
      <c r="X295" s="1349"/>
      <c r="Y295" s="108" t="s">
        <v>435</v>
      </c>
      <c r="Z295" s="130">
        <v>0</v>
      </c>
      <c r="AA295" s="130">
        <v>1657320</v>
      </c>
      <c r="AB295" s="130">
        <f t="shared" si="23"/>
        <v>1657320</v>
      </c>
      <c r="AC295" s="139">
        <v>40554</v>
      </c>
      <c r="AD295" s="57">
        <f>O295</f>
        <v>1657320</v>
      </c>
      <c r="AE295" s="130" t="s">
        <v>137</v>
      </c>
      <c r="AF295" s="1265">
        <f>SUM(AD295:AD297)</f>
        <v>1657320</v>
      </c>
      <c r="AG295" s="1258"/>
      <c r="AH295" s="130">
        <f t="shared" si="19"/>
        <v>0</v>
      </c>
      <c r="AI295" s="130"/>
      <c r="AJ295" s="1265">
        <f>SUM(Z295:Z297)-SUM(AD295:AD297)</f>
        <v>2485980</v>
      </c>
      <c r="AK295" s="1265">
        <f>P295-V295-V296</f>
        <v>0</v>
      </c>
      <c r="AL295" s="1265">
        <f>SUM(V295:V297)-SUM(Z295:Z297)</f>
        <v>0</v>
      </c>
      <c r="AM295" s="1265">
        <f>AK295+AL295</f>
        <v>0</v>
      </c>
      <c r="AN295" s="1203"/>
      <c r="AO295" s="1204"/>
      <c r="AQ295" s="934"/>
    </row>
    <row r="296" spans="1:43" s="10" customFormat="1" ht="15" customHeight="1">
      <c r="A296" s="1304"/>
      <c r="B296" s="1305"/>
      <c r="C296" s="1296"/>
      <c r="D296" s="1076"/>
      <c r="E296" s="1306"/>
      <c r="F296" s="1306"/>
      <c r="G296" s="1075"/>
      <c r="H296" s="1296"/>
      <c r="I296" s="1296"/>
      <c r="J296" s="1311"/>
      <c r="K296" s="1076"/>
      <c r="L296" s="1076"/>
      <c r="M296" s="1293"/>
      <c r="N296" s="1065" t="s">
        <v>7</v>
      </c>
      <c r="O296" s="1265">
        <v>2485980</v>
      </c>
      <c r="P296" s="1266"/>
      <c r="Q296" s="1258"/>
      <c r="R296" s="1333"/>
      <c r="S296" s="1266"/>
      <c r="T296" s="1265">
        <v>2485980</v>
      </c>
      <c r="U296" s="1265">
        <f>O296-T296</f>
        <v>0</v>
      </c>
      <c r="V296" s="1265">
        <v>2485980</v>
      </c>
      <c r="W296" s="1258"/>
      <c r="X296" s="1349"/>
      <c r="Y296" s="1313"/>
      <c r="Z296" s="130">
        <v>1657320</v>
      </c>
      <c r="AA296" s="130">
        <v>-1657320</v>
      </c>
      <c r="AB296" s="130">
        <f t="shared" si="23"/>
        <v>0</v>
      </c>
      <c r="AC296" s="139"/>
      <c r="AD296" s="57">
        <v>0</v>
      </c>
      <c r="AE296" s="130" t="s">
        <v>137</v>
      </c>
      <c r="AF296" s="1266"/>
      <c r="AG296" s="1258"/>
      <c r="AH296" s="130">
        <f t="shared" si="19"/>
        <v>0</v>
      </c>
      <c r="AI296" s="1265"/>
      <c r="AJ296" s="1266"/>
      <c r="AK296" s="1266"/>
      <c r="AL296" s="1266"/>
      <c r="AM296" s="1266"/>
      <c r="AN296" s="1203"/>
      <c r="AO296" s="1204"/>
      <c r="AQ296" s="934"/>
    </row>
    <row r="297" spans="1:43" s="10" customFormat="1" ht="15" customHeight="1">
      <c r="A297" s="1304"/>
      <c r="B297" s="1305"/>
      <c r="C297" s="1296"/>
      <c r="D297" s="1076"/>
      <c r="E297" s="1306"/>
      <c r="F297" s="1306"/>
      <c r="G297" s="1075"/>
      <c r="H297" s="1296"/>
      <c r="I297" s="1296"/>
      <c r="J297" s="1311"/>
      <c r="K297" s="1076"/>
      <c r="L297" s="1076"/>
      <c r="M297" s="1294"/>
      <c r="N297" s="1067"/>
      <c r="O297" s="1267"/>
      <c r="P297" s="1267"/>
      <c r="Q297" s="1258"/>
      <c r="R297" s="1334"/>
      <c r="S297" s="1267"/>
      <c r="T297" s="1267"/>
      <c r="U297" s="1267"/>
      <c r="V297" s="1267"/>
      <c r="W297" s="1258"/>
      <c r="X297" s="1349"/>
      <c r="Y297" s="1314"/>
      <c r="Z297" s="130">
        <v>2485980</v>
      </c>
      <c r="AA297" s="130">
        <v>0</v>
      </c>
      <c r="AB297" s="130">
        <f t="shared" si="23"/>
        <v>2485980</v>
      </c>
      <c r="AC297" s="139"/>
      <c r="AD297" s="57">
        <v>0</v>
      </c>
      <c r="AE297" s="130" t="s">
        <v>7</v>
      </c>
      <c r="AF297" s="1267"/>
      <c r="AG297" s="1258"/>
      <c r="AH297" s="130">
        <f t="shared" si="19"/>
        <v>2485980</v>
      </c>
      <c r="AI297" s="1267"/>
      <c r="AJ297" s="1267"/>
      <c r="AK297" s="1267"/>
      <c r="AL297" s="1267"/>
      <c r="AM297" s="1267"/>
      <c r="AN297" s="1203"/>
      <c r="AO297" s="1204"/>
      <c r="AQ297" s="934"/>
    </row>
    <row r="298" spans="1:43" s="10" customFormat="1" ht="15" customHeight="1">
      <c r="A298" s="1304"/>
      <c r="B298" s="1305"/>
      <c r="C298" s="1296"/>
      <c r="D298" s="1076"/>
      <c r="E298" s="1306"/>
      <c r="F298" s="1306"/>
      <c r="G298" s="1075"/>
      <c r="H298" s="1296"/>
      <c r="I298" s="1296"/>
      <c r="J298" s="1311"/>
      <c r="K298" s="1076"/>
      <c r="L298" s="1076"/>
      <c r="M298" s="1292">
        <v>75</v>
      </c>
      <c r="N298" s="170" t="s">
        <v>137</v>
      </c>
      <c r="O298" s="130">
        <v>2100000</v>
      </c>
      <c r="P298" s="1265">
        <f>O298+O299</f>
        <v>5250000</v>
      </c>
      <c r="Q298" s="1258"/>
      <c r="R298" s="1332">
        <v>40413</v>
      </c>
      <c r="S298" s="1265">
        <f>T298+T299</f>
        <v>5250000</v>
      </c>
      <c r="T298" s="130">
        <v>2100000</v>
      </c>
      <c r="U298" s="130">
        <f>O298-T298</f>
        <v>0</v>
      </c>
      <c r="V298" s="130">
        <v>2100000</v>
      </c>
      <c r="W298" s="1258"/>
      <c r="X298" s="1349"/>
      <c r="Y298" s="108" t="s">
        <v>435</v>
      </c>
      <c r="Z298" s="130">
        <v>0</v>
      </c>
      <c r="AA298" s="130">
        <v>2100000</v>
      </c>
      <c r="AB298" s="130">
        <f t="shared" si="23"/>
        <v>2100000</v>
      </c>
      <c r="AC298" s="139">
        <v>40554</v>
      </c>
      <c r="AD298" s="57">
        <f>O298</f>
        <v>2100000</v>
      </c>
      <c r="AE298" s="130" t="s">
        <v>137</v>
      </c>
      <c r="AF298" s="1265">
        <f>SUM(AD298:AD300)</f>
        <v>2100000</v>
      </c>
      <c r="AG298" s="1258"/>
      <c r="AH298" s="130">
        <f t="shared" si="19"/>
        <v>0</v>
      </c>
      <c r="AI298" s="130"/>
      <c r="AJ298" s="1265">
        <f>SUM(Z298:Z300)-SUM(AD298:AD300)</f>
        <v>3150000</v>
      </c>
      <c r="AK298" s="1265">
        <f>P298-V298-V299</f>
        <v>0</v>
      </c>
      <c r="AL298" s="1265">
        <f>SUM(V298:V300)-SUM(Z298:Z300)</f>
        <v>0</v>
      </c>
      <c r="AM298" s="1265">
        <f>AK298+AL298</f>
        <v>0</v>
      </c>
      <c r="AN298" s="1203"/>
      <c r="AO298" s="1204"/>
      <c r="AQ298" s="934"/>
    </row>
    <row r="299" spans="1:43" s="10" customFormat="1" ht="15" customHeight="1">
      <c r="A299" s="1304"/>
      <c r="B299" s="1305"/>
      <c r="C299" s="1296"/>
      <c r="D299" s="1076"/>
      <c r="E299" s="1306"/>
      <c r="F299" s="1306"/>
      <c r="G299" s="1075"/>
      <c r="H299" s="1296"/>
      <c r="I299" s="1296"/>
      <c r="J299" s="1311"/>
      <c r="K299" s="1076"/>
      <c r="L299" s="1076"/>
      <c r="M299" s="1293"/>
      <c r="N299" s="1065" t="s">
        <v>7</v>
      </c>
      <c r="O299" s="1265">
        <v>3150000</v>
      </c>
      <c r="P299" s="1266"/>
      <c r="Q299" s="1258"/>
      <c r="R299" s="1333"/>
      <c r="S299" s="1266"/>
      <c r="T299" s="1265">
        <v>3150000</v>
      </c>
      <c r="U299" s="1265">
        <f>O299-T299</f>
        <v>0</v>
      </c>
      <c r="V299" s="1265">
        <v>3150000</v>
      </c>
      <c r="W299" s="1258"/>
      <c r="X299" s="1349"/>
      <c r="Y299" s="1313"/>
      <c r="Z299" s="130">
        <v>2100000</v>
      </c>
      <c r="AA299" s="130">
        <v>-2100000</v>
      </c>
      <c r="AB299" s="130">
        <f t="shared" si="23"/>
        <v>0</v>
      </c>
      <c r="AC299" s="139"/>
      <c r="AD299" s="57">
        <v>0</v>
      </c>
      <c r="AE299" s="130" t="s">
        <v>137</v>
      </c>
      <c r="AF299" s="1266"/>
      <c r="AG299" s="1258"/>
      <c r="AH299" s="130">
        <f t="shared" si="19"/>
        <v>0</v>
      </c>
      <c r="AI299" s="1265"/>
      <c r="AJ299" s="1266"/>
      <c r="AK299" s="1266"/>
      <c r="AL299" s="1266"/>
      <c r="AM299" s="1266"/>
      <c r="AN299" s="1203"/>
      <c r="AO299" s="1204"/>
      <c r="AQ299" s="934"/>
    </row>
    <row r="300" spans="1:43" s="10" customFormat="1" ht="15" customHeight="1">
      <c r="A300" s="1304"/>
      <c r="B300" s="1305"/>
      <c r="C300" s="1296"/>
      <c r="D300" s="1076"/>
      <c r="E300" s="1306"/>
      <c r="F300" s="1306"/>
      <c r="G300" s="1075"/>
      <c r="H300" s="1296"/>
      <c r="I300" s="1296"/>
      <c r="J300" s="1312"/>
      <c r="K300" s="1076"/>
      <c r="L300" s="1076"/>
      <c r="M300" s="1294"/>
      <c r="N300" s="1067"/>
      <c r="O300" s="1267"/>
      <c r="P300" s="1267"/>
      <c r="Q300" s="1258"/>
      <c r="R300" s="1334"/>
      <c r="S300" s="1267"/>
      <c r="T300" s="1267"/>
      <c r="U300" s="1267"/>
      <c r="V300" s="1267"/>
      <c r="W300" s="1258"/>
      <c r="X300" s="1349"/>
      <c r="Y300" s="1314"/>
      <c r="Z300" s="130">
        <v>3150000</v>
      </c>
      <c r="AA300" s="130">
        <v>0</v>
      </c>
      <c r="AB300" s="130">
        <f t="shared" si="23"/>
        <v>3150000</v>
      </c>
      <c r="AC300" s="139"/>
      <c r="AD300" s="57">
        <v>0</v>
      </c>
      <c r="AE300" s="130" t="s">
        <v>7</v>
      </c>
      <c r="AF300" s="1267"/>
      <c r="AG300" s="1258"/>
      <c r="AH300" s="130">
        <f t="shared" si="19"/>
        <v>3150000</v>
      </c>
      <c r="AI300" s="1267"/>
      <c r="AJ300" s="1267"/>
      <c r="AK300" s="1267"/>
      <c r="AL300" s="1267"/>
      <c r="AM300" s="1267"/>
      <c r="AN300" s="1203"/>
      <c r="AO300" s="1204"/>
      <c r="AQ300" s="934"/>
    </row>
    <row r="301" spans="1:43" s="10" customFormat="1" ht="15" customHeight="1">
      <c r="A301" s="1304"/>
      <c r="B301" s="1305"/>
      <c r="C301" s="1296"/>
      <c r="D301" s="1076"/>
      <c r="E301" s="1306"/>
      <c r="F301" s="1306"/>
      <c r="G301" s="1075"/>
      <c r="H301" s="1296"/>
      <c r="I301" s="1296"/>
      <c r="J301" s="113" t="s">
        <v>171</v>
      </c>
      <c r="K301" s="1076"/>
      <c r="L301" s="1076"/>
      <c r="M301" s="171">
        <v>200</v>
      </c>
      <c r="N301" s="135" t="s">
        <v>7</v>
      </c>
      <c r="O301" s="130">
        <v>1380000</v>
      </c>
      <c r="P301" s="130">
        <f>O301</f>
        <v>1380000</v>
      </c>
      <c r="Q301" s="1258"/>
      <c r="R301" s="142">
        <v>40779</v>
      </c>
      <c r="S301" s="130">
        <f>T301</f>
        <v>1380000</v>
      </c>
      <c r="T301" s="130">
        <v>1380000</v>
      </c>
      <c r="U301" s="130">
        <f>O301-T301</f>
        <v>0</v>
      </c>
      <c r="V301" s="130">
        <f>T301</f>
        <v>1380000</v>
      </c>
      <c r="W301" s="1258"/>
      <c r="X301" s="1349"/>
      <c r="Y301" s="172"/>
      <c r="Z301" s="130">
        <v>1380000</v>
      </c>
      <c r="AA301" s="130">
        <v>0</v>
      </c>
      <c r="AB301" s="130">
        <f t="shared" si="23"/>
        <v>1380000</v>
      </c>
      <c r="AC301" s="140"/>
      <c r="AD301" s="57">
        <v>0</v>
      </c>
      <c r="AE301" s="130" t="s">
        <v>7</v>
      </c>
      <c r="AF301" s="130">
        <f>AD301</f>
        <v>0</v>
      </c>
      <c r="AG301" s="1258"/>
      <c r="AH301" s="130">
        <f t="shared" si="19"/>
        <v>1380000</v>
      </c>
      <c r="AI301" s="130"/>
      <c r="AJ301" s="130">
        <f>Z301-AD301</f>
        <v>1380000</v>
      </c>
      <c r="AK301" s="130">
        <f>P301-V301</f>
        <v>0</v>
      </c>
      <c r="AL301" s="130">
        <f>V301-Z301</f>
        <v>0</v>
      </c>
      <c r="AM301" s="130">
        <f>AK301+AL301</f>
        <v>0</v>
      </c>
      <c r="AN301" s="1203"/>
      <c r="AO301" s="1204"/>
      <c r="AQ301" s="934"/>
    </row>
    <row r="302" spans="1:43" s="4" customFormat="1" ht="15" customHeight="1">
      <c r="A302" s="1030" t="s">
        <v>2079</v>
      </c>
      <c r="B302" s="1068">
        <v>40301</v>
      </c>
      <c r="C302" s="1011" t="s">
        <v>36</v>
      </c>
      <c r="D302" s="1011" t="s">
        <v>2069</v>
      </c>
      <c r="E302" s="1011">
        <v>10528000</v>
      </c>
      <c r="F302" s="1011"/>
      <c r="G302" s="1011" t="s">
        <v>2070</v>
      </c>
      <c r="H302" s="1011" t="s">
        <v>72</v>
      </c>
      <c r="I302" s="1011" t="s">
        <v>70</v>
      </c>
      <c r="J302" s="1011" t="s">
        <v>66</v>
      </c>
      <c r="K302" s="1011" t="s">
        <v>49</v>
      </c>
      <c r="L302" s="1011" t="s">
        <v>2082</v>
      </c>
      <c r="M302" s="1009">
        <v>76</v>
      </c>
      <c r="N302" s="1065" t="s">
        <v>137</v>
      </c>
      <c r="O302" s="1100">
        <v>1360000</v>
      </c>
      <c r="P302" s="1100">
        <f>SUM(O302:O305)</f>
        <v>3400000</v>
      </c>
      <c r="Q302" s="1100">
        <f>SUM(O302:O330)</f>
        <v>24086400</v>
      </c>
      <c r="R302" s="1132">
        <v>40413</v>
      </c>
      <c r="S302" s="116"/>
      <c r="T302" s="117"/>
      <c r="U302" s="117"/>
      <c r="V302" s="1100">
        <f>O302</f>
        <v>1360000</v>
      </c>
      <c r="W302" s="1100">
        <f>Q302</f>
        <v>24086400</v>
      </c>
      <c r="X302" s="1011"/>
      <c r="Y302" s="108" t="s">
        <v>2071</v>
      </c>
      <c r="Z302" s="103"/>
      <c r="AA302" s="103"/>
      <c r="AB302" s="103"/>
      <c r="AC302" s="97">
        <v>40444</v>
      </c>
      <c r="AD302" s="83">
        <v>1360000</v>
      </c>
      <c r="AE302" s="1065" t="s">
        <v>137</v>
      </c>
      <c r="AF302" s="1023">
        <f>SUM(AD302:AD303)</f>
        <v>2176000</v>
      </c>
      <c r="AG302" s="1023">
        <f>SUM(AF302:AF330)</f>
        <v>22420160</v>
      </c>
      <c r="AH302" s="1023">
        <v>0</v>
      </c>
      <c r="AI302" s="1023">
        <v>0</v>
      </c>
      <c r="AJ302" s="1023">
        <v>0</v>
      </c>
      <c r="AK302" s="1023">
        <v>0</v>
      </c>
      <c r="AL302" s="1023">
        <f>+W302-AG302</f>
        <v>1666240</v>
      </c>
      <c r="AM302" s="1023"/>
      <c r="AN302" s="1023"/>
      <c r="AO302" s="1023" t="s">
        <v>2083</v>
      </c>
      <c r="AQ302" s="934"/>
    </row>
    <row r="303" spans="1:43" s="4" customFormat="1" ht="15" customHeight="1">
      <c r="A303" s="1031"/>
      <c r="B303" s="1069"/>
      <c r="C303" s="1033"/>
      <c r="D303" s="1033"/>
      <c r="E303" s="1033"/>
      <c r="F303" s="1033"/>
      <c r="G303" s="1033"/>
      <c r="H303" s="1033"/>
      <c r="I303" s="1033"/>
      <c r="J303" s="1033"/>
      <c r="K303" s="1033"/>
      <c r="L303" s="1033"/>
      <c r="M303" s="1039"/>
      <c r="N303" s="1066"/>
      <c r="O303" s="1101"/>
      <c r="P303" s="1101"/>
      <c r="Q303" s="1101"/>
      <c r="R303" s="1133"/>
      <c r="S303" s="116"/>
      <c r="T303" s="117"/>
      <c r="U303" s="117"/>
      <c r="V303" s="1102"/>
      <c r="W303" s="1101"/>
      <c r="X303" s="1033"/>
      <c r="Y303" s="108" t="s">
        <v>2072</v>
      </c>
      <c r="Z303" s="103"/>
      <c r="AA303" s="103"/>
      <c r="AB303" s="103"/>
      <c r="AC303" s="97">
        <v>41290</v>
      </c>
      <c r="AD303" s="83">
        <v>816000</v>
      </c>
      <c r="AE303" s="1066"/>
      <c r="AF303" s="1024"/>
      <c r="AG303" s="1124"/>
      <c r="AH303" s="1124"/>
      <c r="AI303" s="1124"/>
      <c r="AJ303" s="1124"/>
      <c r="AK303" s="1124"/>
      <c r="AL303" s="1124"/>
      <c r="AM303" s="1124"/>
      <c r="AN303" s="1124"/>
      <c r="AO303" s="1124"/>
      <c r="AQ303" s="934"/>
    </row>
    <row r="304" spans="1:43" s="4" customFormat="1" ht="15" customHeight="1">
      <c r="A304" s="1031"/>
      <c r="B304" s="1069"/>
      <c r="C304" s="1033"/>
      <c r="D304" s="1033"/>
      <c r="E304" s="1033"/>
      <c r="F304" s="1033"/>
      <c r="G304" s="1033"/>
      <c r="H304" s="1033"/>
      <c r="I304" s="1033"/>
      <c r="J304" s="1033"/>
      <c r="K304" s="1033"/>
      <c r="L304" s="1033"/>
      <c r="M304" s="1039"/>
      <c r="N304" s="1065" t="s">
        <v>7</v>
      </c>
      <c r="O304" s="1100">
        <v>2040000</v>
      </c>
      <c r="P304" s="1101"/>
      <c r="Q304" s="1101"/>
      <c r="R304" s="1133"/>
      <c r="S304" s="116"/>
      <c r="T304" s="117"/>
      <c r="U304" s="117"/>
      <c r="V304" s="1100">
        <f t="shared" ref="V304:V325" si="24">O304</f>
        <v>2040000</v>
      </c>
      <c r="W304" s="1101"/>
      <c r="X304" s="1033"/>
      <c r="Y304" s="108" t="s">
        <v>2072</v>
      </c>
      <c r="Z304" s="103"/>
      <c r="AA304" s="103"/>
      <c r="AB304" s="103"/>
      <c r="AC304" s="97">
        <v>41290</v>
      </c>
      <c r="AD304" s="83">
        <v>1020000</v>
      </c>
      <c r="AE304" s="1065" t="s">
        <v>7</v>
      </c>
      <c r="AF304" s="1023">
        <f>SUM(AD304:AD305)</f>
        <v>1020000</v>
      </c>
      <c r="AG304" s="1124"/>
      <c r="AH304" s="1124"/>
      <c r="AI304" s="1124"/>
      <c r="AJ304" s="1124"/>
      <c r="AK304" s="1124"/>
      <c r="AL304" s="1124"/>
      <c r="AM304" s="1124"/>
      <c r="AN304" s="1124"/>
      <c r="AO304" s="1124"/>
      <c r="AQ304" s="934"/>
    </row>
    <row r="305" spans="1:43" s="4" customFormat="1" ht="15" customHeight="1">
      <c r="A305" s="1031"/>
      <c r="B305" s="1069"/>
      <c r="C305" s="1012"/>
      <c r="D305" s="1033"/>
      <c r="E305" s="1033"/>
      <c r="F305" s="1033"/>
      <c r="G305" s="1033"/>
      <c r="H305" s="1033"/>
      <c r="I305" s="1033"/>
      <c r="J305" s="1033"/>
      <c r="K305" s="1033"/>
      <c r="L305" s="1033"/>
      <c r="M305" s="1010"/>
      <c r="N305" s="1066"/>
      <c r="O305" s="1101"/>
      <c r="P305" s="1102"/>
      <c r="Q305" s="1101"/>
      <c r="R305" s="1134"/>
      <c r="S305" s="116"/>
      <c r="T305" s="117"/>
      <c r="U305" s="117"/>
      <c r="V305" s="1102">
        <f t="shared" si="24"/>
        <v>0</v>
      </c>
      <c r="W305" s="1101"/>
      <c r="X305" s="1033"/>
      <c r="Y305" s="108"/>
      <c r="Z305" s="103"/>
      <c r="AA305" s="103"/>
      <c r="AB305" s="103"/>
      <c r="AC305" s="97"/>
      <c r="AD305" s="83"/>
      <c r="AE305" s="1066"/>
      <c r="AF305" s="1024"/>
      <c r="AG305" s="1124"/>
      <c r="AH305" s="1124"/>
      <c r="AI305" s="1124"/>
      <c r="AJ305" s="1124"/>
      <c r="AK305" s="1124"/>
      <c r="AL305" s="1124"/>
      <c r="AM305" s="1124"/>
      <c r="AN305" s="1124"/>
      <c r="AO305" s="1124"/>
      <c r="AQ305" s="934"/>
    </row>
    <row r="306" spans="1:43" s="4" customFormat="1" ht="15" customHeight="1">
      <c r="A306" s="1031"/>
      <c r="B306" s="1069"/>
      <c r="C306" s="1011" t="s">
        <v>36</v>
      </c>
      <c r="D306" s="1033"/>
      <c r="E306" s="1033"/>
      <c r="F306" s="1033"/>
      <c r="G306" s="1033"/>
      <c r="H306" s="1033"/>
      <c r="I306" s="1033"/>
      <c r="J306" s="1033"/>
      <c r="K306" s="1033"/>
      <c r="L306" s="1033"/>
      <c r="M306" s="1009">
        <v>77</v>
      </c>
      <c r="N306" s="1065" t="s">
        <v>137</v>
      </c>
      <c r="O306" s="1100">
        <v>1216000</v>
      </c>
      <c r="P306" s="1100">
        <f>SUM(O306:O309)</f>
        <v>3040000</v>
      </c>
      <c r="Q306" s="1101"/>
      <c r="R306" s="1132">
        <v>40413</v>
      </c>
      <c r="S306" s="116"/>
      <c r="T306" s="117"/>
      <c r="U306" s="117"/>
      <c r="V306" s="1100">
        <f t="shared" si="24"/>
        <v>1216000</v>
      </c>
      <c r="W306" s="1101"/>
      <c r="X306" s="1033"/>
      <c r="Y306" s="108" t="s">
        <v>2071</v>
      </c>
      <c r="Z306" s="103"/>
      <c r="AA306" s="103"/>
      <c r="AB306" s="103"/>
      <c r="AC306" s="97">
        <v>40444</v>
      </c>
      <c r="AD306" s="83">
        <v>1216000</v>
      </c>
      <c r="AE306" s="1065" t="s">
        <v>137</v>
      </c>
      <c r="AF306" s="1023">
        <f>SUM(AD306:AD307)</f>
        <v>1945600</v>
      </c>
      <c r="AG306" s="1124"/>
      <c r="AH306" s="1124"/>
      <c r="AI306" s="1124"/>
      <c r="AJ306" s="1124"/>
      <c r="AK306" s="1124"/>
      <c r="AL306" s="1124"/>
      <c r="AM306" s="1124"/>
      <c r="AN306" s="1124"/>
      <c r="AO306" s="1124"/>
      <c r="AQ306" s="934"/>
    </row>
    <row r="307" spans="1:43" s="4" customFormat="1" ht="15" customHeight="1">
      <c r="A307" s="1031"/>
      <c r="B307" s="1069"/>
      <c r="C307" s="1033"/>
      <c r="D307" s="1033"/>
      <c r="E307" s="1033"/>
      <c r="F307" s="1033"/>
      <c r="G307" s="1033"/>
      <c r="H307" s="1033"/>
      <c r="I307" s="1033"/>
      <c r="J307" s="1033"/>
      <c r="K307" s="1033"/>
      <c r="L307" s="1033"/>
      <c r="M307" s="1039"/>
      <c r="N307" s="1066"/>
      <c r="O307" s="1101"/>
      <c r="P307" s="1101"/>
      <c r="Q307" s="1101"/>
      <c r="R307" s="1133"/>
      <c r="S307" s="116"/>
      <c r="T307" s="117"/>
      <c r="U307" s="117"/>
      <c r="V307" s="1102">
        <f t="shared" si="24"/>
        <v>0</v>
      </c>
      <c r="W307" s="1101"/>
      <c r="X307" s="1033"/>
      <c r="Y307" s="108" t="s">
        <v>2072</v>
      </c>
      <c r="Z307" s="103"/>
      <c r="AA307" s="103"/>
      <c r="AB307" s="103"/>
      <c r="AC307" s="97">
        <v>41290</v>
      </c>
      <c r="AD307" s="83">
        <v>729600</v>
      </c>
      <c r="AE307" s="1066"/>
      <c r="AF307" s="1024"/>
      <c r="AG307" s="1124"/>
      <c r="AH307" s="1124"/>
      <c r="AI307" s="1124"/>
      <c r="AJ307" s="1124"/>
      <c r="AK307" s="1124"/>
      <c r="AL307" s="1124"/>
      <c r="AM307" s="1124"/>
      <c r="AN307" s="1124"/>
      <c r="AO307" s="1124"/>
      <c r="AQ307" s="934"/>
    </row>
    <row r="308" spans="1:43" s="4" customFormat="1" ht="15" customHeight="1">
      <c r="A308" s="1031"/>
      <c r="B308" s="1069"/>
      <c r="C308" s="1033"/>
      <c r="D308" s="1033"/>
      <c r="E308" s="1033"/>
      <c r="F308" s="1033"/>
      <c r="G308" s="1033"/>
      <c r="H308" s="1033"/>
      <c r="I308" s="1033"/>
      <c r="J308" s="1033"/>
      <c r="K308" s="1033"/>
      <c r="L308" s="1033"/>
      <c r="M308" s="1039"/>
      <c r="N308" s="1065" t="s">
        <v>7</v>
      </c>
      <c r="O308" s="1100">
        <v>1824000</v>
      </c>
      <c r="P308" s="1101"/>
      <c r="Q308" s="1101"/>
      <c r="R308" s="1133"/>
      <c r="S308" s="116"/>
      <c r="T308" s="117"/>
      <c r="U308" s="117"/>
      <c r="V308" s="1100">
        <f t="shared" si="24"/>
        <v>1824000</v>
      </c>
      <c r="W308" s="1101"/>
      <c r="X308" s="1033"/>
      <c r="Y308" s="108" t="s">
        <v>2073</v>
      </c>
      <c r="Z308" s="103"/>
      <c r="AA308" s="103"/>
      <c r="AB308" s="103"/>
      <c r="AC308" s="97">
        <v>41290</v>
      </c>
      <c r="AD308" s="83">
        <v>912000</v>
      </c>
      <c r="AE308" s="1065" t="s">
        <v>7</v>
      </c>
      <c r="AF308" s="1023">
        <f>SUM(AD308:AD309)</f>
        <v>912000</v>
      </c>
      <c r="AG308" s="1124"/>
      <c r="AH308" s="1124"/>
      <c r="AI308" s="1124"/>
      <c r="AJ308" s="1124"/>
      <c r="AK308" s="1124"/>
      <c r="AL308" s="1124"/>
      <c r="AM308" s="1124"/>
      <c r="AN308" s="1124"/>
      <c r="AO308" s="1124"/>
      <c r="AQ308" s="934"/>
    </row>
    <row r="309" spans="1:43" s="4" customFormat="1" ht="15" customHeight="1">
      <c r="A309" s="1031"/>
      <c r="B309" s="1069"/>
      <c r="C309" s="1012"/>
      <c r="D309" s="1033"/>
      <c r="E309" s="1033"/>
      <c r="F309" s="1033"/>
      <c r="G309" s="1033"/>
      <c r="H309" s="1033"/>
      <c r="I309" s="1033"/>
      <c r="J309" s="1033"/>
      <c r="K309" s="1033"/>
      <c r="L309" s="1033"/>
      <c r="M309" s="1010"/>
      <c r="N309" s="1066"/>
      <c r="O309" s="1101"/>
      <c r="P309" s="1102"/>
      <c r="Q309" s="1101"/>
      <c r="R309" s="1134"/>
      <c r="S309" s="116"/>
      <c r="T309" s="117"/>
      <c r="U309" s="117"/>
      <c r="V309" s="1102">
        <f t="shared" si="24"/>
        <v>0</v>
      </c>
      <c r="W309" s="1101"/>
      <c r="X309" s="1033"/>
      <c r="Y309" s="108"/>
      <c r="Z309" s="103"/>
      <c r="AA309" s="103"/>
      <c r="AB309" s="103"/>
      <c r="AC309" s="97"/>
      <c r="AD309" s="83"/>
      <c r="AE309" s="1066"/>
      <c r="AF309" s="1024"/>
      <c r="AG309" s="1124"/>
      <c r="AH309" s="1124"/>
      <c r="AI309" s="1124"/>
      <c r="AJ309" s="1124"/>
      <c r="AK309" s="1124"/>
      <c r="AL309" s="1124"/>
      <c r="AM309" s="1124"/>
      <c r="AN309" s="1124"/>
      <c r="AO309" s="1124"/>
      <c r="AQ309" s="934"/>
    </row>
    <row r="310" spans="1:43" s="4" customFormat="1" ht="15" customHeight="1">
      <c r="A310" s="1031"/>
      <c r="B310" s="1069"/>
      <c r="C310" s="1011" t="s">
        <v>36</v>
      </c>
      <c r="D310" s="1033"/>
      <c r="E310" s="1033"/>
      <c r="F310" s="1033"/>
      <c r="G310" s="1033"/>
      <c r="H310" s="1033"/>
      <c r="I310" s="1033"/>
      <c r="J310" s="1033"/>
      <c r="K310" s="1033"/>
      <c r="L310" s="1033"/>
      <c r="M310" s="1009">
        <v>78</v>
      </c>
      <c r="N310" s="1065" t="s">
        <v>137</v>
      </c>
      <c r="O310" s="1100">
        <v>1216000</v>
      </c>
      <c r="P310" s="1100">
        <f>SUM(O310:O313)</f>
        <v>3040000</v>
      </c>
      <c r="Q310" s="1101"/>
      <c r="R310" s="1132">
        <v>40413</v>
      </c>
      <c r="S310" s="116"/>
      <c r="T310" s="117"/>
      <c r="U310" s="117"/>
      <c r="V310" s="1100">
        <f t="shared" si="24"/>
        <v>1216000</v>
      </c>
      <c r="W310" s="1101"/>
      <c r="X310" s="1033"/>
      <c r="Y310" s="108" t="s">
        <v>2071</v>
      </c>
      <c r="Z310" s="103"/>
      <c r="AA310" s="103"/>
      <c r="AB310" s="103"/>
      <c r="AC310" s="97">
        <v>40444</v>
      </c>
      <c r="AD310" s="83">
        <v>1216000</v>
      </c>
      <c r="AE310" s="1065" t="s">
        <v>137</v>
      </c>
      <c r="AF310" s="1023">
        <f>SUM(AD310:AD311)</f>
        <v>1945600</v>
      </c>
      <c r="AG310" s="1124"/>
      <c r="AH310" s="1124"/>
      <c r="AI310" s="1124"/>
      <c r="AJ310" s="1124"/>
      <c r="AK310" s="1124"/>
      <c r="AL310" s="1124"/>
      <c r="AM310" s="1124"/>
      <c r="AN310" s="1124"/>
      <c r="AO310" s="1124"/>
      <c r="AQ310" s="934"/>
    </row>
    <row r="311" spans="1:43" s="4" customFormat="1" ht="15" customHeight="1">
      <c r="A311" s="1031"/>
      <c r="B311" s="1069"/>
      <c r="C311" s="1033"/>
      <c r="D311" s="1033"/>
      <c r="E311" s="1033"/>
      <c r="F311" s="1033"/>
      <c r="G311" s="1033"/>
      <c r="H311" s="1033"/>
      <c r="I311" s="1033"/>
      <c r="J311" s="1033"/>
      <c r="K311" s="1033"/>
      <c r="L311" s="1033"/>
      <c r="M311" s="1039"/>
      <c r="N311" s="1066"/>
      <c r="O311" s="1101"/>
      <c r="P311" s="1101"/>
      <c r="Q311" s="1101"/>
      <c r="R311" s="1133"/>
      <c r="S311" s="116"/>
      <c r="T311" s="117"/>
      <c r="U311" s="117"/>
      <c r="V311" s="1102">
        <f t="shared" si="24"/>
        <v>0</v>
      </c>
      <c r="W311" s="1101"/>
      <c r="X311" s="1033"/>
      <c r="Y311" s="108" t="s">
        <v>2072</v>
      </c>
      <c r="Z311" s="103"/>
      <c r="AA311" s="103"/>
      <c r="AB311" s="103"/>
      <c r="AC311" s="97">
        <v>41290</v>
      </c>
      <c r="AD311" s="83">
        <v>729600</v>
      </c>
      <c r="AE311" s="1066"/>
      <c r="AF311" s="1024"/>
      <c r="AG311" s="1124"/>
      <c r="AH311" s="1124"/>
      <c r="AI311" s="1124"/>
      <c r="AJ311" s="1124"/>
      <c r="AK311" s="1124"/>
      <c r="AL311" s="1124"/>
      <c r="AM311" s="1124"/>
      <c r="AN311" s="1124"/>
      <c r="AO311" s="1124"/>
      <c r="AQ311" s="934"/>
    </row>
    <row r="312" spans="1:43" s="4" customFormat="1" ht="15" customHeight="1">
      <c r="A312" s="1031"/>
      <c r="B312" s="1069"/>
      <c r="C312" s="1033"/>
      <c r="D312" s="1033"/>
      <c r="E312" s="1033"/>
      <c r="F312" s="1033"/>
      <c r="G312" s="1033"/>
      <c r="H312" s="1033"/>
      <c r="I312" s="1033"/>
      <c r="J312" s="1033"/>
      <c r="K312" s="1033"/>
      <c r="L312" s="1033"/>
      <c r="M312" s="1039"/>
      <c r="N312" s="1065" t="s">
        <v>7</v>
      </c>
      <c r="O312" s="1100">
        <v>1824000</v>
      </c>
      <c r="P312" s="1101"/>
      <c r="Q312" s="1101"/>
      <c r="R312" s="1133"/>
      <c r="S312" s="116"/>
      <c r="T312" s="117"/>
      <c r="U312" s="117"/>
      <c r="V312" s="1100">
        <f t="shared" si="24"/>
        <v>1824000</v>
      </c>
      <c r="W312" s="1101"/>
      <c r="X312" s="1033"/>
      <c r="Y312" s="108" t="s">
        <v>2072</v>
      </c>
      <c r="Z312" s="103"/>
      <c r="AA312" s="103"/>
      <c r="AB312" s="103"/>
      <c r="AC312" s="97">
        <v>41290</v>
      </c>
      <c r="AD312" s="83">
        <v>912000</v>
      </c>
      <c r="AE312" s="1065" t="s">
        <v>7</v>
      </c>
      <c r="AF312" s="1023">
        <f>SUM(AD312:AD313)</f>
        <v>912000</v>
      </c>
      <c r="AG312" s="1124"/>
      <c r="AH312" s="1124"/>
      <c r="AI312" s="1124"/>
      <c r="AJ312" s="1124"/>
      <c r="AK312" s="1124"/>
      <c r="AL312" s="1124"/>
      <c r="AM312" s="1124"/>
      <c r="AN312" s="1124"/>
      <c r="AO312" s="1124"/>
      <c r="AQ312" s="934"/>
    </row>
    <row r="313" spans="1:43" s="4" customFormat="1" ht="15" customHeight="1">
      <c r="A313" s="1031"/>
      <c r="B313" s="1069"/>
      <c r="C313" s="1012"/>
      <c r="D313" s="1033"/>
      <c r="E313" s="1033"/>
      <c r="F313" s="1033"/>
      <c r="G313" s="1033"/>
      <c r="H313" s="1033"/>
      <c r="I313" s="1033"/>
      <c r="J313" s="1033"/>
      <c r="K313" s="1033"/>
      <c r="L313" s="1033"/>
      <c r="M313" s="1010"/>
      <c r="N313" s="1066"/>
      <c r="O313" s="1101"/>
      <c r="P313" s="1102"/>
      <c r="Q313" s="1101"/>
      <c r="R313" s="1134"/>
      <c r="S313" s="116"/>
      <c r="T313" s="117"/>
      <c r="U313" s="117"/>
      <c r="V313" s="1102">
        <f t="shared" si="24"/>
        <v>0</v>
      </c>
      <c r="W313" s="1101"/>
      <c r="X313" s="1033"/>
      <c r="Y313" s="108"/>
      <c r="Z313" s="103"/>
      <c r="AA313" s="103"/>
      <c r="AB313" s="103"/>
      <c r="AC313" s="97"/>
      <c r="AD313" s="83"/>
      <c r="AE313" s="1066"/>
      <c r="AF313" s="1024"/>
      <c r="AG313" s="1124"/>
      <c r="AH313" s="1124"/>
      <c r="AI313" s="1124"/>
      <c r="AJ313" s="1124"/>
      <c r="AK313" s="1124"/>
      <c r="AL313" s="1124"/>
      <c r="AM313" s="1124"/>
      <c r="AN313" s="1124"/>
      <c r="AO313" s="1124"/>
      <c r="AQ313" s="934"/>
    </row>
    <row r="314" spans="1:43" s="4" customFormat="1" ht="15" customHeight="1">
      <c r="A314" s="1031"/>
      <c r="B314" s="1069"/>
      <c r="C314" s="1011" t="s">
        <v>18</v>
      </c>
      <c r="D314" s="1033"/>
      <c r="E314" s="1033"/>
      <c r="F314" s="1033"/>
      <c r="G314" s="1033"/>
      <c r="H314" s="1033"/>
      <c r="I314" s="1033"/>
      <c r="J314" s="1033"/>
      <c r="K314" s="1033"/>
      <c r="L314" s="1033"/>
      <c r="M314" s="1009">
        <v>79</v>
      </c>
      <c r="N314" s="1065" t="s">
        <v>137</v>
      </c>
      <c r="O314" s="1100">
        <v>1216000</v>
      </c>
      <c r="P314" s="1100">
        <f>SUM(O314:O317)</f>
        <v>3040000</v>
      </c>
      <c r="Q314" s="1101"/>
      <c r="R314" s="1132">
        <v>40413</v>
      </c>
      <c r="S314" s="116"/>
      <c r="T314" s="117"/>
      <c r="U314" s="117"/>
      <c r="V314" s="1100">
        <f t="shared" si="24"/>
        <v>1216000</v>
      </c>
      <c r="W314" s="1101"/>
      <c r="X314" s="1033"/>
      <c r="Y314" s="108" t="s">
        <v>2074</v>
      </c>
      <c r="Z314" s="103"/>
      <c r="AA314" s="103"/>
      <c r="AB314" s="103"/>
      <c r="AC314" s="97">
        <v>40473</v>
      </c>
      <c r="AD314" s="83">
        <v>814720</v>
      </c>
      <c r="AE314" s="1065" t="s">
        <v>137</v>
      </c>
      <c r="AF314" s="1023">
        <f>SUM(AD314:AD315)</f>
        <v>1544320</v>
      </c>
      <c r="AG314" s="1124"/>
      <c r="AH314" s="1124"/>
      <c r="AI314" s="1124"/>
      <c r="AJ314" s="1124"/>
      <c r="AK314" s="1124"/>
      <c r="AL314" s="1124"/>
      <c r="AM314" s="1124"/>
      <c r="AN314" s="1124"/>
      <c r="AO314" s="1124"/>
      <c r="AQ314" s="934"/>
    </row>
    <row r="315" spans="1:43" s="4" customFormat="1" ht="15" customHeight="1">
      <c r="A315" s="1031"/>
      <c r="B315" s="1069"/>
      <c r="C315" s="1033"/>
      <c r="D315" s="1033"/>
      <c r="E315" s="1033"/>
      <c r="F315" s="1033"/>
      <c r="G315" s="1033"/>
      <c r="H315" s="1033"/>
      <c r="I315" s="1033"/>
      <c r="J315" s="1033"/>
      <c r="K315" s="1033"/>
      <c r="L315" s="1033"/>
      <c r="M315" s="1039"/>
      <c r="N315" s="1066"/>
      <c r="O315" s="1101"/>
      <c r="P315" s="1101"/>
      <c r="Q315" s="1101"/>
      <c r="R315" s="1133"/>
      <c r="S315" s="116"/>
      <c r="T315" s="117"/>
      <c r="U315" s="117"/>
      <c r="V315" s="1102">
        <f t="shared" si="24"/>
        <v>0</v>
      </c>
      <c r="W315" s="1101"/>
      <c r="X315" s="1033"/>
      <c r="Y315" s="108" t="s">
        <v>2075</v>
      </c>
      <c r="Z315" s="103"/>
      <c r="AA315" s="103"/>
      <c r="AB315" s="103"/>
      <c r="AC315" s="97">
        <v>41467</v>
      </c>
      <c r="AD315" s="83">
        <v>729600</v>
      </c>
      <c r="AE315" s="1066"/>
      <c r="AF315" s="1024"/>
      <c r="AG315" s="1124"/>
      <c r="AH315" s="1124"/>
      <c r="AI315" s="1124"/>
      <c r="AJ315" s="1124"/>
      <c r="AK315" s="1124"/>
      <c r="AL315" s="1124"/>
      <c r="AM315" s="1124"/>
      <c r="AN315" s="1124"/>
      <c r="AO315" s="1124"/>
      <c r="AQ315" s="934"/>
    </row>
    <row r="316" spans="1:43" s="4" customFormat="1" ht="15" customHeight="1">
      <c r="A316" s="1031"/>
      <c r="B316" s="1069"/>
      <c r="C316" s="1033"/>
      <c r="D316" s="1033"/>
      <c r="E316" s="1033"/>
      <c r="F316" s="1033"/>
      <c r="G316" s="1033"/>
      <c r="H316" s="1033"/>
      <c r="I316" s="1033"/>
      <c r="J316" s="1033"/>
      <c r="K316" s="1033"/>
      <c r="L316" s="1033"/>
      <c r="M316" s="1039"/>
      <c r="N316" s="1065" t="s">
        <v>7</v>
      </c>
      <c r="O316" s="1100">
        <v>1824000</v>
      </c>
      <c r="P316" s="1101"/>
      <c r="Q316" s="1101"/>
      <c r="R316" s="1133"/>
      <c r="S316" s="116"/>
      <c r="T316" s="117"/>
      <c r="U316" s="117"/>
      <c r="V316" s="1100">
        <f t="shared" si="24"/>
        <v>1824000</v>
      </c>
      <c r="W316" s="1101"/>
      <c r="X316" s="1033"/>
      <c r="Y316" s="108" t="s">
        <v>2074</v>
      </c>
      <c r="Z316" s="103"/>
      <c r="AA316" s="103"/>
      <c r="AB316" s="103"/>
      <c r="AC316" s="97">
        <v>40473</v>
      </c>
      <c r="AD316" s="83">
        <v>401280</v>
      </c>
      <c r="AE316" s="1065" t="s">
        <v>7</v>
      </c>
      <c r="AF316" s="1023">
        <f>SUM(AD316:AD317)</f>
        <v>1495680</v>
      </c>
      <c r="AG316" s="1124"/>
      <c r="AH316" s="1124"/>
      <c r="AI316" s="1124"/>
      <c r="AJ316" s="1124"/>
      <c r="AK316" s="1124"/>
      <c r="AL316" s="1124"/>
      <c r="AM316" s="1124"/>
      <c r="AN316" s="1124"/>
      <c r="AO316" s="1124"/>
      <c r="AQ316" s="934"/>
    </row>
    <row r="317" spans="1:43" s="4" customFormat="1" ht="15" customHeight="1">
      <c r="A317" s="1031"/>
      <c r="B317" s="1069"/>
      <c r="C317" s="1012"/>
      <c r="D317" s="1033"/>
      <c r="E317" s="1033"/>
      <c r="F317" s="1033"/>
      <c r="G317" s="1033"/>
      <c r="H317" s="1033"/>
      <c r="I317" s="1033"/>
      <c r="J317" s="1033"/>
      <c r="K317" s="1033"/>
      <c r="L317" s="1033"/>
      <c r="M317" s="1010"/>
      <c r="N317" s="1066"/>
      <c r="O317" s="1101"/>
      <c r="P317" s="1102"/>
      <c r="Q317" s="1101"/>
      <c r="R317" s="1134"/>
      <c r="S317" s="116"/>
      <c r="T317" s="117"/>
      <c r="U317" s="117"/>
      <c r="V317" s="1102">
        <f t="shared" si="24"/>
        <v>0</v>
      </c>
      <c r="W317" s="1101"/>
      <c r="X317" s="1033"/>
      <c r="Y317" s="108" t="s">
        <v>2076</v>
      </c>
      <c r="Z317" s="103"/>
      <c r="AA317" s="103"/>
      <c r="AB317" s="103"/>
      <c r="AC317" s="97">
        <v>41467</v>
      </c>
      <c r="AD317" s="83">
        <v>1094400</v>
      </c>
      <c r="AE317" s="1066"/>
      <c r="AF317" s="1024"/>
      <c r="AG317" s="1124"/>
      <c r="AH317" s="1124"/>
      <c r="AI317" s="1124"/>
      <c r="AJ317" s="1124"/>
      <c r="AK317" s="1124"/>
      <c r="AL317" s="1124"/>
      <c r="AM317" s="1124"/>
      <c r="AN317" s="1124"/>
      <c r="AO317" s="1124"/>
      <c r="AQ317" s="934"/>
    </row>
    <row r="318" spans="1:43" s="4" customFormat="1" ht="15" customHeight="1">
      <c r="A318" s="1031"/>
      <c r="B318" s="1069"/>
      <c r="C318" s="1011" t="s">
        <v>18</v>
      </c>
      <c r="D318" s="1033"/>
      <c r="E318" s="1033"/>
      <c r="F318" s="1033"/>
      <c r="G318" s="1033"/>
      <c r="H318" s="1033"/>
      <c r="I318" s="1033"/>
      <c r="J318" s="1033"/>
      <c r="K318" s="1033"/>
      <c r="L318" s="1033"/>
      <c r="M318" s="1009">
        <v>80</v>
      </c>
      <c r="N318" s="1065" t="s">
        <v>137</v>
      </c>
      <c r="O318" s="1100">
        <v>1200000</v>
      </c>
      <c r="P318" s="1100">
        <f>SUM(O318:O321)</f>
        <v>3000000</v>
      </c>
      <c r="Q318" s="1101"/>
      <c r="R318" s="1132">
        <v>40413</v>
      </c>
      <c r="S318" s="116"/>
      <c r="T318" s="117"/>
      <c r="U318" s="117"/>
      <c r="V318" s="1100">
        <f t="shared" si="24"/>
        <v>1200000</v>
      </c>
      <c r="W318" s="1101"/>
      <c r="X318" s="1033"/>
      <c r="Y318" s="108" t="s">
        <v>2071</v>
      </c>
      <c r="Z318" s="103"/>
      <c r="AA318" s="103"/>
      <c r="AB318" s="103"/>
      <c r="AC318" s="97">
        <v>40444</v>
      </c>
      <c r="AD318" s="83">
        <v>1200000</v>
      </c>
      <c r="AE318" s="1065" t="s">
        <v>137</v>
      </c>
      <c r="AF318" s="1023">
        <f>SUM(AD318:AD319)</f>
        <v>1848000</v>
      </c>
      <c r="AG318" s="1124"/>
      <c r="AH318" s="1124"/>
      <c r="AI318" s="1124"/>
      <c r="AJ318" s="1124"/>
      <c r="AK318" s="1124"/>
      <c r="AL318" s="1124"/>
      <c r="AM318" s="1124"/>
      <c r="AN318" s="1124"/>
      <c r="AO318" s="1124"/>
      <c r="AQ318" s="934"/>
    </row>
    <row r="319" spans="1:43" s="4" customFormat="1" ht="15" customHeight="1">
      <c r="A319" s="1031"/>
      <c r="B319" s="1069"/>
      <c r="C319" s="1033"/>
      <c r="D319" s="1033"/>
      <c r="E319" s="1033"/>
      <c r="F319" s="1033"/>
      <c r="G319" s="1033"/>
      <c r="H319" s="1033"/>
      <c r="I319" s="1033"/>
      <c r="J319" s="1033"/>
      <c r="K319" s="1033"/>
      <c r="L319" s="1033"/>
      <c r="M319" s="1039"/>
      <c r="N319" s="1066"/>
      <c r="O319" s="1101"/>
      <c r="P319" s="1101"/>
      <c r="Q319" s="1101"/>
      <c r="R319" s="1133"/>
      <c r="S319" s="116"/>
      <c r="T319" s="117"/>
      <c r="U319" s="117"/>
      <c r="V319" s="1102">
        <f t="shared" si="24"/>
        <v>0</v>
      </c>
      <c r="W319" s="1101"/>
      <c r="X319" s="1033"/>
      <c r="Y319" s="108" t="s">
        <v>2077</v>
      </c>
      <c r="Z319" s="103"/>
      <c r="AA319" s="103"/>
      <c r="AB319" s="103"/>
      <c r="AC319" s="97">
        <v>41292</v>
      </c>
      <c r="AD319" s="83">
        <v>648000</v>
      </c>
      <c r="AE319" s="1066"/>
      <c r="AF319" s="1024"/>
      <c r="AG319" s="1124"/>
      <c r="AH319" s="1124"/>
      <c r="AI319" s="1124"/>
      <c r="AJ319" s="1124"/>
      <c r="AK319" s="1124"/>
      <c r="AL319" s="1124"/>
      <c r="AM319" s="1124"/>
      <c r="AN319" s="1124"/>
      <c r="AO319" s="1124"/>
      <c r="AQ319" s="934"/>
    </row>
    <row r="320" spans="1:43" s="4" customFormat="1" ht="15" customHeight="1">
      <c r="A320" s="1031"/>
      <c r="B320" s="1069"/>
      <c r="C320" s="1033"/>
      <c r="D320" s="1033"/>
      <c r="E320" s="1033"/>
      <c r="F320" s="1033"/>
      <c r="G320" s="1033"/>
      <c r="H320" s="1033"/>
      <c r="I320" s="1033"/>
      <c r="J320" s="1033"/>
      <c r="K320" s="1033"/>
      <c r="L320" s="1033"/>
      <c r="M320" s="1039"/>
      <c r="N320" s="1065" t="s">
        <v>7</v>
      </c>
      <c r="O320" s="1100">
        <v>1800000</v>
      </c>
      <c r="P320" s="1101"/>
      <c r="Q320" s="1101"/>
      <c r="R320" s="1133"/>
      <c r="S320" s="116"/>
      <c r="T320" s="117"/>
      <c r="U320" s="117"/>
      <c r="V320" s="1100">
        <f t="shared" si="24"/>
        <v>1800000</v>
      </c>
      <c r="W320" s="1101"/>
      <c r="X320" s="1033"/>
      <c r="Y320" s="108" t="s">
        <v>2078</v>
      </c>
      <c r="Z320" s="103"/>
      <c r="AA320" s="103"/>
      <c r="AB320" s="103"/>
      <c r="AC320" s="97">
        <v>41292</v>
      </c>
      <c r="AD320" s="83">
        <v>972000</v>
      </c>
      <c r="AE320" s="1065" t="s">
        <v>7</v>
      </c>
      <c r="AF320" s="1023">
        <f>SUM(AD320:AD321)</f>
        <v>972000</v>
      </c>
      <c r="AG320" s="1124"/>
      <c r="AH320" s="1124"/>
      <c r="AI320" s="1124"/>
      <c r="AJ320" s="1124"/>
      <c r="AK320" s="1124"/>
      <c r="AL320" s="1124"/>
      <c r="AM320" s="1124"/>
      <c r="AN320" s="1124"/>
      <c r="AO320" s="1124"/>
      <c r="AQ320" s="934"/>
    </row>
    <row r="321" spans="1:46" s="4" customFormat="1" ht="15" customHeight="1">
      <c r="A321" s="1031"/>
      <c r="B321" s="1069"/>
      <c r="C321" s="1012"/>
      <c r="D321" s="1033"/>
      <c r="E321" s="1033"/>
      <c r="F321" s="1033"/>
      <c r="G321" s="1033"/>
      <c r="H321" s="1033"/>
      <c r="I321" s="1033"/>
      <c r="J321" s="1033"/>
      <c r="K321" s="1033"/>
      <c r="L321" s="1033"/>
      <c r="M321" s="1010"/>
      <c r="N321" s="1066"/>
      <c r="O321" s="1101"/>
      <c r="P321" s="1102"/>
      <c r="Q321" s="1101"/>
      <c r="R321" s="1134"/>
      <c r="S321" s="116"/>
      <c r="T321" s="117"/>
      <c r="U321" s="117"/>
      <c r="V321" s="1102">
        <f t="shared" si="24"/>
        <v>0</v>
      </c>
      <c r="W321" s="1101"/>
      <c r="X321" s="1033"/>
      <c r="Y321" s="108"/>
      <c r="Z321" s="103"/>
      <c r="AA321" s="103"/>
      <c r="AB321" s="103"/>
      <c r="AC321" s="97"/>
      <c r="AD321" s="83"/>
      <c r="AE321" s="1066"/>
      <c r="AF321" s="1024"/>
      <c r="AG321" s="1124"/>
      <c r="AH321" s="1124"/>
      <c r="AI321" s="1124"/>
      <c r="AJ321" s="1124"/>
      <c r="AK321" s="1124"/>
      <c r="AL321" s="1124"/>
      <c r="AM321" s="1124"/>
      <c r="AN321" s="1124"/>
      <c r="AO321" s="1124"/>
      <c r="AQ321" s="934"/>
    </row>
    <row r="322" spans="1:46" s="4" customFormat="1" ht="15" customHeight="1">
      <c r="A322" s="1031"/>
      <c r="B322" s="1069"/>
      <c r="C322" s="1011" t="s">
        <v>36</v>
      </c>
      <c r="D322" s="1033"/>
      <c r="E322" s="1033"/>
      <c r="F322" s="1033"/>
      <c r="G322" s="1033"/>
      <c r="H322" s="1033"/>
      <c r="I322" s="1033"/>
      <c r="J322" s="1033"/>
      <c r="K322" s="1033"/>
      <c r="L322" s="1033"/>
      <c r="M322" s="1009">
        <v>83</v>
      </c>
      <c r="N322" s="1065" t="s">
        <v>137</v>
      </c>
      <c r="O322" s="1100">
        <v>1216000</v>
      </c>
      <c r="P322" s="1100">
        <f>SUM(O322:O325)</f>
        <v>3040000</v>
      </c>
      <c r="Q322" s="1101"/>
      <c r="R322" s="1132">
        <v>40413</v>
      </c>
      <c r="S322" s="116"/>
      <c r="T322" s="117"/>
      <c r="U322" s="117"/>
      <c r="V322" s="1100">
        <f t="shared" si="24"/>
        <v>1216000</v>
      </c>
      <c r="W322" s="1101"/>
      <c r="X322" s="1033"/>
      <c r="Y322" s="108" t="s">
        <v>2071</v>
      </c>
      <c r="Z322" s="103"/>
      <c r="AA322" s="103"/>
      <c r="AB322" s="103"/>
      <c r="AC322" s="97">
        <v>40444</v>
      </c>
      <c r="AD322" s="83">
        <v>1216000</v>
      </c>
      <c r="AE322" s="1065" t="s">
        <v>137</v>
      </c>
      <c r="AF322" s="1023">
        <f>SUM(AD322:AD323)</f>
        <v>1945600</v>
      </c>
      <c r="AG322" s="1124"/>
      <c r="AH322" s="1124"/>
      <c r="AI322" s="1124"/>
      <c r="AJ322" s="1124"/>
      <c r="AK322" s="1124"/>
      <c r="AL322" s="1124"/>
      <c r="AM322" s="1124"/>
      <c r="AN322" s="1124"/>
      <c r="AO322" s="1124"/>
      <c r="AQ322" s="934"/>
    </row>
    <row r="323" spans="1:46" s="4" customFormat="1" ht="15" customHeight="1">
      <c r="A323" s="1031"/>
      <c r="B323" s="1069"/>
      <c r="C323" s="1033"/>
      <c r="D323" s="1033"/>
      <c r="E323" s="1033"/>
      <c r="F323" s="1033"/>
      <c r="G323" s="1033"/>
      <c r="H323" s="1033"/>
      <c r="I323" s="1033"/>
      <c r="J323" s="1033"/>
      <c r="K323" s="1033"/>
      <c r="L323" s="1033"/>
      <c r="M323" s="1039"/>
      <c r="N323" s="1066"/>
      <c r="O323" s="1101"/>
      <c r="P323" s="1101"/>
      <c r="Q323" s="1101"/>
      <c r="R323" s="1133"/>
      <c r="S323" s="116"/>
      <c r="T323" s="117"/>
      <c r="U323" s="117"/>
      <c r="V323" s="1102">
        <f t="shared" si="24"/>
        <v>0</v>
      </c>
      <c r="W323" s="1101"/>
      <c r="X323" s="1033"/>
      <c r="Y323" s="108" t="s">
        <v>2072</v>
      </c>
      <c r="Z323" s="103"/>
      <c r="AA323" s="103"/>
      <c r="AB323" s="103"/>
      <c r="AC323" s="97">
        <v>41290</v>
      </c>
      <c r="AD323" s="83">
        <v>729600</v>
      </c>
      <c r="AE323" s="1066"/>
      <c r="AF323" s="1024"/>
      <c r="AG323" s="1124"/>
      <c r="AH323" s="1124"/>
      <c r="AI323" s="1124"/>
      <c r="AJ323" s="1124"/>
      <c r="AK323" s="1124"/>
      <c r="AL323" s="1124"/>
      <c r="AM323" s="1124"/>
      <c r="AN323" s="1124"/>
      <c r="AO323" s="1124"/>
      <c r="AQ323" s="934"/>
    </row>
    <row r="324" spans="1:46" s="4" customFormat="1" ht="15" customHeight="1">
      <c r="A324" s="1031"/>
      <c r="B324" s="1069"/>
      <c r="C324" s="1033"/>
      <c r="D324" s="1033"/>
      <c r="E324" s="1033"/>
      <c r="F324" s="1033"/>
      <c r="G324" s="1033"/>
      <c r="H324" s="1033"/>
      <c r="I324" s="1033"/>
      <c r="J324" s="1033"/>
      <c r="K324" s="1033"/>
      <c r="L324" s="1033"/>
      <c r="M324" s="1039"/>
      <c r="N324" s="1065" t="s">
        <v>7</v>
      </c>
      <c r="O324" s="1100">
        <v>1824000</v>
      </c>
      <c r="P324" s="1101"/>
      <c r="Q324" s="1101"/>
      <c r="R324" s="1133"/>
      <c r="S324" s="116"/>
      <c r="T324" s="117"/>
      <c r="U324" s="117"/>
      <c r="V324" s="1100">
        <f t="shared" si="24"/>
        <v>1824000</v>
      </c>
      <c r="W324" s="1101"/>
      <c r="X324" s="1033"/>
      <c r="Y324" s="108" t="s">
        <v>2072</v>
      </c>
      <c r="Z324" s="103"/>
      <c r="AA324" s="103"/>
      <c r="AB324" s="103"/>
      <c r="AC324" s="97">
        <v>41290</v>
      </c>
      <c r="AD324" s="83">
        <v>912000</v>
      </c>
      <c r="AE324" s="1065" t="s">
        <v>7</v>
      </c>
      <c r="AF324" s="1023">
        <f>SUM(AD324:AD325)</f>
        <v>912000</v>
      </c>
      <c r="AG324" s="1124"/>
      <c r="AH324" s="1124"/>
      <c r="AI324" s="1124"/>
      <c r="AJ324" s="1124"/>
      <c r="AK324" s="1124"/>
      <c r="AL324" s="1124"/>
      <c r="AM324" s="1124"/>
      <c r="AN324" s="1124"/>
      <c r="AO324" s="1124"/>
      <c r="AQ324" s="934"/>
    </row>
    <row r="325" spans="1:46" s="4" customFormat="1" ht="15" customHeight="1">
      <c r="A325" s="1031"/>
      <c r="B325" s="1069"/>
      <c r="C325" s="1033"/>
      <c r="D325" s="1033"/>
      <c r="E325" s="1033"/>
      <c r="F325" s="1033"/>
      <c r="G325" s="1033"/>
      <c r="H325" s="1033"/>
      <c r="I325" s="1033"/>
      <c r="J325" s="1033"/>
      <c r="K325" s="1033"/>
      <c r="L325" s="1033"/>
      <c r="M325" s="1010"/>
      <c r="N325" s="1066"/>
      <c r="O325" s="1101"/>
      <c r="P325" s="1102"/>
      <c r="Q325" s="1101"/>
      <c r="R325" s="1134"/>
      <c r="S325" s="116"/>
      <c r="T325" s="117"/>
      <c r="U325" s="117"/>
      <c r="V325" s="1102">
        <f t="shared" si="24"/>
        <v>0</v>
      </c>
      <c r="W325" s="1101"/>
      <c r="X325" s="1033"/>
      <c r="Y325" s="108"/>
      <c r="Z325" s="103"/>
      <c r="AA325" s="103"/>
      <c r="AB325" s="103"/>
      <c r="AC325" s="97"/>
      <c r="AD325" s="83"/>
      <c r="AE325" s="1066"/>
      <c r="AF325" s="1024"/>
      <c r="AG325" s="1124"/>
      <c r="AH325" s="1124"/>
      <c r="AI325" s="1124"/>
      <c r="AJ325" s="1124"/>
      <c r="AK325" s="1124"/>
      <c r="AL325" s="1124"/>
      <c r="AM325" s="1124"/>
      <c r="AN325" s="1124"/>
      <c r="AO325" s="1124"/>
      <c r="AQ325" s="934"/>
    </row>
    <row r="326" spans="1:46" s="4" customFormat="1" ht="15" customHeight="1">
      <c r="A326" s="1031"/>
      <c r="B326" s="1069"/>
      <c r="C326" s="1033"/>
      <c r="D326" s="1033"/>
      <c r="E326" s="1033"/>
      <c r="F326" s="1033"/>
      <c r="G326" s="1033"/>
      <c r="H326" s="1033"/>
      <c r="I326" s="1033"/>
      <c r="J326" s="1012"/>
      <c r="K326" s="1033"/>
      <c r="L326" s="1033"/>
      <c r="M326" s="99">
        <v>174</v>
      </c>
      <c r="N326" s="100" t="s">
        <v>7</v>
      </c>
      <c r="O326" s="117">
        <v>2000000</v>
      </c>
      <c r="P326" s="101">
        <f>O326</f>
        <v>2000000</v>
      </c>
      <c r="Q326" s="1101"/>
      <c r="R326" s="101">
        <f>O326</f>
        <v>2000000</v>
      </c>
      <c r="S326" s="116"/>
      <c r="T326" s="117"/>
      <c r="U326" s="117"/>
      <c r="V326" s="101"/>
      <c r="W326" s="1101"/>
      <c r="X326" s="1033"/>
      <c r="Y326" s="173" t="s">
        <v>115</v>
      </c>
      <c r="Z326" s="103"/>
      <c r="AA326" s="103"/>
      <c r="AB326" s="103"/>
      <c r="AC326" s="97">
        <v>41467</v>
      </c>
      <c r="AD326" s="83">
        <v>1617600</v>
      </c>
      <c r="AE326" s="100" t="s">
        <v>7</v>
      </c>
      <c r="AF326" s="96">
        <f>SUM(AD326)</f>
        <v>1617600</v>
      </c>
      <c r="AG326" s="1124"/>
      <c r="AH326" s="1124"/>
      <c r="AI326" s="1124"/>
      <c r="AJ326" s="1124"/>
      <c r="AK326" s="1124"/>
      <c r="AL326" s="1124"/>
      <c r="AM326" s="1124"/>
      <c r="AN326" s="1124"/>
      <c r="AO326" s="1124"/>
      <c r="AP326" s="174"/>
      <c r="AQ326" s="934"/>
      <c r="AR326" s="173"/>
      <c r="AS326" s="175"/>
      <c r="AT326" s="176"/>
    </row>
    <row r="327" spans="1:46" s="4" customFormat="1" ht="15" customHeight="1">
      <c r="A327" s="1031"/>
      <c r="B327" s="1069"/>
      <c r="C327" s="1033"/>
      <c r="D327" s="1033"/>
      <c r="E327" s="1033"/>
      <c r="F327" s="1033"/>
      <c r="G327" s="1033"/>
      <c r="H327" s="1033"/>
      <c r="I327" s="1033"/>
      <c r="J327" s="1011" t="s">
        <v>67</v>
      </c>
      <c r="K327" s="1033"/>
      <c r="L327" s="1033"/>
      <c r="M327" s="1009">
        <v>199</v>
      </c>
      <c r="N327" s="1065" t="s">
        <v>7</v>
      </c>
      <c r="O327" s="1100">
        <v>1763200</v>
      </c>
      <c r="P327" s="1100">
        <f>O327</f>
        <v>1763200</v>
      </c>
      <c r="Q327" s="1101"/>
      <c r="R327" s="1132">
        <v>40779</v>
      </c>
      <c r="S327" s="116"/>
      <c r="T327" s="117"/>
      <c r="U327" s="117"/>
      <c r="V327" s="1100">
        <f>O327</f>
        <v>1763200</v>
      </c>
      <c r="W327" s="1101"/>
      <c r="X327" s="1033"/>
      <c r="Y327" s="108" t="s">
        <v>2072</v>
      </c>
      <c r="Z327" s="103"/>
      <c r="AA327" s="103"/>
      <c r="AB327" s="103"/>
      <c r="AC327" s="97">
        <v>41290</v>
      </c>
      <c r="AD327" s="83">
        <v>1586880</v>
      </c>
      <c r="AE327" s="1065" t="s">
        <v>7</v>
      </c>
      <c r="AF327" s="1023">
        <f>SUM(AD327:AD328)</f>
        <v>1586880</v>
      </c>
      <c r="AG327" s="1124"/>
      <c r="AH327" s="1124"/>
      <c r="AI327" s="1124"/>
      <c r="AJ327" s="1124"/>
      <c r="AK327" s="1124"/>
      <c r="AL327" s="1124"/>
      <c r="AM327" s="1124"/>
      <c r="AN327" s="1124"/>
      <c r="AO327" s="1124"/>
      <c r="AQ327" s="934"/>
    </row>
    <row r="328" spans="1:46" s="4" customFormat="1" ht="15" customHeight="1">
      <c r="A328" s="1031"/>
      <c r="B328" s="1069"/>
      <c r="C328" s="1033"/>
      <c r="D328" s="1033"/>
      <c r="E328" s="1033"/>
      <c r="F328" s="1033"/>
      <c r="G328" s="1033"/>
      <c r="H328" s="1033"/>
      <c r="I328" s="1033"/>
      <c r="J328" s="1033"/>
      <c r="K328" s="1033"/>
      <c r="L328" s="1033"/>
      <c r="M328" s="1010"/>
      <c r="N328" s="1066"/>
      <c r="O328" s="1101"/>
      <c r="P328" s="1102"/>
      <c r="Q328" s="1101"/>
      <c r="R328" s="1133"/>
      <c r="S328" s="116"/>
      <c r="T328" s="117"/>
      <c r="U328" s="117"/>
      <c r="V328" s="1102">
        <f>O328</f>
        <v>0</v>
      </c>
      <c r="W328" s="1101"/>
      <c r="X328" s="1033"/>
      <c r="Y328" s="108"/>
      <c r="Z328" s="103"/>
      <c r="AA328" s="103"/>
      <c r="AB328" s="103"/>
      <c r="AC328" s="97"/>
      <c r="AD328" s="83"/>
      <c r="AE328" s="1066"/>
      <c r="AF328" s="1024"/>
      <c r="AG328" s="1124"/>
      <c r="AH328" s="1124"/>
      <c r="AI328" s="1124"/>
      <c r="AJ328" s="1124"/>
      <c r="AK328" s="1124"/>
      <c r="AL328" s="1124"/>
      <c r="AM328" s="1124"/>
      <c r="AN328" s="1124"/>
      <c r="AO328" s="1124"/>
      <c r="AQ328" s="934"/>
    </row>
    <row r="329" spans="1:46" s="4" customFormat="1" ht="15" customHeight="1">
      <c r="A329" s="1031"/>
      <c r="B329" s="1069"/>
      <c r="C329" s="1033"/>
      <c r="D329" s="1033"/>
      <c r="E329" s="1033"/>
      <c r="F329" s="1033"/>
      <c r="G329" s="1033"/>
      <c r="H329" s="1033"/>
      <c r="I329" s="1033"/>
      <c r="J329" s="1033"/>
      <c r="K329" s="1033"/>
      <c r="L329" s="1033"/>
      <c r="M329" s="1009">
        <v>198</v>
      </c>
      <c r="N329" s="1065" t="s">
        <v>7</v>
      </c>
      <c r="O329" s="1100">
        <v>1763200</v>
      </c>
      <c r="P329" s="1100">
        <f>O329</f>
        <v>1763200</v>
      </c>
      <c r="Q329" s="1101"/>
      <c r="R329" s="1132">
        <v>40779</v>
      </c>
      <c r="S329" s="116"/>
      <c r="T329" s="117"/>
      <c r="U329" s="117"/>
      <c r="V329" s="1100">
        <f>O329</f>
        <v>1763200</v>
      </c>
      <c r="W329" s="1101"/>
      <c r="X329" s="1033"/>
      <c r="Y329" s="108" t="s">
        <v>2072</v>
      </c>
      <c r="Z329" s="103"/>
      <c r="AA329" s="103"/>
      <c r="AB329" s="103"/>
      <c r="AC329" s="97">
        <v>41290</v>
      </c>
      <c r="AD329" s="83">
        <v>1586880</v>
      </c>
      <c r="AE329" s="1065" t="s">
        <v>7</v>
      </c>
      <c r="AF329" s="1023">
        <f>SUM(AD329:AD330)</f>
        <v>1586880</v>
      </c>
      <c r="AG329" s="1124"/>
      <c r="AH329" s="1124"/>
      <c r="AI329" s="1124"/>
      <c r="AJ329" s="1124"/>
      <c r="AK329" s="1124"/>
      <c r="AL329" s="1124"/>
      <c r="AM329" s="1124"/>
      <c r="AN329" s="1124"/>
      <c r="AO329" s="1124"/>
      <c r="AQ329" s="934"/>
    </row>
    <row r="330" spans="1:46" s="4" customFormat="1" ht="15" customHeight="1">
      <c r="A330" s="1032"/>
      <c r="B330" s="1070"/>
      <c r="C330" s="1012"/>
      <c r="D330" s="1012"/>
      <c r="E330" s="1012"/>
      <c r="F330" s="1012"/>
      <c r="G330" s="1012"/>
      <c r="H330" s="1012"/>
      <c r="I330" s="1012"/>
      <c r="J330" s="1012"/>
      <c r="K330" s="1012"/>
      <c r="L330" s="1012"/>
      <c r="M330" s="1010"/>
      <c r="N330" s="1066"/>
      <c r="O330" s="1101"/>
      <c r="P330" s="1102"/>
      <c r="Q330" s="1102"/>
      <c r="R330" s="1133"/>
      <c r="S330" s="116"/>
      <c r="T330" s="117"/>
      <c r="U330" s="117"/>
      <c r="V330" s="1102">
        <f>O330</f>
        <v>0</v>
      </c>
      <c r="W330" s="1102"/>
      <c r="X330" s="1012"/>
      <c r="Y330" s="108"/>
      <c r="Z330" s="103"/>
      <c r="AA330" s="103"/>
      <c r="AB330" s="103"/>
      <c r="AC330" s="97"/>
      <c r="AD330" s="83"/>
      <c r="AE330" s="1066"/>
      <c r="AF330" s="1024"/>
      <c r="AG330" s="1024"/>
      <c r="AH330" s="1024"/>
      <c r="AI330" s="1024"/>
      <c r="AJ330" s="1024"/>
      <c r="AK330" s="1024"/>
      <c r="AL330" s="1024"/>
      <c r="AM330" s="1024"/>
      <c r="AN330" s="1024"/>
      <c r="AO330" s="1024"/>
      <c r="AQ330" s="934"/>
    </row>
    <row r="331" spans="1:46" s="4" customFormat="1" ht="15" customHeight="1">
      <c r="A331" s="1214" t="s">
        <v>422</v>
      </c>
      <c r="B331" s="1171">
        <v>40333</v>
      </c>
      <c r="C331" s="1076" t="s">
        <v>37</v>
      </c>
      <c r="D331" s="1076" t="s">
        <v>423</v>
      </c>
      <c r="E331" s="1252">
        <v>10521167</v>
      </c>
      <c r="F331" s="1252"/>
      <c r="G331" s="1076" t="s">
        <v>2825</v>
      </c>
      <c r="H331" s="1076" t="s">
        <v>70</v>
      </c>
      <c r="I331" s="1076" t="s">
        <v>177</v>
      </c>
      <c r="J331" s="1076" t="s">
        <v>66</v>
      </c>
      <c r="K331" s="1076" t="s">
        <v>183</v>
      </c>
      <c r="L331" s="1076" t="s">
        <v>425</v>
      </c>
      <c r="M331" s="1245">
        <v>81</v>
      </c>
      <c r="N331" s="1282" t="s">
        <v>137</v>
      </c>
      <c r="O331" s="1119">
        <v>7692307.5999999996</v>
      </c>
      <c r="P331" s="1119">
        <f>O331+O334</f>
        <v>19230769</v>
      </c>
      <c r="Q331" s="1119">
        <f>P331+P337</f>
        <v>22822129</v>
      </c>
      <c r="R331" s="1171">
        <v>40413</v>
      </c>
      <c r="S331" s="1196">
        <f>T331+T334</f>
        <v>19000000</v>
      </c>
      <c r="T331" s="1196">
        <v>7599999.5999999996</v>
      </c>
      <c r="U331" s="1119">
        <f>O331-T331</f>
        <v>92308</v>
      </c>
      <c r="V331" s="1119">
        <v>7599999.5999999996</v>
      </c>
      <c r="W331" s="1119">
        <f>V331+V334+V337</f>
        <v>22591360</v>
      </c>
      <c r="X331" s="1076" t="s">
        <v>282</v>
      </c>
      <c r="Y331" s="1123" t="s">
        <v>426</v>
      </c>
      <c r="Z331" s="109">
        <v>0</v>
      </c>
      <c r="AA331" s="109">
        <v>5092000</v>
      </c>
      <c r="AB331" s="109">
        <f t="shared" ref="AB331:AB337" si="25">Z331+AA331</f>
        <v>5092000</v>
      </c>
      <c r="AC331" s="1171">
        <v>40448</v>
      </c>
      <c r="AD331" s="119">
        <v>5092000</v>
      </c>
      <c r="AE331" s="119" t="s">
        <v>137</v>
      </c>
      <c r="AF331" s="1084">
        <f>SUM(AD331:AD336)</f>
        <v>19000000</v>
      </c>
      <c r="AG331" s="1084">
        <f>AF331+AF337</f>
        <v>22591360</v>
      </c>
      <c r="AH331" s="111">
        <f t="shared" ref="AH331:AH337" si="26">AB331-AD331</f>
        <v>0</v>
      </c>
      <c r="AI331" s="1084">
        <f>T331-AD331-AD334-AD336</f>
        <v>-2052000.4000000004</v>
      </c>
      <c r="AJ331" s="1119">
        <f>SUM(Z331:Z336)-SUM(AD331:AD336)</f>
        <v>0</v>
      </c>
      <c r="AK331" s="1119">
        <f>S331-V331-V334</f>
        <v>0</v>
      </c>
      <c r="AL331" s="1119">
        <f>SUM(V331:V336)-SUM(Z331:Z336)</f>
        <v>0</v>
      </c>
      <c r="AM331" s="1119">
        <f>AK331+AL331</f>
        <v>0</v>
      </c>
      <c r="AN331" s="1203" t="s">
        <v>430</v>
      </c>
      <c r="AO331" s="1204" t="s">
        <v>785</v>
      </c>
      <c r="AQ331" s="934"/>
    </row>
    <row r="332" spans="1:46" s="4" customFormat="1" ht="15" customHeight="1">
      <c r="A332" s="1214"/>
      <c r="B332" s="1171"/>
      <c r="C332" s="1076"/>
      <c r="D332" s="1076"/>
      <c r="E332" s="1252"/>
      <c r="F332" s="1252"/>
      <c r="G332" s="1076"/>
      <c r="H332" s="1076"/>
      <c r="I332" s="1076"/>
      <c r="J332" s="1076"/>
      <c r="K332" s="1076"/>
      <c r="L332" s="1076"/>
      <c r="M332" s="1245"/>
      <c r="N332" s="1282"/>
      <c r="O332" s="1119"/>
      <c r="P332" s="1119"/>
      <c r="Q332" s="1119"/>
      <c r="R332" s="1171"/>
      <c r="S332" s="1196"/>
      <c r="T332" s="1196"/>
      <c r="U332" s="1119"/>
      <c r="V332" s="1119"/>
      <c r="W332" s="1119"/>
      <c r="X332" s="1076"/>
      <c r="Y332" s="1123"/>
      <c r="Z332" s="109">
        <v>0</v>
      </c>
      <c r="AA332" s="109">
        <v>2508000</v>
      </c>
      <c r="AB332" s="109">
        <f t="shared" si="25"/>
        <v>2508000</v>
      </c>
      <c r="AC332" s="1171"/>
      <c r="AD332" s="119">
        <v>2508000</v>
      </c>
      <c r="AE332" s="119" t="s">
        <v>7</v>
      </c>
      <c r="AF332" s="1084"/>
      <c r="AG332" s="1084"/>
      <c r="AH332" s="111">
        <f t="shared" si="26"/>
        <v>0</v>
      </c>
      <c r="AI332" s="1084"/>
      <c r="AJ332" s="1119"/>
      <c r="AK332" s="1119"/>
      <c r="AL332" s="1119"/>
      <c r="AM332" s="1119"/>
      <c r="AN332" s="1203"/>
      <c r="AO332" s="1204"/>
      <c r="AQ332" s="934"/>
    </row>
    <row r="333" spans="1:46" s="4" customFormat="1" ht="15" customHeight="1">
      <c r="A333" s="1214"/>
      <c r="B333" s="1171"/>
      <c r="C333" s="1076"/>
      <c r="D333" s="1076"/>
      <c r="E333" s="1252"/>
      <c r="F333" s="1252"/>
      <c r="G333" s="1076"/>
      <c r="H333" s="1076"/>
      <c r="I333" s="1076"/>
      <c r="J333" s="1076"/>
      <c r="K333" s="1076"/>
      <c r="L333" s="1076"/>
      <c r="M333" s="1245"/>
      <c r="N333" s="1282"/>
      <c r="O333" s="1119"/>
      <c r="P333" s="1119"/>
      <c r="Q333" s="1119"/>
      <c r="R333" s="1171"/>
      <c r="S333" s="1196"/>
      <c r="T333" s="1196"/>
      <c r="U333" s="1119"/>
      <c r="V333" s="1119"/>
      <c r="W333" s="1119"/>
      <c r="X333" s="1076"/>
      <c r="Y333" s="1123" t="s">
        <v>427</v>
      </c>
      <c r="Z333" s="109">
        <v>10260000</v>
      </c>
      <c r="AA333" s="54">
        <v>-4104000</v>
      </c>
      <c r="AB333" s="109">
        <f t="shared" si="25"/>
        <v>6156000</v>
      </c>
      <c r="AC333" s="1171">
        <v>40863</v>
      </c>
      <c r="AD333" s="119">
        <v>6156000</v>
      </c>
      <c r="AE333" s="119" t="s">
        <v>7</v>
      </c>
      <c r="AF333" s="1084"/>
      <c r="AG333" s="1084"/>
      <c r="AH333" s="111">
        <f t="shared" si="26"/>
        <v>0</v>
      </c>
      <c r="AI333" s="1084"/>
      <c r="AJ333" s="1119"/>
      <c r="AK333" s="1119"/>
      <c r="AL333" s="1119"/>
      <c r="AM333" s="1119"/>
      <c r="AN333" s="1203"/>
      <c r="AO333" s="1204"/>
      <c r="AQ333" s="934"/>
    </row>
    <row r="334" spans="1:46" s="4" customFormat="1" ht="15" customHeight="1">
      <c r="A334" s="1214"/>
      <c r="B334" s="1171"/>
      <c r="C334" s="1076"/>
      <c r="D334" s="1076"/>
      <c r="E334" s="1252"/>
      <c r="F334" s="1252"/>
      <c r="G334" s="1076"/>
      <c r="H334" s="1076"/>
      <c r="I334" s="1076"/>
      <c r="J334" s="1076"/>
      <c r="K334" s="1076"/>
      <c r="L334" s="1076"/>
      <c r="M334" s="1245"/>
      <c r="N334" s="1282" t="s">
        <v>7</v>
      </c>
      <c r="O334" s="1119">
        <v>11538461.4</v>
      </c>
      <c r="P334" s="1119"/>
      <c r="Q334" s="1119"/>
      <c r="R334" s="1171"/>
      <c r="S334" s="1196"/>
      <c r="T334" s="1196">
        <v>11400000.4</v>
      </c>
      <c r="U334" s="1119">
        <f>O334-T334</f>
        <v>138461</v>
      </c>
      <c r="V334" s="1119">
        <v>11400000.4</v>
      </c>
      <c r="W334" s="1119"/>
      <c r="X334" s="1076"/>
      <c r="Y334" s="1123"/>
      <c r="Z334" s="109">
        <v>6840000</v>
      </c>
      <c r="AA334" s="54">
        <v>-2736000</v>
      </c>
      <c r="AB334" s="109">
        <f t="shared" si="25"/>
        <v>4104000</v>
      </c>
      <c r="AC334" s="1171"/>
      <c r="AD334" s="119">
        <v>4104000</v>
      </c>
      <c r="AE334" s="119" t="s">
        <v>137</v>
      </c>
      <c r="AF334" s="1084"/>
      <c r="AG334" s="1084"/>
      <c r="AH334" s="111">
        <f t="shared" si="26"/>
        <v>0</v>
      </c>
      <c r="AI334" s="1084">
        <f>V334-AD332-AD333-AD335</f>
        <v>2052000.4000000004</v>
      </c>
      <c r="AJ334" s="1119"/>
      <c r="AK334" s="1119"/>
      <c r="AL334" s="1119"/>
      <c r="AM334" s="1119"/>
      <c r="AN334" s="1203"/>
      <c r="AO334" s="1204"/>
      <c r="AQ334" s="934"/>
    </row>
    <row r="335" spans="1:46" s="4" customFormat="1" ht="15" customHeight="1">
      <c r="A335" s="1214"/>
      <c r="B335" s="1171"/>
      <c r="C335" s="1076"/>
      <c r="D335" s="1076"/>
      <c r="E335" s="1252"/>
      <c r="F335" s="1252"/>
      <c r="G335" s="1076"/>
      <c r="H335" s="1076"/>
      <c r="I335" s="1076"/>
      <c r="J335" s="1076"/>
      <c r="K335" s="1076"/>
      <c r="L335" s="1076"/>
      <c r="M335" s="1245"/>
      <c r="N335" s="1282"/>
      <c r="O335" s="1119"/>
      <c r="P335" s="1119"/>
      <c r="Q335" s="1119"/>
      <c r="R335" s="1171"/>
      <c r="S335" s="1196"/>
      <c r="T335" s="1196"/>
      <c r="U335" s="1119"/>
      <c r="V335" s="1119"/>
      <c r="W335" s="1119"/>
      <c r="X335" s="1076"/>
      <c r="Y335" s="1123" t="s">
        <v>428</v>
      </c>
      <c r="Z335" s="109">
        <f>1900000*60%</f>
        <v>1140000</v>
      </c>
      <c r="AA335" s="55">
        <v>-456000</v>
      </c>
      <c r="AB335" s="109">
        <f t="shared" si="25"/>
        <v>684000</v>
      </c>
      <c r="AC335" s="1171">
        <v>41569</v>
      </c>
      <c r="AD335" s="119">
        <v>684000</v>
      </c>
      <c r="AE335" s="119" t="s">
        <v>7</v>
      </c>
      <c r="AF335" s="1084"/>
      <c r="AG335" s="1084"/>
      <c r="AH335" s="111">
        <f t="shared" si="26"/>
        <v>0</v>
      </c>
      <c r="AI335" s="1084"/>
      <c r="AJ335" s="1119"/>
      <c r="AK335" s="1119"/>
      <c r="AL335" s="1119"/>
      <c r="AM335" s="1119"/>
      <c r="AN335" s="1203"/>
      <c r="AO335" s="1204"/>
      <c r="AQ335" s="934"/>
    </row>
    <row r="336" spans="1:46" s="4" customFormat="1" ht="15" customHeight="1">
      <c r="A336" s="1214"/>
      <c r="B336" s="1171"/>
      <c r="C336" s="1076"/>
      <c r="D336" s="1076"/>
      <c r="E336" s="1252"/>
      <c r="F336" s="1252"/>
      <c r="G336" s="1076"/>
      <c r="H336" s="1076"/>
      <c r="I336" s="1076"/>
      <c r="J336" s="1076"/>
      <c r="K336" s="1076"/>
      <c r="L336" s="1076"/>
      <c r="M336" s="1245"/>
      <c r="N336" s="1282"/>
      <c r="O336" s="1119"/>
      <c r="P336" s="1119"/>
      <c r="Q336" s="1119"/>
      <c r="R336" s="1171"/>
      <c r="S336" s="1196"/>
      <c r="T336" s="1196"/>
      <c r="U336" s="1119"/>
      <c r="V336" s="1119"/>
      <c r="W336" s="1119"/>
      <c r="X336" s="1076"/>
      <c r="Y336" s="1123"/>
      <c r="Z336" s="109">
        <f>1900000*40%</f>
        <v>760000</v>
      </c>
      <c r="AA336" s="55">
        <v>-304000</v>
      </c>
      <c r="AB336" s="109">
        <f t="shared" si="25"/>
        <v>456000</v>
      </c>
      <c r="AC336" s="1171"/>
      <c r="AD336" s="119">
        <v>456000</v>
      </c>
      <c r="AE336" s="119" t="s">
        <v>137</v>
      </c>
      <c r="AF336" s="1084"/>
      <c r="AG336" s="1084"/>
      <c r="AH336" s="111">
        <f t="shared" si="26"/>
        <v>0</v>
      </c>
      <c r="AI336" s="1084"/>
      <c r="AJ336" s="1119"/>
      <c r="AK336" s="1119"/>
      <c r="AL336" s="1119"/>
      <c r="AM336" s="1119"/>
      <c r="AN336" s="1203"/>
      <c r="AO336" s="1204"/>
      <c r="AQ336" s="934"/>
    </row>
    <row r="337" spans="1:43" s="4" customFormat="1" ht="15" customHeight="1">
      <c r="A337" s="1214"/>
      <c r="B337" s="1171"/>
      <c r="C337" s="1076"/>
      <c r="D337" s="1076"/>
      <c r="E337" s="1252"/>
      <c r="F337" s="1252"/>
      <c r="G337" s="1076"/>
      <c r="H337" s="1076"/>
      <c r="I337" s="1076"/>
      <c r="J337" s="113" t="s">
        <v>171</v>
      </c>
      <c r="K337" s="1076"/>
      <c r="L337" s="1076"/>
      <c r="M337" s="132">
        <v>174</v>
      </c>
      <c r="N337" s="135" t="s">
        <v>7</v>
      </c>
      <c r="O337" s="109">
        <v>3591360</v>
      </c>
      <c r="P337" s="109">
        <f>O337</f>
        <v>3591360</v>
      </c>
      <c r="Q337" s="1119"/>
      <c r="R337" s="97"/>
      <c r="S337" s="110">
        <v>3591360</v>
      </c>
      <c r="T337" s="109">
        <v>3591360</v>
      </c>
      <c r="U337" s="109">
        <f>S337-T337</f>
        <v>0</v>
      </c>
      <c r="V337" s="109">
        <v>3591360</v>
      </c>
      <c r="W337" s="1119"/>
      <c r="X337" s="1076"/>
      <c r="Y337" s="108" t="s">
        <v>429</v>
      </c>
      <c r="Z337" s="109">
        <v>3591360</v>
      </c>
      <c r="AA337" s="109">
        <v>0</v>
      </c>
      <c r="AB337" s="109">
        <f t="shared" si="25"/>
        <v>3591360</v>
      </c>
      <c r="AC337" s="97">
        <v>41569</v>
      </c>
      <c r="AD337" s="119">
        <v>3591360</v>
      </c>
      <c r="AE337" s="119" t="s">
        <v>7</v>
      </c>
      <c r="AF337" s="111">
        <f>AD337</f>
        <v>3591360</v>
      </c>
      <c r="AG337" s="1084"/>
      <c r="AH337" s="111">
        <f t="shared" si="26"/>
        <v>0</v>
      </c>
      <c r="AI337" s="111">
        <f>V337-AD337</f>
        <v>0</v>
      </c>
      <c r="AJ337" s="109">
        <f>Z337-AD337</f>
        <v>0</v>
      </c>
      <c r="AK337" s="109">
        <f>P337-V337</f>
        <v>0</v>
      </c>
      <c r="AL337" s="109">
        <f>V337-Z337</f>
        <v>0</v>
      </c>
      <c r="AM337" s="109">
        <f>AK337+AL337</f>
        <v>0</v>
      </c>
      <c r="AN337" s="1203"/>
      <c r="AO337" s="1204"/>
      <c r="AQ337" s="934"/>
    </row>
    <row r="338" spans="1:43" s="24" customFormat="1" ht="15" customHeight="1">
      <c r="A338" s="1214" t="s">
        <v>453</v>
      </c>
      <c r="B338" s="1171">
        <v>40372</v>
      </c>
      <c r="C338" s="1076" t="s">
        <v>22</v>
      </c>
      <c r="D338" s="1076" t="s">
        <v>455</v>
      </c>
      <c r="E338" s="1252" t="s">
        <v>456</v>
      </c>
      <c r="F338" s="1252" t="s">
        <v>457</v>
      </c>
      <c r="G338" s="1076" t="s">
        <v>2781</v>
      </c>
      <c r="H338" s="1076" t="s">
        <v>72</v>
      </c>
      <c r="I338" s="1076" t="s">
        <v>177</v>
      </c>
      <c r="J338" s="1076" t="s">
        <v>66</v>
      </c>
      <c r="K338" s="1076" t="s">
        <v>183</v>
      </c>
      <c r="L338" s="1076" t="s">
        <v>452</v>
      </c>
      <c r="M338" s="1245">
        <v>84</v>
      </c>
      <c r="N338" s="1282" t="s">
        <v>451</v>
      </c>
      <c r="O338" s="1119">
        <v>28664281.600000001</v>
      </c>
      <c r="P338" s="1119">
        <f>O338+O343</f>
        <v>71660704</v>
      </c>
      <c r="Q338" s="1119">
        <v>71660704</v>
      </c>
      <c r="R338" s="1171">
        <v>40413</v>
      </c>
      <c r="S338" s="1119">
        <v>71660704</v>
      </c>
      <c r="T338" s="1119">
        <v>28664282</v>
      </c>
      <c r="U338" s="1119">
        <f>P338-S338</f>
        <v>0</v>
      </c>
      <c r="V338" s="1119">
        <v>28663577.600000001</v>
      </c>
      <c r="W338" s="1119">
        <v>71660000</v>
      </c>
      <c r="X338" s="1203" t="s">
        <v>282</v>
      </c>
      <c r="Y338" s="1123" t="s">
        <v>458</v>
      </c>
      <c r="Z338" s="1119">
        <v>0</v>
      </c>
      <c r="AA338" s="109">
        <v>11465600</v>
      </c>
      <c r="AB338" s="109">
        <v>11465600</v>
      </c>
      <c r="AC338" s="1171">
        <v>40445</v>
      </c>
      <c r="AD338" s="134">
        <v>11465600</v>
      </c>
      <c r="AE338" s="109" t="s">
        <v>137</v>
      </c>
      <c r="AF338" s="1119">
        <v>71660000</v>
      </c>
      <c r="AG338" s="1119">
        <v>71660000</v>
      </c>
      <c r="AH338" s="1119">
        <v>0</v>
      </c>
      <c r="AI338" s="109">
        <v>-11179382.399999999</v>
      </c>
      <c r="AJ338" s="1119">
        <v>0</v>
      </c>
      <c r="AK338" s="109">
        <v>704</v>
      </c>
      <c r="AL338" s="1119">
        <v>0</v>
      </c>
      <c r="AM338" s="109">
        <v>704</v>
      </c>
      <c r="AN338" s="1203"/>
      <c r="AO338" s="1203" t="s">
        <v>791</v>
      </c>
      <c r="AQ338" s="934"/>
    </row>
    <row r="339" spans="1:43" s="24" customFormat="1" ht="15" customHeight="1">
      <c r="A339" s="1214"/>
      <c r="B339" s="1171"/>
      <c r="C339" s="1076"/>
      <c r="D339" s="1076"/>
      <c r="E339" s="1252"/>
      <c r="F339" s="1252"/>
      <c r="G339" s="1076"/>
      <c r="H339" s="1076"/>
      <c r="I339" s="1076"/>
      <c r="J339" s="1076"/>
      <c r="K339" s="1076"/>
      <c r="L339" s="1076"/>
      <c r="M339" s="1245"/>
      <c r="N339" s="1282"/>
      <c r="O339" s="1119"/>
      <c r="P339" s="1119"/>
      <c r="Q339" s="1119"/>
      <c r="R339" s="1171"/>
      <c r="S339" s="1119"/>
      <c r="T339" s="1119"/>
      <c r="U339" s="1119"/>
      <c r="V339" s="1119"/>
      <c r="W339" s="1119"/>
      <c r="X339" s="1203"/>
      <c r="Y339" s="1123"/>
      <c r="Z339" s="1119"/>
      <c r="AA339" s="109">
        <v>17198400</v>
      </c>
      <c r="AB339" s="109">
        <v>17198400</v>
      </c>
      <c r="AC339" s="1171"/>
      <c r="AD339" s="134">
        <v>17198400</v>
      </c>
      <c r="AE339" s="109" t="s">
        <v>7</v>
      </c>
      <c r="AF339" s="1119"/>
      <c r="AG339" s="1119"/>
      <c r="AH339" s="1119"/>
      <c r="AI339" s="1119">
        <v>11179382.399999999</v>
      </c>
      <c r="AJ339" s="1119"/>
      <c r="AK339" s="1119"/>
      <c r="AL339" s="1119"/>
      <c r="AM339" s="1119"/>
      <c r="AN339" s="1203"/>
      <c r="AO339" s="1203"/>
      <c r="AQ339" s="934"/>
    </row>
    <row r="340" spans="1:43" s="24" customFormat="1" ht="15" customHeight="1">
      <c r="A340" s="1214"/>
      <c r="B340" s="1171"/>
      <c r="C340" s="1076"/>
      <c r="D340" s="1076"/>
      <c r="E340" s="1252"/>
      <c r="F340" s="1252"/>
      <c r="G340" s="1076"/>
      <c r="H340" s="1076"/>
      <c r="I340" s="1076"/>
      <c r="J340" s="1076"/>
      <c r="K340" s="1076"/>
      <c r="L340" s="1076"/>
      <c r="M340" s="1245"/>
      <c r="N340" s="1282"/>
      <c r="O340" s="1119"/>
      <c r="P340" s="1119"/>
      <c r="Q340" s="1119"/>
      <c r="R340" s="1171"/>
      <c r="S340" s="1119"/>
      <c r="T340" s="1119"/>
      <c r="U340" s="1119"/>
      <c r="V340" s="1119"/>
      <c r="W340" s="1119"/>
      <c r="X340" s="1203"/>
      <c r="Y340" s="1123" t="s">
        <v>459</v>
      </c>
      <c r="Z340" s="109">
        <v>14332000</v>
      </c>
      <c r="AA340" s="109">
        <v>-5732800</v>
      </c>
      <c r="AB340" s="109">
        <f t="shared" ref="AB340:AB357" si="27">Z340+AA340</f>
        <v>8599200</v>
      </c>
      <c r="AC340" s="1171">
        <v>40785</v>
      </c>
      <c r="AD340" s="134">
        <v>8599200</v>
      </c>
      <c r="AE340" s="109" t="s">
        <v>137</v>
      </c>
      <c r="AF340" s="1119"/>
      <c r="AG340" s="1119"/>
      <c r="AH340" s="1119"/>
      <c r="AI340" s="1119"/>
      <c r="AJ340" s="1119"/>
      <c r="AK340" s="1119"/>
      <c r="AL340" s="1119"/>
      <c r="AM340" s="1119"/>
      <c r="AN340" s="1203"/>
      <c r="AO340" s="1203"/>
      <c r="AQ340" s="934"/>
    </row>
    <row r="341" spans="1:43" s="24" customFormat="1" ht="15" customHeight="1">
      <c r="A341" s="1214"/>
      <c r="B341" s="1171"/>
      <c r="C341" s="1076"/>
      <c r="D341" s="1076"/>
      <c r="E341" s="1252"/>
      <c r="F341" s="1252"/>
      <c r="G341" s="1076"/>
      <c r="H341" s="1076"/>
      <c r="I341" s="1076"/>
      <c r="J341" s="1076"/>
      <c r="K341" s="1076"/>
      <c r="L341" s="1076"/>
      <c r="M341" s="1245"/>
      <c r="N341" s="1282"/>
      <c r="O341" s="1119"/>
      <c r="P341" s="1119"/>
      <c r="Q341" s="1119"/>
      <c r="R341" s="1171"/>
      <c r="S341" s="1119"/>
      <c r="T341" s="1119"/>
      <c r="U341" s="1119"/>
      <c r="V341" s="1119"/>
      <c r="W341" s="1119"/>
      <c r="X341" s="1203"/>
      <c r="Y341" s="1123"/>
      <c r="Z341" s="109">
        <v>21498000</v>
      </c>
      <c r="AA341" s="109">
        <v>-8599200</v>
      </c>
      <c r="AB341" s="109">
        <f t="shared" si="27"/>
        <v>12898800</v>
      </c>
      <c r="AC341" s="1171"/>
      <c r="AD341" s="134">
        <v>12898800</v>
      </c>
      <c r="AE341" s="109" t="s">
        <v>137</v>
      </c>
      <c r="AF341" s="1119"/>
      <c r="AG341" s="1119"/>
      <c r="AH341" s="1119"/>
      <c r="AI341" s="1119"/>
      <c r="AJ341" s="1119"/>
      <c r="AK341" s="1119"/>
      <c r="AL341" s="1119"/>
      <c r="AM341" s="1119"/>
      <c r="AN341" s="1203"/>
      <c r="AO341" s="1203"/>
      <c r="AQ341" s="934"/>
    </row>
    <row r="342" spans="1:43" s="24" customFormat="1" ht="15" customHeight="1">
      <c r="A342" s="1214"/>
      <c r="B342" s="1171"/>
      <c r="C342" s="1076"/>
      <c r="D342" s="1076"/>
      <c r="E342" s="1252"/>
      <c r="F342" s="1252"/>
      <c r="G342" s="1076"/>
      <c r="H342" s="1076"/>
      <c r="I342" s="1076"/>
      <c r="J342" s="1076"/>
      <c r="K342" s="1076"/>
      <c r="L342" s="1076"/>
      <c r="M342" s="1245"/>
      <c r="N342" s="1282"/>
      <c r="O342" s="1119"/>
      <c r="P342" s="1119"/>
      <c r="Q342" s="1119"/>
      <c r="R342" s="1171"/>
      <c r="S342" s="1119"/>
      <c r="T342" s="1119"/>
      <c r="U342" s="1119"/>
      <c r="V342" s="1119"/>
      <c r="W342" s="1119"/>
      <c r="X342" s="1203"/>
      <c r="Y342" s="1123" t="s">
        <v>460</v>
      </c>
      <c r="Z342" s="109">
        <v>11465600</v>
      </c>
      <c r="AA342" s="109">
        <v>-4586240</v>
      </c>
      <c r="AB342" s="109">
        <f t="shared" si="27"/>
        <v>6879360</v>
      </c>
      <c r="AC342" s="1171">
        <v>40891</v>
      </c>
      <c r="AD342" s="134">
        <v>6879360</v>
      </c>
      <c r="AE342" s="109" t="s">
        <v>137</v>
      </c>
      <c r="AF342" s="1119"/>
      <c r="AG342" s="1119"/>
      <c r="AH342" s="1119"/>
      <c r="AI342" s="1119"/>
      <c r="AJ342" s="1119"/>
      <c r="AK342" s="1119"/>
      <c r="AL342" s="1119"/>
      <c r="AM342" s="1119"/>
      <c r="AN342" s="1203"/>
      <c r="AO342" s="1203"/>
      <c r="AQ342" s="934"/>
    </row>
    <row r="343" spans="1:43" s="24" customFormat="1" ht="15" customHeight="1">
      <c r="A343" s="1214"/>
      <c r="B343" s="1171"/>
      <c r="C343" s="1076"/>
      <c r="D343" s="1076"/>
      <c r="E343" s="1252"/>
      <c r="F343" s="1252"/>
      <c r="G343" s="1076"/>
      <c r="H343" s="1076"/>
      <c r="I343" s="1076"/>
      <c r="J343" s="1076"/>
      <c r="K343" s="1076"/>
      <c r="L343" s="1076"/>
      <c r="M343" s="1245"/>
      <c r="N343" s="1282" t="s">
        <v>7</v>
      </c>
      <c r="O343" s="1119">
        <v>42996422.399999999</v>
      </c>
      <c r="P343" s="1119"/>
      <c r="Q343" s="1119"/>
      <c r="R343" s="1171"/>
      <c r="S343" s="1119"/>
      <c r="T343" s="1119">
        <v>42996422</v>
      </c>
      <c r="U343" s="1119"/>
      <c r="V343" s="1119">
        <v>42996422.399999999</v>
      </c>
      <c r="W343" s="1119"/>
      <c r="X343" s="1203"/>
      <c r="Y343" s="1123"/>
      <c r="Z343" s="109">
        <v>17198400</v>
      </c>
      <c r="AA343" s="109">
        <v>-6879360</v>
      </c>
      <c r="AB343" s="109">
        <f t="shared" si="27"/>
        <v>10319040</v>
      </c>
      <c r="AC343" s="1171"/>
      <c r="AD343" s="134">
        <v>10319040</v>
      </c>
      <c r="AE343" s="109" t="s">
        <v>7</v>
      </c>
      <c r="AF343" s="1119"/>
      <c r="AG343" s="1119"/>
      <c r="AH343" s="1119"/>
      <c r="AI343" s="1119"/>
      <c r="AJ343" s="1119"/>
      <c r="AK343" s="1119"/>
      <c r="AL343" s="1119"/>
      <c r="AM343" s="1119"/>
      <c r="AN343" s="1203"/>
      <c r="AO343" s="1203"/>
      <c r="AQ343" s="934"/>
    </row>
    <row r="344" spans="1:43" s="24" customFormat="1" ht="15" customHeight="1">
      <c r="A344" s="1214"/>
      <c r="B344" s="1171"/>
      <c r="C344" s="1076"/>
      <c r="D344" s="1076"/>
      <c r="E344" s="1252"/>
      <c r="F344" s="1252"/>
      <c r="G344" s="1076"/>
      <c r="H344" s="1076"/>
      <c r="I344" s="1076"/>
      <c r="J344" s="1076"/>
      <c r="K344" s="1076"/>
      <c r="L344" s="1076"/>
      <c r="M344" s="1245"/>
      <c r="N344" s="1282"/>
      <c r="O344" s="1119"/>
      <c r="P344" s="1119"/>
      <c r="Q344" s="1119"/>
      <c r="R344" s="1171"/>
      <c r="S344" s="1119"/>
      <c r="T344" s="1119"/>
      <c r="U344" s="1119"/>
      <c r="V344" s="1119"/>
      <c r="W344" s="1119"/>
      <c r="X344" s="1203"/>
      <c r="Y344" s="1123" t="s">
        <v>461</v>
      </c>
      <c r="Z344" s="109">
        <v>2866400</v>
      </c>
      <c r="AA344" s="109">
        <v>-1146560</v>
      </c>
      <c r="AB344" s="109">
        <f t="shared" si="27"/>
        <v>1719840</v>
      </c>
      <c r="AC344" s="1171">
        <v>41591</v>
      </c>
      <c r="AD344" s="134">
        <v>1719840</v>
      </c>
      <c r="AE344" s="109" t="s">
        <v>7</v>
      </c>
      <c r="AF344" s="1119"/>
      <c r="AG344" s="1119"/>
      <c r="AH344" s="1119"/>
      <c r="AI344" s="1119"/>
      <c r="AJ344" s="1119"/>
      <c r="AK344" s="1119"/>
      <c r="AL344" s="1119"/>
      <c r="AM344" s="1119"/>
      <c r="AN344" s="1203"/>
      <c r="AO344" s="1203"/>
      <c r="AQ344" s="934"/>
    </row>
    <row r="345" spans="1:43" s="24" customFormat="1" ht="15" customHeight="1">
      <c r="A345" s="1214"/>
      <c r="B345" s="1171"/>
      <c r="C345" s="1076"/>
      <c r="D345" s="1076"/>
      <c r="E345" s="1252"/>
      <c r="F345" s="1252"/>
      <c r="G345" s="1076"/>
      <c r="H345" s="1076"/>
      <c r="I345" s="1076"/>
      <c r="J345" s="1076"/>
      <c r="K345" s="1076"/>
      <c r="L345" s="1076"/>
      <c r="M345" s="1245"/>
      <c r="N345" s="1282"/>
      <c r="O345" s="1119"/>
      <c r="P345" s="1119"/>
      <c r="Q345" s="1119"/>
      <c r="R345" s="1171"/>
      <c r="S345" s="1119"/>
      <c r="T345" s="1119"/>
      <c r="U345" s="1119"/>
      <c r="V345" s="1119"/>
      <c r="W345" s="1119"/>
      <c r="X345" s="1203"/>
      <c r="Y345" s="1123"/>
      <c r="Z345" s="109">
        <v>4299600</v>
      </c>
      <c r="AA345" s="109">
        <v>-1719840</v>
      </c>
      <c r="AB345" s="109">
        <f t="shared" si="27"/>
        <v>2579760</v>
      </c>
      <c r="AC345" s="1171"/>
      <c r="AD345" s="134">
        <v>2579760</v>
      </c>
      <c r="AE345" s="109" t="s">
        <v>7</v>
      </c>
      <c r="AF345" s="1119"/>
      <c r="AG345" s="1119"/>
      <c r="AH345" s="1119"/>
      <c r="AI345" s="1119"/>
      <c r="AJ345" s="1119"/>
      <c r="AK345" s="1119"/>
      <c r="AL345" s="1119"/>
      <c r="AM345" s="1119"/>
      <c r="AN345" s="1203"/>
      <c r="AO345" s="1203"/>
      <c r="AQ345" s="934"/>
    </row>
    <row r="346" spans="1:43" s="4" customFormat="1" ht="15" customHeight="1">
      <c r="A346" s="1289" t="s">
        <v>807</v>
      </c>
      <c r="B346" s="1068">
        <v>40371</v>
      </c>
      <c r="C346" s="1040" t="s">
        <v>22</v>
      </c>
      <c r="D346" s="1040" t="s">
        <v>465</v>
      </c>
      <c r="E346" s="1097" t="s">
        <v>462</v>
      </c>
      <c r="F346" s="1097"/>
      <c r="G346" s="1040" t="s">
        <v>2830</v>
      </c>
      <c r="H346" s="1040" t="s">
        <v>72</v>
      </c>
      <c r="I346" s="1040" t="s">
        <v>177</v>
      </c>
      <c r="J346" s="1040" t="s">
        <v>66</v>
      </c>
      <c r="K346" s="1040" t="s">
        <v>50</v>
      </c>
      <c r="L346" s="1040" t="s">
        <v>466</v>
      </c>
      <c r="M346" s="1286">
        <v>85</v>
      </c>
      <c r="N346" s="1065" t="s">
        <v>7</v>
      </c>
      <c r="O346" s="1062">
        <v>19566301.800000001</v>
      </c>
      <c r="P346" s="1062">
        <f>O346+O348</f>
        <v>32610503</v>
      </c>
      <c r="Q346" s="1062">
        <v>32610503</v>
      </c>
      <c r="R346" s="1068">
        <v>40413</v>
      </c>
      <c r="S346" s="1062">
        <f>T346+T347</f>
        <v>19566301.800000001</v>
      </c>
      <c r="T346" s="1062">
        <v>19566301.800000001</v>
      </c>
      <c r="U346" s="1062">
        <f>O346-T346</f>
        <v>0</v>
      </c>
      <c r="V346" s="1062">
        <v>19566301.800000001</v>
      </c>
      <c r="W346" s="1119">
        <v>32610503</v>
      </c>
      <c r="X346" s="1076" t="s">
        <v>467</v>
      </c>
      <c r="Y346" s="1123" t="s">
        <v>468</v>
      </c>
      <c r="Z346" s="109">
        <v>0</v>
      </c>
      <c r="AA346" s="109">
        <v>7826520.7200000007</v>
      </c>
      <c r="AB346" s="109">
        <f t="shared" si="27"/>
        <v>7826520.7200000007</v>
      </c>
      <c r="AC346" s="1171">
        <v>40449</v>
      </c>
      <c r="AD346" s="134">
        <v>7826521</v>
      </c>
      <c r="AE346" s="109" t="s">
        <v>7</v>
      </c>
      <c r="AF346" s="1062">
        <f>SUM(AD346:AD349)</f>
        <v>31632188</v>
      </c>
      <c r="AG346" s="1062">
        <f>AF346</f>
        <v>31632188</v>
      </c>
      <c r="AH346" s="109">
        <f>AB346-AD346</f>
        <v>-0.27999999932944775</v>
      </c>
      <c r="AI346" s="1062">
        <f>O346-AD346-AD348</f>
        <v>-0.19999999925494194</v>
      </c>
      <c r="AJ346" s="1062">
        <f>SUM(Z346:Z349)-SUM(AD346:AD349)</f>
        <v>0</v>
      </c>
      <c r="AK346" s="1062">
        <f>P346-V346-V348</f>
        <v>0</v>
      </c>
      <c r="AL346" s="1062">
        <f>SUM(V346:V349)-SUM(Z346:Z349)</f>
        <v>978315</v>
      </c>
      <c r="AM346" s="1062">
        <f>AK346+AL346</f>
        <v>978315</v>
      </c>
      <c r="AN346" s="1040" t="s">
        <v>437</v>
      </c>
      <c r="AO346" s="1040" t="s">
        <v>2904</v>
      </c>
      <c r="AP346" s="1074" t="s">
        <v>2499</v>
      </c>
      <c r="AQ346" s="934"/>
    </row>
    <row r="347" spans="1:43" s="4" customFormat="1" ht="15" customHeight="1">
      <c r="A347" s="1290"/>
      <c r="B347" s="1069"/>
      <c r="C347" s="1041"/>
      <c r="D347" s="1041"/>
      <c r="E347" s="1098"/>
      <c r="F347" s="1098"/>
      <c r="G347" s="1041"/>
      <c r="H347" s="1041"/>
      <c r="I347" s="1041"/>
      <c r="J347" s="1041"/>
      <c r="K347" s="1041"/>
      <c r="L347" s="1041"/>
      <c r="M347" s="1287"/>
      <c r="N347" s="1067"/>
      <c r="O347" s="1064"/>
      <c r="P347" s="1063"/>
      <c r="Q347" s="1063"/>
      <c r="R347" s="1069"/>
      <c r="S347" s="1063"/>
      <c r="T347" s="1064"/>
      <c r="U347" s="1064"/>
      <c r="V347" s="1064"/>
      <c r="W347" s="1119"/>
      <c r="X347" s="1076"/>
      <c r="Y347" s="1123"/>
      <c r="Z347" s="109">
        <v>0</v>
      </c>
      <c r="AA347" s="109">
        <v>5217680.4800000004</v>
      </c>
      <c r="AB347" s="109">
        <f t="shared" si="27"/>
        <v>5217680.4800000004</v>
      </c>
      <c r="AC347" s="1171"/>
      <c r="AD347" s="134">
        <v>5217680</v>
      </c>
      <c r="AE347" s="109" t="s">
        <v>137</v>
      </c>
      <c r="AF347" s="1063"/>
      <c r="AG347" s="1063"/>
      <c r="AH347" s="109">
        <f>AB347-AD347</f>
        <v>0.48000000044703484</v>
      </c>
      <c r="AI347" s="1064"/>
      <c r="AJ347" s="1063"/>
      <c r="AK347" s="1063"/>
      <c r="AL347" s="1063"/>
      <c r="AM347" s="1063"/>
      <c r="AN347" s="1041"/>
      <c r="AO347" s="1041"/>
      <c r="AP347" s="1074"/>
      <c r="AQ347" s="934"/>
    </row>
    <row r="348" spans="1:43" s="4" customFormat="1" ht="15" customHeight="1">
      <c r="A348" s="1290"/>
      <c r="B348" s="1069"/>
      <c r="C348" s="1041"/>
      <c r="D348" s="1041"/>
      <c r="E348" s="1098"/>
      <c r="F348" s="1098"/>
      <c r="G348" s="1041"/>
      <c r="H348" s="1041"/>
      <c r="I348" s="1041"/>
      <c r="J348" s="1041"/>
      <c r="K348" s="1041"/>
      <c r="L348" s="1041"/>
      <c r="M348" s="1287"/>
      <c r="N348" s="1065" t="s">
        <v>451</v>
      </c>
      <c r="O348" s="1062">
        <v>13044201.199999999</v>
      </c>
      <c r="P348" s="1063"/>
      <c r="Q348" s="1063"/>
      <c r="R348" s="1069"/>
      <c r="S348" s="1063"/>
      <c r="T348" s="1062">
        <v>13044201.199999999</v>
      </c>
      <c r="U348" s="1062">
        <f>O348-T348</f>
        <v>0</v>
      </c>
      <c r="V348" s="1062">
        <v>13044201.199999999</v>
      </c>
      <c r="W348" s="109"/>
      <c r="X348" s="86"/>
      <c r="Y348" s="1065" t="s">
        <v>809</v>
      </c>
      <c r="Z348" s="109">
        <v>18979312.800000001</v>
      </c>
      <c r="AA348" s="109">
        <v>-7826520.7199999997</v>
      </c>
      <c r="AB348" s="109">
        <f t="shared" si="27"/>
        <v>11152792.080000002</v>
      </c>
      <c r="AC348" s="97">
        <v>43066</v>
      </c>
      <c r="AD348" s="134">
        <f>+'[1]ORDEN DE PAGO TRAMITADAS '!$AH$93</f>
        <v>11739781</v>
      </c>
      <c r="AE348" s="58" t="s">
        <v>7</v>
      </c>
      <c r="AF348" s="1063"/>
      <c r="AG348" s="1063"/>
      <c r="AH348" s="109">
        <f>AB348-AD348</f>
        <v>-586988.91999999806</v>
      </c>
      <c r="AI348" s="1062">
        <f>O348-AD347-AD349</f>
        <v>978315.19999999925</v>
      </c>
      <c r="AJ348" s="1063"/>
      <c r="AK348" s="1063"/>
      <c r="AL348" s="1063"/>
      <c r="AM348" s="1063"/>
      <c r="AN348" s="1041"/>
      <c r="AO348" s="1041"/>
      <c r="AP348" s="1074"/>
      <c r="AQ348" s="934"/>
    </row>
    <row r="349" spans="1:43" s="4" customFormat="1" ht="15" customHeight="1">
      <c r="A349" s="1291"/>
      <c r="B349" s="1070"/>
      <c r="C349" s="1042"/>
      <c r="D349" s="1042"/>
      <c r="E349" s="1099"/>
      <c r="F349" s="1099"/>
      <c r="G349" s="1042"/>
      <c r="H349" s="1042"/>
      <c r="I349" s="1042"/>
      <c r="J349" s="1042"/>
      <c r="K349" s="1042"/>
      <c r="L349" s="1042"/>
      <c r="M349" s="1288"/>
      <c r="N349" s="1067"/>
      <c r="O349" s="1064"/>
      <c r="P349" s="1064"/>
      <c r="Q349" s="1064"/>
      <c r="R349" s="1070"/>
      <c r="S349" s="1064"/>
      <c r="T349" s="1064"/>
      <c r="U349" s="1064"/>
      <c r="V349" s="1064"/>
      <c r="W349" s="109"/>
      <c r="X349" s="86"/>
      <c r="Y349" s="1067"/>
      <c r="Z349" s="109">
        <v>12652875.199999999</v>
      </c>
      <c r="AA349" s="109">
        <v>-5217680.4800000004</v>
      </c>
      <c r="AB349" s="109">
        <f t="shared" si="27"/>
        <v>7435194.7199999988</v>
      </c>
      <c r="AC349" s="665">
        <v>43066</v>
      </c>
      <c r="AD349" s="134">
        <f>+'[1]ORDEN DE PAGO TRAMITADAS '!$AB$93</f>
        <v>6848206</v>
      </c>
      <c r="AE349" s="58" t="s">
        <v>137</v>
      </c>
      <c r="AF349" s="1064"/>
      <c r="AG349" s="1064"/>
      <c r="AH349" s="109">
        <f>AB349-AD349</f>
        <v>586988.71999999881</v>
      </c>
      <c r="AI349" s="1064"/>
      <c r="AJ349" s="1064"/>
      <c r="AK349" s="1064"/>
      <c r="AL349" s="1064"/>
      <c r="AM349" s="1064"/>
      <c r="AN349" s="1042"/>
      <c r="AO349" s="1042"/>
      <c r="AP349" s="1074"/>
      <c r="AQ349" s="934"/>
    </row>
    <row r="350" spans="1:43" s="24" customFormat="1" ht="15" customHeight="1">
      <c r="A350" s="1307" t="s">
        <v>476</v>
      </c>
      <c r="B350" s="1068">
        <v>41468</v>
      </c>
      <c r="C350" s="1040" t="s">
        <v>22</v>
      </c>
      <c r="D350" s="1040" t="s">
        <v>477</v>
      </c>
      <c r="E350" s="1097">
        <v>900368899</v>
      </c>
      <c r="F350" s="1301">
        <v>9</v>
      </c>
      <c r="G350" s="1040" t="s">
        <v>2782</v>
      </c>
      <c r="H350" s="1040" t="s">
        <v>72</v>
      </c>
      <c r="I350" s="1040" t="s">
        <v>177</v>
      </c>
      <c r="J350" s="1040" t="s">
        <v>66</v>
      </c>
      <c r="K350" s="1040" t="s">
        <v>50</v>
      </c>
      <c r="L350" s="1040" t="s">
        <v>475</v>
      </c>
      <c r="M350" s="1220">
        <v>86</v>
      </c>
      <c r="N350" s="1065" t="s">
        <v>7</v>
      </c>
      <c r="O350" s="1062">
        <v>19566302</v>
      </c>
      <c r="P350" s="1062">
        <f>O350+O352</f>
        <v>32610503</v>
      </c>
      <c r="Q350" s="1062">
        <f>P350</f>
        <v>32610503</v>
      </c>
      <c r="R350" s="1068">
        <v>42970</v>
      </c>
      <c r="S350" s="1062">
        <f>T350+T351</f>
        <v>19566301.800000001</v>
      </c>
      <c r="T350" s="1062">
        <v>19566301.800000001</v>
      </c>
      <c r="U350" s="1062">
        <f>O350-T350</f>
        <v>0.19999999925494194</v>
      </c>
      <c r="V350" s="1062">
        <v>19566302</v>
      </c>
      <c r="W350" s="1119">
        <v>32610503</v>
      </c>
      <c r="X350" s="1011" t="s">
        <v>467</v>
      </c>
      <c r="Y350" s="1123" t="s">
        <v>479</v>
      </c>
      <c r="Z350" s="109">
        <v>0</v>
      </c>
      <c r="AA350" s="109">
        <v>7826520.7200000007</v>
      </c>
      <c r="AB350" s="109">
        <f t="shared" si="27"/>
        <v>7826520.7200000007</v>
      </c>
      <c r="AC350" s="1171">
        <v>40449</v>
      </c>
      <c r="AD350" s="134">
        <v>7826521</v>
      </c>
      <c r="AE350" s="58" t="s">
        <v>7</v>
      </c>
      <c r="AF350" s="1062">
        <f>SUM(AD350:AD353)</f>
        <v>13044201</v>
      </c>
      <c r="AG350" s="1062">
        <f>AF350</f>
        <v>13044201</v>
      </c>
      <c r="AH350" s="1119"/>
      <c r="AI350" s="1119"/>
      <c r="AJ350" s="1062">
        <f>SUM(Z350:Z353)-SUM(AD350:AD353)</f>
        <v>-3261050</v>
      </c>
      <c r="AK350" s="1062">
        <f>P350-V350-V352</f>
        <v>0</v>
      </c>
      <c r="AL350" s="1062">
        <f>SUM(V350:V351)-SUM(Z350:Z351)</f>
        <v>19566302</v>
      </c>
      <c r="AM350" s="1062">
        <f>AK350+AL350</f>
        <v>19566302</v>
      </c>
      <c r="AN350" s="1040" t="s">
        <v>437</v>
      </c>
      <c r="AO350" s="1040" t="s">
        <v>792</v>
      </c>
      <c r="AQ350" s="934"/>
    </row>
    <row r="351" spans="1:43" s="24" customFormat="1" ht="15" customHeight="1">
      <c r="A351" s="1308"/>
      <c r="B351" s="1069"/>
      <c r="C351" s="1041"/>
      <c r="D351" s="1041"/>
      <c r="E351" s="1098"/>
      <c r="F351" s="1302"/>
      <c r="G351" s="1041"/>
      <c r="H351" s="1041"/>
      <c r="I351" s="1041"/>
      <c r="J351" s="1041"/>
      <c r="K351" s="1041"/>
      <c r="L351" s="1041"/>
      <c r="M351" s="1221"/>
      <c r="N351" s="1067"/>
      <c r="O351" s="1064"/>
      <c r="P351" s="1063"/>
      <c r="Q351" s="1063"/>
      <c r="R351" s="1069"/>
      <c r="S351" s="1063"/>
      <c r="T351" s="1064"/>
      <c r="U351" s="1064"/>
      <c r="V351" s="1064"/>
      <c r="W351" s="1119"/>
      <c r="X351" s="1033"/>
      <c r="Y351" s="1123"/>
      <c r="Z351" s="109">
        <v>0</v>
      </c>
      <c r="AA351" s="109">
        <v>5217680.4800000004</v>
      </c>
      <c r="AB351" s="109">
        <f t="shared" si="27"/>
        <v>5217680.4800000004</v>
      </c>
      <c r="AC351" s="1171"/>
      <c r="AD351" s="134">
        <v>5217680</v>
      </c>
      <c r="AE351" s="58" t="s">
        <v>137</v>
      </c>
      <c r="AF351" s="1063"/>
      <c r="AG351" s="1063"/>
      <c r="AH351" s="1119"/>
      <c r="AI351" s="1119"/>
      <c r="AJ351" s="1063"/>
      <c r="AK351" s="1063"/>
      <c r="AL351" s="1063"/>
      <c r="AM351" s="1063"/>
      <c r="AN351" s="1041"/>
      <c r="AO351" s="1041"/>
      <c r="AQ351" s="934"/>
    </row>
    <row r="352" spans="1:43" s="24" customFormat="1" ht="15" customHeight="1">
      <c r="A352" s="1308"/>
      <c r="B352" s="1069"/>
      <c r="C352" s="1041"/>
      <c r="D352" s="1041"/>
      <c r="E352" s="1098"/>
      <c r="F352" s="1302"/>
      <c r="G352" s="1041"/>
      <c r="H352" s="1041"/>
      <c r="I352" s="1041"/>
      <c r="J352" s="1041"/>
      <c r="K352" s="1041"/>
      <c r="L352" s="1041"/>
      <c r="M352" s="1221"/>
      <c r="N352" s="1065" t="s">
        <v>451</v>
      </c>
      <c r="O352" s="1062">
        <v>13044201</v>
      </c>
      <c r="P352" s="1063"/>
      <c r="Q352" s="1063"/>
      <c r="R352" s="1069"/>
      <c r="S352" s="1063"/>
      <c r="T352" s="1062">
        <v>13044201.199999999</v>
      </c>
      <c r="U352" s="1062">
        <f>O352-T352</f>
        <v>-0.19999999925494194</v>
      </c>
      <c r="V352" s="1062">
        <v>13044201</v>
      </c>
      <c r="W352" s="85"/>
      <c r="X352" s="87"/>
      <c r="Y352" s="1065"/>
      <c r="Z352" s="109">
        <v>5869890.5999999996</v>
      </c>
      <c r="AA352" s="109">
        <v>-5869890.5999999996</v>
      </c>
      <c r="AB352" s="109">
        <f t="shared" si="27"/>
        <v>0</v>
      </c>
      <c r="AC352" s="91"/>
      <c r="AD352" s="134">
        <v>0</v>
      </c>
      <c r="AE352" s="58" t="s">
        <v>7</v>
      </c>
      <c r="AF352" s="1063"/>
      <c r="AG352" s="1063"/>
      <c r="AH352" s="109"/>
      <c r="AI352" s="85"/>
      <c r="AJ352" s="1063"/>
      <c r="AK352" s="1063"/>
      <c r="AL352" s="1063"/>
      <c r="AM352" s="1063"/>
      <c r="AN352" s="1041"/>
      <c r="AO352" s="1041"/>
      <c r="AQ352" s="934"/>
    </row>
    <row r="353" spans="1:43" s="24" customFormat="1" ht="15" customHeight="1">
      <c r="A353" s="1309"/>
      <c r="B353" s="1070"/>
      <c r="C353" s="1042"/>
      <c r="D353" s="1042"/>
      <c r="E353" s="1099"/>
      <c r="F353" s="1303"/>
      <c r="G353" s="1042"/>
      <c r="H353" s="1042"/>
      <c r="I353" s="1042"/>
      <c r="J353" s="1042"/>
      <c r="K353" s="1042"/>
      <c r="L353" s="1042"/>
      <c r="M353" s="1222"/>
      <c r="N353" s="1067"/>
      <c r="O353" s="1064"/>
      <c r="P353" s="1064"/>
      <c r="Q353" s="1064"/>
      <c r="R353" s="1070"/>
      <c r="S353" s="1064"/>
      <c r="T353" s="1064"/>
      <c r="U353" s="1064"/>
      <c r="V353" s="1064"/>
      <c r="W353" s="85"/>
      <c r="X353" s="87"/>
      <c r="Y353" s="1067"/>
      <c r="Z353" s="109">
        <v>3913260.4</v>
      </c>
      <c r="AA353" s="109">
        <v>-3913260.4</v>
      </c>
      <c r="AB353" s="109">
        <f t="shared" si="27"/>
        <v>0</v>
      </c>
      <c r="AC353" s="91"/>
      <c r="AD353" s="134">
        <v>0</v>
      </c>
      <c r="AE353" s="58" t="s">
        <v>137</v>
      </c>
      <c r="AF353" s="1064"/>
      <c r="AG353" s="1064"/>
      <c r="AH353" s="109"/>
      <c r="AI353" s="85"/>
      <c r="AJ353" s="1064"/>
      <c r="AK353" s="1064"/>
      <c r="AL353" s="1064"/>
      <c r="AM353" s="1064"/>
      <c r="AN353" s="1042"/>
      <c r="AO353" s="1042"/>
      <c r="AQ353" s="934"/>
    </row>
    <row r="354" spans="1:43" s="4" customFormat="1" ht="15" customHeight="1">
      <c r="A354" s="1015" t="s">
        <v>469</v>
      </c>
      <c r="B354" s="1068">
        <v>40378</v>
      </c>
      <c r="C354" s="1011" t="s">
        <v>9</v>
      </c>
      <c r="D354" s="1011" t="s">
        <v>471</v>
      </c>
      <c r="E354" s="1097">
        <v>76304401</v>
      </c>
      <c r="F354" s="1097"/>
      <c r="G354" s="1011" t="s">
        <v>470</v>
      </c>
      <c r="H354" s="1011" t="s">
        <v>72</v>
      </c>
      <c r="I354" s="1011" t="s">
        <v>177</v>
      </c>
      <c r="J354" s="1011" t="s">
        <v>66</v>
      </c>
      <c r="K354" s="1011" t="s">
        <v>217</v>
      </c>
      <c r="L354" s="1011" t="s">
        <v>472</v>
      </c>
      <c r="M354" s="1286">
        <v>87</v>
      </c>
      <c r="N354" s="1277" t="s">
        <v>137</v>
      </c>
      <c r="O354" s="1062">
        <v>22741707</v>
      </c>
      <c r="P354" s="1062">
        <f>O354+O356</f>
        <v>56854267</v>
      </c>
      <c r="Q354" s="1062">
        <f>P354+P359</f>
        <v>80676508</v>
      </c>
      <c r="R354" s="1068">
        <v>40413</v>
      </c>
      <c r="S354" s="1092">
        <v>56854267</v>
      </c>
      <c r="T354" s="1062">
        <v>22741706.800000001</v>
      </c>
      <c r="U354" s="1062">
        <f>O354-T354</f>
        <v>0.19999999925494194</v>
      </c>
      <c r="V354" s="1062">
        <v>22741707</v>
      </c>
      <c r="W354" s="1062">
        <f>V354+V356+V359</f>
        <v>80676508</v>
      </c>
      <c r="X354" s="1011" t="s">
        <v>467</v>
      </c>
      <c r="Y354" s="1065" t="s">
        <v>473</v>
      </c>
      <c r="Z354" s="109">
        <v>0</v>
      </c>
      <c r="AA354" s="109">
        <v>9096682.8000000007</v>
      </c>
      <c r="AB354" s="109">
        <f t="shared" si="27"/>
        <v>9096682.8000000007</v>
      </c>
      <c r="AC354" s="1068">
        <v>40445</v>
      </c>
      <c r="AD354" s="119">
        <v>9096683</v>
      </c>
      <c r="AE354" s="119" t="s">
        <v>137</v>
      </c>
      <c r="AF354" s="1043">
        <f>SUM(AD354:AD358)</f>
        <v>39797987</v>
      </c>
      <c r="AG354" s="1043">
        <f>AF354+AF359</f>
        <v>39797987</v>
      </c>
      <c r="AH354" s="111">
        <f>AB354-AD354</f>
        <v>-0.19999999925494194</v>
      </c>
      <c r="AI354" s="1043">
        <v>0</v>
      </c>
      <c r="AJ354" s="1062">
        <f>SUM(Z354:Z358)-SUM(AD354:AD358)-5738912.3</f>
        <v>11852223.710000005</v>
      </c>
      <c r="AK354" s="1062">
        <f>P354-V354-V356</f>
        <v>0</v>
      </c>
      <c r="AL354" s="1062">
        <f>SUM(V354:V358)-SUM(Z354:Z358)+5738912.3</f>
        <v>5204056.2899999944</v>
      </c>
      <c r="AM354" s="1062">
        <f>AK354+AL354</f>
        <v>5204056.2899999944</v>
      </c>
      <c r="AN354" s="1108" t="s">
        <v>437</v>
      </c>
      <c r="AO354" s="1204" t="s">
        <v>812</v>
      </c>
      <c r="AQ354" s="934"/>
    </row>
    <row r="355" spans="1:43" s="4" customFormat="1" ht="15" customHeight="1">
      <c r="A355" s="1050"/>
      <c r="B355" s="1069"/>
      <c r="C355" s="1033"/>
      <c r="D355" s="1033"/>
      <c r="E355" s="1098"/>
      <c r="F355" s="1098"/>
      <c r="G355" s="1033"/>
      <c r="H355" s="1033"/>
      <c r="I355" s="1033"/>
      <c r="J355" s="1033"/>
      <c r="K355" s="1033"/>
      <c r="L355" s="1033"/>
      <c r="M355" s="1287"/>
      <c r="N355" s="1278"/>
      <c r="O355" s="1064"/>
      <c r="P355" s="1063"/>
      <c r="Q355" s="1063"/>
      <c r="R355" s="1069"/>
      <c r="S355" s="1093"/>
      <c r="T355" s="1064"/>
      <c r="U355" s="1064"/>
      <c r="V355" s="1064"/>
      <c r="W355" s="1063"/>
      <c r="X355" s="1033"/>
      <c r="Y355" s="1067"/>
      <c r="Z355" s="109">
        <v>0</v>
      </c>
      <c r="AA355" s="109">
        <v>13645024</v>
      </c>
      <c r="AB355" s="109">
        <f t="shared" si="27"/>
        <v>13645024</v>
      </c>
      <c r="AC355" s="1070"/>
      <c r="AD355" s="119">
        <v>13645024</v>
      </c>
      <c r="AE355" s="119" t="s">
        <v>7</v>
      </c>
      <c r="AF355" s="1044"/>
      <c r="AG355" s="1044"/>
      <c r="AH355" s="111">
        <f>AB355-AD355</f>
        <v>0</v>
      </c>
      <c r="AI355" s="1045"/>
      <c r="AJ355" s="1063"/>
      <c r="AK355" s="1063"/>
      <c r="AL355" s="1063"/>
      <c r="AM355" s="1063"/>
      <c r="AN355" s="1109"/>
      <c r="AO355" s="1204"/>
      <c r="AQ355" s="934"/>
    </row>
    <row r="356" spans="1:43" s="4" customFormat="1" ht="15" customHeight="1">
      <c r="A356" s="1050"/>
      <c r="B356" s="1069"/>
      <c r="C356" s="1033"/>
      <c r="D356" s="1033"/>
      <c r="E356" s="1098"/>
      <c r="F356" s="1098"/>
      <c r="G356" s="1033"/>
      <c r="H356" s="1033"/>
      <c r="I356" s="1033"/>
      <c r="J356" s="1033"/>
      <c r="K356" s="1033"/>
      <c r="L356" s="1033"/>
      <c r="M356" s="1287"/>
      <c r="N356" s="1277" t="s">
        <v>7</v>
      </c>
      <c r="O356" s="1062">
        <v>34112560</v>
      </c>
      <c r="P356" s="1063"/>
      <c r="Q356" s="1063"/>
      <c r="R356" s="1069"/>
      <c r="S356" s="1093"/>
      <c r="T356" s="1062">
        <v>34112560.200000003</v>
      </c>
      <c r="U356" s="1062">
        <f>O356-T356</f>
        <v>-0.20000000298023224</v>
      </c>
      <c r="V356" s="1062">
        <v>34112560</v>
      </c>
      <c r="W356" s="1063"/>
      <c r="X356" s="1033"/>
      <c r="Y356" s="1065" t="s">
        <v>474</v>
      </c>
      <c r="Z356" s="109">
        <v>11370853.600000001</v>
      </c>
      <c r="AA356" s="109">
        <v>-4548341.5999999996</v>
      </c>
      <c r="AB356" s="109">
        <f t="shared" si="27"/>
        <v>6822512.0000000019</v>
      </c>
      <c r="AC356" s="1068">
        <v>40736</v>
      </c>
      <c r="AD356" s="119">
        <v>6822512</v>
      </c>
      <c r="AE356" s="119" t="s">
        <v>137</v>
      </c>
      <c r="AF356" s="1044"/>
      <c r="AG356" s="1044"/>
      <c r="AH356" s="111">
        <f>AB356-AD356</f>
        <v>0</v>
      </c>
      <c r="AI356" s="1043">
        <v>0</v>
      </c>
      <c r="AJ356" s="1063"/>
      <c r="AK356" s="1063"/>
      <c r="AL356" s="1063"/>
      <c r="AM356" s="1063"/>
      <c r="AN356" s="1109"/>
      <c r="AO356" s="1204"/>
      <c r="AQ356" s="934"/>
    </row>
    <row r="357" spans="1:43" s="4" customFormat="1" ht="15" customHeight="1">
      <c r="A357" s="1050"/>
      <c r="B357" s="1069"/>
      <c r="C357" s="1033"/>
      <c r="D357" s="1033"/>
      <c r="E357" s="1098"/>
      <c r="F357" s="1098"/>
      <c r="G357" s="1033"/>
      <c r="H357" s="1033"/>
      <c r="I357" s="1033"/>
      <c r="J357" s="1033"/>
      <c r="K357" s="1033"/>
      <c r="L357" s="1033"/>
      <c r="M357" s="1287"/>
      <c r="N357" s="1279"/>
      <c r="O357" s="1063"/>
      <c r="P357" s="1063"/>
      <c r="Q357" s="1063"/>
      <c r="R357" s="1069"/>
      <c r="S357" s="1093"/>
      <c r="T357" s="1063"/>
      <c r="U357" s="1063"/>
      <c r="V357" s="1063"/>
      <c r="W357" s="1063"/>
      <c r="X357" s="1033"/>
      <c r="Y357" s="1067"/>
      <c r="Z357" s="109">
        <v>17056280.399999999</v>
      </c>
      <c r="AA357" s="109">
        <v>-6822512.4000000004</v>
      </c>
      <c r="AB357" s="109">
        <f t="shared" si="27"/>
        <v>10233767.999999998</v>
      </c>
      <c r="AC357" s="1070"/>
      <c r="AD357" s="119">
        <v>10233768</v>
      </c>
      <c r="AE357" s="119" t="s">
        <v>7</v>
      </c>
      <c r="AF357" s="1044"/>
      <c r="AG357" s="1044"/>
      <c r="AH357" s="111">
        <f>AB357-AD357</f>
        <v>0</v>
      </c>
      <c r="AI357" s="1044"/>
      <c r="AJ357" s="1063"/>
      <c r="AK357" s="1063"/>
      <c r="AL357" s="1063"/>
      <c r="AM357" s="1063"/>
      <c r="AN357" s="1109"/>
      <c r="AO357" s="1204"/>
      <c r="AQ357" s="934"/>
    </row>
    <row r="358" spans="1:43" s="4" customFormat="1" ht="15" customHeight="1">
      <c r="A358" s="1050"/>
      <c r="B358" s="1069"/>
      <c r="C358" s="1033"/>
      <c r="D358" s="1033"/>
      <c r="E358" s="1098"/>
      <c r="F358" s="1098"/>
      <c r="G358" s="1033"/>
      <c r="H358" s="1033"/>
      <c r="I358" s="1033"/>
      <c r="J358" s="1012"/>
      <c r="K358" s="1033"/>
      <c r="L358" s="1033"/>
      <c r="M358" s="1288"/>
      <c r="N358" s="1278"/>
      <c r="O358" s="1064"/>
      <c r="P358" s="1064"/>
      <c r="Q358" s="1063"/>
      <c r="R358" s="1070"/>
      <c r="S358" s="1094"/>
      <c r="T358" s="1064"/>
      <c r="U358" s="1064"/>
      <c r="V358" s="1064"/>
      <c r="W358" s="1063"/>
      <c r="X358" s="1033"/>
      <c r="Y358" s="95" t="s">
        <v>811</v>
      </c>
      <c r="Z358" s="109">
        <v>28961989.010000002</v>
      </c>
      <c r="AA358" s="109">
        <v>-11370853.199999999</v>
      </c>
      <c r="AB358" s="109">
        <f>Z358+AA358-5738912.3</f>
        <v>11852223.510000002</v>
      </c>
      <c r="AC358" s="92"/>
      <c r="AD358" s="119">
        <v>0</v>
      </c>
      <c r="AE358" s="119"/>
      <c r="AF358" s="1045"/>
      <c r="AG358" s="1044"/>
      <c r="AH358" s="111"/>
      <c r="AI358" s="1045"/>
      <c r="AJ358" s="1064"/>
      <c r="AK358" s="1064"/>
      <c r="AL358" s="1064"/>
      <c r="AM358" s="1064"/>
      <c r="AN358" s="1109"/>
      <c r="AO358" s="1204"/>
      <c r="AQ358" s="934"/>
    </row>
    <row r="359" spans="1:43" s="4" customFormat="1" ht="15" customHeight="1">
      <c r="A359" s="1016"/>
      <c r="B359" s="1070"/>
      <c r="C359" s="1012"/>
      <c r="D359" s="1012"/>
      <c r="E359" s="1099"/>
      <c r="F359" s="1099"/>
      <c r="G359" s="1012"/>
      <c r="H359" s="1012"/>
      <c r="I359" s="1012"/>
      <c r="J359" s="113" t="s">
        <v>67</v>
      </c>
      <c r="K359" s="1012"/>
      <c r="L359" s="1012"/>
      <c r="M359" s="132">
        <v>162</v>
      </c>
      <c r="N359" s="135" t="s">
        <v>7</v>
      </c>
      <c r="O359" s="109">
        <v>23822241</v>
      </c>
      <c r="P359" s="109">
        <f>O359</f>
        <v>23822241</v>
      </c>
      <c r="Q359" s="1064"/>
      <c r="R359" s="97">
        <v>40701</v>
      </c>
      <c r="S359" s="110">
        <v>23822241</v>
      </c>
      <c r="T359" s="109">
        <v>23822241</v>
      </c>
      <c r="U359" s="109">
        <f>O359-S359</f>
        <v>0</v>
      </c>
      <c r="V359" s="109">
        <f>P359</f>
        <v>23822241</v>
      </c>
      <c r="W359" s="1064"/>
      <c r="X359" s="1012"/>
      <c r="Y359" s="108"/>
      <c r="Z359" s="109">
        <v>0</v>
      </c>
      <c r="AA359" s="109">
        <v>0</v>
      </c>
      <c r="AB359" s="109">
        <f>Z359+AA359</f>
        <v>0</v>
      </c>
      <c r="AC359" s="97"/>
      <c r="AD359" s="119">
        <v>0</v>
      </c>
      <c r="AE359" s="119"/>
      <c r="AF359" s="111"/>
      <c r="AG359" s="1045"/>
      <c r="AH359" s="111"/>
      <c r="AI359" s="111"/>
      <c r="AJ359" s="109">
        <f>Z359-AD359</f>
        <v>0</v>
      </c>
      <c r="AK359" s="109">
        <f>P359-V359</f>
        <v>0</v>
      </c>
      <c r="AL359" s="109">
        <f>V359-Z359</f>
        <v>23822241</v>
      </c>
      <c r="AM359" s="109">
        <f>AK359+AL359</f>
        <v>23822241</v>
      </c>
      <c r="AN359" s="1110"/>
      <c r="AO359" s="1204"/>
      <c r="AQ359" s="934"/>
    </row>
    <row r="360" spans="1:43" s="4" customFormat="1" ht="15" customHeight="1">
      <c r="A360" s="1214" t="s">
        <v>480</v>
      </c>
      <c r="B360" s="1171">
        <v>40378</v>
      </c>
      <c r="C360" s="1076" t="s">
        <v>11</v>
      </c>
      <c r="D360" s="1076" t="s">
        <v>481</v>
      </c>
      <c r="E360" s="1252">
        <v>900368924</v>
      </c>
      <c r="F360" s="1252">
        <v>5</v>
      </c>
      <c r="G360" s="1076" t="s">
        <v>2783</v>
      </c>
      <c r="H360" s="1076" t="s">
        <v>72</v>
      </c>
      <c r="I360" s="1076" t="s">
        <v>177</v>
      </c>
      <c r="J360" s="1076" t="s">
        <v>66</v>
      </c>
      <c r="K360" s="1076" t="s">
        <v>49</v>
      </c>
      <c r="L360" s="1076" t="s">
        <v>389</v>
      </c>
      <c r="M360" s="1245">
        <v>88</v>
      </c>
      <c r="N360" s="135" t="s">
        <v>137</v>
      </c>
      <c r="O360" s="109">
        <v>83056000</v>
      </c>
      <c r="P360" s="1119">
        <f>O360+O361</f>
        <v>207640000</v>
      </c>
      <c r="Q360" s="109"/>
      <c r="R360" s="1171">
        <v>40413</v>
      </c>
      <c r="S360" s="1196">
        <f>T360+T361</f>
        <v>207640000</v>
      </c>
      <c r="T360" s="109">
        <v>83056000</v>
      </c>
      <c r="U360" s="109">
        <f>O360-T360</f>
        <v>0</v>
      </c>
      <c r="V360" s="109">
        <v>83056000</v>
      </c>
      <c r="W360" s="1119">
        <v>207640000</v>
      </c>
      <c r="X360" s="1076" t="s">
        <v>467</v>
      </c>
      <c r="Y360" s="1123" t="s">
        <v>485</v>
      </c>
      <c r="Z360" s="109">
        <v>0</v>
      </c>
      <c r="AA360" s="109">
        <v>33222400</v>
      </c>
      <c r="AB360" s="109">
        <f>Z360+AA360</f>
        <v>33222400</v>
      </c>
      <c r="AC360" s="1171">
        <v>40452</v>
      </c>
      <c r="AD360" s="119">
        <v>33222400</v>
      </c>
      <c r="AE360" s="119" t="s">
        <v>137</v>
      </c>
      <c r="AF360" s="1084">
        <f>SUM(AD360:AD361)</f>
        <v>83056000</v>
      </c>
      <c r="AG360" s="111"/>
      <c r="AH360" s="111"/>
      <c r="AI360" s="111"/>
      <c r="AJ360" s="1119">
        <f>SUM(Z360:Z361)-SUM(AD360:AD361)</f>
        <v>-83056000</v>
      </c>
      <c r="AK360" s="1119">
        <f>P360-V360-V361</f>
        <v>0</v>
      </c>
      <c r="AL360" s="1119">
        <f>SUM(V360:V361)-SUM(Z360:Z361)+AJ360</f>
        <v>124584000</v>
      </c>
      <c r="AM360" s="1119"/>
      <c r="AN360" s="1203" t="s">
        <v>437</v>
      </c>
      <c r="AO360" s="1204" t="s">
        <v>806</v>
      </c>
      <c r="AQ360" s="934"/>
    </row>
    <row r="361" spans="1:43" s="4" customFormat="1" ht="15" customHeight="1">
      <c r="A361" s="1214"/>
      <c r="B361" s="1171"/>
      <c r="C361" s="1076"/>
      <c r="D361" s="1076"/>
      <c r="E361" s="1252"/>
      <c r="F361" s="1252"/>
      <c r="G361" s="1076"/>
      <c r="H361" s="1076"/>
      <c r="I361" s="1076"/>
      <c r="J361" s="1076"/>
      <c r="K361" s="1076"/>
      <c r="L361" s="1076"/>
      <c r="M361" s="1245"/>
      <c r="N361" s="135" t="s">
        <v>7</v>
      </c>
      <c r="O361" s="109">
        <v>124584000</v>
      </c>
      <c r="P361" s="1119"/>
      <c r="Q361" s="109"/>
      <c r="R361" s="1171"/>
      <c r="S361" s="1196"/>
      <c r="T361" s="109">
        <v>124584000</v>
      </c>
      <c r="U361" s="109">
        <f>O361-T361</f>
        <v>0</v>
      </c>
      <c r="V361" s="109">
        <v>124584000</v>
      </c>
      <c r="W361" s="1119"/>
      <c r="X361" s="1076"/>
      <c r="Y361" s="1123"/>
      <c r="Z361" s="109">
        <v>0</v>
      </c>
      <c r="AA361" s="109">
        <v>49833600</v>
      </c>
      <c r="AB361" s="109">
        <f>Z361+AA361</f>
        <v>49833600</v>
      </c>
      <c r="AC361" s="1171"/>
      <c r="AD361" s="119">
        <v>49833600</v>
      </c>
      <c r="AE361" s="119" t="s">
        <v>7</v>
      </c>
      <c r="AF361" s="1084"/>
      <c r="AG361" s="111"/>
      <c r="AH361" s="111"/>
      <c r="AI361" s="111"/>
      <c r="AJ361" s="1119"/>
      <c r="AK361" s="1119"/>
      <c r="AL361" s="1119"/>
      <c r="AM361" s="1119"/>
      <c r="AN361" s="1203"/>
      <c r="AO361" s="1204"/>
      <c r="AQ361" s="934"/>
    </row>
    <row r="362" spans="1:43" s="24" customFormat="1" ht="15" customHeight="1">
      <c r="A362" s="1280" t="s">
        <v>494</v>
      </c>
      <c r="B362" s="1171">
        <v>40372</v>
      </c>
      <c r="C362" s="1260" t="s">
        <v>35</v>
      </c>
      <c r="D362" s="1260" t="s">
        <v>447</v>
      </c>
      <c r="E362" s="1252">
        <v>830040053</v>
      </c>
      <c r="F362" s="1252">
        <v>2</v>
      </c>
      <c r="G362" s="1260" t="s">
        <v>2831</v>
      </c>
      <c r="H362" s="1260" t="s">
        <v>72</v>
      </c>
      <c r="I362" s="1260" t="s">
        <v>177</v>
      </c>
      <c r="J362" s="1260" t="s">
        <v>66</v>
      </c>
      <c r="K362" s="1260" t="s">
        <v>697</v>
      </c>
      <c r="L362" s="1260" t="s">
        <v>496</v>
      </c>
      <c r="M362" s="1245">
        <v>89</v>
      </c>
      <c r="N362" s="135" t="s">
        <v>137</v>
      </c>
      <c r="O362" s="109">
        <v>30450001</v>
      </c>
      <c r="P362" s="1119">
        <f>SUM(O362:O363)</f>
        <v>76125003</v>
      </c>
      <c r="Q362" s="1119">
        <f>SUM(P362:P363)</f>
        <v>76125003</v>
      </c>
      <c r="R362" s="1068">
        <v>40413</v>
      </c>
      <c r="S362" s="1119">
        <f>T362+T363</f>
        <v>76125003</v>
      </c>
      <c r="T362" s="109">
        <v>30450001.199999999</v>
      </c>
      <c r="U362" s="109">
        <f>O362-T362</f>
        <v>-0.19999999925494194</v>
      </c>
      <c r="V362" s="109">
        <v>30450000</v>
      </c>
      <c r="W362" s="1119">
        <v>76125000</v>
      </c>
      <c r="X362" s="1203" t="s">
        <v>467</v>
      </c>
      <c r="Y362" s="1123" t="s">
        <v>498</v>
      </c>
      <c r="Z362" s="109">
        <v>0</v>
      </c>
      <c r="AA362" s="1119">
        <v>30450000</v>
      </c>
      <c r="AB362" s="1119">
        <v>30450000</v>
      </c>
      <c r="AC362" s="1171">
        <v>40450</v>
      </c>
      <c r="AD362" s="134">
        <v>12180000</v>
      </c>
      <c r="AE362" s="109" t="s">
        <v>137</v>
      </c>
      <c r="AF362" s="1119">
        <f>SUM(AD362:AD363)</f>
        <v>30450000</v>
      </c>
      <c r="AG362" s="1119">
        <f>AF362</f>
        <v>30450000</v>
      </c>
      <c r="AH362" s="1119">
        <v>0</v>
      </c>
      <c r="AI362" s="1119">
        <f>AH362</f>
        <v>0</v>
      </c>
      <c r="AJ362" s="1119">
        <v>0</v>
      </c>
      <c r="AK362" s="1119">
        <f>P362-V362-V363</f>
        <v>3</v>
      </c>
      <c r="AL362" s="1119">
        <f>W362-AG362</f>
        <v>45675000</v>
      </c>
      <c r="AM362" s="1119">
        <f>AL362+AK362</f>
        <v>45675003</v>
      </c>
      <c r="AN362" s="1203" t="s">
        <v>437</v>
      </c>
      <c r="AO362" s="1275" t="s">
        <v>2881</v>
      </c>
      <c r="AQ362" s="934"/>
    </row>
    <row r="363" spans="1:43" s="24" customFormat="1" ht="15" customHeight="1">
      <c r="A363" s="1280"/>
      <c r="B363" s="1171"/>
      <c r="C363" s="1260"/>
      <c r="D363" s="1260"/>
      <c r="E363" s="1252"/>
      <c r="F363" s="1252"/>
      <c r="G363" s="1260"/>
      <c r="H363" s="1260"/>
      <c r="I363" s="1260"/>
      <c r="J363" s="1260"/>
      <c r="K363" s="1260"/>
      <c r="L363" s="1260"/>
      <c r="M363" s="1245"/>
      <c r="N363" s="1282" t="s">
        <v>7</v>
      </c>
      <c r="O363" s="1119">
        <v>45675002</v>
      </c>
      <c r="P363" s="1119"/>
      <c r="Q363" s="1119"/>
      <c r="R363" s="1069"/>
      <c r="S363" s="1119"/>
      <c r="T363" s="1062">
        <v>45675001.799999997</v>
      </c>
      <c r="U363" s="1062">
        <f>O363-T363</f>
        <v>0.20000000298023224</v>
      </c>
      <c r="V363" s="1062">
        <v>45675000</v>
      </c>
      <c r="W363" s="1119"/>
      <c r="X363" s="1203"/>
      <c r="Y363" s="1123"/>
      <c r="Z363" s="109">
        <v>0</v>
      </c>
      <c r="AA363" s="1119"/>
      <c r="AB363" s="1119"/>
      <c r="AC363" s="1171"/>
      <c r="AD363" s="134">
        <v>18270000</v>
      </c>
      <c r="AE363" s="109" t="s">
        <v>7</v>
      </c>
      <c r="AF363" s="1119"/>
      <c r="AG363" s="1119"/>
      <c r="AH363" s="1119"/>
      <c r="AI363" s="1119"/>
      <c r="AJ363" s="1119"/>
      <c r="AK363" s="1119"/>
      <c r="AL363" s="1119"/>
      <c r="AM363" s="1119"/>
      <c r="AN363" s="1203"/>
      <c r="AO363" s="1275"/>
      <c r="AQ363" s="934"/>
    </row>
    <row r="364" spans="1:43" s="24" customFormat="1" ht="15" customHeight="1">
      <c r="A364" s="1280"/>
      <c r="B364" s="1171"/>
      <c r="C364" s="1260"/>
      <c r="D364" s="1260"/>
      <c r="E364" s="1252"/>
      <c r="F364" s="1252"/>
      <c r="G364" s="1260"/>
      <c r="H364" s="1260"/>
      <c r="I364" s="1260"/>
      <c r="J364" s="1260"/>
      <c r="K364" s="1260"/>
      <c r="L364" s="1260"/>
      <c r="M364" s="1245"/>
      <c r="N364" s="1282"/>
      <c r="O364" s="1119"/>
      <c r="P364" s="1119"/>
      <c r="Q364" s="1119"/>
      <c r="R364" s="1070"/>
      <c r="S364" s="1119"/>
      <c r="T364" s="1064"/>
      <c r="U364" s="1064"/>
      <c r="V364" s="1064"/>
      <c r="W364" s="1119"/>
      <c r="X364" s="1203"/>
      <c r="Y364" s="108" t="s">
        <v>497</v>
      </c>
      <c r="Z364" s="109">
        <v>64706250</v>
      </c>
      <c r="AA364" s="109">
        <f>-AA362</f>
        <v>-30450000</v>
      </c>
      <c r="AB364" s="109">
        <f>SUM(Z364:AA364)</f>
        <v>34256250</v>
      </c>
      <c r="AC364" s="97"/>
      <c r="AD364" s="134">
        <v>0</v>
      </c>
      <c r="AE364" s="109"/>
      <c r="AF364" s="1119"/>
      <c r="AG364" s="1119">
        <v>0</v>
      </c>
      <c r="AH364" s="1119"/>
      <c r="AI364" s="1119"/>
      <c r="AJ364" s="1119"/>
      <c r="AK364" s="1119"/>
      <c r="AL364" s="1119"/>
      <c r="AM364" s="1119"/>
      <c r="AN364" s="1203"/>
      <c r="AO364" s="1275"/>
      <c r="AQ364" s="934"/>
    </row>
    <row r="365" spans="1:43" s="26" customFormat="1" ht="15" customHeight="1">
      <c r="A365" s="1280" t="s">
        <v>634</v>
      </c>
      <c r="B365" s="1171">
        <v>40371</v>
      </c>
      <c r="C365" s="1260" t="s">
        <v>10</v>
      </c>
      <c r="D365" s="1260" t="s">
        <v>633</v>
      </c>
      <c r="E365" s="1252">
        <v>76308239</v>
      </c>
      <c r="F365" s="1252"/>
      <c r="G365" s="1260" t="s">
        <v>2832</v>
      </c>
      <c r="H365" s="1260" t="s">
        <v>72</v>
      </c>
      <c r="I365" s="1260" t="s">
        <v>177</v>
      </c>
      <c r="J365" s="1260" t="s">
        <v>66</v>
      </c>
      <c r="K365" s="1260" t="s">
        <v>183</v>
      </c>
      <c r="L365" s="1260" t="s">
        <v>636</v>
      </c>
      <c r="M365" s="1251">
        <v>113</v>
      </c>
      <c r="N365" s="1123" t="s">
        <v>137</v>
      </c>
      <c r="O365" s="1119">
        <v>24534000</v>
      </c>
      <c r="P365" s="1119">
        <f>O365+O367</f>
        <v>61335000</v>
      </c>
      <c r="Q365" s="1119">
        <f>P365</f>
        <v>61335000</v>
      </c>
      <c r="R365" s="1171">
        <v>40413</v>
      </c>
      <c r="S365" s="1119">
        <f>T365+T367</f>
        <v>61335000</v>
      </c>
      <c r="T365" s="1119">
        <v>24534000</v>
      </c>
      <c r="U365" s="1119">
        <f>O365-T365</f>
        <v>0</v>
      </c>
      <c r="V365" s="1119">
        <v>24534000</v>
      </c>
      <c r="W365" s="1119">
        <v>61335000</v>
      </c>
      <c r="X365" s="1203" t="s">
        <v>467</v>
      </c>
      <c r="Y365" s="1123" t="s">
        <v>637</v>
      </c>
      <c r="Z365" s="109">
        <v>0</v>
      </c>
      <c r="AA365" s="109">
        <v>9813600</v>
      </c>
      <c r="AB365" s="109">
        <f t="shared" ref="AB365:AB397" si="28">Z365+AA365</f>
        <v>9813600</v>
      </c>
      <c r="AC365" s="1171">
        <v>40732</v>
      </c>
      <c r="AD365" s="134">
        <v>9813600</v>
      </c>
      <c r="AE365" s="109" t="s">
        <v>137</v>
      </c>
      <c r="AF365" s="1119">
        <f>SUM(AD365:AD368)</f>
        <v>61335000</v>
      </c>
      <c r="AG365" s="1119">
        <f>AF365</f>
        <v>61335000</v>
      </c>
      <c r="AH365" s="109">
        <f t="shared" ref="AH365:AH388" si="29">AB365-AD365</f>
        <v>0</v>
      </c>
      <c r="AI365" s="1119">
        <v>0</v>
      </c>
      <c r="AJ365" s="1119">
        <v>0</v>
      </c>
      <c r="AK365" s="1119">
        <v>0</v>
      </c>
      <c r="AL365" s="1119">
        <v>0</v>
      </c>
      <c r="AM365" s="1119">
        <v>0</v>
      </c>
      <c r="AN365" s="1260" t="s">
        <v>606</v>
      </c>
      <c r="AO365" s="1260" t="s">
        <v>774</v>
      </c>
      <c r="AQ365" s="934"/>
    </row>
    <row r="366" spans="1:43" s="26" customFormat="1" ht="15" customHeight="1">
      <c r="A366" s="1280"/>
      <c r="B366" s="1171"/>
      <c r="C366" s="1260"/>
      <c r="D366" s="1260"/>
      <c r="E366" s="1252"/>
      <c r="F366" s="1252"/>
      <c r="G366" s="1260"/>
      <c r="H366" s="1260"/>
      <c r="I366" s="1260"/>
      <c r="J366" s="1260"/>
      <c r="K366" s="1260"/>
      <c r="L366" s="1260"/>
      <c r="M366" s="1251"/>
      <c r="N366" s="1123"/>
      <c r="O366" s="1119"/>
      <c r="P366" s="1119"/>
      <c r="Q366" s="1119"/>
      <c r="R366" s="1171"/>
      <c r="S366" s="1119"/>
      <c r="T366" s="1119"/>
      <c r="U366" s="1119"/>
      <c r="V366" s="1119"/>
      <c r="W366" s="1119"/>
      <c r="X366" s="1203"/>
      <c r="Y366" s="1123"/>
      <c r="Z366" s="109">
        <v>0</v>
      </c>
      <c r="AA366" s="109">
        <v>14720400</v>
      </c>
      <c r="AB366" s="109">
        <f t="shared" si="28"/>
        <v>14720400</v>
      </c>
      <c r="AC366" s="1171"/>
      <c r="AD366" s="134">
        <v>14720400</v>
      </c>
      <c r="AE366" s="109" t="s">
        <v>7</v>
      </c>
      <c r="AF366" s="1119"/>
      <c r="AG366" s="1119"/>
      <c r="AH366" s="109">
        <f t="shared" si="29"/>
        <v>0</v>
      </c>
      <c r="AI366" s="1119"/>
      <c r="AJ366" s="1119"/>
      <c r="AK366" s="1119"/>
      <c r="AL366" s="1119"/>
      <c r="AM366" s="1119"/>
      <c r="AN366" s="1260"/>
      <c r="AO366" s="1260"/>
      <c r="AQ366" s="934"/>
    </row>
    <row r="367" spans="1:43" s="26" customFormat="1" ht="15" customHeight="1">
      <c r="A367" s="1280"/>
      <c r="B367" s="1171"/>
      <c r="C367" s="1260"/>
      <c r="D367" s="1260"/>
      <c r="E367" s="1252"/>
      <c r="F367" s="1252"/>
      <c r="G367" s="1260"/>
      <c r="H367" s="1260"/>
      <c r="I367" s="1260"/>
      <c r="J367" s="1260"/>
      <c r="K367" s="1260"/>
      <c r="L367" s="1260"/>
      <c r="M367" s="1251"/>
      <c r="N367" s="1123" t="s">
        <v>7</v>
      </c>
      <c r="O367" s="1119">
        <v>36801000</v>
      </c>
      <c r="P367" s="1119"/>
      <c r="Q367" s="1119"/>
      <c r="R367" s="1171"/>
      <c r="S367" s="1119"/>
      <c r="T367" s="1119">
        <v>36801000</v>
      </c>
      <c r="U367" s="1119">
        <f>O367-T367</f>
        <v>0</v>
      </c>
      <c r="V367" s="1119">
        <v>36801000</v>
      </c>
      <c r="W367" s="1119"/>
      <c r="X367" s="1203"/>
      <c r="Y367" s="1123" t="s">
        <v>638</v>
      </c>
      <c r="Z367" s="109">
        <v>24534000</v>
      </c>
      <c r="AA367" s="109">
        <v>-9813600</v>
      </c>
      <c r="AB367" s="109">
        <f t="shared" si="28"/>
        <v>14720400</v>
      </c>
      <c r="AC367" s="1171">
        <v>41593</v>
      </c>
      <c r="AD367" s="134">
        <v>14720400</v>
      </c>
      <c r="AE367" s="109" t="s">
        <v>137</v>
      </c>
      <c r="AF367" s="1119"/>
      <c r="AG367" s="1119"/>
      <c r="AH367" s="109">
        <f t="shared" si="29"/>
        <v>0</v>
      </c>
      <c r="AI367" s="1119"/>
      <c r="AJ367" s="1119"/>
      <c r="AK367" s="1119"/>
      <c r="AL367" s="1119"/>
      <c r="AM367" s="1119"/>
      <c r="AN367" s="1260"/>
      <c r="AO367" s="1260"/>
      <c r="AQ367" s="934"/>
    </row>
    <row r="368" spans="1:43" s="26" customFormat="1" ht="15" customHeight="1">
      <c r="A368" s="1280"/>
      <c r="B368" s="1171"/>
      <c r="C368" s="1260"/>
      <c r="D368" s="1260"/>
      <c r="E368" s="1252"/>
      <c r="F368" s="1252"/>
      <c r="G368" s="1260"/>
      <c r="H368" s="1260"/>
      <c r="I368" s="1260"/>
      <c r="J368" s="1260"/>
      <c r="K368" s="1260"/>
      <c r="L368" s="1260"/>
      <c r="M368" s="1251"/>
      <c r="N368" s="1123"/>
      <c r="O368" s="1119"/>
      <c r="P368" s="1119"/>
      <c r="Q368" s="1119"/>
      <c r="R368" s="1171"/>
      <c r="S368" s="1119"/>
      <c r="T368" s="1119"/>
      <c r="U368" s="1119"/>
      <c r="V368" s="1119"/>
      <c r="W368" s="1119"/>
      <c r="X368" s="1203"/>
      <c r="Y368" s="1123"/>
      <c r="Z368" s="109">
        <v>36801000</v>
      </c>
      <c r="AA368" s="109">
        <v>-14720400</v>
      </c>
      <c r="AB368" s="109">
        <f t="shared" si="28"/>
        <v>22080600</v>
      </c>
      <c r="AC368" s="1171"/>
      <c r="AD368" s="134">
        <v>22080600</v>
      </c>
      <c r="AE368" s="109" t="s">
        <v>7</v>
      </c>
      <c r="AF368" s="1119"/>
      <c r="AG368" s="1119"/>
      <c r="AH368" s="109">
        <f t="shared" si="29"/>
        <v>0</v>
      </c>
      <c r="AI368" s="1119"/>
      <c r="AJ368" s="1119"/>
      <c r="AK368" s="1119"/>
      <c r="AL368" s="1119"/>
      <c r="AM368" s="1119"/>
      <c r="AN368" s="1260"/>
      <c r="AO368" s="1260"/>
      <c r="AQ368" s="934"/>
    </row>
    <row r="369" spans="1:41" ht="15" customHeight="1">
      <c r="A369" s="1075" t="s">
        <v>624</v>
      </c>
      <c r="B369" s="1171">
        <v>40371</v>
      </c>
      <c r="C369" s="1076" t="s">
        <v>43</v>
      </c>
      <c r="D369" s="1076" t="s">
        <v>625</v>
      </c>
      <c r="E369" s="1252">
        <v>900367465</v>
      </c>
      <c r="F369" s="1252">
        <v>1</v>
      </c>
      <c r="G369" s="1076" t="s">
        <v>2833</v>
      </c>
      <c r="H369" s="1076" t="s">
        <v>72</v>
      </c>
      <c r="I369" s="1076" t="s">
        <v>177</v>
      </c>
      <c r="J369" s="1076" t="s">
        <v>66</v>
      </c>
      <c r="K369" s="1076" t="s">
        <v>217</v>
      </c>
      <c r="L369" s="1076" t="s">
        <v>628</v>
      </c>
      <c r="M369" s="1251">
        <v>90</v>
      </c>
      <c r="N369" s="1123" t="s">
        <v>137</v>
      </c>
      <c r="O369" s="1119">
        <v>13456000</v>
      </c>
      <c r="P369" s="1119">
        <f>O369+O371</f>
        <v>33640000</v>
      </c>
      <c r="Q369" s="1119">
        <f>P369</f>
        <v>33640000</v>
      </c>
      <c r="R369" s="1171">
        <v>40413</v>
      </c>
      <c r="S369" s="1196">
        <f>T369+T371</f>
        <v>33640000</v>
      </c>
      <c r="T369" s="1119">
        <v>13456000</v>
      </c>
      <c r="U369" s="1119">
        <f>O369-T369</f>
        <v>0</v>
      </c>
      <c r="V369" s="1119">
        <v>13437242.4</v>
      </c>
      <c r="W369" s="1119">
        <v>33593106</v>
      </c>
      <c r="X369" s="1076" t="s">
        <v>467</v>
      </c>
      <c r="Y369" s="1123" t="s">
        <v>627</v>
      </c>
      <c r="Z369" s="109">
        <v>0</v>
      </c>
      <c r="AA369" s="109">
        <v>5363642</v>
      </c>
      <c r="AB369" s="109">
        <f t="shared" si="28"/>
        <v>5363642</v>
      </c>
      <c r="AC369" s="1171">
        <v>40569</v>
      </c>
      <c r="AD369" s="119">
        <v>5363642</v>
      </c>
      <c r="AE369" s="119" t="s">
        <v>137</v>
      </c>
      <c r="AF369" s="1084">
        <f>SUM(AD369:AD374)</f>
        <v>23515174</v>
      </c>
      <c r="AG369" s="1084">
        <f>AF369</f>
        <v>23515174</v>
      </c>
      <c r="AH369" s="111">
        <f t="shared" si="29"/>
        <v>0</v>
      </c>
      <c r="AI369" s="1084">
        <f>O369-AD369-AD370</f>
        <v>18758</v>
      </c>
      <c r="AJ369" s="1119">
        <f>SUM(Z369:Z374)-SUM(AD369:AD374)</f>
        <v>10077942</v>
      </c>
      <c r="AK369" s="1119">
        <f>O369-V369</f>
        <v>18757.599999999627</v>
      </c>
      <c r="AL369" s="1119">
        <f>SUM(V369:V374)-SUM(Z369:Z374)</f>
        <v>-10</v>
      </c>
      <c r="AM369" s="1119">
        <f>AK369+AL369+AK371</f>
        <v>46884.000000001863</v>
      </c>
      <c r="AN369" s="1203" t="s">
        <v>632</v>
      </c>
      <c r="AO369" s="1204" t="s">
        <v>766</v>
      </c>
    </row>
    <row r="370" spans="1:41" ht="15" customHeight="1">
      <c r="A370" s="1075"/>
      <c r="B370" s="1171"/>
      <c r="C370" s="1076"/>
      <c r="D370" s="1076"/>
      <c r="E370" s="1252"/>
      <c r="F370" s="1252"/>
      <c r="G370" s="1076"/>
      <c r="H370" s="1076"/>
      <c r="I370" s="1076"/>
      <c r="J370" s="1076"/>
      <c r="K370" s="1076"/>
      <c r="L370" s="1076"/>
      <c r="M370" s="1251"/>
      <c r="N370" s="1123"/>
      <c r="O370" s="1119"/>
      <c r="P370" s="1119"/>
      <c r="Q370" s="1119"/>
      <c r="R370" s="1171"/>
      <c r="S370" s="1196"/>
      <c r="T370" s="1119"/>
      <c r="U370" s="1119"/>
      <c r="V370" s="1119"/>
      <c r="W370" s="1119"/>
      <c r="X370" s="1076"/>
      <c r="Y370" s="1123"/>
      <c r="Z370" s="109">
        <v>0</v>
      </c>
      <c r="AA370" s="109">
        <v>8073600</v>
      </c>
      <c r="AB370" s="109">
        <f t="shared" si="28"/>
        <v>8073600</v>
      </c>
      <c r="AC370" s="1171"/>
      <c r="AD370" s="119">
        <v>8073600</v>
      </c>
      <c r="AE370" s="119" t="s">
        <v>137</v>
      </c>
      <c r="AF370" s="1084"/>
      <c r="AG370" s="1084"/>
      <c r="AH370" s="111">
        <f t="shared" si="29"/>
        <v>0</v>
      </c>
      <c r="AI370" s="1084"/>
      <c r="AJ370" s="1119"/>
      <c r="AK370" s="1119"/>
      <c r="AL370" s="1119"/>
      <c r="AM370" s="1119"/>
      <c r="AN370" s="1203"/>
      <c r="AO370" s="1204"/>
    </row>
    <row r="371" spans="1:41" ht="15" customHeight="1">
      <c r="A371" s="1075"/>
      <c r="B371" s="1171"/>
      <c r="C371" s="1076"/>
      <c r="D371" s="1076"/>
      <c r="E371" s="1252"/>
      <c r="F371" s="1252"/>
      <c r="G371" s="1076"/>
      <c r="H371" s="1076"/>
      <c r="I371" s="1076"/>
      <c r="J371" s="1076"/>
      <c r="K371" s="1076"/>
      <c r="L371" s="1076"/>
      <c r="M371" s="1251"/>
      <c r="N371" s="1123" t="s">
        <v>7</v>
      </c>
      <c r="O371" s="1119">
        <v>20184000</v>
      </c>
      <c r="P371" s="1119"/>
      <c r="Q371" s="1119"/>
      <c r="R371" s="1171"/>
      <c r="S371" s="1196"/>
      <c r="T371" s="1119">
        <v>20184000</v>
      </c>
      <c r="U371" s="1119">
        <f>O371-T371</f>
        <v>0</v>
      </c>
      <c r="V371" s="1119">
        <v>20155863.599999998</v>
      </c>
      <c r="W371" s="1119"/>
      <c r="X371" s="1076"/>
      <c r="Y371" s="1123" t="s">
        <v>629</v>
      </c>
      <c r="Z371" s="109">
        <v>6718621.2000000002</v>
      </c>
      <c r="AA371" s="109">
        <v>-2695889.2</v>
      </c>
      <c r="AB371" s="109">
        <f t="shared" si="28"/>
        <v>4022732</v>
      </c>
      <c r="AC371" s="1171">
        <v>40666</v>
      </c>
      <c r="AD371" s="119">
        <v>4022732</v>
      </c>
      <c r="AE371" s="119" t="s">
        <v>7</v>
      </c>
      <c r="AF371" s="1084"/>
      <c r="AG371" s="1084"/>
      <c r="AH371" s="111">
        <f t="shared" si="29"/>
        <v>0</v>
      </c>
      <c r="AI371" s="1084">
        <f>O371-AD371-AD372</f>
        <v>10106068</v>
      </c>
      <c r="AJ371" s="1119"/>
      <c r="AK371" s="1119">
        <f>O371-V371</f>
        <v>28136.400000002235</v>
      </c>
      <c r="AL371" s="1119"/>
      <c r="AM371" s="1119"/>
      <c r="AN371" s="1203"/>
      <c r="AO371" s="1204"/>
    </row>
    <row r="372" spans="1:41" ht="15" customHeight="1">
      <c r="A372" s="1075"/>
      <c r="B372" s="1171"/>
      <c r="C372" s="1076"/>
      <c r="D372" s="1076"/>
      <c r="E372" s="1252"/>
      <c r="F372" s="1252"/>
      <c r="G372" s="1076"/>
      <c r="H372" s="1076"/>
      <c r="I372" s="1076"/>
      <c r="J372" s="1076"/>
      <c r="K372" s="1076"/>
      <c r="L372" s="1076"/>
      <c r="M372" s="1251"/>
      <c r="N372" s="1123"/>
      <c r="O372" s="1119"/>
      <c r="P372" s="1119"/>
      <c r="Q372" s="1119"/>
      <c r="R372" s="1171"/>
      <c r="S372" s="1196"/>
      <c r="T372" s="1119"/>
      <c r="U372" s="1119"/>
      <c r="V372" s="1119"/>
      <c r="W372" s="1119"/>
      <c r="X372" s="1076"/>
      <c r="Y372" s="1123"/>
      <c r="Z372" s="109">
        <v>10077931.799999999</v>
      </c>
      <c r="AA372" s="109">
        <v>-4022731.8</v>
      </c>
      <c r="AB372" s="109">
        <f t="shared" si="28"/>
        <v>6055199.9999999991</v>
      </c>
      <c r="AC372" s="1171"/>
      <c r="AD372" s="119">
        <v>6055200</v>
      </c>
      <c r="AE372" s="119" t="s">
        <v>7</v>
      </c>
      <c r="AF372" s="1084"/>
      <c r="AG372" s="1084"/>
      <c r="AH372" s="111">
        <f t="shared" si="29"/>
        <v>0</v>
      </c>
      <c r="AI372" s="1084"/>
      <c r="AJ372" s="1119"/>
      <c r="AK372" s="1119"/>
      <c r="AL372" s="1119"/>
      <c r="AM372" s="1119"/>
      <c r="AN372" s="1203"/>
      <c r="AO372" s="1204"/>
    </row>
    <row r="373" spans="1:41" ht="15" customHeight="1">
      <c r="A373" s="1075"/>
      <c r="B373" s="1171"/>
      <c r="C373" s="1076"/>
      <c r="D373" s="1076"/>
      <c r="E373" s="1252"/>
      <c r="F373" s="1252"/>
      <c r="G373" s="1076"/>
      <c r="H373" s="1076"/>
      <c r="I373" s="1076"/>
      <c r="J373" s="1076"/>
      <c r="K373" s="1076"/>
      <c r="L373" s="1076"/>
      <c r="M373" s="1251"/>
      <c r="N373" s="1123"/>
      <c r="O373" s="1119"/>
      <c r="P373" s="1119"/>
      <c r="Q373" s="1119"/>
      <c r="R373" s="1171"/>
      <c r="S373" s="1196"/>
      <c r="T373" s="1119"/>
      <c r="U373" s="1119"/>
      <c r="V373" s="1119"/>
      <c r="W373" s="1119"/>
      <c r="X373" s="1076"/>
      <c r="Y373" s="108" t="s">
        <v>631</v>
      </c>
      <c r="Z373" s="109">
        <v>13437242.4</v>
      </c>
      <c r="AA373" s="109">
        <v>-5374896.96</v>
      </c>
      <c r="AB373" s="109">
        <f t="shared" si="28"/>
        <v>8062345.4400000004</v>
      </c>
      <c r="AC373" s="97"/>
      <c r="AD373" s="119">
        <v>0</v>
      </c>
      <c r="AE373" s="119" t="s">
        <v>7</v>
      </c>
      <c r="AF373" s="1084"/>
      <c r="AG373" s="1084"/>
      <c r="AH373" s="111">
        <f t="shared" si="29"/>
        <v>8062345.4400000004</v>
      </c>
      <c r="AI373" s="1084"/>
      <c r="AJ373" s="1119"/>
      <c r="AK373" s="1119"/>
      <c r="AL373" s="1119"/>
      <c r="AM373" s="1119"/>
      <c r="AN373" s="1203"/>
      <c r="AO373" s="1204"/>
    </row>
    <row r="374" spans="1:41" ht="15" customHeight="1">
      <c r="A374" s="1075"/>
      <c r="B374" s="1171"/>
      <c r="C374" s="1076"/>
      <c r="D374" s="1076"/>
      <c r="E374" s="1252"/>
      <c r="F374" s="1252"/>
      <c r="G374" s="1076"/>
      <c r="H374" s="1076"/>
      <c r="I374" s="1076"/>
      <c r="J374" s="1076"/>
      <c r="K374" s="1076"/>
      <c r="L374" s="1076"/>
      <c r="M374" s="1251"/>
      <c r="N374" s="1123"/>
      <c r="O374" s="1119"/>
      <c r="P374" s="1119"/>
      <c r="Q374" s="1119"/>
      <c r="R374" s="1171"/>
      <c r="S374" s="1196"/>
      <c r="T374" s="1119"/>
      <c r="U374" s="1119"/>
      <c r="V374" s="1119"/>
      <c r="W374" s="1119"/>
      <c r="X374" s="1076"/>
      <c r="Y374" s="108" t="s">
        <v>630</v>
      </c>
      <c r="Z374" s="109">
        <v>3359320.6</v>
      </c>
      <c r="AA374" s="109">
        <v>-1343724.24</v>
      </c>
      <c r="AB374" s="109">
        <f t="shared" si="28"/>
        <v>2015596.36</v>
      </c>
      <c r="AC374" s="97"/>
      <c r="AD374" s="119">
        <v>0</v>
      </c>
      <c r="AE374" s="119" t="s">
        <v>7</v>
      </c>
      <c r="AF374" s="1084"/>
      <c r="AG374" s="1084"/>
      <c r="AH374" s="111">
        <f t="shared" si="29"/>
        <v>2015596.36</v>
      </c>
      <c r="AI374" s="1084"/>
      <c r="AJ374" s="1119"/>
      <c r="AK374" s="1119"/>
      <c r="AL374" s="1119"/>
      <c r="AM374" s="1119"/>
      <c r="AN374" s="1203"/>
      <c r="AO374" s="1204"/>
    </row>
    <row r="375" spans="1:41" ht="15" customHeight="1">
      <c r="A375" s="1076" t="s">
        <v>639</v>
      </c>
      <c r="B375" s="1171">
        <v>40368</v>
      </c>
      <c r="C375" s="1076" t="s">
        <v>43</v>
      </c>
      <c r="D375" s="1076" t="s">
        <v>641</v>
      </c>
      <c r="E375" s="1252">
        <v>7161756</v>
      </c>
      <c r="F375" s="1252"/>
      <c r="G375" s="1076" t="s">
        <v>2784</v>
      </c>
      <c r="H375" s="1076" t="s">
        <v>72</v>
      </c>
      <c r="I375" s="1076" t="s">
        <v>177</v>
      </c>
      <c r="J375" s="1076" t="s">
        <v>66</v>
      </c>
      <c r="K375" s="1076" t="s">
        <v>183</v>
      </c>
      <c r="L375" s="1076" t="s">
        <v>650</v>
      </c>
      <c r="M375" s="1251">
        <v>91</v>
      </c>
      <c r="N375" s="1123" t="s">
        <v>137</v>
      </c>
      <c r="O375" s="1119">
        <v>39788000</v>
      </c>
      <c r="P375" s="1119">
        <v>99470000</v>
      </c>
      <c r="Q375" s="1119">
        <v>149031957</v>
      </c>
      <c r="R375" s="1171">
        <v>40707</v>
      </c>
      <c r="S375" s="1196">
        <f>T375+T378</f>
        <v>99470000</v>
      </c>
      <c r="T375" s="1119">
        <v>39788000</v>
      </c>
      <c r="U375" s="1119">
        <f>O375-T375</f>
        <v>0</v>
      </c>
      <c r="V375" s="1258">
        <v>39712971.200000003</v>
      </c>
      <c r="W375" s="1119">
        <v>148844385</v>
      </c>
      <c r="X375" s="1076" t="s">
        <v>467</v>
      </c>
      <c r="Y375" s="1123" t="s">
        <v>644</v>
      </c>
      <c r="Z375" s="109">
        <v>0</v>
      </c>
      <c r="AA375" s="109">
        <v>15885188.480000002</v>
      </c>
      <c r="AB375" s="109">
        <f t="shared" si="28"/>
        <v>15885188.480000002</v>
      </c>
      <c r="AC375" s="1171">
        <v>40450</v>
      </c>
      <c r="AD375" s="119">
        <v>15885188</v>
      </c>
      <c r="AE375" s="119" t="s">
        <v>137</v>
      </c>
      <c r="AF375" s="1084">
        <f>SUM(AD375:AD380)</f>
        <v>99282428</v>
      </c>
      <c r="AG375" s="1084">
        <f>AF375+AF381+AF383</f>
        <v>148844385</v>
      </c>
      <c r="AH375" s="111">
        <f t="shared" si="29"/>
        <v>0.48000000230967999</v>
      </c>
      <c r="AI375" s="1084">
        <f>O375-AD375-AD377-AD379</f>
        <v>75029.430000001099</v>
      </c>
      <c r="AJ375" s="1119">
        <f>SUM(Z375:Z380)-SUM(AD375:AD380)</f>
        <v>0</v>
      </c>
      <c r="AK375" s="1119">
        <f>O375-V375</f>
        <v>75028.79999999702</v>
      </c>
      <c r="AL375" s="1119">
        <f>SUM(V375:V380)-SUM(Z375:Z380)</f>
        <v>0</v>
      </c>
      <c r="AM375" s="1119">
        <f>AK375+AK378+AL375</f>
        <v>187572</v>
      </c>
      <c r="AN375" s="1203" t="s">
        <v>642</v>
      </c>
      <c r="AO375" s="1204" t="s">
        <v>775</v>
      </c>
    </row>
    <row r="376" spans="1:41" ht="15" customHeight="1">
      <c r="A376" s="1076"/>
      <c r="B376" s="1171"/>
      <c r="C376" s="1076"/>
      <c r="D376" s="1076"/>
      <c r="E376" s="1252"/>
      <c r="F376" s="1252"/>
      <c r="G376" s="1076"/>
      <c r="H376" s="1076"/>
      <c r="I376" s="1076"/>
      <c r="J376" s="1076"/>
      <c r="K376" s="1076"/>
      <c r="L376" s="1076"/>
      <c r="M376" s="1251"/>
      <c r="N376" s="1123"/>
      <c r="O376" s="1119"/>
      <c r="P376" s="1119"/>
      <c r="Q376" s="1119"/>
      <c r="R376" s="1171"/>
      <c r="S376" s="1196"/>
      <c r="T376" s="1119"/>
      <c r="U376" s="1119"/>
      <c r="V376" s="1258"/>
      <c r="W376" s="1119"/>
      <c r="X376" s="1076"/>
      <c r="Y376" s="1123"/>
      <c r="Z376" s="109">
        <v>0</v>
      </c>
      <c r="AA376" s="109">
        <v>23827782.719999999</v>
      </c>
      <c r="AB376" s="109">
        <f t="shared" si="28"/>
        <v>23827782.719999999</v>
      </c>
      <c r="AC376" s="1171"/>
      <c r="AD376" s="119">
        <v>23827783</v>
      </c>
      <c r="AE376" s="119" t="s">
        <v>7</v>
      </c>
      <c r="AF376" s="1084"/>
      <c r="AG376" s="1084"/>
      <c r="AH376" s="111">
        <f t="shared" si="29"/>
        <v>-0.2800000011920929</v>
      </c>
      <c r="AI376" s="1084"/>
      <c r="AJ376" s="1119"/>
      <c r="AK376" s="1119"/>
      <c r="AL376" s="1119"/>
      <c r="AM376" s="1119"/>
      <c r="AN376" s="1203"/>
      <c r="AO376" s="1204"/>
    </row>
    <row r="377" spans="1:41" ht="15" customHeight="1">
      <c r="A377" s="1076"/>
      <c r="B377" s="1171"/>
      <c r="C377" s="1076"/>
      <c r="D377" s="1076"/>
      <c r="E377" s="1252"/>
      <c r="F377" s="1252"/>
      <c r="G377" s="1076"/>
      <c r="H377" s="1076"/>
      <c r="I377" s="1076"/>
      <c r="J377" s="1076"/>
      <c r="K377" s="1076"/>
      <c r="L377" s="1076"/>
      <c r="M377" s="1251"/>
      <c r="N377" s="1123"/>
      <c r="O377" s="1119"/>
      <c r="P377" s="1119"/>
      <c r="Q377" s="1119"/>
      <c r="R377" s="1171"/>
      <c r="S377" s="1196"/>
      <c r="T377" s="1119"/>
      <c r="U377" s="1119"/>
      <c r="V377" s="1258"/>
      <c r="W377" s="1119"/>
      <c r="X377" s="1076"/>
      <c r="Y377" s="1123" t="s">
        <v>645</v>
      </c>
      <c r="Z377" s="109">
        <v>33080905.200000003</v>
      </c>
      <c r="AA377" s="109">
        <v>-13232362.23</v>
      </c>
      <c r="AB377" s="109">
        <f t="shared" si="28"/>
        <v>19848542.970000003</v>
      </c>
      <c r="AC377" s="1171">
        <v>40722</v>
      </c>
      <c r="AD377" s="119">
        <v>19848542.969999999</v>
      </c>
      <c r="AE377" s="119" t="s">
        <v>137</v>
      </c>
      <c r="AF377" s="1084"/>
      <c r="AG377" s="1084"/>
      <c r="AH377" s="111">
        <f t="shared" si="29"/>
        <v>0</v>
      </c>
      <c r="AI377" s="1084"/>
      <c r="AJ377" s="1119"/>
      <c r="AK377" s="1119"/>
      <c r="AL377" s="1119"/>
      <c r="AM377" s="1119"/>
      <c r="AN377" s="1203"/>
      <c r="AO377" s="1204"/>
    </row>
    <row r="378" spans="1:41" ht="15" customHeight="1">
      <c r="A378" s="1076"/>
      <c r="B378" s="1171"/>
      <c r="C378" s="1076"/>
      <c r="D378" s="1076"/>
      <c r="E378" s="1252"/>
      <c r="F378" s="1252"/>
      <c r="G378" s="1076"/>
      <c r="H378" s="1076"/>
      <c r="I378" s="1076"/>
      <c r="J378" s="1076"/>
      <c r="K378" s="1076"/>
      <c r="L378" s="1076"/>
      <c r="M378" s="1251"/>
      <c r="N378" s="1123" t="s">
        <v>7</v>
      </c>
      <c r="O378" s="1119">
        <v>59682000</v>
      </c>
      <c r="P378" s="1119"/>
      <c r="Q378" s="1119"/>
      <c r="R378" s="1171"/>
      <c r="S378" s="1196"/>
      <c r="T378" s="1119">
        <v>59682000</v>
      </c>
      <c r="U378" s="1119">
        <f>O378-T378</f>
        <v>0</v>
      </c>
      <c r="V378" s="1119">
        <v>59569456.799999997</v>
      </c>
      <c r="W378" s="1119"/>
      <c r="X378" s="1076"/>
      <c r="Y378" s="1123"/>
      <c r="Z378" s="109">
        <v>49621357.799999997</v>
      </c>
      <c r="AA378" s="109">
        <v>-19848542.77</v>
      </c>
      <c r="AB378" s="109">
        <f t="shared" si="28"/>
        <v>29772815.029999997</v>
      </c>
      <c r="AC378" s="1171"/>
      <c r="AD378" s="119">
        <v>29772815.030000001</v>
      </c>
      <c r="AE378" s="119" t="s">
        <v>7</v>
      </c>
      <c r="AF378" s="1084"/>
      <c r="AG378" s="1084"/>
      <c r="AH378" s="111">
        <f t="shared" si="29"/>
        <v>0</v>
      </c>
      <c r="AI378" s="1084">
        <f>O378-AD376-AD378-AD380</f>
        <v>112542.56999999844</v>
      </c>
      <c r="AJ378" s="1119"/>
      <c r="AK378" s="1119">
        <f>O378-V378</f>
        <v>112543.20000000298</v>
      </c>
      <c r="AL378" s="1119"/>
      <c r="AM378" s="1119"/>
      <c r="AN378" s="1203"/>
      <c r="AO378" s="1204"/>
    </row>
    <row r="379" spans="1:41" ht="15" customHeight="1">
      <c r="A379" s="1076"/>
      <c r="B379" s="1171"/>
      <c r="C379" s="1076"/>
      <c r="D379" s="1076"/>
      <c r="E379" s="1252"/>
      <c r="F379" s="1252"/>
      <c r="G379" s="1076"/>
      <c r="H379" s="1076"/>
      <c r="I379" s="1076"/>
      <c r="J379" s="1076"/>
      <c r="K379" s="1076"/>
      <c r="L379" s="1076"/>
      <c r="M379" s="1251"/>
      <c r="N379" s="1123"/>
      <c r="O379" s="1119"/>
      <c r="P379" s="1119"/>
      <c r="Q379" s="1119"/>
      <c r="R379" s="1171"/>
      <c r="S379" s="1196"/>
      <c r="T379" s="1119"/>
      <c r="U379" s="1119"/>
      <c r="V379" s="1119"/>
      <c r="W379" s="1119"/>
      <c r="X379" s="1076"/>
      <c r="Y379" s="1123" t="s">
        <v>647</v>
      </c>
      <c r="Z379" s="109">
        <v>6632066</v>
      </c>
      <c r="AA379" s="109">
        <v>-2652826.4</v>
      </c>
      <c r="AB379" s="109">
        <f t="shared" si="28"/>
        <v>3979239.6</v>
      </c>
      <c r="AC379" s="1171">
        <v>41974</v>
      </c>
      <c r="AD379" s="119">
        <v>3979239.6</v>
      </c>
      <c r="AE379" s="119" t="s">
        <v>137</v>
      </c>
      <c r="AF379" s="1084"/>
      <c r="AG379" s="1084"/>
      <c r="AH379" s="111">
        <f t="shared" si="29"/>
        <v>0</v>
      </c>
      <c r="AI379" s="1084"/>
      <c r="AJ379" s="1119"/>
      <c r="AK379" s="1119"/>
      <c r="AL379" s="1119"/>
      <c r="AM379" s="1119"/>
      <c r="AN379" s="1203"/>
      <c r="AO379" s="1204"/>
    </row>
    <row r="380" spans="1:41" ht="15" customHeight="1">
      <c r="A380" s="1076"/>
      <c r="B380" s="1171"/>
      <c r="C380" s="1076"/>
      <c r="D380" s="1076"/>
      <c r="E380" s="1252"/>
      <c r="F380" s="1252"/>
      <c r="G380" s="1076"/>
      <c r="H380" s="1076"/>
      <c r="I380" s="1076"/>
      <c r="J380" s="1076"/>
      <c r="K380" s="1076"/>
      <c r="L380" s="1076"/>
      <c r="M380" s="1251"/>
      <c r="N380" s="1123"/>
      <c r="O380" s="1119"/>
      <c r="P380" s="1119"/>
      <c r="Q380" s="1119"/>
      <c r="R380" s="1171"/>
      <c r="S380" s="1196"/>
      <c r="T380" s="1119"/>
      <c r="U380" s="1119"/>
      <c r="V380" s="1119"/>
      <c r="W380" s="1119"/>
      <c r="X380" s="1076"/>
      <c r="Y380" s="1123"/>
      <c r="Z380" s="109">
        <v>9948099</v>
      </c>
      <c r="AA380" s="109">
        <v>-3979239.6</v>
      </c>
      <c r="AB380" s="109">
        <f t="shared" si="28"/>
        <v>5968859.4000000004</v>
      </c>
      <c r="AC380" s="1171"/>
      <c r="AD380" s="119">
        <v>5968859.4000000004</v>
      </c>
      <c r="AE380" s="119" t="s">
        <v>7</v>
      </c>
      <c r="AF380" s="1084"/>
      <c r="AG380" s="1084"/>
      <c r="AH380" s="111">
        <f t="shared" si="29"/>
        <v>0</v>
      </c>
      <c r="AI380" s="1084"/>
      <c r="AJ380" s="1119"/>
      <c r="AK380" s="1119"/>
      <c r="AL380" s="1119"/>
      <c r="AM380" s="1119"/>
      <c r="AN380" s="1203"/>
      <c r="AO380" s="1204"/>
    </row>
    <row r="381" spans="1:41" ht="15" customHeight="1">
      <c r="A381" s="1076"/>
      <c r="B381" s="1171"/>
      <c r="C381" s="1076"/>
      <c r="D381" s="1076"/>
      <c r="E381" s="1252"/>
      <c r="F381" s="1252"/>
      <c r="G381" s="1076"/>
      <c r="H381" s="1076"/>
      <c r="I381" s="1076"/>
      <c r="J381" s="1076" t="s">
        <v>67</v>
      </c>
      <c r="K381" s="1076"/>
      <c r="L381" s="1076"/>
      <c r="M381" s="1251">
        <v>167</v>
      </c>
      <c r="N381" s="1123" t="s">
        <v>7</v>
      </c>
      <c r="O381" s="1119">
        <v>25109273</v>
      </c>
      <c r="P381" s="1119">
        <v>25109273</v>
      </c>
      <c r="Q381" s="1119"/>
      <c r="R381" s="1171">
        <v>40413</v>
      </c>
      <c r="S381" s="1196">
        <v>25109273</v>
      </c>
      <c r="T381" s="1119">
        <v>25109273</v>
      </c>
      <c r="U381" s="1119">
        <f>O381-T381</f>
        <v>0</v>
      </c>
      <c r="V381" s="1119">
        <v>25109273</v>
      </c>
      <c r="W381" s="1119"/>
      <c r="X381" s="1076"/>
      <c r="Y381" s="108" t="s">
        <v>646</v>
      </c>
      <c r="Z381" s="109">
        <v>22598346</v>
      </c>
      <c r="AA381" s="109">
        <v>0</v>
      </c>
      <c r="AB381" s="109">
        <f t="shared" si="28"/>
        <v>22598346</v>
      </c>
      <c r="AC381" s="97">
        <v>41103</v>
      </c>
      <c r="AD381" s="119">
        <v>22598346</v>
      </c>
      <c r="AE381" s="119" t="s">
        <v>7</v>
      </c>
      <c r="AF381" s="1084">
        <f>AD381+AD382</f>
        <v>25109273</v>
      </c>
      <c r="AG381" s="1084"/>
      <c r="AH381" s="111">
        <f t="shared" si="29"/>
        <v>0</v>
      </c>
      <c r="AI381" s="1084">
        <f>O381-AD381-AD382</f>
        <v>0</v>
      </c>
      <c r="AJ381" s="1119">
        <f>SUM(Z381:Z382)-SUM(AD381:AD382)</f>
        <v>0</v>
      </c>
      <c r="AK381" s="1119">
        <f>P381-V381</f>
        <v>0</v>
      </c>
      <c r="AL381" s="1119">
        <f>V381-Z381-Z382</f>
        <v>0</v>
      </c>
      <c r="AM381" s="1119">
        <f>AK381+AL381</f>
        <v>0</v>
      </c>
      <c r="AN381" s="1203"/>
      <c r="AO381" s="1204"/>
    </row>
    <row r="382" spans="1:41" ht="15" customHeight="1">
      <c r="A382" s="1076"/>
      <c r="B382" s="1171"/>
      <c r="C382" s="1076"/>
      <c r="D382" s="1076"/>
      <c r="E382" s="1252"/>
      <c r="F382" s="1252"/>
      <c r="G382" s="1076"/>
      <c r="H382" s="1076"/>
      <c r="I382" s="1076"/>
      <c r="J382" s="1076"/>
      <c r="K382" s="1076"/>
      <c r="L382" s="1076"/>
      <c r="M382" s="1251"/>
      <c r="N382" s="1123"/>
      <c r="O382" s="1119"/>
      <c r="P382" s="1119"/>
      <c r="Q382" s="1119"/>
      <c r="R382" s="1171"/>
      <c r="S382" s="1196"/>
      <c r="T382" s="1119"/>
      <c r="U382" s="1119"/>
      <c r="V382" s="1119"/>
      <c r="W382" s="1119"/>
      <c r="X382" s="1076"/>
      <c r="Y382" s="108" t="s">
        <v>648</v>
      </c>
      <c r="Z382" s="109">
        <v>2510927</v>
      </c>
      <c r="AA382" s="109">
        <v>0</v>
      </c>
      <c r="AB382" s="109">
        <f t="shared" si="28"/>
        <v>2510927</v>
      </c>
      <c r="AC382" s="97">
        <v>41974</v>
      </c>
      <c r="AD382" s="119">
        <v>2510927</v>
      </c>
      <c r="AE382" s="119" t="s">
        <v>7</v>
      </c>
      <c r="AF382" s="1084"/>
      <c r="AG382" s="1084"/>
      <c r="AH382" s="111">
        <f t="shared" si="29"/>
        <v>0</v>
      </c>
      <c r="AI382" s="1084"/>
      <c r="AJ382" s="1119"/>
      <c r="AK382" s="1119"/>
      <c r="AL382" s="1119"/>
      <c r="AM382" s="1119"/>
      <c r="AN382" s="1203"/>
      <c r="AO382" s="1204"/>
    </row>
    <row r="383" spans="1:41" ht="15" customHeight="1">
      <c r="A383" s="1076"/>
      <c r="B383" s="1171"/>
      <c r="C383" s="1076"/>
      <c r="D383" s="1076"/>
      <c r="E383" s="1252"/>
      <c r="F383" s="1252"/>
      <c r="G383" s="1076"/>
      <c r="H383" s="1076"/>
      <c r="I383" s="1076"/>
      <c r="J383" s="1076" t="s">
        <v>171</v>
      </c>
      <c r="K383" s="1076"/>
      <c r="L383" s="1076"/>
      <c r="M383" s="1251">
        <v>174</v>
      </c>
      <c r="N383" s="1123" t="s">
        <v>7</v>
      </c>
      <c r="O383" s="1119">
        <v>24452684</v>
      </c>
      <c r="P383" s="1119">
        <v>24452684</v>
      </c>
      <c r="Q383" s="1119"/>
      <c r="R383" s="1171">
        <v>40745</v>
      </c>
      <c r="S383" s="1196">
        <f>T383</f>
        <v>24452684</v>
      </c>
      <c r="T383" s="1119">
        <v>24452684</v>
      </c>
      <c r="U383" s="1119">
        <f>O383-T383</f>
        <v>0</v>
      </c>
      <c r="V383" s="1119">
        <v>24452684</v>
      </c>
      <c r="W383" s="1119"/>
      <c r="X383" s="1076"/>
      <c r="Y383" s="108" t="s">
        <v>643</v>
      </c>
      <c r="Z383" s="109">
        <v>22007416</v>
      </c>
      <c r="AA383" s="109">
        <v>0</v>
      </c>
      <c r="AB383" s="109">
        <f t="shared" si="28"/>
        <v>22007416</v>
      </c>
      <c r="AC383" s="97">
        <v>41079</v>
      </c>
      <c r="AD383" s="119">
        <v>22007416</v>
      </c>
      <c r="AE383" s="119" t="s">
        <v>7</v>
      </c>
      <c r="AF383" s="1084">
        <f>AD383+AD384</f>
        <v>24452684</v>
      </c>
      <c r="AG383" s="1084"/>
      <c r="AH383" s="111">
        <f t="shared" si="29"/>
        <v>0</v>
      </c>
      <c r="AI383" s="1084">
        <f>O383-AD383-AD384</f>
        <v>0</v>
      </c>
      <c r="AJ383" s="1119">
        <f>SUM(Z383:Z384)-SUM(AD383:AD384)</f>
        <v>0</v>
      </c>
      <c r="AK383" s="1119">
        <f>P383-V383</f>
        <v>0</v>
      </c>
      <c r="AL383" s="1119">
        <f>V383-Z383-Z384</f>
        <v>0</v>
      </c>
      <c r="AM383" s="1119">
        <f>AK383+AL383</f>
        <v>0</v>
      </c>
      <c r="AN383" s="1203"/>
      <c r="AO383" s="1204"/>
    </row>
    <row r="384" spans="1:41" ht="15" customHeight="1">
      <c r="A384" s="1076"/>
      <c r="B384" s="1171"/>
      <c r="C384" s="1076"/>
      <c r="D384" s="1076"/>
      <c r="E384" s="1252"/>
      <c r="F384" s="1252"/>
      <c r="G384" s="1076"/>
      <c r="H384" s="1076"/>
      <c r="I384" s="1076"/>
      <c r="J384" s="1076"/>
      <c r="K384" s="1076"/>
      <c r="L384" s="1076"/>
      <c r="M384" s="1251"/>
      <c r="N384" s="1123"/>
      <c r="O384" s="1119"/>
      <c r="P384" s="1119"/>
      <c r="Q384" s="1119"/>
      <c r="R384" s="1171"/>
      <c r="S384" s="1196"/>
      <c r="T384" s="1119"/>
      <c r="U384" s="1119"/>
      <c r="V384" s="1119"/>
      <c r="W384" s="1119"/>
      <c r="X384" s="1076"/>
      <c r="Y384" s="108" t="s">
        <v>649</v>
      </c>
      <c r="Z384" s="109">
        <v>2445268</v>
      </c>
      <c r="AA384" s="109">
        <v>0</v>
      </c>
      <c r="AB384" s="109">
        <f t="shared" si="28"/>
        <v>2445268</v>
      </c>
      <c r="AC384" s="97">
        <v>41974</v>
      </c>
      <c r="AD384" s="119">
        <v>2445268</v>
      </c>
      <c r="AE384" s="119" t="s">
        <v>7</v>
      </c>
      <c r="AF384" s="1084"/>
      <c r="AG384" s="1084"/>
      <c r="AH384" s="111">
        <f t="shared" si="29"/>
        <v>0</v>
      </c>
      <c r="AI384" s="1084"/>
      <c r="AJ384" s="1119"/>
      <c r="AK384" s="1119"/>
      <c r="AL384" s="1119"/>
      <c r="AM384" s="1119"/>
      <c r="AN384" s="1203"/>
      <c r="AO384" s="1204"/>
    </row>
    <row r="385" spans="1:43" s="26" customFormat="1" ht="15" customHeight="1">
      <c r="A385" s="1280" t="s">
        <v>653</v>
      </c>
      <c r="B385" s="1171">
        <v>40372</v>
      </c>
      <c r="C385" s="1260" t="s">
        <v>18</v>
      </c>
      <c r="D385" s="1260" t="s">
        <v>655</v>
      </c>
      <c r="E385" s="1252">
        <v>900368911</v>
      </c>
      <c r="F385" s="1252">
        <v>1</v>
      </c>
      <c r="G385" s="1260" t="s">
        <v>2834</v>
      </c>
      <c r="H385" s="1260" t="s">
        <v>72</v>
      </c>
      <c r="I385" s="1260" t="s">
        <v>177</v>
      </c>
      <c r="J385" s="1260" t="s">
        <v>66</v>
      </c>
      <c r="K385" s="1260" t="s">
        <v>49</v>
      </c>
      <c r="L385" s="1260" t="s">
        <v>657</v>
      </c>
      <c r="M385" s="1251">
        <v>92</v>
      </c>
      <c r="N385" s="1123" t="s">
        <v>137</v>
      </c>
      <c r="O385" s="1119">
        <v>29232000</v>
      </c>
      <c r="P385" s="1119">
        <v>73080000</v>
      </c>
      <c r="Q385" s="1119">
        <f>P385</f>
        <v>73080000</v>
      </c>
      <c r="R385" s="1171">
        <v>40413</v>
      </c>
      <c r="S385" s="1119">
        <f>T385+T387</f>
        <v>73080000</v>
      </c>
      <c r="T385" s="1119">
        <v>29232000</v>
      </c>
      <c r="U385" s="1119">
        <f>O385-T385</f>
        <v>0</v>
      </c>
      <c r="V385" s="1119">
        <v>29232000</v>
      </c>
      <c r="W385" s="1119">
        <v>73080000</v>
      </c>
      <c r="X385" s="1203" t="s">
        <v>467</v>
      </c>
      <c r="Y385" s="1123" t="s">
        <v>658</v>
      </c>
      <c r="Z385" s="109">
        <v>0</v>
      </c>
      <c r="AA385" s="109">
        <v>11692800</v>
      </c>
      <c r="AB385" s="109">
        <f t="shared" si="28"/>
        <v>11692800</v>
      </c>
      <c r="AC385" s="1171">
        <v>40466</v>
      </c>
      <c r="AD385" s="134">
        <v>11692800</v>
      </c>
      <c r="AE385" s="109" t="s">
        <v>137</v>
      </c>
      <c r="AF385" s="1119">
        <f>SUM(AD385:AD388)</f>
        <v>68695200</v>
      </c>
      <c r="AG385" s="1119">
        <f>AF385</f>
        <v>68695200</v>
      </c>
      <c r="AH385" s="109">
        <f t="shared" si="29"/>
        <v>0</v>
      </c>
      <c r="AI385" s="1119">
        <f>O385-AD385-AD387</f>
        <v>1753920</v>
      </c>
      <c r="AJ385" s="1119">
        <f>SUM(Z385:Z388)-SUM(AD385:AD388)</f>
        <v>-2923200</v>
      </c>
      <c r="AK385" s="1119">
        <f>P385-W385</f>
        <v>0</v>
      </c>
      <c r="AL385" s="1119">
        <f>SUM(V385:V388)-SUM(Z385:Z388)+AJ385</f>
        <v>4384800</v>
      </c>
      <c r="AM385" s="1119"/>
      <c r="AN385" s="1260" t="s">
        <v>660</v>
      </c>
      <c r="AO385" s="1297" t="s">
        <v>2908</v>
      </c>
      <c r="AQ385" s="934"/>
    </row>
    <row r="386" spans="1:43" s="26" customFormat="1" ht="15" customHeight="1">
      <c r="A386" s="1280"/>
      <c r="B386" s="1171"/>
      <c r="C386" s="1260"/>
      <c r="D386" s="1260"/>
      <c r="E386" s="1252"/>
      <c r="F386" s="1252"/>
      <c r="G386" s="1260"/>
      <c r="H386" s="1260"/>
      <c r="I386" s="1260"/>
      <c r="J386" s="1260"/>
      <c r="K386" s="1260"/>
      <c r="L386" s="1260"/>
      <c r="M386" s="1251"/>
      <c r="N386" s="1123"/>
      <c r="O386" s="1119"/>
      <c r="P386" s="1119"/>
      <c r="Q386" s="1119"/>
      <c r="R386" s="1171"/>
      <c r="S386" s="1119"/>
      <c r="T386" s="1119"/>
      <c r="U386" s="1119"/>
      <c r="V386" s="1119"/>
      <c r="W386" s="1119"/>
      <c r="X386" s="1203"/>
      <c r="Y386" s="1123"/>
      <c r="Z386" s="109">
        <v>0</v>
      </c>
      <c r="AA386" s="109">
        <v>17539200</v>
      </c>
      <c r="AB386" s="109">
        <f t="shared" si="28"/>
        <v>17539200</v>
      </c>
      <c r="AC386" s="1171"/>
      <c r="AD386" s="134">
        <v>17539200</v>
      </c>
      <c r="AE386" s="109" t="s">
        <v>7</v>
      </c>
      <c r="AF386" s="1119"/>
      <c r="AG386" s="1119"/>
      <c r="AH386" s="109">
        <f t="shared" si="29"/>
        <v>0</v>
      </c>
      <c r="AI386" s="1119"/>
      <c r="AJ386" s="1119"/>
      <c r="AK386" s="1119"/>
      <c r="AL386" s="1119"/>
      <c r="AM386" s="1119"/>
      <c r="AN386" s="1260"/>
      <c r="AO386" s="1260"/>
      <c r="AQ386" s="934"/>
    </row>
    <row r="387" spans="1:43" s="26" customFormat="1" ht="15" customHeight="1">
      <c r="A387" s="1280"/>
      <c r="B387" s="1171"/>
      <c r="C387" s="1260"/>
      <c r="D387" s="1260"/>
      <c r="E387" s="1252"/>
      <c r="F387" s="1252"/>
      <c r="G387" s="1260"/>
      <c r="H387" s="1260"/>
      <c r="I387" s="1260"/>
      <c r="J387" s="1260"/>
      <c r="K387" s="1260"/>
      <c r="L387" s="1260"/>
      <c r="M387" s="1251"/>
      <c r="N387" s="1123" t="s">
        <v>7</v>
      </c>
      <c r="O387" s="1119">
        <v>43848000</v>
      </c>
      <c r="P387" s="1119"/>
      <c r="Q387" s="1119"/>
      <c r="R387" s="1171"/>
      <c r="S387" s="1119"/>
      <c r="T387" s="1119">
        <v>43848000</v>
      </c>
      <c r="U387" s="1119">
        <f>O387-T387</f>
        <v>0</v>
      </c>
      <c r="V387" s="1119">
        <v>43848000</v>
      </c>
      <c r="W387" s="1119"/>
      <c r="X387" s="1203"/>
      <c r="Y387" s="1123" t="s">
        <v>659</v>
      </c>
      <c r="Z387" s="109">
        <v>26308800</v>
      </c>
      <c r="AA387" s="109">
        <v>-10523520</v>
      </c>
      <c r="AB387" s="109">
        <f t="shared" si="28"/>
        <v>15785280</v>
      </c>
      <c r="AC387" s="1171">
        <v>41297</v>
      </c>
      <c r="AD387" s="134">
        <v>15785280</v>
      </c>
      <c r="AE387" s="109" t="s">
        <v>137</v>
      </c>
      <c r="AF387" s="1119"/>
      <c r="AG387" s="1119"/>
      <c r="AH387" s="109">
        <f t="shared" si="29"/>
        <v>0</v>
      </c>
      <c r="AI387" s="1119">
        <f>O387-AD386-AD388</f>
        <v>2630880</v>
      </c>
      <c r="AJ387" s="1119"/>
      <c r="AK387" s="1119"/>
      <c r="AL387" s="1119"/>
      <c r="AM387" s="1119"/>
      <c r="AN387" s="1260"/>
      <c r="AO387" s="1260"/>
      <c r="AQ387" s="934"/>
    </row>
    <row r="388" spans="1:43" s="26" customFormat="1" ht="15" customHeight="1">
      <c r="A388" s="1280"/>
      <c r="B388" s="1171"/>
      <c r="C388" s="1260"/>
      <c r="D388" s="1260"/>
      <c r="E388" s="1252"/>
      <c r="F388" s="1252"/>
      <c r="G388" s="1260"/>
      <c r="H388" s="1260"/>
      <c r="I388" s="1260"/>
      <c r="J388" s="1260"/>
      <c r="K388" s="1260"/>
      <c r="L388" s="1260"/>
      <c r="M388" s="1251"/>
      <c r="N388" s="1123"/>
      <c r="O388" s="1119"/>
      <c r="P388" s="1119"/>
      <c r="Q388" s="1119"/>
      <c r="R388" s="1171"/>
      <c r="S388" s="1119"/>
      <c r="T388" s="1119"/>
      <c r="U388" s="1119"/>
      <c r="V388" s="1119"/>
      <c r="W388" s="1119"/>
      <c r="X388" s="1203"/>
      <c r="Y388" s="1123"/>
      <c r="Z388" s="109">
        <v>39463200</v>
      </c>
      <c r="AA388" s="109">
        <v>-15785280</v>
      </c>
      <c r="AB388" s="109">
        <f t="shared" si="28"/>
        <v>23677920</v>
      </c>
      <c r="AC388" s="1171"/>
      <c r="AD388" s="134">
        <v>23677920</v>
      </c>
      <c r="AE388" s="109" t="s">
        <v>7</v>
      </c>
      <c r="AF388" s="1119"/>
      <c r="AG388" s="1119"/>
      <c r="AH388" s="109">
        <f t="shared" si="29"/>
        <v>0</v>
      </c>
      <c r="AI388" s="1119"/>
      <c r="AJ388" s="1119"/>
      <c r="AK388" s="1119"/>
      <c r="AL388" s="1119"/>
      <c r="AM388" s="1119"/>
      <c r="AN388" s="1260"/>
      <c r="AO388" s="1260"/>
      <c r="AQ388" s="934"/>
    </row>
    <row r="389" spans="1:43" s="26" customFormat="1" ht="15" customHeight="1">
      <c r="A389" s="1280" t="s">
        <v>654</v>
      </c>
      <c r="B389" s="1171">
        <v>40378</v>
      </c>
      <c r="C389" s="1260" t="s">
        <v>18</v>
      </c>
      <c r="D389" s="1260" t="s">
        <v>661</v>
      </c>
      <c r="E389" s="1252">
        <v>900368219</v>
      </c>
      <c r="F389" s="1252">
        <v>0</v>
      </c>
      <c r="G389" s="1260" t="s">
        <v>2835</v>
      </c>
      <c r="H389" s="1260" t="s">
        <v>72</v>
      </c>
      <c r="I389" s="1260" t="s">
        <v>177</v>
      </c>
      <c r="J389" s="1260" t="s">
        <v>66</v>
      </c>
      <c r="K389" s="1260" t="s">
        <v>217</v>
      </c>
      <c r="L389" s="1260" t="s">
        <v>663</v>
      </c>
      <c r="M389" s="1251">
        <v>93</v>
      </c>
      <c r="N389" s="108" t="s">
        <v>137</v>
      </c>
      <c r="O389" s="109">
        <v>17400000</v>
      </c>
      <c r="P389" s="1119">
        <f>O389+O390</f>
        <v>43500000</v>
      </c>
      <c r="Q389" s="1276">
        <f>P389+P392</f>
        <v>52256550</v>
      </c>
      <c r="R389" s="1171">
        <v>40413</v>
      </c>
      <c r="S389" s="1119">
        <f>T389+T390</f>
        <v>43500000</v>
      </c>
      <c r="T389" s="109">
        <v>17400000</v>
      </c>
      <c r="U389" s="109">
        <f>O389-T389</f>
        <v>0</v>
      </c>
      <c r="V389" s="109">
        <v>17386590.400000002</v>
      </c>
      <c r="W389" s="1284">
        <f>V389+V390+V392</f>
        <v>52223026</v>
      </c>
      <c r="X389" s="1203" t="s">
        <v>467</v>
      </c>
      <c r="Y389" s="1123" t="s">
        <v>664</v>
      </c>
      <c r="Z389" s="109">
        <v>15647931</v>
      </c>
      <c r="AA389" s="109">
        <v>0</v>
      </c>
      <c r="AB389" s="109">
        <f t="shared" si="28"/>
        <v>15647931</v>
      </c>
      <c r="AC389" s="1171">
        <v>41017</v>
      </c>
      <c r="AD389" s="134">
        <v>15647931</v>
      </c>
      <c r="AE389" s="109" t="s">
        <v>7</v>
      </c>
      <c r="AF389" s="1119">
        <f>SUM(AD389:AD391)</f>
        <v>39119828</v>
      </c>
      <c r="AG389" s="1119">
        <f>AF389+AF392</f>
        <v>47000723</v>
      </c>
      <c r="AH389" s="109">
        <f>Z389-AD389</f>
        <v>0</v>
      </c>
      <c r="AI389" s="109">
        <f>O389-AD390</f>
        <v>-6071897</v>
      </c>
      <c r="AJ389" s="1119">
        <f>SUM(Z389:Z391)-SUM(AD389:AD391)</f>
        <v>4346648</v>
      </c>
      <c r="AK389" s="109">
        <f>O389-V389</f>
        <v>13409.599999997765</v>
      </c>
      <c r="AL389" s="1119">
        <f>SUM(V389:V391)-SUM(Z389:Z391)</f>
        <v>0</v>
      </c>
      <c r="AM389" s="1119">
        <f>AK389+AK390+AL389</f>
        <v>33524</v>
      </c>
      <c r="AN389" s="1203" t="s">
        <v>512</v>
      </c>
      <c r="AO389" s="1203" t="s">
        <v>666</v>
      </c>
      <c r="AQ389" s="934"/>
    </row>
    <row r="390" spans="1:43" s="26" customFormat="1" ht="15" customHeight="1">
      <c r="A390" s="1280"/>
      <c r="B390" s="1171"/>
      <c r="C390" s="1260"/>
      <c r="D390" s="1260"/>
      <c r="E390" s="1252"/>
      <c r="F390" s="1252"/>
      <c r="G390" s="1260"/>
      <c r="H390" s="1260"/>
      <c r="I390" s="1260"/>
      <c r="J390" s="1260"/>
      <c r="K390" s="1260"/>
      <c r="L390" s="1260"/>
      <c r="M390" s="1251"/>
      <c r="N390" s="1123" t="s">
        <v>7</v>
      </c>
      <c r="O390" s="1119">
        <v>26100000</v>
      </c>
      <c r="P390" s="1119"/>
      <c r="Q390" s="1276"/>
      <c r="R390" s="1171"/>
      <c r="S390" s="1119"/>
      <c r="T390" s="1119">
        <v>26100000</v>
      </c>
      <c r="U390" s="1119">
        <f>O390-T390</f>
        <v>0</v>
      </c>
      <c r="V390" s="1119">
        <v>26079885.599999998</v>
      </c>
      <c r="W390" s="1284"/>
      <c r="X390" s="1203"/>
      <c r="Y390" s="1123"/>
      <c r="Z390" s="109">
        <v>23471897</v>
      </c>
      <c r="AA390" s="109">
        <v>0</v>
      </c>
      <c r="AB390" s="109">
        <f t="shared" si="28"/>
        <v>23471897</v>
      </c>
      <c r="AC390" s="1171"/>
      <c r="AD390" s="134">
        <v>23471897</v>
      </c>
      <c r="AE390" s="109" t="s">
        <v>137</v>
      </c>
      <c r="AF390" s="1119"/>
      <c r="AG390" s="1119"/>
      <c r="AH390" s="109">
        <f>Z390-AD390</f>
        <v>0</v>
      </c>
      <c r="AI390" s="1119">
        <f>O390-AD389-AD391</f>
        <v>10452069</v>
      </c>
      <c r="AJ390" s="1119"/>
      <c r="AK390" s="1119">
        <f>O390-V390</f>
        <v>20114.400000002235</v>
      </c>
      <c r="AL390" s="1119"/>
      <c r="AM390" s="1119"/>
      <c r="AN390" s="1203"/>
      <c r="AO390" s="1203"/>
      <c r="AQ390" s="934"/>
    </row>
    <row r="391" spans="1:43" s="26" customFormat="1" ht="15" customHeight="1">
      <c r="A391" s="1280"/>
      <c r="B391" s="1171"/>
      <c r="C391" s="1260"/>
      <c r="D391" s="1260"/>
      <c r="E391" s="1252"/>
      <c r="F391" s="1252"/>
      <c r="G391" s="1260"/>
      <c r="H391" s="1260"/>
      <c r="I391" s="1260"/>
      <c r="J391" s="1260"/>
      <c r="K391" s="1260"/>
      <c r="L391" s="1260"/>
      <c r="M391" s="1251"/>
      <c r="N391" s="1123"/>
      <c r="O391" s="1119"/>
      <c r="P391" s="1119"/>
      <c r="Q391" s="1276"/>
      <c r="R391" s="1171"/>
      <c r="S391" s="1119"/>
      <c r="T391" s="1119"/>
      <c r="U391" s="1119"/>
      <c r="V391" s="1119"/>
      <c r="W391" s="1284"/>
      <c r="X391" s="1203"/>
      <c r="Y391" s="108" t="s">
        <v>767</v>
      </c>
      <c r="Z391" s="109">
        <v>4346648</v>
      </c>
      <c r="AA391" s="109">
        <v>0</v>
      </c>
      <c r="AB391" s="109">
        <f t="shared" si="28"/>
        <v>4346648</v>
      </c>
      <c r="AC391" s="97"/>
      <c r="AD391" s="134">
        <v>0</v>
      </c>
      <c r="AE391" s="109" t="s">
        <v>7</v>
      </c>
      <c r="AF391" s="1119"/>
      <c r="AG391" s="1119"/>
      <c r="AH391" s="109">
        <f>Z391-AD391</f>
        <v>4346648</v>
      </c>
      <c r="AI391" s="1119"/>
      <c r="AJ391" s="1119"/>
      <c r="AK391" s="1119"/>
      <c r="AL391" s="1119"/>
      <c r="AM391" s="1119"/>
      <c r="AN391" s="1203"/>
      <c r="AO391" s="1203"/>
      <c r="AQ391" s="934"/>
    </row>
    <row r="392" spans="1:43" s="26" customFormat="1" ht="15" customHeight="1">
      <c r="A392" s="1280"/>
      <c r="B392" s="1171"/>
      <c r="C392" s="1260"/>
      <c r="D392" s="1260"/>
      <c r="E392" s="1252"/>
      <c r="F392" s="1252"/>
      <c r="G392" s="1260"/>
      <c r="H392" s="1260"/>
      <c r="I392" s="1260"/>
      <c r="J392" s="1260" t="s">
        <v>67</v>
      </c>
      <c r="K392" s="1260"/>
      <c r="L392" s="1260"/>
      <c r="M392" s="1268">
        <v>174</v>
      </c>
      <c r="N392" s="1123" t="s">
        <v>7</v>
      </c>
      <c r="O392" s="1119">
        <v>8756550</v>
      </c>
      <c r="P392" s="1119">
        <f>O392</f>
        <v>8756550</v>
      </c>
      <c r="Q392" s="1276"/>
      <c r="R392" s="1171"/>
      <c r="S392" s="1119">
        <f>T392</f>
        <v>8756550</v>
      </c>
      <c r="T392" s="1119">
        <v>8756550</v>
      </c>
      <c r="U392" s="1119">
        <f>O392-T392</f>
        <v>0</v>
      </c>
      <c r="V392" s="1119">
        <v>8756550</v>
      </c>
      <c r="W392" s="1284"/>
      <c r="X392" s="1203"/>
      <c r="Y392" s="108" t="s">
        <v>665</v>
      </c>
      <c r="Z392" s="109">
        <v>7880895</v>
      </c>
      <c r="AA392" s="109">
        <v>0</v>
      </c>
      <c r="AB392" s="109">
        <f t="shared" si="28"/>
        <v>7880895</v>
      </c>
      <c r="AC392" s="97">
        <v>41017</v>
      </c>
      <c r="AD392" s="134">
        <v>7880895</v>
      </c>
      <c r="AE392" s="109" t="s">
        <v>7</v>
      </c>
      <c r="AF392" s="1119">
        <f>SUM(AD392:AD393)</f>
        <v>7880895</v>
      </c>
      <c r="AG392" s="1119"/>
      <c r="AH392" s="109">
        <f>Z392-AD392</f>
        <v>0</v>
      </c>
      <c r="AI392" s="1119">
        <f>O392-AD392-AD393</f>
        <v>875655</v>
      </c>
      <c r="AJ392" s="1119">
        <f>SUM(Z392:Z393)-SUM(AD392:AD393)</f>
        <v>875655</v>
      </c>
      <c r="AK392" s="1119">
        <f>P392-V392</f>
        <v>0</v>
      </c>
      <c r="AL392" s="1119">
        <f>V392-SUM(Z392:Z393)</f>
        <v>0</v>
      </c>
      <c r="AM392" s="1119">
        <f>AK392+AL392</f>
        <v>0</v>
      </c>
      <c r="AN392" s="1203"/>
      <c r="AO392" s="1203"/>
      <c r="AQ392" s="934"/>
    </row>
    <row r="393" spans="1:43" s="26" customFormat="1" ht="15" customHeight="1">
      <c r="A393" s="1280"/>
      <c r="B393" s="1171"/>
      <c r="C393" s="1260"/>
      <c r="D393" s="1260"/>
      <c r="E393" s="1252"/>
      <c r="F393" s="1252"/>
      <c r="G393" s="1260"/>
      <c r="H393" s="1260"/>
      <c r="I393" s="1260"/>
      <c r="J393" s="1260"/>
      <c r="K393" s="1260"/>
      <c r="L393" s="1260"/>
      <c r="M393" s="1268"/>
      <c r="N393" s="1123"/>
      <c r="O393" s="1119"/>
      <c r="P393" s="1119"/>
      <c r="Q393" s="1276"/>
      <c r="R393" s="1171"/>
      <c r="S393" s="1119"/>
      <c r="T393" s="1119"/>
      <c r="U393" s="1119"/>
      <c r="V393" s="1119"/>
      <c r="W393" s="1284"/>
      <c r="X393" s="1203"/>
      <c r="Y393" s="108" t="s">
        <v>767</v>
      </c>
      <c r="Z393" s="109">
        <v>875655</v>
      </c>
      <c r="AA393" s="109">
        <v>0</v>
      </c>
      <c r="AB393" s="109">
        <f t="shared" si="28"/>
        <v>875655</v>
      </c>
      <c r="AC393" s="97"/>
      <c r="AD393" s="134">
        <v>0</v>
      </c>
      <c r="AE393" s="533" t="s">
        <v>7</v>
      </c>
      <c r="AF393" s="1119"/>
      <c r="AG393" s="1119"/>
      <c r="AH393" s="109">
        <f>Z393-AD393</f>
        <v>875655</v>
      </c>
      <c r="AI393" s="1119"/>
      <c r="AJ393" s="1119"/>
      <c r="AK393" s="1119"/>
      <c r="AL393" s="1119"/>
      <c r="AM393" s="1119"/>
      <c r="AN393" s="1203"/>
      <c r="AO393" s="1203"/>
      <c r="AQ393" s="934"/>
    </row>
    <row r="394" spans="1:43" s="26" customFormat="1" ht="15" customHeight="1">
      <c r="A394" s="1280" t="s">
        <v>652</v>
      </c>
      <c r="B394" s="1171">
        <v>42942</v>
      </c>
      <c r="C394" s="1260" t="s">
        <v>34</v>
      </c>
      <c r="D394" s="1260" t="s">
        <v>667</v>
      </c>
      <c r="E394" s="1252">
        <v>900369520</v>
      </c>
      <c r="F394" s="1252">
        <v>8</v>
      </c>
      <c r="G394" s="1260" t="s">
        <v>2836</v>
      </c>
      <c r="H394" s="1260" t="s">
        <v>72</v>
      </c>
      <c r="I394" s="1260" t="s">
        <v>177</v>
      </c>
      <c r="J394" s="1260" t="s">
        <v>66</v>
      </c>
      <c r="K394" s="1260" t="s">
        <v>183</v>
      </c>
      <c r="L394" s="1260" t="s">
        <v>651</v>
      </c>
      <c r="M394" s="1251">
        <v>94</v>
      </c>
      <c r="N394" s="1123" t="s">
        <v>137</v>
      </c>
      <c r="O394" s="1119">
        <v>22968000</v>
      </c>
      <c r="P394" s="1119">
        <f>O394+O397</f>
        <v>57420000</v>
      </c>
      <c r="Q394" s="1119">
        <f>P394+P400</f>
        <v>77105200</v>
      </c>
      <c r="R394" s="1171">
        <v>40413</v>
      </c>
      <c r="S394" s="1119">
        <f>T394+T396</f>
        <v>22968000</v>
      </c>
      <c r="T394" s="1119">
        <v>22968000</v>
      </c>
      <c r="U394" s="1119">
        <f>O394-T394</f>
        <v>0</v>
      </c>
      <c r="V394" s="1119">
        <v>22968000</v>
      </c>
      <c r="W394" s="1119">
        <v>77105200</v>
      </c>
      <c r="X394" s="1203" t="s">
        <v>467</v>
      </c>
      <c r="Y394" s="535" t="s">
        <v>2651</v>
      </c>
      <c r="Z394" s="109">
        <v>0</v>
      </c>
      <c r="AA394" s="109">
        <v>9187200</v>
      </c>
      <c r="AB394" s="109">
        <f t="shared" si="28"/>
        <v>9187200</v>
      </c>
      <c r="AC394" s="534">
        <v>40490</v>
      </c>
      <c r="AD394" s="134">
        <v>9187200</v>
      </c>
      <c r="AE394" s="1062" t="s">
        <v>137</v>
      </c>
      <c r="AF394" s="1119">
        <f>SUM(AD394:AD399)</f>
        <v>57420000.019999996</v>
      </c>
      <c r="AG394" s="1119">
        <f>AF394+AF400</f>
        <v>77105200.019999996</v>
      </c>
      <c r="AH394" s="109">
        <f t="shared" ref="AH394:AH404" si="30">AB394-AD394</f>
        <v>0</v>
      </c>
      <c r="AI394" s="1119">
        <f>O394-AD394-AD397</f>
        <v>0</v>
      </c>
      <c r="AJ394" s="1119">
        <f>SUM(Z394:Z400)-SUM(AD394:AD400)</f>
        <v>-1.9999995827674866E-2</v>
      </c>
      <c r="AK394" s="1119">
        <f>Q394-W394</f>
        <v>0</v>
      </c>
      <c r="AL394" s="1119">
        <f>P394-V394-V397</f>
        <v>0</v>
      </c>
      <c r="AM394" s="1119">
        <f>AK394+AL394</f>
        <v>0</v>
      </c>
      <c r="AN394" s="1203"/>
      <c r="AO394" s="1283" t="s">
        <v>2372</v>
      </c>
      <c r="AQ394" s="934"/>
    </row>
    <row r="395" spans="1:43" s="26" customFormat="1" ht="15" customHeight="1">
      <c r="A395" s="1280"/>
      <c r="B395" s="1171"/>
      <c r="C395" s="1260"/>
      <c r="D395" s="1260"/>
      <c r="E395" s="1252"/>
      <c r="F395" s="1252"/>
      <c r="G395" s="1260"/>
      <c r="H395" s="1260"/>
      <c r="I395" s="1260"/>
      <c r="J395" s="1260"/>
      <c r="K395" s="1260"/>
      <c r="L395" s="1260"/>
      <c r="M395" s="1251"/>
      <c r="N395" s="1123"/>
      <c r="O395" s="1119"/>
      <c r="P395" s="1119"/>
      <c r="Q395" s="1119"/>
      <c r="R395" s="1171"/>
      <c r="S395" s="1119"/>
      <c r="T395" s="1119"/>
      <c r="U395" s="1119"/>
      <c r="V395" s="1119"/>
      <c r="W395" s="1119"/>
      <c r="X395" s="1203"/>
      <c r="Y395" s="535" t="s">
        <v>2648</v>
      </c>
      <c r="Z395" s="533"/>
      <c r="AA395" s="533"/>
      <c r="AB395" s="533"/>
      <c r="AC395" s="534">
        <v>43067</v>
      </c>
      <c r="AD395" s="536">
        <v>11919659.4</v>
      </c>
      <c r="AE395" s="1063"/>
      <c r="AF395" s="1119"/>
      <c r="AG395" s="1119"/>
      <c r="AH395" s="533"/>
      <c r="AI395" s="1119"/>
      <c r="AJ395" s="1119"/>
      <c r="AK395" s="1119"/>
      <c r="AL395" s="1119"/>
      <c r="AM395" s="1119"/>
      <c r="AN395" s="1203"/>
      <c r="AO395" s="1283"/>
      <c r="AQ395" s="934"/>
    </row>
    <row r="396" spans="1:43" s="26" customFormat="1" ht="15" customHeight="1">
      <c r="A396" s="1280"/>
      <c r="B396" s="1171"/>
      <c r="C396" s="1260"/>
      <c r="D396" s="1260"/>
      <c r="E396" s="1252"/>
      <c r="F396" s="1252"/>
      <c r="G396" s="1260"/>
      <c r="H396" s="1260"/>
      <c r="I396" s="1260"/>
      <c r="J396" s="1260"/>
      <c r="K396" s="1260"/>
      <c r="L396" s="1260"/>
      <c r="M396" s="1251"/>
      <c r="N396" s="1123"/>
      <c r="O396" s="1119"/>
      <c r="P396" s="1119"/>
      <c r="Q396" s="1119"/>
      <c r="R396" s="1171"/>
      <c r="S396" s="1119"/>
      <c r="T396" s="1119"/>
      <c r="U396" s="1119"/>
      <c r="V396" s="1119"/>
      <c r="W396" s="1119"/>
      <c r="X396" s="1203"/>
      <c r="Y396" s="535" t="s">
        <v>2650</v>
      </c>
      <c r="Z396" s="109">
        <v>0</v>
      </c>
      <c r="AA396" s="109">
        <v>13780800</v>
      </c>
      <c r="AB396" s="109">
        <f t="shared" si="28"/>
        <v>13780800</v>
      </c>
      <c r="AC396" s="534">
        <v>43069</v>
      </c>
      <c r="AD396" s="134">
        <v>1861140.61</v>
      </c>
      <c r="AE396" s="1064"/>
      <c r="AF396" s="1119"/>
      <c r="AG396" s="1119"/>
      <c r="AH396" s="109">
        <f t="shared" si="30"/>
        <v>11919659.390000001</v>
      </c>
      <c r="AI396" s="1119"/>
      <c r="AJ396" s="1119"/>
      <c r="AK396" s="1119"/>
      <c r="AL396" s="1119"/>
      <c r="AM396" s="1119"/>
      <c r="AN396" s="1203"/>
      <c r="AO396" s="1203"/>
      <c r="AQ396" s="934"/>
    </row>
    <row r="397" spans="1:43" s="26" customFormat="1" ht="15" customHeight="1">
      <c r="A397" s="1280"/>
      <c r="B397" s="1171"/>
      <c r="C397" s="1260"/>
      <c r="D397" s="1260"/>
      <c r="E397" s="1252"/>
      <c r="F397" s="1252"/>
      <c r="G397" s="1260"/>
      <c r="H397" s="1260"/>
      <c r="I397" s="1260"/>
      <c r="J397" s="1260"/>
      <c r="K397" s="1260"/>
      <c r="L397" s="1260"/>
      <c r="M397" s="1251"/>
      <c r="N397" s="1123" t="s">
        <v>7</v>
      </c>
      <c r="O397" s="1119">
        <v>34452000</v>
      </c>
      <c r="P397" s="1119"/>
      <c r="Q397" s="1119"/>
      <c r="R397" s="1171"/>
      <c r="S397" s="1119"/>
      <c r="T397" s="1119">
        <v>34452000</v>
      </c>
      <c r="U397" s="1119">
        <f>O397-T397</f>
        <v>0</v>
      </c>
      <c r="V397" s="1119">
        <v>34452000</v>
      </c>
      <c r="W397" s="1119"/>
      <c r="X397" s="1203"/>
      <c r="Y397" s="535" t="s">
        <v>2651</v>
      </c>
      <c r="Z397" s="109">
        <v>22968000</v>
      </c>
      <c r="AA397" s="109">
        <v>-9187200</v>
      </c>
      <c r="AB397" s="109">
        <f t="shared" si="28"/>
        <v>13780800</v>
      </c>
      <c r="AC397" s="97">
        <v>40490</v>
      </c>
      <c r="AD397" s="134">
        <v>13780800</v>
      </c>
      <c r="AE397" s="1062" t="s">
        <v>7</v>
      </c>
      <c r="AF397" s="1119"/>
      <c r="AG397" s="1119"/>
      <c r="AH397" s="109">
        <f t="shared" si="30"/>
        <v>0</v>
      </c>
      <c r="AI397" s="1119">
        <f>O397-AD396-AD399</f>
        <v>29799148.469999999</v>
      </c>
      <c r="AJ397" s="1119"/>
      <c r="AK397" s="1119"/>
      <c r="AL397" s="1119"/>
      <c r="AM397" s="1119"/>
      <c r="AN397" s="1203"/>
      <c r="AO397" s="1203"/>
      <c r="AQ397" s="934"/>
    </row>
    <row r="398" spans="1:43" s="26" customFormat="1" ht="15" customHeight="1">
      <c r="A398" s="1280"/>
      <c r="B398" s="1171"/>
      <c r="C398" s="1260"/>
      <c r="D398" s="1260"/>
      <c r="E398" s="1252"/>
      <c r="F398" s="1252"/>
      <c r="G398" s="1260"/>
      <c r="H398" s="1260"/>
      <c r="I398" s="1260"/>
      <c r="J398" s="1260"/>
      <c r="K398" s="1260"/>
      <c r="L398" s="1260"/>
      <c r="M398" s="1251"/>
      <c r="N398" s="1123"/>
      <c r="O398" s="1119"/>
      <c r="P398" s="1119"/>
      <c r="Q398" s="1119"/>
      <c r="R398" s="1171"/>
      <c r="S398" s="1119"/>
      <c r="T398" s="1119"/>
      <c r="U398" s="1119"/>
      <c r="V398" s="1119"/>
      <c r="W398" s="1119"/>
      <c r="X398" s="1203"/>
      <c r="Y398" s="535" t="s">
        <v>2647</v>
      </c>
      <c r="Z398" s="533"/>
      <c r="AA398" s="533"/>
      <c r="AB398" s="533"/>
      <c r="AC398" s="534">
        <v>43067</v>
      </c>
      <c r="AD398" s="536">
        <v>17879489.09</v>
      </c>
      <c r="AE398" s="1063"/>
      <c r="AF398" s="1119"/>
      <c r="AG398" s="1119"/>
      <c r="AH398" s="533"/>
      <c r="AI398" s="1119"/>
      <c r="AJ398" s="1119"/>
      <c r="AK398" s="1119"/>
      <c r="AL398" s="1119"/>
      <c r="AM398" s="1119"/>
      <c r="AN398" s="1203"/>
      <c r="AO398" s="1203"/>
      <c r="AQ398" s="934"/>
    </row>
    <row r="399" spans="1:43" s="26" customFormat="1" ht="15" customHeight="1">
      <c r="A399" s="1280"/>
      <c r="B399" s="1171"/>
      <c r="C399" s="1260"/>
      <c r="D399" s="1260"/>
      <c r="E399" s="1252"/>
      <c r="F399" s="1252"/>
      <c r="G399" s="1260"/>
      <c r="H399" s="1260"/>
      <c r="I399" s="1260"/>
      <c r="J399" s="1260"/>
      <c r="K399" s="1260"/>
      <c r="L399" s="1260"/>
      <c r="M399" s="1251"/>
      <c r="N399" s="1123"/>
      <c r="O399" s="1119"/>
      <c r="P399" s="1119"/>
      <c r="Q399" s="1119"/>
      <c r="R399" s="1171"/>
      <c r="S399" s="1119"/>
      <c r="T399" s="1119"/>
      <c r="U399" s="1119"/>
      <c r="V399" s="1119"/>
      <c r="W399" s="1119"/>
      <c r="X399" s="1203"/>
      <c r="Y399" s="535" t="s">
        <v>2649</v>
      </c>
      <c r="Z399" s="109">
        <v>34452000</v>
      </c>
      <c r="AA399" s="109">
        <v>-13780800</v>
      </c>
      <c r="AB399" s="109">
        <f t="shared" ref="AB399:AB430" si="31">Z399+AA399</f>
        <v>20671200</v>
      </c>
      <c r="AC399" s="97">
        <v>43069</v>
      </c>
      <c r="AD399" s="134">
        <v>2791710.92</v>
      </c>
      <c r="AE399" s="1064"/>
      <c r="AF399" s="1119"/>
      <c r="AG399" s="1119"/>
      <c r="AH399" s="109">
        <f t="shared" si="30"/>
        <v>17879489.079999998</v>
      </c>
      <c r="AI399" s="1119"/>
      <c r="AJ399" s="1119"/>
      <c r="AK399" s="1119"/>
      <c r="AL399" s="1119"/>
      <c r="AM399" s="1119"/>
      <c r="AN399" s="1203"/>
      <c r="AO399" s="1203"/>
      <c r="AQ399" s="934"/>
    </row>
    <row r="400" spans="1:43" s="26" customFormat="1" ht="15" customHeight="1">
      <c r="A400" s="1280"/>
      <c r="B400" s="1171"/>
      <c r="C400" s="1260"/>
      <c r="D400" s="1260"/>
      <c r="E400" s="1252"/>
      <c r="F400" s="1252"/>
      <c r="G400" s="1260"/>
      <c r="H400" s="1260"/>
      <c r="I400" s="1260"/>
      <c r="J400" s="126" t="s">
        <v>171</v>
      </c>
      <c r="K400" s="1260"/>
      <c r="L400" s="1260"/>
      <c r="M400" s="122">
        <v>204</v>
      </c>
      <c r="N400" s="108" t="s">
        <v>7</v>
      </c>
      <c r="O400" s="109">
        <v>19685200</v>
      </c>
      <c r="P400" s="109">
        <f>O400</f>
        <v>19685200</v>
      </c>
      <c r="Q400" s="1119"/>
      <c r="R400" s="97">
        <v>40779</v>
      </c>
      <c r="S400" s="109">
        <v>19685200</v>
      </c>
      <c r="T400" s="109">
        <v>19685200</v>
      </c>
      <c r="U400" s="109">
        <f>O400-T400</f>
        <v>0</v>
      </c>
      <c r="V400" s="109">
        <v>19685200</v>
      </c>
      <c r="W400" s="1119"/>
      <c r="X400" s="1203"/>
      <c r="Y400" s="108" t="s">
        <v>768</v>
      </c>
      <c r="Z400" s="109">
        <v>19685200</v>
      </c>
      <c r="AA400" s="109">
        <v>0</v>
      </c>
      <c r="AB400" s="109">
        <f t="shared" si="31"/>
        <v>19685200</v>
      </c>
      <c r="AC400" s="534">
        <v>43069</v>
      </c>
      <c r="AD400" s="134">
        <v>19685200</v>
      </c>
      <c r="AE400" s="109" t="s">
        <v>7</v>
      </c>
      <c r="AF400" s="109">
        <f>AD400</f>
        <v>19685200</v>
      </c>
      <c r="AG400" s="1119"/>
      <c r="AH400" s="109">
        <f t="shared" si="30"/>
        <v>0</v>
      </c>
      <c r="AI400" s="109">
        <f>O400-AD400</f>
        <v>0</v>
      </c>
      <c r="AJ400" s="1119"/>
      <c r="AK400" s="109">
        <f>P400-V400</f>
        <v>0</v>
      </c>
      <c r="AL400" s="109">
        <f>P400-V400</f>
        <v>0</v>
      </c>
      <c r="AM400" s="109">
        <f>AK400+AL400</f>
        <v>0</v>
      </c>
      <c r="AN400" s="1203"/>
      <c r="AO400" s="1203"/>
      <c r="AQ400" s="934"/>
    </row>
    <row r="401" spans="1:43" s="4" customFormat="1" ht="15" customHeight="1">
      <c r="A401" s="1214" t="s">
        <v>486</v>
      </c>
      <c r="B401" s="1171">
        <v>40372</v>
      </c>
      <c r="C401" s="1076" t="s">
        <v>34</v>
      </c>
      <c r="D401" s="1076" t="s">
        <v>487</v>
      </c>
      <c r="E401" s="1252">
        <v>800241383</v>
      </c>
      <c r="F401" s="1252">
        <v>1</v>
      </c>
      <c r="G401" s="1076" t="s">
        <v>2851</v>
      </c>
      <c r="H401" s="1076" t="s">
        <v>72</v>
      </c>
      <c r="I401" s="1076" t="s">
        <v>177</v>
      </c>
      <c r="J401" s="1076" t="s">
        <v>489</v>
      </c>
      <c r="K401" s="1076" t="s">
        <v>49</v>
      </c>
      <c r="L401" s="1076" t="s">
        <v>493</v>
      </c>
      <c r="M401" s="1245">
        <v>95</v>
      </c>
      <c r="N401" s="1282" t="s">
        <v>137</v>
      </c>
      <c r="O401" s="1258">
        <v>14384000</v>
      </c>
      <c r="P401" s="1119">
        <f>O401+O403</f>
        <v>35960000</v>
      </c>
      <c r="Q401" s="1119">
        <f>P401</f>
        <v>35960000</v>
      </c>
      <c r="R401" s="1171">
        <v>40413</v>
      </c>
      <c r="S401" s="1196">
        <f>T401+T403</f>
        <v>35960000</v>
      </c>
      <c r="T401" s="1119">
        <v>14384000</v>
      </c>
      <c r="U401" s="1119">
        <f>O401-T401</f>
        <v>0</v>
      </c>
      <c r="V401" s="1119">
        <v>14379360</v>
      </c>
      <c r="W401" s="1119">
        <v>35948400</v>
      </c>
      <c r="X401" s="1076" t="s">
        <v>490</v>
      </c>
      <c r="Y401" s="1123" t="s">
        <v>491</v>
      </c>
      <c r="Z401" s="109">
        <v>0</v>
      </c>
      <c r="AA401" s="109">
        <v>5751744</v>
      </c>
      <c r="AB401" s="109">
        <f t="shared" si="31"/>
        <v>5751744</v>
      </c>
      <c r="AC401" s="1171">
        <v>40445</v>
      </c>
      <c r="AD401" s="119">
        <v>5751704</v>
      </c>
      <c r="AE401" s="119" t="s">
        <v>137</v>
      </c>
      <c r="AF401" s="1084">
        <f>SUM(AD401:AD404)</f>
        <v>29477588</v>
      </c>
      <c r="AG401" s="1084"/>
      <c r="AH401" s="111">
        <f t="shared" si="30"/>
        <v>40</v>
      </c>
      <c r="AI401" s="111"/>
      <c r="AJ401" s="1119">
        <f>SUM(Z401:Z404)-SUM(AD401:AD404)</f>
        <v>-4313708</v>
      </c>
      <c r="AK401" s="1119">
        <f>P401-SUM(V401:V404)</f>
        <v>11600</v>
      </c>
      <c r="AL401" s="1119">
        <f>SUM(V401:V404)-SUM(Z401:Z404)+AJ401</f>
        <v>6470812</v>
      </c>
      <c r="AM401" s="1119"/>
      <c r="AN401" s="1203" t="s">
        <v>437</v>
      </c>
      <c r="AO401" s="1204" t="s">
        <v>794</v>
      </c>
      <c r="AQ401" s="934"/>
    </row>
    <row r="402" spans="1:43" s="4" customFormat="1" ht="15" customHeight="1">
      <c r="A402" s="1214"/>
      <c r="B402" s="1171"/>
      <c r="C402" s="1076"/>
      <c r="D402" s="1076"/>
      <c r="E402" s="1252"/>
      <c r="F402" s="1252"/>
      <c r="G402" s="1076"/>
      <c r="H402" s="1076"/>
      <c r="I402" s="1076"/>
      <c r="J402" s="1076"/>
      <c r="K402" s="1076"/>
      <c r="L402" s="1076"/>
      <c r="M402" s="1245"/>
      <c r="N402" s="1282"/>
      <c r="O402" s="1258"/>
      <c r="P402" s="1119"/>
      <c r="Q402" s="1119"/>
      <c r="R402" s="1171"/>
      <c r="S402" s="1196"/>
      <c r="T402" s="1119"/>
      <c r="U402" s="1119"/>
      <c r="V402" s="1119"/>
      <c r="W402" s="1119"/>
      <c r="X402" s="1076"/>
      <c r="Y402" s="1123"/>
      <c r="Z402" s="109">
        <v>0</v>
      </c>
      <c r="AA402" s="109">
        <v>8627616</v>
      </c>
      <c r="AB402" s="109">
        <f t="shared" si="31"/>
        <v>8627616</v>
      </c>
      <c r="AC402" s="1171"/>
      <c r="AD402" s="119">
        <v>8627556</v>
      </c>
      <c r="AE402" s="119" t="s">
        <v>7</v>
      </c>
      <c r="AF402" s="1084"/>
      <c r="AG402" s="1084"/>
      <c r="AH402" s="111">
        <f t="shared" si="30"/>
        <v>60</v>
      </c>
      <c r="AI402" s="111"/>
      <c r="AJ402" s="1119"/>
      <c r="AK402" s="1119"/>
      <c r="AL402" s="1119"/>
      <c r="AM402" s="1119"/>
      <c r="AN402" s="1203"/>
      <c r="AO402" s="1204"/>
      <c r="AQ402" s="934"/>
    </row>
    <row r="403" spans="1:43" s="4" customFormat="1" ht="15" customHeight="1">
      <c r="A403" s="1214"/>
      <c r="B403" s="1171"/>
      <c r="C403" s="1076"/>
      <c r="D403" s="1076"/>
      <c r="E403" s="1252"/>
      <c r="F403" s="1252"/>
      <c r="G403" s="1076"/>
      <c r="H403" s="1076"/>
      <c r="I403" s="1076"/>
      <c r="J403" s="1076"/>
      <c r="K403" s="1076"/>
      <c r="L403" s="1076"/>
      <c r="M403" s="1245"/>
      <c r="N403" s="1282" t="s">
        <v>7</v>
      </c>
      <c r="O403" s="1119">
        <v>21576000</v>
      </c>
      <c r="P403" s="1119"/>
      <c r="Q403" s="1119"/>
      <c r="R403" s="1171"/>
      <c r="S403" s="1196"/>
      <c r="T403" s="1119">
        <v>21576000</v>
      </c>
      <c r="U403" s="1119">
        <f>O403-T403</f>
        <v>0</v>
      </c>
      <c r="V403" s="1119">
        <v>21569040</v>
      </c>
      <c r="W403" s="1119"/>
      <c r="X403" s="1076"/>
      <c r="Y403" s="1123" t="s">
        <v>492</v>
      </c>
      <c r="Z403" s="109">
        <v>10065552</v>
      </c>
      <c r="AA403" s="109">
        <v>-4026220.8</v>
      </c>
      <c r="AB403" s="109">
        <f t="shared" si="31"/>
        <v>6039331.2000000002</v>
      </c>
      <c r="AC403" s="1171">
        <v>40548</v>
      </c>
      <c r="AD403" s="119">
        <v>6039331.2000000002</v>
      </c>
      <c r="AE403" s="119" t="s">
        <v>137</v>
      </c>
      <c r="AF403" s="1084"/>
      <c r="AG403" s="1084"/>
      <c r="AH403" s="111">
        <f t="shared" si="30"/>
        <v>0</v>
      </c>
      <c r="AI403" s="111"/>
      <c r="AJ403" s="1119"/>
      <c r="AK403" s="1119"/>
      <c r="AL403" s="1119"/>
      <c r="AM403" s="1119"/>
      <c r="AN403" s="1203"/>
      <c r="AO403" s="1204"/>
      <c r="AQ403" s="934"/>
    </row>
    <row r="404" spans="1:43" s="4" customFormat="1" ht="15" customHeight="1">
      <c r="A404" s="1214"/>
      <c r="B404" s="1171"/>
      <c r="C404" s="1076"/>
      <c r="D404" s="1076"/>
      <c r="E404" s="1252"/>
      <c r="F404" s="1252"/>
      <c r="G404" s="1076"/>
      <c r="H404" s="1076"/>
      <c r="I404" s="1076"/>
      <c r="J404" s="1076"/>
      <c r="K404" s="1076"/>
      <c r="L404" s="1076"/>
      <c r="M404" s="1245"/>
      <c r="N404" s="1282"/>
      <c r="O404" s="1119"/>
      <c r="P404" s="1119"/>
      <c r="Q404" s="1119"/>
      <c r="R404" s="1171"/>
      <c r="S404" s="1196"/>
      <c r="T404" s="1119"/>
      <c r="U404" s="1119"/>
      <c r="V404" s="1119"/>
      <c r="W404" s="1119"/>
      <c r="X404" s="1076"/>
      <c r="Y404" s="1123"/>
      <c r="Z404" s="109">
        <v>15098328</v>
      </c>
      <c r="AA404" s="109">
        <v>-6039331.2000000002</v>
      </c>
      <c r="AB404" s="109">
        <f t="shared" si="31"/>
        <v>9058996.8000000007</v>
      </c>
      <c r="AC404" s="1171"/>
      <c r="AD404" s="119">
        <v>9058996.8000000007</v>
      </c>
      <c r="AE404" s="119" t="s">
        <v>7</v>
      </c>
      <c r="AF404" s="1084"/>
      <c r="AG404" s="1084"/>
      <c r="AH404" s="111">
        <f t="shared" si="30"/>
        <v>0</v>
      </c>
      <c r="AI404" s="111"/>
      <c r="AJ404" s="1119"/>
      <c r="AK404" s="1119"/>
      <c r="AL404" s="1119"/>
      <c r="AM404" s="1119"/>
      <c r="AN404" s="1203"/>
      <c r="AO404" s="1204"/>
      <c r="AQ404" s="934"/>
    </row>
    <row r="405" spans="1:43" s="24" customFormat="1" ht="15" customHeight="1">
      <c r="A405" s="1214" t="s">
        <v>509</v>
      </c>
      <c r="B405" s="1171">
        <v>42929</v>
      </c>
      <c r="C405" s="1076" t="s">
        <v>34</v>
      </c>
      <c r="D405" s="1260" t="s">
        <v>447</v>
      </c>
      <c r="E405" s="1252">
        <v>830040053</v>
      </c>
      <c r="F405" s="1252">
        <v>2</v>
      </c>
      <c r="G405" s="1260" t="s">
        <v>2785</v>
      </c>
      <c r="H405" s="1260" t="s">
        <v>72</v>
      </c>
      <c r="I405" s="1260" t="s">
        <v>177</v>
      </c>
      <c r="J405" s="1260" t="s">
        <v>66</v>
      </c>
      <c r="K405" s="1260" t="s">
        <v>49</v>
      </c>
      <c r="L405" s="1260" t="s">
        <v>511</v>
      </c>
      <c r="M405" s="1245">
        <v>96</v>
      </c>
      <c r="N405" s="135" t="s">
        <v>451</v>
      </c>
      <c r="O405" s="109">
        <v>13746000</v>
      </c>
      <c r="P405" s="1119">
        <f>SUM(O405:O406)</f>
        <v>34365000</v>
      </c>
      <c r="Q405" s="1119">
        <f>SUM(P405:P406)</f>
        <v>34365000</v>
      </c>
      <c r="R405" s="1171">
        <v>40413</v>
      </c>
      <c r="S405" s="1062">
        <f>T405+T406</f>
        <v>34365000</v>
      </c>
      <c r="T405" s="109">
        <v>13746000</v>
      </c>
      <c r="U405" s="109">
        <f>O405-T405</f>
        <v>0</v>
      </c>
      <c r="V405" s="109">
        <f>O405</f>
        <v>13746000</v>
      </c>
      <c r="W405" s="1119">
        <f>SUM(V405:V406)</f>
        <v>34365000</v>
      </c>
      <c r="X405" s="1203" t="s">
        <v>467</v>
      </c>
      <c r="Y405" s="1123" t="s">
        <v>479</v>
      </c>
      <c r="Z405" s="109">
        <v>0</v>
      </c>
      <c r="AA405" s="109">
        <v>5498400</v>
      </c>
      <c r="AB405" s="109">
        <f t="shared" si="31"/>
        <v>5498400</v>
      </c>
      <c r="AC405" s="1171">
        <v>40450</v>
      </c>
      <c r="AD405" s="134">
        <v>5498400</v>
      </c>
      <c r="AE405" s="58" t="s">
        <v>137</v>
      </c>
      <c r="AF405" s="1119">
        <f>SUM(AD405:AD406)</f>
        <v>13746000</v>
      </c>
      <c r="AG405" s="1119">
        <f>AF405</f>
        <v>13746000</v>
      </c>
      <c r="AH405" s="1119">
        <v>0</v>
      </c>
      <c r="AI405" s="1119">
        <v>0</v>
      </c>
      <c r="AJ405" s="1119">
        <f>-AG405</f>
        <v>-13746000</v>
      </c>
      <c r="AK405" s="1119">
        <v>0</v>
      </c>
      <c r="AL405" s="109">
        <f>V405-AD405</f>
        <v>8247600</v>
      </c>
      <c r="AM405" s="1119"/>
      <c r="AN405" s="1260" t="s">
        <v>512</v>
      </c>
      <c r="AO405" s="1260" t="s">
        <v>795</v>
      </c>
      <c r="AQ405" s="934"/>
    </row>
    <row r="406" spans="1:43" s="24" customFormat="1" ht="15" customHeight="1">
      <c r="A406" s="1214"/>
      <c r="B406" s="1171"/>
      <c r="C406" s="1076"/>
      <c r="D406" s="1260"/>
      <c r="E406" s="1252"/>
      <c r="F406" s="1252"/>
      <c r="G406" s="1260"/>
      <c r="H406" s="1260"/>
      <c r="I406" s="1260"/>
      <c r="J406" s="1260"/>
      <c r="K406" s="1260"/>
      <c r="L406" s="1260"/>
      <c r="M406" s="1245"/>
      <c r="N406" s="135" t="s">
        <v>7</v>
      </c>
      <c r="O406" s="109">
        <v>20619000</v>
      </c>
      <c r="P406" s="1119"/>
      <c r="Q406" s="1119"/>
      <c r="R406" s="1171"/>
      <c r="S406" s="1064"/>
      <c r="T406" s="109">
        <v>20619000</v>
      </c>
      <c r="U406" s="109">
        <f>O406-T406</f>
        <v>0</v>
      </c>
      <c r="V406" s="109">
        <f>O406</f>
        <v>20619000</v>
      </c>
      <c r="W406" s="1119"/>
      <c r="X406" s="1203"/>
      <c r="Y406" s="1123"/>
      <c r="Z406" s="109">
        <v>0</v>
      </c>
      <c r="AA406" s="109">
        <v>8247600</v>
      </c>
      <c r="AB406" s="109">
        <f t="shared" si="31"/>
        <v>8247600</v>
      </c>
      <c r="AC406" s="1171"/>
      <c r="AD406" s="134">
        <v>8247600</v>
      </c>
      <c r="AE406" s="58" t="s">
        <v>7</v>
      </c>
      <c r="AF406" s="1119"/>
      <c r="AG406" s="1119"/>
      <c r="AH406" s="1119"/>
      <c r="AI406" s="1119"/>
      <c r="AJ406" s="1119"/>
      <c r="AK406" s="1119"/>
      <c r="AL406" s="109">
        <f>V406-AD406</f>
        <v>12371400</v>
      </c>
      <c r="AM406" s="1119"/>
      <c r="AN406" s="1260"/>
      <c r="AO406" s="1260"/>
      <c r="AQ406" s="934"/>
    </row>
    <row r="407" spans="1:43" s="4" customFormat="1" ht="15" customHeight="1">
      <c r="A407" s="1075" t="s">
        <v>499</v>
      </c>
      <c r="B407" s="1171">
        <v>40380</v>
      </c>
      <c r="C407" s="1076" t="s">
        <v>25</v>
      </c>
      <c r="D407" s="1076" t="s">
        <v>500</v>
      </c>
      <c r="E407" s="1252">
        <v>900369283</v>
      </c>
      <c r="F407" s="1252"/>
      <c r="G407" s="1076" t="s">
        <v>2786</v>
      </c>
      <c r="H407" s="1076" t="s">
        <v>72</v>
      </c>
      <c r="I407" s="1076" t="s">
        <v>177</v>
      </c>
      <c r="J407" s="1076" t="s">
        <v>66</v>
      </c>
      <c r="K407" s="1076" t="s">
        <v>183</v>
      </c>
      <c r="L407" s="1076" t="s">
        <v>505</v>
      </c>
      <c r="M407" s="1245">
        <v>97</v>
      </c>
      <c r="N407" s="1282" t="s">
        <v>137</v>
      </c>
      <c r="O407" s="1119">
        <v>13978000</v>
      </c>
      <c r="P407" s="1119">
        <f>O407+O409</f>
        <v>34945000</v>
      </c>
      <c r="Q407" s="1119">
        <f>P407+P411</f>
        <v>52345000</v>
      </c>
      <c r="R407" s="1171">
        <v>40413</v>
      </c>
      <c r="S407" s="1196">
        <f>T407+T409</f>
        <v>34945000</v>
      </c>
      <c r="T407" s="1119">
        <v>13978000</v>
      </c>
      <c r="U407" s="1119">
        <f>O407-T407</f>
        <v>0</v>
      </c>
      <c r="V407" s="1119">
        <v>13978000</v>
      </c>
      <c r="W407" s="1119">
        <f>V407+V409+V411</f>
        <v>52345000</v>
      </c>
      <c r="X407" s="1076" t="s">
        <v>467</v>
      </c>
      <c r="Y407" s="1123" t="s">
        <v>502</v>
      </c>
      <c r="Z407" s="109">
        <v>0</v>
      </c>
      <c r="AA407" s="109">
        <v>5591200</v>
      </c>
      <c r="AB407" s="109">
        <f t="shared" si="31"/>
        <v>5591200</v>
      </c>
      <c r="AC407" s="1171">
        <v>40466</v>
      </c>
      <c r="AD407" s="119">
        <v>5591200</v>
      </c>
      <c r="AE407" s="119" t="s">
        <v>137</v>
      </c>
      <c r="AF407" s="1084">
        <f>SUM(AD407:AD410)</f>
        <v>34945000</v>
      </c>
      <c r="AG407" s="1084">
        <f>AF407+AF411</f>
        <v>52345000</v>
      </c>
      <c r="AH407" s="111">
        <f t="shared" ref="AH407:AH421" si="32">AB407-AD407</f>
        <v>0</v>
      </c>
      <c r="AI407" s="1084">
        <f>O407-AD407-AD409</f>
        <v>0</v>
      </c>
      <c r="AJ407" s="1119">
        <f>SUM(Z407:Z410)-SUM(AD407:AD410)</f>
        <v>0</v>
      </c>
      <c r="AK407" s="1119">
        <f>P407-V407-V409</f>
        <v>0</v>
      </c>
      <c r="AL407" s="1119">
        <f>SUM(V407:V410)-SUM(Z407:Z410)</f>
        <v>0</v>
      </c>
      <c r="AM407" s="1119">
        <f>AK407+AL407</f>
        <v>0</v>
      </c>
      <c r="AN407" s="1203" t="s">
        <v>506</v>
      </c>
      <c r="AO407" s="1204" t="s">
        <v>796</v>
      </c>
      <c r="AQ407" s="934"/>
    </row>
    <row r="408" spans="1:43" s="4" customFormat="1" ht="15" customHeight="1">
      <c r="A408" s="1075"/>
      <c r="B408" s="1171"/>
      <c r="C408" s="1076"/>
      <c r="D408" s="1076"/>
      <c r="E408" s="1252"/>
      <c r="F408" s="1252"/>
      <c r="G408" s="1076"/>
      <c r="H408" s="1076"/>
      <c r="I408" s="1076"/>
      <c r="J408" s="1076"/>
      <c r="K408" s="1076"/>
      <c r="L408" s="1076"/>
      <c r="M408" s="1245"/>
      <c r="N408" s="1282"/>
      <c r="O408" s="1119"/>
      <c r="P408" s="1119"/>
      <c r="Q408" s="1119"/>
      <c r="R408" s="1171"/>
      <c r="S408" s="1196"/>
      <c r="T408" s="1119"/>
      <c r="U408" s="1119"/>
      <c r="V408" s="1119"/>
      <c r="W408" s="1119"/>
      <c r="X408" s="1076"/>
      <c r="Y408" s="1123"/>
      <c r="Z408" s="109">
        <v>0</v>
      </c>
      <c r="AA408" s="109">
        <v>8386800</v>
      </c>
      <c r="AB408" s="109">
        <f t="shared" si="31"/>
        <v>8386800</v>
      </c>
      <c r="AC408" s="1171"/>
      <c r="AD408" s="119">
        <v>8386800</v>
      </c>
      <c r="AE408" s="119" t="s">
        <v>7</v>
      </c>
      <c r="AF408" s="1084"/>
      <c r="AG408" s="1084"/>
      <c r="AH408" s="111">
        <f t="shared" si="32"/>
        <v>0</v>
      </c>
      <c r="AI408" s="1084"/>
      <c r="AJ408" s="1119"/>
      <c r="AK408" s="1119"/>
      <c r="AL408" s="1119"/>
      <c r="AM408" s="1119"/>
      <c r="AN408" s="1203"/>
      <c r="AO408" s="1204"/>
      <c r="AQ408" s="934"/>
    </row>
    <row r="409" spans="1:43" s="4" customFormat="1" ht="15" customHeight="1">
      <c r="A409" s="1075"/>
      <c r="B409" s="1171"/>
      <c r="C409" s="1076"/>
      <c r="D409" s="1076"/>
      <c r="E409" s="1252"/>
      <c r="F409" s="1252"/>
      <c r="G409" s="1076"/>
      <c r="H409" s="1076"/>
      <c r="I409" s="1076"/>
      <c r="J409" s="1076"/>
      <c r="K409" s="1076"/>
      <c r="L409" s="1076"/>
      <c r="M409" s="1245"/>
      <c r="N409" s="1282" t="s">
        <v>7</v>
      </c>
      <c r="O409" s="1119">
        <v>20967000</v>
      </c>
      <c r="P409" s="1119"/>
      <c r="Q409" s="1119"/>
      <c r="R409" s="1171"/>
      <c r="S409" s="1196"/>
      <c r="T409" s="1119">
        <v>20967000</v>
      </c>
      <c r="U409" s="1119">
        <f>O409-T409</f>
        <v>0</v>
      </c>
      <c r="V409" s="1119">
        <v>20967000</v>
      </c>
      <c r="W409" s="1119"/>
      <c r="X409" s="1076"/>
      <c r="Y409" s="1123" t="s">
        <v>503</v>
      </c>
      <c r="Z409" s="109">
        <v>13978000</v>
      </c>
      <c r="AA409" s="109">
        <v>-5591200</v>
      </c>
      <c r="AB409" s="109">
        <f t="shared" si="31"/>
        <v>8386800</v>
      </c>
      <c r="AC409" s="1171">
        <v>42467</v>
      </c>
      <c r="AD409" s="119">
        <v>8386800</v>
      </c>
      <c r="AE409" s="119" t="s">
        <v>137</v>
      </c>
      <c r="AF409" s="1084"/>
      <c r="AG409" s="1084"/>
      <c r="AH409" s="111">
        <f t="shared" si="32"/>
        <v>0</v>
      </c>
      <c r="AI409" s="1084">
        <f>O409-AD408-AD410</f>
        <v>0</v>
      </c>
      <c r="AJ409" s="1119"/>
      <c r="AK409" s="1119"/>
      <c r="AL409" s="1119"/>
      <c r="AM409" s="1119"/>
      <c r="AN409" s="1203"/>
      <c r="AO409" s="1204"/>
      <c r="AQ409" s="934"/>
    </row>
    <row r="410" spans="1:43" s="4" customFormat="1" ht="15" customHeight="1">
      <c r="A410" s="1075"/>
      <c r="B410" s="1171"/>
      <c r="C410" s="1076"/>
      <c r="D410" s="1076"/>
      <c r="E410" s="1252"/>
      <c r="F410" s="1252"/>
      <c r="G410" s="1076"/>
      <c r="H410" s="1076"/>
      <c r="I410" s="1076"/>
      <c r="J410" s="1076"/>
      <c r="K410" s="1076"/>
      <c r="L410" s="1076"/>
      <c r="M410" s="1245"/>
      <c r="N410" s="1282"/>
      <c r="O410" s="1119"/>
      <c r="P410" s="1119"/>
      <c r="Q410" s="1119"/>
      <c r="R410" s="1171"/>
      <c r="S410" s="1196"/>
      <c r="T410" s="1119"/>
      <c r="U410" s="1119"/>
      <c r="V410" s="1119"/>
      <c r="W410" s="1119"/>
      <c r="X410" s="1076"/>
      <c r="Y410" s="1123"/>
      <c r="Z410" s="109">
        <v>20967000</v>
      </c>
      <c r="AA410" s="109">
        <v>-8386800</v>
      </c>
      <c r="AB410" s="109">
        <f t="shared" si="31"/>
        <v>12580200</v>
      </c>
      <c r="AC410" s="1171"/>
      <c r="AD410" s="119">
        <v>12580200</v>
      </c>
      <c r="AE410" s="119" t="s">
        <v>7</v>
      </c>
      <c r="AF410" s="1084"/>
      <c r="AG410" s="1084"/>
      <c r="AH410" s="111">
        <f t="shared" si="32"/>
        <v>0</v>
      </c>
      <c r="AI410" s="1084"/>
      <c r="AJ410" s="1119"/>
      <c r="AK410" s="1119"/>
      <c r="AL410" s="1119"/>
      <c r="AM410" s="1119"/>
      <c r="AN410" s="1203"/>
      <c r="AO410" s="1204"/>
      <c r="AQ410" s="934"/>
    </row>
    <row r="411" spans="1:43" s="4" customFormat="1" ht="15" customHeight="1">
      <c r="A411" s="1075"/>
      <c r="B411" s="1171"/>
      <c r="C411" s="1076"/>
      <c r="D411" s="1076"/>
      <c r="E411" s="1252"/>
      <c r="F411" s="1252"/>
      <c r="G411" s="1076"/>
      <c r="H411" s="1076"/>
      <c r="I411" s="1076"/>
      <c r="J411" s="113" t="s">
        <v>67</v>
      </c>
      <c r="K411" s="1076"/>
      <c r="L411" s="1076"/>
      <c r="M411" s="132">
        <v>201</v>
      </c>
      <c r="N411" s="135" t="s">
        <v>7</v>
      </c>
      <c r="O411" s="109">
        <v>17400000</v>
      </c>
      <c r="P411" s="109">
        <f>O411</f>
        <v>17400000</v>
      </c>
      <c r="Q411" s="1119"/>
      <c r="R411" s="97">
        <v>40779</v>
      </c>
      <c r="S411" s="110">
        <v>17400000</v>
      </c>
      <c r="T411" s="109">
        <v>17400000</v>
      </c>
      <c r="U411" s="109">
        <f>O411-T411</f>
        <v>0</v>
      </c>
      <c r="V411" s="109">
        <v>17400000</v>
      </c>
      <c r="W411" s="1119"/>
      <c r="X411" s="1076"/>
      <c r="Y411" s="108" t="s">
        <v>504</v>
      </c>
      <c r="Z411" s="109">
        <v>17400000</v>
      </c>
      <c r="AA411" s="109">
        <v>0</v>
      </c>
      <c r="AB411" s="109">
        <f t="shared" si="31"/>
        <v>17400000</v>
      </c>
      <c r="AC411" s="97">
        <v>42467</v>
      </c>
      <c r="AD411" s="119">
        <v>17400000</v>
      </c>
      <c r="AE411" s="119" t="s">
        <v>7</v>
      </c>
      <c r="AF411" s="111">
        <f>AD411</f>
        <v>17400000</v>
      </c>
      <c r="AG411" s="1084"/>
      <c r="AH411" s="111">
        <f t="shared" si="32"/>
        <v>0</v>
      </c>
      <c r="AI411" s="111">
        <f>O411-AD411</f>
        <v>0</v>
      </c>
      <c r="AJ411" s="109">
        <f>Z411-AD411</f>
        <v>0</v>
      </c>
      <c r="AK411" s="109">
        <f>P411-V411</f>
        <v>0</v>
      </c>
      <c r="AL411" s="109">
        <f>V411-Z411</f>
        <v>0</v>
      </c>
      <c r="AM411" s="109">
        <f>AK411+AL411</f>
        <v>0</v>
      </c>
      <c r="AN411" s="1203"/>
      <c r="AO411" s="1204"/>
      <c r="AQ411" s="934"/>
    </row>
    <row r="412" spans="1:43" ht="15" customHeight="1">
      <c r="A412" s="1214" t="s">
        <v>680</v>
      </c>
      <c r="B412" s="1171">
        <v>40380</v>
      </c>
      <c r="C412" s="1076" t="s">
        <v>13</v>
      </c>
      <c r="D412" s="1076" t="s">
        <v>6</v>
      </c>
      <c r="E412" s="1252">
        <v>900342899</v>
      </c>
      <c r="F412" s="1252">
        <v>6</v>
      </c>
      <c r="G412" s="1076" t="s">
        <v>2837</v>
      </c>
      <c r="H412" s="1076" t="s">
        <v>72</v>
      </c>
      <c r="I412" s="1076" t="s">
        <v>177</v>
      </c>
      <c r="J412" s="1076" t="s">
        <v>66</v>
      </c>
      <c r="K412" s="1076" t="s">
        <v>183</v>
      </c>
      <c r="L412" s="1076" t="s">
        <v>686</v>
      </c>
      <c r="M412" s="1251">
        <v>98</v>
      </c>
      <c r="N412" s="1123" t="s">
        <v>137</v>
      </c>
      <c r="O412" s="1119">
        <v>24731537</v>
      </c>
      <c r="P412" s="1119">
        <f>O412+O414</f>
        <v>61828843</v>
      </c>
      <c r="Q412" s="1119">
        <f>P412</f>
        <v>61828843</v>
      </c>
      <c r="R412" s="1171">
        <v>40413</v>
      </c>
      <c r="S412" s="1196">
        <f>T412+T414</f>
        <v>61828843</v>
      </c>
      <c r="T412" s="1119">
        <v>24731537.199999999</v>
      </c>
      <c r="U412" s="1119">
        <f>O412-T412</f>
        <v>-0.19999999925494194</v>
      </c>
      <c r="V412" s="1119">
        <v>24719890.400000002</v>
      </c>
      <c r="W412" s="1119">
        <v>61799726</v>
      </c>
      <c r="X412" s="1076" t="s">
        <v>682</v>
      </c>
      <c r="Y412" s="1123" t="s">
        <v>683</v>
      </c>
      <c r="Z412" s="109">
        <v>0</v>
      </c>
      <c r="AA412" s="109">
        <f>V412*40%</f>
        <v>9887956.160000002</v>
      </c>
      <c r="AB412" s="109">
        <f t="shared" si="31"/>
        <v>9887956.160000002</v>
      </c>
      <c r="AC412" s="1171">
        <v>40466</v>
      </c>
      <c r="AD412" s="119">
        <v>9887956</v>
      </c>
      <c r="AE412" s="119" t="s">
        <v>137</v>
      </c>
      <c r="AF412" s="1084">
        <f>SUM(AD412:AD417)</f>
        <v>61799725</v>
      </c>
      <c r="AG412" s="1084">
        <f>AF412</f>
        <v>61799725</v>
      </c>
      <c r="AH412" s="111">
        <f t="shared" si="32"/>
        <v>0.16000000201165676</v>
      </c>
      <c r="AI412" s="1084">
        <f>O412-AD412-AD414</f>
        <v>2571351.4000000004</v>
      </c>
      <c r="AJ412" s="1119">
        <f>SUM(Z412:Z417)-SUM(AD412:AD417)</f>
        <v>0.60000000149011612</v>
      </c>
      <c r="AK412" s="1119">
        <f>O412-V412</f>
        <v>11646.599999997765</v>
      </c>
      <c r="AL412" s="1119">
        <f>SUM(V412:V417)-SUM(Z412:Z417)</f>
        <v>0.39999999850988388</v>
      </c>
      <c r="AM412" s="1119">
        <f>AK412+AK414+AL412</f>
        <v>29117.399999994785</v>
      </c>
      <c r="AN412" s="1204" t="s">
        <v>523</v>
      </c>
      <c r="AO412" s="1237" t="s">
        <v>687</v>
      </c>
    </row>
    <row r="413" spans="1:43" ht="15" customHeight="1">
      <c r="A413" s="1214"/>
      <c r="B413" s="1171"/>
      <c r="C413" s="1076"/>
      <c r="D413" s="1076"/>
      <c r="E413" s="1252"/>
      <c r="F413" s="1252"/>
      <c r="G413" s="1076"/>
      <c r="H413" s="1076"/>
      <c r="I413" s="1076"/>
      <c r="J413" s="1076"/>
      <c r="K413" s="1076"/>
      <c r="L413" s="1076"/>
      <c r="M413" s="1251"/>
      <c r="N413" s="1123"/>
      <c r="O413" s="1119"/>
      <c r="P413" s="1119"/>
      <c r="Q413" s="1119"/>
      <c r="R413" s="1171"/>
      <c r="S413" s="1196"/>
      <c r="T413" s="1119"/>
      <c r="U413" s="1119"/>
      <c r="V413" s="1119"/>
      <c r="W413" s="1119"/>
      <c r="X413" s="1076"/>
      <c r="Y413" s="1123"/>
      <c r="Z413" s="109">
        <v>0</v>
      </c>
      <c r="AA413" s="109">
        <f>V414*40%</f>
        <v>14831934.240000002</v>
      </c>
      <c r="AB413" s="109">
        <f t="shared" si="31"/>
        <v>14831934.240000002</v>
      </c>
      <c r="AC413" s="1171"/>
      <c r="AD413" s="119">
        <v>14831934</v>
      </c>
      <c r="AE413" s="119" t="s">
        <v>7</v>
      </c>
      <c r="AF413" s="1084"/>
      <c r="AG413" s="1084"/>
      <c r="AH413" s="111">
        <f t="shared" si="32"/>
        <v>0.24000000208616257</v>
      </c>
      <c r="AI413" s="1084"/>
      <c r="AJ413" s="1119"/>
      <c r="AK413" s="1119"/>
      <c r="AL413" s="1119"/>
      <c r="AM413" s="1119"/>
      <c r="AN413" s="1204"/>
      <c r="AO413" s="1237"/>
    </row>
    <row r="414" spans="1:43" ht="15" customHeight="1">
      <c r="A414" s="1214"/>
      <c r="B414" s="1171"/>
      <c r="C414" s="1076"/>
      <c r="D414" s="1076"/>
      <c r="E414" s="1252"/>
      <c r="F414" s="1252"/>
      <c r="G414" s="1076"/>
      <c r="H414" s="1076"/>
      <c r="I414" s="1076"/>
      <c r="J414" s="1076"/>
      <c r="K414" s="1076"/>
      <c r="L414" s="1076"/>
      <c r="M414" s="1251"/>
      <c r="N414" s="1123" t="s">
        <v>7</v>
      </c>
      <c r="O414" s="1119">
        <v>37097306</v>
      </c>
      <c r="P414" s="1119"/>
      <c r="Q414" s="1119"/>
      <c r="R414" s="1171"/>
      <c r="S414" s="1196"/>
      <c r="T414" s="1119">
        <v>37097305.799999997</v>
      </c>
      <c r="U414" s="1119">
        <f>O414-T414</f>
        <v>0.20000000298023224</v>
      </c>
      <c r="V414" s="1119">
        <v>37079835.600000001</v>
      </c>
      <c r="W414" s="1119"/>
      <c r="X414" s="1076"/>
      <c r="Y414" s="1123" t="s">
        <v>684</v>
      </c>
      <c r="Z414" s="109">
        <f>55619753*40%</f>
        <v>22247901.200000003</v>
      </c>
      <c r="AA414" s="109">
        <v>-8899160</v>
      </c>
      <c r="AB414" s="109">
        <f t="shared" si="31"/>
        <v>13348741.200000003</v>
      </c>
      <c r="AC414" s="1171">
        <v>40815</v>
      </c>
      <c r="AD414" s="119">
        <v>12272229.6</v>
      </c>
      <c r="AE414" s="119" t="s">
        <v>137</v>
      </c>
      <c r="AF414" s="1084"/>
      <c r="AG414" s="1084"/>
      <c r="AH414" s="111">
        <f t="shared" si="32"/>
        <v>1076511.6000000034</v>
      </c>
      <c r="AI414" s="1084">
        <f>O414-AD413-AD415-AD416-AD417</f>
        <v>-2542233.3999999985</v>
      </c>
      <c r="AJ414" s="1119"/>
      <c r="AK414" s="1119">
        <f>O414-V414</f>
        <v>17470.39999999851</v>
      </c>
      <c r="AL414" s="1119"/>
      <c r="AM414" s="1119"/>
      <c r="AN414" s="1204"/>
      <c r="AO414" s="1237"/>
    </row>
    <row r="415" spans="1:43" ht="15" customHeight="1">
      <c r="A415" s="1214"/>
      <c r="B415" s="1171"/>
      <c r="C415" s="1076"/>
      <c r="D415" s="1076"/>
      <c r="E415" s="1252"/>
      <c r="F415" s="1252"/>
      <c r="G415" s="1076"/>
      <c r="H415" s="1076"/>
      <c r="I415" s="1076"/>
      <c r="J415" s="1076"/>
      <c r="K415" s="1076"/>
      <c r="L415" s="1076"/>
      <c r="M415" s="1251"/>
      <c r="N415" s="1123"/>
      <c r="O415" s="1119"/>
      <c r="P415" s="1119"/>
      <c r="Q415" s="1119"/>
      <c r="R415" s="1171"/>
      <c r="S415" s="1196"/>
      <c r="T415" s="1119"/>
      <c r="U415" s="1119"/>
      <c r="V415" s="1119"/>
      <c r="W415" s="1119"/>
      <c r="X415" s="1076"/>
      <c r="Y415" s="1123"/>
      <c r="Z415" s="109">
        <f>55619753*60%</f>
        <v>33371851.799999997</v>
      </c>
      <c r="AA415" s="109">
        <v>-13348741</v>
      </c>
      <c r="AB415" s="109">
        <f t="shared" si="31"/>
        <v>20023110.799999997</v>
      </c>
      <c r="AC415" s="1171"/>
      <c r="AD415" s="119">
        <v>21099622.399999999</v>
      </c>
      <c r="AE415" s="119" t="s">
        <v>7</v>
      </c>
      <c r="AF415" s="1084"/>
      <c r="AG415" s="1084"/>
      <c r="AH415" s="111">
        <f t="shared" si="32"/>
        <v>-1076511.6000000015</v>
      </c>
      <c r="AI415" s="1084"/>
      <c r="AJ415" s="1119"/>
      <c r="AK415" s="1119"/>
      <c r="AL415" s="1119"/>
      <c r="AM415" s="1119"/>
      <c r="AN415" s="1204"/>
      <c r="AO415" s="1237"/>
    </row>
    <row r="416" spans="1:43" ht="15" customHeight="1">
      <c r="A416" s="1214"/>
      <c r="B416" s="1171"/>
      <c r="C416" s="1076"/>
      <c r="D416" s="1076"/>
      <c r="E416" s="1252"/>
      <c r="F416" s="1252"/>
      <c r="G416" s="1076"/>
      <c r="H416" s="1076"/>
      <c r="I416" s="1076"/>
      <c r="J416" s="1076"/>
      <c r="K416" s="1076"/>
      <c r="L416" s="1076"/>
      <c r="M416" s="1251"/>
      <c r="N416" s="1123"/>
      <c r="O416" s="1119"/>
      <c r="P416" s="1119"/>
      <c r="Q416" s="1119"/>
      <c r="R416" s="1171"/>
      <c r="S416" s="1196"/>
      <c r="T416" s="1119"/>
      <c r="U416" s="1119"/>
      <c r="V416" s="1119"/>
      <c r="W416" s="1119"/>
      <c r="X416" s="1076"/>
      <c r="Y416" s="1123" t="s">
        <v>685</v>
      </c>
      <c r="Z416" s="109">
        <f>6179972.6*40%</f>
        <v>2471989.04</v>
      </c>
      <c r="AA416" s="109">
        <v>-988796.04</v>
      </c>
      <c r="AB416" s="109">
        <f t="shared" si="31"/>
        <v>1483193</v>
      </c>
      <c r="AC416" s="1171">
        <v>41586</v>
      </c>
      <c r="AD416" s="119">
        <v>1483193</v>
      </c>
      <c r="AE416" s="119" t="s">
        <v>7</v>
      </c>
      <c r="AF416" s="1084"/>
      <c r="AG416" s="1084"/>
      <c r="AH416" s="111">
        <f t="shared" si="32"/>
        <v>0</v>
      </c>
      <c r="AI416" s="1084"/>
      <c r="AJ416" s="1119"/>
      <c r="AK416" s="1119"/>
      <c r="AL416" s="1119"/>
      <c r="AM416" s="1119"/>
      <c r="AN416" s="1204"/>
      <c r="AO416" s="1237"/>
    </row>
    <row r="417" spans="1:43" ht="15" customHeight="1">
      <c r="A417" s="1214"/>
      <c r="B417" s="1171"/>
      <c r="C417" s="1076"/>
      <c r="D417" s="1076"/>
      <c r="E417" s="1252"/>
      <c r="F417" s="1252"/>
      <c r="G417" s="1076"/>
      <c r="H417" s="1076"/>
      <c r="I417" s="1076"/>
      <c r="J417" s="1076"/>
      <c r="K417" s="1076"/>
      <c r="L417" s="1076"/>
      <c r="M417" s="1251"/>
      <c r="N417" s="1123"/>
      <c r="O417" s="1119"/>
      <c r="P417" s="1119"/>
      <c r="Q417" s="1119"/>
      <c r="R417" s="1171"/>
      <c r="S417" s="1196"/>
      <c r="T417" s="1119"/>
      <c r="U417" s="1119"/>
      <c r="V417" s="1119"/>
      <c r="W417" s="1119"/>
      <c r="X417" s="1076"/>
      <c r="Y417" s="1123"/>
      <c r="Z417" s="109">
        <f>6179972.6*60%</f>
        <v>3707983.5599999996</v>
      </c>
      <c r="AA417" s="109">
        <v>-1483193.56</v>
      </c>
      <c r="AB417" s="109">
        <f t="shared" si="31"/>
        <v>2224789.9999999995</v>
      </c>
      <c r="AC417" s="1171"/>
      <c r="AD417" s="119">
        <v>2224790</v>
      </c>
      <c r="AE417" s="119" t="s">
        <v>7</v>
      </c>
      <c r="AF417" s="1084"/>
      <c r="AG417" s="1084"/>
      <c r="AH417" s="111">
        <f t="shared" si="32"/>
        <v>0</v>
      </c>
      <c r="AI417" s="1084"/>
      <c r="AJ417" s="1119"/>
      <c r="AK417" s="1119"/>
      <c r="AL417" s="1119"/>
      <c r="AM417" s="1119"/>
      <c r="AN417" s="1204"/>
      <c r="AO417" s="1237"/>
    </row>
    <row r="418" spans="1:43" s="4" customFormat="1" ht="15" customHeight="1">
      <c r="A418" s="1030" t="s">
        <v>513</v>
      </c>
      <c r="B418" s="1068">
        <v>40372</v>
      </c>
      <c r="C418" s="1011" t="s">
        <v>20</v>
      </c>
      <c r="D418" s="1011" t="s">
        <v>514</v>
      </c>
      <c r="E418" s="1097">
        <v>900367460</v>
      </c>
      <c r="F418" s="1097">
        <v>5</v>
      </c>
      <c r="G418" s="1011" t="s">
        <v>2787</v>
      </c>
      <c r="H418" s="1011" t="s">
        <v>72</v>
      </c>
      <c r="I418" s="1011" t="s">
        <v>177</v>
      </c>
      <c r="J418" s="1011" t="s">
        <v>66</v>
      </c>
      <c r="K418" s="1011" t="s">
        <v>50</v>
      </c>
      <c r="L418" s="1011" t="s">
        <v>516</v>
      </c>
      <c r="M418" s="1286">
        <v>99</v>
      </c>
      <c r="N418" s="1065" t="s">
        <v>137</v>
      </c>
      <c r="O418" s="1062">
        <v>39498000</v>
      </c>
      <c r="P418" s="1062">
        <f>O418+O420</f>
        <v>98745000</v>
      </c>
      <c r="Q418" s="1062">
        <f>P418</f>
        <v>98745000</v>
      </c>
      <c r="R418" s="1068">
        <v>40413</v>
      </c>
      <c r="S418" s="1092">
        <f>T418+T419</f>
        <v>39498000</v>
      </c>
      <c r="T418" s="1062">
        <v>39498000</v>
      </c>
      <c r="U418" s="1062">
        <f>O418-T418</f>
        <v>0</v>
      </c>
      <c r="V418" s="1062">
        <v>39483876.399999999</v>
      </c>
      <c r="W418" s="1062">
        <v>98709691</v>
      </c>
      <c r="X418" s="1011" t="s">
        <v>467</v>
      </c>
      <c r="Y418" s="1123" t="s">
        <v>479</v>
      </c>
      <c r="Z418" s="109">
        <v>0</v>
      </c>
      <c r="AA418" s="109">
        <v>15793550.560000001</v>
      </c>
      <c r="AB418" s="109">
        <f t="shared" si="31"/>
        <v>15793550.560000001</v>
      </c>
      <c r="AC418" s="1171">
        <v>40449</v>
      </c>
      <c r="AD418" s="119">
        <v>15793550</v>
      </c>
      <c r="AE418" s="119" t="s">
        <v>137</v>
      </c>
      <c r="AF418" s="1043">
        <f>SUM(AD418:AD421)</f>
        <v>98709691</v>
      </c>
      <c r="AG418" s="1043">
        <f>AF418</f>
        <v>98709691</v>
      </c>
      <c r="AH418" s="111">
        <f t="shared" si="32"/>
        <v>0.56000000052154064</v>
      </c>
      <c r="AI418" s="1043">
        <f>O418-AD418-AD420</f>
        <v>14124.240000002086</v>
      </c>
      <c r="AJ418" s="1062">
        <f>SUM(Z418:Z421)-SUM(AD418:AD421)</f>
        <v>0</v>
      </c>
      <c r="AK418" s="1119">
        <f>O418-V418</f>
        <v>14123.60000000149</v>
      </c>
      <c r="AL418" s="1062">
        <f>SUM(V418:V421)-SUM(Z418:Z421)</f>
        <v>0</v>
      </c>
      <c r="AM418" s="1062">
        <f>AK418+AK420+AL418</f>
        <v>35309</v>
      </c>
      <c r="AN418" s="1108" t="s">
        <v>512</v>
      </c>
      <c r="AO418" s="1103" t="s">
        <v>797</v>
      </c>
      <c r="AP418" s="1074" t="s">
        <v>2501</v>
      </c>
      <c r="AQ418" s="934"/>
    </row>
    <row r="419" spans="1:43" s="4" customFormat="1" ht="15" customHeight="1">
      <c r="A419" s="1031"/>
      <c r="B419" s="1069"/>
      <c r="C419" s="1033"/>
      <c r="D419" s="1033"/>
      <c r="E419" s="1098"/>
      <c r="F419" s="1098"/>
      <c r="G419" s="1033"/>
      <c r="H419" s="1033"/>
      <c r="I419" s="1033"/>
      <c r="J419" s="1033"/>
      <c r="K419" s="1033"/>
      <c r="L419" s="1033"/>
      <c r="M419" s="1287"/>
      <c r="N419" s="1067"/>
      <c r="O419" s="1064"/>
      <c r="P419" s="1063"/>
      <c r="Q419" s="1063"/>
      <c r="R419" s="1069"/>
      <c r="S419" s="1093"/>
      <c r="T419" s="1064"/>
      <c r="U419" s="1064"/>
      <c r="V419" s="1064"/>
      <c r="W419" s="1063"/>
      <c r="X419" s="1033"/>
      <c r="Y419" s="1123"/>
      <c r="Z419" s="109">
        <v>0</v>
      </c>
      <c r="AA419" s="109">
        <v>23690325.840000004</v>
      </c>
      <c r="AB419" s="109">
        <f t="shared" si="31"/>
        <v>23690325.840000004</v>
      </c>
      <c r="AC419" s="1171"/>
      <c r="AD419" s="119">
        <v>23690326</v>
      </c>
      <c r="AE419" s="119" t="s">
        <v>7</v>
      </c>
      <c r="AF419" s="1044"/>
      <c r="AG419" s="1044"/>
      <c r="AH419" s="111">
        <f t="shared" si="32"/>
        <v>-0.15999999642372131</v>
      </c>
      <c r="AI419" s="1045"/>
      <c r="AJ419" s="1063"/>
      <c r="AK419" s="1119"/>
      <c r="AL419" s="1063"/>
      <c r="AM419" s="1063"/>
      <c r="AN419" s="1109"/>
      <c r="AO419" s="1104"/>
      <c r="AP419" s="1074"/>
      <c r="AQ419" s="934"/>
    </row>
    <row r="420" spans="1:43" s="4" customFormat="1" ht="15" customHeight="1">
      <c r="A420" s="1031"/>
      <c r="B420" s="1069"/>
      <c r="C420" s="1033"/>
      <c r="D420" s="1033"/>
      <c r="E420" s="1098"/>
      <c r="F420" s="1098"/>
      <c r="G420" s="1033"/>
      <c r="H420" s="1033"/>
      <c r="I420" s="1033"/>
      <c r="J420" s="1033"/>
      <c r="K420" s="1033"/>
      <c r="L420" s="1033"/>
      <c r="M420" s="1287"/>
      <c r="N420" s="1065" t="s">
        <v>7</v>
      </c>
      <c r="O420" s="1062">
        <v>59247000</v>
      </c>
      <c r="P420" s="1063"/>
      <c r="Q420" s="1063"/>
      <c r="R420" s="1069"/>
      <c r="S420" s="1093"/>
      <c r="T420" s="1062">
        <v>59247000</v>
      </c>
      <c r="U420" s="1062">
        <f>O420-T420</f>
        <v>0</v>
      </c>
      <c r="V420" s="1062">
        <v>59225814.600000001</v>
      </c>
      <c r="W420" s="1063"/>
      <c r="X420" s="1033"/>
      <c r="Y420" s="1065" t="s">
        <v>516</v>
      </c>
      <c r="Z420" s="109">
        <v>39483876.399999999</v>
      </c>
      <c r="AA420" s="109">
        <v>-15793550.560000001</v>
      </c>
      <c r="AB420" s="109">
        <f t="shared" si="31"/>
        <v>23690325.839999996</v>
      </c>
      <c r="AC420" s="97">
        <v>43076</v>
      </c>
      <c r="AD420" s="119">
        <v>23690325.759999998</v>
      </c>
      <c r="AE420" s="119" t="s">
        <v>137</v>
      </c>
      <c r="AF420" s="1044"/>
      <c r="AG420" s="1044"/>
      <c r="AH420" s="111">
        <f t="shared" si="32"/>
        <v>7.9999998211860657E-2</v>
      </c>
      <c r="AI420" s="1043">
        <f>O420-AD419-AD421</f>
        <v>21184.760000005364</v>
      </c>
      <c r="AJ420" s="1063"/>
      <c r="AK420" s="1062">
        <f>O420-V420</f>
        <v>21185.39999999851</v>
      </c>
      <c r="AL420" s="1063"/>
      <c r="AM420" s="1063"/>
      <c r="AN420" s="1109"/>
      <c r="AO420" s="1104"/>
      <c r="AP420" s="1074"/>
      <c r="AQ420" s="934"/>
    </row>
    <row r="421" spans="1:43" s="4" customFormat="1" ht="15" customHeight="1">
      <c r="A421" s="1032"/>
      <c r="B421" s="1070"/>
      <c r="C421" s="1012"/>
      <c r="D421" s="1012"/>
      <c r="E421" s="1099"/>
      <c r="F421" s="1099"/>
      <c r="G421" s="1012"/>
      <c r="H421" s="1012"/>
      <c r="I421" s="1012"/>
      <c r="J421" s="1012"/>
      <c r="K421" s="1012"/>
      <c r="L421" s="1012"/>
      <c r="M421" s="1288"/>
      <c r="N421" s="1067"/>
      <c r="O421" s="1064"/>
      <c r="P421" s="1064"/>
      <c r="Q421" s="1064"/>
      <c r="R421" s="1070"/>
      <c r="S421" s="1094"/>
      <c r="T421" s="1064"/>
      <c r="U421" s="1064"/>
      <c r="V421" s="1064"/>
      <c r="W421" s="1064"/>
      <c r="X421" s="1012"/>
      <c r="Y421" s="1067"/>
      <c r="Z421" s="109">
        <v>59225814.600000001</v>
      </c>
      <c r="AA421" s="109">
        <v>-23690325.84</v>
      </c>
      <c r="AB421" s="109">
        <f t="shared" si="31"/>
        <v>35535488.760000005</v>
      </c>
      <c r="AC421" s="665">
        <v>43076</v>
      </c>
      <c r="AD421" s="119">
        <v>35535489.239999995</v>
      </c>
      <c r="AE421" s="119" t="s">
        <v>7</v>
      </c>
      <c r="AF421" s="1045"/>
      <c r="AG421" s="1045"/>
      <c r="AH421" s="111">
        <f t="shared" si="32"/>
        <v>-0.47999998927116394</v>
      </c>
      <c r="AI421" s="1045"/>
      <c r="AJ421" s="1064"/>
      <c r="AK421" s="1064"/>
      <c r="AL421" s="1064"/>
      <c r="AM421" s="1064"/>
      <c r="AN421" s="1110"/>
      <c r="AO421" s="1105"/>
      <c r="AP421" s="1074"/>
      <c r="AQ421" s="934"/>
    </row>
    <row r="422" spans="1:43" s="24" customFormat="1" ht="15" customHeight="1">
      <c r="A422" s="1214" t="s">
        <v>525</v>
      </c>
      <c r="B422" s="1171">
        <v>40378</v>
      </c>
      <c r="C422" s="1076" t="s">
        <v>26</v>
      </c>
      <c r="D422" s="1076" t="s">
        <v>526</v>
      </c>
      <c r="E422" s="1252">
        <v>10528780</v>
      </c>
      <c r="F422" s="1281"/>
      <c r="G422" s="1076" t="s">
        <v>2788</v>
      </c>
      <c r="H422" s="1076" t="s">
        <v>72</v>
      </c>
      <c r="I422" s="1076" t="s">
        <v>177</v>
      </c>
      <c r="J422" s="1076" t="s">
        <v>489</v>
      </c>
      <c r="K422" s="1076" t="s">
        <v>183</v>
      </c>
      <c r="L422" s="1076" t="s">
        <v>531</v>
      </c>
      <c r="M422" s="1245">
        <v>100</v>
      </c>
      <c r="N422" s="1282" t="s">
        <v>137</v>
      </c>
      <c r="O422" s="1119">
        <v>35918107.600000001</v>
      </c>
      <c r="P422" s="1062">
        <f>O422+O424</f>
        <v>89795269</v>
      </c>
      <c r="Q422" s="1062">
        <f>SUM(P422:P424)</f>
        <v>89795269</v>
      </c>
      <c r="R422" s="1171">
        <v>40413</v>
      </c>
      <c r="S422" s="1062">
        <f>T422+T424</f>
        <v>89795269</v>
      </c>
      <c r="T422" s="1062">
        <v>35918107.600000001</v>
      </c>
      <c r="U422" s="1062">
        <f>O422-T422</f>
        <v>0</v>
      </c>
      <c r="V422" s="1119">
        <v>35844967.68</v>
      </c>
      <c r="W422" s="1062">
        <v>89612419.200000003</v>
      </c>
      <c r="X422" s="1203" t="s">
        <v>467</v>
      </c>
      <c r="Y422" s="1123" t="s">
        <v>528</v>
      </c>
      <c r="Z422" s="109">
        <v>0</v>
      </c>
      <c r="AA422" s="109">
        <v>14337987.072000001</v>
      </c>
      <c r="AB422" s="109">
        <f t="shared" si="31"/>
        <v>14337987.072000001</v>
      </c>
      <c r="AC422" s="1171">
        <v>40466</v>
      </c>
      <c r="AD422" s="134">
        <v>14337987</v>
      </c>
      <c r="AE422" s="109" t="s">
        <v>137</v>
      </c>
      <c r="AF422" s="1119">
        <f>SUM(AD422:AD425)</f>
        <v>89612419.200000003</v>
      </c>
      <c r="AG422" s="1119">
        <v>0</v>
      </c>
      <c r="AH422" s="1119">
        <v>0</v>
      </c>
      <c r="AI422" s="1119">
        <v>0</v>
      </c>
      <c r="AJ422" s="1119">
        <v>0</v>
      </c>
      <c r="AK422" s="1062">
        <v>73139.920000001788</v>
      </c>
      <c r="AL422" s="1119">
        <v>0</v>
      </c>
      <c r="AM422" s="1062">
        <f>AK422+AK424+AL422</f>
        <v>182849.79999999702</v>
      </c>
      <c r="AN422" s="1260" t="s">
        <v>530</v>
      </c>
      <c r="AO422" s="1260" t="s">
        <v>798</v>
      </c>
      <c r="AQ422" s="934"/>
    </row>
    <row r="423" spans="1:43" s="24" customFormat="1" ht="15" customHeight="1">
      <c r="A423" s="1214"/>
      <c r="B423" s="1171"/>
      <c r="C423" s="1076"/>
      <c r="D423" s="1076"/>
      <c r="E423" s="1252"/>
      <c r="F423" s="1281"/>
      <c r="G423" s="1076"/>
      <c r="H423" s="1076"/>
      <c r="I423" s="1076"/>
      <c r="J423" s="1076"/>
      <c r="K423" s="1076"/>
      <c r="L423" s="1076"/>
      <c r="M423" s="1245"/>
      <c r="N423" s="1282"/>
      <c r="O423" s="1119"/>
      <c r="P423" s="1063"/>
      <c r="Q423" s="1063"/>
      <c r="R423" s="1171"/>
      <c r="S423" s="1063"/>
      <c r="T423" s="1064"/>
      <c r="U423" s="1064"/>
      <c r="V423" s="1119"/>
      <c r="W423" s="1063"/>
      <c r="X423" s="1203"/>
      <c r="Y423" s="1123"/>
      <c r="Z423" s="109">
        <v>0</v>
      </c>
      <c r="AA423" s="109">
        <v>21506980.608000003</v>
      </c>
      <c r="AB423" s="109">
        <f t="shared" si="31"/>
        <v>21506980.608000003</v>
      </c>
      <c r="AC423" s="1171"/>
      <c r="AD423" s="134">
        <v>21506981</v>
      </c>
      <c r="AE423" s="109" t="s">
        <v>7</v>
      </c>
      <c r="AF423" s="1119"/>
      <c r="AG423" s="1119"/>
      <c r="AH423" s="1119"/>
      <c r="AI423" s="1119"/>
      <c r="AJ423" s="1119"/>
      <c r="AK423" s="1064"/>
      <c r="AL423" s="1119"/>
      <c r="AM423" s="1063"/>
      <c r="AN423" s="1260"/>
      <c r="AO423" s="1260"/>
      <c r="AQ423" s="934"/>
    </row>
    <row r="424" spans="1:43" s="24" customFormat="1" ht="15" customHeight="1">
      <c r="A424" s="1214"/>
      <c r="B424" s="1171"/>
      <c r="C424" s="1076"/>
      <c r="D424" s="1076"/>
      <c r="E424" s="1252"/>
      <c r="F424" s="1281"/>
      <c r="G424" s="1076"/>
      <c r="H424" s="1076"/>
      <c r="I424" s="1076"/>
      <c r="J424" s="1076"/>
      <c r="K424" s="1076"/>
      <c r="L424" s="1076"/>
      <c r="M424" s="1245"/>
      <c r="N424" s="1277" t="s">
        <v>7</v>
      </c>
      <c r="O424" s="1062">
        <v>53877161.399999999</v>
      </c>
      <c r="P424" s="1063"/>
      <c r="Q424" s="1063"/>
      <c r="R424" s="1171"/>
      <c r="S424" s="1063"/>
      <c r="T424" s="1062">
        <v>53877161.399999999</v>
      </c>
      <c r="U424" s="1062">
        <f>O424-T424</f>
        <v>0</v>
      </c>
      <c r="V424" s="1062">
        <v>53767451.520000003</v>
      </c>
      <c r="W424" s="1063"/>
      <c r="X424" s="1203"/>
      <c r="Y424" s="1123" t="s">
        <v>529</v>
      </c>
      <c r="Z424" s="109">
        <v>35844967.68</v>
      </c>
      <c r="AA424" s="109">
        <v>-14337987.072000001</v>
      </c>
      <c r="AB424" s="109">
        <f t="shared" si="31"/>
        <v>21506980.607999999</v>
      </c>
      <c r="AC424" s="1171">
        <v>42880</v>
      </c>
      <c r="AD424" s="134">
        <v>21506980.670000002</v>
      </c>
      <c r="AE424" s="109" t="s">
        <v>137</v>
      </c>
      <c r="AF424" s="1119"/>
      <c r="AG424" s="1119"/>
      <c r="AH424" s="1119"/>
      <c r="AI424" s="1119"/>
      <c r="AJ424" s="1119"/>
      <c r="AK424" s="1062">
        <v>109709.87999999523</v>
      </c>
      <c r="AL424" s="1119"/>
      <c r="AM424" s="1063"/>
      <c r="AN424" s="1260"/>
      <c r="AO424" s="1260"/>
      <c r="AQ424" s="934"/>
    </row>
    <row r="425" spans="1:43" s="24" customFormat="1" ht="15" customHeight="1">
      <c r="A425" s="1214"/>
      <c r="B425" s="1171"/>
      <c r="C425" s="1076"/>
      <c r="D425" s="1076"/>
      <c r="E425" s="1252"/>
      <c r="F425" s="1281"/>
      <c r="G425" s="1076"/>
      <c r="H425" s="1076"/>
      <c r="I425" s="1076"/>
      <c r="J425" s="1076"/>
      <c r="K425" s="1076"/>
      <c r="L425" s="1076"/>
      <c r="M425" s="1245"/>
      <c r="N425" s="1278"/>
      <c r="O425" s="1064"/>
      <c r="P425" s="1064"/>
      <c r="Q425" s="1064"/>
      <c r="R425" s="1171"/>
      <c r="S425" s="1064"/>
      <c r="T425" s="1064"/>
      <c r="U425" s="1064"/>
      <c r="V425" s="1064"/>
      <c r="W425" s="1064"/>
      <c r="X425" s="1203"/>
      <c r="Y425" s="1123" t="s">
        <v>524</v>
      </c>
      <c r="Z425" s="109">
        <v>53767451.520000003</v>
      </c>
      <c r="AA425" s="109">
        <v>-21506980.607999999</v>
      </c>
      <c r="AB425" s="109">
        <f t="shared" si="31"/>
        <v>32260470.912000004</v>
      </c>
      <c r="AC425" s="1171"/>
      <c r="AD425" s="134">
        <v>32260470.530000001</v>
      </c>
      <c r="AE425" s="109" t="s">
        <v>7</v>
      </c>
      <c r="AF425" s="1119"/>
      <c r="AG425" s="1119"/>
      <c r="AH425" s="1119"/>
      <c r="AI425" s="1119"/>
      <c r="AJ425" s="1119"/>
      <c r="AK425" s="1064"/>
      <c r="AL425" s="1119"/>
      <c r="AM425" s="1064"/>
      <c r="AN425" s="1260"/>
      <c r="AO425" s="1260"/>
      <c r="AQ425" s="934"/>
    </row>
    <row r="426" spans="1:43" s="4" customFormat="1" ht="15" customHeight="1">
      <c r="A426" s="1030" t="s">
        <v>517</v>
      </c>
      <c r="B426" s="1068">
        <v>40380</v>
      </c>
      <c r="C426" s="1011" t="s">
        <v>26</v>
      </c>
      <c r="D426" s="1011" t="s">
        <v>175</v>
      </c>
      <c r="E426" s="1097">
        <v>900346392</v>
      </c>
      <c r="F426" s="1097">
        <v>2</v>
      </c>
      <c r="G426" s="1011" t="s">
        <v>2789</v>
      </c>
      <c r="H426" s="1011" t="s">
        <v>72</v>
      </c>
      <c r="I426" s="1011" t="s">
        <v>177</v>
      </c>
      <c r="J426" s="1011" t="s">
        <v>66</v>
      </c>
      <c r="K426" s="1011" t="s">
        <v>183</v>
      </c>
      <c r="L426" s="1011" t="s">
        <v>522</v>
      </c>
      <c r="M426" s="1286">
        <v>101</v>
      </c>
      <c r="N426" s="1277" t="s">
        <v>137</v>
      </c>
      <c r="O426" s="1062">
        <v>22860138</v>
      </c>
      <c r="P426" s="1062">
        <f>O426+O428</f>
        <v>57150345</v>
      </c>
      <c r="Q426" s="1062">
        <f>P426</f>
        <v>57150345</v>
      </c>
      <c r="R426" s="1068">
        <v>40413</v>
      </c>
      <c r="S426" s="1092">
        <f>T426+T428</f>
        <v>57150345</v>
      </c>
      <c r="T426" s="1062">
        <v>22860138</v>
      </c>
      <c r="U426" s="1062">
        <f>O426-T426</f>
        <v>0</v>
      </c>
      <c r="V426" s="1062">
        <v>22860138</v>
      </c>
      <c r="W426" s="1062">
        <v>57150342</v>
      </c>
      <c r="X426" s="1011" t="s">
        <v>467</v>
      </c>
      <c r="Y426" s="1065" t="s">
        <v>519</v>
      </c>
      <c r="Z426" s="109">
        <v>0</v>
      </c>
      <c r="AA426" s="109">
        <v>9144054</v>
      </c>
      <c r="AB426" s="109">
        <f t="shared" si="31"/>
        <v>9144054</v>
      </c>
      <c r="AC426" s="1068">
        <v>40501</v>
      </c>
      <c r="AD426" s="119">
        <v>9144054</v>
      </c>
      <c r="AE426" s="119" t="s">
        <v>137</v>
      </c>
      <c r="AF426" s="1043">
        <f>SUM(AD426:AD430)</f>
        <v>57150342</v>
      </c>
      <c r="AG426" s="1043">
        <f>AF426</f>
        <v>57150342</v>
      </c>
      <c r="AH426" s="111">
        <f>AB426-AD426</f>
        <v>0</v>
      </c>
      <c r="AI426" s="1043">
        <f>O426-AD426-AD430</f>
        <v>10287064</v>
      </c>
      <c r="AJ426" s="1062">
        <f>SUM(Z426:Z430)-SUM(AD426:AD430)</f>
        <v>0</v>
      </c>
      <c r="AK426" s="1062">
        <f>P426-SUM(V426:V430)</f>
        <v>0</v>
      </c>
      <c r="AL426" s="1062">
        <f>SUM(V426:V430)-SUM(Z426:Z430)</f>
        <v>3</v>
      </c>
      <c r="AM426" s="1062">
        <f>AK426+AL426</f>
        <v>3</v>
      </c>
      <c r="AN426" s="1108" t="s">
        <v>523</v>
      </c>
      <c r="AO426" s="1103" t="s">
        <v>805</v>
      </c>
      <c r="AQ426" s="934"/>
    </row>
    <row r="427" spans="1:43" s="4" customFormat="1" ht="15" customHeight="1">
      <c r="A427" s="1031"/>
      <c r="B427" s="1069"/>
      <c r="C427" s="1033"/>
      <c r="D427" s="1033"/>
      <c r="E427" s="1098"/>
      <c r="F427" s="1098"/>
      <c r="G427" s="1033"/>
      <c r="H427" s="1033"/>
      <c r="I427" s="1033"/>
      <c r="J427" s="1033"/>
      <c r="K427" s="1033"/>
      <c r="L427" s="1033"/>
      <c r="M427" s="1287"/>
      <c r="N427" s="1278"/>
      <c r="O427" s="1064"/>
      <c r="P427" s="1063"/>
      <c r="Q427" s="1063"/>
      <c r="R427" s="1069"/>
      <c r="S427" s="1093"/>
      <c r="T427" s="1064"/>
      <c r="U427" s="1064"/>
      <c r="V427" s="1064"/>
      <c r="W427" s="1063"/>
      <c r="X427" s="1033"/>
      <c r="Y427" s="1067"/>
      <c r="Z427" s="109">
        <v>0</v>
      </c>
      <c r="AA427" s="109">
        <v>13716082</v>
      </c>
      <c r="AB427" s="109">
        <f t="shared" si="31"/>
        <v>13716082</v>
      </c>
      <c r="AC427" s="1070"/>
      <c r="AD427" s="119">
        <v>13716082</v>
      </c>
      <c r="AE427" s="119" t="s">
        <v>7</v>
      </c>
      <c r="AF427" s="1044"/>
      <c r="AG427" s="1044"/>
      <c r="AH427" s="111">
        <f>AB427-AD427</f>
        <v>0</v>
      </c>
      <c r="AI427" s="1045"/>
      <c r="AJ427" s="1063"/>
      <c r="AK427" s="1063"/>
      <c r="AL427" s="1063"/>
      <c r="AM427" s="1063"/>
      <c r="AN427" s="1109"/>
      <c r="AO427" s="1104"/>
      <c r="AQ427" s="934"/>
    </row>
    <row r="428" spans="1:43" s="4" customFormat="1" ht="15" customHeight="1">
      <c r="A428" s="1031"/>
      <c r="B428" s="1069"/>
      <c r="C428" s="1033"/>
      <c r="D428" s="1033"/>
      <c r="E428" s="1098"/>
      <c r="F428" s="1098"/>
      <c r="G428" s="1033"/>
      <c r="H428" s="1033"/>
      <c r="I428" s="1033"/>
      <c r="J428" s="1033"/>
      <c r="K428" s="1033"/>
      <c r="L428" s="1033"/>
      <c r="M428" s="1287"/>
      <c r="N428" s="1277" t="s">
        <v>7</v>
      </c>
      <c r="O428" s="1062">
        <v>34290207</v>
      </c>
      <c r="P428" s="1063"/>
      <c r="Q428" s="1063"/>
      <c r="R428" s="1069"/>
      <c r="S428" s="1093"/>
      <c r="T428" s="1062">
        <v>34290207</v>
      </c>
      <c r="U428" s="1062">
        <f>O428-T428</f>
        <v>0</v>
      </c>
      <c r="V428" s="1062">
        <v>34290207</v>
      </c>
      <c r="W428" s="1063"/>
      <c r="X428" s="1033"/>
      <c r="Y428" s="108" t="s">
        <v>520</v>
      </c>
      <c r="Z428" s="109">
        <v>47625285</v>
      </c>
      <c r="AA428" s="109">
        <v>-19050114</v>
      </c>
      <c r="AB428" s="109">
        <f t="shared" si="31"/>
        <v>28575171</v>
      </c>
      <c r="AC428" s="97">
        <v>40569</v>
      </c>
      <c r="AD428" s="119">
        <v>28575172</v>
      </c>
      <c r="AE428" s="119" t="s">
        <v>7</v>
      </c>
      <c r="AF428" s="1044"/>
      <c r="AG428" s="1044"/>
      <c r="AH428" s="111">
        <f>AB428-AD428</f>
        <v>-1</v>
      </c>
      <c r="AI428" s="1043">
        <f>O428-AD427-AD428-AD429</f>
        <v>-10287061</v>
      </c>
      <c r="AJ428" s="1063"/>
      <c r="AK428" s="1063"/>
      <c r="AL428" s="1063"/>
      <c r="AM428" s="1063"/>
      <c r="AN428" s="1109"/>
      <c r="AO428" s="1104"/>
      <c r="AQ428" s="934"/>
    </row>
    <row r="429" spans="1:43" s="4" customFormat="1" ht="15" customHeight="1">
      <c r="A429" s="1031"/>
      <c r="B429" s="1069"/>
      <c r="C429" s="1033"/>
      <c r="D429" s="1033"/>
      <c r="E429" s="1098"/>
      <c r="F429" s="1098"/>
      <c r="G429" s="1033"/>
      <c r="H429" s="1033"/>
      <c r="I429" s="1033"/>
      <c r="J429" s="1033"/>
      <c r="K429" s="1033"/>
      <c r="L429" s="1033"/>
      <c r="M429" s="1287"/>
      <c r="N429" s="1279"/>
      <c r="O429" s="1063"/>
      <c r="P429" s="1063"/>
      <c r="Q429" s="1063"/>
      <c r="R429" s="1069"/>
      <c r="S429" s="1093"/>
      <c r="T429" s="1063"/>
      <c r="U429" s="1063"/>
      <c r="V429" s="1063"/>
      <c r="W429" s="1063"/>
      <c r="X429" s="1033"/>
      <c r="Y429" s="1065" t="s">
        <v>521</v>
      </c>
      <c r="Z429" s="109">
        <v>3810022.8000000003</v>
      </c>
      <c r="AA429" s="109">
        <v>-1524009.12</v>
      </c>
      <c r="AB429" s="109">
        <f t="shared" si="31"/>
        <v>2286013.6800000002</v>
      </c>
      <c r="AC429" s="1068">
        <v>40913</v>
      </c>
      <c r="AD429" s="119">
        <v>2286014</v>
      </c>
      <c r="AE429" s="119" t="s">
        <v>7</v>
      </c>
      <c r="AF429" s="1044"/>
      <c r="AG429" s="1044"/>
      <c r="AH429" s="111">
        <f>AB429-AD429</f>
        <v>-0.31999999983236194</v>
      </c>
      <c r="AI429" s="1044"/>
      <c r="AJ429" s="1063"/>
      <c r="AK429" s="1063"/>
      <c r="AL429" s="1063"/>
      <c r="AM429" s="1063"/>
      <c r="AN429" s="1109"/>
      <c r="AO429" s="1104"/>
      <c r="AQ429" s="934"/>
    </row>
    <row r="430" spans="1:43" s="4" customFormat="1" ht="15" customHeight="1">
      <c r="A430" s="1032"/>
      <c r="B430" s="1070"/>
      <c r="C430" s="1012"/>
      <c r="D430" s="1012"/>
      <c r="E430" s="1099"/>
      <c r="F430" s="1099"/>
      <c r="G430" s="1012"/>
      <c r="H430" s="1012"/>
      <c r="I430" s="1012"/>
      <c r="J430" s="1012"/>
      <c r="K430" s="1012"/>
      <c r="L430" s="1012"/>
      <c r="M430" s="1288"/>
      <c r="N430" s="1278"/>
      <c r="O430" s="1064"/>
      <c r="P430" s="1064"/>
      <c r="Q430" s="1064"/>
      <c r="R430" s="1070"/>
      <c r="S430" s="1094"/>
      <c r="T430" s="1064"/>
      <c r="U430" s="1064"/>
      <c r="V430" s="1064"/>
      <c r="W430" s="1064"/>
      <c r="X430" s="1012"/>
      <c r="Y430" s="1067"/>
      <c r="Z430" s="109">
        <v>5715034.2000000002</v>
      </c>
      <c r="AA430" s="109">
        <v>-2286013.6800000002</v>
      </c>
      <c r="AB430" s="109">
        <f t="shared" si="31"/>
        <v>3429020.52</v>
      </c>
      <c r="AC430" s="1070"/>
      <c r="AD430" s="119">
        <v>3429020</v>
      </c>
      <c r="AE430" s="119" t="s">
        <v>137</v>
      </c>
      <c r="AF430" s="1045"/>
      <c r="AG430" s="1045"/>
      <c r="AH430" s="111">
        <f>AB430-AD430</f>
        <v>0.52000000001862645</v>
      </c>
      <c r="AI430" s="1045"/>
      <c r="AJ430" s="1064"/>
      <c r="AK430" s="1064"/>
      <c r="AL430" s="1064"/>
      <c r="AM430" s="1064"/>
      <c r="AN430" s="1110"/>
      <c r="AO430" s="1105"/>
      <c r="AQ430" s="934"/>
    </row>
    <row r="431" spans="1:43" s="24" customFormat="1" ht="15" customHeight="1">
      <c r="A431" s="1075" t="s">
        <v>532</v>
      </c>
      <c r="B431" s="1068">
        <v>40382</v>
      </c>
      <c r="C431" s="1076" t="s">
        <v>29</v>
      </c>
      <c r="D431" s="1076" t="s">
        <v>534</v>
      </c>
      <c r="E431" s="1097">
        <v>900370774</v>
      </c>
      <c r="F431" s="1298">
        <v>3</v>
      </c>
      <c r="G431" s="1076" t="s">
        <v>2838</v>
      </c>
      <c r="H431" s="1076" t="s">
        <v>72</v>
      </c>
      <c r="I431" s="1076" t="s">
        <v>177</v>
      </c>
      <c r="J431" s="1076" t="s">
        <v>66</v>
      </c>
      <c r="K431" s="1076" t="s">
        <v>183</v>
      </c>
      <c r="L431" s="1076" t="s">
        <v>539</v>
      </c>
      <c r="M431" s="1220">
        <v>102</v>
      </c>
      <c r="N431" s="1277" t="s">
        <v>137</v>
      </c>
      <c r="O431" s="1062">
        <v>24031140</v>
      </c>
      <c r="P431" s="1062">
        <f>O431+O433</f>
        <v>60077850</v>
      </c>
      <c r="Q431" s="1062">
        <f>P431+P435</f>
        <v>77332850</v>
      </c>
      <c r="R431" s="1068">
        <v>40413</v>
      </c>
      <c r="S431" s="1062">
        <f>T431+T433</f>
        <v>59925600</v>
      </c>
      <c r="T431" s="1062">
        <v>23970240</v>
      </c>
      <c r="U431" s="1062">
        <f>O431-T431</f>
        <v>60900</v>
      </c>
      <c r="V431" s="1119">
        <v>23970240</v>
      </c>
      <c r="W431" s="1119">
        <f>V431+V433+V435</f>
        <v>77180600</v>
      </c>
      <c r="X431" s="1108" t="s">
        <v>467</v>
      </c>
      <c r="Y431" s="1123" t="s">
        <v>536</v>
      </c>
      <c r="Z431" s="109">
        <v>0</v>
      </c>
      <c r="AA431" s="109">
        <v>9588096</v>
      </c>
      <c r="AB431" s="109">
        <f>Z431+AA431</f>
        <v>9588096</v>
      </c>
      <c r="AC431" s="1171">
        <v>40452</v>
      </c>
      <c r="AD431" s="134">
        <v>9588096</v>
      </c>
      <c r="AE431" s="109" t="s">
        <v>137</v>
      </c>
      <c r="AF431" s="1119">
        <f>SUM(AD431:AD434)</f>
        <v>59925600</v>
      </c>
      <c r="AG431" s="1119">
        <f>SUM(AF431:AF435)</f>
        <v>77180600</v>
      </c>
      <c r="AH431" s="1119">
        <v>0</v>
      </c>
      <c r="AI431" s="1119">
        <v>0</v>
      </c>
      <c r="AJ431" s="1119">
        <v>0</v>
      </c>
      <c r="AK431" s="1119">
        <v>0</v>
      </c>
      <c r="AL431" s="1119">
        <v>0</v>
      </c>
      <c r="AM431" s="1119">
        <v>0</v>
      </c>
      <c r="AN431" s="1260" t="s">
        <v>540</v>
      </c>
      <c r="AO431" s="1260" t="s">
        <v>799</v>
      </c>
      <c r="AQ431" s="934"/>
    </row>
    <row r="432" spans="1:43" s="24" customFormat="1" ht="15" customHeight="1">
      <c r="A432" s="1075"/>
      <c r="B432" s="1069"/>
      <c r="C432" s="1076"/>
      <c r="D432" s="1076"/>
      <c r="E432" s="1098"/>
      <c r="F432" s="1299"/>
      <c r="G432" s="1076"/>
      <c r="H432" s="1076"/>
      <c r="I432" s="1076"/>
      <c r="J432" s="1076"/>
      <c r="K432" s="1076"/>
      <c r="L432" s="1076"/>
      <c r="M432" s="1221"/>
      <c r="N432" s="1278"/>
      <c r="O432" s="1064"/>
      <c r="P432" s="1063"/>
      <c r="Q432" s="1063"/>
      <c r="R432" s="1069"/>
      <c r="S432" s="1063"/>
      <c r="T432" s="1064"/>
      <c r="U432" s="1064"/>
      <c r="V432" s="1119"/>
      <c r="W432" s="1119"/>
      <c r="X432" s="1109"/>
      <c r="Y432" s="1123"/>
      <c r="Z432" s="109">
        <v>0</v>
      </c>
      <c r="AA432" s="109">
        <v>14382144</v>
      </c>
      <c r="AB432" s="109">
        <f>Z432+AA432</f>
        <v>14382144</v>
      </c>
      <c r="AC432" s="1171"/>
      <c r="AD432" s="134">
        <v>14382144</v>
      </c>
      <c r="AE432" s="109" t="s">
        <v>7</v>
      </c>
      <c r="AF432" s="1119"/>
      <c r="AG432" s="1119"/>
      <c r="AH432" s="1119"/>
      <c r="AI432" s="1119"/>
      <c r="AJ432" s="1119"/>
      <c r="AK432" s="1119"/>
      <c r="AL432" s="1119"/>
      <c r="AM432" s="1119"/>
      <c r="AN432" s="1260"/>
      <c r="AO432" s="1260"/>
      <c r="AQ432" s="934"/>
    </row>
    <row r="433" spans="1:43" s="24" customFormat="1" ht="15" customHeight="1">
      <c r="A433" s="1075"/>
      <c r="B433" s="1069"/>
      <c r="C433" s="1076"/>
      <c r="D433" s="1076"/>
      <c r="E433" s="1098"/>
      <c r="F433" s="1299"/>
      <c r="G433" s="1076"/>
      <c r="H433" s="1076"/>
      <c r="I433" s="1076"/>
      <c r="J433" s="1076"/>
      <c r="K433" s="1076"/>
      <c r="L433" s="1076"/>
      <c r="M433" s="1221"/>
      <c r="N433" s="1277" t="s">
        <v>7</v>
      </c>
      <c r="O433" s="1062">
        <v>36046710</v>
      </c>
      <c r="P433" s="1063"/>
      <c r="Q433" s="1063"/>
      <c r="R433" s="1069"/>
      <c r="S433" s="1063"/>
      <c r="T433" s="1062">
        <v>35955360</v>
      </c>
      <c r="U433" s="1062">
        <f>O433-T433</f>
        <v>91350</v>
      </c>
      <c r="V433" s="1062">
        <v>35955360</v>
      </c>
      <c r="W433" s="1119"/>
      <c r="X433" s="1109"/>
      <c r="Y433" s="1123" t="s">
        <v>537</v>
      </c>
      <c r="Z433" s="109">
        <f>59925600*40%</f>
        <v>23970240</v>
      </c>
      <c r="AA433" s="109">
        <v>-9588096</v>
      </c>
      <c r="AB433" s="109">
        <f>Z433+AA433</f>
        <v>14382144</v>
      </c>
      <c r="AC433" s="1171">
        <v>42451</v>
      </c>
      <c r="AD433" s="134">
        <v>14382144</v>
      </c>
      <c r="AE433" s="109" t="s">
        <v>137</v>
      </c>
      <c r="AF433" s="1119"/>
      <c r="AG433" s="1119"/>
      <c r="AH433" s="1119"/>
      <c r="AI433" s="1119"/>
      <c r="AJ433" s="1119"/>
      <c r="AK433" s="1119"/>
      <c r="AL433" s="1119"/>
      <c r="AM433" s="1119"/>
      <c r="AN433" s="1260"/>
      <c r="AO433" s="1260"/>
      <c r="AQ433" s="934"/>
    </row>
    <row r="434" spans="1:43" s="24" customFormat="1" ht="15" customHeight="1">
      <c r="A434" s="1075"/>
      <c r="B434" s="1069"/>
      <c r="C434" s="1076"/>
      <c r="D434" s="1076"/>
      <c r="E434" s="1098"/>
      <c r="F434" s="1299"/>
      <c r="G434" s="1076"/>
      <c r="H434" s="1076"/>
      <c r="I434" s="1076"/>
      <c r="J434" s="1076"/>
      <c r="K434" s="1076"/>
      <c r="L434" s="1076"/>
      <c r="M434" s="1222"/>
      <c r="N434" s="1278"/>
      <c r="O434" s="1064"/>
      <c r="P434" s="1064"/>
      <c r="Q434" s="1063"/>
      <c r="R434" s="1070"/>
      <c r="S434" s="1064"/>
      <c r="T434" s="1064"/>
      <c r="U434" s="1064"/>
      <c r="V434" s="1064"/>
      <c r="W434" s="1119"/>
      <c r="X434" s="1109"/>
      <c r="Y434" s="1123"/>
      <c r="Z434" s="109">
        <f>59925600*60%</f>
        <v>35955360</v>
      </c>
      <c r="AA434" s="109">
        <v>-14382144</v>
      </c>
      <c r="AB434" s="109">
        <f>Z434+AA434</f>
        <v>21573216</v>
      </c>
      <c r="AC434" s="1171"/>
      <c r="AD434" s="134">
        <v>21573216</v>
      </c>
      <c r="AE434" s="109" t="s">
        <v>7</v>
      </c>
      <c r="AF434" s="1119"/>
      <c r="AG434" s="1119"/>
      <c r="AH434" s="1119"/>
      <c r="AI434" s="1119"/>
      <c r="AJ434" s="1119"/>
      <c r="AK434" s="1119"/>
      <c r="AL434" s="1119"/>
      <c r="AM434" s="1119"/>
      <c r="AN434" s="1260"/>
      <c r="AO434" s="1260"/>
      <c r="AQ434" s="934"/>
    </row>
    <row r="435" spans="1:43" s="24" customFormat="1" ht="15" customHeight="1">
      <c r="A435" s="1075"/>
      <c r="B435" s="1070"/>
      <c r="C435" s="1076"/>
      <c r="D435" s="1076"/>
      <c r="E435" s="1099"/>
      <c r="F435" s="1300"/>
      <c r="G435" s="1076"/>
      <c r="H435" s="1076"/>
      <c r="I435" s="1076"/>
      <c r="J435" s="1076"/>
      <c r="K435" s="1076"/>
      <c r="L435" s="1076"/>
      <c r="M435" s="132">
        <v>205</v>
      </c>
      <c r="N435" s="135" t="s">
        <v>7</v>
      </c>
      <c r="O435" s="109">
        <v>17255000</v>
      </c>
      <c r="P435" s="109">
        <f>O435</f>
        <v>17255000</v>
      </c>
      <c r="Q435" s="1064"/>
      <c r="R435" s="97">
        <v>40779</v>
      </c>
      <c r="S435" s="109">
        <f>T435</f>
        <v>17255000</v>
      </c>
      <c r="T435" s="109">
        <v>17255000</v>
      </c>
      <c r="U435" s="109">
        <f>P435-T435</f>
        <v>0</v>
      </c>
      <c r="V435" s="109">
        <f>P435</f>
        <v>17255000</v>
      </c>
      <c r="W435" s="1119"/>
      <c r="X435" s="1110"/>
      <c r="Y435" s="108" t="s">
        <v>538</v>
      </c>
      <c r="Z435" s="109">
        <f>O435</f>
        <v>17255000</v>
      </c>
      <c r="AA435" s="109">
        <v>0</v>
      </c>
      <c r="AB435" s="109">
        <f>Z435</f>
        <v>17255000</v>
      </c>
      <c r="AC435" s="97">
        <v>42447</v>
      </c>
      <c r="AD435" s="134">
        <v>17255000</v>
      </c>
      <c r="AE435" s="109" t="s">
        <v>7</v>
      </c>
      <c r="AF435" s="109">
        <f>AB435</f>
        <v>17255000</v>
      </c>
      <c r="AG435" s="1119"/>
      <c r="AH435" s="1119"/>
      <c r="AI435" s="1119"/>
      <c r="AJ435" s="1119"/>
      <c r="AK435" s="1119"/>
      <c r="AL435" s="1119"/>
      <c r="AM435" s="1119"/>
      <c r="AN435" s="1260"/>
      <c r="AO435" s="1260"/>
      <c r="AQ435" s="934"/>
    </row>
    <row r="436" spans="1:43" s="4" customFormat="1" ht="15" customHeight="1">
      <c r="A436" s="1030" t="s">
        <v>541</v>
      </c>
      <c r="B436" s="1068">
        <v>40372</v>
      </c>
      <c r="C436" s="1011" t="s">
        <v>29</v>
      </c>
      <c r="D436" s="1011" t="s">
        <v>542</v>
      </c>
      <c r="E436" s="1097">
        <v>900224582</v>
      </c>
      <c r="F436" s="1097">
        <v>1</v>
      </c>
      <c r="G436" s="1011" t="s">
        <v>2839</v>
      </c>
      <c r="H436" s="1011" t="s">
        <v>72</v>
      </c>
      <c r="I436" s="1011" t="s">
        <v>177</v>
      </c>
      <c r="J436" s="1011" t="s">
        <v>66</v>
      </c>
      <c r="K436" s="1011" t="s">
        <v>217</v>
      </c>
      <c r="L436" s="1011" t="s">
        <v>546</v>
      </c>
      <c r="M436" s="1220">
        <v>103</v>
      </c>
      <c r="N436" s="1282" t="s">
        <v>137</v>
      </c>
      <c r="O436" s="1062">
        <v>30450000</v>
      </c>
      <c r="P436" s="1062">
        <f>O436+O439</f>
        <v>76125000</v>
      </c>
      <c r="Q436" s="1062">
        <f>P436</f>
        <v>76125000</v>
      </c>
      <c r="R436" s="1068">
        <v>40413</v>
      </c>
      <c r="S436" s="1092">
        <f>T436+T439</f>
        <v>76125000</v>
      </c>
      <c r="T436" s="1062">
        <v>30450000</v>
      </c>
      <c r="U436" s="1062">
        <f>O436-T436</f>
        <v>0</v>
      </c>
      <c r="V436" s="1062">
        <v>30450000</v>
      </c>
      <c r="W436" s="1062">
        <v>76125000</v>
      </c>
      <c r="X436" s="1011" t="s">
        <v>545</v>
      </c>
      <c r="Y436" s="1065" t="s">
        <v>544</v>
      </c>
      <c r="Z436" s="109">
        <v>0</v>
      </c>
      <c r="AA436" s="109">
        <v>12180000</v>
      </c>
      <c r="AB436" s="109">
        <f t="shared" ref="AB436:AB467" si="33">Z436+AA436</f>
        <v>12180000</v>
      </c>
      <c r="AC436" s="1068">
        <v>40449</v>
      </c>
      <c r="AD436" s="119">
        <v>12180000</v>
      </c>
      <c r="AE436" s="119" t="s">
        <v>137</v>
      </c>
      <c r="AF436" s="1043">
        <f>SUM(AD436:AD441)</f>
        <v>71557500</v>
      </c>
      <c r="AG436" s="1043">
        <f>AF436</f>
        <v>71557500</v>
      </c>
      <c r="AH436" s="111">
        <f t="shared" ref="AH436:AH467" si="34">AB436-AD436</f>
        <v>0</v>
      </c>
      <c r="AI436" s="1043">
        <f>O436-AD436-AD438-AD439-AD440</f>
        <v>-22837500</v>
      </c>
      <c r="AJ436" s="1062">
        <f>SUM(Z436:Z441)-SUM(AD436:AD441)</f>
        <v>4567500</v>
      </c>
      <c r="AK436" s="1062">
        <f>P436-V436-V439</f>
        <v>0</v>
      </c>
      <c r="AL436" s="1062">
        <f>SUM(V436:V441)-SUM(Z436:Z441)</f>
        <v>0</v>
      </c>
      <c r="AM436" s="1062">
        <f>AK436+AL436</f>
        <v>0</v>
      </c>
      <c r="AN436" s="1108" t="s">
        <v>512</v>
      </c>
      <c r="AO436" s="1103" t="s">
        <v>800</v>
      </c>
      <c r="AQ436" s="934"/>
    </row>
    <row r="437" spans="1:43" s="4" customFormat="1" ht="15" customHeight="1">
      <c r="A437" s="1031"/>
      <c r="B437" s="1069"/>
      <c r="C437" s="1033"/>
      <c r="D437" s="1033"/>
      <c r="E437" s="1098"/>
      <c r="F437" s="1098"/>
      <c r="G437" s="1033"/>
      <c r="H437" s="1033"/>
      <c r="I437" s="1033"/>
      <c r="J437" s="1033"/>
      <c r="K437" s="1033"/>
      <c r="L437" s="1033"/>
      <c r="M437" s="1221"/>
      <c r="N437" s="1282"/>
      <c r="O437" s="1063"/>
      <c r="P437" s="1063"/>
      <c r="Q437" s="1063"/>
      <c r="R437" s="1069"/>
      <c r="S437" s="1093"/>
      <c r="T437" s="1063"/>
      <c r="U437" s="1063"/>
      <c r="V437" s="1063"/>
      <c r="W437" s="1063"/>
      <c r="X437" s="1033"/>
      <c r="Y437" s="1067"/>
      <c r="Z437" s="109">
        <v>0</v>
      </c>
      <c r="AA437" s="109">
        <v>18270000</v>
      </c>
      <c r="AB437" s="109">
        <f t="shared" si="33"/>
        <v>18270000</v>
      </c>
      <c r="AC437" s="1070"/>
      <c r="AD437" s="119">
        <v>18270000</v>
      </c>
      <c r="AE437" s="119" t="s">
        <v>7</v>
      </c>
      <c r="AF437" s="1044"/>
      <c r="AG437" s="1044"/>
      <c r="AH437" s="111">
        <f t="shared" si="34"/>
        <v>0</v>
      </c>
      <c r="AI437" s="1044"/>
      <c r="AJ437" s="1063"/>
      <c r="AK437" s="1063"/>
      <c r="AL437" s="1063"/>
      <c r="AM437" s="1063"/>
      <c r="AN437" s="1109"/>
      <c r="AO437" s="1104"/>
      <c r="AQ437" s="934"/>
    </row>
    <row r="438" spans="1:43" s="4" customFormat="1" ht="15" customHeight="1">
      <c r="A438" s="1031"/>
      <c r="B438" s="1069"/>
      <c r="C438" s="1033"/>
      <c r="D438" s="1033"/>
      <c r="E438" s="1098"/>
      <c r="F438" s="1098"/>
      <c r="G438" s="1033"/>
      <c r="H438" s="1033"/>
      <c r="I438" s="1033"/>
      <c r="J438" s="1033"/>
      <c r="K438" s="1033"/>
      <c r="L438" s="1033"/>
      <c r="M438" s="1221"/>
      <c r="N438" s="1282"/>
      <c r="O438" s="1064"/>
      <c r="P438" s="1063"/>
      <c r="Q438" s="1063"/>
      <c r="R438" s="1069"/>
      <c r="S438" s="1093"/>
      <c r="T438" s="1064"/>
      <c r="U438" s="1064"/>
      <c r="V438" s="1064"/>
      <c r="W438" s="1063"/>
      <c r="X438" s="1033"/>
      <c r="Y438" s="1065" t="s">
        <v>547</v>
      </c>
      <c r="Z438" s="109">
        <v>27405000</v>
      </c>
      <c r="AA438" s="109">
        <v>-10962000</v>
      </c>
      <c r="AB438" s="109">
        <f t="shared" si="33"/>
        <v>16443000</v>
      </c>
      <c r="AC438" s="1068">
        <v>40912</v>
      </c>
      <c r="AD438" s="119">
        <v>16443000</v>
      </c>
      <c r="AE438" s="119" t="s">
        <v>137</v>
      </c>
      <c r="AF438" s="1044"/>
      <c r="AG438" s="1044"/>
      <c r="AH438" s="111">
        <f t="shared" si="34"/>
        <v>0</v>
      </c>
      <c r="AI438" s="1045"/>
      <c r="AJ438" s="1063"/>
      <c r="AK438" s="1063"/>
      <c r="AL438" s="1063"/>
      <c r="AM438" s="1063"/>
      <c r="AN438" s="1109"/>
      <c r="AO438" s="1104"/>
      <c r="AQ438" s="934"/>
    </row>
    <row r="439" spans="1:43" s="4" customFormat="1" ht="15" customHeight="1">
      <c r="A439" s="1031"/>
      <c r="B439" s="1069"/>
      <c r="C439" s="1033"/>
      <c r="D439" s="1033"/>
      <c r="E439" s="1098"/>
      <c r="F439" s="1098"/>
      <c r="G439" s="1033"/>
      <c r="H439" s="1033"/>
      <c r="I439" s="1033"/>
      <c r="J439" s="1033"/>
      <c r="K439" s="1033"/>
      <c r="L439" s="1033"/>
      <c r="M439" s="1221"/>
      <c r="N439" s="1065" t="s">
        <v>7</v>
      </c>
      <c r="O439" s="1062">
        <v>45675000</v>
      </c>
      <c r="P439" s="1063"/>
      <c r="Q439" s="1063"/>
      <c r="R439" s="1069"/>
      <c r="S439" s="1093"/>
      <c r="T439" s="1062">
        <v>45675000</v>
      </c>
      <c r="U439" s="1062">
        <f>O439-T439</f>
        <v>0</v>
      </c>
      <c r="V439" s="1062">
        <v>45675000</v>
      </c>
      <c r="W439" s="1063"/>
      <c r="X439" s="1033"/>
      <c r="Y439" s="1067"/>
      <c r="Z439" s="109">
        <v>41107500</v>
      </c>
      <c r="AA439" s="109">
        <v>-16443000</v>
      </c>
      <c r="AB439" s="109">
        <f t="shared" si="33"/>
        <v>24664500</v>
      </c>
      <c r="AC439" s="1070"/>
      <c r="AD439" s="119">
        <v>24664500</v>
      </c>
      <c r="AE439" s="119" t="s">
        <v>137</v>
      </c>
      <c r="AF439" s="1044"/>
      <c r="AG439" s="1044"/>
      <c r="AH439" s="111">
        <f t="shared" si="34"/>
        <v>0</v>
      </c>
      <c r="AI439" s="1043">
        <f>O439-AD437-AD441</f>
        <v>27405000</v>
      </c>
      <c r="AJ439" s="1063"/>
      <c r="AK439" s="1063"/>
      <c r="AL439" s="1063"/>
      <c r="AM439" s="1063"/>
      <c r="AN439" s="1109"/>
      <c r="AO439" s="1104"/>
      <c r="AQ439" s="934"/>
    </row>
    <row r="440" spans="1:43" s="4" customFormat="1" ht="15" customHeight="1">
      <c r="A440" s="1031"/>
      <c r="B440" s="1069"/>
      <c r="C440" s="1033"/>
      <c r="D440" s="1033"/>
      <c r="E440" s="1098"/>
      <c r="F440" s="1098"/>
      <c r="G440" s="1033"/>
      <c r="H440" s="1033"/>
      <c r="I440" s="1033"/>
      <c r="J440" s="1033"/>
      <c r="K440" s="1033"/>
      <c r="L440" s="1033"/>
      <c r="M440" s="1221"/>
      <c r="N440" s="1066"/>
      <c r="O440" s="1063"/>
      <c r="P440" s="1063"/>
      <c r="Q440" s="1063"/>
      <c r="R440" s="1069"/>
      <c r="S440" s="1093"/>
      <c r="T440" s="1063"/>
      <c r="U440" s="1063"/>
      <c r="V440" s="1063"/>
      <c r="W440" s="1063"/>
      <c r="X440" s="1033"/>
      <c r="Y440" s="1065" t="s">
        <v>548</v>
      </c>
      <c r="Z440" s="85">
        <v>3045000</v>
      </c>
      <c r="AA440" s="85">
        <v>-1218000</v>
      </c>
      <c r="AB440" s="85">
        <f t="shared" si="33"/>
        <v>1827000</v>
      </c>
      <c r="AC440" s="91"/>
      <c r="AD440" s="177">
        <v>0</v>
      </c>
      <c r="AE440" s="177" t="s">
        <v>137</v>
      </c>
      <c r="AF440" s="1044"/>
      <c r="AG440" s="1044"/>
      <c r="AH440" s="88">
        <f t="shared" si="34"/>
        <v>1827000</v>
      </c>
      <c r="AI440" s="1044"/>
      <c r="AJ440" s="1063"/>
      <c r="AK440" s="1063"/>
      <c r="AL440" s="1063"/>
      <c r="AM440" s="1063"/>
      <c r="AN440" s="1109"/>
      <c r="AO440" s="1104"/>
      <c r="AQ440" s="934"/>
    </row>
    <row r="441" spans="1:43" s="4" customFormat="1" ht="15" customHeight="1">
      <c r="A441" s="1032"/>
      <c r="B441" s="1070"/>
      <c r="C441" s="1012"/>
      <c r="D441" s="1012"/>
      <c r="E441" s="1099"/>
      <c r="F441" s="1099"/>
      <c r="G441" s="1012"/>
      <c r="H441" s="1012"/>
      <c r="I441" s="1012"/>
      <c r="J441" s="1012"/>
      <c r="K441" s="1012"/>
      <c r="L441" s="1012"/>
      <c r="M441" s="1222"/>
      <c r="N441" s="1067"/>
      <c r="O441" s="1064"/>
      <c r="P441" s="1064"/>
      <c r="Q441" s="1064"/>
      <c r="R441" s="1070"/>
      <c r="S441" s="1094"/>
      <c r="T441" s="1064"/>
      <c r="U441" s="1064"/>
      <c r="V441" s="1064"/>
      <c r="W441" s="1064"/>
      <c r="X441" s="1012"/>
      <c r="Y441" s="1067"/>
      <c r="Z441" s="85">
        <v>4567500</v>
      </c>
      <c r="AA441" s="85">
        <v>-1827000</v>
      </c>
      <c r="AB441" s="85">
        <f t="shared" si="33"/>
        <v>2740500</v>
      </c>
      <c r="AC441" s="91"/>
      <c r="AD441" s="177">
        <v>0</v>
      </c>
      <c r="AE441" s="177" t="s">
        <v>7</v>
      </c>
      <c r="AF441" s="1045"/>
      <c r="AG441" s="1045"/>
      <c r="AH441" s="88">
        <f t="shared" si="34"/>
        <v>2740500</v>
      </c>
      <c r="AI441" s="1045"/>
      <c r="AJ441" s="1064"/>
      <c r="AK441" s="1064"/>
      <c r="AL441" s="1064"/>
      <c r="AM441" s="1064"/>
      <c r="AN441" s="1110"/>
      <c r="AO441" s="1105"/>
      <c r="AQ441" s="934"/>
    </row>
    <row r="442" spans="1:43" s="4" customFormat="1" ht="15" customHeight="1">
      <c r="A442" s="1214" t="s">
        <v>549</v>
      </c>
      <c r="B442" s="1171">
        <v>40378</v>
      </c>
      <c r="C442" s="1076" t="s">
        <v>41</v>
      </c>
      <c r="D442" s="1076" t="s">
        <v>550</v>
      </c>
      <c r="E442" s="1252">
        <v>900368918</v>
      </c>
      <c r="F442" s="1252">
        <v>0</v>
      </c>
      <c r="G442" s="1076" t="s">
        <v>2790</v>
      </c>
      <c r="H442" s="1076" t="s">
        <v>72</v>
      </c>
      <c r="I442" s="1076" t="s">
        <v>177</v>
      </c>
      <c r="J442" s="1076" t="s">
        <v>66</v>
      </c>
      <c r="K442" s="1076" t="s">
        <v>217</v>
      </c>
      <c r="L442" s="1076" t="s">
        <v>553</v>
      </c>
      <c r="M442" s="1251">
        <v>104</v>
      </c>
      <c r="N442" s="1282" t="s">
        <v>137</v>
      </c>
      <c r="O442" s="1119">
        <v>11426000</v>
      </c>
      <c r="P442" s="1119">
        <f>O442+O444</f>
        <v>28565000</v>
      </c>
      <c r="Q442" s="1119">
        <f>P442</f>
        <v>28565000</v>
      </c>
      <c r="R442" s="1171">
        <v>40413</v>
      </c>
      <c r="S442" s="1196">
        <f>T442+T443</f>
        <v>11426000</v>
      </c>
      <c r="T442" s="1119">
        <v>11426000</v>
      </c>
      <c r="U442" s="1119">
        <f>O442-T442</f>
        <v>0</v>
      </c>
      <c r="V442" s="1119">
        <v>11426000</v>
      </c>
      <c r="W442" s="1119">
        <v>28565000</v>
      </c>
      <c r="X442" s="1076" t="s">
        <v>467</v>
      </c>
      <c r="Y442" s="1123" t="s">
        <v>552</v>
      </c>
      <c r="Z442" s="109">
        <v>0</v>
      </c>
      <c r="AA442" s="109">
        <v>4570400</v>
      </c>
      <c r="AB442" s="109">
        <f t="shared" si="33"/>
        <v>4570400</v>
      </c>
      <c r="AC442" s="1171">
        <v>40466</v>
      </c>
      <c r="AD442" s="119">
        <v>4570400</v>
      </c>
      <c r="AE442" s="119" t="s">
        <v>137</v>
      </c>
      <c r="AF442" s="1084">
        <f>SUM(AD442:AD445)</f>
        <v>11426000</v>
      </c>
      <c r="AG442" s="1084">
        <f>AF442</f>
        <v>11426000</v>
      </c>
      <c r="AH442" s="111">
        <f t="shared" si="34"/>
        <v>0</v>
      </c>
      <c r="AI442" s="1084">
        <f>O442-AD442</f>
        <v>6855600</v>
      </c>
      <c r="AJ442" s="1119">
        <f>SUM(Z442:Z445)-SUM(AD442:AD445)</f>
        <v>17139000</v>
      </c>
      <c r="AK442" s="1119">
        <f>P442-V442-V444</f>
        <v>0</v>
      </c>
      <c r="AL442" s="1119">
        <f>W442-SUM(Z442:Z445)</f>
        <v>0</v>
      </c>
      <c r="AM442" s="1119">
        <f>AK442+AL442</f>
        <v>0</v>
      </c>
      <c r="AN442" s="1203" t="s">
        <v>512</v>
      </c>
      <c r="AO442" s="1204" t="s">
        <v>801</v>
      </c>
      <c r="AP442" s="1074" t="s">
        <v>2506</v>
      </c>
      <c r="AQ442" s="934"/>
    </row>
    <row r="443" spans="1:43" s="4" customFormat="1" ht="15" customHeight="1">
      <c r="A443" s="1214"/>
      <c r="B443" s="1171"/>
      <c r="C443" s="1076"/>
      <c r="D443" s="1076"/>
      <c r="E443" s="1252"/>
      <c r="F443" s="1252"/>
      <c r="G443" s="1076"/>
      <c r="H443" s="1076"/>
      <c r="I443" s="1076"/>
      <c r="J443" s="1076"/>
      <c r="K443" s="1076"/>
      <c r="L443" s="1076"/>
      <c r="M443" s="1251"/>
      <c r="N443" s="1282"/>
      <c r="O443" s="1119"/>
      <c r="P443" s="1119"/>
      <c r="Q443" s="1119"/>
      <c r="R443" s="1171"/>
      <c r="S443" s="1196"/>
      <c r="T443" s="1119"/>
      <c r="U443" s="1119"/>
      <c r="V443" s="1119"/>
      <c r="W443" s="1119"/>
      <c r="X443" s="1076"/>
      <c r="Y443" s="1123"/>
      <c r="Z443" s="109">
        <v>0</v>
      </c>
      <c r="AA443" s="109">
        <v>6855600</v>
      </c>
      <c r="AB443" s="109">
        <f t="shared" si="33"/>
        <v>6855600</v>
      </c>
      <c r="AC443" s="1171"/>
      <c r="AD443" s="119">
        <v>6855600</v>
      </c>
      <c r="AE443" s="119" t="s">
        <v>7</v>
      </c>
      <c r="AF443" s="1084"/>
      <c r="AG443" s="1084"/>
      <c r="AH443" s="111">
        <f t="shared" si="34"/>
        <v>0</v>
      </c>
      <c r="AI443" s="1084"/>
      <c r="AJ443" s="1119"/>
      <c r="AK443" s="1119"/>
      <c r="AL443" s="1119"/>
      <c r="AM443" s="1119"/>
      <c r="AN443" s="1203"/>
      <c r="AO443" s="1204"/>
      <c r="AP443" s="1074"/>
      <c r="AQ443" s="934"/>
    </row>
    <row r="444" spans="1:43" s="4" customFormat="1" ht="15" customHeight="1">
      <c r="A444" s="1214"/>
      <c r="B444" s="1171"/>
      <c r="C444" s="1076"/>
      <c r="D444" s="1076"/>
      <c r="E444" s="1252"/>
      <c r="F444" s="1252"/>
      <c r="G444" s="1076"/>
      <c r="H444" s="1076"/>
      <c r="I444" s="1076"/>
      <c r="J444" s="1076"/>
      <c r="K444" s="1076"/>
      <c r="L444" s="1076"/>
      <c r="M444" s="1251"/>
      <c r="N444" s="1282" t="s">
        <v>7</v>
      </c>
      <c r="O444" s="1119">
        <v>17139000</v>
      </c>
      <c r="P444" s="1119"/>
      <c r="Q444" s="1119"/>
      <c r="R444" s="1171"/>
      <c r="S444" s="1196"/>
      <c r="T444" s="1119">
        <v>17139000</v>
      </c>
      <c r="U444" s="1119">
        <f>O444-T444</f>
        <v>0</v>
      </c>
      <c r="V444" s="1119">
        <v>17139000</v>
      </c>
      <c r="W444" s="1119"/>
      <c r="X444" s="1076"/>
      <c r="Y444" s="1123" t="s">
        <v>554</v>
      </c>
      <c r="Z444" s="109">
        <v>11426000</v>
      </c>
      <c r="AA444" s="109">
        <v>-4570400</v>
      </c>
      <c r="AB444" s="109">
        <f t="shared" si="33"/>
        <v>6855600</v>
      </c>
      <c r="AC444" s="97"/>
      <c r="AD444" s="119">
        <v>0</v>
      </c>
      <c r="AE444" s="119" t="s">
        <v>137</v>
      </c>
      <c r="AF444" s="1084"/>
      <c r="AG444" s="1084"/>
      <c r="AH444" s="111">
        <f t="shared" si="34"/>
        <v>6855600</v>
      </c>
      <c r="AI444" s="1084">
        <f>O444-AD443</f>
        <v>10283400</v>
      </c>
      <c r="AJ444" s="1119"/>
      <c r="AK444" s="1119"/>
      <c r="AL444" s="1119"/>
      <c r="AM444" s="1119"/>
      <c r="AN444" s="1203"/>
      <c r="AO444" s="1204"/>
      <c r="AP444" s="1074"/>
      <c r="AQ444" s="934"/>
    </row>
    <row r="445" spans="1:43" s="4" customFormat="1" ht="15" customHeight="1">
      <c r="A445" s="1214"/>
      <c r="B445" s="1171"/>
      <c r="C445" s="1076"/>
      <c r="D445" s="1076"/>
      <c r="E445" s="1252"/>
      <c r="F445" s="1252"/>
      <c r="G445" s="1076"/>
      <c r="H445" s="1076"/>
      <c r="I445" s="1076"/>
      <c r="J445" s="1076"/>
      <c r="K445" s="1076"/>
      <c r="L445" s="1076"/>
      <c r="M445" s="1251"/>
      <c r="N445" s="1282"/>
      <c r="O445" s="1119"/>
      <c r="P445" s="1119"/>
      <c r="Q445" s="1119"/>
      <c r="R445" s="1171"/>
      <c r="S445" s="1196"/>
      <c r="T445" s="1119"/>
      <c r="U445" s="1119"/>
      <c r="V445" s="1119"/>
      <c r="W445" s="1119"/>
      <c r="X445" s="1076"/>
      <c r="Y445" s="1123"/>
      <c r="Z445" s="109">
        <v>17139000</v>
      </c>
      <c r="AA445" s="109">
        <v>-6855600</v>
      </c>
      <c r="AB445" s="109">
        <f t="shared" si="33"/>
        <v>10283400</v>
      </c>
      <c r="AC445" s="97"/>
      <c r="AD445" s="119">
        <v>0</v>
      </c>
      <c r="AE445" s="119" t="s">
        <v>7</v>
      </c>
      <c r="AF445" s="1084"/>
      <c r="AG445" s="1084"/>
      <c r="AH445" s="111">
        <f t="shared" si="34"/>
        <v>10283400</v>
      </c>
      <c r="AI445" s="1084"/>
      <c r="AJ445" s="1119"/>
      <c r="AK445" s="1119"/>
      <c r="AL445" s="1119"/>
      <c r="AM445" s="1119"/>
      <c r="AN445" s="1203"/>
      <c r="AO445" s="1204"/>
      <c r="AP445" s="1074"/>
      <c r="AQ445" s="934"/>
    </row>
    <row r="446" spans="1:43" s="27" customFormat="1" ht="15" customHeight="1">
      <c r="A446" s="1214" t="s">
        <v>555</v>
      </c>
      <c r="B446" s="1171">
        <v>40372</v>
      </c>
      <c r="C446" s="1076" t="s">
        <v>41</v>
      </c>
      <c r="D446" s="1076" t="s">
        <v>556</v>
      </c>
      <c r="E446" s="1252">
        <v>900367387</v>
      </c>
      <c r="F446" s="1252">
        <v>5</v>
      </c>
      <c r="G446" s="1076" t="s">
        <v>2791</v>
      </c>
      <c r="H446" s="1076" t="s">
        <v>72</v>
      </c>
      <c r="I446" s="1076" t="s">
        <v>177</v>
      </c>
      <c r="J446" s="1076" t="s">
        <v>66</v>
      </c>
      <c r="K446" s="1076" t="s">
        <v>217</v>
      </c>
      <c r="L446" s="1076" t="s">
        <v>559</v>
      </c>
      <c r="M446" s="1268">
        <v>105</v>
      </c>
      <c r="N446" s="1123" t="s">
        <v>137</v>
      </c>
      <c r="O446" s="1119">
        <v>15080000</v>
      </c>
      <c r="P446" s="1119">
        <f>O446+O448</f>
        <v>37700000</v>
      </c>
      <c r="Q446" s="1119">
        <f>P446</f>
        <v>37700000</v>
      </c>
      <c r="R446" s="1171">
        <v>42970</v>
      </c>
      <c r="S446" s="1119">
        <f>T446+T448</f>
        <v>37700000</v>
      </c>
      <c r="T446" s="1119">
        <v>15080000</v>
      </c>
      <c r="U446" s="1119">
        <f>O446-T446</f>
        <v>0</v>
      </c>
      <c r="V446" s="1119">
        <v>15073371.200000001</v>
      </c>
      <c r="W446" s="1119">
        <v>37683428</v>
      </c>
      <c r="X446" s="1203" t="s">
        <v>467</v>
      </c>
      <c r="Y446" s="1123" t="s">
        <v>560</v>
      </c>
      <c r="Z446" s="109">
        <v>0</v>
      </c>
      <c r="AA446" s="109">
        <v>6029348.4800000004</v>
      </c>
      <c r="AB446" s="109">
        <f t="shared" si="33"/>
        <v>6029348.4800000004</v>
      </c>
      <c r="AC446" s="1171">
        <v>40448</v>
      </c>
      <c r="AD446" s="134">
        <v>6029348</v>
      </c>
      <c r="AE446" s="109" t="s">
        <v>137</v>
      </c>
      <c r="AF446" s="1119">
        <f>SUM(AD446:AD449)</f>
        <v>37683428</v>
      </c>
      <c r="AG446" s="1119">
        <f>AF446+AF447</f>
        <v>37683428</v>
      </c>
      <c r="AH446" s="109">
        <f t="shared" si="34"/>
        <v>0.48000000044703484</v>
      </c>
      <c r="AI446" s="1119">
        <f>O446-AD446-AD448</f>
        <v>6629.3199999984354</v>
      </c>
      <c r="AJ446" s="1119">
        <f>SUM(Z446:Z449)-SUM(AD446:AD449)</f>
        <v>0</v>
      </c>
      <c r="AK446" s="1119">
        <f>O446-V446</f>
        <v>6628.7999999988824</v>
      </c>
      <c r="AL446" s="1119">
        <f>SUM(V446:V449)-SUM(Z446:Z449)</f>
        <v>0</v>
      </c>
      <c r="AM446" s="1119">
        <f>AK446+AK448+AL446</f>
        <v>16571.999999998137</v>
      </c>
      <c r="AN446" s="1260" t="s">
        <v>562</v>
      </c>
      <c r="AO446" s="1260" t="s">
        <v>777</v>
      </c>
      <c r="AQ446" s="934"/>
    </row>
    <row r="447" spans="1:43" s="27" customFormat="1" ht="15" customHeight="1">
      <c r="A447" s="1214"/>
      <c r="B447" s="1171"/>
      <c r="C447" s="1076"/>
      <c r="D447" s="1076"/>
      <c r="E447" s="1252"/>
      <c r="F447" s="1252"/>
      <c r="G447" s="1076"/>
      <c r="H447" s="1076"/>
      <c r="I447" s="1076"/>
      <c r="J447" s="1076"/>
      <c r="K447" s="1076"/>
      <c r="L447" s="1076"/>
      <c r="M447" s="1268"/>
      <c r="N447" s="1123"/>
      <c r="O447" s="1119"/>
      <c r="P447" s="1119"/>
      <c r="Q447" s="1119"/>
      <c r="R447" s="1171"/>
      <c r="S447" s="1119"/>
      <c r="T447" s="1119"/>
      <c r="U447" s="1119"/>
      <c r="V447" s="1119"/>
      <c r="W447" s="1119"/>
      <c r="X447" s="1203"/>
      <c r="Y447" s="1123"/>
      <c r="Z447" s="109">
        <v>0</v>
      </c>
      <c r="AA447" s="109">
        <v>9044022.7200000007</v>
      </c>
      <c r="AB447" s="109">
        <f t="shared" si="33"/>
        <v>9044022.7200000007</v>
      </c>
      <c r="AC447" s="1171"/>
      <c r="AD447" s="134">
        <v>9044023</v>
      </c>
      <c r="AE447" s="109" t="s">
        <v>7</v>
      </c>
      <c r="AF447" s="1119"/>
      <c r="AG447" s="1119"/>
      <c r="AH447" s="109">
        <f t="shared" si="34"/>
        <v>-0.27999999932944775</v>
      </c>
      <c r="AI447" s="1119"/>
      <c r="AJ447" s="1119"/>
      <c r="AK447" s="1119"/>
      <c r="AL447" s="1119"/>
      <c r="AM447" s="1119"/>
      <c r="AN447" s="1260"/>
      <c r="AO447" s="1260"/>
      <c r="AQ447" s="934"/>
    </row>
    <row r="448" spans="1:43" s="27" customFormat="1" ht="15" customHeight="1">
      <c r="A448" s="1214"/>
      <c r="B448" s="1171"/>
      <c r="C448" s="1076"/>
      <c r="D448" s="1076"/>
      <c r="E448" s="1252"/>
      <c r="F448" s="1252"/>
      <c r="G448" s="1076"/>
      <c r="H448" s="1076"/>
      <c r="I448" s="1076"/>
      <c r="J448" s="1076"/>
      <c r="K448" s="1076"/>
      <c r="L448" s="1076"/>
      <c r="M448" s="1268"/>
      <c r="N448" s="1123" t="s">
        <v>7</v>
      </c>
      <c r="O448" s="1119">
        <v>22620000</v>
      </c>
      <c r="P448" s="1119"/>
      <c r="Q448" s="1119"/>
      <c r="R448" s="1171"/>
      <c r="S448" s="1119"/>
      <c r="T448" s="1119">
        <v>22620000</v>
      </c>
      <c r="U448" s="1119">
        <f>O448-T448</f>
        <v>0</v>
      </c>
      <c r="V448" s="1119">
        <v>22610056.800000001</v>
      </c>
      <c r="W448" s="1119"/>
      <c r="X448" s="1203"/>
      <c r="Y448" s="1123" t="s">
        <v>561</v>
      </c>
      <c r="Z448" s="109">
        <v>15073371.200000001</v>
      </c>
      <c r="AA448" s="109">
        <v>-6029348.4800000004</v>
      </c>
      <c r="AB448" s="109">
        <f t="shared" si="33"/>
        <v>9044022.7200000007</v>
      </c>
      <c r="AC448" s="97">
        <v>43460</v>
      </c>
      <c r="AD448" s="134">
        <f>+AB448-0.04</f>
        <v>9044022.6800000016</v>
      </c>
      <c r="AE448" s="109" t="s">
        <v>137</v>
      </c>
      <c r="AF448" s="1119"/>
      <c r="AG448" s="1119"/>
      <c r="AH448" s="109">
        <f t="shared" si="34"/>
        <v>3.9999999105930328E-2</v>
      </c>
      <c r="AI448" s="1119">
        <f>V448-AD447-AD449</f>
        <v>-0.51999999955296516</v>
      </c>
      <c r="AJ448" s="1119"/>
      <c r="AK448" s="1119">
        <f>O448-V448</f>
        <v>9943.1999999992549</v>
      </c>
      <c r="AL448" s="1119"/>
      <c r="AM448" s="1119"/>
      <c r="AN448" s="1260"/>
      <c r="AO448" s="1260"/>
      <c r="AQ448" s="934"/>
    </row>
    <row r="449" spans="1:43" s="27" customFormat="1" ht="15" customHeight="1">
      <c r="A449" s="1214"/>
      <c r="B449" s="1171"/>
      <c r="C449" s="1076"/>
      <c r="D449" s="1076"/>
      <c r="E449" s="1252"/>
      <c r="F449" s="1252"/>
      <c r="G449" s="1076"/>
      <c r="H449" s="1076"/>
      <c r="I449" s="1076"/>
      <c r="J449" s="1076"/>
      <c r="K449" s="1076"/>
      <c r="L449" s="1076"/>
      <c r="M449" s="1268"/>
      <c r="N449" s="1123"/>
      <c r="O449" s="1119"/>
      <c r="P449" s="1119"/>
      <c r="Q449" s="1119"/>
      <c r="R449" s="1171"/>
      <c r="S449" s="1119"/>
      <c r="T449" s="1119"/>
      <c r="U449" s="1119"/>
      <c r="V449" s="1119"/>
      <c r="W449" s="1119"/>
      <c r="X449" s="1203"/>
      <c r="Y449" s="1123"/>
      <c r="Z449" s="109">
        <v>22610056.800000001</v>
      </c>
      <c r="AA449" s="109">
        <v>-9044022.7200000007</v>
      </c>
      <c r="AB449" s="109">
        <f t="shared" si="33"/>
        <v>13566034.08</v>
      </c>
      <c r="AC449" s="665">
        <v>43460</v>
      </c>
      <c r="AD449" s="134">
        <f>+AB449+0.24</f>
        <v>13566034.32</v>
      </c>
      <c r="AE449" s="109" t="s">
        <v>7</v>
      </c>
      <c r="AF449" s="1119"/>
      <c r="AG449" s="1119"/>
      <c r="AH449" s="109">
        <f t="shared" si="34"/>
        <v>-0.24000000022351742</v>
      </c>
      <c r="AI449" s="1119"/>
      <c r="AJ449" s="1119"/>
      <c r="AK449" s="1119"/>
      <c r="AL449" s="1119"/>
      <c r="AM449" s="1119"/>
      <c r="AN449" s="1260"/>
      <c r="AO449" s="1260"/>
      <c r="AQ449" s="934"/>
    </row>
    <row r="450" spans="1:43" s="28" customFormat="1" ht="15" customHeight="1">
      <c r="A450" s="1214" t="s">
        <v>592</v>
      </c>
      <c r="B450" s="1171">
        <v>40372</v>
      </c>
      <c r="C450" s="1076" t="s">
        <v>41</v>
      </c>
      <c r="D450" s="1076" t="s">
        <v>593</v>
      </c>
      <c r="E450" s="1252">
        <v>900367513</v>
      </c>
      <c r="F450" s="1252">
        <v>7</v>
      </c>
      <c r="G450" s="1076" t="s">
        <v>2840</v>
      </c>
      <c r="H450" s="1076" t="s">
        <v>72</v>
      </c>
      <c r="I450" s="1076" t="s">
        <v>177</v>
      </c>
      <c r="J450" s="1076" t="s">
        <v>66</v>
      </c>
      <c r="K450" s="1076" t="s">
        <v>217</v>
      </c>
      <c r="L450" s="1076" t="s">
        <v>595</v>
      </c>
      <c r="M450" s="1268">
        <v>106</v>
      </c>
      <c r="N450" s="1123" t="s">
        <v>137</v>
      </c>
      <c r="O450" s="1119">
        <v>23084000</v>
      </c>
      <c r="P450" s="1119">
        <v>57710000</v>
      </c>
      <c r="Q450" s="1119">
        <v>81765500</v>
      </c>
      <c r="R450" s="1171">
        <v>40413</v>
      </c>
      <c r="S450" s="1119">
        <f>T450+T453</f>
        <v>57710000</v>
      </c>
      <c r="T450" s="1119">
        <v>23084000</v>
      </c>
      <c r="U450" s="1119">
        <f>O450-T450</f>
        <v>0</v>
      </c>
      <c r="V450" s="1119">
        <v>23076620.400000002</v>
      </c>
      <c r="W450" s="1119">
        <v>81747051</v>
      </c>
      <c r="X450" s="1203" t="s">
        <v>467</v>
      </c>
      <c r="Y450" s="1123" t="s">
        <v>596</v>
      </c>
      <c r="Z450" s="109">
        <v>0</v>
      </c>
      <c r="AA450" s="109">
        <v>9230648.160000002</v>
      </c>
      <c r="AB450" s="109">
        <f t="shared" si="33"/>
        <v>9230648.160000002</v>
      </c>
      <c r="AC450" s="1171">
        <v>40448</v>
      </c>
      <c r="AD450" s="134">
        <v>9230648</v>
      </c>
      <c r="AE450" s="109" t="s">
        <v>137</v>
      </c>
      <c r="AF450" s="1119">
        <f>SUM(AD450:AD453)</f>
        <v>54230058</v>
      </c>
      <c r="AG450" s="1119">
        <f>AF450+AF455</f>
        <v>75880008</v>
      </c>
      <c r="AH450" s="109">
        <f t="shared" si="34"/>
        <v>0.16000000201165676</v>
      </c>
      <c r="AI450" s="1119">
        <f>O450-AD450-AD452-AD453</f>
        <v>-17300086</v>
      </c>
      <c r="AJ450" s="1119">
        <f>SUM(Z450:Z454)-SUM(AD450:AD454)</f>
        <v>3461493</v>
      </c>
      <c r="AK450" s="1119">
        <f>O450-V450</f>
        <v>7379.5999999977648</v>
      </c>
      <c r="AL450" s="1119">
        <f>SUM(V450:V454)-SUM(Z450:Z454)</f>
        <v>0</v>
      </c>
      <c r="AM450" s="1119">
        <f>AK450+AK453+AL450</f>
        <v>18448.999999996275</v>
      </c>
      <c r="AN450" s="1260" t="s">
        <v>591</v>
      </c>
      <c r="AO450" s="1260" t="s">
        <v>771</v>
      </c>
      <c r="AP450" s="1365" t="s">
        <v>2502</v>
      </c>
      <c r="AQ450" s="934"/>
    </row>
    <row r="451" spans="1:43" s="28" customFormat="1" ht="15" customHeight="1">
      <c r="A451" s="1214"/>
      <c r="B451" s="1171"/>
      <c r="C451" s="1076"/>
      <c r="D451" s="1076"/>
      <c r="E451" s="1252"/>
      <c r="F451" s="1252"/>
      <c r="G451" s="1076"/>
      <c r="H451" s="1076"/>
      <c r="I451" s="1076"/>
      <c r="J451" s="1076"/>
      <c r="K451" s="1076"/>
      <c r="L451" s="1076"/>
      <c r="M451" s="1268"/>
      <c r="N451" s="1123"/>
      <c r="O451" s="1119"/>
      <c r="P451" s="1119"/>
      <c r="Q451" s="1119"/>
      <c r="R451" s="1171"/>
      <c r="S451" s="1119"/>
      <c r="T451" s="1119"/>
      <c r="U451" s="1119"/>
      <c r="V451" s="1119"/>
      <c r="W451" s="1119"/>
      <c r="X451" s="1203"/>
      <c r="Y451" s="1123"/>
      <c r="Z451" s="109">
        <v>0</v>
      </c>
      <c r="AA451" s="109">
        <v>13845972.240000002</v>
      </c>
      <c r="AB451" s="109">
        <f t="shared" si="33"/>
        <v>13845972.240000002</v>
      </c>
      <c r="AC451" s="1171"/>
      <c r="AD451" s="134">
        <v>13845972</v>
      </c>
      <c r="AE451" s="109" t="s">
        <v>7</v>
      </c>
      <c r="AF451" s="1119"/>
      <c r="AG451" s="1119"/>
      <c r="AH451" s="109">
        <f t="shared" si="34"/>
        <v>0.24000000208616257</v>
      </c>
      <c r="AI451" s="1119"/>
      <c r="AJ451" s="1119"/>
      <c r="AK451" s="1119"/>
      <c r="AL451" s="1119"/>
      <c r="AM451" s="1119"/>
      <c r="AN451" s="1260"/>
      <c r="AO451" s="1260"/>
      <c r="AP451" s="1365"/>
      <c r="AQ451" s="934"/>
    </row>
    <row r="452" spans="1:43" s="28" customFormat="1" ht="15" customHeight="1">
      <c r="A452" s="1214"/>
      <c r="B452" s="1171"/>
      <c r="C452" s="1076"/>
      <c r="D452" s="1076"/>
      <c r="E452" s="1252"/>
      <c r="F452" s="1252"/>
      <c r="G452" s="1076"/>
      <c r="H452" s="1076"/>
      <c r="I452" s="1076"/>
      <c r="J452" s="1076"/>
      <c r="K452" s="1076"/>
      <c r="L452" s="1076"/>
      <c r="M452" s="1268"/>
      <c r="N452" s="1123"/>
      <c r="O452" s="1119"/>
      <c r="P452" s="1119"/>
      <c r="Q452" s="1119"/>
      <c r="R452" s="1171"/>
      <c r="S452" s="1119"/>
      <c r="T452" s="1119"/>
      <c r="U452" s="1119"/>
      <c r="V452" s="1119"/>
      <c r="W452" s="1119"/>
      <c r="X452" s="1203"/>
      <c r="Y452" s="1123" t="s">
        <v>770</v>
      </c>
      <c r="Z452" s="109">
        <f>51922395.9*40%</f>
        <v>20768958.359999999</v>
      </c>
      <c r="AA452" s="109">
        <v>-9230648</v>
      </c>
      <c r="AB452" s="109">
        <f t="shared" si="33"/>
        <v>11538310.359999999</v>
      </c>
      <c r="AC452" s="1171">
        <v>41136</v>
      </c>
      <c r="AD452" s="134">
        <v>12461375</v>
      </c>
      <c r="AE452" s="109" t="s">
        <v>137</v>
      </c>
      <c r="AF452" s="1119"/>
      <c r="AG452" s="1119"/>
      <c r="AH452" s="109">
        <f t="shared" si="34"/>
        <v>-923064.6400000006</v>
      </c>
      <c r="AI452" s="1119"/>
      <c r="AJ452" s="1119"/>
      <c r="AK452" s="1119"/>
      <c r="AL452" s="1119"/>
      <c r="AM452" s="1119"/>
      <c r="AN452" s="1260"/>
      <c r="AO452" s="1260"/>
      <c r="AP452" s="1365"/>
      <c r="AQ452" s="934"/>
    </row>
    <row r="453" spans="1:43" s="28" customFormat="1" ht="15" customHeight="1">
      <c r="A453" s="1214"/>
      <c r="B453" s="1171"/>
      <c r="C453" s="1076"/>
      <c r="D453" s="1076"/>
      <c r="E453" s="1252"/>
      <c r="F453" s="1252"/>
      <c r="G453" s="1076"/>
      <c r="H453" s="1076"/>
      <c r="I453" s="1076"/>
      <c r="J453" s="1076"/>
      <c r="K453" s="1076"/>
      <c r="L453" s="1076"/>
      <c r="M453" s="1268"/>
      <c r="N453" s="1123" t="s">
        <v>7</v>
      </c>
      <c r="O453" s="1119">
        <v>34626000</v>
      </c>
      <c r="P453" s="1119"/>
      <c r="Q453" s="1119"/>
      <c r="R453" s="1171"/>
      <c r="S453" s="1119"/>
      <c r="T453" s="1119">
        <v>34626000</v>
      </c>
      <c r="U453" s="1119">
        <f>O453-T453</f>
        <v>0</v>
      </c>
      <c r="V453" s="1119">
        <v>34614930.600000001</v>
      </c>
      <c r="W453" s="1119"/>
      <c r="X453" s="1203"/>
      <c r="Y453" s="1123"/>
      <c r="Z453" s="109">
        <f>51922395.9*60%</f>
        <v>31153437.539999999</v>
      </c>
      <c r="AA453" s="109">
        <v>-13845972</v>
      </c>
      <c r="AB453" s="109">
        <f t="shared" si="33"/>
        <v>17307465.539999999</v>
      </c>
      <c r="AC453" s="1171"/>
      <c r="AD453" s="134">
        <v>18692063</v>
      </c>
      <c r="AE453" s="109" t="s">
        <v>137</v>
      </c>
      <c r="AF453" s="1119"/>
      <c r="AG453" s="1119"/>
      <c r="AH453" s="109">
        <f t="shared" si="34"/>
        <v>-1384597.4600000009</v>
      </c>
      <c r="AI453" s="1119">
        <f>O453-AD451-AD454</f>
        <v>20780028</v>
      </c>
      <c r="AJ453" s="1119"/>
      <c r="AK453" s="1119">
        <f>O453-V453</f>
        <v>11069.39999999851</v>
      </c>
      <c r="AL453" s="1119"/>
      <c r="AM453" s="1119"/>
      <c r="AN453" s="1260"/>
      <c r="AO453" s="1260"/>
      <c r="AP453" s="1365"/>
      <c r="AQ453" s="934"/>
    </row>
    <row r="454" spans="1:43" s="28" customFormat="1" ht="15" customHeight="1">
      <c r="A454" s="1214"/>
      <c r="B454" s="1171"/>
      <c r="C454" s="1076"/>
      <c r="D454" s="1076"/>
      <c r="E454" s="1252"/>
      <c r="F454" s="1252"/>
      <c r="G454" s="1076"/>
      <c r="H454" s="1076"/>
      <c r="I454" s="1076"/>
      <c r="J454" s="1076"/>
      <c r="K454" s="1076"/>
      <c r="L454" s="1076"/>
      <c r="M454" s="1268"/>
      <c r="N454" s="1123"/>
      <c r="O454" s="1119"/>
      <c r="P454" s="1119"/>
      <c r="Q454" s="1119"/>
      <c r="R454" s="1171"/>
      <c r="S454" s="1119"/>
      <c r="T454" s="1119"/>
      <c r="U454" s="1119"/>
      <c r="V454" s="1119"/>
      <c r="W454" s="1119"/>
      <c r="X454" s="1203"/>
      <c r="Y454" s="108" t="s">
        <v>769</v>
      </c>
      <c r="Z454" s="109">
        <v>5769155.1000000015</v>
      </c>
      <c r="AA454" s="109">
        <v>0</v>
      </c>
      <c r="AB454" s="109">
        <f t="shared" si="33"/>
        <v>5769155.1000000015</v>
      </c>
      <c r="AC454" s="97"/>
      <c r="AD454" s="134">
        <v>0</v>
      </c>
      <c r="AE454" s="109" t="s">
        <v>7</v>
      </c>
      <c r="AF454" s="1119"/>
      <c r="AG454" s="1119"/>
      <c r="AH454" s="109">
        <f t="shared" si="34"/>
        <v>5769155.1000000015</v>
      </c>
      <c r="AI454" s="1119"/>
      <c r="AJ454" s="1119"/>
      <c r="AK454" s="1119"/>
      <c r="AL454" s="1119"/>
      <c r="AM454" s="1119"/>
      <c r="AN454" s="1260"/>
      <c r="AO454" s="1260"/>
      <c r="AP454" s="1365"/>
      <c r="AQ454" s="934"/>
    </row>
    <row r="455" spans="1:43" s="28" customFormat="1" ht="15" customHeight="1">
      <c r="A455" s="1214"/>
      <c r="B455" s="1171"/>
      <c r="C455" s="1076"/>
      <c r="D455" s="1076"/>
      <c r="E455" s="1252"/>
      <c r="F455" s="1252"/>
      <c r="G455" s="1076"/>
      <c r="H455" s="1076"/>
      <c r="I455" s="1076"/>
      <c r="J455" s="1076"/>
      <c r="K455" s="1076"/>
      <c r="L455" s="1076"/>
      <c r="M455" s="1268">
        <v>188</v>
      </c>
      <c r="N455" s="1123" t="s">
        <v>7</v>
      </c>
      <c r="O455" s="1119">
        <v>24055500</v>
      </c>
      <c r="P455" s="1119">
        <v>24055500</v>
      </c>
      <c r="Q455" s="1119"/>
      <c r="R455" s="1171">
        <v>40759</v>
      </c>
      <c r="S455" s="1119">
        <f>T455</f>
        <v>24055500</v>
      </c>
      <c r="T455" s="1119">
        <v>24055500</v>
      </c>
      <c r="U455" s="1119">
        <f>O455-T455</f>
        <v>0</v>
      </c>
      <c r="V455" s="1119">
        <v>24055500</v>
      </c>
      <c r="W455" s="1119"/>
      <c r="X455" s="1203"/>
      <c r="Y455" s="108" t="s">
        <v>770</v>
      </c>
      <c r="Z455" s="109">
        <v>21649950</v>
      </c>
      <c r="AA455" s="109">
        <v>0</v>
      </c>
      <c r="AB455" s="109">
        <f t="shared" si="33"/>
        <v>21649950</v>
      </c>
      <c r="AC455" s="97">
        <v>41136</v>
      </c>
      <c r="AD455" s="134">
        <v>21649950</v>
      </c>
      <c r="AE455" s="109" t="s">
        <v>7</v>
      </c>
      <c r="AF455" s="1119">
        <f>SUM(AD455:AE455)</f>
        <v>21649950</v>
      </c>
      <c r="AG455" s="1119"/>
      <c r="AH455" s="109">
        <f t="shared" si="34"/>
        <v>0</v>
      </c>
      <c r="AI455" s="1119">
        <f>O455-AD455-AD456</f>
        <v>2405550</v>
      </c>
      <c r="AJ455" s="1119">
        <f>SUM(Z455:Z456)-SUM(AD455:AD456)</f>
        <v>2405550</v>
      </c>
      <c r="AK455" s="1119">
        <f>P455-V455</f>
        <v>0</v>
      </c>
      <c r="AL455" s="1119">
        <f>V455-SUM(Z455:Z456)</f>
        <v>0</v>
      </c>
      <c r="AM455" s="1119">
        <f>AK455+AL455</f>
        <v>0</v>
      </c>
      <c r="AN455" s="1260"/>
      <c r="AO455" s="1260"/>
      <c r="AP455" s="1365"/>
      <c r="AQ455" s="934"/>
    </row>
    <row r="456" spans="1:43" s="28" customFormat="1" ht="15" customHeight="1">
      <c r="A456" s="1214"/>
      <c r="B456" s="1171"/>
      <c r="C456" s="1076"/>
      <c r="D456" s="1076"/>
      <c r="E456" s="1252"/>
      <c r="F456" s="1252"/>
      <c r="G456" s="1076"/>
      <c r="H456" s="1076"/>
      <c r="I456" s="1076"/>
      <c r="J456" s="1076"/>
      <c r="K456" s="1076"/>
      <c r="L456" s="1076"/>
      <c r="M456" s="1268"/>
      <c r="N456" s="1123"/>
      <c r="O456" s="1119"/>
      <c r="P456" s="1119"/>
      <c r="Q456" s="1119"/>
      <c r="R456" s="1171"/>
      <c r="S456" s="1119"/>
      <c r="T456" s="1119"/>
      <c r="U456" s="1119"/>
      <c r="V456" s="1119"/>
      <c r="W456" s="1119"/>
      <c r="X456" s="1203"/>
      <c r="Y456" s="108" t="s">
        <v>769</v>
      </c>
      <c r="Z456" s="109">
        <v>2405550</v>
      </c>
      <c r="AA456" s="109">
        <v>0</v>
      </c>
      <c r="AB456" s="109">
        <f t="shared" si="33"/>
        <v>2405550</v>
      </c>
      <c r="AC456" s="97"/>
      <c r="AD456" s="134">
        <v>0</v>
      </c>
      <c r="AE456" s="109" t="s">
        <v>7</v>
      </c>
      <c r="AF456" s="1119"/>
      <c r="AG456" s="1119"/>
      <c r="AH456" s="109">
        <f t="shared" si="34"/>
        <v>2405550</v>
      </c>
      <c r="AI456" s="1119"/>
      <c r="AJ456" s="1119"/>
      <c r="AK456" s="1119"/>
      <c r="AL456" s="1119"/>
      <c r="AM456" s="1119"/>
      <c r="AN456" s="1260"/>
      <c r="AO456" s="1260"/>
      <c r="AP456" s="1365"/>
      <c r="AQ456" s="934"/>
    </row>
    <row r="457" spans="1:43" ht="15" customHeight="1">
      <c r="A457" s="1214" t="s">
        <v>563</v>
      </c>
      <c r="B457" s="1171">
        <v>40380</v>
      </c>
      <c r="C457" s="1076" t="s">
        <v>36</v>
      </c>
      <c r="D457" s="1076" t="s">
        <v>564</v>
      </c>
      <c r="E457" s="1252">
        <v>900369284</v>
      </c>
      <c r="F457" s="1252">
        <v>4</v>
      </c>
      <c r="G457" s="1076" t="s">
        <v>2841</v>
      </c>
      <c r="H457" s="1076" t="s">
        <v>72</v>
      </c>
      <c r="I457" s="1076" t="s">
        <v>177</v>
      </c>
      <c r="J457" s="1076" t="s">
        <v>66</v>
      </c>
      <c r="K457" s="1076" t="s">
        <v>183</v>
      </c>
      <c r="L457" s="1076" t="s">
        <v>566</v>
      </c>
      <c r="M457" s="1268">
        <v>107</v>
      </c>
      <c r="N457" s="1123" t="s">
        <v>137</v>
      </c>
      <c r="O457" s="1119">
        <v>19720000</v>
      </c>
      <c r="P457" s="1119">
        <f>O457+O459</f>
        <v>49300000</v>
      </c>
      <c r="Q457" s="1119">
        <f>P457</f>
        <v>49300000</v>
      </c>
      <c r="R457" s="1171">
        <v>40413</v>
      </c>
      <c r="S457" s="1196">
        <f>T457+T459</f>
        <v>49300000</v>
      </c>
      <c r="T457" s="1119">
        <v>19720000</v>
      </c>
      <c r="U457" s="1119">
        <f>O457-T457</f>
        <v>0</v>
      </c>
      <c r="V457" s="1119">
        <v>19720000</v>
      </c>
      <c r="W457" s="1119">
        <v>49300000</v>
      </c>
      <c r="X457" s="1076" t="s">
        <v>467</v>
      </c>
      <c r="Y457" s="1123" t="s">
        <v>567</v>
      </c>
      <c r="Z457" s="109">
        <v>0</v>
      </c>
      <c r="AA457" s="109">
        <v>7888000</v>
      </c>
      <c r="AB457" s="109">
        <f t="shared" si="33"/>
        <v>7888000</v>
      </c>
      <c r="AC457" s="1171">
        <v>40473</v>
      </c>
      <c r="AD457" s="119">
        <v>7888000</v>
      </c>
      <c r="AE457" s="119" t="s">
        <v>137</v>
      </c>
      <c r="AF457" s="1084">
        <f>SUM(AD457:AD460)</f>
        <v>49300000</v>
      </c>
      <c r="AG457" s="1084">
        <f>AF457</f>
        <v>49300000</v>
      </c>
      <c r="AH457" s="111">
        <f t="shared" si="34"/>
        <v>0</v>
      </c>
      <c r="AI457" s="1084">
        <f>O457-AD457-AD459</f>
        <v>0</v>
      </c>
      <c r="AJ457" s="1119">
        <f>SUM(Z457:Z460)-SUM(AD457:AD460)</f>
        <v>0</v>
      </c>
      <c r="AK457" s="1119">
        <f>P457-SUM(V457:V460)</f>
        <v>0</v>
      </c>
      <c r="AL457" s="1119">
        <f>SUM(V457:V460)-SUM(Z457:Z460)</f>
        <v>0</v>
      </c>
      <c r="AM457" s="1119">
        <f>AK457+AL457+AL459</f>
        <v>0</v>
      </c>
      <c r="AN457" s="1203" t="s">
        <v>569</v>
      </c>
      <c r="AO457" s="1204" t="s">
        <v>778</v>
      </c>
    </row>
    <row r="458" spans="1:43" ht="15" customHeight="1">
      <c r="A458" s="1214"/>
      <c r="B458" s="1171"/>
      <c r="C458" s="1076"/>
      <c r="D458" s="1076"/>
      <c r="E458" s="1252"/>
      <c r="F458" s="1252"/>
      <c r="G458" s="1076"/>
      <c r="H458" s="1076"/>
      <c r="I458" s="1076"/>
      <c r="J458" s="1076"/>
      <c r="K458" s="1076"/>
      <c r="L458" s="1076"/>
      <c r="M458" s="1268"/>
      <c r="N458" s="1123"/>
      <c r="O458" s="1119"/>
      <c r="P458" s="1119"/>
      <c r="Q458" s="1119"/>
      <c r="R458" s="1171"/>
      <c r="S458" s="1196"/>
      <c r="T458" s="1119"/>
      <c r="U458" s="1119"/>
      <c r="V458" s="1119"/>
      <c r="W458" s="1119"/>
      <c r="X458" s="1076"/>
      <c r="Y458" s="1123"/>
      <c r="Z458" s="109">
        <v>0</v>
      </c>
      <c r="AA458" s="109">
        <v>11832000</v>
      </c>
      <c r="AB458" s="109">
        <f t="shared" si="33"/>
        <v>11832000</v>
      </c>
      <c r="AC458" s="1171"/>
      <c r="AD458" s="119">
        <v>11832000</v>
      </c>
      <c r="AE458" s="119" t="s">
        <v>7</v>
      </c>
      <c r="AF458" s="1084"/>
      <c r="AG458" s="1084"/>
      <c r="AH458" s="111">
        <f t="shared" si="34"/>
        <v>0</v>
      </c>
      <c r="AI458" s="1084"/>
      <c r="AJ458" s="1119"/>
      <c r="AK458" s="1119"/>
      <c r="AL458" s="1119"/>
      <c r="AM458" s="1119"/>
      <c r="AN458" s="1203"/>
      <c r="AO458" s="1204"/>
    </row>
    <row r="459" spans="1:43" ht="15" customHeight="1">
      <c r="A459" s="1214"/>
      <c r="B459" s="1171"/>
      <c r="C459" s="1076"/>
      <c r="D459" s="1076"/>
      <c r="E459" s="1252"/>
      <c r="F459" s="1252"/>
      <c r="G459" s="1076"/>
      <c r="H459" s="1076"/>
      <c r="I459" s="1076"/>
      <c r="J459" s="1076"/>
      <c r="K459" s="1076"/>
      <c r="L459" s="1076"/>
      <c r="M459" s="1268"/>
      <c r="N459" s="1123" t="s">
        <v>7</v>
      </c>
      <c r="O459" s="1119">
        <v>29580000</v>
      </c>
      <c r="P459" s="1119"/>
      <c r="Q459" s="1119"/>
      <c r="R459" s="1171"/>
      <c r="S459" s="1196"/>
      <c r="T459" s="1119">
        <v>29580000</v>
      </c>
      <c r="U459" s="1119">
        <f>O459-T459</f>
        <v>0</v>
      </c>
      <c r="V459" s="1119">
        <v>29580000</v>
      </c>
      <c r="W459" s="1119"/>
      <c r="X459" s="1076"/>
      <c r="Y459" s="1123" t="s">
        <v>568</v>
      </c>
      <c r="Z459" s="109">
        <v>19720000</v>
      </c>
      <c r="AA459" s="109">
        <v>-7888000</v>
      </c>
      <c r="AB459" s="109">
        <f t="shared" si="33"/>
        <v>11832000</v>
      </c>
      <c r="AC459" s="1171">
        <v>42928</v>
      </c>
      <c r="AD459" s="119">
        <v>11832000</v>
      </c>
      <c r="AE459" s="119" t="s">
        <v>137</v>
      </c>
      <c r="AF459" s="1084"/>
      <c r="AG459" s="1084"/>
      <c r="AH459" s="111">
        <f t="shared" si="34"/>
        <v>0</v>
      </c>
      <c r="AI459" s="1084">
        <f>O459-AD458</f>
        <v>17748000</v>
      </c>
      <c r="AJ459" s="1119"/>
      <c r="AK459" s="1119"/>
      <c r="AL459" s="1119"/>
      <c r="AM459" s="1119"/>
      <c r="AN459" s="1203"/>
      <c r="AO459" s="1204"/>
    </row>
    <row r="460" spans="1:43" ht="15" customHeight="1">
      <c r="A460" s="1214"/>
      <c r="B460" s="1171"/>
      <c r="C460" s="1076"/>
      <c r="D460" s="1076"/>
      <c r="E460" s="1252"/>
      <c r="F460" s="1252"/>
      <c r="G460" s="1076"/>
      <c r="H460" s="1076"/>
      <c r="I460" s="1076"/>
      <c r="J460" s="1076"/>
      <c r="K460" s="1076"/>
      <c r="L460" s="1076"/>
      <c r="M460" s="1268"/>
      <c r="N460" s="1123"/>
      <c r="O460" s="1119"/>
      <c r="P460" s="1119"/>
      <c r="Q460" s="1119"/>
      <c r="R460" s="1171"/>
      <c r="S460" s="1196"/>
      <c r="T460" s="1119"/>
      <c r="U460" s="1119"/>
      <c r="V460" s="1119"/>
      <c r="W460" s="1119"/>
      <c r="X460" s="1076"/>
      <c r="Y460" s="1123"/>
      <c r="Z460" s="109">
        <v>29580000</v>
      </c>
      <c r="AA460" s="109">
        <v>-11832000</v>
      </c>
      <c r="AB460" s="109">
        <f t="shared" si="33"/>
        <v>17748000</v>
      </c>
      <c r="AC460" s="1171"/>
      <c r="AD460" s="119">
        <v>17748000</v>
      </c>
      <c r="AE460" s="119" t="s">
        <v>7</v>
      </c>
      <c r="AF460" s="1084"/>
      <c r="AG460" s="1084"/>
      <c r="AH460" s="111">
        <f t="shared" si="34"/>
        <v>0</v>
      </c>
      <c r="AI460" s="1084"/>
      <c r="AJ460" s="1119"/>
      <c r="AK460" s="1119"/>
      <c r="AL460" s="1119"/>
      <c r="AM460" s="1119"/>
      <c r="AN460" s="1203"/>
      <c r="AO460" s="1204"/>
    </row>
    <row r="461" spans="1:43" ht="15" customHeight="1">
      <c r="A461" s="1214" t="s">
        <v>570</v>
      </c>
      <c r="B461" s="1171">
        <v>40372</v>
      </c>
      <c r="C461" s="1076" t="s">
        <v>36</v>
      </c>
      <c r="D461" s="1076" t="s">
        <v>571</v>
      </c>
      <c r="E461" s="1252">
        <v>900368715</v>
      </c>
      <c r="F461" s="1252">
        <v>2</v>
      </c>
      <c r="G461" s="1076" t="s">
        <v>2842</v>
      </c>
      <c r="H461" s="1076" t="s">
        <v>72</v>
      </c>
      <c r="I461" s="1076" t="s">
        <v>177</v>
      </c>
      <c r="J461" s="1076" t="s">
        <v>66</v>
      </c>
      <c r="K461" s="1076" t="s">
        <v>183</v>
      </c>
      <c r="L461" s="1076" t="s">
        <v>578</v>
      </c>
      <c r="M461" s="1268">
        <v>108</v>
      </c>
      <c r="N461" s="1123" t="s">
        <v>137</v>
      </c>
      <c r="O461" s="1119">
        <v>17632000</v>
      </c>
      <c r="P461" s="1119">
        <f>O461+O466</f>
        <v>44080000</v>
      </c>
      <c r="Q461" s="1119">
        <f>P461+P469</f>
        <v>65920000</v>
      </c>
      <c r="R461" s="1171">
        <v>40413</v>
      </c>
      <c r="S461" s="1196">
        <f>T461+T466</f>
        <v>44080000</v>
      </c>
      <c r="T461" s="1119">
        <v>17632000</v>
      </c>
      <c r="U461" s="1119">
        <f>O461-T461</f>
        <v>0</v>
      </c>
      <c r="V461" s="1119">
        <v>17632000</v>
      </c>
      <c r="W461" s="1119">
        <v>65920000</v>
      </c>
      <c r="X461" s="1076" t="s">
        <v>467</v>
      </c>
      <c r="Y461" s="1123" t="s">
        <v>573</v>
      </c>
      <c r="Z461" s="109">
        <v>0</v>
      </c>
      <c r="AA461" s="109">
        <v>7052800</v>
      </c>
      <c r="AB461" s="109">
        <f t="shared" si="33"/>
        <v>7052800</v>
      </c>
      <c r="AC461" s="1171">
        <v>40456</v>
      </c>
      <c r="AD461" s="119">
        <v>7052800</v>
      </c>
      <c r="AE461" s="119" t="s">
        <v>137</v>
      </c>
      <c r="AF461" s="1084">
        <f>SUM(AD461:AD468)</f>
        <v>44080000</v>
      </c>
      <c r="AG461" s="1084">
        <f>AF461+AF469</f>
        <v>65920000</v>
      </c>
      <c r="AH461" s="111">
        <f t="shared" si="34"/>
        <v>0</v>
      </c>
      <c r="AI461" s="1084">
        <f>O461-AD461-AD463-AD465-AD466-AD467</f>
        <v>-2115840</v>
      </c>
      <c r="AJ461" s="1119">
        <f>SUM(Z461:Z469)-SUM(AD461:AD469)</f>
        <v>0</v>
      </c>
      <c r="AK461" s="1119">
        <f>P461-SUM(V461:V468)</f>
        <v>0</v>
      </c>
      <c r="AL461" s="1119">
        <f>SUM(V461:V468)-SUM(Z461:Z468)</f>
        <v>0</v>
      </c>
      <c r="AM461" s="1119">
        <f>AK461+AL461</f>
        <v>0</v>
      </c>
      <c r="AN461" s="1203" t="s">
        <v>577</v>
      </c>
      <c r="AO461" s="1237" t="s">
        <v>779</v>
      </c>
    </row>
    <row r="462" spans="1:43" ht="15" customHeight="1">
      <c r="A462" s="1214"/>
      <c r="B462" s="1171"/>
      <c r="C462" s="1076"/>
      <c r="D462" s="1076"/>
      <c r="E462" s="1252"/>
      <c r="F462" s="1252"/>
      <c r="G462" s="1076"/>
      <c r="H462" s="1076"/>
      <c r="I462" s="1076"/>
      <c r="J462" s="1076"/>
      <c r="K462" s="1076"/>
      <c r="L462" s="1076"/>
      <c r="M462" s="1268"/>
      <c r="N462" s="1123"/>
      <c r="O462" s="1119"/>
      <c r="P462" s="1119"/>
      <c r="Q462" s="1119"/>
      <c r="R462" s="1171"/>
      <c r="S462" s="1196"/>
      <c r="T462" s="1119"/>
      <c r="U462" s="1119"/>
      <c r="V462" s="1119"/>
      <c r="W462" s="1119"/>
      <c r="X462" s="1076"/>
      <c r="Y462" s="1123"/>
      <c r="Z462" s="109">
        <v>0</v>
      </c>
      <c r="AA462" s="109">
        <v>10579200</v>
      </c>
      <c r="AB462" s="109">
        <f t="shared" si="33"/>
        <v>10579200</v>
      </c>
      <c r="AC462" s="1171"/>
      <c r="AD462" s="119">
        <v>10579200</v>
      </c>
      <c r="AE462" s="119" t="s">
        <v>7</v>
      </c>
      <c r="AF462" s="1084"/>
      <c r="AG462" s="1084"/>
      <c r="AH462" s="111">
        <f t="shared" si="34"/>
        <v>0</v>
      </c>
      <c r="AI462" s="1084"/>
      <c r="AJ462" s="1119"/>
      <c r="AK462" s="1119"/>
      <c r="AL462" s="1119"/>
      <c r="AM462" s="1119"/>
      <c r="AN462" s="1203"/>
      <c r="AO462" s="1204"/>
    </row>
    <row r="463" spans="1:43" ht="15" customHeight="1">
      <c r="A463" s="1214"/>
      <c r="B463" s="1171"/>
      <c r="C463" s="1076"/>
      <c r="D463" s="1076"/>
      <c r="E463" s="1252"/>
      <c r="F463" s="1252"/>
      <c r="G463" s="1076"/>
      <c r="H463" s="1076"/>
      <c r="I463" s="1076"/>
      <c r="J463" s="1076"/>
      <c r="K463" s="1076"/>
      <c r="L463" s="1076"/>
      <c r="M463" s="1268"/>
      <c r="N463" s="1123"/>
      <c r="O463" s="1119"/>
      <c r="P463" s="1119"/>
      <c r="Q463" s="1119"/>
      <c r="R463" s="1171"/>
      <c r="S463" s="1196"/>
      <c r="T463" s="1119"/>
      <c r="U463" s="1119"/>
      <c r="V463" s="1119"/>
      <c r="W463" s="1119"/>
      <c r="X463" s="1076"/>
      <c r="Y463" s="1123" t="s">
        <v>574</v>
      </c>
      <c r="Z463" s="109">
        <f>30856000*40%</f>
        <v>12342400</v>
      </c>
      <c r="AA463" s="109">
        <v>-4936960</v>
      </c>
      <c r="AB463" s="109">
        <f t="shared" si="33"/>
        <v>7405440</v>
      </c>
      <c r="AC463" s="1171">
        <v>40724</v>
      </c>
      <c r="AD463" s="119">
        <v>7405440</v>
      </c>
      <c r="AE463" s="119" t="s">
        <v>137</v>
      </c>
      <c r="AF463" s="1084"/>
      <c r="AG463" s="1084"/>
      <c r="AH463" s="111">
        <f t="shared" si="34"/>
        <v>0</v>
      </c>
      <c r="AI463" s="1084"/>
      <c r="AJ463" s="1119"/>
      <c r="AK463" s="1119"/>
      <c r="AL463" s="1119"/>
      <c r="AM463" s="1119"/>
      <c r="AN463" s="1203"/>
      <c r="AO463" s="1204"/>
    </row>
    <row r="464" spans="1:43" ht="15" customHeight="1">
      <c r="A464" s="1214"/>
      <c r="B464" s="1171"/>
      <c r="C464" s="1076"/>
      <c r="D464" s="1076"/>
      <c r="E464" s="1252"/>
      <c r="F464" s="1252"/>
      <c r="G464" s="1076"/>
      <c r="H464" s="1076"/>
      <c r="I464" s="1076"/>
      <c r="J464" s="1076"/>
      <c r="K464" s="1076"/>
      <c r="L464" s="1076"/>
      <c r="M464" s="1268"/>
      <c r="N464" s="1123"/>
      <c r="O464" s="1119"/>
      <c r="P464" s="1119"/>
      <c r="Q464" s="1119"/>
      <c r="R464" s="1171"/>
      <c r="S464" s="1196"/>
      <c r="T464" s="1119"/>
      <c r="U464" s="1119"/>
      <c r="V464" s="1119"/>
      <c r="W464" s="1119"/>
      <c r="X464" s="1076"/>
      <c r="Y464" s="1123"/>
      <c r="Z464" s="109">
        <f>30856000*60%</f>
        <v>18513600</v>
      </c>
      <c r="AA464" s="109">
        <v>-7405440</v>
      </c>
      <c r="AB464" s="109">
        <f t="shared" si="33"/>
        <v>11108160</v>
      </c>
      <c r="AC464" s="1171"/>
      <c r="AD464" s="119">
        <v>11108160</v>
      </c>
      <c r="AE464" s="119" t="s">
        <v>7</v>
      </c>
      <c r="AF464" s="1084"/>
      <c r="AG464" s="1084"/>
      <c r="AH464" s="111">
        <f t="shared" si="34"/>
        <v>0</v>
      </c>
      <c r="AI464" s="1084"/>
      <c r="AJ464" s="1119"/>
      <c r="AK464" s="1119"/>
      <c r="AL464" s="1119"/>
      <c r="AM464" s="1119"/>
      <c r="AN464" s="1203"/>
      <c r="AO464" s="1204"/>
    </row>
    <row r="465" spans="1:41" ht="15" customHeight="1">
      <c r="A465" s="1214"/>
      <c r="B465" s="1171"/>
      <c r="C465" s="1076"/>
      <c r="D465" s="1076"/>
      <c r="E465" s="1252"/>
      <c r="F465" s="1252"/>
      <c r="G465" s="1076"/>
      <c r="H465" s="1076"/>
      <c r="I465" s="1076"/>
      <c r="J465" s="1076"/>
      <c r="K465" s="1076"/>
      <c r="L465" s="1076"/>
      <c r="M465" s="1268"/>
      <c r="N465" s="1123"/>
      <c r="O465" s="1119"/>
      <c r="P465" s="1119"/>
      <c r="Q465" s="1119"/>
      <c r="R465" s="1171"/>
      <c r="S465" s="1196"/>
      <c r="T465" s="1119"/>
      <c r="U465" s="1119"/>
      <c r="V465" s="1119"/>
      <c r="W465" s="1119"/>
      <c r="X465" s="1076"/>
      <c r="Y465" s="1123" t="s">
        <v>575</v>
      </c>
      <c r="Z465" s="109">
        <v>3526400</v>
      </c>
      <c r="AA465" s="109">
        <v>-2115840</v>
      </c>
      <c r="AB465" s="109">
        <f t="shared" si="33"/>
        <v>1410560</v>
      </c>
      <c r="AC465" s="1171">
        <v>41029</v>
      </c>
      <c r="AD465" s="119">
        <v>1410560</v>
      </c>
      <c r="AE465" s="119" t="s">
        <v>137</v>
      </c>
      <c r="AF465" s="1084"/>
      <c r="AG465" s="1084"/>
      <c r="AH465" s="111">
        <f t="shared" si="34"/>
        <v>0</v>
      </c>
      <c r="AI465" s="1084"/>
      <c r="AJ465" s="1119"/>
      <c r="AK465" s="1119"/>
      <c r="AL465" s="1119"/>
      <c r="AM465" s="1119"/>
      <c r="AN465" s="1203"/>
      <c r="AO465" s="1204"/>
    </row>
    <row r="466" spans="1:41" ht="15" customHeight="1">
      <c r="A466" s="1214"/>
      <c r="B466" s="1171"/>
      <c r="C466" s="1076"/>
      <c r="D466" s="1076"/>
      <c r="E466" s="1252"/>
      <c r="F466" s="1252"/>
      <c r="G466" s="1076"/>
      <c r="H466" s="1076"/>
      <c r="I466" s="1076"/>
      <c r="J466" s="1076"/>
      <c r="K466" s="1076"/>
      <c r="L466" s="1076"/>
      <c r="M466" s="1268"/>
      <c r="N466" s="1123" t="s">
        <v>7</v>
      </c>
      <c r="O466" s="1119">
        <v>26448000</v>
      </c>
      <c r="P466" s="1119"/>
      <c r="Q466" s="1119"/>
      <c r="R466" s="1171"/>
      <c r="S466" s="1196"/>
      <c r="T466" s="1119">
        <v>26448000</v>
      </c>
      <c r="U466" s="1119">
        <f>O466-T466</f>
        <v>0</v>
      </c>
      <c r="V466" s="1119">
        <v>26448000</v>
      </c>
      <c r="W466" s="1119"/>
      <c r="X466" s="1076"/>
      <c r="Y466" s="1123"/>
      <c r="Z466" s="109">
        <v>5289600</v>
      </c>
      <c r="AA466" s="109">
        <v>-3173760</v>
      </c>
      <c r="AB466" s="109">
        <f t="shared" si="33"/>
        <v>2115840</v>
      </c>
      <c r="AC466" s="1171"/>
      <c r="AD466" s="119">
        <v>2115840</v>
      </c>
      <c r="AE466" s="119" t="s">
        <v>137</v>
      </c>
      <c r="AF466" s="1084"/>
      <c r="AG466" s="1084"/>
      <c r="AH466" s="111">
        <f t="shared" si="34"/>
        <v>0</v>
      </c>
      <c r="AI466" s="1084">
        <f>O466-AD462-AD464-AD468</f>
        <v>2115840</v>
      </c>
      <c r="AJ466" s="1119"/>
      <c r="AK466" s="1119"/>
      <c r="AL466" s="1119"/>
      <c r="AM466" s="1119"/>
      <c r="AN466" s="1203"/>
      <c r="AO466" s="1204"/>
    </row>
    <row r="467" spans="1:41" ht="15" customHeight="1">
      <c r="A467" s="1214"/>
      <c r="B467" s="1171"/>
      <c r="C467" s="1076"/>
      <c r="D467" s="1076"/>
      <c r="E467" s="1252"/>
      <c r="F467" s="1252"/>
      <c r="G467" s="1076"/>
      <c r="H467" s="1076"/>
      <c r="I467" s="1076"/>
      <c r="J467" s="1076"/>
      <c r="K467" s="1076"/>
      <c r="L467" s="1076"/>
      <c r="M467" s="1268"/>
      <c r="N467" s="1123"/>
      <c r="O467" s="1119"/>
      <c r="P467" s="1119"/>
      <c r="Q467" s="1119"/>
      <c r="R467" s="1171"/>
      <c r="S467" s="1196"/>
      <c r="T467" s="1119"/>
      <c r="U467" s="1119"/>
      <c r="V467" s="1119"/>
      <c r="W467" s="1119"/>
      <c r="X467" s="1076"/>
      <c r="Y467" s="1123" t="s">
        <v>576</v>
      </c>
      <c r="Z467" s="109">
        <v>1763200</v>
      </c>
      <c r="AA467" s="109">
        <v>0</v>
      </c>
      <c r="AB467" s="109">
        <f t="shared" si="33"/>
        <v>1763200</v>
      </c>
      <c r="AC467" s="1171">
        <v>42916</v>
      </c>
      <c r="AD467" s="119">
        <v>1763200</v>
      </c>
      <c r="AE467" s="119" t="s">
        <v>137</v>
      </c>
      <c r="AF467" s="1084"/>
      <c r="AG467" s="1084"/>
      <c r="AH467" s="111">
        <f t="shared" si="34"/>
        <v>0</v>
      </c>
      <c r="AI467" s="1084"/>
      <c r="AJ467" s="1119"/>
      <c r="AK467" s="1119"/>
      <c r="AL467" s="1119"/>
      <c r="AM467" s="1119"/>
      <c r="AN467" s="1203"/>
      <c r="AO467" s="1204"/>
    </row>
    <row r="468" spans="1:41" ht="15" customHeight="1">
      <c r="A468" s="1214"/>
      <c r="B468" s="1171"/>
      <c r="C468" s="1076"/>
      <c r="D468" s="1076"/>
      <c r="E468" s="1252"/>
      <c r="F468" s="1252"/>
      <c r="G468" s="1076"/>
      <c r="H468" s="1076"/>
      <c r="I468" s="1076"/>
      <c r="J468" s="1076"/>
      <c r="K468" s="1076"/>
      <c r="L468" s="1076"/>
      <c r="M468" s="1268"/>
      <c r="N468" s="1123"/>
      <c r="O468" s="1119"/>
      <c r="P468" s="1119"/>
      <c r="Q468" s="1119"/>
      <c r="R468" s="1171"/>
      <c r="S468" s="1196"/>
      <c r="T468" s="1119"/>
      <c r="U468" s="1119"/>
      <c r="V468" s="1119"/>
      <c r="W468" s="1119"/>
      <c r="X468" s="1076"/>
      <c r="Y468" s="1123"/>
      <c r="Z468" s="109">
        <v>2644800</v>
      </c>
      <c r="AA468" s="109">
        <v>0</v>
      </c>
      <c r="AB468" s="109">
        <f t="shared" ref="AB468:AB499" si="35">Z468+AA468</f>
        <v>2644800</v>
      </c>
      <c r="AC468" s="1171"/>
      <c r="AD468" s="119">
        <v>2644800</v>
      </c>
      <c r="AE468" s="119" t="s">
        <v>7</v>
      </c>
      <c r="AF468" s="1084"/>
      <c r="AG468" s="1084"/>
      <c r="AH468" s="111">
        <f t="shared" ref="AH468:AH499" si="36">AB468-AD468</f>
        <v>0</v>
      </c>
      <c r="AI468" s="1084"/>
      <c r="AJ468" s="1119"/>
      <c r="AK468" s="1119"/>
      <c r="AL468" s="1119"/>
      <c r="AM468" s="1119"/>
      <c r="AN468" s="1203"/>
      <c r="AO468" s="1204"/>
    </row>
    <row r="469" spans="1:41" ht="15" customHeight="1">
      <c r="A469" s="1214"/>
      <c r="B469" s="1171"/>
      <c r="C469" s="1076"/>
      <c r="D469" s="1076"/>
      <c r="E469" s="1252"/>
      <c r="F469" s="1252"/>
      <c r="G469" s="1076"/>
      <c r="H469" s="1076"/>
      <c r="I469" s="1076"/>
      <c r="J469" s="1076" t="s">
        <v>171</v>
      </c>
      <c r="K469" s="1076"/>
      <c r="L469" s="1076"/>
      <c r="M469" s="1268">
        <v>203</v>
      </c>
      <c r="N469" s="1123" t="s">
        <v>7</v>
      </c>
      <c r="O469" s="1119">
        <v>21840000</v>
      </c>
      <c r="P469" s="1119">
        <f>O469</f>
        <v>21840000</v>
      </c>
      <c r="Q469" s="1119"/>
      <c r="R469" s="1171">
        <v>40779</v>
      </c>
      <c r="S469" s="1196">
        <f>T469</f>
        <v>21840000</v>
      </c>
      <c r="T469" s="1119">
        <v>21840000</v>
      </c>
      <c r="U469" s="1119">
        <f>O469-T469</f>
        <v>0</v>
      </c>
      <c r="V469" s="1119">
        <v>21840000</v>
      </c>
      <c r="W469" s="1119"/>
      <c r="X469" s="1076"/>
      <c r="Y469" s="108" t="s">
        <v>575</v>
      </c>
      <c r="Z469" s="109">
        <v>19656000</v>
      </c>
      <c r="AA469" s="109">
        <v>0</v>
      </c>
      <c r="AB469" s="109">
        <f t="shared" si="35"/>
        <v>19656000</v>
      </c>
      <c r="AC469" s="97">
        <v>41029</v>
      </c>
      <c r="AD469" s="119">
        <v>19656000</v>
      </c>
      <c r="AE469" s="119" t="s">
        <v>7</v>
      </c>
      <c r="AF469" s="1084">
        <f>SUM(AD469:AD470)</f>
        <v>21840000</v>
      </c>
      <c r="AG469" s="1084"/>
      <c r="AH469" s="111">
        <f t="shared" si="36"/>
        <v>0</v>
      </c>
      <c r="AI469" s="1084">
        <f>O469-AD469-AD470</f>
        <v>0</v>
      </c>
      <c r="AJ469" s="1119">
        <f>SUM(Z469:Z470)-SUM(AD469:AD470)</f>
        <v>0</v>
      </c>
      <c r="AK469" s="1119">
        <f>P469-V469</f>
        <v>0</v>
      </c>
      <c r="AL469" s="1119">
        <f>V469-Z469-Z470</f>
        <v>0</v>
      </c>
      <c r="AM469" s="1119">
        <f>AK469+AL469</f>
        <v>0</v>
      </c>
      <c r="AN469" s="1203"/>
      <c r="AO469" s="1204"/>
    </row>
    <row r="470" spans="1:41" ht="15" customHeight="1">
      <c r="A470" s="1214"/>
      <c r="B470" s="1171"/>
      <c r="C470" s="1076"/>
      <c r="D470" s="1076"/>
      <c r="E470" s="1252"/>
      <c r="F470" s="1252"/>
      <c r="G470" s="1076"/>
      <c r="H470" s="1076"/>
      <c r="I470" s="1076"/>
      <c r="J470" s="1076"/>
      <c r="K470" s="1076"/>
      <c r="L470" s="1076"/>
      <c r="M470" s="1268"/>
      <c r="N470" s="1123"/>
      <c r="O470" s="1119"/>
      <c r="P470" s="1119"/>
      <c r="Q470" s="1119"/>
      <c r="R470" s="1171"/>
      <c r="S470" s="1196"/>
      <c r="T470" s="1119"/>
      <c r="U470" s="1119"/>
      <c r="V470" s="1119"/>
      <c r="W470" s="1119"/>
      <c r="X470" s="1076"/>
      <c r="Y470" s="108" t="s">
        <v>576</v>
      </c>
      <c r="Z470" s="109">
        <v>2184000</v>
      </c>
      <c r="AA470" s="109">
        <v>0</v>
      </c>
      <c r="AB470" s="109">
        <f t="shared" si="35"/>
        <v>2184000</v>
      </c>
      <c r="AC470" s="97">
        <v>42916</v>
      </c>
      <c r="AD470" s="119">
        <v>2184000</v>
      </c>
      <c r="AE470" s="119" t="s">
        <v>7</v>
      </c>
      <c r="AF470" s="1084"/>
      <c r="AG470" s="1084"/>
      <c r="AH470" s="111">
        <f t="shared" si="36"/>
        <v>0</v>
      </c>
      <c r="AI470" s="1084"/>
      <c r="AJ470" s="1119"/>
      <c r="AK470" s="1119"/>
      <c r="AL470" s="1119"/>
      <c r="AM470" s="1119"/>
      <c r="AN470" s="1203"/>
      <c r="AO470" s="1204"/>
    </row>
    <row r="471" spans="1:41" ht="15" customHeight="1">
      <c r="A471" s="1214" t="s">
        <v>533</v>
      </c>
      <c r="B471" s="1171">
        <v>40372</v>
      </c>
      <c r="C471" s="1076" t="s">
        <v>36</v>
      </c>
      <c r="D471" s="1076" t="s">
        <v>508</v>
      </c>
      <c r="E471" s="1252">
        <v>900368713</v>
      </c>
      <c r="F471" s="1252">
        <v>8</v>
      </c>
      <c r="G471" s="1076" t="s">
        <v>2843</v>
      </c>
      <c r="H471" s="1076" t="s">
        <v>72</v>
      </c>
      <c r="I471" s="1076" t="s">
        <v>177</v>
      </c>
      <c r="J471" s="1076" t="s">
        <v>66</v>
      </c>
      <c r="K471" s="1076" t="s">
        <v>697</v>
      </c>
      <c r="L471" s="1076" t="s">
        <v>507</v>
      </c>
      <c r="M471" s="1268">
        <v>109</v>
      </c>
      <c r="N471" s="1123" t="s">
        <v>137</v>
      </c>
      <c r="O471" s="1119">
        <v>17632000.399999999</v>
      </c>
      <c r="P471" s="1119">
        <f>O471+O474</f>
        <v>44080001</v>
      </c>
      <c r="Q471" s="1119">
        <f>P471</f>
        <v>44080001</v>
      </c>
      <c r="R471" s="1171">
        <v>40413</v>
      </c>
      <c r="S471" s="1119">
        <f>T471+T474</f>
        <v>44080001</v>
      </c>
      <c r="T471" s="1119">
        <v>17632000.399999999</v>
      </c>
      <c r="U471" s="1119">
        <f>O471-T471</f>
        <v>0</v>
      </c>
      <c r="V471" s="1119">
        <v>17631981.600000001</v>
      </c>
      <c r="W471" s="1119">
        <v>44079954</v>
      </c>
      <c r="X471" s="1203" t="s">
        <v>467</v>
      </c>
      <c r="Y471" s="1123" t="s">
        <v>573</v>
      </c>
      <c r="Z471" s="109">
        <v>0</v>
      </c>
      <c r="AA471" s="109">
        <v>7052800</v>
      </c>
      <c r="AB471" s="109">
        <f t="shared" si="35"/>
        <v>7052800</v>
      </c>
      <c r="AC471" s="1171">
        <v>40476</v>
      </c>
      <c r="AD471" s="134">
        <v>7052811</v>
      </c>
      <c r="AE471" s="109" t="s">
        <v>137</v>
      </c>
      <c r="AF471" s="1119">
        <f>SUM(AD471:AD475)</f>
        <v>41435175</v>
      </c>
      <c r="AG471" s="1119">
        <f>AF471</f>
        <v>41435175</v>
      </c>
      <c r="AH471" s="109">
        <f t="shared" si="36"/>
        <v>-11</v>
      </c>
      <c r="AI471" s="1119">
        <f>O471-AD471-AD473-AD474</f>
        <v>-13223985.600000001</v>
      </c>
      <c r="AJ471" s="1119">
        <f>SUM(Z471:Z475)-SUM(AD471:AD475)</f>
        <v>-1763216</v>
      </c>
      <c r="AK471" s="1119">
        <f>P471-W471</f>
        <v>47</v>
      </c>
      <c r="AL471" s="1119">
        <f>W471-SUM(Z471:Z475)+AJ471</f>
        <v>2644779</v>
      </c>
      <c r="AM471" s="1119">
        <f>AK471+AL471</f>
        <v>2644826</v>
      </c>
      <c r="AN471" s="1203" t="s">
        <v>581</v>
      </c>
      <c r="AO471" s="1275" t="s">
        <v>2882</v>
      </c>
    </row>
    <row r="472" spans="1:41" ht="15" customHeight="1">
      <c r="A472" s="1214"/>
      <c r="B472" s="1171"/>
      <c r="C472" s="1076"/>
      <c r="D472" s="1076"/>
      <c r="E472" s="1252"/>
      <c r="F472" s="1252"/>
      <c r="G472" s="1076"/>
      <c r="H472" s="1076"/>
      <c r="I472" s="1076"/>
      <c r="J472" s="1076"/>
      <c r="K472" s="1076"/>
      <c r="L472" s="1076"/>
      <c r="M472" s="1268"/>
      <c r="N472" s="1123"/>
      <c r="O472" s="1119"/>
      <c r="P472" s="1119"/>
      <c r="Q472" s="1119"/>
      <c r="R472" s="1171"/>
      <c r="S472" s="1119"/>
      <c r="T472" s="1119"/>
      <c r="U472" s="1119"/>
      <c r="V472" s="1119"/>
      <c r="W472" s="1119"/>
      <c r="X472" s="1203"/>
      <c r="Y472" s="1123"/>
      <c r="Z472" s="109">
        <v>0</v>
      </c>
      <c r="AA472" s="109">
        <v>10579200</v>
      </c>
      <c r="AB472" s="109">
        <f t="shared" si="35"/>
        <v>10579200</v>
      </c>
      <c r="AC472" s="1171"/>
      <c r="AD472" s="134">
        <v>10579189</v>
      </c>
      <c r="AE472" s="109" t="s">
        <v>7</v>
      </c>
      <c r="AF472" s="1119"/>
      <c r="AG472" s="1119"/>
      <c r="AH472" s="109">
        <f t="shared" si="36"/>
        <v>11</v>
      </c>
      <c r="AI472" s="1119"/>
      <c r="AJ472" s="1119"/>
      <c r="AK472" s="1119"/>
      <c r="AL472" s="1119"/>
      <c r="AM472" s="1119"/>
      <c r="AN472" s="1203"/>
      <c r="AO472" s="1275"/>
    </row>
    <row r="473" spans="1:41" ht="15" customHeight="1">
      <c r="A473" s="1214"/>
      <c r="B473" s="1171"/>
      <c r="C473" s="1076"/>
      <c r="D473" s="1076"/>
      <c r="E473" s="1252"/>
      <c r="F473" s="1252"/>
      <c r="G473" s="1076"/>
      <c r="H473" s="1076"/>
      <c r="I473" s="1076"/>
      <c r="J473" s="1076"/>
      <c r="K473" s="1076"/>
      <c r="L473" s="1076"/>
      <c r="M473" s="1268"/>
      <c r="N473" s="1123"/>
      <c r="O473" s="1119"/>
      <c r="P473" s="1119"/>
      <c r="Q473" s="1119"/>
      <c r="R473" s="1171"/>
      <c r="S473" s="1119"/>
      <c r="T473" s="1119"/>
      <c r="U473" s="1119"/>
      <c r="V473" s="1119"/>
      <c r="W473" s="1119"/>
      <c r="X473" s="1203"/>
      <c r="Y473" s="1204" t="s">
        <v>580</v>
      </c>
      <c r="Z473" s="109">
        <v>15868783.600000001</v>
      </c>
      <c r="AA473" s="109">
        <v>-6347513.5999999996</v>
      </c>
      <c r="AB473" s="109">
        <f t="shared" si="35"/>
        <v>9521270.0000000019</v>
      </c>
      <c r="AC473" s="1171">
        <v>40830</v>
      </c>
      <c r="AD473" s="134">
        <v>9521269.8699999992</v>
      </c>
      <c r="AE473" s="109" t="s">
        <v>137</v>
      </c>
      <c r="AF473" s="1119"/>
      <c r="AG473" s="1119"/>
      <c r="AH473" s="109">
        <f t="shared" si="36"/>
        <v>0.13000000268220901</v>
      </c>
      <c r="AI473" s="1119"/>
      <c r="AJ473" s="1119"/>
      <c r="AK473" s="1119"/>
      <c r="AL473" s="1119"/>
      <c r="AM473" s="1119"/>
      <c r="AN473" s="1203"/>
      <c r="AO473" s="1275"/>
    </row>
    <row r="474" spans="1:41" ht="15" customHeight="1">
      <c r="A474" s="1214"/>
      <c r="B474" s="1171"/>
      <c r="C474" s="1076"/>
      <c r="D474" s="1076"/>
      <c r="E474" s="1252"/>
      <c r="F474" s="1252"/>
      <c r="G474" s="1076"/>
      <c r="H474" s="1076"/>
      <c r="I474" s="1076"/>
      <c r="J474" s="1076"/>
      <c r="K474" s="1076"/>
      <c r="L474" s="1076"/>
      <c r="M474" s="1268"/>
      <c r="N474" s="1123" t="s">
        <v>7</v>
      </c>
      <c r="O474" s="1119">
        <v>26448000.600000001</v>
      </c>
      <c r="P474" s="1119"/>
      <c r="Q474" s="1119"/>
      <c r="R474" s="1171"/>
      <c r="S474" s="1119"/>
      <c r="T474" s="1119">
        <v>26448000.600000001</v>
      </c>
      <c r="U474" s="1119">
        <f>O474-T474</f>
        <v>0</v>
      </c>
      <c r="V474" s="1119">
        <v>26447972.399999999</v>
      </c>
      <c r="W474" s="1119"/>
      <c r="X474" s="1203"/>
      <c r="Y474" s="1204"/>
      <c r="Z474" s="109">
        <v>23803175.399999999</v>
      </c>
      <c r="AA474" s="109">
        <v>-9521270.4000000004</v>
      </c>
      <c r="AB474" s="109">
        <f t="shared" si="35"/>
        <v>14281904.999999998</v>
      </c>
      <c r="AC474" s="1171"/>
      <c r="AD474" s="134">
        <v>14281905.130000001</v>
      </c>
      <c r="AE474" s="109" t="s">
        <v>137</v>
      </c>
      <c r="AF474" s="1119"/>
      <c r="AG474" s="1119"/>
      <c r="AH474" s="109">
        <f t="shared" si="36"/>
        <v>-0.13000000268220901</v>
      </c>
      <c r="AI474" s="1119">
        <f>O474-AD472-AD475</f>
        <v>15868811.600000001</v>
      </c>
      <c r="AJ474" s="1119"/>
      <c r="AK474" s="1119"/>
      <c r="AL474" s="1119"/>
      <c r="AM474" s="1119"/>
      <c r="AN474" s="1203"/>
      <c r="AO474" s="1275"/>
    </row>
    <row r="475" spans="1:41" ht="15" customHeight="1">
      <c r="A475" s="1214"/>
      <c r="B475" s="1171"/>
      <c r="C475" s="1076"/>
      <c r="D475" s="1076"/>
      <c r="E475" s="1252"/>
      <c r="F475" s="1252"/>
      <c r="G475" s="1076"/>
      <c r="H475" s="1076"/>
      <c r="I475" s="1076"/>
      <c r="J475" s="1076"/>
      <c r="K475" s="1076"/>
      <c r="L475" s="1076"/>
      <c r="M475" s="1268"/>
      <c r="N475" s="1123"/>
      <c r="O475" s="1119"/>
      <c r="P475" s="1119"/>
      <c r="Q475" s="1119"/>
      <c r="R475" s="1171"/>
      <c r="S475" s="1119"/>
      <c r="T475" s="1119"/>
      <c r="U475" s="1119"/>
      <c r="V475" s="1119"/>
      <c r="W475" s="1119"/>
      <c r="X475" s="1203"/>
      <c r="Y475" s="108"/>
      <c r="Z475" s="109">
        <v>0</v>
      </c>
      <c r="AA475" s="109">
        <v>0</v>
      </c>
      <c r="AB475" s="109">
        <f t="shared" si="35"/>
        <v>0</v>
      </c>
      <c r="AC475" s="97"/>
      <c r="AD475" s="119">
        <v>0</v>
      </c>
      <c r="AE475" s="119"/>
      <c r="AF475" s="1119"/>
      <c r="AG475" s="1119"/>
      <c r="AH475" s="109">
        <f t="shared" si="36"/>
        <v>0</v>
      </c>
      <c r="AI475" s="1119"/>
      <c r="AJ475" s="1119"/>
      <c r="AK475" s="1119"/>
      <c r="AL475" s="1119"/>
      <c r="AM475" s="1119"/>
      <c r="AN475" s="1203"/>
      <c r="AO475" s="1275"/>
    </row>
    <row r="476" spans="1:41" ht="15" customHeight="1">
      <c r="A476" s="1214" t="s">
        <v>582</v>
      </c>
      <c r="B476" s="1171">
        <v>40380</v>
      </c>
      <c r="C476" s="1076" t="s">
        <v>36</v>
      </c>
      <c r="D476" s="1076" t="s">
        <v>583</v>
      </c>
      <c r="E476" s="1252">
        <v>900368961</v>
      </c>
      <c r="F476" s="1252">
        <v>8</v>
      </c>
      <c r="G476" s="1076" t="s">
        <v>2844</v>
      </c>
      <c r="H476" s="1076" t="s">
        <v>72</v>
      </c>
      <c r="I476" s="1076" t="s">
        <v>177</v>
      </c>
      <c r="J476" s="1076" t="s">
        <v>66</v>
      </c>
      <c r="K476" s="1076" t="s">
        <v>183</v>
      </c>
      <c r="L476" s="1076" t="s">
        <v>589</v>
      </c>
      <c r="M476" s="1268">
        <v>110</v>
      </c>
      <c r="N476" s="1123" t="s">
        <v>137</v>
      </c>
      <c r="O476" s="1119">
        <v>17632001</v>
      </c>
      <c r="P476" s="1119">
        <f>O476+O480</f>
        <v>44080002</v>
      </c>
      <c r="Q476" s="1119">
        <f>P476+P484</f>
        <v>66120002</v>
      </c>
      <c r="R476" s="1171">
        <v>40413</v>
      </c>
      <c r="S476" s="1196">
        <f>T476+T480</f>
        <v>44080002</v>
      </c>
      <c r="T476" s="1119">
        <v>17632000.800000001</v>
      </c>
      <c r="U476" s="1119">
        <f>O476-T476</f>
        <v>0.19999999925494194</v>
      </c>
      <c r="V476" s="1119">
        <v>17632000</v>
      </c>
      <c r="W476" s="1119">
        <f>SUM(V476:V484)</f>
        <v>66120000</v>
      </c>
      <c r="X476" s="1076" t="s">
        <v>467</v>
      </c>
      <c r="Y476" s="1123" t="s">
        <v>585</v>
      </c>
      <c r="Z476" s="109">
        <v>0</v>
      </c>
      <c r="AA476" s="109">
        <v>7052800</v>
      </c>
      <c r="AB476" s="109">
        <f t="shared" si="35"/>
        <v>7052800</v>
      </c>
      <c r="AC476" s="1171">
        <v>40480</v>
      </c>
      <c r="AD476" s="119">
        <v>7052800</v>
      </c>
      <c r="AE476" s="119" t="s">
        <v>137</v>
      </c>
      <c r="AF476" s="1084">
        <f>SUM(AD476:AD483)</f>
        <v>44080000</v>
      </c>
      <c r="AG476" s="1084">
        <f>AF476+AF484</f>
        <v>66120000</v>
      </c>
      <c r="AH476" s="111">
        <f t="shared" si="36"/>
        <v>0</v>
      </c>
      <c r="AI476" s="1084">
        <f>O476-AD476-AD478-AD479-AD482</f>
        <v>-10579199</v>
      </c>
      <c r="AJ476" s="1119">
        <f>SUM(Z476:Z483)-SUM(AD476:AD483)</f>
        <v>0</v>
      </c>
      <c r="AK476" s="1119">
        <f>P476-V476-V480</f>
        <v>2</v>
      </c>
      <c r="AL476" s="1119">
        <f>SUM(V476:V483)-SUM(Z476:Z483)</f>
        <v>0</v>
      </c>
      <c r="AM476" s="1119">
        <f>AK476+AL476</f>
        <v>2</v>
      </c>
      <c r="AN476" s="1203" t="s">
        <v>586</v>
      </c>
      <c r="AO476" s="1204" t="s">
        <v>781</v>
      </c>
    </row>
    <row r="477" spans="1:41" ht="15" customHeight="1">
      <c r="A477" s="1214"/>
      <c r="B477" s="1171"/>
      <c r="C477" s="1076"/>
      <c r="D477" s="1076"/>
      <c r="E477" s="1252"/>
      <c r="F477" s="1252"/>
      <c r="G477" s="1076"/>
      <c r="H477" s="1076"/>
      <c r="I477" s="1076"/>
      <c r="J477" s="1076"/>
      <c r="K477" s="1076"/>
      <c r="L477" s="1076"/>
      <c r="M477" s="1268"/>
      <c r="N477" s="1123"/>
      <c r="O477" s="1119"/>
      <c r="P477" s="1119"/>
      <c r="Q477" s="1119"/>
      <c r="R477" s="1171"/>
      <c r="S477" s="1196"/>
      <c r="T477" s="1119"/>
      <c r="U477" s="1119"/>
      <c r="V477" s="1119"/>
      <c r="W477" s="1119"/>
      <c r="X477" s="1076"/>
      <c r="Y477" s="1123"/>
      <c r="Z477" s="109">
        <v>0</v>
      </c>
      <c r="AA477" s="109">
        <v>10579200</v>
      </c>
      <c r="AB477" s="109">
        <f t="shared" si="35"/>
        <v>10579200</v>
      </c>
      <c r="AC477" s="1171"/>
      <c r="AD477" s="119">
        <v>10579200</v>
      </c>
      <c r="AE477" s="119" t="s">
        <v>7</v>
      </c>
      <c r="AF477" s="1084"/>
      <c r="AG477" s="1084"/>
      <c r="AH477" s="111">
        <f t="shared" si="36"/>
        <v>0</v>
      </c>
      <c r="AI477" s="1084"/>
      <c r="AJ477" s="1119"/>
      <c r="AK477" s="1119"/>
      <c r="AL477" s="1119"/>
      <c r="AM477" s="1119"/>
      <c r="AN477" s="1203"/>
      <c r="AO477" s="1204"/>
    </row>
    <row r="478" spans="1:41" ht="15" customHeight="1">
      <c r="A478" s="1214"/>
      <c r="B478" s="1171"/>
      <c r="C478" s="1076"/>
      <c r="D478" s="1076"/>
      <c r="E478" s="1252"/>
      <c r="F478" s="1252"/>
      <c r="G478" s="1076"/>
      <c r="H478" s="1076"/>
      <c r="I478" s="1076"/>
      <c r="J478" s="1076"/>
      <c r="K478" s="1076"/>
      <c r="L478" s="1076"/>
      <c r="M478" s="1268"/>
      <c r="N478" s="1123"/>
      <c r="O478" s="1119"/>
      <c r="P478" s="1119"/>
      <c r="Q478" s="1119"/>
      <c r="R478" s="1171"/>
      <c r="S478" s="1196"/>
      <c r="T478" s="1119"/>
      <c r="U478" s="1119"/>
      <c r="V478" s="1119"/>
      <c r="W478" s="1119"/>
      <c r="X478" s="1076"/>
      <c r="Y478" s="1123" t="s">
        <v>587</v>
      </c>
      <c r="Z478" s="109">
        <v>12342400</v>
      </c>
      <c r="AA478" s="109">
        <v>-4936960</v>
      </c>
      <c r="AB478" s="109">
        <f t="shared" si="35"/>
        <v>7405440</v>
      </c>
      <c r="AC478" s="1171">
        <v>40694</v>
      </c>
      <c r="AD478" s="119">
        <v>7405440</v>
      </c>
      <c r="AE478" s="119" t="s">
        <v>137</v>
      </c>
      <c r="AF478" s="1084"/>
      <c r="AG478" s="1084"/>
      <c r="AH478" s="111">
        <f t="shared" si="36"/>
        <v>0</v>
      </c>
      <c r="AI478" s="1084"/>
      <c r="AJ478" s="1119"/>
      <c r="AK478" s="1119"/>
      <c r="AL478" s="1119"/>
      <c r="AM478" s="1119"/>
      <c r="AN478" s="1203"/>
      <c r="AO478" s="1204"/>
    </row>
    <row r="479" spans="1:41" ht="15" customHeight="1">
      <c r="A479" s="1214"/>
      <c r="B479" s="1171"/>
      <c r="C479" s="1076"/>
      <c r="D479" s="1076"/>
      <c r="E479" s="1252"/>
      <c r="F479" s="1252"/>
      <c r="G479" s="1076"/>
      <c r="H479" s="1076"/>
      <c r="I479" s="1076"/>
      <c r="J479" s="1076"/>
      <c r="K479" s="1076"/>
      <c r="L479" s="1076"/>
      <c r="M479" s="1268"/>
      <c r="N479" s="1123"/>
      <c r="O479" s="1119"/>
      <c r="P479" s="1119"/>
      <c r="Q479" s="1119"/>
      <c r="R479" s="1171"/>
      <c r="S479" s="1196"/>
      <c r="T479" s="1119"/>
      <c r="U479" s="1119"/>
      <c r="V479" s="1119"/>
      <c r="W479" s="1119"/>
      <c r="X479" s="1076"/>
      <c r="Y479" s="1123"/>
      <c r="Z479" s="109">
        <v>18513600</v>
      </c>
      <c r="AA479" s="109">
        <v>-7405440</v>
      </c>
      <c r="AB479" s="109">
        <f t="shared" si="35"/>
        <v>11108160</v>
      </c>
      <c r="AC479" s="1171"/>
      <c r="AD479" s="119">
        <v>11108160</v>
      </c>
      <c r="AE479" s="119" t="s">
        <v>137</v>
      </c>
      <c r="AF479" s="1084"/>
      <c r="AG479" s="1084"/>
      <c r="AH479" s="111">
        <f t="shared" si="36"/>
        <v>0</v>
      </c>
      <c r="AI479" s="1084"/>
      <c r="AJ479" s="1119"/>
      <c r="AK479" s="1119"/>
      <c r="AL479" s="1119"/>
      <c r="AM479" s="1119"/>
      <c r="AN479" s="1203"/>
      <c r="AO479" s="1204"/>
    </row>
    <row r="480" spans="1:41" ht="15" customHeight="1">
      <c r="A480" s="1214"/>
      <c r="B480" s="1171"/>
      <c r="C480" s="1076"/>
      <c r="D480" s="1076"/>
      <c r="E480" s="1252"/>
      <c r="F480" s="1252"/>
      <c r="G480" s="1076"/>
      <c r="H480" s="1076"/>
      <c r="I480" s="1076"/>
      <c r="J480" s="1076"/>
      <c r="K480" s="1076"/>
      <c r="L480" s="1076"/>
      <c r="M480" s="1268"/>
      <c r="N480" s="1123" t="s">
        <v>7</v>
      </c>
      <c r="O480" s="1119">
        <v>26448001</v>
      </c>
      <c r="P480" s="1119"/>
      <c r="Q480" s="1119"/>
      <c r="R480" s="1171"/>
      <c r="S480" s="1196"/>
      <c r="T480" s="1119">
        <v>26448001.199999999</v>
      </c>
      <c r="U480" s="1119">
        <f>O480-T480</f>
        <v>-0.19999999925494194</v>
      </c>
      <c r="V480" s="1119">
        <v>26448000</v>
      </c>
      <c r="W480" s="1119"/>
      <c r="X480" s="1076"/>
      <c r="Y480" s="1123" t="s">
        <v>588</v>
      </c>
      <c r="Z480" s="109">
        <v>2644800</v>
      </c>
      <c r="AA480" s="109">
        <v>-2115840</v>
      </c>
      <c r="AB480" s="109">
        <f t="shared" si="35"/>
        <v>528960</v>
      </c>
      <c r="AC480" s="1171">
        <v>40876</v>
      </c>
      <c r="AD480" s="119">
        <v>528960</v>
      </c>
      <c r="AE480" s="119" t="s">
        <v>7</v>
      </c>
      <c r="AF480" s="1084"/>
      <c r="AG480" s="1084"/>
      <c r="AH480" s="111">
        <f t="shared" si="36"/>
        <v>0</v>
      </c>
      <c r="AI480" s="1084">
        <f>O480-AD477-AD480-AD481-AD483</f>
        <v>10579201</v>
      </c>
      <c r="AJ480" s="1119"/>
      <c r="AK480" s="1119"/>
      <c r="AL480" s="1119"/>
      <c r="AM480" s="1119"/>
      <c r="AN480" s="1203"/>
      <c r="AO480" s="1204"/>
    </row>
    <row r="481" spans="1:41" ht="15" customHeight="1">
      <c r="A481" s="1214"/>
      <c r="B481" s="1171"/>
      <c r="C481" s="1076"/>
      <c r="D481" s="1076"/>
      <c r="E481" s="1252"/>
      <c r="F481" s="1252"/>
      <c r="G481" s="1076"/>
      <c r="H481" s="1076"/>
      <c r="I481" s="1076"/>
      <c r="J481" s="1076"/>
      <c r="K481" s="1076"/>
      <c r="L481" s="1076"/>
      <c r="M481" s="1268"/>
      <c r="N481" s="1123"/>
      <c r="O481" s="1119"/>
      <c r="P481" s="1119"/>
      <c r="Q481" s="1119"/>
      <c r="R481" s="1171"/>
      <c r="S481" s="1196"/>
      <c r="T481" s="1119"/>
      <c r="U481" s="1119"/>
      <c r="V481" s="1119"/>
      <c r="W481" s="1119"/>
      <c r="X481" s="1076"/>
      <c r="Y481" s="1123"/>
      <c r="Z481" s="109">
        <v>3967200</v>
      </c>
      <c r="AA481" s="109">
        <v>-3173760</v>
      </c>
      <c r="AB481" s="109">
        <f t="shared" si="35"/>
        <v>793440</v>
      </c>
      <c r="AC481" s="1171"/>
      <c r="AD481" s="119">
        <v>793440</v>
      </c>
      <c r="AE481" s="119" t="s">
        <v>7</v>
      </c>
      <c r="AF481" s="1084"/>
      <c r="AG481" s="1084"/>
      <c r="AH481" s="111">
        <f t="shared" si="36"/>
        <v>0</v>
      </c>
      <c r="AI481" s="1084"/>
      <c r="AJ481" s="1119"/>
      <c r="AK481" s="1119"/>
      <c r="AL481" s="1119"/>
      <c r="AM481" s="1119"/>
      <c r="AN481" s="1203"/>
      <c r="AO481" s="1204"/>
    </row>
    <row r="482" spans="1:41" ht="15" customHeight="1">
      <c r="A482" s="1214"/>
      <c r="B482" s="1171"/>
      <c r="C482" s="1076"/>
      <c r="D482" s="1076"/>
      <c r="E482" s="1252"/>
      <c r="F482" s="1252"/>
      <c r="G482" s="1076"/>
      <c r="H482" s="1076"/>
      <c r="I482" s="1076"/>
      <c r="J482" s="1076"/>
      <c r="K482" s="1076"/>
      <c r="L482" s="1076"/>
      <c r="M482" s="1268"/>
      <c r="N482" s="1123"/>
      <c r="O482" s="1119"/>
      <c r="P482" s="1119"/>
      <c r="Q482" s="1119"/>
      <c r="R482" s="1171"/>
      <c r="S482" s="1196"/>
      <c r="T482" s="1119"/>
      <c r="U482" s="1119"/>
      <c r="V482" s="1119"/>
      <c r="W482" s="1119"/>
      <c r="X482" s="1076"/>
      <c r="Y482" s="1123" t="s">
        <v>590</v>
      </c>
      <c r="Z482" s="109">
        <v>2644800</v>
      </c>
      <c r="AA482" s="109">
        <v>0</v>
      </c>
      <c r="AB482" s="109">
        <f t="shared" si="35"/>
        <v>2644800</v>
      </c>
      <c r="AC482" s="1171">
        <v>41767</v>
      </c>
      <c r="AD482" s="119">
        <v>2644800</v>
      </c>
      <c r="AE482" s="119" t="s">
        <v>137</v>
      </c>
      <c r="AF482" s="1084"/>
      <c r="AG482" s="1084"/>
      <c r="AH482" s="111">
        <f t="shared" si="36"/>
        <v>0</v>
      </c>
      <c r="AI482" s="1084"/>
      <c r="AJ482" s="1119"/>
      <c r="AK482" s="1119"/>
      <c r="AL482" s="1119"/>
      <c r="AM482" s="1119"/>
      <c r="AN482" s="1203"/>
      <c r="AO482" s="1204"/>
    </row>
    <row r="483" spans="1:41" ht="15" customHeight="1">
      <c r="A483" s="1214"/>
      <c r="B483" s="1171"/>
      <c r="C483" s="1076"/>
      <c r="D483" s="1076"/>
      <c r="E483" s="1252"/>
      <c r="F483" s="1252"/>
      <c r="G483" s="1076"/>
      <c r="H483" s="1076"/>
      <c r="I483" s="1076"/>
      <c r="J483" s="1076"/>
      <c r="K483" s="1076"/>
      <c r="L483" s="1076"/>
      <c r="M483" s="1268"/>
      <c r="N483" s="1123"/>
      <c r="O483" s="1119"/>
      <c r="P483" s="1119"/>
      <c r="Q483" s="1119"/>
      <c r="R483" s="1171"/>
      <c r="S483" s="1196"/>
      <c r="T483" s="1119"/>
      <c r="U483" s="1119"/>
      <c r="V483" s="1119"/>
      <c r="W483" s="1119"/>
      <c r="X483" s="1076"/>
      <c r="Y483" s="1123"/>
      <c r="Z483" s="109">
        <v>3967200</v>
      </c>
      <c r="AA483" s="109">
        <v>0</v>
      </c>
      <c r="AB483" s="109">
        <f t="shared" si="35"/>
        <v>3967200</v>
      </c>
      <c r="AC483" s="1171"/>
      <c r="AD483" s="119">
        <v>3967200</v>
      </c>
      <c r="AE483" s="119" t="s">
        <v>7</v>
      </c>
      <c r="AF483" s="1084"/>
      <c r="AG483" s="1084"/>
      <c r="AH483" s="111">
        <f t="shared" si="36"/>
        <v>0</v>
      </c>
      <c r="AI483" s="1084"/>
      <c r="AJ483" s="1119"/>
      <c r="AK483" s="1119"/>
      <c r="AL483" s="1119"/>
      <c r="AM483" s="1119"/>
      <c r="AN483" s="1203"/>
      <c r="AO483" s="1204"/>
    </row>
    <row r="484" spans="1:41" ht="15" customHeight="1">
      <c r="A484" s="1214"/>
      <c r="B484" s="1171"/>
      <c r="C484" s="1076"/>
      <c r="D484" s="1076"/>
      <c r="E484" s="1252"/>
      <c r="F484" s="1252"/>
      <c r="G484" s="1076"/>
      <c r="H484" s="1076"/>
      <c r="I484" s="1076"/>
      <c r="J484" s="113" t="s">
        <v>171</v>
      </c>
      <c r="K484" s="1076"/>
      <c r="L484" s="1076"/>
      <c r="M484" s="128">
        <v>202</v>
      </c>
      <c r="N484" s="108" t="s">
        <v>7</v>
      </c>
      <c r="O484" s="109">
        <v>22040000</v>
      </c>
      <c r="P484" s="109">
        <f>O484</f>
        <v>22040000</v>
      </c>
      <c r="Q484" s="1119"/>
      <c r="R484" s="97">
        <v>40779</v>
      </c>
      <c r="S484" s="110">
        <f>T484</f>
        <v>22040000</v>
      </c>
      <c r="T484" s="109">
        <v>22040000</v>
      </c>
      <c r="U484" s="109">
        <f>O484-T484</f>
        <v>0</v>
      </c>
      <c r="V484" s="109">
        <v>22040000</v>
      </c>
      <c r="W484" s="1119"/>
      <c r="X484" s="1076"/>
      <c r="Y484" s="108" t="s">
        <v>588</v>
      </c>
      <c r="Z484" s="109">
        <v>22040000</v>
      </c>
      <c r="AA484" s="109">
        <v>0</v>
      </c>
      <c r="AB484" s="109">
        <f t="shared" si="35"/>
        <v>22040000</v>
      </c>
      <c r="AC484" s="97">
        <v>40876</v>
      </c>
      <c r="AD484" s="119">
        <v>22040000</v>
      </c>
      <c r="AE484" s="119" t="s">
        <v>7</v>
      </c>
      <c r="AF484" s="111">
        <f>AD484</f>
        <v>22040000</v>
      </c>
      <c r="AG484" s="1084"/>
      <c r="AH484" s="111">
        <f t="shared" si="36"/>
        <v>0</v>
      </c>
      <c r="AI484" s="111">
        <f>O484-AD484</f>
        <v>0</v>
      </c>
      <c r="AJ484" s="109">
        <f>Z484-AD484</f>
        <v>0</v>
      </c>
      <c r="AK484" s="109">
        <f>P484-V484</f>
        <v>0</v>
      </c>
      <c r="AL484" s="109">
        <f>V484-Z484</f>
        <v>0</v>
      </c>
      <c r="AM484" s="109">
        <f>AK484+AL484</f>
        <v>0</v>
      </c>
      <c r="AN484" s="1203"/>
      <c r="AO484" s="1204"/>
    </row>
    <row r="485" spans="1:41" ht="15" customHeight="1">
      <c r="A485" s="1075" t="s">
        <v>597</v>
      </c>
      <c r="B485" s="1171">
        <v>40378</v>
      </c>
      <c r="C485" s="1076" t="s">
        <v>37</v>
      </c>
      <c r="D485" s="1076" t="s">
        <v>598</v>
      </c>
      <c r="E485" s="1252">
        <v>900368699</v>
      </c>
      <c r="F485" s="1252">
        <v>2</v>
      </c>
      <c r="G485" s="1076" t="s">
        <v>2845</v>
      </c>
      <c r="H485" s="1076" t="s">
        <v>72</v>
      </c>
      <c r="I485" s="1076" t="s">
        <v>177</v>
      </c>
      <c r="J485" s="1076" t="s">
        <v>66</v>
      </c>
      <c r="K485" s="1076" t="s">
        <v>183</v>
      </c>
      <c r="L485" s="1076" t="s">
        <v>604</v>
      </c>
      <c r="M485" s="1268">
        <v>111</v>
      </c>
      <c r="N485" s="1123" t="s">
        <v>137</v>
      </c>
      <c r="O485" s="1119">
        <v>111538461</v>
      </c>
      <c r="P485" s="1119">
        <f>O485+O489</f>
        <v>278846153</v>
      </c>
      <c r="Q485" s="1119">
        <f>P485+P491</f>
        <v>323738153</v>
      </c>
      <c r="R485" s="1171">
        <v>40413</v>
      </c>
      <c r="S485" s="1196">
        <f>T485+T489</f>
        <v>278846000</v>
      </c>
      <c r="T485" s="1119">
        <v>111538400.2</v>
      </c>
      <c r="U485" s="1119">
        <f>O485-T485</f>
        <v>60.799999997019768</v>
      </c>
      <c r="V485" s="1119">
        <v>111538400</v>
      </c>
      <c r="W485" s="1119">
        <f>V485+V489+V491</f>
        <v>323738000</v>
      </c>
      <c r="X485" s="1076" t="s">
        <v>467</v>
      </c>
      <c r="Y485" s="1123" t="s">
        <v>600</v>
      </c>
      <c r="Z485" s="109">
        <v>0</v>
      </c>
      <c r="AA485" s="109">
        <v>44615360</v>
      </c>
      <c r="AB485" s="109">
        <f t="shared" si="35"/>
        <v>44615360</v>
      </c>
      <c r="AC485" s="1171">
        <v>40456</v>
      </c>
      <c r="AD485" s="119">
        <v>44615360</v>
      </c>
      <c r="AE485" s="119" t="s">
        <v>137</v>
      </c>
      <c r="AF485" s="1084">
        <f>SUM(AD485:AD490)</f>
        <v>278846000</v>
      </c>
      <c r="AG485" s="1084">
        <f>AF485+AF491</f>
        <v>323738000</v>
      </c>
      <c r="AH485" s="111">
        <f t="shared" si="36"/>
        <v>0</v>
      </c>
      <c r="AI485" s="1084">
        <f>O485-AD485-AD487-AD489-AD490</f>
        <v>-10038395.009999998</v>
      </c>
      <c r="AJ485" s="1119">
        <f>SUM(Z485:Z490)-SUM(AD485:AD490)</f>
        <v>39.600000023841858</v>
      </c>
      <c r="AK485" s="1119">
        <v>0</v>
      </c>
      <c r="AL485" s="1119">
        <v>0</v>
      </c>
      <c r="AM485" s="1119">
        <v>0</v>
      </c>
      <c r="AN485" s="1203" t="s">
        <v>606</v>
      </c>
      <c r="AO485" s="1204" t="s">
        <v>774</v>
      </c>
    </row>
    <row r="486" spans="1:41" ht="15" customHeight="1">
      <c r="A486" s="1075"/>
      <c r="B486" s="1171"/>
      <c r="C486" s="1076"/>
      <c r="D486" s="1076"/>
      <c r="E486" s="1252"/>
      <c r="F486" s="1252"/>
      <c r="G486" s="1076"/>
      <c r="H486" s="1076"/>
      <c r="I486" s="1076"/>
      <c r="J486" s="1076"/>
      <c r="K486" s="1076"/>
      <c r="L486" s="1076"/>
      <c r="M486" s="1268"/>
      <c r="N486" s="1123"/>
      <c r="O486" s="1119"/>
      <c r="P486" s="1119"/>
      <c r="Q486" s="1119"/>
      <c r="R486" s="1171"/>
      <c r="S486" s="1196"/>
      <c r="T486" s="1119"/>
      <c r="U486" s="1119"/>
      <c r="V486" s="1119"/>
      <c r="W486" s="1119"/>
      <c r="X486" s="1076"/>
      <c r="Y486" s="1123"/>
      <c r="Z486" s="109">
        <v>0</v>
      </c>
      <c r="AA486" s="109">
        <v>66923040</v>
      </c>
      <c r="AB486" s="109">
        <f t="shared" si="35"/>
        <v>66923040</v>
      </c>
      <c r="AC486" s="1171"/>
      <c r="AD486" s="119">
        <v>66923040</v>
      </c>
      <c r="AE486" s="119" t="s">
        <v>7</v>
      </c>
      <c r="AF486" s="1084"/>
      <c r="AG486" s="1084"/>
      <c r="AH486" s="111">
        <f t="shared" si="36"/>
        <v>0</v>
      </c>
      <c r="AI486" s="1084"/>
      <c r="AJ486" s="1119"/>
      <c r="AK486" s="1119"/>
      <c r="AL486" s="1119"/>
      <c r="AM486" s="1119"/>
      <c r="AN486" s="1203"/>
      <c r="AO486" s="1204"/>
    </row>
    <row r="487" spans="1:41" ht="15" customHeight="1">
      <c r="A487" s="1075"/>
      <c r="B487" s="1171"/>
      <c r="C487" s="1076"/>
      <c r="D487" s="1076"/>
      <c r="E487" s="1252"/>
      <c r="F487" s="1252"/>
      <c r="G487" s="1076"/>
      <c r="H487" s="1076"/>
      <c r="I487" s="1076"/>
      <c r="J487" s="1076"/>
      <c r="K487" s="1076"/>
      <c r="L487" s="1076"/>
      <c r="M487" s="1268"/>
      <c r="N487" s="1123"/>
      <c r="O487" s="1119"/>
      <c r="P487" s="1119"/>
      <c r="Q487" s="1119"/>
      <c r="R487" s="1171"/>
      <c r="S487" s="1196"/>
      <c r="T487" s="1119"/>
      <c r="U487" s="1119"/>
      <c r="V487" s="1119"/>
      <c r="W487" s="1119"/>
      <c r="X487" s="1076"/>
      <c r="Y487" s="1123" t="s">
        <v>601</v>
      </c>
      <c r="Z487" s="109">
        <v>100384599.60000001</v>
      </c>
      <c r="AA487" s="109">
        <v>-40153863.590000004</v>
      </c>
      <c r="AB487" s="109">
        <f t="shared" si="35"/>
        <v>60230736.010000005</v>
      </c>
      <c r="AC487" s="1171">
        <v>40757</v>
      </c>
      <c r="AD487" s="119">
        <v>60230736.009999998</v>
      </c>
      <c r="AE487" s="119" t="s">
        <v>137</v>
      </c>
      <c r="AF487" s="1084"/>
      <c r="AG487" s="1084"/>
      <c r="AH487" s="111">
        <f t="shared" si="36"/>
        <v>0</v>
      </c>
      <c r="AI487" s="1084"/>
      <c r="AJ487" s="1119"/>
      <c r="AK487" s="1119"/>
      <c r="AL487" s="1119"/>
      <c r="AM487" s="1119"/>
      <c r="AN487" s="1203"/>
      <c r="AO487" s="1204"/>
    </row>
    <row r="488" spans="1:41" ht="15" customHeight="1">
      <c r="A488" s="1075"/>
      <c r="B488" s="1171"/>
      <c r="C488" s="1076"/>
      <c r="D488" s="1076"/>
      <c r="E488" s="1252"/>
      <c r="F488" s="1252"/>
      <c r="G488" s="1076"/>
      <c r="H488" s="1076"/>
      <c r="I488" s="1076"/>
      <c r="J488" s="1076"/>
      <c r="K488" s="1076"/>
      <c r="L488" s="1076"/>
      <c r="M488" s="1268"/>
      <c r="N488" s="1123"/>
      <c r="O488" s="1119"/>
      <c r="P488" s="1119"/>
      <c r="Q488" s="1119"/>
      <c r="R488" s="1171"/>
      <c r="S488" s="1196"/>
      <c r="T488" s="1119"/>
      <c r="U488" s="1119"/>
      <c r="V488" s="1119"/>
      <c r="W488" s="1119"/>
      <c r="X488" s="1076"/>
      <c r="Y488" s="1123"/>
      <c r="Z488" s="109">
        <v>150576840</v>
      </c>
      <c r="AA488" s="109">
        <v>-60230736.009999998</v>
      </c>
      <c r="AB488" s="109">
        <f t="shared" si="35"/>
        <v>90346103.99000001</v>
      </c>
      <c r="AC488" s="1171"/>
      <c r="AD488" s="119">
        <v>90346103.989999995</v>
      </c>
      <c r="AE488" s="119" t="s">
        <v>7</v>
      </c>
      <c r="AF488" s="1084"/>
      <c r="AG488" s="1084"/>
      <c r="AH488" s="111">
        <f t="shared" si="36"/>
        <v>0</v>
      </c>
      <c r="AI488" s="1084"/>
      <c r="AJ488" s="1119"/>
      <c r="AK488" s="1119"/>
      <c r="AL488" s="1119"/>
      <c r="AM488" s="1119"/>
      <c r="AN488" s="1203"/>
      <c r="AO488" s="1204"/>
    </row>
    <row r="489" spans="1:41" ht="15" customHeight="1">
      <c r="A489" s="1075"/>
      <c r="B489" s="1171"/>
      <c r="C489" s="1076"/>
      <c r="D489" s="1076"/>
      <c r="E489" s="1252"/>
      <c r="F489" s="1252"/>
      <c r="G489" s="1076"/>
      <c r="H489" s="1076"/>
      <c r="I489" s="1076"/>
      <c r="J489" s="1076"/>
      <c r="K489" s="1076"/>
      <c r="L489" s="1076"/>
      <c r="M489" s="1268"/>
      <c r="N489" s="1123" t="s">
        <v>7</v>
      </c>
      <c r="O489" s="1119">
        <v>167307692</v>
      </c>
      <c r="P489" s="1119"/>
      <c r="Q489" s="1119"/>
      <c r="R489" s="1171"/>
      <c r="S489" s="1196"/>
      <c r="T489" s="1119">
        <v>167307599.80000001</v>
      </c>
      <c r="U489" s="1119">
        <f>O489-T489</f>
        <v>92.199999988079071</v>
      </c>
      <c r="V489" s="1119">
        <v>167307600</v>
      </c>
      <c r="W489" s="1119"/>
      <c r="X489" s="1076"/>
      <c r="Y489" s="1123" t="s">
        <v>602</v>
      </c>
      <c r="Z489" s="109">
        <v>11153840</v>
      </c>
      <c r="AA489" s="109">
        <v>-4461536</v>
      </c>
      <c r="AB489" s="109">
        <f t="shared" si="35"/>
        <v>6692304</v>
      </c>
      <c r="AC489" s="1171">
        <v>41516</v>
      </c>
      <c r="AD489" s="119">
        <v>6692304</v>
      </c>
      <c r="AE489" s="119" t="s">
        <v>137</v>
      </c>
      <c r="AF489" s="1084"/>
      <c r="AG489" s="1084"/>
      <c r="AH489" s="111">
        <f t="shared" si="36"/>
        <v>0</v>
      </c>
      <c r="AI489" s="1084">
        <f>T489-AD486-AD488</f>
        <v>10038455.810000017</v>
      </c>
      <c r="AJ489" s="1119"/>
      <c r="AK489" s="1119"/>
      <c r="AL489" s="1119"/>
      <c r="AM489" s="1119"/>
      <c r="AN489" s="1203"/>
      <c r="AO489" s="1204"/>
    </row>
    <row r="490" spans="1:41" ht="15" customHeight="1">
      <c r="A490" s="1075"/>
      <c r="B490" s="1171"/>
      <c r="C490" s="1076"/>
      <c r="D490" s="1076"/>
      <c r="E490" s="1252"/>
      <c r="F490" s="1252"/>
      <c r="G490" s="1076"/>
      <c r="H490" s="1076"/>
      <c r="I490" s="1076"/>
      <c r="J490" s="1076"/>
      <c r="K490" s="1076"/>
      <c r="L490" s="1076"/>
      <c r="M490" s="1268"/>
      <c r="N490" s="1123"/>
      <c r="O490" s="1119"/>
      <c r="P490" s="1119"/>
      <c r="Q490" s="1119"/>
      <c r="R490" s="1171"/>
      <c r="S490" s="1196"/>
      <c r="T490" s="1119"/>
      <c r="U490" s="1119"/>
      <c r="V490" s="1119"/>
      <c r="W490" s="1119"/>
      <c r="X490" s="1076"/>
      <c r="Y490" s="1123"/>
      <c r="Z490" s="109">
        <v>16730760</v>
      </c>
      <c r="AA490" s="109">
        <v>-6692304</v>
      </c>
      <c r="AB490" s="109">
        <f t="shared" si="35"/>
        <v>10038456</v>
      </c>
      <c r="AC490" s="1171"/>
      <c r="AD490" s="119">
        <v>10038456</v>
      </c>
      <c r="AE490" s="119" t="s">
        <v>137</v>
      </c>
      <c r="AF490" s="1084"/>
      <c r="AG490" s="1084"/>
      <c r="AH490" s="111">
        <f t="shared" si="36"/>
        <v>0</v>
      </c>
      <c r="AI490" s="1084"/>
      <c r="AJ490" s="1119"/>
      <c r="AK490" s="1119"/>
      <c r="AL490" s="1119"/>
      <c r="AM490" s="1119"/>
      <c r="AN490" s="1203"/>
      <c r="AO490" s="1204"/>
    </row>
    <row r="491" spans="1:41" ht="15" customHeight="1">
      <c r="A491" s="1075"/>
      <c r="B491" s="1171"/>
      <c r="C491" s="1076"/>
      <c r="D491" s="1076"/>
      <c r="E491" s="1252"/>
      <c r="F491" s="1252"/>
      <c r="G491" s="1076"/>
      <c r="H491" s="1076"/>
      <c r="I491" s="1076"/>
      <c r="J491" s="1076" t="s">
        <v>67</v>
      </c>
      <c r="K491" s="1076"/>
      <c r="L491" s="1076"/>
      <c r="M491" s="1268">
        <v>174</v>
      </c>
      <c r="N491" s="1123" t="s">
        <v>7</v>
      </c>
      <c r="O491" s="1119">
        <v>44892000</v>
      </c>
      <c r="P491" s="1119">
        <f>O491</f>
        <v>44892000</v>
      </c>
      <c r="Q491" s="1119"/>
      <c r="R491" s="97"/>
      <c r="S491" s="1196"/>
      <c r="T491" s="1119"/>
      <c r="U491" s="1119"/>
      <c r="V491" s="1119">
        <v>44892000</v>
      </c>
      <c r="W491" s="1119"/>
      <c r="X491" s="1076"/>
      <c r="Y491" s="108" t="s">
        <v>603</v>
      </c>
      <c r="Z491" s="109">
        <v>40402800</v>
      </c>
      <c r="AA491" s="109">
        <v>0</v>
      </c>
      <c r="AB491" s="109">
        <f t="shared" si="35"/>
        <v>40402800</v>
      </c>
      <c r="AC491" s="97">
        <v>40780</v>
      </c>
      <c r="AD491" s="119">
        <v>40402800</v>
      </c>
      <c r="AE491" s="119" t="s">
        <v>7</v>
      </c>
      <c r="AF491" s="1084">
        <f>SUM(AD491:AD492)</f>
        <v>44892000</v>
      </c>
      <c r="AG491" s="1084"/>
      <c r="AH491" s="111">
        <f t="shared" si="36"/>
        <v>0</v>
      </c>
      <c r="AI491" s="1084">
        <f>O491-AD491-AD492</f>
        <v>0</v>
      </c>
      <c r="AJ491" s="1119">
        <f>SUM(Z491:Z492)-SUM(AD491:AD492)</f>
        <v>0</v>
      </c>
      <c r="AK491" s="1119">
        <f>P491-V491</f>
        <v>0</v>
      </c>
      <c r="AL491" s="1119">
        <f>V491-SUM(Z491:Z492)</f>
        <v>0</v>
      </c>
      <c r="AM491" s="1119">
        <f>AK491+AL491</f>
        <v>0</v>
      </c>
      <c r="AN491" s="1203"/>
      <c r="AO491" s="1204"/>
    </row>
    <row r="492" spans="1:41" ht="15" customHeight="1">
      <c r="A492" s="1075"/>
      <c r="B492" s="1171"/>
      <c r="C492" s="1076"/>
      <c r="D492" s="1076"/>
      <c r="E492" s="1252"/>
      <c r="F492" s="1252"/>
      <c r="G492" s="1076"/>
      <c r="H492" s="1076"/>
      <c r="I492" s="1076"/>
      <c r="J492" s="1076"/>
      <c r="K492" s="1076"/>
      <c r="L492" s="1076"/>
      <c r="M492" s="1268"/>
      <c r="N492" s="1123"/>
      <c r="O492" s="1119"/>
      <c r="P492" s="1119"/>
      <c r="Q492" s="1119"/>
      <c r="R492" s="97"/>
      <c r="S492" s="1196"/>
      <c r="T492" s="1119"/>
      <c r="U492" s="1119"/>
      <c r="V492" s="1119"/>
      <c r="W492" s="1119"/>
      <c r="X492" s="1076"/>
      <c r="Y492" s="108" t="s">
        <v>605</v>
      </c>
      <c r="Z492" s="109">
        <v>4489200</v>
      </c>
      <c r="AA492" s="109">
        <v>0</v>
      </c>
      <c r="AB492" s="109">
        <f t="shared" si="35"/>
        <v>4489200</v>
      </c>
      <c r="AC492" s="97">
        <v>41516</v>
      </c>
      <c r="AD492" s="119">
        <f>P491-AD491</f>
        <v>4489200</v>
      </c>
      <c r="AE492" s="119" t="s">
        <v>7</v>
      </c>
      <c r="AF492" s="1084"/>
      <c r="AG492" s="1084"/>
      <c r="AH492" s="111">
        <f t="shared" si="36"/>
        <v>0</v>
      </c>
      <c r="AI492" s="1084"/>
      <c r="AJ492" s="1119"/>
      <c r="AK492" s="1119"/>
      <c r="AL492" s="1119"/>
      <c r="AM492" s="1119"/>
      <c r="AN492" s="1203"/>
      <c r="AO492" s="1204"/>
    </row>
    <row r="493" spans="1:41" ht="15" customHeight="1">
      <c r="A493" s="1214" t="s">
        <v>614</v>
      </c>
      <c r="B493" s="1171">
        <v>40378</v>
      </c>
      <c r="C493" s="1076" t="s">
        <v>17</v>
      </c>
      <c r="D493" s="1076" t="s">
        <v>615</v>
      </c>
      <c r="E493" s="1252">
        <v>900368932</v>
      </c>
      <c r="F493" s="1252">
        <v>4</v>
      </c>
      <c r="G493" s="1076" t="s">
        <v>2846</v>
      </c>
      <c r="H493" s="1076" t="s">
        <v>72</v>
      </c>
      <c r="I493" s="1076" t="s">
        <v>177</v>
      </c>
      <c r="J493" s="1076" t="s">
        <v>66</v>
      </c>
      <c r="K493" s="1076" t="s">
        <v>183</v>
      </c>
      <c r="L493" s="1076" t="s">
        <v>696</v>
      </c>
      <c r="M493" s="1251">
        <v>112</v>
      </c>
      <c r="N493" s="1123" t="s">
        <v>137</v>
      </c>
      <c r="O493" s="1119">
        <v>24000000</v>
      </c>
      <c r="P493" s="1119">
        <f>O493+O498</f>
        <v>60000000</v>
      </c>
      <c r="Q493" s="1119">
        <f>P493+P501</f>
        <v>90000000</v>
      </c>
      <c r="R493" s="1171">
        <v>40413</v>
      </c>
      <c r="S493" s="1196">
        <f>T493+T498</f>
        <v>60000000</v>
      </c>
      <c r="T493" s="1119">
        <v>24000000</v>
      </c>
      <c r="U493" s="1119">
        <f>O493-T493</f>
        <v>0</v>
      </c>
      <c r="V493" s="1119">
        <v>24000000</v>
      </c>
      <c r="W493" s="1119">
        <f>SUM(V493:V502)</f>
        <v>90000000</v>
      </c>
      <c r="X493" s="1076" t="s">
        <v>467</v>
      </c>
      <c r="Y493" s="1123" t="s">
        <v>617</v>
      </c>
      <c r="Z493" s="109">
        <v>0</v>
      </c>
      <c r="AA493" s="109">
        <v>9600000</v>
      </c>
      <c r="AB493" s="109">
        <f t="shared" si="35"/>
        <v>9600000</v>
      </c>
      <c r="AC493" s="1171">
        <v>40448</v>
      </c>
      <c r="AD493" s="119">
        <v>9600000</v>
      </c>
      <c r="AE493" s="119" t="s">
        <v>137</v>
      </c>
      <c r="AF493" s="1084">
        <f>SUM(AD493:AD726)</f>
        <v>6989083539.1399994</v>
      </c>
      <c r="AG493" s="1084">
        <f>AF493+AF501</f>
        <v>7019083539.1399994</v>
      </c>
      <c r="AH493" s="111">
        <f t="shared" si="36"/>
        <v>0</v>
      </c>
      <c r="AI493" s="1084">
        <f>O493-AD493-AD495-AD497-AD498-AD499</f>
        <v>-8640000</v>
      </c>
      <c r="AJ493" s="1119">
        <f>SUM(Z493:Z500)-SUM(AD493:AD500)</f>
        <v>0</v>
      </c>
      <c r="AK493" s="1119">
        <f>P493-V493-V498</f>
        <v>0</v>
      </c>
      <c r="AL493" s="1119">
        <f>SUM(V493:V500)-SUM(Z493:Z500)</f>
        <v>0</v>
      </c>
      <c r="AM493" s="1119">
        <f>AK493+AL493</f>
        <v>0</v>
      </c>
      <c r="AN493" s="1203" t="s">
        <v>620</v>
      </c>
      <c r="AO493" s="1204" t="s">
        <v>782</v>
      </c>
    </row>
    <row r="494" spans="1:41" ht="15" customHeight="1">
      <c r="A494" s="1214"/>
      <c r="B494" s="1171"/>
      <c r="C494" s="1076"/>
      <c r="D494" s="1076"/>
      <c r="E494" s="1252"/>
      <c r="F494" s="1252"/>
      <c r="G494" s="1076"/>
      <c r="H494" s="1076"/>
      <c r="I494" s="1076"/>
      <c r="J494" s="1076"/>
      <c r="K494" s="1076"/>
      <c r="L494" s="1076"/>
      <c r="M494" s="1251"/>
      <c r="N494" s="1123"/>
      <c r="O494" s="1119"/>
      <c r="P494" s="1119"/>
      <c r="Q494" s="1119"/>
      <c r="R494" s="1171"/>
      <c r="S494" s="1196"/>
      <c r="T494" s="1119"/>
      <c r="U494" s="1119"/>
      <c r="V494" s="1119"/>
      <c r="W494" s="1119"/>
      <c r="X494" s="1076"/>
      <c r="Y494" s="1123"/>
      <c r="Z494" s="109">
        <v>0</v>
      </c>
      <c r="AA494" s="109">
        <v>14400000</v>
      </c>
      <c r="AB494" s="109">
        <f t="shared" si="35"/>
        <v>14400000</v>
      </c>
      <c r="AC494" s="1171"/>
      <c r="AD494" s="119">
        <v>14400000</v>
      </c>
      <c r="AE494" s="119" t="s">
        <v>7</v>
      </c>
      <c r="AF494" s="1084"/>
      <c r="AG494" s="1084"/>
      <c r="AH494" s="111">
        <f t="shared" si="36"/>
        <v>0</v>
      </c>
      <c r="AI494" s="1084"/>
      <c r="AJ494" s="1119"/>
      <c r="AK494" s="1119"/>
      <c r="AL494" s="1119"/>
      <c r="AM494" s="1119"/>
      <c r="AN494" s="1203"/>
      <c r="AO494" s="1204"/>
    </row>
    <row r="495" spans="1:41" ht="15" customHeight="1">
      <c r="A495" s="1214"/>
      <c r="B495" s="1171"/>
      <c r="C495" s="1076"/>
      <c r="D495" s="1076"/>
      <c r="E495" s="1252"/>
      <c r="F495" s="1252"/>
      <c r="G495" s="1076"/>
      <c r="H495" s="1076"/>
      <c r="I495" s="1076"/>
      <c r="J495" s="1076"/>
      <c r="K495" s="1076"/>
      <c r="L495" s="1076"/>
      <c r="M495" s="1251"/>
      <c r="N495" s="1123"/>
      <c r="O495" s="1119"/>
      <c r="P495" s="1119"/>
      <c r="Q495" s="1119"/>
      <c r="R495" s="1171"/>
      <c r="S495" s="1196"/>
      <c r="T495" s="1119"/>
      <c r="U495" s="1119"/>
      <c r="V495" s="1119"/>
      <c r="W495" s="1119"/>
      <c r="X495" s="1076"/>
      <c r="Y495" s="1123" t="s">
        <v>618</v>
      </c>
      <c r="Z495" s="109">
        <v>12000000</v>
      </c>
      <c r="AA495" s="109">
        <v>-4800000</v>
      </c>
      <c r="AB495" s="109">
        <f t="shared" si="35"/>
        <v>7200000</v>
      </c>
      <c r="AC495" s="1171">
        <v>40788</v>
      </c>
      <c r="AD495" s="119">
        <v>7200000</v>
      </c>
      <c r="AE495" s="119" t="s">
        <v>137</v>
      </c>
      <c r="AF495" s="1084"/>
      <c r="AG495" s="1084"/>
      <c r="AH495" s="111">
        <f t="shared" si="36"/>
        <v>0</v>
      </c>
      <c r="AI495" s="1084"/>
      <c r="AJ495" s="1119"/>
      <c r="AK495" s="1119"/>
      <c r="AL495" s="1119"/>
      <c r="AM495" s="1119"/>
      <c r="AN495" s="1203"/>
      <c r="AO495" s="1204"/>
    </row>
    <row r="496" spans="1:41" ht="15" customHeight="1">
      <c r="A496" s="1214"/>
      <c r="B496" s="1171"/>
      <c r="C496" s="1076"/>
      <c r="D496" s="1076"/>
      <c r="E496" s="1252"/>
      <c r="F496" s="1252"/>
      <c r="G496" s="1076"/>
      <c r="H496" s="1076"/>
      <c r="I496" s="1076"/>
      <c r="J496" s="1076"/>
      <c r="K496" s="1076"/>
      <c r="L496" s="1076"/>
      <c r="M496" s="1251"/>
      <c r="N496" s="1123"/>
      <c r="O496" s="1119"/>
      <c r="P496" s="1119"/>
      <c r="Q496" s="1119"/>
      <c r="R496" s="1171"/>
      <c r="S496" s="1196"/>
      <c r="T496" s="1119"/>
      <c r="U496" s="1119"/>
      <c r="V496" s="1119"/>
      <c r="W496" s="1119"/>
      <c r="X496" s="1076"/>
      <c r="Y496" s="1123"/>
      <c r="Z496" s="109">
        <v>18000000</v>
      </c>
      <c r="AA496" s="109">
        <v>-7200000</v>
      </c>
      <c r="AB496" s="109">
        <f t="shared" si="35"/>
        <v>10800000</v>
      </c>
      <c r="AC496" s="1171"/>
      <c r="AD496" s="119">
        <v>10800000</v>
      </c>
      <c r="AE496" s="119" t="s">
        <v>7</v>
      </c>
      <c r="AF496" s="1084"/>
      <c r="AG496" s="1084"/>
      <c r="AH496" s="111">
        <f t="shared" si="36"/>
        <v>0</v>
      </c>
      <c r="AI496" s="1084"/>
      <c r="AJ496" s="1119"/>
      <c r="AK496" s="1119"/>
      <c r="AL496" s="1119"/>
      <c r="AM496" s="1119"/>
      <c r="AN496" s="1203"/>
      <c r="AO496" s="1204"/>
    </row>
    <row r="497" spans="1:41" ht="15" customHeight="1">
      <c r="A497" s="1214"/>
      <c r="B497" s="1171"/>
      <c r="C497" s="1076"/>
      <c r="D497" s="1076"/>
      <c r="E497" s="1252"/>
      <c r="F497" s="1252"/>
      <c r="G497" s="1076"/>
      <c r="H497" s="1076"/>
      <c r="I497" s="1076"/>
      <c r="J497" s="1076"/>
      <c r="K497" s="1076"/>
      <c r="L497" s="1076"/>
      <c r="M497" s="1251"/>
      <c r="N497" s="1123"/>
      <c r="O497" s="1119"/>
      <c r="P497" s="1119"/>
      <c r="Q497" s="1119"/>
      <c r="R497" s="1171"/>
      <c r="S497" s="1196"/>
      <c r="T497" s="1119"/>
      <c r="U497" s="1119"/>
      <c r="V497" s="1119"/>
      <c r="W497" s="1119"/>
      <c r="X497" s="1076"/>
      <c r="Y497" s="1123" t="s">
        <v>619</v>
      </c>
      <c r="Z497" s="109">
        <v>9600000</v>
      </c>
      <c r="AA497" s="109">
        <v>-3840000</v>
      </c>
      <c r="AB497" s="109">
        <f t="shared" si="35"/>
        <v>5760000</v>
      </c>
      <c r="AC497" s="1171">
        <v>40913</v>
      </c>
      <c r="AD497" s="119">
        <v>5760000.0099999998</v>
      </c>
      <c r="AE497" s="119" t="s">
        <v>137</v>
      </c>
      <c r="AF497" s="1084"/>
      <c r="AG497" s="1084"/>
      <c r="AH497" s="111">
        <f t="shared" si="36"/>
        <v>-9.9999997764825821E-3</v>
      </c>
      <c r="AI497" s="1084"/>
      <c r="AJ497" s="1119"/>
      <c r="AK497" s="1119"/>
      <c r="AL497" s="1119"/>
      <c r="AM497" s="1119"/>
      <c r="AN497" s="1203"/>
      <c r="AO497" s="1204"/>
    </row>
    <row r="498" spans="1:41" ht="15" customHeight="1">
      <c r="A498" s="1214"/>
      <c r="B498" s="1171"/>
      <c r="C498" s="1076"/>
      <c r="D498" s="1076"/>
      <c r="E498" s="1252"/>
      <c r="F498" s="1252"/>
      <c r="G498" s="1076"/>
      <c r="H498" s="1076"/>
      <c r="I498" s="1076"/>
      <c r="J498" s="1076"/>
      <c r="K498" s="1076"/>
      <c r="L498" s="1076"/>
      <c r="M498" s="1251"/>
      <c r="N498" s="1123" t="s">
        <v>7</v>
      </c>
      <c r="O498" s="1119">
        <v>36000000</v>
      </c>
      <c r="P498" s="1119"/>
      <c r="Q498" s="1119"/>
      <c r="R498" s="1171"/>
      <c r="S498" s="1196"/>
      <c r="T498" s="1119">
        <v>36000000</v>
      </c>
      <c r="U498" s="1119">
        <f>O498-T498</f>
        <v>0</v>
      </c>
      <c r="V498" s="1119">
        <v>36000000</v>
      </c>
      <c r="W498" s="1119"/>
      <c r="X498" s="1076"/>
      <c r="Y498" s="1123"/>
      <c r="Z498" s="109">
        <v>14400000</v>
      </c>
      <c r="AA498" s="109">
        <v>-5760000</v>
      </c>
      <c r="AB498" s="109">
        <f t="shared" si="35"/>
        <v>8640000</v>
      </c>
      <c r="AC498" s="1171"/>
      <c r="AD498" s="119">
        <v>8639999.9900000002</v>
      </c>
      <c r="AE498" s="119" t="s">
        <v>137</v>
      </c>
      <c r="AF498" s="1084"/>
      <c r="AG498" s="1084"/>
      <c r="AH498" s="111">
        <f t="shared" si="36"/>
        <v>9.9999997764825821E-3</v>
      </c>
      <c r="AI498" s="1084">
        <f>O498-AD494-AD496-AD500</f>
        <v>8640000</v>
      </c>
      <c r="AJ498" s="1119"/>
      <c r="AK498" s="1119"/>
      <c r="AL498" s="1119"/>
      <c r="AM498" s="1119"/>
      <c r="AN498" s="1203"/>
      <c r="AO498" s="1204"/>
    </row>
    <row r="499" spans="1:41" ht="15" customHeight="1">
      <c r="A499" s="1214"/>
      <c r="B499" s="1171"/>
      <c r="C499" s="1076"/>
      <c r="D499" s="1076"/>
      <c r="E499" s="1252"/>
      <c r="F499" s="1252"/>
      <c r="G499" s="1076"/>
      <c r="H499" s="1076"/>
      <c r="I499" s="1076"/>
      <c r="J499" s="1076"/>
      <c r="K499" s="1076"/>
      <c r="L499" s="1076"/>
      <c r="M499" s="1251"/>
      <c r="N499" s="1123"/>
      <c r="O499" s="1119"/>
      <c r="P499" s="1119"/>
      <c r="Q499" s="1119"/>
      <c r="R499" s="1171"/>
      <c r="S499" s="1196"/>
      <c r="T499" s="1119"/>
      <c r="U499" s="1119"/>
      <c r="V499" s="1119"/>
      <c r="W499" s="1119"/>
      <c r="X499" s="1076"/>
      <c r="Y499" s="1123" t="s">
        <v>621</v>
      </c>
      <c r="Z499" s="109">
        <v>2400000</v>
      </c>
      <c r="AA499" s="109">
        <v>-960000</v>
      </c>
      <c r="AB499" s="109">
        <f t="shared" si="35"/>
        <v>1440000</v>
      </c>
      <c r="AC499" s="1171">
        <v>41604</v>
      </c>
      <c r="AD499" s="119">
        <v>1440000</v>
      </c>
      <c r="AE499" s="119" t="s">
        <v>137</v>
      </c>
      <c r="AF499" s="1084"/>
      <c r="AG499" s="1084"/>
      <c r="AH499" s="111">
        <f t="shared" si="36"/>
        <v>0</v>
      </c>
      <c r="AI499" s="1084"/>
      <c r="AJ499" s="1119"/>
      <c r="AK499" s="1119"/>
      <c r="AL499" s="1119"/>
      <c r="AM499" s="1119"/>
      <c r="AN499" s="1203"/>
      <c r="AO499" s="1204"/>
    </row>
    <row r="500" spans="1:41" ht="15" customHeight="1">
      <c r="A500" s="1214"/>
      <c r="B500" s="1171"/>
      <c r="C500" s="1076"/>
      <c r="D500" s="1076"/>
      <c r="E500" s="1252"/>
      <c r="F500" s="1252"/>
      <c r="G500" s="1076"/>
      <c r="H500" s="1076"/>
      <c r="I500" s="1076"/>
      <c r="J500" s="1076"/>
      <c r="K500" s="1076"/>
      <c r="L500" s="1076"/>
      <c r="M500" s="1251"/>
      <c r="N500" s="1123"/>
      <c r="O500" s="1119"/>
      <c r="P500" s="1119"/>
      <c r="Q500" s="1119"/>
      <c r="R500" s="1171"/>
      <c r="S500" s="1196"/>
      <c r="T500" s="1119"/>
      <c r="U500" s="1119"/>
      <c r="V500" s="1119"/>
      <c r="W500" s="1119"/>
      <c r="X500" s="1076"/>
      <c r="Y500" s="1123"/>
      <c r="Z500" s="109">
        <v>3600000</v>
      </c>
      <c r="AA500" s="109">
        <v>-1440000</v>
      </c>
      <c r="AB500" s="109">
        <f t="shared" ref="AB500:AB531" si="37">Z500+AA500</f>
        <v>2160000</v>
      </c>
      <c r="AC500" s="1171"/>
      <c r="AD500" s="119">
        <v>2160000</v>
      </c>
      <c r="AE500" s="119" t="s">
        <v>7</v>
      </c>
      <c r="AF500" s="1084"/>
      <c r="AG500" s="1084"/>
      <c r="AH500" s="111">
        <f t="shared" ref="AH500:AH531" si="38">AB500-AD500</f>
        <v>0</v>
      </c>
      <c r="AI500" s="1084"/>
      <c r="AJ500" s="1119"/>
      <c r="AK500" s="1119"/>
      <c r="AL500" s="1119"/>
      <c r="AM500" s="1119"/>
      <c r="AN500" s="1203"/>
      <c r="AO500" s="1204"/>
    </row>
    <row r="501" spans="1:41" ht="15" customHeight="1">
      <c r="A501" s="1214"/>
      <c r="B501" s="1171"/>
      <c r="C501" s="1076"/>
      <c r="D501" s="1076"/>
      <c r="E501" s="1252"/>
      <c r="F501" s="1252"/>
      <c r="G501" s="1076"/>
      <c r="H501" s="1076"/>
      <c r="I501" s="1076"/>
      <c r="J501" s="1076"/>
      <c r="K501" s="1076"/>
      <c r="L501" s="1076"/>
      <c r="M501" s="1251">
        <v>174</v>
      </c>
      <c r="N501" s="1123" t="s">
        <v>7</v>
      </c>
      <c r="O501" s="1119">
        <v>30000000</v>
      </c>
      <c r="P501" s="1119">
        <f>O501</f>
        <v>30000000</v>
      </c>
      <c r="Q501" s="1119"/>
      <c r="R501" s="1171"/>
      <c r="S501" s="1196"/>
      <c r="T501" s="1119"/>
      <c r="U501" s="1119"/>
      <c r="V501" s="1119">
        <v>30000000</v>
      </c>
      <c r="W501" s="1119"/>
      <c r="X501" s="1076"/>
      <c r="Y501" s="108" t="s">
        <v>622</v>
      </c>
      <c r="Z501" s="109">
        <v>27000000</v>
      </c>
      <c r="AA501" s="109">
        <v>0</v>
      </c>
      <c r="AB501" s="109">
        <f t="shared" si="37"/>
        <v>27000000</v>
      </c>
      <c r="AC501" s="97">
        <v>40912</v>
      </c>
      <c r="AD501" s="119">
        <v>27000000</v>
      </c>
      <c r="AE501" s="119" t="s">
        <v>7</v>
      </c>
      <c r="AF501" s="1084">
        <f>SUM(AD501:AD502)</f>
        <v>30000000</v>
      </c>
      <c r="AG501" s="1084"/>
      <c r="AH501" s="111">
        <f t="shared" si="38"/>
        <v>0</v>
      </c>
      <c r="AI501" s="1084">
        <f>P501-AD501-AD502</f>
        <v>0</v>
      </c>
      <c r="AJ501" s="1119">
        <f>SUM(Z501:Z502)-SUM(AD501:AD502)</f>
        <v>0</v>
      </c>
      <c r="AK501" s="1119">
        <f>P501-V501</f>
        <v>0</v>
      </c>
      <c r="AL501" s="1119">
        <f>P501-Z501-Z502</f>
        <v>0</v>
      </c>
      <c r="AM501" s="1119">
        <f>AK501+AL501</f>
        <v>0</v>
      </c>
      <c r="AN501" s="1203"/>
      <c r="AO501" s="1204"/>
    </row>
    <row r="502" spans="1:41" ht="15" customHeight="1">
      <c r="A502" s="1214"/>
      <c r="B502" s="1171"/>
      <c r="C502" s="1076"/>
      <c r="D502" s="1076"/>
      <c r="E502" s="1252"/>
      <c r="F502" s="1252"/>
      <c r="G502" s="1076"/>
      <c r="H502" s="1076"/>
      <c r="I502" s="1076"/>
      <c r="J502" s="1076"/>
      <c r="K502" s="1076"/>
      <c r="L502" s="1076"/>
      <c r="M502" s="1251"/>
      <c r="N502" s="1123"/>
      <c r="O502" s="1119"/>
      <c r="P502" s="1119"/>
      <c r="Q502" s="1119"/>
      <c r="R502" s="1171"/>
      <c r="S502" s="1196"/>
      <c r="T502" s="1119"/>
      <c r="U502" s="1119"/>
      <c r="V502" s="1119"/>
      <c r="W502" s="1119"/>
      <c r="X502" s="1076"/>
      <c r="Y502" s="108" t="s">
        <v>623</v>
      </c>
      <c r="Z502" s="109">
        <v>3000000</v>
      </c>
      <c r="AA502" s="109">
        <v>0</v>
      </c>
      <c r="AB502" s="109">
        <f t="shared" si="37"/>
        <v>3000000</v>
      </c>
      <c r="AC502" s="97">
        <v>41604</v>
      </c>
      <c r="AD502" s="119">
        <v>3000000</v>
      </c>
      <c r="AE502" s="119" t="s">
        <v>7</v>
      </c>
      <c r="AF502" s="1084"/>
      <c r="AG502" s="1084"/>
      <c r="AH502" s="111">
        <f t="shared" si="38"/>
        <v>0</v>
      </c>
      <c r="AI502" s="1084"/>
      <c r="AJ502" s="1119"/>
      <c r="AK502" s="1119"/>
      <c r="AL502" s="1119"/>
      <c r="AM502" s="1119"/>
      <c r="AN502" s="1203"/>
      <c r="AO502" s="1204"/>
    </row>
    <row r="503" spans="1:41" ht="15" customHeight="1">
      <c r="A503" s="1075" t="s">
        <v>607</v>
      </c>
      <c r="B503" s="1171">
        <v>40388</v>
      </c>
      <c r="C503" s="1076" t="s">
        <v>12</v>
      </c>
      <c r="D503" s="1076" t="s">
        <v>608</v>
      </c>
      <c r="E503" s="1252">
        <v>76308580</v>
      </c>
      <c r="F503" s="1252"/>
      <c r="G503" s="1076" t="s">
        <v>2792</v>
      </c>
      <c r="H503" s="1076" t="s">
        <v>72</v>
      </c>
      <c r="I503" s="1076" t="s">
        <v>177</v>
      </c>
      <c r="J503" s="1076" t="s">
        <v>66</v>
      </c>
      <c r="K503" s="1076" t="s">
        <v>217</v>
      </c>
      <c r="L503" s="1076" t="s">
        <v>613</v>
      </c>
      <c r="M503" s="1268">
        <v>22</v>
      </c>
      <c r="N503" s="1123" t="s">
        <v>137</v>
      </c>
      <c r="O503" s="1119">
        <v>15370000</v>
      </c>
      <c r="P503" s="1119">
        <f>O503</f>
        <v>15370000</v>
      </c>
      <c r="Q503" s="1119">
        <f>P503</f>
        <v>15370000</v>
      </c>
      <c r="R503" s="1171">
        <v>40211</v>
      </c>
      <c r="S503" s="1196">
        <f>T503</f>
        <v>15370000</v>
      </c>
      <c r="T503" s="1119">
        <v>15370000</v>
      </c>
      <c r="U503" s="1119">
        <f>O503-T503</f>
        <v>0</v>
      </c>
      <c r="V503" s="1119">
        <v>15370000</v>
      </c>
      <c r="W503" s="1119">
        <v>15370000</v>
      </c>
      <c r="X503" s="1076" t="s">
        <v>467</v>
      </c>
      <c r="Y503" s="108" t="s">
        <v>610</v>
      </c>
      <c r="Z503" s="109">
        <v>0</v>
      </c>
      <c r="AA503" s="109">
        <v>6148000</v>
      </c>
      <c r="AB503" s="109">
        <f t="shared" si="37"/>
        <v>6148000</v>
      </c>
      <c r="AC503" s="97">
        <v>40452</v>
      </c>
      <c r="AD503" s="119">
        <v>6148000</v>
      </c>
      <c r="AE503" s="119" t="s">
        <v>137</v>
      </c>
      <c r="AF503" s="1084">
        <f>SUM(AD503:AD505)</f>
        <v>14893000</v>
      </c>
      <c r="AG503" s="1084">
        <f>AF503</f>
        <v>14893000</v>
      </c>
      <c r="AH503" s="111">
        <f t="shared" si="38"/>
        <v>0</v>
      </c>
      <c r="AI503" s="1084">
        <f>P503-AD503-AD504-AD505</f>
        <v>477000</v>
      </c>
      <c r="AJ503" s="1119">
        <f>SUM(Z503:Z505)-SUM(AD503:AD505)</f>
        <v>477000</v>
      </c>
      <c r="AK503" s="1119">
        <f>P503-V503</f>
        <v>0</v>
      </c>
      <c r="AL503" s="1119">
        <f>V503-SUM(Z503:Z505)</f>
        <v>0</v>
      </c>
      <c r="AM503" s="1119">
        <f>AK503+AL503</f>
        <v>0</v>
      </c>
      <c r="AN503" s="1203" t="s">
        <v>523</v>
      </c>
      <c r="AO503" s="1204" t="s">
        <v>772</v>
      </c>
    </row>
    <row r="504" spans="1:41" ht="15" customHeight="1">
      <c r="A504" s="1075"/>
      <c r="B504" s="1171"/>
      <c r="C504" s="1076"/>
      <c r="D504" s="1076"/>
      <c r="E504" s="1252"/>
      <c r="F504" s="1252"/>
      <c r="G504" s="1076"/>
      <c r="H504" s="1076"/>
      <c r="I504" s="1076"/>
      <c r="J504" s="1076"/>
      <c r="K504" s="1076"/>
      <c r="L504" s="1076"/>
      <c r="M504" s="1268"/>
      <c r="N504" s="1123"/>
      <c r="O504" s="1119"/>
      <c r="P504" s="1119"/>
      <c r="Q504" s="1119"/>
      <c r="R504" s="1171"/>
      <c r="S504" s="1196"/>
      <c r="T504" s="1119"/>
      <c r="U504" s="1119"/>
      <c r="V504" s="1119"/>
      <c r="W504" s="1119"/>
      <c r="X504" s="1076"/>
      <c r="Y504" s="108" t="s">
        <v>611</v>
      </c>
      <c r="Z504" s="109">
        <v>7685000</v>
      </c>
      <c r="AA504" s="109">
        <v>-3074000</v>
      </c>
      <c r="AB504" s="109">
        <f t="shared" si="37"/>
        <v>4611000</v>
      </c>
      <c r="AC504" s="97">
        <v>40611</v>
      </c>
      <c r="AD504" s="119">
        <v>4134000</v>
      </c>
      <c r="AE504" s="119" t="s">
        <v>137</v>
      </c>
      <c r="AF504" s="1084"/>
      <c r="AG504" s="1084"/>
      <c r="AH504" s="111">
        <f t="shared" si="38"/>
        <v>477000</v>
      </c>
      <c r="AI504" s="1084"/>
      <c r="AJ504" s="1119"/>
      <c r="AK504" s="1119"/>
      <c r="AL504" s="1119"/>
      <c r="AM504" s="1119"/>
      <c r="AN504" s="1203"/>
      <c r="AO504" s="1204"/>
    </row>
    <row r="505" spans="1:41" ht="15" customHeight="1">
      <c r="A505" s="1075"/>
      <c r="B505" s="1171"/>
      <c r="C505" s="1076"/>
      <c r="D505" s="1076"/>
      <c r="E505" s="1252"/>
      <c r="F505" s="1252"/>
      <c r="G505" s="1076"/>
      <c r="H505" s="1076"/>
      <c r="I505" s="1076"/>
      <c r="J505" s="1076"/>
      <c r="K505" s="1076"/>
      <c r="L505" s="1076"/>
      <c r="M505" s="1268"/>
      <c r="N505" s="1123"/>
      <c r="O505" s="1119"/>
      <c r="P505" s="1119"/>
      <c r="Q505" s="1119"/>
      <c r="R505" s="1171"/>
      <c r="S505" s="1196"/>
      <c r="T505" s="1119"/>
      <c r="U505" s="1119"/>
      <c r="V505" s="1119"/>
      <c r="W505" s="1119"/>
      <c r="X505" s="1076"/>
      <c r="Y505" s="108" t="s">
        <v>612</v>
      </c>
      <c r="Z505" s="109">
        <v>7685000</v>
      </c>
      <c r="AA505" s="109">
        <v>-3074000</v>
      </c>
      <c r="AB505" s="109">
        <f t="shared" si="37"/>
        <v>4611000</v>
      </c>
      <c r="AC505" s="97">
        <v>41008</v>
      </c>
      <c r="AD505" s="119">
        <v>4611000</v>
      </c>
      <c r="AE505" s="119" t="s">
        <v>137</v>
      </c>
      <c r="AF505" s="1084"/>
      <c r="AG505" s="1084"/>
      <c r="AH505" s="111">
        <f t="shared" si="38"/>
        <v>0</v>
      </c>
      <c r="AI505" s="1084"/>
      <c r="AJ505" s="1119"/>
      <c r="AK505" s="1119"/>
      <c r="AL505" s="1119"/>
      <c r="AM505" s="1119"/>
      <c r="AN505" s="1203"/>
      <c r="AO505" s="1204"/>
    </row>
    <row r="506" spans="1:41" ht="15" customHeight="1">
      <c r="A506" s="1075" t="s">
        <v>688</v>
      </c>
      <c r="B506" s="1171">
        <v>40423</v>
      </c>
      <c r="C506" s="1076" t="s">
        <v>22</v>
      </c>
      <c r="D506" s="1076" t="s">
        <v>689</v>
      </c>
      <c r="E506" s="1252">
        <v>900316215</v>
      </c>
      <c r="F506" s="1252">
        <v>9</v>
      </c>
      <c r="G506" s="1076" t="s">
        <v>690</v>
      </c>
      <c r="H506" s="1076" t="s">
        <v>71</v>
      </c>
      <c r="I506" s="1076" t="s">
        <v>692</v>
      </c>
      <c r="J506" s="1076" t="s">
        <v>66</v>
      </c>
      <c r="K506" s="1076" t="s">
        <v>49</v>
      </c>
      <c r="L506" s="1076" t="s">
        <v>706</v>
      </c>
      <c r="M506" s="1251">
        <v>1</v>
      </c>
      <c r="N506" s="1123" t="s">
        <v>145</v>
      </c>
      <c r="O506" s="1119">
        <v>284250058</v>
      </c>
      <c r="P506" s="1119">
        <v>284250058</v>
      </c>
      <c r="Q506" s="1119">
        <f>P506+P509+P515+P518+P524</f>
        <v>1629482527</v>
      </c>
      <c r="R506" s="1171">
        <v>40441</v>
      </c>
      <c r="S506" s="1196">
        <v>284250058</v>
      </c>
      <c r="T506" s="1196">
        <v>284250058</v>
      </c>
      <c r="U506" s="1119">
        <f>O506-T506</f>
        <v>0</v>
      </c>
      <c r="V506" s="1119">
        <v>273727984</v>
      </c>
      <c r="W506" s="1119">
        <v>1596076364</v>
      </c>
      <c r="X506" s="1076" t="s">
        <v>691</v>
      </c>
      <c r="Y506" s="108" t="s">
        <v>698</v>
      </c>
      <c r="Z506" s="109">
        <v>0</v>
      </c>
      <c r="AA506" s="109">
        <v>273727984</v>
      </c>
      <c r="AB506" s="109">
        <f t="shared" si="37"/>
        <v>273727984</v>
      </c>
      <c r="AC506" s="97">
        <v>40463</v>
      </c>
      <c r="AD506" s="119">
        <v>273727984</v>
      </c>
      <c r="AE506" s="119" t="s">
        <v>704</v>
      </c>
      <c r="AF506" s="1084">
        <f>SUM(AD506:AD508)</f>
        <v>273727984</v>
      </c>
      <c r="AG506" s="1084">
        <f>SUM(AD506:AD525)</f>
        <v>1435114380</v>
      </c>
      <c r="AH506" s="111">
        <f t="shared" si="38"/>
        <v>0</v>
      </c>
      <c r="AI506" s="1084">
        <f>O506-AD506</f>
        <v>10522074</v>
      </c>
      <c r="AJ506" s="1119">
        <f>SUM(Z506:Z525)-SUM(AD506:AD525)</f>
        <v>2.2899999618530273</v>
      </c>
      <c r="AK506" s="1119">
        <f>P506-V506</f>
        <v>10522074</v>
      </c>
      <c r="AL506" s="1119">
        <f>SUM(V506:V525)-SUM(Z506:Z525)</f>
        <v>160961981.71000004</v>
      </c>
      <c r="AM506" s="1119"/>
      <c r="AN506" s="1204" t="s">
        <v>703</v>
      </c>
      <c r="AO506" s="1204" t="s">
        <v>705</v>
      </c>
    </row>
    <row r="507" spans="1:41" ht="15" customHeight="1">
      <c r="A507" s="1075"/>
      <c r="B507" s="1171"/>
      <c r="C507" s="1076"/>
      <c r="D507" s="1076"/>
      <c r="E507" s="1252"/>
      <c r="F507" s="1252"/>
      <c r="G507" s="1076"/>
      <c r="H507" s="1076"/>
      <c r="I507" s="1076"/>
      <c r="J507" s="1076"/>
      <c r="K507" s="1076"/>
      <c r="L507" s="1076"/>
      <c r="M507" s="1251"/>
      <c r="N507" s="1123"/>
      <c r="O507" s="1119"/>
      <c r="P507" s="1119"/>
      <c r="Q507" s="1119"/>
      <c r="R507" s="1171"/>
      <c r="S507" s="1196"/>
      <c r="T507" s="1196"/>
      <c r="U507" s="1119"/>
      <c r="V507" s="1119"/>
      <c r="W507" s="1119"/>
      <c r="X507" s="1076"/>
      <c r="Y507" s="108" t="s">
        <v>702</v>
      </c>
      <c r="Z507" s="109">
        <v>25014562</v>
      </c>
      <c r="AA507" s="109">
        <v>-25014562</v>
      </c>
      <c r="AB507" s="109">
        <f t="shared" si="37"/>
        <v>0</v>
      </c>
      <c r="AC507" s="97">
        <v>41012</v>
      </c>
      <c r="AD507" s="119">
        <v>0</v>
      </c>
      <c r="AE507" s="119" t="s">
        <v>704</v>
      </c>
      <c r="AF507" s="1084"/>
      <c r="AG507" s="1084"/>
      <c r="AH507" s="111">
        <f t="shared" si="38"/>
        <v>0</v>
      </c>
      <c r="AI507" s="1084"/>
      <c r="AJ507" s="1119"/>
      <c r="AK507" s="1119"/>
      <c r="AL507" s="1119"/>
      <c r="AM507" s="1119"/>
      <c r="AN507" s="1204"/>
      <c r="AO507" s="1204"/>
    </row>
    <row r="508" spans="1:41" ht="15" customHeight="1">
      <c r="A508" s="1075"/>
      <c r="B508" s="1171"/>
      <c r="C508" s="1076"/>
      <c r="D508" s="1076"/>
      <c r="E508" s="1252"/>
      <c r="F508" s="1252"/>
      <c r="G508" s="1076"/>
      <c r="H508" s="1076"/>
      <c r="I508" s="1076"/>
      <c r="J508" s="1076"/>
      <c r="K508" s="1076"/>
      <c r="L508" s="1076"/>
      <c r="M508" s="1251"/>
      <c r="N508" s="1123"/>
      <c r="O508" s="1119"/>
      <c r="P508" s="1119"/>
      <c r="Q508" s="1119"/>
      <c r="R508" s="1171"/>
      <c r="S508" s="1196"/>
      <c r="T508" s="1196"/>
      <c r="U508" s="1119"/>
      <c r="V508" s="1119"/>
      <c r="W508" s="1119"/>
      <c r="X508" s="1076"/>
      <c r="Y508" s="108" t="s">
        <v>700</v>
      </c>
      <c r="Z508" s="109">
        <v>10823292.109999999</v>
      </c>
      <c r="AA508" s="109">
        <v>-10823292.109999999</v>
      </c>
      <c r="AB508" s="109">
        <f t="shared" si="37"/>
        <v>0</v>
      </c>
      <c r="AC508" s="97">
        <v>41254</v>
      </c>
      <c r="AD508" s="119">
        <v>0</v>
      </c>
      <c r="AE508" s="119" t="s">
        <v>704</v>
      </c>
      <c r="AF508" s="1084"/>
      <c r="AG508" s="1084"/>
      <c r="AH508" s="111">
        <f t="shared" si="38"/>
        <v>0</v>
      </c>
      <c r="AI508" s="1084"/>
      <c r="AJ508" s="1119"/>
      <c r="AK508" s="1119"/>
      <c r="AL508" s="1119"/>
      <c r="AM508" s="1119"/>
      <c r="AN508" s="1204"/>
      <c r="AO508" s="1204"/>
    </row>
    <row r="509" spans="1:41" ht="15" customHeight="1">
      <c r="A509" s="1075"/>
      <c r="B509" s="1171"/>
      <c r="C509" s="1076"/>
      <c r="D509" s="1076"/>
      <c r="E509" s="1252"/>
      <c r="F509" s="1252"/>
      <c r="G509" s="1076"/>
      <c r="H509" s="1076"/>
      <c r="I509" s="1076"/>
      <c r="J509" s="1076"/>
      <c r="K509" s="1076"/>
      <c r="L509" s="1076"/>
      <c r="M509" s="1251">
        <v>118</v>
      </c>
      <c r="N509" s="1123" t="s">
        <v>137</v>
      </c>
      <c r="O509" s="1119">
        <v>83161992</v>
      </c>
      <c r="P509" s="1119">
        <v>154180668</v>
      </c>
      <c r="Q509" s="1119"/>
      <c r="R509" s="1171">
        <v>40441</v>
      </c>
      <c r="S509" s="1196">
        <f>T509+T512</f>
        <v>154180668</v>
      </c>
      <c r="T509" s="1119">
        <v>83161992</v>
      </c>
      <c r="U509" s="1119">
        <f>O509-T509</f>
        <v>0</v>
      </c>
      <c r="V509" s="1119">
        <v>83161992</v>
      </c>
      <c r="W509" s="1119"/>
      <c r="X509" s="1076"/>
      <c r="Y509" s="1123" t="s">
        <v>698</v>
      </c>
      <c r="Z509" s="109">
        <v>0</v>
      </c>
      <c r="AA509" s="109">
        <v>71018676</v>
      </c>
      <c r="AB509" s="109">
        <f t="shared" si="37"/>
        <v>71018676</v>
      </c>
      <c r="AC509" s="1171">
        <v>40463</v>
      </c>
      <c r="AD509" s="119">
        <v>71018676</v>
      </c>
      <c r="AE509" s="119" t="s">
        <v>7</v>
      </c>
      <c r="AF509" s="1084">
        <f>SUM(AD509:AD514)</f>
        <v>154180668</v>
      </c>
      <c r="AG509" s="1084"/>
      <c r="AH509" s="111">
        <f t="shared" si="38"/>
        <v>0</v>
      </c>
      <c r="AI509" s="1084">
        <f>O509-AD510</f>
        <v>0</v>
      </c>
      <c r="AJ509" s="1119"/>
      <c r="AK509" s="1119">
        <f>P509-V509-V512</f>
        <v>0</v>
      </c>
      <c r="AL509" s="1119"/>
      <c r="AM509" s="1119"/>
      <c r="AN509" s="1204"/>
      <c r="AO509" s="1204"/>
    </row>
    <row r="510" spans="1:41" ht="15" customHeight="1">
      <c r="A510" s="1075"/>
      <c r="B510" s="1171"/>
      <c r="C510" s="1076"/>
      <c r="D510" s="1076"/>
      <c r="E510" s="1252"/>
      <c r="F510" s="1252"/>
      <c r="G510" s="1076"/>
      <c r="H510" s="1076"/>
      <c r="I510" s="1076"/>
      <c r="J510" s="1076"/>
      <c r="K510" s="1076"/>
      <c r="L510" s="1076"/>
      <c r="M510" s="1251"/>
      <c r="N510" s="1123"/>
      <c r="O510" s="1119"/>
      <c r="P510" s="1119"/>
      <c r="Q510" s="1119"/>
      <c r="R510" s="1171"/>
      <c r="S510" s="1196"/>
      <c r="T510" s="1119"/>
      <c r="U510" s="1119"/>
      <c r="V510" s="1119"/>
      <c r="W510" s="1119"/>
      <c r="X510" s="1076"/>
      <c r="Y510" s="1123"/>
      <c r="Z510" s="109">
        <v>0</v>
      </c>
      <c r="AA510" s="109">
        <v>83161992</v>
      </c>
      <c r="AB510" s="109">
        <f t="shared" si="37"/>
        <v>83161992</v>
      </c>
      <c r="AC510" s="1171"/>
      <c r="AD510" s="119">
        <v>83161992</v>
      </c>
      <c r="AE510" s="119" t="s">
        <v>137</v>
      </c>
      <c r="AF510" s="1084"/>
      <c r="AG510" s="1084"/>
      <c r="AH510" s="111">
        <f t="shared" si="38"/>
        <v>0</v>
      </c>
      <c r="AI510" s="1084"/>
      <c r="AJ510" s="1119"/>
      <c r="AK510" s="1119"/>
      <c r="AL510" s="1119"/>
      <c r="AM510" s="1119"/>
      <c r="AN510" s="1204"/>
      <c r="AO510" s="1204"/>
    </row>
    <row r="511" spans="1:41" ht="15" customHeight="1">
      <c r="A511" s="1075"/>
      <c r="B511" s="1171"/>
      <c r="C511" s="1076"/>
      <c r="D511" s="1076"/>
      <c r="E511" s="1252"/>
      <c r="F511" s="1252"/>
      <c r="G511" s="1076"/>
      <c r="H511" s="1076"/>
      <c r="I511" s="1076"/>
      <c r="J511" s="1076"/>
      <c r="K511" s="1076"/>
      <c r="L511" s="1076"/>
      <c r="M511" s="1251"/>
      <c r="N511" s="1123"/>
      <c r="O511" s="1119"/>
      <c r="P511" s="1119"/>
      <c r="Q511" s="1119"/>
      <c r="R511" s="1171"/>
      <c r="S511" s="1196"/>
      <c r="T511" s="1119"/>
      <c r="U511" s="1119"/>
      <c r="V511" s="1119"/>
      <c r="W511" s="1119"/>
      <c r="X511" s="1076"/>
      <c r="Y511" s="1123" t="s">
        <v>702</v>
      </c>
      <c r="Z511" s="109">
        <v>6490023.5099999998</v>
      </c>
      <c r="AA511" s="109">
        <v>-6490023.5099999998</v>
      </c>
      <c r="AB511" s="109">
        <f t="shared" si="37"/>
        <v>0</v>
      </c>
      <c r="AC511" s="1171">
        <v>41012</v>
      </c>
      <c r="AD511" s="119">
        <v>0</v>
      </c>
      <c r="AE511" s="119" t="s">
        <v>7</v>
      </c>
      <c r="AF511" s="1084"/>
      <c r="AG511" s="1084"/>
      <c r="AH511" s="111">
        <f t="shared" si="38"/>
        <v>0</v>
      </c>
      <c r="AI511" s="1084"/>
      <c r="AJ511" s="1119"/>
      <c r="AK511" s="1119"/>
      <c r="AL511" s="1119"/>
      <c r="AM511" s="1119"/>
      <c r="AN511" s="1204"/>
      <c r="AO511" s="1204"/>
    </row>
    <row r="512" spans="1:41" ht="15" customHeight="1">
      <c r="A512" s="1075"/>
      <c r="B512" s="1171"/>
      <c r="C512" s="1076"/>
      <c r="D512" s="1076"/>
      <c r="E512" s="1252"/>
      <c r="F512" s="1252"/>
      <c r="G512" s="1076"/>
      <c r="H512" s="1076"/>
      <c r="I512" s="1076"/>
      <c r="J512" s="1076"/>
      <c r="K512" s="1076"/>
      <c r="L512" s="1076"/>
      <c r="M512" s="1251"/>
      <c r="N512" s="1123" t="s">
        <v>7</v>
      </c>
      <c r="O512" s="1119">
        <v>71018676</v>
      </c>
      <c r="P512" s="1119"/>
      <c r="Q512" s="1119"/>
      <c r="R512" s="1171"/>
      <c r="S512" s="1196"/>
      <c r="T512" s="1119">
        <v>71018676</v>
      </c>
      <c r="U512" s="1119">
        <f>O512-T512</f>
        <v>0</v>
      </c>
      <c r="V512" s="1119">
        <v>71018676</v>
      </c>
      <c r="W512" s="1119"/>
      <c r="X512" s="1076"/>
      <c r="Y512" s="1123"/>
      <c r="Z512" s="109">
        <v>7599737.3399999999</v>
      </c>
      <c r="AA512" s="109">
        <v>-7599737.3399999999</v>
      </c>
      <c r="AB512" s="109">
        <f t="shared" si="37"/>
        <v>0</v>
      </c>
      <c r="AC512" s="1171"/>
      <c r="AD512" s="119">
        <v>0</v>
      </c>
      <c r="AE512" s="119" t="s">
        <v>137</v>
      </c>
      <c r="AF512" s="1084"/>
      <c r="AG512" s="1084"/>
      <c r="AH512" s="111">
        <f t="shared" si="38"/>
        <v>0</v>
      </c>
      <c r="AI512" s="1084">
        <f>O512-AD509</f>
        <v>0</v>
      </c>
      <c r="AJ512" s="1119"/>
      <c r="AK512" s="1119"/>
      <c r="AL512" s="1119"/>
      <c r="AM512" s="1119"/>
      <c r="AN512" s="1204"/>
      <c r="AO512" s="1204"/>
    </row>
    <row r="513" spans="1:41" ht="15" customHeight="1">
      <c r="A513" s="1075"/>
      <c r="B513" s="1171"/>
      <c r="C513" s="1076"/>
      <c r="D513" s="1076"/>
      <c r="E513" s="1252"/>
      <c r="F513" s="1252"/>
      <c r="G513" s="1076"/>
      <c r="H513" s="1076"/>
      <c r="I513" s="1076"/>
      <c r="J513" s="1076"/>
      <c r="K513" s="1076"/>
      <c r="L513" s="1076"/>
      <c r="M513" s="1251"/>
      <c r="N513" s="1123"/>
      <c r="O513" s="1119"/>
      <c r="P513" s="1119"/>
      <c r="Q513" s="1119"/>
      <c r="R513" s="1171"/>
      <c r="S513" s="1196"/>
      <c r="T513" s="1119"/>
      <c r="U513" s="1119"/>
      <c r="V513" s="1119"/>
      <c r="W513" s="1119"/>
      <c r="X513" s="1076"/>
      <c r="Y513" s="1123" t="s">
        <v>700</v>
      </c>
      <c r="Z513" s="109">
        <v>3288251.78</v>
      </c>
      <c r="AA513" s="109">
        <v>-3288251.78</v>
      </c>
      <c r="AB513" s="109">
        <f t="shared" si="37"/>
        <v>0</v>
      </c>
      <c r="AC513" s="1171">
        <v>41254</v>
      </c>
      <c r="AD513" s="119">
        <v>0</v>
      </c>
      <c r="AE513" s="119" t="s">
        <v>137</v>
      </c>
      <c r="AF513" s="1084"/>
      <c r="AG513" s="1084"/>
      <c r="AH513" s="111">
        <f t="shared" si="38"/>
        <v>0</v>
      </c>
      <c r="AI513" s="1084"/>
      <c r="AJ513" s="1119"/>
      <c r="AK513" s="1119"/>
      <c r="AL513" s="1119"/>
      <c r="AM513" s="1119"/>
      <c r="AN513" s="1204"/>
      <c r="AO513" s="1204"/>
    </row>
    <row r="514" spans="1:41" ht="15" customHeight="1">
      <c r="A514" s="1075"/>
      <c r="B514" s="1171"/>
      <c r="C514" s="1076"/>
      <c r="D514" s="1076"/>
      <c r="E514" s="1252"/>
      <c r="F514" s="1252"/>
      <c r="G514" s="1076"/>
      <c r="H514" s="1076"/>
      <c r="I514" s="1076"/>
      <c r="J514" s="1076"/>
      <c r="K514" s="1076"/>
      <c r="L514" s="1076"/>
      <c r="M514" s="1251"/>
      <c r="N514" s="1123"/>
      <c r="O514" s="1119"/>
      <c r="P514" s="1119"/>
      <c r="Q514" s="1119"/>
      <c r="R514" s="1171"/>
      <c r="S514" s="1196"/>
      <c r="T514" s="1119"/>
      <c r="U514" s="1119"/>
      <c r="V514" s="1119"/>
      <c r="W514" s="1119"/>
      <c r="X514" s="1076"/>
      <c r="Y514" s="1123"/>
      <c r="Z514" s="109">
        <v>2808101.18</v>
      </c>
      <c r="AA514" s="109">
        <v>-2808101.18</v>
      </c>
      <c r="AB514" s="109">
        <f t="shared" si="37"/>
        <v>0</v>
      </c>
      <c r="AC514" s="1171"/>
      <c r="AD514" s="119">
        <v>0</v>
      </c>
      <c r="AE514" s="119" t="s">
        <v>7</v>
      </c>
      <c r="AF514" s="1084"/>
      <c r="AG514" s="1084"/>
      <c r="AH514" s="111">
        <f t="shared" si="38"/>
        <v>0</v>
      </c>
      <c r="AI514" s="1084"/>
      <c r="AJ514" s="1119"/>
      <c r="AK514" s="1119"/>
      <c r="AL514" s="1119"/>
      <c r="AM514" s="1119"/>
      <c r="AN514" s="1204"/>
      <c r="AO514" s="1204"/>
    </row>
    <row r="515" spans="1:41" ht="15" customHeight="1">
      <c r="A515" s="1075"/>
      <c r="B515" s="1171"/>
      <c r="C515" s="1076"/>
      <c r="D515" s="1076"/>
      <c r="E515" s="1252"/>
      <c r="F515" s="1252"/>
      <c r="G515" s="1076"/>
      <c r="H515" s="1076"/>
      <c r="I515" s="1076"/>
      <c r="J515" s="1076"/>
      <c r="K515" s="1076"/>
      <c r="L515" s="1076"/>
      <c r="M515" s="1251">
        <v>2</v>
      </c>
      <c r="N515" s="1123" t="s">
        <v>145</v>
      </c>
      <c r="O515" s="1119">
        <v>401701302</v>
      </c>
      <c r="P515" s="1119">
        <v>401701302</v>
      </c>
      <c r="Q515" s="1119"/>
      <c r="R515" s="1171">
        <v>40681</v>
      </c>
      <c r="S515" s="1196">
        <f>T515</f>
        <v>401701302</v>
      </c>
      <c r="T515" s="1119">
        <v>401701302</v>
      </c>
      <c r="U515" s="1119">
        <f>O515-T515</f>
        <v>0</v>
      </c>
      <c r="V515" s="1119">
        <v>395050918</v>
      </c>
      <c r="W515" s="1119"/>
      <c r="X515" s="1076"/>
      <c r="Y515" s="108" t="s">
        <v>699</v>
      </c>
      <c r="Z515" s="109">
        <v>337741427</v>
      </c>
      <c r="AA515" s="109">
        <v>-158018072</v>
      </c>
      <c r="AB515" s="109">
        <f t="shared" si="37"/>
        <v>179723355</v>
      </c>
      <c r="AC515" s="97">
        <v>40829</v>
      </c>
      <c r="AD515" s="119">
        <v>179723355</v>
      </c>
      <c r="AE515" s="119" t="s">
        <v>145</v>
      </c>
      <c r="AF515" s="1084">
        <f>SUM(AD515:AD517)</f>
        <v>395050918</v>
      </c>
      <c r="AG515" s="1084"/>
      <c r="AH515" s="111">
        <f t="shared" si="38"/>
        <v>0</v>
      </c>
      <c r="AI515" s="1084">
        <f>O515-AD515-AD516-AD517</f>
        <v>6650384</v>
      </c>
      <c r="AJ515" s="1119"/>
      <c r="AK515" s="1119">
        <f>P515-V515</f>
        <v>6650384</v>
      </c>
      <c r="AL515" s="1119"/>
      <c r="AM515" s="1119"/>
      <c r="AN515" s="1204"/>
      <c r="AO515" s="1204"/>
    </row>
    <row r="516" spans="1:41" ht="15" customHeight="1">
      <c r="A516" s="1075"/>
      <c r="B516" s="1171"/>
      <c r="C516" s="1076"/>
      <c r="D516" s="1076"/>
      <c r="E516" s="1252"/>
      <c r="F516" s="1252"/>
      <c r="G516" s="1076"/>
      <c r="H516" s="1076"/>
      <c r="I516" s="1076"/>
      <c r="J516" s="1076"/>
      <c r="K516" s="1076"/>
      <c r="L516" s="1076"/>
      <c r="M516" s="1251"/>
      <c r="N516" s="1123"/>
      <c r="O516" s="1119"/>
      <c r="P516" s="1119"/>
      <c r="Q516" s="1119"/>
      <c r="R516" s="1171"/>
      <c r="S516" s="1196"/>
      <c r="T516" s="1119"/>
      <c r="U516" s="1119"/>
      <c r="V516" s="1119"/>
      <c r="W516" s="1119"/>
      <c r="X516" s="1076"/>
      <c r="Y516" s="108" t="s">
        <v>702</v>
      </c>
      <c r="Z516" s="109">
        <v>117524587.94</v>
      </c>
      <c r="AA516" s="109">
        <v>-36101627</v>
      </c>
      <c r="AB516" s="109">
        <f t="shared" si="37"/>
        <v>81422960.939999998</v>
      </c>
      <c r="AC516" s="97">
        <v>41012</v>
      </c>
      <c r="AD516" s="119">
        <v>81422961</v>
      </c>
      <c r="AE516" s="119" t="s">
        <v>145</v>
      </c>
      <c r="AF516" s="1084"/>
      <c r="AG516" s="1084"/>
      <c r="AH516" s="111">
        <f t="shared" si="38"/>
        <v>-6.0000002384185791E-2</v>
      </c>
      <c r="AI516" s="1084"/>
      <c r="AJ516" s="1119"/>
      <c r="AK516" s="1119"/>
      <c r="AL516" s="1119"/>
      <c r="AM516" s="1119"/>
      <c r="AN516" s="1204"/>
      <c r="AO516" s="1204"/>
    </row>
    <row r="517" spans="1:41" ht="15" customHeight="1">
      <c r="A517" s="1075"/>
      <c r="B517" s="1171"/>
      <c r="C517" s="1076"/>
      <c r="D517" s="1076"/>
      <c r="E517" s="1252"/>
      <c r="F517" s="1252"/>
      <c r="G517" s="1076"/>
      <c r="H517" s="1076"/>
      <c r="I517" s="1076"/>
      <c r="J517" s="1076"/>
      <c r="K517" s="1076"/>
      <c r="L517" s="1076"/>
      <c r="M517" s="1251"/>
      <c r="N517" s="1123"/>
      <c r="O517" s="1119"/>
      <c r="P517" s="1119"/>
      <c r="Q517" s="1119"/>
      <c r="R517" s="1171"/>
      <c r="S517" s="1196"/>
      <c r="T517" s="1119"/>
      <c r="U517" s="1119"/>
      <c r="V517" s="1119"/>
      <c r="W517" s="1119"/>
      <c r="X517" s="1076"/>
      <c r="Y517" s="108" t="s">
        <v>700</v>
      </c>
      <c r="Z517" s="109">
        <v>149525041.75999999</v>
      </c>
      <c r="AA517" s="109">
        <v>-15620439.76</v>
      </c>
      <c r="AB517" s="109">
        <f t="shared" si="37"/>
        <v>133904601.99999999</v>
      </c>
      <c r="AC517" s="97">
        <v>41254</v>
      </c>
      <c r="AD517" s="119">
        <v>133904602</v>
      </c>
      <c r="AE517" s="119" t="s">
        <v>145</v>
      </c>
      <c r="AF517" s="1084"/>
      <c r="AG517" s="1084"/>
      <c r="AH517" s="111">
        <f t="shared" si="38"/>
        <v>0</v>
      </c>
      <c r="AI517" s="1084"/>
      <c r="AJ517" s="1119"/>
      <c r="AK517" s="1119"/>
      <c r="AL517" s="1119"/>
      <c r="AM517" s="1119"/>
      <c r="AN517" s="1204"/>
      <c r="AO517" s="1204"/>
    </row>
    <row r="518" spans="1:41" ht="15" customHeight="1">
      <c r="A518" s="1075"/>
      <c r="B518" s="1171"/>
      <c r="C518" s="1076"/>
      <c r="D518" s="1076"/>
      <c r="E518" s="1252"/>
      <c r="F518" s="1252"/>
      <c r="G518" s="1076"/>
      <c r="H518" s="1076"/>
      <c r="I518" s="1076"/>
      <c r="J518" s="1076"/>
      <c r="K518" s="1076"/>
      <c r="L518" s="1076"/>
      <c r="M518" s="1251">
        <v>150</v>
      </c>
      <c r="N518" s="1123" t="s">
        <v>137</v>
      </c>
      <c r="O518" s="1119">
        <v>306863188</v>
      </c>
      <c r="P518" s="1119">
        <f>O518+O522</f>
        <v>476576558</v>
      </c>
      <c r="Q518" s="1119"/>
      <c r="R518" s="1171">
        <v>40681</v>
      </c>
      <c r="S518" s="1196">
        <f>T518+T522</f>
        <v>476576558</v>
      </c>
      <c r="T518" s="1119">
        <v>306863188</v>
      </c>
      <c r="U518" s="1119">
        <f>O518-T518</f>
        <v>0</v>
      </c>
      <c r="V518" s="1119">
        <v>292542474</v>
      </c>
      <c r="W518" s="1119"/>
      <c r="X518" s="1076"/>
      <c r="Y518" s="1123" t="s">
        <v>699</v>
      </c>
      <c r="Z518" s="109">
        <v>116910494</v>
      </c>
      <c r="AA518" s="109">
        <v>-42676934</v>
      </c>
      <c r="AB518" s="109">
        <f t="shared" si="37"/>
        <v>74233560</v>
      </c>
      <c r="AC518" s="1171">
        <v>40829</v>
      </c>
      <c r="AD518" s="119">
        <v>74233560</v>
      </c>
      <c r="AE518" s="119" t="s">
        <v>7</v>
      </c>
      <c r="AF518" s="1084">
        <f>SUM(AD518:AD523)</f>
        <v>460244814</v>
      </c>
      <c r="AG518" s="1084"/>
      <c r="AH518" s="111">
        <f t="shared" si="38"/>
        <v>0</v>
      </c>
      <c r="AI518" s="111"/>
      <c r="AJ518" s="1119"/>
      <c r="AK518" s="1119">
        <f>P518-V518-V522</f>
        <v>14320714</v>
      </c>
      <c r="AL518" s="1119"/>
      <c r="AM518" s="1119"/>
      <c r="AN518" s="1204"/>
      <c r="AO518" s="1204"/>
    </row>
    <row r="519" spans="1:41" ht="15" customHeight="1">
      <c r="A519" s="1075"/>
      <c r="B519" s="1171"/>
      <c r="C519" s="1076"/>
      <c r="D519" s="1076"/>
      <c r="E519" s="1252"/>
      <c r="F519" s="1252"/>
      <c r="G519" s="1076"/>
      <c r="H519" s="1076"/>
      <c r="I519" s="1076"/>
      <c r="J519" s="1076"/>
      <c r="K519" s="1076"/>
      <c r="L519" s="1076"/>
      <c r="M519" s="1251"/>
      <c r="N519" s="1123"/>
      <c r="O519" s="1119"/>
      <c r="P519" s="1119"/>
      <c r="Q519" s="1119"/>
      <c r="R519" s="1171"/>
      <c r="S519" s="1196"/>
      <c r="T519" s="1119"/>
      <c r="U519" s="1119"/>
      <c r="V519" s="1119"/>
      <c r="W519" s="1119"/>
      <c r="X519" s="1076"/>
      <c r="Y519" s="1123"/>
      <c r="Z519" s="109">
        <v>194850824</v>
      </c>
      <c r="AA519" s="109">
        <v>-58104794</v>
      </c>
      <c r="AB519" s="109">
        <f t="shared" si="37"/>
        <v>136746030</v>
      </c>
      <c r="AC519" s="1171"/>
      <c r="AD519" s="119">
        <v>136746030</v>
      </c>
      <c r="AE519" s="119" t="s">
        <v>137</v>
      </c>
      <c r="AF519" s="1084"/>
      <c r="AG519" s="1084"/>
      <c r="AH519" s="111">
        <f t="shared" si="38"/>
        <v>0</v>
      </c>
      <c r="AI519" s="111"/>
      <c r="AJ519" s="1119"/>
      <c r="AK519" s="1119"/>
      <c r="AL519" s="1119"/>
      <c r="AM519" s="1119"/>
      <c r="AN519" s="1204"/>
      <c r="AO519" s="1204"/>
    </row>
    <row r="520" spans="1:41" ht="15" customHeight="1">
      <c r="A520" s="1075"/>
      <c r="B520" s="1171"/>
      <c r="C520" s="1076"/>
      <c r="D520" s="1076"/>
      <c r="E520" s="1252"/>
      <c r="F520" s="1252"/>
      <c r="G520" s="1076"/>
      <c r="H520" s="1076"/>
      <c r="I520" s="1076"/>
      <c r="J520" s="1076"/>
      <c r="K520" s="1076"/>
      <c r="L520" s="1076"/>
      <c r="M520" s="1251"/>
      <c r="N520" s="1123"/>
      <c r="O520" s="1119"/>
      <c r="P520" s="1119"/>
      <c r="Q520" s="1119"/>
      <c r="R520" s="1171"/>
      <c r="S520" s="1196"/>
      <c r="T520" s="1119"/>
      <c r="U520" s="1119"/>
      <c r="V520" s="1119"/>
      <c r="W520" s="1119"/>
      <c r="X520" s="1076"/>
      <c r="Y520" s="1123" t="s">
        <v>702</v>
      </c>
      <c r="Z520" s="109">
        <v>50294293.399999999</v>
      </c>
      <c r="AA520" s="109">
        <v>-15252449</v>
      </c>
      <c r="AB520" s="109">
        <f t="shared" si="37"/>
        <v>35041844.399999999</v>
      </c>
      <c r="AC520" s="1171">
        <v>41012</v>
      </c>
      <c r="AD520" s="119">
        <v>35041844</v>
      </c>
      <c r="AE520" s="119" t="s">
        <v>137</v>
      </c>
      <c r="AF520" s="1084"/>
      <c r="AG520" s="1084"/>
      <c r="AH520" s="111">
        <f t="shared" si="38"/>
        <v>0.39999999850988388</v>
      </c>
      <c r="AI520" s="111"/>
      <c r="AJ520" s="1119"/>
      <c r="AK520" s="1119"/>
      <c r="AL520" s="1119"/>
      <c r="AM520" s="1119"/>
      <c r="AN520" s="1204"/>
      <c r="AO520" s="1204"/>
    </row>
    <row r="521" spans="1:41" ht="15" customHeight="1">
      <c r="A521" s="1075"/>
      <c r="B521" s="1171"/>
      <c r="C521" s="1076"/>
      <c r="D521" s="1076"/>
      <c r="E521" s="1252"/>
      <c r="F521" s="1252"/>
      <c r="G521" s="1076"/>
      <c r="H521" s="1076"/>
      <c r="I521" s="1076"/>
      <c r="J521" s="1076"/>
      <c r="K521" s="1076"/>
      <c r="L521" s="1076"/>
      <c r="M521" s="1251"/>
      <c r="N521" s="1123"/>
      <c r="O521" s="1119"/>
      <c r="P521" s="1119"/>
      <c r="Q521" s="1119"/>
      <c r="R521" s="1171"/>
      <c r="S521" s="1196"/>
      <c r="T521" s="1119"/>
      <c r="U521" s="1119"/>
      <c r="V521" s="1119"/>
      <c r="W521" s="1119"/>
      <c r="X521" s="1076"/>
      <c r="Y521" s="1123"/>
      <c r="Z521" s="109">
        <v>89984626.099999994</v>
      </c>
      <c r="AA521" s="109">
        <v>-27578353</v>
      </c>
      <c r="AB521" s="109">
        <f t="shared" si="37"/>
        <v>62406273.099999994</v>
      </c>
      <c r="AC521" s="1171"/>
      <c r="AD521" s="119">
        <v>62406273</v>
      </c>
      <c r="AE521" s="119" t="s">
        <v>137</v>
      </c>
      <c r="AF521" s="1084"/>
      <c r="AG521" s="1084"/>
      <c r="AH521" s="111">
        <f t="shared" si="38"/>
        <v>9.9999994039535522E-2</v>
      </c>
      <c r="AI521" s="111"/>
      <c r="AJ521" s="1119"/>
      <c r="AK521" s="1119"/>
      <c r="AL521" s="1119"/>
      <c r="AM521" s="1119"/>
      <c r="AN521" s="1204"/>
      <c r="AO521" s="1204"/>
    </row>
    <row r="522" spans="1:41" ht="15" customHeight="1">
      <c r="A522" s="1075"/>
      <c r="B522" s="1171"/>
      <c r="C522" s="1076"/>
      <c r="D522" s="1076"/>
      <c r="E522" s="1252"/>
      <c r="F522" s="1252"/>
      <c r="G522" s="1076"/>
      <c r="H522" s="1076"/>
      <c r="I522" s="1076"/>
      <c r="J522" s="1076"/>
      <c r="K522" s="1076"/>
      <c r="L522" s="1076"/>
      <c r="M522" s="1251"/>
      <c r="N522" s="1123" t="s">
        <v>7</v>
      </c>
      <c r="O522" s="1119">
        <v>169713370</v>
      </c>
      <c r="P522" s="1119"/>
      <c r="Q522" s="1119"/>
      <c r="R522" s="1171"/>
      <c r="S522" s="1196"/>
      <c r="T522" s="1119">
        <v>169713370</v>
      </c>
      <c r="U522" s="1119">
        <f>O522-T522</f>
        <v>0</v>
      </c>
      <c r="V522" s="1119">
        <f>T522</f>
        <v>169713370</v>
      </c>
      <c r="W522" s="1119"/>
      <c r="X522" s="1076"/>
      <c r="Y522" s="1123" t="s">
        <v>700</v>
      </c>
      <c r="Z522" s="109">
        <v>64227693.659999996</v>
      </c>
      <c r="AA522" s="109">
        <v>-6599424.6600000001</v>
      </c>
      <c r="AB522" s="109">
        <f t="shared" si="37"/>
        <v>57628269</v>
      </c>
      <c r="AC522" s="1171">
        <v>41254</v>
      </c>
      <c r="AD522" s="119">
        <v>57628269</v>
      </c>
      <c r="AE522" s="119" t="s">
        <v>7</v>
      </c>
      <c r="AF522" s="1084"/>
      <c r="AG522" s="1084"/>
      <c r="AH522" s="111">
        <f t="shared" si="38"/>
        <v>0</v>
      </c>
      <c r="AI522" s="111"/>
      <c r="AJ522" s="1119"/>
      <c r="AK522" s="1119"/>
      <c r="AL522" s="1119"/>
      <c r="AM522" s="1119"/>
      <c r="AN522" s="1204"/>
      <c r="AO522" s="1204"/>
    </row>
    <row r="523" spans="1:41" ht="15" customHeight="1">
      <c r="A523" s="1075"/>
      <c r="B523" s="1171"/>
      <c r="C523" s="1076"/>
      <c r="D523" s="1076"/>
      <c r="E523" s="1252"/>
      <c r="F523" s="1252"/>
      <c r="G523" s="1076"/>
      <c r="H523" s="1076"/>
      <c r="I523" s="1076"/>
      <c r="J523" s="1076"/>
      <c r="K523" s="1076"/>
      <c r="L523" s="1076"/>
      <c r="M523" s="1251"/>
      <c r="N523" s="1123"/>
      <c r="O523" s="1119"/>
      <c r="P523" s="1119"/>
      <c r="Q523" s="1119"/>
      <c r="R523" s="1171"/>
      <c r="S523" s="1196"/>
      <c r="T523" s="1119"/>
      <c r="U523" s="1119"/>
      <c r="V523" s="1119"/>
      <c r="W523" s="1119"/>
      <c r="X523" s="1076"/>
      <c r="Y523" s="1123"/>
      <c r="Z523" s="109">
        <v>106121430.51000001</v>
      </c>
      <c r="AA523" s="109">
        <v>-11932592.51</v>
      </c>
      <c r="AB523" s="109">
        <f t="shared" si="37"/>
        <v>94188838</v>
      </c>
      <c r="AC523" s="1171"/>
      <c r="AD523" s="119">
        <v>94188838</v>
      </c>
      <c r="AE523" s="119" t="s">
        <v>137</v>
      </c>
      <c r="AF523" s="1084"/>
      <c r="AG523" s="1084"/>
      <c r="AH523" s="111">
        <f t="shared" si="38"/>
        <v>0</v>
      </c>
      <c r="AI523" s="111"/>
      <c r="AJ523" s="1119"/>
      <c r="AK523" s="1119"/>
      <c r="AL523" s="1119"/>
      <c r="AM523" s="1119"/>
      <c r="AN523" s="1204"/>
      <c r="AO523" s="1204"/>
    </row>
    <row r="524" spans="1:41" ht="15" customHeight="1">
      <c r="A524" s="1075"/>
      <c r="B524" s="1171"/>
      <c r="C524" s="1076"/>
      <c r="D524" s="1076"/>
      <c r="E524" s="1252"/>
      <c r="F524" s="1252"/>
      <c r="G524" s="1076"/>
      <c r="H524" s="1076"/>
      <c r="I524" s="1076"/>
      <c r="J524" s="1076" t="s">
        <v>171</v>
      </c>
      <c r="K524" s="1076"/>
      <c r="L524" s="1076"/>
      <c r="M524" s="1251">
        <v>233</v>
      </c>
      <c r="N524" s="1123" t="s">
        <v>7</v>
      </c>
      <c r="O524" s="1119">
        <v>312773941</v>
      </c>
      <c r="P524" s="1119">
        <f>O524</f>
        <v>312773941</v>
      </c>
      <c r="Q524" s="1119"/>
      <c r="R524" s="1171">
        <v>40899</v>
      </c>
      <c r="S524" s="1196">
        <f>T524</f>
        <v>312773941</v>
      </c>
      <c r="T524" s="1119">
        <v>312773941</v>
      </c>
      <c r="U524" s="1119">
        <f>O524-T524</f>
        <v>0</v>
      </c>
      <c r="V524" s="1119">
        <v>310860950</v>
      </c>
      <c r="W524" s="1119"/>
      <c r="X524" s="1076"/>
      <c r="Y524" s="108" t="s">
        <v>701</v>
      </c>
      <c r="Z524" s="109">
        <v>151909996</v>
      </c>
      <c r="AA524" s="109">
        <v>0</v>
      </c>
      <c r="AB524" s="109">
        <f t="shared" si="37"/>
        <v>151909996</v>
      </c>
      <c r="AC524" s="97">
        <v>41404</v>
      </c>
      <c r="AD524" s="119">
        <v>151909996</v>
      </c>
      <c r="AE524" s="119" t="s">
        <v>7</v>
      </c>
      <c r="AF524" s="1084">
        <f>SUM(AD524:AD525)</f>
        <v>151909996</v>
      </c>
      <c r="AG524" s="1084"/>
      <c r="AH524" s="111">
        <f t="shared" si="38"/>
        <v>0</v>
      </c>
      <c r="AI524" s="111"/>
      <c r="AJ524" s="1119"/>
      <c r="AK524" s="1119">
        <f>P524-V524</f>
        <v>1912991</v>
      </c>
      <c r="AL524" s="1119"/>
      <c r="AM524" s="1119"/>
      <c r="AN524" s="1204"/>
      <c r="AO524" s="1204"/>
    </row>
    <row r="525" spans="1:41" ht="15" customHeight="1">
      <c r="A525" s="1075"/>
      <c r="B525" s="1171"/>
      <c r="C525" s="1076"/>
      <c r="D525" s="1076"/>
      <c r="E525" s="1252"/>
      <c r="F525" s="1252"/>
      <c r="G525" s="1076"/>
      <c r="H525" s="1076"/>
      <c r="I525" s="1076"/>
      <c r="J525" s="1076"/>
      <c r="K525" s="1076"/>
      <c r="L525" s="1076"/>
      <c r="M525" s="1251"/>
      <c r="N525" s="1123"/>
      <c r="O525" s="1119"/>
      <c r="P525" s="1119"/>
      <c r="Q525" s="1119"/>
      <c r="R525" s="1171"/>
      <c r="S525" s="1196"/>
      <c r="T525" s="1119"/>
      <c r="U525" s="1119"/>
      <c r="V525" s="1119"/>
      <c r="W525" s="1119"/>
      <c r="X525" s="1076"/>
      <c r="Y525" s="108"/>
      <c r="Z525" s="109"/>
      <c r="AA525" s="109"/>
      <c r="AB525" s="109">
        <f t="shared" si="37"/>
        <v>0</v>
      </c>
      <c r="AC525" s="97"/>
      <c r="AD525" s="119"/>
      <c r="AE525" s="119"/>
      <c r="AF525" s="1084"/>
      <c r="AG525" s="1084"/>
      <c r="AH525" s="111">
        <f t="shared" si="38"/>
        <v>0</v>
      </c>
      <c r="AI525" s="111"/>
      <c r="AJ525" s="1119"/>
      <c r="AK525" s="1119"/>
      <c r="AL525" s="1119"/>
      <c r="AM525" s="1119"/>
      <c r="AN525" s="1204"/>
      <c r="AO525" s="1204"/>
    </row>
    <row r="526" spans="1:41" ht="15" customHeight="1">
      <c r="A526" s="1075" t="s">
        <v>956</v>
      </c>
      <c r="B526" s="1171">
        <v>40423</v>
      </c>
      <c r="C526" s="1076" t="s">
        <v>9</v>
      </c>
      <c r="D526" s="1076" t="s">
        <v>957</v>
      </c>
      <c r="E526" s="1252">
        <v>900379281</v>
      </c>
      <c r="F526" s="1252">
        <v>5</v>
      </c>
      <c r="G526" s="1076" t="s">
        <v>958</v>
      </c>
      <c r="H526" s="1076" t="s">
        <v>71</v>
      </c>
      <c r="I526" s="1076" t="s">
        <v>692</v>
      </c>
      <c r="J526" s="1076" t="s">
        <v>66</v>
      </c>
      <c r="K526" s="1076" t="s">
        <v>183</v>
      </c>
      <c r="L526" s="1076" t="s">
        <v>967</v>
      </c>
      <c r="M526" s="1268">
        <v>117</v>
      </c>
      <c r="N526" s="1123" t="s">
        <v>137</v>
      </c>
      <c r="O526" s="1119">
        <v>58299702</v>
      </c>
      <c r="P526" s="1119">
        <v>108075497</v>
      </c>
      <c r="Q526" s="1119">
        <f>P526+P534+P538+P541+P547</f>
        <v>470397893</v>
      </c>
      <c r="R526" s="1171">
        <v>40441</v>
      </c>
      <c r="S526" s="1196">
        <f>T526+T530</f>
        <v>108075497</v>
      </c>
      <c r="T526" s="1196">
        <v>58299702</v>
      </c>
      <c r="U526" s="1196">
        <f>O526-T526</f>
        <v>0</v>
      </c>
      <c r="V526" s="1119">
        <v>55380668</v>
      </c>
      <c r="W526" s="1119">
        <f>SUM(V526:V548)</f>
        <v>453176901</v>
      </c>
      <c r="X526" s="1076" t="s">
        <v>959</v>
      </c>
      <c r="Y526" s="1123" t="s">
        <v>960</v>
      </c>
      <c r="Z526" s="109">
        <v>0</v>
      </c>
      <c r="AA526" s="109">
        <v>19024728</v>
      </c>
      <c r="AB526" s="109">
        <f t="shared" si="37"/>
        <v>19024728</v>
      </c>
      <c r="AC526" s="1171">
        <v>40494</v>
      </c>
      <c r="AD526" s="119">
        <v>19024727.859999999</v>
      </c>
      <c r="AE526" s="119" t="s">
        <v>7</v>
      </c>
      <c r="AF526" s="1084">
        <f>SUM(AD526:AD533)</f>
        <v>102662486</v>
      </c>
      <c r="AG526" s="1084">
        <f>AF526+AF534+AF538+AF541+AF547</f>
        <v>453170909</v>
      </c>
      <c r="AH526" s="111">
        <f t="shared" si="38"/>
        <v>0.14000000059604645</v>
      </c>
      <c r="AI526" s="1084">
        <f>O526-AD527-AD529-AD530-AD531-AD533</f>
        <v>-6907375.1400000006</v>
      </c>
      <c r="AJ526" s="1119">
        <f>SUM(Z526:Z533)-SUM(AD526:AD533)</f>
        <v>1.3799999952316284</v>
      </c>
      <c r="AK526" s="1119">
        <f>O526-V526</f>
        <v>2919034</v>
      </c>
      <c r="AL526" s="1119">
        <f>SUM(V526:V533)-SUM(Z526:Z533)</f>
        <v>1729.6200000047684</v>
      </c>
      <c r="AM526" s="1119">
        <f>AK526+AK530+AL526+AJ526</f>
        <v>5413011</v>
      </c>
      <c r="AN526" s="1204" t="s">
        <v>970</v>
      </c>
      <c r="AO526" s="1237" t="s">
        <v>971</v>
      </c>
    </row>
    <row r="527" spans="1:41" ht="15" customHeight="1">
      <c r="A527" s="1075"/>
      <c r="B527" s="1171"/>
      <c r="C527" s="1076"/>
      <c r="D527" s="1076"/>
      <c r="E527" s="1252"/>
      <c r="F527" s="1252"/>
      <c r="G527" s="1076"/>
      <c r="H527" s="1076"/>
      <c r="I527" s="1076"/>
      <c r="J527" s="1076"/>
      <c r="K527" s="1076"/>
      <c r="L527" s="1076"/>
      <c r="M527" s="1268"/>
      <c r="N527" s="1123"/>
      <c r="O527" s="1119"/>
      <c r="P527" s="1119"/>
      <c r="Q527" s="1119"/>
      <c r="R527" s="1171"/>
      <c r="S527" s="1196"/>
      <c r="T527" s="1196"/>
      <c r="U527" s="1196"/>
      <c r="V527" s="1119"/>
      <c r="W527" s="1119"/>
      <c r="X527" s="1076"/>
      <c r="Y527" s="1123"/>
      <c r="Z527" s="109">
        <v>0</v>
      </c>
      <c r="AA527" s="109">
        <v>22282636</v>
      </c>
      <c r="AB527" s="109">
        <f t="shared" si="37"/>
        <v>22282636</v>
      </c>
      <c r="AC527" s="1171"/>
      <c r="AD527" s="119">
        <v>22282635.140000001</v>
      </c>
      <c r="AE527" s="119" t="s">
        <v>137</v>
      </c>
      <c r="AF527" s="1084"/>
      <c r="AG527" s="1084"/>
      <c r="AH527" s="111">
        <f t="shared" si="38"/>
        <v>0.85999999940395355</v>
      </c>
      <c r="AI527" s="1084"/>
      <c r="AJ527" s="1119"/>
      <c r="AK527" s="1119"/>
      <c r="AL527" s="1119"/>
      <c r="AM527" s="1119"/>
      <c r="AN527" s="1204"/>
      <c r="AO527" s="1204"/>
    </row>
    <row r="528" spans="1:41" ht="15" customHeight="1">
      <c r="A528" s="1075"/>
      <c r="B528" s="1171"/>
      <c r="C528" s="1076"/>
      <c r="D528" s="1076"/>
      <c r="E528" s="1252"/>
      <c r="F528" s="1252"/>
      <c r="G528" s="1076"/>
      <c r="H528" s="1076"/>
      <c r="I528" s="1076"/>
      <c r="J528" s="1076"/>
      <c r="K528" s="1076"/>
      <c r="L528" s="1076"/>
      <c r="M528" s="1268"/>
      <c r="N528" s="1123"/>
      <c r="O528" s="1119"/>
      <c r="P528" s="1119"/>
      <c r="Q528" s="1119"/>
      <c r="R528" s="1171"/>
      <c r="S528" s="1196"/>
      <c r="T528" s="1196"/>
      <c r="U528" s="1196"/>
      <c r="V528" s="1119"/>
      <c r="W528" s="1119"/>
      <c r="X528" s="1076"/>
      <c r="Y528" s="1123" t="s">
        <v>961</v>
      </c>
      <c r="Z528" s="109">
        <v>26336665.129999999</v>
      </c>
      <c r="AA528" s="109">
        <f>-{10534666}</f>
        <v>-10534666</v>
      </c>
      <c r="AB528" s="109">
        <f t="shared" si="37"/>
        <v>15801999.129999999</v>
      </c>
      <c r="AC528" s="1171">
        <v>40732</v>
      </c>
      <c r="AD528" s="119">
        <v>15801999</v>
      </c>
      <c r="AE528" s="119" t="s">
        <v>7</v>
      </c>
      <c r="AF528" s="1084"/>
      <c r="AG528" s="1084"/>
      <c r="AH528" s="111">
        <f t="shared" si="38"/>
        <v>0.12999999895691872</v>
      </c>
      <c r="AI528" s="1084"/>
      <c r="AJ528" s="1119"/>
      <c r="AK528" s="1119"/>
      <c r="AL528" s="1119"/>
      <c r="AM528" s="1119"/>
      <c r="AN528" s="1204"/>
      <c r="AO528" s="1204"/>
    </row>
    <row r="529" spans="1:41" ht="15" customHeight="1">
      <c r="A529" s="1075"/>
      <c r="B529" s="1171"/>
      <c r="C529" s="1076"/>
      <c r="D529" s="1076"/>
      <c r="E529" s="1252"/>
      <c r="F529" s="1252"/>
      <c r="G529" s="1076"/>
      <c r="H529" s="1076"/>
      <c r="I529" s="1076"/>
      <c r="J529" s="1076"/>
      <c r="K529" s="1076"/>
      <c r="L529" s="1076"/>
      <c r="M529" s="1268"/>
      <c r="N529" s="1123"/>
      <c r="O529" s="1119"/>
      <c r="P529" s="1119"/>
      <c r="Q529" s="1119"/>
      <c r="R529" s="1171"/>
      <c r="S529" s="1196"/>
      <c r="T529" s="1196"/>
      <c r="U529" s="1196"/>
      <c r="V529" s="1119"/>
      <c r="W529" s="1119"/>
      <c r="X529" s="1076"/>
      <c r="Y529" s="1123"/>
      <c r="Z529" s="109">
        <v>30846713.25</v>
      </c>
      <c r="AA529" s="109">
        <v>-12338685</v>
      </c>
      <c r="AB529" s="109">
        <f t="shared" si="37"/>
        <v>18508028.25</v>
      </c>
      <c r="AC529" s="1171"/>
      <c r="AD529" s="119">
        <v>18508028</v>
      </c>
      <c r="AE529" s="119" t="s">
        <v>137</v>
      </c>
      <c r="AF529" s="1084"/>
      <c r="AG529" s="1084"/>
      <c r="AH529" s="111">
        <f t="shared" si="38"/>
        <v>0.25</v>
      </c>
      <c r="AI529" s="1084"/>
      <c r="AJ529" s="1119"/>
      <c r="AK529" s="1119"/>
      <c r="AL529" s="1119"/>
      <c r="AM529" s="1119"/>
      <c r="AN529" s="1204"/>
      <c r="AO529" s="1204"/>
    </row>
    <row r="530" spans="1:41" ht="15" customHeight="1">
      <c r="A530" s="1075"/>
      <c r="B530" s="1171"/>
      <c r="C530" s="1076"/>
      <c r="D530" s="1076"/>
      <c r="E530" s="1252"/>
      <c r="F530" s="1252"/>
      <c r="G530" s="1076"/>
      <c r="H530" s="1076"/>
      <c r="I530" s="1076"/>
      <c r="J530" s="1076"/>
      <c r="K530" s="1076"/>
      <c r="L530" s="1076"/>
      <c r="M530" s="1268"/>
      <c r="N530" s="1123" t="s">
        <v>7</v>
      </c>
      <c r="O530" s="1119">
        <v>49775795</v>
      </c>
      <c r="P530" s="1119"/>
      <c r="Q530" s="1119"/>
      <c r="R530" s="1171"/>
      <c r="S530" s="1196"/>
      <c r="T530" s="1196">
        <v>49775795</v>
      </c>
      <c r="U530" s="1196">
        <f>O530-T530</f>
        <v>0</v>
      </c>
      <c r="V530" s="1119">
        <v>47283549</v>
      </c>
      <c r="W530" s="1119"/>
      <c r="X530" s="1076"/>
      <c r="Y530" s="1123" t="s">
        <v>962</v>
      </c>
      <c r="Z530" s="109">
        <v>16378905</v>
      </c>
      <c r="AA530" s="109">
        <v>-6551562</v>
      </c>
      <c r="AB530" s="109">
        <f t="shared" si="37"/>
        <v>9827343</v>
      </c>
      <c r="AC530" s="1171">
        <v>41120</v>
      </c>
      <c r="AD530" s="119">
        <v>9827343</v>
      </c>
      <c r="AE530" s="119" t="s">
        <v>137</v>
      </c>
      <c r="AF530" s="1084"/>
      <c r="AG530" s="1084"/>
      <c r="AH530" s="111">
        <f t="shared" si="38"/>
        <v>0</v>
      </c>
      <c r="AI530" s="1084">
        <f>O530-AD526-AD528-AD532</f>
        <v>12320386.140000001</v>
      </c>
      <c r="AJ530" s="1119"/>
      <c r="AK530" s="1119">
        <f>O530-V530</f>
        <v>2492246</v>
      </c>
      <c r="AL530" s="1119"/>
      <c r="AM530" s="1119"/>
      <c r="AN530" s="1204"/>
      <c r="AO530" s="1204"/>
    </row>
    <row r="531" spans="1:41" ht="15" customHeight="1">
      <c r="A531" s="1075"/>
      <c r="B531" s="1171"/>
      <c r="C531" s="1076"/>
      <c r="D531" s="1076"/>
      <c r="E531" s="1252"/>
      <c r="F531" s="1252"/>
      <c r="G531" s="1076"/>
      <c r="H531" s="1076"/>
      <c r="I531" s="1076"/>
      <c r="J531" s="1076"/>
      <c r="K531" s="1076"/>
      <c r="L531" s="1076"/>
      <c r="M531" s="1268"/>
      <c r="N531" s="1123"/>
      <c r="O531" s="1119"/>
      <c r="P531" s="1119"/>
      <c r="Q531" s="1119"/>
      <c r="R531" s="1171"/>
      <c r="S531" s="1196"/>
      <c r="T531" s="1196"/>
      <c r="U531" s="1196"/>
      <c r="V531" s="1119"/>
      <c r="W531" s="1119"/>
      <c r="X531" s="1076"/>
      <c r="Y531" s="1123"/>
      <c r="Z531" s="109">
        <v>19183725</v>
      </c>
      <c r="AA531" s="109">
        <v>-7673490</v>
      </c>
      <c r="AB531" s="109">
        <f t="shared" si="37"/>
        <v>11510235</v>
      </c>
      <c r="AC531" s="1171"/>
      <c r="AD531" s="119">
        <v>11510235</v>
      </c>
      <c r="AE531" s="119" t="s">
        <v>137</v>
      </c>
      <c r="AF531" s="1084"/>
      <c r="AG531" s="1084"/>
      <c r="AH531" s="111">
        <f t="shared" si="38"/>
        <v>0</v>
      </c>
      <c r="AI531" s="1084"/>
      <c r="AJ531" s="1119"/>
      <c r="AK531" s="1119"/>
      <c r="AL531" s="1119"/>
      <c r="AM531" s="1119"/>
      <c r="AN531" s="1204"/>
      <c r="AO531" s="1204"/>
    </row>
    <row r="532" spans="1:41" ht="15" customHeight="1">
      <c r="A532" s="1075"/>
      <c r="B532" s="1171"/>
      <c r="C532" s="1076"/>
      <c r="D532" s="1076"/>
      <c r="E532" s="1252"/>
      <c r="F532" s="1252"/>
      <c r="G532" s="1076"/>
      <c r="H532" s="1076"/>
      <c r="I532" s="1076"/>
      <c r="J532" s="1076"/>
      <c r="K532" s="1076"/>
      <c r="L532" s="1076"/>
      <c r="M532" s="1268"/>
      <c r="N532" s="1123"/>
      <c r="O532" s="1119"/>
      <c r="P532" s="1119"/>
      <c r="Q532" s="1119"/>
      <c r="R532" s="1171"/>
      <c r="S532" s="1196"/>
      <c r="T532" s="1196"/>
      <c r="U532" s="1196"/>
      <c r="V532" s="1119"/>
      <c r="W532" s="1119"/>
      <c r="X532" s="1076"/>
      <c r="Y532" s="1123" t="s">
        <v>963</v>
      </c>
      <c r="Z532" s="109">
        <v>4567183</v>
      </c>
      <c r="AA532" s="109">
        <v>-1938501</v>
      </c>
      <c r="AB532" s="109">
        <f t="shared" ref="AB532:AB576" si="39">Z532+AA532</f>
        <v>2628682</v>
      </c>
      <c r="AC532" s="1171">
        <v>41598</v>
      </c>
      <c r="AD532" s="119">
        <v>2628682</v>
      </c>
      <c r="AE532" s="119" t="s">
        <v>7</v>
      </c>
      <c r="AF532" s="1084"/>
      <c r="AG532" s="1084"/>
      <c r="AH532" s="111">
        <f t="shared" ref="AH532:AH576" si="40">AB532-AD532</f>
        <v>0</v>
      </c>
      <c r="AI532" s="1084"/>
      <c r="AJ532" s="1119"/>
      <c r="AK532" s="1119"/>
      <c r="AL532" s="1119"/>
      <c r="AM532" s="1119"/>
      <c r="AN532" s="1204"/>
      <c r="AO532" s="1204"/>
    </row>
    <row r="533" spans="1:41" ht="15" customHeight="1">
      <c r="A533" s="1075"/>
      <c r="B533" s="1171"/>
      <c r="C533" s="1076"/>
      <c r="D533" s="1076"/>
      <c r="E533" s="1252"/>
      <c r="F533" s="1252"/>
      <c r="G533" s="1076"/>
      <c r="H533" s="1076"/>
      <c r="I533" s="1076"/>
      <c r="J533" s="1076"/>
      <c r="K533" s="1076"/>
      <c r="L533" s="1076"/>
      <c r="M533" s="1268"/>
      <c r="N533" s="1123"/>
      <c r="O533" s="1119"/>
      <c r="P533" s="1119"/>
      <c r="Q533" s="1119"/>
      <c r="R533" s="1171"/>
      <c r="S533" s="1196"/>
      <c r="T533" s="1196"/>
      <c r="U533" s="1196"/>
      <c r="V533" s="1119"/>
      <c r="W533" s="1119"/>
      <c r="X533" s="1076"/>
      <c r="Y533" s="1123"/>
      <c r="Z533" s="109">
        <v>5349296</v>
      </c>
      <c r="AA533" s="109">
        <v>-2270460</v>
      </c>
      <c r="AB533" s="109">
        <f t="shared" si="39"/>
        <v>3078836</v>
      </c>
      <c r="AC533" s="1171"/>
      <c r="AD533" s="119">
        <v>3078836</v>
      </c>
      <c r="AE533" s="119" t="s">
        <v>137</v>
      </c>
      <c r="AF533" s="1084"/>
      <c r="AG533" s="1084"/>
      <c r="AH533" s="111">
        <f t="shared" si="40"/>
        <v>0</v>
      </c>
      <c r="AI533" s="1084"/>
      <c r="AJ533" s="1119"/>
      <c r="AK533" s="1119"/>
      <c r="AL533" s="1119"/>
      <c r="AM533" s="1119"/>
      <c r="AN533" s="1204"/>
      <c r="AO533" s="1204"/>
    </row>
    <row r="534" spans="1:41" ht="15" customHeight="1">
      <c r="A534" s="1075"/>
      <c r="B534" s="1171"/>
      <c r="C534" s="1076"/>
      <c r="D534" s="1076"/>
      <c r="E534" s="1252"/>
      <c r="F534" s="1252"/>
      <c r="G534" s="1076"/>
      <c r="H534" s="1076"/>
      <c r="I534" s="1076"/>
      <c r="J534" s="1076"/>
      <c r="K534" s="1076"/>
      <c r="L534" s="1076"/>
      <c r="M534" s="1251">
        <v>1</v>
      </c>
      <c r="N534" s="1123" t="s">
        <v>129</v>
      </c>
      <c r="O534" s="1119">
        <v>209980704</v>
      </c>
      <c r="P534" s="1119">
        <v>209980704</v>
      </c>
      <c r="Q534" s="1119"/>
      <c r="R534" s="1171">
        <v>40441</v>
      </c>
      <c r="S534" s="1196">
        <f>T534</f>
        <v>207632918</v>
      </c>
      <c r="T534" s="1196">
        <v>207632918</v>
      </c>
      <c r="U534" s="1196">
        <f>O534-T534</f>
        <v>2347786</v>
      </c>
      <c r="V534" s="1119">
        <v>199467087</v>
      </c>
      <c r="W534" s="1119"/>
      <c r="X534" s="1076"/>
      <c r="Y534" s="108" t="s">
        <v>960</v>
      </c>
      <c r="Z534" s="109">
        <v>0</v>
      </c>
      <c r="AA534" s="109">
        <v>79549157</v>
      </c>
      <c r="AB534" s="109">
        <f t="shared" si="39"/>
        <v>79549157</v>
      </c>
      <c r="AC534" s="97">
        <v>41225</v>
      </c>
      <c r="AD534" s="119">
        <v>79549157</v>
      </c>
      <c r="AE534" s="119" t="s">
        <v>129</v>
      </c>
      <c r="AF534" s="1084">
        <f>SUM(AD534:AD537)</f>
        <v>199463225</v>
      </c>
      <c r="AG534" s="1084"/>
      <c r="AH534" s="111">
        <f t="shared" si="40"/>
        <v>0</v>
      </c>
      <c r="AI534" s="1084">
        <f>S534-SUM(AD534:AD537)</f>
        <v>8169693</v>
      </c>
      <c r="AJ534" s="1119">
        <f>SUM(Z534:Z537)-SUM(AD534:AD537)</f>
        <v>-2</v>
      </c>
      <c r="AK534" s="1119">
        <f>S534-V534</f>
        <v>8165831</v>
      </c>
      <c r="AL534" s="1119">
        <f>V534-SUM(Z534:Z537)</f>
        <v>3864</v>
      </c>
      <c r="AM534" s="1119">
        <f>AK534+AL534+AJ534</f>
        <v>8169693</v>
      </c>
      <c r="AN534" s="1204"/>
      <c r="AO534" s="1204"/>
    </row>
    <row r="535" spans="1:41" ht="15" customHeight="1">
      <c r="A535" s="1075"/>
      <c r="B535" s="1171"/>
      <c r="C535" s="1076"/>
      <c r="D535" s="1076"/>
      <c r="E535" s="1252"/>
      <c r="F535" s="1252"/>
      <c r="G535" s="1076"/>
      <c r="H535" s="1076"/>
      <c r="I535" s="1076"/>
      <c r="J535" s="1076"/>
      <c r="K535" s="1076"/>
      <c r="L535" s="1076"/>
      <c r="M535" s="1251"/>
      <c r="N535" s="1123"/>
      <c r="O535" s="1119"/>
      <c r="P535" s="1119"/>
      <c r="Q535" s="1119"/>
      <c r="R535" s="1171"/>
      <c r="S535" s="1196"/>
      <c r="T535" s="1196"/>
      <c r="U535" s="1196"/>
      <c r="V535" s="1119"/>
      <c r="W535" s="1119"/>
      <c r="X535" s="1076"/>
      <c r="Y535" s="108" t="s">
        <v>961</v>
      </c>
      <c r="Z535" s="109">
        <v>110122969</v>
      </c>
      <c r="AA535" s="109">
        <v>-44049187</v>
      </c>
      <c r="AB535" s="109">
        <f t="shared" si="39"/>
        <v>66073782</v>
      </c>
      <c r="AC535" s="97">
        <v>40732</v>
      </c>
      <c r="AD535" s="119">
        <v>66073782</v>
      </c>
      <c r="AE535" s="119" t="s">
        <v>129</v>
      </c>
      <c r="AF535" s="1084"/>
      <c r="AG535" s="1084"/>
      <c r="AH535" s="111">
        <f t="shared" si="40"/>
        <v>0</v>
      </c>
      <c r="AI535" s="1084"/>
      <c r="AJ535" s="1119"/>
      <c r="AK535" s="1119"/>
      <c r="AL535" s="1119"/>
      <c r="AM535" s="1119"/>
      <c r="AN535" s="1204"/>
      <c r="AO535" s="1204"/>
    </row>
    <row r="536" spans="1:41" ht="15" customHeight="1">
      <c r="A536" s="1075"/>
      <c r="B536" s="1171"/>
      <c r="C536" s="1076"/>
      <c r="D536" s="1076"/>
      <c r="E536" s="1252"/>
      <c r="F536" s="1252"/>
      <c r="G536" s="1076"/>
      <c r="H536" s="1076"/>
      <c r="I536" s="1076"/>
      <c r="J536" s="1076"/>
      <c r="K536" s="1076"/>
      <c r="L536" s="1076"/>
      <c r="M536" s="1251"/>
      <c r="N536" s="1123"/>
      <c r="O536" s="1119"/>
      <c r="P536" s="1119"/>
      <c r="Q536" s="1119"/>
      <c r="R536" s="1171"/>
      <c r="S536" s="1196"/>
      <c r="T536" s="1196"/>
      <c r="U536" s="1196"/>
      <c r="V536" s="1119"/>
      <c r="W536" s="1119"/>
      <c r="X536" s="1076"/>
      <c r="Y536" s="108" t="s">
        <v>962</v>
      </c>
      <c r="Z536" s="109">
        <v>68486026</v>
      </c>
      <c r="AA536" s="109">
        <v>-27394411</v>
      </c>
      <c r="AB536" s="109">
        <f t="shared" si="39"/>
        <v>41091615</v>
      </c>
      <c r="AC536" s="97">
        <v>40389</v>
      </c>
      <c r="AD536" s="119">
        <v>41091615</v>
      </c>
      <c r="AE536" s="119" t="s">
        <v>129</v>
      </c>
      <c r="AF536" s="1084"/>
      <c r="AG536" s="1084"/>
      <c r="AH536" s="111">
        <f t="shared" si="40"/>
        <v>0</v>
      </c>
      <c r="AI536" s="1084"/>
      <c r="AJ536" s="1119"/>
      <c r="AK536" s="1119"/>
      <c r="AL536" s="1119"/>
      <c r="AM536" s="1119"/>
      <c r="AN536" s="1204"/>
      <c r="AO536" s="1204"/>
    </row>
    <row r="537" spans="1:41" ht="15" customHeight="1">
      <c r="A537" s="1075"/>
      <c r="B537" s="1171"/>
      <c r="C537" s="1076"/>
      <c r="D537" s="1076"/>
      <c r="E537" s="1252"/>
      <c r="F537" s="1252"/>
      <c r="G537" s="1076"/>
      <c r="H537" s="1076"/>
      <c r="I537" s="1076"/>
      <c r="J537" s="1076"/>
      <c r="K537" s="1076"/>
      <c r="L537" s="1076"/>
      <c r="M537" s="1251"/>
      <c r="N537" s="1123"/>
      <c r="O537" s="1119"/>
      <c r="P537" s="1119"/>
      <c r="Q537" s="1119"/>
      <c r="R537" s="1171"/>
      <c r="S537" s="1196"/>
      <c r="T537" s="1196"/>
      <c r="U537" s="1196"/>
      <c r="V537" s="1119"/>
      <c r="W537" s="1119"/>
      <c r="X537" s="1076"/>
      <c r="Y537" s="108" t="s">
        <v>963</v>
      </c>
      <c r="Z537" s="109">
        <v>20854228</v>
      </c>
      <c r="AA537" s="109">
        <v>-8105558</v>
      </c>
      <c r="AB537" s="109">
        <f t="shared" si="39"/>
        <v>12748670</v>
      </c>
      <c r="AC537" s="97">
        <v>41598</v>
      </c>
      <c r="AD537" s="119">
        <v>12748671</v>
      </c>
      <c r="AE537" s="119" t="s">
        <v>129</v>
      </c>
      <c r="AF537" s="1084"/>
      <c r="AG537" s="1084"/>
      <c r="AH537" s="111">
        <f t="shared" si="40"/>
        <v>-1</v>
      </c>
      <c r="AI537" s="1084"/>
      <c r="AJ537" s="1119"/>
      <c r="AK537" s="1119"/>
      <c r="AL537" s="1119"/>
      <c r="AM537" s="1119"/>
      <c r="AN537" s="1204"/>
      <c r="AO537" s="1204"/>
    </row>
    <row r="538" spans="1:41" ht="15" customHeight="1">
      <c r="A538" s="1075"/>
      <c r="B538" s="1171"/>
      <c r="C538" s="1076"/>
      <c r="D538" s="1076"/>
      <c r="E538" s="1252"/>
      <c r="F538" s="1252"/>
      <c r="G538" s="1076"/>
      <c r="H538" s="1076"/>
      <c r="I538" s="1076"/>
      <c r="J538" s="1076" t="s">
        <v>171</v>
      </c>
      <c r="K538" s="1076"/>
      <c r="L538" s="1076"/>
      <c r="M538" s="1251">
        <v>5</v>
      </c>
      <c r="N538" s="1123" t="s">
        <v>129</v>
      </c>
      <c r="O538" s="1119">
        <v>12683823</v>
      </c>
      <c r="P538" s="1119">
        <v>12683823</v>
      </c>
      <c r="Q538" s="1119"/>
      <c r="R538" s="1171">
        <v>40878</v>
      </c>
      <c r="S538" s="1196">
        <f>T538</f>
        <v>12409670</v>
      </c>
      <c r="T538" s="1119">
        <v>12409670</v>
      </c>
      <c r="U538" s="1119">
        <f>O538-T538</f>
        <v>274153</v>
      </c>
      <c r="V538" s="1119">
        <v>12409670</v>
      </c>
      <c r="W538" s="1119"/>
      <c r="X538" s="1076"/>
      <c r="Y538" s="108" t="s">
        <v>964</v>
      </c>
      <c r="Z538" s="109">
        <v>5954900</v>
      </c>
      <c r="AA538" s="109">
        <v>0</v>
      </c>
      <c r="AB538" s="109">
        <f t="shared" si="39"/>
        <v>5954900</v>
      </c>
      <c r="AC538" s="97">
        <v>41145</v>
      </c>
      <c r="AD538" s="119">
        <v>5954900</v>
      </c>
      <c r="AE538" s="119" t="s">
        <v>129</v>
      </c>
      <c r="AF538" s="1084">
        <f>SUM(AD538:AD540)</f>
        <v>12409627</v>
      </c>
      <c r="AG538" s="1084"/>
      <c r="AH538" s="111">
        <f t="shared" si="40"/>
        <v>0</v>
      </c>
      <c r="AI538" s="1084">
        <f>S538-SUM(AD538:AD540)</f>
        <v>43</v>
      </c>
      <c r="AJ538" s="1119">
        <f>SUM(Z538:Z540)-SUM(AD538:AD540)</f>
        <v>0</v>
      </c>
      <c r="AK538" s="1119">
        <f>S538-V538</f>
        <v>0</v>
      </c>
      <c r="AL538" s="1119">
        <f>V538-SUM(Z538:Z540)</f>
        <v>43</v>
      </c>
      <c r="AM538" s="1119">
        <f>AK538+AL538</f>
        <v>43</v>
      </c>
      <c r="AN538" s="1204"/>
      <c r="AO538" s="1204"/>
    </row>
    <row r="539" spans="1:41" ht="15" customHeight="1">
      <c r="A539" s="1075"/>
      <c r="B539" s="1171"/>
      <c r="C539" s="1076"/>
      <c r="D539" s="1076"/>
      <c r="E539" s="1252"/>
      <c r="F539" s="1252"/>
      <c r="G539" s="1076"/>
      <c r="H539" s="1076"/>
      <c r="I539" s="1076"/>
      <c r="J539" s="1076"/>
      <c r="K539" s="1076"/>
      <c r="L539" s="1076"/>
      <c r="M539" s="1251"/>
      <c r="N539" s="1123"/>
      <c r="O539" s="1119"/>
      <c r="P539" s="1119"/>
      <c r="Q539" s="1119"/>
      <c r="R539" s="1171"/>
      <c r="S539" s="1196"/>
      <c r="T539" s="1119"/>
      <c r="U539" s="1119"/>
      <c r="V539" s="1119"/>
      <c r="W539" s="1119"/>
      <c r="X539" s="1076"/>
      <c r="Y539" s="108" t="s">
        <v>965</v>
      </c>
      <c r="Z539" s="109">
        <v>5214032</v>
      </c>
      <c r="AA539" s="109">
        <v>0</v>
      </c>
      <c r="AB539" s="109">
        <f t="shared" si="39"/>
        <v>5214032</v>
      </c>
      <c r="AC539" s="97">
        <v>41271</v>
      </c>
      <c r="AD539" s="119">
        <v>5214032</v>
      </c>
      <c r="AE539" s="119" t="s">
        <v>129</v>
      </c>
      <c r="AF539" s="1084"/>
      <c r="AG539" s="1084"/>
      <c r="AH539" s="111">
        <f t="shared" si="40"/>
        <v>0</v>
      </c>
      <c r="AI539" s="1084"/>
      <c r="AJ539" s="1119"/>
      <c r="AK539" s="1119"/>
      <c r="AL539" s="1119"/>
      <c r="AM539" s="1119"/>
      <c r="AN539" s="1204"/>
      <c r="AO539" s="1204"/>
    </row>
    <row r="540" spans="1:41" ht="15" customHeight="1">
      <c r="A540" s="1075"/>
      <c r="B540" s="1171"/>
      <c r="C540" s="1076"/>
      <c r="D540" s="1076"/>
      <c r="E540" s="1252"/>
      <c r="F540" s="1252"/>
      <c r="G540" s="1076"/>
      <c r="H540" s="1076"/>
      <c r="I540" s="1076"/>
      <c r="J540" s="1076"/>
      <c r="K540" s="1076"/>
      <c r="L540" s="1076"/>
      <c r="M540" s="1251"/>
      <c r="N540" s="1123"/>
      <c r="O540" s="1119"/>
      <c r="P540" s="1119"/>
      <c r="Q540" s="1119"/>
      <c r="R540" s="1171"/>
      <c r="S540" s="1196"/>
      <c r="T540" s="1119"/>
      <c r="U540" s="1119"/>
      <c r="V540" s="1119"/>
      <c r="W540" s="1119"/>
      <c r="X540" s="1076"/>
      <c r="Y540" s="108" t="s">
        <v>966</v>
      </c>
      <c r="Z540" s="109">
        <v>1240695</v>
      </c>
      <c r="AA540" s="109">
        <v>0</v>
      </c>
      <c r="AB540" s="109">
        <f t="shared" si="39"/>
        <v>1240695</v>
      </c>
      <c r="AC540" s="97">
        <v>41598</v>
      </c>
      <c r="AD540" s="119">
        <v>1240695</v>
      </c>
      <c r="AE540" s="119" t="s">
        <v>129</v>
      </c>
      <c r="AF540" s="1084"/>
      <c r="AG540" s="1084"/>
      <c r="AH540" s="111">
        <f t="shared" si="40"/>
        <v>0</v>
      </c>
      <c r="AI540" s="1084"/>
      <c r="AJ540" s="1119"/>
      <c r="AK540" s="1119"/>
      <c r="AL540" s="1119"/>
      <c r="AM540" s="1119"/>
      <c r="AN540" s="1204"/>
      <c r="AO540" s="1204"/>
    </row>
    <row r="541" spans="1:41" ht="15" customHeight="1">
      <c r="A541" s="1075"/>
      <c r="B541" s="1171"/>
      <c r="C541" s="1076"/>
      <c r="D541" s="1076"/>
      <c r="E541" s="1252"/>
      <c r="F541" s="1252"/>
      <c r="G541" s="1076"/>
      <c r="H541" s="1076"/>
      <c r="I541" s="1076"/>
      <c r="J541" s="1076"/>
      <c r="K541" s="1076"/>
      <c r="L541" s="1076"/>
      <c r="M541" s="1251">
        <v>227</v>
      </c>
      <c r="N541" s="1123" t="s">
        <v>7</v>
      </c>
      <c r="O541" s="1119">
        <v>8755316</v>
      </c>
      <c r="P541" s="1119">
        <f>O541+O544</f>
        <v>47280649</v>
      </c>
      <c r="Q541" s="1119"/>
      <c r="R541" s="1171">
        <v>40878</v>
      </c>
      <c r="S541" s="1273">
        <f>T541+T544</f>
        <v>47091408</v>
      </c>
      <c r="T541" s="1119">
        <v>8566075</v>
      </c>
      <c r="U541" s="1119">
        <f>O541-T541</f>
        <v>189241</v>
      </c>
      <c r="V541" s="1119">
        <v>8566075</v>
      </c>
      <c r="W541" s="1119"/>
      <c r="X541" s="1076"/>
      <c r="Y541" s="1123" t="s">
        <v>964</v>
      </c>
      <c r="Z541" s="109">
        <v>18087174</v>
      </c>
      <c r="AA541" s="109">
        <v>0</v>
      </c>
      <c r="AB541" s="109">
        <f t="shared" si="39"/>
        <v>18087174</v>
      </c>
      <c r="AC541" s="1171">
        <v>41145</v>
      </c>
      <c r="AD541" s="119">
        <v>4110514</v>
      </c>
      <c r="AE541" s="119" t="s">
        <v>137</v>
      </c>
      <c r="AF541" s="1084">
        <f>SUM(AD541:AD546)</f>
        <v>46258547</v>
      </c>
      <c r="AG541" s="1084"/>
      <c r="AH541" s="111">
        <f t="shared" si="40"/>
        <v>13976660</v>
      </c>
      <c r="AI541" s="1084">
        <f>T541-AD542-AD543-AD545</f>
        <v>-13976631</v>
      </c>
      <c r="AJ541" s="1119">
        <f>SUM(Z541:Z546)-SUM(AD541:AD546)</f>
        <v>0</v>
      </c>
      <c r="AK541" s="1119">
        <f>T541-V541</f>
        <v>0</v>
      </c>
      <c r="AL541" s="1119">
        <f>SUM(V541:V546)-SUM(Z541:Z546)</f>
        <v>160</v>
      </c>
      <c r="AM541" s="1119">
        <f>AK541+AK544+AL541</f>
        <v>832861</v>
      </c>
      <c r="AN541" s="1204"/>
      <c r="AO541" s="1204"/>
    </row>
    <row r="542" spans="1:41" ht="15" customHeight="1">
      <c r="A542" s="1075"/>
      <c r="B542" s="1171"/>
      <c r="C542" s="1076"/>
      <c r="D542" s="1076"/>
      <c r="E542" s="1252"/>
      <c r="F542" s="1252"/>
      <c r="G542" s="1076"/>
      <c r="H542" s="1076"/>
      <c r="I542" s="1076"/>
      <c r="J542" s="1076"/>
      <c r="K542" s="1076"/>
      <c r="L542" s="1076"/>
      <c r="M542" s="1251"/>
      <c r="N542" s="1123"/>
      <c r="O542" s="1119"/>
      <c r="P542" s="1119"/>
      <c r="Q542" s="1119"/>
      <c r="R542" s="1171"/>
      <c r="S542" s="1273"/>
      <c r="T542" s="1119"/>
      <c r="U542" s="1119"/>
      <c r="V542" s="1119"/>
      <c r="W542" s="1119"/>
      <c r="X542" s="1076"/>
      <c r="Y542" s="1123"/>
      <c r="Z542" s="109">
        <v>4110514</v>
      </c>
      <c r="AA542" s="109">
        <v>0</v>
      </c>
      <c r="AB542" s="109">
        <f t="shared" si="39"/>
        <v>4110514</v>
      </c>
      <c r="AC542" s="1171"/>
      <c r="AD542" s="119">
        <v>18087174</v>
      </c>
      <c r="AE542" s="119" t="s">
        <v>7</v>
      </c>
      <c r="AF542" s="1084"/>
      <c r="AG542" s="1084"/>
      <c r="AH542" s="111">
        <f t="shared" si="40"/>
        <v>-13976660</v>
      </c>
      <c r="AI542" s="1084"/>
      <c r="AJ542" s="1119"/>
      <c r="AK542" s="1119"/>
      <c r="AL542" s="1119"/>
      <c r="AM542" s="1119"/>
      <c r="AN542" s="1204"/>
      <c r="AO542" s="1204"/>
    </row>
    <row r="543" spans="1:41" ht="15" customHeight="1">
      <c r="A543" s="1075"/>
      <c r="B543" s="1171"/>
      <c r="C543" s="1076"/>
      <c r="D543" s="1076"/>
      <c r="E543" s="1252"/>
      <c r="F543" s="1252"/>
      <c r="G543" s="1076"/>
      <c r="H543" s="1076"/>
      <c r="I543" s="1076"/>
      <c r="J543" s="1076"/>
      <c r="K543" s="1076"/>
      <c r="L543" s="1076"/>
      <c r="M543" s="1251"/>
      <c r="N543" s="1123"/>
      <c r="O543" s="1119"/>
      <c r="P543" s="1119"/>
      <c r="Q543" s="1119"/>
      <c r="R543" s="1171"/>
      <c r="S543" s="1273"/>
      <c r="T543" s="1119"/>
      <c r="U543" s="1119"/>
      <c r="V543" s="1119"/>
      <c r="W543" s="1119"/>
      <c r="X543" s="1076"/>
      <c r="Y543" s="1123" t="s">
        <v>965</v>
      </c>
      <c r="Z543" s="109">
        <v>3599112</v>
      </c>
      <c r="AA543" s="109">
        <v>0</v>
      </c>
      <c r="AB543" s="109">
        <f t="shared" si="39"/>
        <v>3599112</v>
      </c>
      <c r="AC543" s="1171">
        <v>41270</v>
      </c>
      <c r="AD543" s="119">
        <v>3599112</v>
      </c>
      <c r="AE543" s="119" t="s">
        <v>7</v>
      </c>
      <c r="AF543" s="1084"/>
      <c r="AG543" s="1084"/>
      <c r="AH543" s="111">
        <f t="shared" si="40"/>
        <v>0</v>
      </c>
      <c r="AI543" s="1084"/>
      <c r="AJ543" s="1119"/>
      <c r="AK543" s="1119"/>
      <c r="AL543" s="1119"/>
      <c r="AM543" s="1119"/>
      <c r="AN543" s="1204"/>
      <c r="AO543" s="1204"/>
    </row>
    <row r="544" spans="1:41" ht="15" customHeight="1">
      <c r="A544" s="1075"/>
      <c r="B544" s="1171"/>
      <c r="C544" s="1076"/>
      <c r="D544" s="1076"/>
      <c r="E544" s="1252"/>
      <c r="F544" s="1252"/>
      <c r="G544" s="1076"/>
      <c r="H544" s="1076"/>
      <c r="I544" s="1076"/>
      <c r="J544" s="1076"/>
      <c r="K544" s="1076"/>
      <c r="L544" s="1076"/>
      <c r="M544" s="1251"/>
      <c r="N544" s="1123" t="s">
        <v>137</v>
      </c>
      <c r="O544" s="1119">
        <v>38525333</v>
      </c>
      <c r="P544" s="1119"/>
      <c r="Q544" s="1119"/>
      <c r="R544" s="1171"/>
      <c r="S544" s="1273"/>
      <c r="T544" s="1119">
        <v>38525333</v>
      </c>
      <c r="U544" s="1119">
        <f>O544-T544</f>
        <v>0</v>
      </c>
      <c r="V544" s="1119">
        <v>37692632</v>
      </c>
      <c r="W544" s="1119"/>
      <c r="X544" s="1076"/>
      <c r="Y544" s="1123"/>
      <c r="Z544" s="109">
        <v>15836890</v>
      </c>
      <c r="AA544" s="109">
        <v>0</v>
      </c>
      <c r="AB544" s="109">
        <f t="shared" si="39"/>
        <v>15836890</v>
      </c>
      <c r="AC544" s="1171"/>
      <c r="AD544" s="119">
        <v>15836890</v>
      </c>
      <c r="AE544" s="119" t="s">
        <v>137</v>
      </c>
      <c r="AF544" s="1084"/>
      <c r="AG544" s="1084"/>
      <c r="AH544" s="111">
        <f t="shared" si="40"/>
        <v>0</v>
      </c>
      <c r="AI544" s="1084">
        <f>T544-AD541-AD544-AD546</f>
        <v>14809492</v>
      </c>
      <c r="AJ544" s="1119"/>
      <c r="AK544" s="1119">
        <f>T544-V544</f>
        <v>832701</v>
      </c>
      <c r="AL544" s="1119"/>
      <c r="AM544" s="1119"/>
      <c r="AN544" s="1204"/>
      <c r="AO544" s="1204"/>
    </row>
    <row r="545" spans="1:43" ht="15" customHeight="1">
      <c r="A545" s="1075"/>
      <c r="B545" s="1171"/>
      <c r="C545" s="1076"/>
      <c r="D545" s="1076"/>
      <c r="E545" s="1252"/>
      <c r="F545" s="1252"/>
      <c r="G545" s="1076"/>
      <c r="H545" s="1076"/>
      <c r="I545" s="1076"/>
      <c r="J545" s="1076"/>
      <c r="K545" s="1076"/>
      <c r="L545" s="1076"/>
      <c r="M545" s="1251"/>
      <c r="N545" s="1123"/>
      <c r="O545" s="1119"/>
      <c r="P545" s="1119"/>
      <c r="Q545" s="1119"/>
      <c r="R545" s="1171"/>
      <c r="S545" s="1273"/>
      <c r="T545" s="1119"/>
      <c r="U545" s="1119"/>
      <c r="V545" s="1119"/>
      <c r="W545" s="1119"/>
      <c r="X545" s="1076"/>
      <c r="Y545" s="1123" t="s">
        <v>966</v>
      </c>
      <c r="Z545" s="109">
        <v>856420</v>
      </c>
      <c r="AA545" s="109">
        <v>0</v>
      </c>
      <c r="AB545" s="109">
        <f t="shared" si="39"/>
        <v>856420</v>
      </c>
      <c r="AC545" s="1171">
        <v>41598</v>
      </c>
      <c r="AD545" s="119">
        <v>856420</v>
      </c>
      <c r="AE545" s="119" t="s">
        <v>7</v>
      </c>
      <c r="AF545" s="1084"/>
      <c r="AG545" s="1084"/>
      <c r="AH545" s="111">
        <f t="shared" si="40"/>
        <v>0</v>
      </c>
      <c r="AI545" s="1084"/>
      <c r="AJ545" s="1119"/>
      <c r="AK545" s="1119"/>
      <c r="AL545" s="1119"/>
      <c r="AM545" s="1119"/>
      <c r="AN545" s="1204"/>
      <c r="AO545" s="1204"/>
    </row>
    <row r="546" spans="1:43" ht="15" customHeight="1">
      <c r="A546" s="1075"/>
      <c r="B546" s="1171"/>
      <c r="C546" s="1076"/>
      <c r="D546" s="1076"/>
      <c r="E546" s="1252"/>
      <c r="F546" s="1252"/>
      <c r="G546" s="1076"/>
      <c r="H546" s="1076"/>
      <c r="I546" s="1076"/>
      <c r="J546" s="1076"/>
      <c r="K546" s="1076"/>
      <c r="L546" s="1076"/>
      <c r="M546" s="1251"/>
      <c r="N546" s="1123"/>
      <c r="O546" s="1119"/>
      <c r="P546" s="1119"/>
      <c r="Q546" s="1119"/>
      <c r="R546" s="1171"/>
      <c r="S546" s="1273"/>
      <c r="T546" s="1119"/>
      <c r="U546" s="1119"/>
      <c r="V546" s="1119"/>
      <c r="W546" s="1119"/>
      <c r="X546" s="1076"/>
      <c r="Y546" s="1123"/>
      <c r="Z546" s="109">
        <v>3768437</v>
      </c>
      <c r="AA546" s="109">
        <v>0</v>
      </c>
      <c r="AB546" s="109">
        <f t="shared" si="39"/>
        <v>3768437</v>
      </c>
      <c r="AC546" s="1171"/>
      <c r="AD546" s="119">
        <v>3768437</v>
      </c>
      <c r="AE546" s="119" t="s">
        <v>137</v>
      </c>
      <c r="AF546" s="1084"/>
      <c r="AG546" s="1084"/>
      <c r="AH546" s="111">
        <f t="shared" si="40"/>
        <v>0</v>
      </c>
      <c r="AI546" s="1084"/>
      <c r="AJ546" s="1119"/>
      <c r="AK546" s="1119"/>
      <c r="AL546" s="1119"/>
      <c r="AM546" s="1119"/>
      <c r="AN546" s="1204"/>
      <c r="AO546" s="1204"/>
    </row>
    <row r="547" spans="1:43" ht="15" customHeight="1">
      <c r="A547" s="1075"/>
      <c r="B547" s="1171"/>
      <c r="C547" s="1076"/>
      <c r="D547" s="1076"/>
      <c r="E547" s="1252"/>
      <c r="F547" s="1252"/>
      <c r="G547" s="1076"/>
      <c r="H547" s="1076"/>
      <c r="I547" s="1076"/>
      <c r="J547" s="1076" t="s">
        <v>172</v>
      </c>
      <c r="K547" s="1076"/>
      <c r="L547" s="1076"/>
      <c r="M547" s="1251">
        <v>236</v>
      </c>
      <c r="N547" s="1123" t="s">
        <v>7</v>
      </c>
      <c r="O547" s="1119">
        <v>92377220</v>
      </c>
      <c r="P547" s="1119">
        <v>92377220</v>
      </c>
      <c r="Q547" s="1119"/>
      <c r="R547" s="1171">
        <v>40906</v>
      </c>
      <c r="S547" s="1196">
        <f>T547</f>
        <v>92377220</v>
      </c>
      <c r="T547" s="1119">
        <v>92377220</v>
      </c>
      <c r="U547" s="1119">
        <f>O547-T547</f>
        <v>0</v>
      </c>
      <c r="V547" s="1119">
        <v>92377220</v>
      </c>
      <c r="W547" s="1119"/>
      <c r="X547" s="1076"/>
      <c r="Y547" s="108" t="s">
        <v>969</v>
      </c>
      <c r="Z547" s="109">
        <v>80791611</v>
      </c>
      <c r="AA547" s="109">
        <v>0</v>
      </c>
      <c r="AB547" s="109">
        <f t="shared" si="39"/>
        <v>80791611</v>
      </c>
      <c r="AC547" s="97">
        <v>41270</v>
      </c>
      <c r="AD547" s="119">
        <v>80791611</v>
      </c>
      <c r="AE547" s="119" t="s">
        <v>7</v>
      </c>
      <c r="AF547" s="1084">
        <f>SUM(AD547:AD548)</f>
        <v>92377024</v>
      </c>
      <c r="AG547" s="1084"/>
      <c r="AH547" s="111">
        <f t="shared" si="40"/>
        <v>0</v>
      </c>
      <c r="AI547" s="1084">
        <f>O547-AD547-AD548</f>
        <v>196</v>
      </c>
      <c r="AJ547" s="1119">
        <f>SUM(Z547:Z548)-SUM(AD547:AD548)</f>
        <v>0</v>
      </c>
      <c r="AK547" s="1119">
        <f>P547-V547</f>
        <v>0</v>
      </c>
      <c r="AL547" s="1119">
        <f>V547-SUM(Z547:Z548)</f>
        <v>196</v>
      </c>
      <c r="AM547" s="1119">
        <f>AK547+AL547</f>
        <v>196</v>
      </c>
      <c r="AN547" s="1204"/>
      <c r="AO547" s="1204"/>
    </row>
    <row r="548" spans="1:43" ht="15" customHeight="1">
      <c r="A548" s="1075"/>
      <c r="B548" s="1171"/>
      <c r="C548" s="1076"/>
      <c r="D548" s="1076"/>
      <c r="E548" s="1252"/>
      <c r="F548" s="1252"/>
      <c r="G548" s="1076"/>
      <c r="H548" s="1076"/>
      <c r="I548" s="1076"/>
      <c r="J548" s="1076"/>
      <c r="K548" s="1076"/>
      <c r="L548" s="1076"/>
      <c r="M548" s="1251"/>
      <c r="N548" s="1123"/>
      <c r="O548" s="1119"/>
      <c r="P548" s="1119"/>
      <c r="Q548" s="1119"/>
      <c r="R548" s="1171"/>
      <c r="S548" s="1196"/>
      <c r="T548" s="1119"/>
      <c r="U548" s="1119"/>
      <c r="V548" s="1119"/>
      <c r="W548" s="1119"/>
      <c r="X548" s="1076"/>
      <c r="Y548" s="108" t="s">
        <v>968</v>
      </c>
      <c r="Z548" s="109">
        <v>11585413</v>
      </c>
      <c r="AA548" s="109">
        <v>0</v>
      </c>
      <c r="AB548" s="109">
        <f t="shared" si="39"/>
        <v>11585413</v>
      </c>
      <c r="AC548" s="97">
        <v>41598</v>
      </c>
      <c r="AD548" s="119">
        <v>11585413</v>
      </c>
      <c r="AE548" s="119" t="s">
        <v>7</v>
      </c>
      <c r="AF548" s="1084"/>
      <c r="AG548" s="1084"/>
      <c r="AH548" s="111">
        <f t="shared" si="40"/>
        <v>0</v>
      </c>
      <c r="AI548" s="1084"/>
      <c r="AJ548" s="1119"/>
      <c r="AK548" s="1119"/>
      <c r="AL548" s="1119"/>
      <c r="AM548" s="1119"/>
      <c r="AN548" s="1204"/>
      <c r="AO548" s="1204"/>
    </row>
    <row r="549" spans="1:43" s="24" customFormat="1" ht="15" customHeight="1">
      <c r="A549" s="1202" t="s">
        <v>1581</v>
      </c>
      <c r="B549" s="1171">
        <v>40423</v>
      </c>
      <c r="C549" s="1204" t="s">
        <v>31</v>
      </c>
      <c r="D549" s="1204" t="s">
        <v>1582</v>
      </c>
      <c r="E549" s="1204">
        <v>79299421</v>
      </c>
      <c r="F549" s="1204"/>
      <c r="G549" s="1204" t="s">
        <v>1583</v>
      </c>
      <c r="H549" s="1204" t="s">
        <v>71</v>
      </c>
      <c r="I549" s="1204" t="s">
        <v>1221</v>
      </c>
      <c r="J549" s="1274" t="s">
        <v>67</v>
      </c>
      <c r="K549" s="1204" t="s">
        <v>1584</v>
      </c>
      <c r="L549" s="1204" t="s">
        <v>1585</v>
      </c>
      <c r="M549" s="1350">
        <v>151</v>
      </c>
      <c r="N549" s="1259" t="s">
        <v>7</v>
      </c>
      <c r="O549" s="1257">
        <v>38265697</v>
      </c>
      <c r="P549" s="1258">
        <f>SUM(O549:O554)</f>
        <v>148304257</v>
      </c>
      <c r="Q549" s="1265">
        <f>P549+P555+P556+P558+P560+P561</f>
        <v>635419318</v>
      </c>
      <c r="R549" s="1132">
        <v>40681</v>
      </c>
      <c r="S549" s="109"/>
      <c r="T549" s="109"/>
      <c r="U549" s="109"/>
      <c r="V549" s="1258">
        <v>38221476</v>
      </c>
      <c r="W549" s="1119">
        <f>SUM(V549:V561)</f>
        <v>629172341</v>
      </c>
      <c r="X549" s="1011"/>
      <c r="Y549" s="105" t="s">
        <v>1586</v>
      </c>
      <c r="Z549" s="109">
        <v>108524326</v>
      </c>
      <c r="AA549" s="43">
        <v>-43409730</v>
      </c>
      <c r="AB549" s="109">
        <f>SUM(Z549:AA549)</f>
        <v>65114596</v>
      </c>
      <c r="AC549" s="139">
        <v>40830</v>
      </c>
      <c r="AD549" s="129">
        <v>7567186</v>
      </c>
      <c r="AE549" s="1259" t="s">
        <v>7</v>
      </c>
      <c r="AF549" s="1256">
        <f>SUM(AE549:AE554)</f>
        <v>0</v>
      </c>
      <c r="AG549" s="1256" t="e">
        <f>AF549+AF555+AF556+AF558</f>
        <v>#VALUE!</v>
      </c>
      <c r="AH549" s="109"/>
      <c r="AI549" s="1257" t="e">
        <f>O549-AE549</f>
        <v>#VALUE!</v>
      </c>
      <c r="AJ549" s="1224" t="e">
        <f>Z549+Z550+Z551+Z560-AG549</f>
        <v>#VALUE!</v>
      </c>
      <c r="AK549" s="134">
        <f>P549-V549-V551</f>
        <v>186294</v>
      </c>
      <c r="AL549" s="1224">
        <f>W549-Z549-Z550-Z551-Z560</f>
        <v>12847612</v>
      </c>
      <c r="AM549" s="1119">
        <f>AK549+AK555+AK556+AL549</f>
        <v>19094424</v>
      </c>
      <c r="AN549" s="1204"/>
      <c r="AO549" s="105" t="s">
        <v>1587</v>
      </c>
      <c r="AQ549" s="934"/>
    </row>
    <row r="550" spans="1:43" s="24" customFormat="1" ht="15" customHeight="1">
      <c r="A550" s="1202"/>
      <c r="B550" s="1171"/>
      <c r="C550" s="1204"/>
      <c r="D550" s="1204"/>
      <c r="E550" s="1204"/>
      <c r="F550" s="1204"/>
      <c r="G550" s="1204"/>
      <c r="H550" s="1204"/>
      <c r="I550" s="1204"/>
      <c r="J550" s="1274"/>
      <c r="K550" s="1204"/>
      <c r="L550" s="1204"/>
      <c r="M550" s="1350"/>
      <c r="N550" s="1259"/>
      <c r="O550" s="1257"/>
      <c r="P550" s="1258"/>
      <c r="Q550" s="1266"/>
      <c r="R550" s="1104"/>
      <c r="S550" s="109"/>
      <c r="T550" s="109"/>
      <c r="U550" s="109"/>
      <c r="V550" s="1258"/>
      <c r="W550" s="1119"/>
      <c r="X550" s="1033"/>
      <c r="Y550" s="105" t="s">
        <v>1588</v>
      </c>
      <c r="Z550" s="109">
        <v>139868824</v>
      </c>
      <c r="AA550" s="109">
        <v>-5451170</v>
      </c>
      <c r="AB550" s="109">
        <f>Z550+AA550</f>
        <v>134417654</v>
      </c>
      <c r="AC550" s="139">
        <v>41241</v>
      </c>
      <c r="AD550" s="129">
        <v>3444110</v>
      </c>
      <c r="AE550" s="1259"/>
      <c r="AF550" s="1256"/>
      <c r="AG550" s="1256"/>
      <c r="AH550" s="109"/>
      <c r="AI550" s="1257"/>
      <c r="AJ550" s="1224"/>
      <c r="AK550" s="109"/>
      <c r="AL550" s="1224"/>
      <c r="AM550" s="1119"/>
      <c r="AN550" s="1204"/>
      <c r="AO550" s="1204" t="s">
        <v>1589</v>
      </c>
      <c r="AQ550" s="934"/>
    </row>
    <row r="551" spans="1:43" s="24" customFormat="1" ht="15" customHeight="1">
      <c r="A551" s="1202"/>
      <c r="B551" s="1171"/>
      <c r="C551" s="1204"/>
      <c r="D551" s="1204"/>
      <c r="E551" s="1204"/>
      <c r="F551" s="1204"/>
      <c r="G551" s="1204"/>
      <c r="H551" s="1204"/>
      <c r="I551" s="1204"/>
      <c r="J551" s="1274"/>
      <c r="K551" s="1204"/>
      <c r="L551" s="1204"/>
      <c r="M551" s="1350"/>
      <c r="N551" s="1259" t="s">
        <v>137</v>
      </c>
      <c r="O551" s="1257">
        <v>110038560</v>
      </c>
      <c r="P551" s="1258"/>
      <c r="Q551" s="1266"/>
      <c r="R551" s="1104"/>
      <c r="S551" s="109"/>
      <c r="T551" s="109"/>
      <c r="U551" s="109"/>
      <c r="V551" s="1258">
        <v>109896487</v>
      </c>
      <c r="W551" s="1119"/>
      <c r="X551" s="1033"/>
      <c r="Y551" s="105" t="s">
        <v>1590</v>
      </c>
      <c r="Z551" s="129">
        <v>367931579</v>
      </c>
      <c r="AA551" s="43">
        <v>-118999296</v>
      </c>
      <c r="AB551" s="129">
        <f>Z551+AA551</f>
        <v>248932283</v>
      </c>
      <c r="AC551" s="139">
        <v>40715</v>
      </c>
      <c r="AD551" s="129">
        <v>84717995</v>
      </c>
      <c r="AE551" s="1259" t="s">
        <v>137</v>
      </c>
      <c r="AF551" s="1256"/>
      <c r="AG551" s="1256"/>
      <c r="AH551" s="109"/>
      <c r="AI551" s="1119" t="e">
        <f>O551-AE551</f>
        <v>#VALUE!</v>
      </c>
      <c r="AJ551" s="1224"/>
      <c r="AK551" s="109"/>
      <c r="AL551" s="1224"/>
      <c r="AM551" s="1119"/>
      <c r="AN551" s="1204"/>
      <c r="AO551" s="1204"/>
      <c r="AQ551" s="934"/>
    </row>
    <row r="552" spans="1:43" s="24" customFormat="1" ht="15" customHeight="1">
      <c r="A552" s="1202"/>
      <c r="B552" s="1171"/>
      <c r="C552" s="1204"/>
      <c r="D552" s="1204"/>
      <c r="E552" s="1204"/>
      <c r="F552" s="1204"/>
      <c r="G552" s="1204"/>
      <c r="H552" s="1204"/>
      <c r="I552" s="1204"/>
      <c r="J552" s="1274"/>
      <c r="K552" s="1204"/>
      <c r="L552" s="1204"/>
      <c r="M552" s="1350"/>
      <c r="N552" s="1259"/>
      <c r="O552" s="1257"/>
      <c r="P552" s="1258"/>
      <c r="Q552" s="1266"/>
      <c r="R552" s="1104"/>
      <c r="S552" s="109"/>
      <c r="T552" s="109"/>
      <c r="U552" s="109"/>
      <c r="V552" s="1258"/>
      <c r="W552" s="1119"/>
      <c r="X552" s="1033"/>
      <c r="Y552" s="105" t="s">
        <v>1590</v>
      </c>
      <c r="Z552" s="109"/>
      <c r="AA552" s="109"/>
      <c r="AB552" s="109"/>
      <c r="AC552" s="139">
        <v>40715</v>
      </c>
      <c r="AD552" s="129">
        <v>29455166</v>
      </c>
      <c r="AE552" s="1259"/>
      <c r="AF552" s="1256"/>
      <c r="AG552" s="1256"/>
      <c r="AH552" s="109"/>
      <c r="AI552" s="1119"/>
      <c r="AJ552" s="1224"/>
      <c r="AK552" s="109"/>
      <c r="AL552" s="1224"/>
      <c r="AM552" s="1119"/>
      <c r="AN552" s="1204"/>
      <c r="AO552" s="1204"/>
      <c r="AQ552" s="934"/>
    </row>
    <row r="553" spans="1:43" s="24" customFormat="1" ht="15" customHeight="1">
      <c r="A553" s="1202"/>
      <c r="B553" s="1171"/>
      <c r="C553" s="1204"/>
      <c r="D553" s="1204"/>
      <c r="E553" s="1204"/>
      <c r="F553" s="1204"/>
      <c r="G553" s="1204"/>
      <c r="H553" s="1204"/>
      <c r="I553" s="1204"/>
      <c r="J553" s="1274"/>
      <c r="K553" s="1204"/>
      <c r="L553" s="1204"/>
      <c r="M553" s="1350"/>
      <c r="N553" s="1259"/>
      <c r="O553" s="1257"/>
      <c r="P553" s="1258"/>
      <c r="Q553" s="1266"/>
      <c r="R553" s="1104"/>
      <c r="S553" s="109"/>
      <c r="T553" s="109"/>
      <c r="U553" s="109"/>
      <c r="V553" s="1258"/>
      <c r="W553" s="1119"/>
      <c r="X553" s="1033"/>
      <c r="Y553" s="105" t="s">
        <v>1586</v>
      </c>
      <c r="Z553" s="109"/>
      <c r="AA553" s="109"/>
      <c r="AB553" s="109"/>
      <c r="AC553" s="139">
        <v>40830</v>
      </c>
      <c r="AD553" s="129">
        <v>21734382</v>
      </c>
      <c r="AE553" s="1259"/>
      <c r="AF553" s="1256"/>
      <c r="AG553" s="1256"/>
      <c r="AH553" s="109"/>
      <c r="AI553" s="1119"/>
      <c r="AJ553" s="1224"/>
      <c r="AK553" s="109"/>
      <c r="AL553" s="1224"/>
      <c r="AM553" s="1119"/>
      <c r="AN553" s="1204"/>
      <c r="AO553" s="105"/>
      <c r="AQ553" s="934"/>
    </row>
    <row r="554" spans="1:43" s="24" customFormat="1" ht="15" customHeight="1">
      <c r="A554" s="1202"/>
      <c r="B554" s="1171"/>
      <c r="C554" s="1204"/>
      <c r="D554" s="1204"/>
      <c r="E554" s="1204"/>
      <c r="F554" s="1204"/>
      <c r="G554" s="1204"/>
      <c r="H554" s="1204"/>
      <c r="I554" s="1204"/>
      <c r="J554" s="1274"/>
      <c r="K554" s="1204"/>
      <c r="L554" s="1204"/>
      <c r="M554" s="1350"/>
      <c r="N554" s="1259"/>
      <c r="O554" s="1257"/>
      <c r="P554" s="1258"/>
      <c r="Q554" s="1266"/>
      <c r="R554" s="1105"/>
      <c r="S554" s="109"/>
      <c r="T554" s="109"/>
      <c r="U554" s="109"/>
      <c r="V554" s="1258"/>
      <c r="W554" s="1119"/>
      <c r="X554" s="1033"/>
      <c r="Y554" s="105" t="s">
        <v>1588</v>
      </c>
      <c r="Z554" s="109"/>
      <c r="AA554" s="109"/>
      <c r="AB554" s="109"/>
      <c r="AC554" s="139">
        <v>41241</v>
      </c>
      <c r="AD554" s="129">
        <v>1199124</v>
      </c>
      <c r="AE554" s="1259"/>
      <c r="AF554" s="1256"/>
      <c r="AG554" s="1256"/>
      <c r="AH554" s="109"/>
      <c r="AI554" s="1119"/>
      <c r="AJ554" s="1224"/>
      <c r="AK554" s="109"/>
      <c r="AL554" s="1224"/>
      <c r="AM554" s="1119"/>
      <c r="AN554" s="1204"/>
      <c r="AO554" s="105" t="s">
        <v>1591</v>
      </c>
      <c r="AQ554" s="934"/>
    </row>
    <row r="555" spans="1:43" s="24" customFormat="1" ht="15" customHeight="1">
      <c r="A555" s="1202"/>
      <c r="B555" s="1171"/>
      <c r="C555" s="1204"/>
      <c r="D555" s="1204"/>
      <c r="E555" s="1204"/>
      <c r="F555" s="1204"/>
      <c r="G555" s="1204"/>
      <c r="H555" s="1204"/>
      <c r="I555" s="1204"/>
      <c r="J555" s="1274"/>
      <c r="K555" s="1204"/>
      <c r="L555" s="1204"/>
      <c r="M555" s="150">
        <v>1</v>
      </c>
      <c r="N555" s="105" t="s">
        <v>157</v>
      </c>
      <c r="O555" s="129">
        <v>98628079</v>
      </c>
      <c r="P555" s="130">
        <f>O555</f>
        <v>98628079</v>
      </c>
      <c r="Q555" s="1266"/>
      <c r="R555" s="107">
        <v>40445</v>
      </c>
      <c r="S555" s="109"/>
      <c r="T555" s="109"/>
      <c r="U555" s="109"/>
      <c r="V555" s="130">
        <v>93017358</v>
      </c>
      <c r="W555" s="1119"/>
      <c r="X555" s="1033"/>
      <c r="Y555" s="105" t="s">
        <v>1592</v>
      </c>
      <c r="Z555" s="109"/>
      <c r="AA555" s="129">
        <v>167860196</v>
      </c>
      <c r="AB555" s="109">
        <f>AA555</f>
        <v>167860196</v>
      </c>
      <c r="AC555" s="139">
        <v>40554</v>
      </c>
      <c r="AD555" s="129">
        <v>93017358</v>
      </c>
      <c r="AE555" s="926" t="s">
        <v>157</v>
      </c>
      <c r="AF555" s="129" t="str">
        <f>AE555</f>
        <v>Puracé - SGP</v>
      </c>
      <c r="AG555" s="1256"/>
      <c r="AH555" s="109"/>
      <c r="AI555" s="129" t="e">
        <f>O555-AE555</f>
        <v>#VALUE!</v>
      </c>
      <c r="AJ555" s="1224"/>
      <c r="AK555" s="134">
        <f>P555-V555</f>
        <v>5610721</v>
      </c>
      <c r="AL555" s="1224"/>
      <c r="AM555" s="1119"/>
      <c r="AN555" s="1204"/>
      <c r="AO555" s="105"/>
      <c r="AQ555" s="934"/>
    </row>
    <row r="556" spans="1:43" s="24" customFormat="1" ht="15" customHeight="1">
      <c r="A556" s="1202"/>
      <c r="B556" s="1171"/>
      <c r="C556" s="1204"/>
      <c r="D556" s="1204"/>
      <c r="E556" s="1204"/>
      <c r="F556" s="1204"/>
      <c r="G556" s="1204"/>
      <c r="H556" s="1204"/>
      <c r="I556" s="1204"/>
      <c r="J556" s="1274"/>
      <c r="K556" s="1204"/>
      <c r="L556" s="1204"/>
      <c r="M556" s="1285">
        <v>2</v>
      </c>
      <c r="N556" s="1259" t="s">
        <v>157</v>
      </c>
      <c r="O556" s="1257">
        <v>175067821</v>
      </c>
      <c r="P556" s="1258">
        <f>O556</f>
        <v>175067821</v>
      </c>
      <c r="Q556" s="1266"/>
      <c r="R556" s="1132">
        <v>40681</v>
      </c>
      <c r="S556" s="109"/>
      <c r="T556" s="109"/>
      <c r="U556" s="109"/>
      <c r="V556" s="1258">
        <v>174618024</v>
      </c>
      <c r="W556" s="1119"/>
      <c r="X556" s="1033"/>
      <c r="Y556" s="105" t="s">
        <v>1590</v>
      </c>
      <c r="Z556" s="109"/>
      <c r="AA556" s="109"/>
      <c r="AB556" s="109"/>
      <c r="AC556" s="139">
        <v>40715</v>
      </c>
      <c r="AD556" s="129">
        <v>134759121.13999999</v>
      </c>
      <c r="AE556" s="1259" t="s">
        <v>157</v>
      </c>
      <c r="AF556" s="1258">
        <f>SUM(AE556:AE557)</f>
        <v>0</v>
      </c>
      <c r="AG556" s="1256"/>
      <c r="AH556" s="109"/>
      <c r="AI556" s="1258" t="e">
        <f>O556-AE556</f>
        <v>#VALUE!</v>
      </c>
      <c r="AJ556" s="1224"/>
      <c r="AK556" s="134">
        <f>P556-V556</f>
        <v>449797</v>
      </c>
      <c r="AL556" s="1224"/>
      <c r="AM556" s="1119"/>
      <c r="AN556" s="1204"/>
      <c r="AO556" s="105"/>
      <c r="AQ556" s="934"/>
    </row>
    <row r="557" spans="1:43" s="24" customFormat="1" ht="15" customHeight="1">
      <c r="A557" s="1202"/>
      <c r="B557" s="1171"/>
      <c r="C557" s="1204"/>
      <c r="D557" s="1204"/>
      <c r="E557" s="1204"/>
      <c r="F557" s="1204"/>
      <c r="G557" s="1204"/>
      <c r="H557" s="1204"/>
      <c r="I557" s="1204"/>
      <c r="J557" s="1274"/>
      <c r="K557" s="1204"/>
      <c r="L557" s="1204"/>
      <c r="M557" s="1285"/>
      <c r="N557" s="1259"/>
      <c r="O557" s="1257"/>
      <c r="P557" s="1258"/>
      <c r="Q557" s="1266"/>
      <c r="R557" s="1105"/>
      <c r="S557" s="109"/>
      <c r="T557" s="109"/>
      <c r="U557" s="109"/>
      <c r="V557" s="1258"/>
      <c r="W557" s="1119"/>
      <c r="X557" s="1033"/>
      <c r="Y557" s="105" t="s">
        <v>1586</v>
      </c>
      <c r="Z557" s="109"/>
      <c r="AA557" s="109"/>
      <c r="AB557" s="109"/>
      <c r="AC557" s="139">
        <v>40830</v>
      </c>
      <c r="AD557" s="129">
        <v>35813028</v>
      </c>
      <c r="AE557" s="1259"/>
      <c r="AF557" s="1258"/>
      <c r="AG557" s="1256"/>
      <c r="AH557" s="109"/>
      <c r="AI557" s="1258"/>
      <c r="AJ557" s="1224"/>
      <c r="AK557" s="109"/>
      <c r="AL557" s="1224"/>
      <c r="AM557" s="1119"/>
      <c r="AN557" s="1204"/>
      <c r="AO557" s="105" t="s">
        <v>1593</v>
      </c>
      <c r="AQ557" s="934"/>
    </row>
    <row r="558" spans="1:43" s="24" customFormat="1" ht="15" customHeight="1">
      <c r="A558" s="1202"/>
      <c r="B558" s="1171"/>
      <c r="C558" s="1204"/>
      <c r="D558" s="1204"/>
      <c r="E558" s="1204"/>
      <c r="F558" s="1204"/>
      <c r="G558" s="1204"/>
      <c r="H558" s="1204"/>
      <c r="I558" s="1204"/>
      <c r="J558" s="1204" t="s">
        <v>67</v>
      </c>
      <c r="K558" s="1204"/>
      <c r="L558" s="1204"/>
      <c r="M558" s="1285">
        <v>119</v>
      </c>
      <c r="N558" s="138" t="s">
        <v>137</v>
      </c>
      <c r="O558" s="129">
        <v>40370720</v>
      </c>
      <c r="P558" s="1258">
        <f>SUM(O558:O559)</f>
        <v>74842838</v>
      </c>
      <c r="Q558" s="1266"/>
      <c r="R558" s="1132">
        <v>40441</v>
      </c>
      <c r="S558" s="109"/>
      <c r="T558" s="109"/>
      <c r="U558" s="109"/>
      <c r="V558" s="130">
        <f>O558</f>
        <v>40370720</v>
      </c>
      <c r="W558" s="1119"/>
      <c r="X558" s="1033"/>
      <c r="Y558" s="105" t="s">
        <v>1592</v>
      </c>
      <c r="Z558" s="109"/>
      <c r="AA558" s="109"/>
      <c r="AB558" s="109"/>
      <c r="AC558" s="139">
        <v>40554</v>
      </c>
      <c r="AD558" s="129">
        <v>40370720</v>
      </c>
      <c r="AE558" s="933" t="s">
        <v>137</v>
      </c>
      <c r="AF558" s="1258">
        <f>SUM(AE558:AE559)</f>
        <v>0</v>
      </c>
      <c r="AG558" s="1256"/>
      <c r="AH558" s="109"/>
      <c r="AI558" s="129" t="e">
        <f>O558-AE558</f>
        <v>#VALUE!</v>
      </c>
      <c r="AJ558" s="1224"/>
      <c r="AK558" s="109"/>
      <c r="AL558" s="1224"/>
      <c r="AM558" s="1119"/>
      <c r="AN558" s="1204"/>
      <c r="AO558" s="105"/>
      <c r="AQ558" s="934"/>
    </row>
    <row r="559" spans="1:43" s="24" customFormat="1" ht="15" customHeight="1">
      <c r="A559" s="1202"/>
      <c r="B559" s="1171"/>
      <c r="C559" s="1204"/>
      <c r="D559" s="1204"/>
      <c r="E559" s="1204"/>
      <c r="F559" s="1204"/>
      <c r="G559" s="1204"/>
      <c r="H559" s="1204"/>
      <c r="I559" s="1204"/>
      <c r="J559" s="1204"/>
      <c r="K559" s="1204"/>
      <c r="L559" s="1204"/>
      <c r="M559" s="1285"/>
      <c r="N559" s="138" t="s">
        <v>7</v>
      </c>
      <c r="O559" s="129">
        <v>34472118</v>
      </c>
      <c r="P559" s="1258"/>
      <c r="Q559" s="1266"/>
      <c r="R559" s="1105"/>
      <c r="S559" s="109"/>
      <c r="T559" s="109"/>
      <c r="U559" s="109"/>
      <c r="V559" s="130">
        <f>O559</f>
        <v>34472118</v>
      </c>
      <c r="W559" s="1119"/>
      <c r="X559" s="1033"/>
      <c r="Y559" s="105" t="s">
        <v>1592</v>
      </c>
      <c r="Z559" s="109"/>
      <c r="AA559" s="109"/>
      <c r="AB559" s="109"/>
      <c r="AC559" s="139">
        <v>40554</v>
      </c>
      <c r="AD559" s="129">
        <v>34472118</v>
      </c>
      <c r="AE559" s="933" t="s">
        <v>7</v>
      </c>
      <c r="AF559" s="1258"/>
      <c r="AG559" s="1256"/>
      <c r="AH559" s="109"/>
      <c r="AI559" s="129" t="e">
        <f>O559-AE559</f>
        <v>#VALUE!</v>
      </c>
      <c r="AJ559" s="1224"/>
      <c r="AK559" s="109"/>
      <c r="AL559" s="1224"/>
      <c r="AM559" s="1119"/>
      <c r="AN559" s="1204"/>
      <c r="AO559" s="105"/>
      <c r="AQ559" s="934"/>
    </row>
    <row r="560" spans="1:43" s="24" customFormat="1" ht="15" customHeight="1">
      <c r="A560" s="1202"/>
      <c r="B560" s="1171"/>
      <c r="C560" s="1204"/>
      <c r="D560" s="1204"/>
      <c r="E560" s="1204"/>
      <c r="F560" s="1204"/>
      <c r="G560" s="1204"/>
      <c r="H560" s="1204"/>
      <c r="I560" s="1204"/>
      <c r="J560" s="1204"/>
      <c r="K560" s="1204"/>
      <c r="L560" s="1204"/>
      <c r="M560" s="150">
        <v>6</v>
      </c>
      <c r="N560" s="105" t="s">
        <v>157</v>
      </c>
      <c r="O560" s="129">
        <v>12032741</v>
      </c>
      <c r="P560" s="130">
        <f>O560</f>
        <v>12032741</v>
      </c>
      <c r="Q560" s="1266"/>
      <c r="R560" s="107">
        <v>41009</v>
      </c>
      <c r="S560" s="109"/>
      <c r="T560" s="109"/>
      <c r="U560" s="109"/>
      <c r="V560" s="130">
        <f>12032741-165</f>
        <v>12032576</v>
      </c>
      <c r="W560" s="1119"/>
      <c r="X560" s="1033"/>
      <c r="Y560" s="105"/>
      <c r="Z560" s="129"/>
      <c r="AA560" s="109"/>
      <c r="AB560" s="109"/>
      <c r="AC560" s="105"/>
      <c r="AD560" s="109">
        <v>0</v>
      </c>
      <c r="AE560" s="926" t="s">
        <v>157</v>
      </c>
      <c r="AF560" s="109"/>
      <c r="AG560" s="109"/>
      <c r="AH560" s="109"/>
      <c r="AI560" s="129" t="e">
        <f>O560-AE560</f>
        <v>#VALUE!</v>
      </c>
      <c r="AJ560" s="1224"/>
      <c r="AK560" s="109"/>
      <c r="AL560" s="1224"/>
      <c r="AM560" s="1119"/>
      <c r="AN560" s="1204"/>
      <c r="AO560" s="105"/>
      <c r="AQ560" s="934"/>
    </row>
    <row r="561" spans="1:43" s="24" customFormat="1" ht="15" customHeight="1">
      <c r="A561" s="1202"/>
      <c r="B561" s="1171"/>
      <c r="C561" s="1204"/>
      <c r="D561" s="1204"/>
      <c r="E561" s="1204"/>
      <c r="F561" s="1204"/>
      <c r="G561" s="1204"/>
      <c r="H561" s="1204"/>
      <c r="I561" s="1204"/>
      <c r="J561" s="1204"/>
      <c r="K561" s="1204"/>
      <c r="L561" s="1204"/>
      <c r="M561" s="132">
        <v>4</v>
      </c>
      <c r="N561" s="105" t="s">
        <v>157</v>
      </c>
      <c r="O561" s="109">
        <v>126543582</v>
      </c>
      <c r="P561" s="130">
        <f>O561</f>
        <v>126543582</v>
      </c>
      <c r="Q561" s="1267"/>
      <c r="R561" s="97">
        <v>40921</v>
      </c>
      <c r="S561" s="109"/>
      <c r="T561" s="109"/>
      <c r="U561" s="109"/>
      <c r="V561" s="130">
        <v>126543582</v>
      </c>
      <c r="W561" s="1119"/>
      <c r="X561" s="1012"/>
      <c r="Y561" s="108" t="s">
        <v>2715</v>
      </c>
      <c r="Z561" s="109">
        <v>12847482</v>
      </c>
      <c r="AA561" s="109">
        <v>0</v>
      </c>
      <c r="AB561" s="109">
        <v>12847482</v>
      </c>
      <c r="AC561" s="697">
        <v>43096</v>
      </c>
      <c r="AD561" s="119">
        <f>+AB561</f>
        <v>12847482</v>
      </c>
      <c r="AE561" s="926" t="s">
        <v>157</v>
      </c>
      <c r="AF561" s="119"/>
      <c r="AG561" s="119"/>
      <c r="AH561" s="119"/>
      <c r="AI561" s="129" t="e">
        <f>O561-AE561</f>
        <v>#VALUE!</v>
      </c>
      <c r="AJ561" s="1224"/>
      <c r="AK561" s="109"/>
      <c r="AL561" s="1224"/>
      <c r="AM561" s="1119"/>
      <c r="AN561" s="1204"/>
      <c r="AO561" s="105"/>
      <c r="AQ561" s="934"/>
    </row>
    <row r="562" spans="1:43" ht="15" customHeight="1">
      <c r="A562" s="1075" t="s">
        <v>707</v>
      </c>
      <c r="B562" s="1171">
        <v>40449</v>
      </c>
      <c r="C562" s="1076" t="s">
        <v>9</v>
      </c>
      <c r="D562" s="1076" t="s">
        <v>708</v>
      </c>
      <c r="E562" s="1252">
        <v>900384816</v>
      </c>
      <c r="F562" s="1252">
        <v>5</v>
      </c>
      <c r="G562" s="1076" t="s">
        <v>2854</v>
      </c>
      <c r="H562" s="1076" t="s">
        <v>70</v>
      </c>
      <c r="I562" s="1076" t="s">
        <v>177</v>
      </c>
      <c r="J562" s="1076" t="s">
        <v>66</v>
      </c>
      <c r="K562" s="1076" t="s">
        <v>49</v>
      </c>
      <c r="L562" s="1076" t="s">
        <v>718</v>
      </c>
      <c r="M562" s="1251">
        <v>3</v>
      </c>
      <c r="N562" s="1123" t="s">
        <v>129</v>
      </c>
      <c r="O562" s="1119">
        <v>17813162</v>
      </c>
      <c r="P562" s="1119">
        <f>O562</f>
        <v>17813162</v>
      </c>
      <c r="Q562" s="1119">
        <f>P562+P564+P568+P570+P574+P576+P577+P578</f>
        <v>218803979</v>
      </c>
      <c r="R562" s="1171">
        <v>40686</v>
      </c>
      <c r="S562" s="1196">
        <f>T562</f>
        <v>17813162</v>
      </c>
      <c r="T562" s="1119">
        <v>17813162</v>
      </c>
      <c r="U562" s="1119">
        <f>O562-T562</f>
        <v>0</v>
      </c>
      <c r="V562" s="1119">
        <v>17813162</v>
      </c>
      <c r="W562" s="1119">
        <f>172688384+43498198</f>
        <v>216186582</v>
      </c>
      <c r="X562" s="1076" t="s">
        <v>710</v>
      </c>
      <c r="Y562" s="108" t="s">
        <v>711</v>
      </c>
      <c r="Z562" s="109">
        <v>0</v>
      </c>
      <c r="AA562" s="109">
        <v>7125264.8000000007</v>
      </c>
      <c r="AB562" s="109">
        <f t="shared" si="39"/>
        <v>7125264.8000000007</v>
      </c>
      <c r="AC562" s="97">
        <v>40494</v>
      </c>
      <c r="AD562" s="119">
        <v>7125265</v>
      </c>
      <c r="AE562" s="119" t="s">
        <v>129</v>
      </c>
      <c r="AF562" s="1084">
        <f>SUM(AD562:AD563)</f>
        <v>16031701.539999999</v>
      </c>
      <c r="AG562" s="1084">
        <f>AF562+AF564+AF568+AF570+AF574+AF576+AF577+AF578</f>
        <v>155419547.53999999</v>
      </c>
      <c r="AH562" s="111">
        <f t="shared" si="40"/>
        <v>-0.19999999925494194</v>
      </c>
      <c r="AI562" s="1084">
        <f>O562-AD562-AD563</f>
        <v>1781460.4600000009</v>
      </c>
      <c r="AJ562" s="1119">
        <f>SUM(Z562:Z563)-SUM(AD562:AD563)</f>
        <v>-1177835.5399999991</v>
      </c>
      <c r="AK562" s="1119">
        <f>P562-V562</f>
        <v>0</v>
      </c>
      <c r="AL562" s="1119">
        <f>V562-Z562-Z563+AJ562</f>
        <v>1781460.4600000009</v>
      </c>
      <c r="AM562" s="1119"/>
      <c r="AN562" s="1203" t="s">
        <v>719</v>
      </c>
      <c r="AO562" s="1204" t="s">
        <v>773</v>
      </c>
    </row>
    <row r="563" spans="1:43" ht="15" customHeight="1">
      <c r="A563" s="1075"/>
      <c r="B563" s="1171"/>
      <c r="C563" s="1076"/>
      <c r="D563" s="1076"/>
      <c r="E563" s="1252"/>
      <c r="F563" s="1252"/>
      <c r="G563" s="1076"/>
      <c r="H563" s="1076"/>
      <c r="I563" s="1076"/>
      <c r="J563" s="1076"/>
      <c r="K563" s="1076"/>
      <c r="L563" s="1076"/>
      <c r="M563" s="1251"/>
      <c r="N563" s="1123"/>
      <c r="O563" s="1119"/>
      <c r="P563" s="1119"/>
      <c r="Q563" s="1119"/>
      <c r="R563" s="1171"/>
      <c r="S563" s="1196"/>
      <c r="T563" s="1119"/>
      <c r="U563" s="1119"/>
      <c r="V563" s="1119"/>
      <c r="W563" s="1119"/>
      <c r="X563" s="1076"/>
      <c r="Y563" s="108" t="s">
        <v>716</v>
      </c>
      <c r="Z563" s="109">
        <v>14853866</v>
      </c>
      <c r="AA563" s="109">
        <v>-5947428.9199999999</v>
      </c>
      <c r="AB563" s="109">
        <f t="shared" si="39"/>
        <v>8906437.0800000001</v>
      </c>
      <c r="AC563" s="97">
        <v>40913</v>
      </c>
      <c r="AD563" s="119">
        <v>8906436.5399999991</v>
      </c>
      <c r="AE563" s="119" t="s">
        <v>129</v>
      </c>
      <c r="AF563" s="1084"/>
      <c r="AG563" s="1084"/>
      <c r="AH563" s="111">
        <f t="shared" si="40"/>
        <v>0.54000000096857548</v>
      </c>
      <c r="AI563" s="1084"/>
      <c r="AJ563" s="1119"/>
      <c r="AK563" s="1119"/>
      <c r="AL563" s="1119"/>
      <c r="AM563" s="1119"/>
      <c r="AN563" s="1203"/>
      <c r="AO563" s="1204"/>
    </row>
    <row r="564" spans="1:43" ht="15" customHeight="1">
      <c r="A564" s="1075"/>
      <c r="B564" s="1171"/>
      <c r="C564" s="1076"/>
      <c r="D564" s="1076"/>
      <c r="E564" s="1252"/>
      <c r="F564" s="1252"/>
      <c r="G564" s="1076"/>
      <c r="H564" s="1076"/>
      <c r="I564" s="1076"/>
      <c r="J564" s="1076"/>
      <c r="K564" s="1076"/>
      <c r="L564" s="1076"/>
      <c r="M564" s="1251">
        <v>156</v>
      </c>
      <c r="N564" s="108" t="s">
        <v>7</v>
      </c>
      <c r="O564" s="109">
        <v>4682489</v>
      </c>
      <c r="P564" s="1119">
        <f>O564+O565</f>
        <v>12428492</v>
      </c>
      <c r="Q564" s="1119"/>
      <c r="R564" s="1171">
        <v>40686</v>
      </c>
      <c r="S564" s="1196">
        <f>T564+T565</f>
        <v>12428492</v>
      </c>
      <c r="T564" s="109">
        <v>4682489</v>
      </c>
      <c r="U564" s="109">
        <f>O564-T564</f>
        <v>0</v>
      </c>
      <c r="V564" s="109">
        <v>4682489</v>
      </c>
      <c r="W564" s="1119"/>
      <c r="X564" s="1076"/>
      <c r="Y564" s="1123" t="s">
        <v>712</v>
      </c>
      <c r="Z564" s="109">
        <v>0</v>
      </c>
      <c r="AA564" s="109">
        <v>3098401.2</v>
      </c>
      <c r="AB564" s="109">
        <f t="shared" si="39"/>
        <v>3098401.2</v>
      </c>
      <c r="AC564" s="1171">
        <v>40717</v>
      </c>
      <c r="AD564" s="119">
        <v>3098401</v>
      </c>
      <c r="AE564" s="119" t="s">
        <v>137</v>
      </c>
      <c r="AF564" s="1084">
        <f>SUM(AD564:AD567)</f>
        <v>11185543</v>
      </c>
      <c r="AG564" s="1084"/>
      <c r="AH564" s="111">
        <f t="shared" si="40"/>
        <v>0.20000000018626451</v>
      </c>
      <c r="AI564" s="111">
        <f>O564-AD565</f>
        <v>2809493</v>
      </c>
      <c r="AJ564" s="1119">
        <f>SUM(Z564:Z567)-SUM(AD564:AD567)</f>
        <v>-838438</v>
      </c>
      <c r="AK564" s="1119">
        <f>P564-V564-V565</f>
        <v>0</v>
      </c>
      <c r="AL564" s="1119">
        <f>AL155</f>
        <v>0</v>
      </c>
      <c r="AM564" s="1119"/>
      <c r="AN564" s="1203"/>
      <c r="AO564" s="1204"/>
    </row>
    <row r="565" spans="1:43" ht="15" customHeight="1">
      <c r="A565" s="1075"/>
      <c r="B565" s="1171"/>
      <c r="C565" s="1076"/>
      <c r="D565" s="1076"/>
      <c r="E565" s="1252"/>
      <c r="F565" s="1252"/>
      <c r="G565" s="1076"/>
      <c r="H565" s="1076"/>
      <c r="I565" s="1076"/>
      <c r="J565" s="1076"/>
      <c r="K565" s="1076"/>
      <c r="L565" s="1076"/>
      <c r="M565" s="1251"/>
      <c r="N565" s="1123" t="s">
        <v>137</v>
      </c>
      <c r="O565" s="1119">
        <v>7746003</v>
      </c>
      <c r="P565" s="1119"/>
      <c r="Q565" s="1119"/>
      <c r="R565" s="1171"/>
      <c r="S565" s="1196"/>
      <c r="T565" s="1119">
        <v>7746003</v>
      </c>
      <c r="U565" s="1119">
        <f>O565-T565</f>
        <v>0</v>
      </c>
      <c r="V565" s="1119">
        <v>7746003</v>
      </c>
      <c r="W565" s="1119"/>
      <c r="X565" s="1076"/>
      <c r="Y565" s="1123"/>
      <c r="Z565" s="109">
        <v>0</v>
      </c>
      <c r="AA565" s="109">
        <v>1872995.6</v>
      </c>
      <c r="AB565" s="109">
        <f t="shared" si="39"/>
        <v>1872995.6</v>
      </c>
      <c r="AC565" s="1171"/>
      <c r="AD565" s="119">
        <v>1872996</v>
      </c>
      <c r="AE565" s="119" t="s">
        <v>7</v>
      </c>
      <c r="AF565" s="1084"/>
      <c r="AG565" s="1084"/>
      <c r="AH565" s="111">
        <f t="shared" si="40"/>
        <v>-0.39999999990686774</v>
      </c>
      <c r="AI565" s="1084">
        <f>O565-AD564-AD566-AD567</f>
        <v>-1566544</v>
      </c>
      <c r="AJ565" s="1119"/>
      <c r="AK565" s="1119"/>
      <c r="AL565" s="1119"/>
      <c r="AM565" s="1119"/>
      <c r="AN565" s="1203"/>
      <c r="AO565" s="1204"/>
    </row>
    <row r="566" spans="1:43" ht="15" customHeight="1">
      <c r="A566" s="1075"/>
      <c r="B566" s="1171"/>
      <c r="C566" s="1076"/>
      <c r="D566" s="1076"/>
      <c r="E566" s="1252"/>
      <c r="F566" s="1252"/>
      <c r="G566" s="1076"/>
      <c r="H566" s="1076"/>
      <c r="I566" s="1076"/>
      <c r="J566" s="1076"/>
      <c r="K566" s="1076"/>
      <c r="L566" s="1076"/>
      <c r="M566" s="1251"/>
      <c r="N566" s="1123"/>
      <c r="O566" s="1119"/>
      <c r="P566" s="1119"/>
      <c r="Q566" s="1119"/>
      <c r="R566" s="1171"/>
      <c r="S566" s="1196"/>
      <c r="T566" s="1119"/>
      <c r="U566" s="1119"/>
      <c r="V566" s="1119"/>
      <c r="W566" s="1119"/>
      <c r="X566" s="1076"/>
      <c r="Y566" s="1123" t="s">
        <v>716</v>
      </c>
      <c r="Z566" s="109">
        <v>6493840</v>
      </c>
      <c r="AA566" s="109">
        <v>-2620900.88</v>
      </c>
      <c r="AB566" s="109">
        <f t="shared" si="39"/>
        <v>3872939.12</v>
      </c>
      <c r="AC566" s="1171">
        <v>40913</v>
      </c>
      <c r="AD566" s="119">
        <v>3872939</v>
      </c>
      <c r="AE566" s="119" t="s">
        <v>137</v>
      </c>
      <c r="AF566" s="1084"/>
      <c r="AG566" s="1084"/>
      <c r="AH566" s="111">
        <f t="shared" si="40"/>
        <v>0.12000000011175871</v>
      </c>
      <c r="AI566" s="1084"/>
      <c r="AJ566" s="1119"/>
      <c r="AK566" s="1119"/>
      <c r="AL566" s="1119"/>
      <c r="AM566" s="1119"/>
      <c r="AN566" s="1203"/>
      <c r="AO566" s="1204"/>
    </row>
    <row r="567" spans="1:43" ht="15" customHeight="1">
      <c r="A567" s="1075"/>
      <c r="B567" s="1171"/>
      <c r="C567" s="1076"/>
      <c r="D567" s="1076"/>
      <c r="E567" s="1252"/>
      <c r="F567" s="1252"/>
      <c r="G567" s="1076"/>
      <c r="H567" s="1076"/>
      <c r="I567" s="1076"/>
      <c r="J567" s="1076"/>
      <c r="K567" s="1076"/>
      <c r="L567" s="1076"/>
      <c r="M567" s="1251"/>
      <c r="N567" s="1123"/>
      <c r="O567" s="1119"/>
      <c r="P567" s="1119"/>
      <c r="Q567" s="1119"/>
      <c r="R567" s="1171"/>
      <c r="S567" s="1196"/>
      <c r="T567" s="1119"/>
      <c r="U567" s="1119"/>
      <c r="V567" s="1119"/>
      <c r="W567" s="1119"/>
      <c r="X567" s="1076"/>
      <c r="Y567" s="1123"/>
      <c r="Z567" s="109">
        <v>3853265</v>
      </c>
      <c r="AA567" s="109">
        <v>-1512058.2</v>
      </c>
      <c r="AB567" s="109">
        <f t="shared" si="39"/>
        <v>2341206.7999999998</v>
      </c>
      <c r="AC567" s="1171"/>
      <c r="AD567" s="119">
        <v>2341207</v>
      </c>
      <c r="AE567" s="119" t="s">
        <v>137</v>
      </c>
      <c r="AF567" s="1084"/>
      <c r="AG567" s="1084"/>
      <c r="AH567" s="111">
        <f t="shared" si="40"/>
        <v>-0.20000000018626451</v>
      </c>
      <c r="AI567" s="1084"/>
      <c r="AJ567" s="1119"/>
      <c r="AK567" s="1119"/>
      <c r="AL567" s="1119"/>
      <c r="AM567" s="1119"/>
      <c r="AN567" s="1203"/>
      <c r="AO567" s="1204"/>
    </row>
    <row r="568" spans="1:43" ht="15" customHeight="1">
      <c r="A568" s="1075"/>
      <c r="B568" s="1171"/>
      <c r="C568" s="1076" t="s">
        <v>22</v>
      </c>
      <c r="D568" s="1076"/>
      <c r="E568" s="1252"/>
      <c r="F568" s="1252"/>
      <c r="G568" s="1076"/>
      <c r="H568" s="1076"/>
      <c r="I568" s="1076"/>
      <c r="J568" s="1076"/>
      <c r="K568" s="1076"/>
      <c r="L568" s="1076"/>
      <c r="M568" s="1251">
        <v>3</v>
      </c>
      <c r="N568" s="1123" t="s">
        <v>145</v>
      </c>
      <c r="O568" s="1119">
        <v>105336687</v>
      </c>
      <c r="P568" s="1119">
        <f>O568</f>
        <v>105336687</v>
      </c>
      <c r="Q568" s="1119"/>
      <c r="R568" s="1171">
        <v>40686</v>
      </c>
      <c r="S568" s="1196">
        <f>T568</f>
        <v>105336687</v>
      </c>
      <c r="T568" s="1119">
        <v>105336687</v>
      </c>
      <c r="U568" s="1119">
        <f>O568-T568</f>
        <v>0</v>
      </c>
      <c r="V568" s="1119">
        <v>102719290</v>
      </c>
      <c r="W568" s="1119"/>
      <c r="X568" s="1076"/>
      <c r="Y568" s="108" t="s">
        <v>713</v>
      </c>
      <c r="Z568" s="109">
        <v>0</v>
      </c>
      <c r="AA568" s="109">
        <v>41087716</v>
      </c>
      <c r="AB568" s="109">
        <f t="shared" si="39"/>
        <v>41087716</v>
      </c>
      <c r="AC568" s="97">
        <v>40717</v>
      </c>
      <c r="AD568" s="119">
        <v>41087716</v>
      </c>
      <c r="AE568" s="119" t="s">
        <v>145</v>
      </c>
      <c r="AF568" s="1084">
        <f>SUM(AD568:AD569)</f>
        <v>92447606</v>
      </c>
      <c r="AG568" s="1084"/>
      <c r="AH568" s="111">
        <f t="shared" si="40"/>
        <v>0</v>
      </c>
      <c r="AI568" s="1084">
        <f>O568-AD568-AD569</f>
        <v>12889081</v>
      </c>
      <c r="AJ568" s="1119">
        <f>SUM(Z568:Z569)-SUM(AD568:AD569)</f>
        <v>-6847789.299999997</v>
      </c>
      <c r="AK568" s="1119">
        <f>P568-V568</f>
        <v>2617397</v>
      </c>
      <c r="AL568" s="1119">
        <f>V568-Z568-Z569+AJ568</f>
        <v>10271684</v>
      </c>
      <c r="AM568" s="1119"/>
      <c r="AN568" s="1203"/>
      <c r="AO568" s="1204"/>
    </row>
    <row r="569" spans="1:43" ht="15" customHeight="1">
      <c r="A569" s="1075"/>
      <c r="B569" s="1171"/>
      <c r="C569" s="1076"/>
      <c r="D569" s="1076"/>
      <c r="E569" s="1252"/>
      <c r="F569" s="1252"/>
      <c r="G569" s="1076"/>
      <c r="H569" s="1076"/>
      <c r="I569" s="1076"/>
      <c r="J569" s="1076"/>
      <c r="K569" s="1076"/>
      <c r="L569" s="1076"/>
      <c r="M569" s="1251"/>
      <c r="N569" s="1123"/>
      <c r="O569" s="1119"/>
      <c r="P569" s="1119"/>
      <c r="Q569" s="1119"/>
      <c r="R569" s="1171"/>
      <c r="S569" s="1196"/>
      <c r="T569" s="1119"/>
      <c r="U569" s="1119"/>
      <c r="V569" s="1119"/>
      <c r="W569" s="1119"/>
      <c r="X569" s="1076"/>
      <c r="Y569" s="108" t="s">
        <v>717</v>
      </c>
      <c r="Z569" s="109">
        <v>85599816.700000003</v>
      </c>
      <c r="AA569" s="109">
        <v>-34239927</v>
      </c>
      <c r="AB569" s="109">
        <f t="shared" si="39"/>
        <v>51359889.700000003</v>
      </c>
      <c r="AC569" s="97">
        <v>40911</v>
      </c>
      <c r="AD569" s="119">
        <v>51359890</v>
      </c>
      <c r="AE569" s="119" t="s">
        <v>145</v>
      </c>
      <c r="AF569" s="1084"/>
      <c r="AG569" s="1084"/>
      <c r="AH569" s="111">
        <f t="shared" si="40"/>
        <v>-0.29999999701976776</v>
      </c>
      <c r="AI569" s="1084"/>
      <c r="AJ569" s="1119"/>
      <c r="AK569" s="1119"/>
      <c r="AL569" s="1119"/>
      <c r="AM569" s="1119"/>
      <c r="AN569" s="1203"/>
      <c r="AO569" s="1204"/>
    </row>
    <row r="570" spans="1:43" ht="15" customHeight="1">
      <c r="A570" s="1075"/>
      <c r="B570" s="1171"/>
      <c r="C570" s="1076" t="s">
        <v>31</v>
      </c>
      <c r="D570" s="1076"/>
      <c r="E570" s="1252"/>
      <c r="F570" s="1252"/>
      <c r="G570" s="1076"/>
      <c r="H570" s="1076"/>
      <c r="I570" s="1076"/>
      <c r="J570" s="1076"/>
      <c r="K570" s="1076"/>
      <c r="L570" s="1076"/>
      <c r="M570" s="1251">
        <v>157</v>
      </c>
      <c r="N570" s="108" t="s">
        <v>7</v>
      </c>
      <c r="O570" s="109">
        <v>5819025</v>
      </c>
      <c r="P570" s="1119">
        <f>O570+O571</f>
        <v>17831767</v>
      </c>
      <c r="Q570" s="1119"/>
      <c r="R570" s="1171">
        <v>40686</v>
      </c>
      <c r="S570" s="1196">
        <f>T570+T571</f>
        <v>17831767</v>
      </c>
      <c r="T570" s="109">
        <v>5819025</v>
      </c>
      <c r="U570" s="109">
        <f>O570-T570</f>
        <v>0</v>
      </c>
      <c r="V570" s="109">
        <v>5819025</v>
      </c>
      <c r="W570" s="1119"/>
      <c r="X570" s="1076"/>
      <c r="Y570" s="1123" t="s">
        <v>714</v>
      </c>
      <c r="Z570" s="109">
        <v>0</v>
      </c>
      <c r="AA570" s="109">
        <v>2383646</v>
      </c>
      <c r="AB570" s="109">
        <f t="shared" si="39"/>
        <v>2383646</v>
      </c>
      <c r="AC570" s="1171">
        <v>40717</v>
      </c>
      <c r="AD570" s="119">
        <v>2383646</v>
      </c>
      <c r="AE570" s="119" t="s">
        <v>7</v>
      </c>
      <c r="AF570" s="1084">
        <f>SUM(AD570:AD573)</f>
        <v>16066823</v>
      </c>
      <c r="AG570" s="1084"/>
      <c r="AH570" s="111">
        <f t="shared" si="40"/>
        <v>0</v>
      </c>
      <c r="AI570" s="111">
        <f>O570-AD570</f>
        <v>3435379</v>
      </c>
      <c r="AJ570" s="1119">
        <f>SUM(Z570:Z573)-SUM(AD570:AD573)</f>
        <v>-1207017.17</v>
      </c>
      <c r="AK570" s="1119">
        <f>P570-V570-V571</f>
        <v>0</v>
      </c>
      <c r="AL570" s="1119">
        <f>SUM(V570:V573)-SUM(Z570:Z573)+AJ570</f>
        <v>1764944</v>
      </c>
      <c r="AM570" s="1119"/>
      <c r="AN570" s="1203"/>
      <c r="AO570" s="1204"/>
    </row>
    <row r="571" spans="1:43" ht="15" customHeight="1">
      <c r="A571" s="1075"/>
      <c r="B571" s="1171"/>
      <c r="C571" s="1076"/>
      <c r="D571" s="1076"/>
      <c r="E571" s="1252"/>
      <c r="F571" s="1252"/>
      <c r="G571" s="1076"/>
      <c r="H571" s="1076"/>
      <c r="I571" s="1076"/>
      <c r="J571" s="1076"/>
      <c r="K571" s="1076"/>
      <c r="L571" s="1076"/>
      <c r="M571" s="1251"/>
      <c r="N571" s="1123" t="s">
        <v>137</v>
      </c>
      <c r="O571" s="1119">
        <v>12012742</v>
      </c>
      <c r="P571" s="1119"/>
      <c r="Q571" s="1119"/>
      <c r="R571" s="1171"/>
      <c r="S571" s="1196"/>
      <c r="T571" s="1119">
        <v>12012742</v>
      </c>
      <c r="U571" s="1119">
        <f>O571-T571</f>
        <v>0</v>
      </c>
      <c r="V571" s="1119">
        <v>12012742</v>
      </c>
      <c r="W571" s="1119"/>
      <c r="X571" s="1076"/>
      <c r="Y571" s="1123"/>
      <c r="Z571" s="109">
        <v>0</v>
      </c>
      <c r="AA571" s="109">
        <v>4767293</v>
      </c>
      <c r="AB571" s="109">
        <f t="shared" si="39"/>
        <v>4767293</v>
      </c>
      <c r="AC571" s="1171"/>
      <c r="AD571" s="119">
        <v>4767293</v>
      </c>
      <c r="AE571" s="119" t="s">
        <v>137</v>
      </c>
      <c r="AF571" s="1084"/>
      <c r="AG571" s="1084"/>
      <c r="AH571" s="111">
        <f t="shared" si="40"/>
        <v>0</v>
      </c>
      <c r="AI571" s="1084">
        <f>O571-AD571-AD572-AD573</f>
        <v>-1670435</v>
      </c>
      <c r="AJ571" s="1119"/>
      <c r="AK571" s="1119"/>
      <c r="AL571" s="1119"/>
      <c r="AM571" s="1119"/>
      <c r="AN571" s="1203"/>
      <c r="AO571" s="1204"/>
    </row>
    <row r="572" spans="1:43" ht="15" customHeight="1">
      <c r="A572" s="1075"/>
      <c r="B572" s="1171"/>
      <c r="C572" s="1076"/>
      <c r="D572" s="1076"/>
      <c r="E572" s="1252"/>
      <c r="F572" s="1252"/>
      <c r="G572" s="1076"/>
      <c r="H572" s="1076"/>
      <c r="I572" s="1076"/>
      <c r="J572" s="1076"/>
      <c r="K572" s="1076"/>
      <c r="L572" s="1076"/>
      <c r="M572" s="1251"/>
      <c r="N572" s="1123"/>
      <c r="O572" s="1119"/>
      <c r="P572" s="1119"/>
      <c r="Q572" s="1119"/>
      <c r="R572" s="1171"/>
      <c r="S572" s="1196"/>
      <c r="T572" s="1119"/>
      <c r="U572" s="1119"/>
      <c r="V572" s="1119"/>
      <c r="W572" s="1119"/>
      <c r="X572" s="1076"/>
      <c r="Y572" s="1123" t="s">
        <v>715</v>
      </c>
      <c r="Z572" s="109">
        <v>4849187.5</v>
      </c>
      <c r="AA572" s="109">
        <v>-1939675</v>
      </c>
      <c r="AB572" s="109">
        <f t="shared" si="39"/>
        <v>2909512.5</v>
      </c>
      <c r="AC572" s="1171">
        <v>41031</v>
      </c>
      <c r="AD572" s="119">
        <v>2909513</v>
      </c>
      <c r="AE572" s="119" t="s">
        <v>137</v>
      </c>
      <c r="AF572" s="1084"/>
      <c r="AG572" s="1084"/>
      <c r="AH572" s="111">
        <f t="shared" si="40"/>
        <v>-0.5</v>
      </c>
      <c r="AI572" s="1084"/>
      <c r="AJ572" s="1119"/>
      <c r="AK572" s="1119"/>
      <c r="AL572" s="1119"/>
      <c r="AM572" s="1119"/>
      <c r="AN572" s="1203"/>
      <c r="AO572" s="1204"/>
    </row>
    <row r="573" spans="1:43" ht="15" customHeight="1">
      <c r="A573" s="1075"/>
      <c r="B573" s="1171"/>
      <c r="C573" s="1076"/>
      <c r="D573" s="1076"/>
      <c r="E573" s="1252"/>
      <c r="F573" s="1252"/>
      <c r="G573" s="1076"/>
      <c r="H573" s="1076"/>
      <c r="I573" s="1076"/>
      <c r="J573" s="1076"/>
      <c r="K573" s="1076"/>
      <c r="L573" s="1076"/>
      <c r="M573" s="1251"/>
      <c r="N573" s="1123"/>
      <c r="O573" s="1119"/>
      <c r="P573" s="1119"/>
      <c r="Q573" s="1119"/>
      <c r="R573" s="1171"/>
      <c r="S573" s="1196"/>
      <c r="T573" s="1119"/>
      <c r="U573" s="1119"/>
      <c r="V573" s="1119"/>
      <c r="W573" s="1119"/>
      <c r="X573" s="1076"/>
      <c r="Y573" s="1123"/>
      <c r="Z573" s="109">
        <v>10010618.33</v>
      </c>
      <c r="AA573" s="109">
        <v>-4004247.33</v>
      </c>
      <c r="AB573" s="109">
        <f t="shared" si="39"/>
        <v>6006371</v>
      </c>
      <c r="AC573" s="1171"/>
      <c r="AD573" s="119">
        <v>6006371</v>
      </c>
      <c r="AE573" s="119" t="s">
        <v>137</v>
      </c>
      <c r="AF573" s="1084"/>
      <c r="AG573" s="1084"/>
      <c r="AH573" s="111">
        <f t="shared" si="40"/>
        <v>0</v>
      </c>
      <c r="AI573" s="1084"/>
      <c r="AJ573" s="1119"/>
      <c r="AK573" s="1119"/>
      <c r="AL573" s="1119"/>
      <c r="AM573" s="1119"/>
      <c r="AN573" s="1203"/>
      <c r="AO573" s="1204"/>
    </row>
    <row r="574" spans="1:43" ht="15" customHeight="1">
      <c r="A574" s="1075"/>
      <c r="B574" s="1171"/>
      <c r="C574" s="1076"/>
      <c r="D574" s="1076"/>
      <c r="E574" s="1252"/>
      <c r="F574" s="1252"/>
      <c r="G574" s="1076"/>
      <c r="H574" s="1076"/>
      <c r="I574" s="1076"/>
      <c r="J574" s="1076"/>
      <c r="K574" s="1076"/>
      <c r="L574" s="1076"/>
      <c r="M574" s="1251">
        <v>3</v>
      </c>
      <c r="N574" s="1123" t="s">
        <v>157</v>
      </c>
      <c r="O574" s="1119">
        <v>21895673</v>
      </c>
      <c r="P574" s="1119">
        <f>O574</f>
        <v>21895673</v>
      </c>
      <c r="Q574" s="1119"/>
      <c r="R574" s="1171">
        <v>40686</v>
      </c>
      <c r="S574" s="1196">
        <f>T574</f>
        <v>21895673</v>
      </c>
      <c r="T574" s="1196">
        <v>21895673</v>
      </c>
      <c r="U574" s="1196">
        <f>O574-T574</f>
        <v>0</v>
      </c>
      <c r="V574" s="1119">
        <v>21895673</v>
      </c>
      <c r="W574" s="1119"/>
      <c r="X574" s="1076"/>
      <c r="Y574" s="108" t="s">
        <v>714</v>
      </c>
      <c r="Z574" s="109">
        <v>0</v>
      </c>
      <c r="AA574" s="109">
        <v>8740037</v>
      </c>
      <c r="AB574" s="109">
        <f t="shared" si="39"/>
        <v>8740037</v>
      </c>
      <c r="AC574" s="97">
        <v>40717</v>
      </c>
      <c r="AD574" s="119">
        <v>8740037</v>
      </c>
      <c r="AE574" s="119" t="s">
        <v>157</v>
      </c>
      <c r="AF574" s="1084">
        <f>SUM(AD574:AD575)</f>
        <v>19687874</v>
      </c>
      <c r="AG574" s="1084"/>
      <c r="AH574" s="111">
        <f t="shared" si="40"/>
        <v>0</v>
      </c>
      <c r="AI574" s="1084">
        <f>O574-AD574-AD575</f>
        <v>2207799</v>
      </c>
      <c r="AJ574" s="1119">
        <f>SUM(Z574:Z575)-SUM(AD574:AD575)</f>
        <v>-1441479.8299999982</v>
      </c>
      <c r="AK574" s="1119">
        <f>P574-V574</f>
        <v>0</v>
      </c>
      <c r="AL574" s="1119">
        <f>SUM(V574)-SUM(Z574:Z575)+AJ574</f>
        <v>2207799</v>
      </c>
      <c r="AM574" s="1119"/>
      <c r="AN574" s="1203"/>
      <c r="AO574" s="1204"/>
    </row>
    <row r="575" spans="1:43" ht="15" customHeight="1">
      <c r="A575" s="1075"/>
      <c r="B575" s="1171"/>
      <c r="C575" s="1076"/>
      <c r="D575" s="1076"/>
      <c r="E575" s="1252"/>
      <c r="F575" s="1252"/>
      <c r="G575" s="1076"/>
      <c r="H575" s="1076"/>
      <c r="I575" s="1076"/>
      <c r="J575" s="1076"/>
      <c r="K575" s="1076"/>
      <c r="L575" s="1076"/>
      <c r="M575" s="1251"/>
      <c r="N575" s="1123"/>
      <c r="O575" s="1119"/>
      <c r="P575" s="1119"/>
      <c r="Q575" s="1119"/>
      <c r="R575" s="1171"/>
      <c r="S575" s="1196"/>
      <c r="T575" s="1196"/>
      <c r="U575" s="1196"/>
      <c r="V575" s="1119"/>
      <c r="W575" s="1119"/>
      <c r="X575" s="1076"/>
      <c r="Y575" s="108" t="s">
        <v>715</v>
      </c>
      <c r="Z575" s="109">
        <v>18246394.170000002</v>
      </c>
      <c r="AA575" s="109">
        <v>-7298557.6699999999</v>
      </c>
      <c r="AB575" s="109">
        <f t="shared" si="39"/>
        <v>10947836.500000002</v>
      </c>
      <c r="AC575" s="97">
        <v>41031</v>
      </c>
      <c r="AD575" s="119">
        <v>10947837</v>
      </c>
      <c r="AE575" s="119" t="s">
        <v>157</v>
      </c>
      <c r="AF575" s="1084"/>
      <c r="AG575" s="1084"/>
      <c r="AH575" s="111">
        <f t="shared" si="40"/>
        <v>-0.49999999813735485</v>
      </c>
      <c r="AI575" s="1084"/>
      <c r="AJ575" s="1119"/>
      <c r="AK575" s="1119"/>
      <c r="AL575" s="1119"/>
      <c r="AM575" s="1119"/>
      <c r="AN575" s="1203"/>
      <c r="AO575" s="1204"/>
    </row>
    <row r="576" spans="1:43" ht="15" customHeight="1">
      <c r="A576" s="1075"/>
      <c r="B576" s="1171"/>
      <c r="C576" s="1076"/>
      <c r="D576" s="1076"/>
      <c r="E576" s="1252"/>
      <c r="F576" s="1252"/>
      <c r="G576" s="1076"/>
      <c r="H576" s="1076"/>
      <c r="I576" s="1076"/>
      <c r="J576" s="1076" t="s">
        <v>171</v>
      </c>
      <c r="K576" s="1076"/>
      <c r="L576" s="1076"/>
      <c r="M576" s="122">
        <v>5</v>
      </c>
      <c r="N576" s="108" t="s">
        <v>157</v>
      </c>
      <c r="O576" s="109">
        <v>11086105</v>
      </c>
      <c r="P576" s="109">
        <f>O576</f>
        <v>11086105</v>
      </c>
      <c r="Q576" s="1119"/>
      <c r="R576" s="97">
        <v>40921</v>
      </c>
      <c r="S576" s="110">
        <f>T576</f>
        <v>11086105</v>
      </c>
      <c r="T576" s="109">
        <v>11086105</v>
      </c>
      <c r="U576" s="109">
        <f>O576-T576</f>
        <v>0</v>
      </c>
      <c r="V576" s="109">
        <v>11086105</v>
      </c>
      <c r="W576" s="1119"/>
      <c r="X576" s="1076"/>
      <c r="Y576" s="108"/>
      <c r="Z576" s="109"/>
      <c r="AA576" s="109"/>
      <c r="AB576" s="109">
        <f t="shared" si="39"/>
        <v>0</v>
      </c>
      <c r="AC576" s="97"/>
      <c r="AD576" s="119">
        <v>0</v>
      </c>
      <c r="AE576" s="924" t="s">
        <v>157</v>
      </c>
      <c r="AF576" s="111"/>
      <c r="AG576" s="1084"/>
      <c r="AH576" s="111">
        <f t="shared" si="40"/>
        <v>0</v>
      </c>
      <c r="AI576" s="111"/>
      <c r="AJ576" s="109">
        <f>Z576-AD576</f>
        <v>0</v>
      </c>
      <c r="AK576" s="111">
        <f>P576-V576</f>
        <v>0</v>
      </c>
      <c r="AL576" s="109">
        <f>V576-Z576</f>
        <v>11086105</v>
      </c>
      <c r="AM576" s="109"/>
      <c r="AN576" s="1203"/>
      <c r="AO576" s="1204"/>
    </row>
    <row r="577" spans="1:42" ht="15" customHeight="1">
      <c r="A577" s="1075"/>
      <c r="B577" s="1171"/>
      <c r="C577" s="113" t="s">
        <v>9</v>
      </c>
      <c r="D577" s="1076"/>
      <c r="E577" s="1252"/>
      <c r="F577" s="1252"/>
      <c r="G577" s="1076"/>
      <c r="H577" s="1076"/>
      <c r="I577" s="1076"/>
      <c r="J577" s="1076"/>
      <c r="K577" s="1076"/>
      <c r="L577" s="1076"/>
      <c r="M577" s="122">
        <v>237</v>
      </c>
      <c r="N577" s="108" t="s">
        <v>7</v>
      </c>
      <c r="O577" s="109">
        <v>7390178</v>
      </c>
      <c r="P577" s="109">
        <v>7390178</v>
      </c>
      <c r="Q577" s="1119"/>
      <c r="R577" s="97">
        <v>40906</v>
      </c>
      <c r="S577" s="110">
        <f>T577</f>
        <v>7390178</v>
      </c>
      <c r="T577" s="109">
        <v>7390178</v>
      </c>
      <c r="U577" s="109">
        <f>O577-T577</f>
        <v>0</v>
      </c>
      <c r="V577" s="109">
        <v>7390178</v>
      </c>
      <c r="W577" s="1119"/>
      <c r="X577" s="1076"/>
      <c r="Y577" s="108"/>
      <c r="Z577" s="109"/>
      <c r="AA577" s="109"/>
      <c r="AB577" s="109">
        <f t="shared" ref="AB577:AB612" si="41">Z577+AA577</f>
        <v>0</v>
      </c>
      <c r="AC577" s="97"/>
      <c r="AD577" s="119">
        <v>0</v>
      </c>
      <c r="AE577" s="924" t="s">
        <v>7</v>
      </c>
      <c r="AF577" s="111"/>
      <c r="AG577" s="1084"/>
      <c r="AH577" s="111">
        <f t="shared" ref="AH577:AH611" si="42">AB577-AD577</f>
        <v>0</v>
      </c>
      <c r="AI577" s="111"/>
      <c r="AJ577" s="109">
        <f>Z577-AD577</f>
        <v>0</v>
      </c>
      <c r="AK577" s="109">
        <f>P577-V577</f>
        <v>0</v>
      </c>
      <c r="AL577" s="109">
        <f>V577-Z577</f>
        <v>7390178</v>
      </c>
      <c r="AM577" s="109"/>
      <c r="AN577" s="1203"/>
      <c r="AO577" s="1204"/>
    </row>
    <row r="578" spans="1:42" ht="15" customHeight="1">
      <c r="A578" s="1075"/>
      <c r="B578" s="1171"/>
      <c r="C578" s="113" t="s">
        <v>22</v>
      </c>
      <c r="D578" s="1076"/>
      <c r="E578" s="1252"/>
      <c r="F578" s="1252"/>
      <c r="G578" s="1076"/>
      <c r="H578" s="1076"/>
      <c r="I578" s="1076"/>
      <c r="J578" s="1076"/>
      <c r="K578" s="1076"/>
      <c r="L578" s="1076"/>
      <c r="M578" s="122">
        <v>234</v>
      </c>
      <c r="N578" s="108" t="s">
        <v>7</v>
      </c>
      <c r="O578" s="109">
        <v>25021915</v>
      </c>
      <c r="P578" s="109">
        <f>O578</f>
        <v>25021915</v>
      </c>
      <c r="Q578" s="1119"/>
      <c r="R578" s="97">
        <v>40899</v>
      </c>
      <c r="S578" s="110">
        <f>T578</f>
        <v>25021915</v>
      </c>
      <c r="T578" s="109">
        <v>25021915</v>
      </c>
      <c r="U578" s="109">
        <f>O578-T578</f>
        <v>0</v>
      </c>
      <c r="V578" s="109">
        <v>25021915</v>
      </c>
      <c r="W578" s="1119"/>
      <c r="X578" s="1076"/>
      <c r="Y578" s="108"/>
      <c r="Z578" s="109"/>
      <c r="AA578" s="109"/>
      <c r="AB578" s="109">
        <f t="shared" si="41"/>
        <v>0</v>
      </c>
      <c r="AC578" s="97"/>
      <c r="AD578" s="119">
        <v>0</v>
      </c>
      <c r="AE578" s="924" t="s">
        <v>7</v>
      </c>
      <c r="AF578" s="111"/>
      <c r="AG578" s="1084"/>
      <c r="AH578" s="111">
        <f t="shared" si="42"/>
        <v>0</v>
      </c>
      <c r="AI578" s="111"/>
      <c r="AJ578" s="109">
        <f>Z578-AD578</f>
        <v>0</v>
      </c>
      <c r="AK578" s="109">
        <f>P578-V578</f>
        <v>0</v>
      </c>
      <c r="AL578" s="109">
        <f>V578-Z578</f>
        <v>25021915</v>
      </c>
      <c r="AM578" s="109"/>
      <c r="AN578" s="1203"/>
      <c r="AO578" s="1204"/>
    </row>
    <row r="579" spans="1:42" ht="15" customHeight="1">
      <c r="A579" s="1214" t="s">
        <v>720</v>
      </c>
      <c r="B579" s="1171">
        <v>40450</v>
      </c>
      <c r="C579" s="1076" t="s">
        <v>36</v>
      </c>
      <c r="D579" s="1076" t="s">
        <v>481</v>
      </c>
      <c r="E579" s="1252">
        <v>900385116</v>
      </c>
      <c r="F579" s="1252">
        <v>2</v>
      </c>
      <c r="G579" s="1076" t="s">
        <v>2855</v>
      </c>
      <c r="H579" s="1076" t="s">
        <v>70</v>
      </c>
      <c r="I579" s="1076" t="s">
        <v>177</v>
      </c>
      <c r="J579" s="1076" t="s">
        <v>66</v>
      </c>
      <c r="K579" s="1076" t="s">
        <v>50</v>
      </c>
      <c r="L579" s="1076" t="s">
        <v>725</v>
      </c>
      <c r="M579" s="1251">
        <v>223</v>
      </c>
      <c r="N579" s="1123" t="s">
        <v>137</v>
      </c>
      <c r="O579" s="1119">
        <v>66155932</v>
      </c>
      <c r="P579" s="1119">
        <f>O579</f>
        <v>66155932</v>
      </c>
      <c r="Q579" s="1119">
        <f>P579+P582</f>
        <v>155091415</v>
      </c>
      <c r="R579" s="1171">
        <v>40855</v>
      </c>
      <c r="S579" s="1196">
        <f>T579</f>
        <v>66155932</v>
      </c>
      <c r="T579" s="1119">
        <v>66155932</v>
      </c>
      <c r="U579" s="1119">
        <f>O579-T579</f>
        <v>0</v>
      </c>
      <c r="V579" s="1119">
        <v>66155932</v>
      </c>
      <c r="W579" s="1119">
        <v>154929600</v>
      </c>
      <c r="X579" s="1076" t="s">
        <v>722</v>
      </c>
      <c r="Y579" s="108" t="s">
        <v>723</v>
      </c>
      <c r="Z579" s="109">
        <v>0</v>
      </c>
      <c r="AA579" s="109">
        <v>26462372.800000001</v>
      </c>
      <c r="AB579" s="109">
        <f t="shared" si="41"/>
        <v>26462372.800000001</v>
      </c>
      <c r="AC579" s="97">
        <v>40910</v>
      </c>
      <c r="AD579" s="119">
        <v>26462373</v>
      </c>
      <c r="AE579" s="119" t="s">
        <v>137</v>
      </c>
      <c r="AF579" s="1084">
        <f>SUM(AD579:AD581)</f>
        <v>61436368.289999999</v>
      </c>
      <c r="AG579" s="1084">
        <f>AF579+AF582</f>
        <v>143876923</v>
      </c>
      <c r="AH579" s="111">
        <f t="shared" si="42"/>
        <v>-0.19999999925494194</v>
      </c>
      <c r="AI579" s="1084">
        <f>O579-AD579-AD580-AD581</f>
        <v>4719563.7100000009</v>
      </c>
      <c r="AJ579" s="1119">
        <f>SUM(Z579:Z581)-SUM(AD579:AD581)</f>
        <v>4101849.7800000012</v>
      </c>
      <c r="AK579" s="1119">
        <f>P579-V579</f>
        <v>0</v>
      </c>
      <c r="AL579" s="1119">
        <f>V579-SUM(Z579:Z581)</f>
        <v>617713.9299999997</v>
      </c>
      <c r="AM579" s="1119">
        <f>AK579+AL579</f>
        <v>617713.9299999997</v>
      </c>
      <c r="AN579" s="1204" t="s">
        <v>728</v>
      </c>
      <c r="AO579" s="1204" t="s">
        <v>727</v>
      </c>
      <c r="AP579" s="1202" t="s">
        <v>2476</v>
      </c>
    </row>
    <row r="580" spans="1:42" ht="15" customHeight="1">
      <c r="A580" s="1214"/>
      <c r="B580" s="1171"/>
      <c r="C580" s="1076"/>
      <c r="D580" s="1076"/>
      <c r="E580" s="1252"/>
      <c r="F580" s="1252"/>
      <c r="G580" s="1076"/>
      <c r="H580" s="1076"/>
      <c r="I580" s="1076"/>
      <c r="J580" s="1076"/>
      <c r="K580" s="1076"/>
      <c r="L580" s="1076"/>
      <c r="M580" s="1251"/>
      <c r="N580" s="1123"/>
      <c r="O580" s="1119"/>
      <c r="P580" s="1119"/>
      <c r="Q580" s="1119"/>
      <c r="R580" s="1171"/>
      <c r="S580" s="1196"/>
      <c r="T580" s="1119"/>
      <c r="U580" s="1119"/>
      <c r="V580" s="1119"/>
      <c r="W580" s="1119"/>
      <c r="X580" s="1076"/>
      <c r="Y580" s="108" t="s">
        <v>724</v>
      </c>
      <c r="Z580" s="109">
        <v>58289991.869999997</v>
      </c>
      <c r="AA580" s="109">
        <v>-23315996.579999998</v>
      </c>
      <c r="AB580" s="109">
        <f t="shared" si="41"/>
        <v>34973995.289999999</v>
      </c>
      <c r="AC580" s="97">
        <v>41941</v>
      </c>
      <c r="AD580" s="119">
        <v>34973995.289999999</v>
      </c>
      <c r="AE580" s="119" t="s">
        <v>137</v>
      </c>
      <c r="AF580" s="1084"/>
      <c r="AG580" s="1084"/>
      <c r="AH580" s="111">
        <f t="shared" si="42"/>
        <v>0</v>
      </c>
      <c r="AI580" s="1084"/>
      <c r="AJ580" s="1119"/>
      <c r="AK580" s="1119"/>
      <c r="AL580" s="1119"/>
      <c r="AM580" s="1119"/>
      <c r="AN580" s="1204"/>
      <c r="AO580" s="1204"/>
      <c r="AP580" s="1202"/>
    </row>
    <row r="581" spans="1:42" ht="15" customHeight="1">
      <c r="A581" s="1214"/>
      <c r="B581" s="1171"/>
      <c r="C581" s="1076"/>
      <c r="D581" s="1076"/>
      <c r="E581" s="1252"/>
      <c r="F581" s="1252"/>
      <c r="G581" s="1076"/>
      <c r="H581" s="1076"/>
      <c r="I581" s="1076"/>
      <c r="J581" s="1076"/>
      <c r="K581" s="1076"/>
      <c r="L581" s="1076"/>
      <c r="M581" s="1251"/>
      <c r="N581" s="1123"/>
      <c r="O581" s="1119"/>
      <c r="P581" s="1119"/>
      <c r="Q581" s="1119"/>
      <c r="R581" s="1171"/>
      <c r="S581" s="1196"/>
      <c r="T581" s="1119"/>
      <c r="U581" s="1119"/>
      <c r="V581" s="1119"/>
      <c r="W581" s="1119"/>
      <c r="X581" s="1076"/>
      <c r="Y581" s="108" t="s">
        <v>726</v>
      </c>
      <c r="Z581" s="109">
        <v>7248226.2000000002</v>
      </c>
      <c r="AA581" s="109">
        <v>-3146376</v>
      </c>
      <c r="AB581" s="109">
        <f t="shared" si="41"/>
        <v>4101850.2</v>
      </c>
      <c r="AC581" s="97"/>
      <c r="AD581" s="119">
        <v>0</v>
      </c>
      <c r="AE581" s="119" t="s">
        <v>137</v>
      </c>
      <c r="AF581" s="1084"/>
      <c r="AG581" s="1084"/>
      <c r="AH581" s="111">
        <f t="shared" si="42"/>
        <v>4101850.2</v>
      </c>
      <c r="AI581" s="1084"/>
      <c r="AJ581" s="1119"/>
      <c r="AK581" s="1119"/>
      <c r="AL581" s="1119"/>
      <c r="AM581" s="1119"/>
      <c r="AN581" s="1204"/>
      <c r="AO581" s="1204"/>
      <c r="AP581" s="1202"/>
    </row>
    <row r="582" spans="1:42" ht="15" customHeight="1">
      <c r="A582" s="1214"/>
      <c r="B582" s="1171"/>
      <c r="C582" s="1076"/>
      <c r="D582" s="1076"/>
      <c r="E582" s="1252"/>
      <c r="F582" s="1252"/>
      <c r="G582" s="1076"/>
      <c r="H582" s="1076"/>
      <c r="I582" s="1076"/>
      <c r="J582" s="1076"/>
      <c r="K582" s="1076"/>
      <c r="L582" s="1076"/>
      <c r="M582" s="1251">
        <v>2</v>
      </c>
      <c r="N582" s="1123" t="s">
        <v>161</v>
      </c>
      <c r="O582" s="1119">
        <v>88935483</v>
      </c>
      <c r="P582" s="1119">
        <f>O582</f>
        <v>88935483</v>
      </c>
      <c r="Q582" s="1119"/>
      <c r="R582" s="1171">
        <v>40855</v>
      </c>
      <c r="S582" s="1119">
        <f>T582</f>
        <v>88935483</v>
      </c>
      <c r="T582" s="1119">
        <v>88935483</v>
      </c>
      <c r="U582" s="1119">
        <f>O582-T582</f>
        <v>0</v>
      </c>
      <c r="V582" s="1119">
        <v>88773668</v>
      </c>
      <c r="W582" s="1119"/>
      <c r="X582" s="1076"/>
      <c r="Y582" s="108" t="s">
        <v>723</v>
      </c>
      <c r="Z582" s="109">
        <v>0</v>
      </c>
      <c r="AA582" s="109">
        <v>35509467.200000003</v>
      </c>
      <c r="AB582" s="109">
        <f t="shared" si="41"/>
        <v>35509467.200000003</v>
      </c>
      <c r="AC582" s="97">
        <v>40910</v>
      </c>
      <c r="AD582" s="119">
        <v>35509467</v>
      </c>
      <c r="AE582" s="119" t="s">
        <v>161</v>
      </c>
      <c r="AF582" s="1084">
        <f>SUM(AD582:AD584)</f>
        <v>82440554.710000008</v>
      </c>
      <c r="AG582" s="1084"/>
      <c r="AH582" s="111">
        <f t="shared" si="42"/>
        <v>0.20000000298023224</v>
      </c>
      <c r="AI582" s="1084">
        <f>O582-AD582-AD583-AD584</f>
        <v>6494928.2899999991</v>
      </c>
      <c r="AJ582" s="1119">
        <f>SUM(Z582:Z584)-SUM(AD582:AD584)</f>
        <v>5386038.2199999839</v>
      </c>
      <c r="AK582" s="1119">
        <f>P582-V582</f>
        <v>161815</v>
      </c>
      <c r="AL582" s="1119">
        <f>V582-SUM(Z582:Z584)</f>
        <v>947075.07000000775</v>
      </c>
      <c r="AM582" s="1119">
        <f>AK582+AL582</f>
        <v>1108890.0700000077</v>
      </c>
      <c r="AN582" s="1204"/>
      <c r="AO582" s="1204"/>
      <c r="AP582" s="1202"/>
    </row>
    <row r="583" spans="1:42" ht="15" customHeight="1">
      <c r="A583" s="1214"/>
      <c r="B583" s="1171"/>
      <c r="C583" s="1076"/>
      <c r="D583" s="1076"/>
      <c r="E583" s="1252"/>
      <c r="F583" s="1252"/>
      <c r="G583" s="1076"/>
      <c r="H583" s="1076"/>
      <c r="I583" s="1076"/>
      <c r="J583" s="1076"/>
      <c r="K583" s="1076"/>
      <c r="L583" s="1076"/>
      <c r="M583" s="1251"/>
      <c r="N583" s="1123"/>
      <c r="O583" s="1119"/>
      <c r="P583" s="1119"/>
      <c r="Q583" s="1119"/>
      <c r="R583" s="1171"/>
      <c r="S583" s="1119"/>
      <c r="T583" s="1119"/>
      <c r="U583" s="1119"/>
      <c r="V583" s="1119"/>
      <c r="W583" s="1119"/>
      <c r="X583" s="1076"/>
      <c r="Y583" s="108" t="s">
        <v>724</v>
      </c>
      <c r="Z583" s="109">
        <v>78218479.129999995</v>
      </c>
      <c r="AA583" s="109">
        <v>-31287391.420000002</v>
      </c>
      <c r="AB583" s="109">
        <f t="shared" si="41"/>
        <v>46931087.709999993</v>
      </c>
      <c r="AC583" s="97">
        <v>41941</v>
      </c>
      <c r="AD583" s="119">
        <v>46931087.710000001</v>
      </c>
      <c r="AE583" s="119" t="s">
        <v>161</v>
      </c>
      <c r="AF583" s="1084"/>
      <c r="AG583" s="1084"/>
      <c r="AH583" s="111">
        <f t="shared" si="42"/>
        <v>0</v>
      </c>
      <c r="AI583" s="1084"/>
      <c r="AJ583" s="1119"/>
      <c r="AK583" s="1119"/>
      <c r="AL583" s="1119"/>
      <c r="AM583" s="1119"/>
      <c r="AN583" s="1204"/>
      <c r="AO583" s="1204"/>
      <c r="AP583" s="1202"/>
    </row>
    <row r="584" spans="1:42" ht="15" customHeight="1">
      <c r="A584" s="1214"/>
      <c r="B584" s="1171"/>
      <c r="C584" s="1076"/>
      <c r="D584" s="1076"/>
      <c r="E584" s="1252"/>
      <c r="F584" s="1252"/>
      <c r="G584" s="1076"/>
      <c r="H584" s="1076"/>
      <c r="I584" s="1076"/>
      <c r="J584" s="1076"/>
      <c r="K584" s="1076"/>
      <c r="L584" s="1076"/>
      <c r="M584" s="1251"/>
      <c r="N584" s="1123"/>
      <c r="O584" s="1119"/>
      <c r="P584" s="1119"/>
      <c r="Q584" s="1119"/>
      <c r="R584" s="1171"/>
      <c r="S584" s="1119"/>
      <c r="T584" s="1119"/>
      <c r="U584" s="1119"/>
      <c r="V584" s="1119"/>
      <c r="W584" s="1119"/>
      <c r="X584" s="1076"/>
      <c r="Y584" s="108" t="s">
        <v>726</v>
      </c>
      <c r="Z584" s="109">
        <v>9608113.7999999989</v>
      </c>
      <c r="AA584" s="109">
        <v>-4222076</v>
      </c>
      <c r="AB584" s="109">
        <f t="shared" si="41"/>
        <v>5386037.7999999989</v>
      </c>
      <c r="AC584" s="97"/>
      <c r="AD584" s="119">
        <v>0</v>
      </c>
      <c r="AE584" s="119" t="s">
        <v>161</v>
      </c>
      <c r="AF584" s="1084"/>
      <c r="AG584" s="1084"/>
      <c r="AH584" s="111">
        <f t="shared" si="42"/>
        <v>5386037.7999999989</v>
      </c>
      <c r="AI584" s="1084"/>
      <c r="AJ584" s="1119"/>
      <c r="AK584" s="1119"/>
      <c r="AL584" s="1119"/>
      <c r="AM584" s="1119"/>
      <c r="AN584" s="1204"/>
      <c r="AO584" s="1204"/>
      <c r="AP584" s="1202"/>
    </row>
    <row r="585" spans="1:42" ht="15" customHeight="1">
      <c r="A585" s="1214" t="s">
        <v>729</v>
      </c>
      <c r="B585" s="1171">
        <v>40450</v>
      </c>
      <c r="C585" s="1076" t="s">
        <v>37</v>
      </c>
      <c r="D585" s="1076" t="s">
        <v>730</v>
      </c>
      <c r="E585" s="1252">
        <v>900384739</v>
      </c>
      <c r="F585" s="1252">
        <v>6</v>
      </c>
      <c r="G585" s="1076" t="s">
        <v>2856</v>
      </c>
      <c r="H585" s="1076" t="s">
        <v>70</v>
      </c>
      <c r="I585" s="1076" t="s">
        <v>177</v>
      </c>
      <c r="J585" s="1076" t="s">
        <v>66</v>
      </c>
      <c r="K585" s="1076" t="s">
        <v>183</v>
      </c>
      <c r="L585" s="1076" t="s">
        <v>736</v>
      </c>
      <c r="M585" s="1251">
        <v>175</v>
      </c>
      <c r="N585" s="1123" t="s">
        <v>137</v>
      </c>
      <c r="O585" s="1119">
        <v>12074159</v>
      </c>
      <c r="P585" s="1119">
        <f>O585+O588</f>
        <v>145333633</v>
      </c>
      <c r="Q585" s="1119">
        <f>P585</f>
        <v>145333633</v>
      </c>
      <c r="R585" s="1171">
        <v>40750</v>
      </c>
      <c r="S585" s="1196">
        <f>T585+T588</f>
        <v>145333633</v>
      </c>
      <c r="T585" s="1119">
        <v>12074159</v>
      </c>
      <c r="U585" s="1119">
        <f>O585-T585</f>
        <v>0</v>
      </c>
      <c r="V585" s="1119">
        <v>12074159</v>
      </c>
      <c r="W585" s="1119">
        <v>145333632</v>
      </c>
      <c r="X585" s="1076" t="s">
        <v>732</v>
      </c>
      <c r="Y585" s="1123" t="s">
        <v>733</v>
      </c>
      <c r="Z585" s="109">
        <v>0</v>
      </c>
      <c r="AA585" s="109">
        <v>4829663.2</v>
      </c>
      <c r="AB585" s="109">
        <f t="shared" si="41"/>
        <v>4829663.2</v>
      </c>
      <c r="AC585" s="1171">
        <v>40781</v>
      </c>
      <c r="AD585" s="119">
        <v>4829663.2</v>
      </c>
      <c r="AE585" s="119" t="s">
        <v>137</v>
      </c>
      <c r="AF585" s="1084">
        <f>SUM(AD585:AD590)</f>
        <v>145333632</v>
      </c>
      <c r="AG585" s="1084">
        <f>AF585</f>
        <v>145333632</v>
      </c>
      <c r="AH585" s="111">
        <f t="shared" si="42"/>
        <v>0</v>
      </c>
      <c r="AI585" s="1084">
        <f>V585-AD585-AD587-AD588-AD589-AD590</f>
        <v>-79955683.200000003</v>
      </c>
      <c r="AJ585" s="1119">
        <f>SUM(Z585:Z590)-SUM(AD585:AD590)</f>
        <v>0</v>
      </c>
      <c r="AK585" s="1119">
        <f>P585-V585-V588</f>
        <v>1</v>
      </c>
      <c r="AL585" s="1119">
        <f>W585-SUM(Z585:Z590)</f>
        <v>0</v>
      </c>
      <c r="AM585" s="1119">
        <f>AK585+AL585</f>
        <v>1</v>
      </c>
      <c r="AN585" s="1204" t="s">
        <v>523</v>
      </c>
      <c r="AO585" s="1204" t="s">
        <v>783</v>
      </c>
    </row>
    <row r="586" spans="1:42" ht="15" customHeight="1">
      <c r="A586" s="1214"/>
      <c r="B586" s="1171"/>
      <c r="C586" s="1076"/>
      <c r="D586" s="1076"/>
      <c r="E586" s="1252"/>
      <c r="F586" s="1252"/>
      <c r="G586" s="1076"/>
      <c r="H586" s="1076"/>
      <c r="I586" s="1076"/>
      <c r="J586" s="1076"/>
      <c r="K586" s="1076"/>
      <c r="L586" s="1076"/>
      <c r="M586" s="1251"/>
      <c r="N586" s="1123"/>
      <c r="O586" s="1119"/>
      <c r="P586" s="1119"/>
      <c r="Q586" s="1119"/>
      <c r="R586" s="1171"/>
      <c r="S586" s="1196"/>
      <c r="T586" s="1119"/>
      <c r="U586" s="1119"/>
      <c r="V586" s="1119"/>
      <c r="W586" s="1119"/>
      <c r="X586" s="1076"/>
      <c r="Y586" s="1123"/>
      <c r="Z586" s="109">
        <v>0</v>
      </c>
      <c r="AA586" s="109">
        <v>53303789.799999997</v>
      </c>
      <c r="AB586" s="109">
        <f t="shared" si="41"/>
        <v>53303789.799999997</v>
      </c>
      <c r="AC586" s="1171"/>
      <c r="AD586" s="119">
        <v>53303789.799999997</v>
      </c>
      <c r="AE586" s="119" t="s">
        <v>7</v>
      </c>
      <c r="AF586" s="1084"/>
      <c r="AG586" s="1084"/>
      <c r="AH586" s="111">
        <f t="shared" si="42"/>
        <v>0</v>
      </c>
      <c r="AI586" s="1084"/>
      <c r="AJ586" s="1119"/>
      <c r="AK586" s="1119"/>
      <c r="AL586" s="1119"/>
      <c r="AM586" s="1119"/>
      <c r="AN586" s="1204"/>
      <c r="AO586" s="1204"/>
    </row>
    <row r="587" spans="1:42" ht="15" customHeight="1">
      <c r="A587" s="1214"/>
      <c r="B587" s="1171"/>
      <c r="C587" s="1076"/>
      <c r="D587" s="1076"/>
      <c r="E587" s="1252"/>
      <c r="F587" s="1252"/>
      <c r="G587" s="1076"/>
      <c r="H587" s="1076"/>
      <c r="I587" s="1076"/>
      <c r="J587" s="1076"/>
      <c r="K587" s="1076"/>
      <c r="L587" s="1076"/>
      <c r="M587" s="1251"/>
      <c r="N587" s="1123"/>
      <c r="O587" s="1119"/>
      <c r="P587" s="1119"/>
      <c r="Q587" s="1119"/>
      <c r="R587" s="1171"/>
      <c r="S587" s="1196"/>
      <c r="T587" s="1119"/>
      <c r="U587" s="1119"/>
      <c r="V587" s="1119"/>
      <c r="W587" s="1119"/>
      <c r="X587" s="1076"/>
      <c r="Y587" s="1123" t="s">
        <v>734</v>
      </c>
      <c r="Z587" s="109">
        <v>10564889</v>
      </c>
      <c r="AA587" s="109">
        <v>-4225956</v>
      </c>
      <c r="AB587" s="109">
        <f t="shared" si="41"/>
        <v>6338933</v>
      </c>
      <c r="AC587" s="1171">
        <v>40911</v>
      </c>
      <c r="AD587" s="119">
        <v>6338932.8399999999</v>
      </c>
      <c r="AE587" s="119" t="s">
        <v>137</v>
      </c>
      <c r="AF587" s="1084"/>
      <c r="AG587" s="1084"/>
      <c r="AH587" s="111">
        <f t="shared" si="42"/>
        <v>0.16000000014901161</v>
      </c>
      <c r="AI587" s="1084"/>
      <c r="AJ587" s="1119"/>
      <c r="AK587" s="1119"/>
      <c r="AL587" s="1119"/>
      <c r="AM587" s="1119"/>
      <c r="AN587" s="1204"/>
      <c r="AO587" s="1204"/>
    </row>
    <row r="588" spans="1:42" ht="15" customHeight="1">
      <c r="A588" s="1214"/>
      <c r="B588" s="1171"/>
      <c r="C588" s="1076"/>
      <c r="D588" s="1076"/>
      <c r="E588" s="1252"/>
      <c r="F588" s="1252"/>
      <c r="G588" s="1076"/>
      <c r="H588" s="1076"/>
      <c r="I588" s="1076"/>
      <c r="J588" s="1076"/>
      <c r="K588" s="1076"/>
      <c r="L588" s="1076"/>
      <c r="M588" s="1251"/>
      <c r="N588" s="1123" t="s">
        <v>7</v>
      </c>
      <c r="O588" s="1119">
        <v>133259474</v>
      </c>
      <c r="P588" s="1119"/>
      <c r="Q588" s="1119"/>
      <c r="R588" s="1171"/>
      <c r="S588" s="1196"/>
      <c r="T588" s="1119">
        <v>133259474</v>
      </c>
      <c r="U588" s="1119">
        <f>O588-T588</f>
        <v>0</v>
      </c>
      <c r="V588" s="1119">
        <v>133259473</v>
      </c>
      <c r="W588" s="1119"/>
      <c r="X588" s="1076"/>
      <c r="Y588" s="1123"/>
      <c r="Z588" s="109">
        <v>116602039</v>
      </c>
      <c r="AA588" s="109">
        <v>-46640815</v>
      </c>
      <c r="AB588" s="109">
        <f t="shared" si="41"/>
        <v>69961224</v>
      </c>
      <c r="AC588" s="1171"/>
      <c r="AD588" s="119">
        <v>69961224.159999996</v>
      </c>
      <c r="AE588" s="119" t="s">
        <v>137</v>
      </c>
      <c r="AF588" s="1084"/>
      <c r="AG588" s="1084"/>
      <c r="AH588" s="111">
        <f t="shared" si="42"/>
        <v>-0.15999999642372131</v>
      </c>
      <c r="AI588" s="1084">
        <f>V588-AD586</f>
        <v>79955683.200000003</v>
      </c>
      <c r="AJ588" s="1119"/>
      <c r="AK588" s="1119"/>
      <c r="AL588" s="1119"/>
      <c r="AM588" s="1119"/>
      <c r="AN588" s="1204"/>
      <c r="AO588" s="1204"/>
    </row>
    <row r="589" spans="1:42" ht="15" customHeight="1">
      <c r="A589" s="1214"/>
      <c r="B589" s="1171"/>
      <c r="C589" s="1076"/>
      <c r="D589" s="1076"/>
      <c r="E589" s="1252"/>
      <c r="F589" s="1252"/>
      <c r="G589" s="1076"/>
      <c r="H589" s="1076"/>
      <c r="I589" s="1076"/>
      <c r="J589" s="1076"/>
      <c r="K589" s="1076"/>
      <c r="L589" s="1076"/>
      <c r="M589" s="1251"/>
      <c r="N589" s="1123"/>
      <c r="O589" s="1119"/>
      <c r="P589" s="1119"/>
      <c r="Q589" s="1119"/>
      <c r="R589" s="1171"/>
      <c r="S589" s="1196"/>
      <c r="T589" s="1119"/>
      <c r="U589" s="1119"/>
      <c r="V589" s="1119"/>
      <c r="W589" s="1119"/>
      <c r="X589" s="1076"/>
      <c r="Y589" s="1123" t="s">
        <v>735</v>
      </c>
      <c r="Z589" s="109">
        <v>1509268.8</v>
      </c>
      <c r="AA589" s="109">
        <v>-603707</v>
      </c>
      <c r="AB589" s="109">
        <f t="shared" si="41"/>
        <v>905561.8</v>
      </c>
      <c r="AC589" s="1171">
        <v>41789</v>
      </c>
      <c r="AD589" s="119">
        <v>905561.8</v>
      </c>
      <c r="AE589" s="119" t="s">
        <v>137</v>
      </c>
      <c r="AF589" s="1084"/>
      <c r="AG589" s="1084"/>
      <c r="AH589" s="111">
        <f t="shared" si="42"/>
        <v>0</v>
      </c>
      <c r="AI589" s="1084"/>
      <c r="AJ589" s="1119"/>
      <c r="AK589" s="1119"/>
      <c r="AL589" s="1119"/>
      <c r="AM589" s="1119"/>
      <c r="AN589" s="1204"/>
      <c r="AO589" s="1204"/>
    </row>
    <row r="590" spans="1:42" ht="15" customHeight="1">
      <c r="A590" s="1214"/>
      <c r="B590" s="1171"/>
      <c r="C590" s="1076"/>
      <c r="D590" s="1076"/>
      <c r="E590" s="1252"/>
      <c r="F590" s="1252"/>
      <c r="G590" s="1076"/>
      <c r="H590" s="1076"/>
      <c r="I590" s="1076"/>
      <c r="J590" s="1076"/>
      <c r="K590" s="1076"/>
      <c r="L590" s="1076"/>
      <c r="M590" s="1251"/>
      <c r="N590" s="1123"/>
      <c r="O590" s="1119"/>
      <c r="P590" s="1119"/>
      <c r="Q590" s="1119"/>
      <c r="R590" s="1171"/>
      <c r="S590" s="1196"/>
      <c r="T590" s="1119"/>
      <c r="U590" s="1119"/>
      <c r="V590" s="1119"/>
      <c r="W590" s="1119"/>
      <c r="X590" s="1076"/>
      <c r="Y590" s="1123"/>
      <c r="Z590" s="109">
        <v>16657435.199999999</v>
      </c>
      <c r="AA590" s="109">
        <v>-6662975</v>
      </c>
      <c r="AB590" s="109">
        <f t="shared" si="41"/>
        <v>9994460.1999999993</v>
      </c>
      <c r="AC590" s="1171"/>
      <c r="AD590" s="119">
        <v>9994460.1999999993</v>
      </c>
      <c r="AE590" s="119" t="s">
        <v>137</v>
      </c>
      <c r="AF590" s="1084"/>
      <c r="AG590" s="1084"/>
      <c r="AH590" s="111">
        <f t="shared" si="42"/>
        <v>0</v>
      </c>
      <c r="AI590" s="1084"/>
      <c r="AJ590" s="1119"/>
      <c r="AK590" s="1119"/>
      <c r="AL590" s="1119"/>
      <c r="AM590" s="1119"/>
      <c r="AN590" s="1204"/>
      <c r="AO590" s="1204"/>
    </row>
    <row r="591" spans="1:42" ht="15" customHeight="1">
      <c r="A591" s="1214" t="s">
        <v>737</v>
      </c>
      <c r="B591" s="1171">
        <v>40450</v>
      </c>
      <c r="C591" s="1076" t="s">
        <v>29</v>
      </c>
      <c r="D591" s="1076" t="s">
        <v>738</v>
      </c>
      <c r="E591" s="1252">
        <v>900384706</v>
      </c>
      <c r="F591" s="1252">
        <v>3</v>
      </c>
      <c r="G591" s="1076" t="s">
        <v>2857</v>
      </c>
      <c r="H591" s="1076" t="s">
        <v>70</v>
      </c>
      <c r="I591" s="1076" t="s">
        <v>177</v>
      </c>
      <c r="J591" s="1076" t="s">
        <v>66</v>
      </c>
      <c r="K591" s="1076" t="s">
        <v>49</v>
      </c>
      <c r="L591" s="1076" t="s">
        <v>747</v>
      </c>
      <c r="M591" s="1251">
        <v>124</v>
      </c>
      <c r="N591" s="1123" t="s">
        <v>7</v>
      </c>
      <c r="O591" s="1119">
        <v>231269200</v>
      </c>
      <c r="P591" s="1119">
        <f>O591</f>
        <v>231269200</v>
      </c>
      <c r="Q591" s="1119">
        <f>P591</f>
        <v>231269200</v>
      </c>
      <c r="R591" s="1171">
        <v>40570</v>
      </c>
      <c r="S591" s="1196">
        <f>T591</f>
        <v>231269200</v>
      </c>
      <c r="T591" s="1196">
        <v>231269200</v>
      </c>
      <c r="U591" s="1196">
        <f>O591-T591</f>
        <v>0</v>
      </c>
      <c r="V591" s="1119">
        <v>231269200</v>
      </c>
      <c r="W591" s="1119">
        <v>231269200</v>
      </c>
      <c r="X591" s="1076" t="s">
        <v>740</v>
      </c>
      <c r="Y591" s="108" t="s">
        <v>741</v>
      </c>
      <c r="Z591" s="109">
        <v>0</v>
      </c>
      <c r="AA591" s="109">
        <v>92507680</v>
      </c>
      <c r="AB591" s="109">
        <f t="shared" si="41"/>
        <v>92507680</v>
      </c>
      <c r="AC591" s="97">
        <v>40583</v>
      </c>
      <c r="AD591" s="119">
        <v>92507680</v>
      </c>
      <c r="AE591" s="119" t="s">
        <v>7</v>
      </c>
      <c r="AF591" s="1084">
        <f>SUM(AD591:AD596)</f>
        <v>217393048</v>
      </c>
      <c r="AG591" s="1084">
        <f>AF591</f>
        <v>217393048</v>
      </c>
      <c r="AH591" s="111">
        <f t="shared" si="42"/>
        <v>0</v>
      </c>
      <c r="AI591" s="1084">
        <f>O591-AD591-AD592-AD593-AD594-AD595-AD596</f>
        <v>13876152</v>
      </c>
      <c r="AJ591" s="1119">
        <f>SUM(Z591:Z596)-SUM(AD591:AD596)</f>
        <v>-770768</v>
      </c>
      <c r="AK591" s="1119">
        <f>P591-V591</f>
        <v>0</v>
      </c>
      <c r="AL591" s="1119">
        <f>V591-SUM(Z591:Z596)+AJ591</f>
        <v>13876152</v>
      </c>
      <c r="AM591" s="1119"/>
      <c r="AN591" s="1249" t="s">
        <v>746</v>
      </c>
      <c r="AO591" s="1248" t="s">
        <v>748</v>
      </c>
    </row>
    <row r="592" spans="1:42" ht="15" customHeight="1">
      <c r="A592" s="1214"/>
      <c r="B592" s="1171"/>
      <c r="C592" s="1076"/>
      <c r="D592" s="1076"/>
      <c r="E592" s="1252"/>
      <c r="F592" s="1252"/>
      <c r="G592" s="1076"/>
      <c r="H592" s="1076"/>
      <c r="I592" s="1076"/>
      <c r="J592" s="1076"/>
      <c r="K592" s="1076"/>
      <c r="L592" s="1076"/>
      <c r="M592" s="1251"/>
      <c r="N592" s="1123"/>
      <c r="O592" s="1119"/>
      <c r="P592" s="1119"/>
      <c r="Q592" s="1119"/>
      <c r="R592" s="1171"/>
      <c r="S592" s="1196"/>
      <c r="T592" s="1196"/>
      <c r="U592" s="1196"/>
      <c r="V592" s="1119"/>
      <c r="W592" s="1119"/>
      <c r="X592" s="1076"/>
      <c r="Y592" s="108" t="s">
        <v>742</v>
      </c>
      <c r="Z592" s="109">
        <v>57817300</v>
      </c>
      <c r="AA592" s="109">
        <v>-23126920</v>
      </c>
      <c r="AB592" s="109">
        <f t="shared" si="41"/>
        <v>34690380</v>
      </c>
      <c r="AC592" s="97">
        <v>40676</v>
      </c>
      <c r="AD592" s="119">
        <v>34690380</v>
      </c>
      <c r="AE592" s="119" t="s">
        <v>7</v>
      </c>
      <c r="AF592" s="1084"/>
      <c r="AG592" s="1084"/>
      <c r="AH592" s="111">
        <f t="shared" si="42"/>
        <v>0</v>
      </c>
      <c r="AI592" s="1084"/>
      <c r="AJ592" s="1119"/>
      <c r="AK592" s="1119"/>
      <c r="AL592" s="1119"/>
      <c r="AM592" s="1119"/>
      <c r="AN592" s="1249"/>
      <c r="AO592" s="1249"/>
    </row>
    <row r="593" spans="1:43" ht="15" customHeight="1">
      <c r="A593" s="1214"/>
      <c r="B593" s="1171"/>
      <c r="C593" s="1076"/>
      <c r="D593" s="1076"/>
      <c r="E593" s="1252"/>
      <c r="F593" s="1252"/>
      <c r="G593" s="1076"/>
      <c r="H593" s="1076"/>
      <c r="I593" s="1076"/>
      <c r="J593" s="1076"/>
      <c r="K593" s="1076"/>
      <c r="L593" s="1076"/>
      <c r="M593" s="1251"/>
      <c r="N593" s="1123"/>
      <c r="O593" s="1119"/>
      <c r="P593" s="1119"/>
      <c r="Q593" s="1119"/>
      <c r="R593" s="1171"/>
      <c r="S593" s="1196"/>
      <c r="T593" s="1196"/>
      <c r="U593" s="1196"/>
      <c r="V593" s="1119"/>
      <c r="W593" s="1119"/>
      <c r="X593" s="1076"/>
      <c r="Y593" s="108" t="s">
        <v>743</v>
      </c>
      <c r="Z593" s="109">
        <v>57817300</v>
      </c>
      <c r="AA593" s="109">
        <v>-23126920</v>
      </c>
      <c r="AB593" s="109">
        <f t="shared" si="41"/>
        <v>34690380</v>
      </c>
      <c r="AC593" s="97">
        <v>40732</v>
      </c>
      <c r="AD593" s="119">
        <v>34690380</v>
      </c>
      <c r="AE593" s="119" t="s">
        <v>7</v>
      </c>
      <c r="AF593" s="1084"/>
      <c r="AG593" s="1084"/>
      <c r="AH593" s="111">
        <f t="shared" si="42"/>
        <v>0</v>
      </c>
      <c r="AI593" s="1084"/>
      <c r="AJ593" s="1119"/>
      <c r="AK593" s="1119"/>
      <c r="AL593" s="1119"/>
      <c r="AM593" s="1119"/>
      <c r="AN593" s="1249"/>
      <c r="AO593" s="1249"/>
    </row>
    <row r="594" spans="1:43" ht="15" customHeight="1">
      <c r="A594" s="1214"/>
      <c r="B594" s="1171"/>
      <c r="C594" s="1076"/>
      <c r="D594" s="1076"/>
      <c r="E594" s="1252"/>
      <c r="F594" s="1252"/>
      <c r="G594" s="1076"/>
      <c r="H594" s="1076"/>
      <c r="I594" s="1076"/>
      <c r="J594" s="1076"/>
      <c r="K594" s="1076"/>
      <c r="L594" s="1076"/>
      <c r="M594" s="1251"/>
      <c r="N594" s="1123"/>
      <c r="O594" s="1119"/>
      <c r="P594" s="1119"/>
      <c r="Q594" s="1119"/>
      <c r="R594" s="1171"/>
      <c r="S594" s="1196"/>
      <c r="T594" s="1196"/>
      <c r="U594" s="1196"/>
      <c r="V594" s="1119"/>
      <c r="W594" s="1119"/>
      <c r="X594" s="1076"/>
      <c r="Y594" s="108" t="s">
        <v>744</v>
      </c>
      <c r="Z594" s="109">
        <v>57817300</v>
      </c>
      <c r="AA594" s="109">
        <v>-23126920</v>
      </c>
      <c r="AB594" s="109">
        <f t="shared" si="41"/>
        <v>34690380</v>
      </c>
      <c r="AC594" s="97">
        <v>40815</v>
      </c>
      <c r="AD594" s="119">
        <v>34690380</v>
      </c>
      <c r="AE594" s="119" t="s">
        <v>7</v>
      </c>
      <c r="AF594" s="1084"/>
      <c r="AG594" s="1084"/>
      <c r="AH594" s="111">
        <f t="shared" si="42"/>
        <v>0</v>
      </c>
      <c r="AI594" s="1084"/>
      <c r="AJ594" s="1119"/>
      <c r="AK594" s="1119"/>
      <c r="AL594" s="1119"/>
      <c r="AM594" s="1119"/>
      <c r="AN594" s="1249"/>
      <c r="AO594" s="1249"/>
    </row>
    <row r="595" spans="1:43" ht="15" customHeight="1">
      <c r="A595" s="1214"/>
      <c r="B595" s="1171"/>
      <c r="C595" s="1076"/>
      <c r="D595" s="1076"/>
      <c r="E595" s="1252"/>
      <c r="F595" s="1252"/>
      <c r="G595" s="1076"/>
      <c r="H595" s="1076"/>
      <c r="I595" s="1076"/>
      <c r="J595" s="1076"/>
      <c r="K595" s="1076"/>
      <c r="L595" s="1076"/>
      <c r="M595" s="1251"/>
      <c r="N595" s="1123"/>
      <c r="O595" s="1119"/>
      <c r="P595" s="1119"/>
      <c r="Q595" s="1119"/>
      <c r="R595" s="1171"/>
      <c r="S595" s="1196"/>
      <c r="T595" s="1196"/>
      <c r="U595" s="1196"/>
      <c r="V595" s="1119"/>
      <c r="W595" s="1119"/>
      <c r="X595" s="1076"/>
      <c r="Y595" s="108" t="s">
        <v>745</v>
      </c>
      <c r="Z595" s="109">
        <v>43170380</v>
      </c>
      <c r="AA595" s="109">
        <v>-22356152</v>
      </c>
      <c r="AB595" s="109">
        <f t="shared" si="41"/>
        <v>20814228</v>
      </c>
      <c r="AC595" s="97">
        <v>40875</v>
      </c>
      <c r="AD595" s="119">
        <v>20814228</v>
      </c>
      <c r="AE595" s="119" t="s">
        <v>7</v>
      </c>
      <c r="AF595" s="1084"/>
      <c r="AG595" s="1084"/>
      <c r="AH595" s="111">
        <f t="shared" si="42"/>
        <v>0</v>
      </c>
      <c r="AI595" s="1084"/>
      <c r="AJ595" s="1119"/>
      <c r="AK595" s="1119"/>
      <c r="AL595" s="1119"/>
      <c r="AM595" s="1119"/>
      <c r="AN595" s="1249"/>
      <c r="AO595" s="1249"/>
    </row>
    <row r="596" spans="1:43" ht="15" customHeight="1">
      <c r="A596" s="1214"/>
      <c r="B596" s="1171"/>
      <c r="C596" s="1076"/>
      <c r="D596" s="1076"/>
      <c r="E596" s="1252"/>
      <c r="F596" s="1252"/>
      <c r="G596" s="1076"/>
      <c r="H596" s="1076"/>
      <c r="I596" s="1076"/>
      <c r="J596" s="1076"/>
      <c r="K596" s="1076"/>
      <c r="L596" s="1076"/>
      <c r="M596" s="1251"/>
      <c r="N596" s="1123"/>
      <c r="O596" s="1119"/>
      <c r="P596" s="1119"/>
      <c r="Q596" s="1119"/>
      <c r="R596" s="1171"/>
      <c r="S596" s="1196"/>
      <c r="T596" s="1196"/>
      <c r="U596" s="1196"/>
      <c r="V596" s="1119"/>
      <c r="W596" s="1119"/>
      <c r="X596" s="1076"/>
      <c r="Y596" s="108"/>
      <c r="Z596" s="109"/>
      <c r="AA596" s="109"/>
      <c r="AB596" s="109">
        <f t="shared" si="41"/>
        <v>0</v>
      </c>
      <c r="AC596" s="97"/>
      <c r="AD596" s="119"/>
      <c r="AE596" s="119"/>
      <c r="AF596" s="1084"/>
      <c r="AG596" s="1084"/>
      <c r="AH596" s="111">
        <f t="shared" si="42"/>
        <v>0</v>
      </c>
      <c r="AI596" s="1084"/>
      <c r="AJ596" s="1119"/>
      <c r="AK596" s="1119"/>
      <c r="AL596" s="1119"/>
      <c r="AM596" s="1119"/>
      <c r="AN596" s="1249"/>
      <c r="AO596" s="1249"/>
    </row>
    <row r="597" spans="1:43" ht="15" customHeight="1">
      <c r="A597" s="1030" t="s">
        <v>2112</v>
      </c>
      <c r="B597" s="1068">
        <v>40455</v>
      </c>
      <c r="C597" s="1011" t="s">
        <v>15</v>
      </c>
      <c r="D597" s="1011" t="s">
        <v>2111</v>
      </c>
      <c r="E597" s="1071">
        <v>10524510</v>
      </c>
      <c r="F597" s="1071"/>
      <c r="G597" s="1011" t="s">
        <v>2793</v>
      </c>
      <c r="H597" s="1011" t="s">
        <v>72</v>
      </c>
      <c r="I597" s="1011" t="s">
        <v>206</v>
      </c>
      <c r="J597" s="1011" t="s">
        <v>66</v>
      </c>
      <c r="K597" s="1011" t="s">
        <v>183</v>
      </c>
      <c r="L597" s="1011" t="s">
        <v>2109</v>
      </c>
      <c r="M597" s="1009">
        <v>143</v>
      </c>
      <c r="N597" s="1065" t="s">
        <v>7</v>
      </c>
      <c r="O597" s="1062">
        <v>96222000</v>
      </c>
      <c r="P597" s="1062">
        <v>96222000</v>
      </c>
      <c r="Q597" s="1062">
        <v>96222000</v>
      </c>
      <c r="R597" s="1068">
        <v>40647</v>
      </c>
      <c r="S597" s="1092">
        <f>T597</f>
        <v>96222000</v>
      </c>
      <c r="T597" s="1092">
        <v>96222000</v>
      </c>
      <c r="U597" s="1092">
        <f>P597-T597</f>
        <v>0</v>
      </c>
      <c r="V597" s="1043">
        <v>96222000</v>
      </c>
      <c r="W597" s="1043">
        <v>96222000</v>
      </c>
      <c r="X597" s="1011" t="s">
        <v>2108</v>
      </c>
      <c r="Y597" s="108" t="s">
        <v>2107</v>
      </c>
      <c r="Z597" s="109">
        <v>0</v>
      </c>
      <c r="AA597" s="109">
        <v>38488800</v>
      </c>
      <c r="AB597" s="109">
        <f>Z597+AA597</f>
        <v>38488800</v>
      </c>
      <c r="AC597" s="97">
        <v>40690</v>
      </c>
      <c r="AD597" s="119">
        <v>38488800</v>
      </c>
      <c r="AE597" s="98" t="s">
        <v>7</v>
      </c>
      <c r="AF597" s="1043">
        <f>AD597+AD598</f>
        <v>96222000</v>
      </c>
      <c r="AG597" s="1043">
        <f>AF597</f>
        <v>96222000</v>
      </c>
      <c r="AH597" s="111">
        <f>AB597-AD597</f>
        <v>0</v>
      </c>
      <c r="AI597" s="1043">
        <f>P597-AF597</f>
        <v>0</v>
      </c>
      <c r="AJ597" s="1062">
        <f>SUM(Z597:Z598)-SUM(AD597:AD598)</f>
        <v>0</v>
      </c>
      <c r="AK597" s="1062">
        <f>P597-V597</f>
        <v>0</v>
      </c>
      <c r="AL597" s="1062">
        <f>V597-Z597-Z598</f>
        <v>0</v>
      </c>
      <c r="AM597" s="1062">
        <f>AK597+AL597</f>
        <v>0</v>
      </c>
      <c r="AN597" s="1108" t="s">
        <v>2106</v>
      </c>
      <c r="AO597" s="1103" t="s">
        <v>2105</v>
      </c>
    </row>
    <row r="598" spans="1:43" ht="15" customHeight="1">
      <c r="A598" s="1032"/>
      <c r="B598" s="1070"/>
      <c r="C598" s="1012"/>
      <c r="D598" s="1012"/>
      <c r="E598" s="1073"/>
      <c r="F598" s="1073"/>
      <c r="G598" s="1012"/>
      <c r="H598" s="1012"/>
      <c r="I598" s="1012"/>
      <c r="J598" s="1012"/>
      <c r="K598" s="1012"/>
      <c r="L598" s="1012"/>
      <c r="M598" s="1010"/>
      <c r="N598" s="1067"/>
      <c r="O598" s="1064"/>
      <c r="P598" s="1064"/>
      <c r="Q598" s="1064"/>
      <c r="R598" s="1070"/>
      <c r="S598" s="1094"/>
      <c r="T598" s="1094"/>
      <c r="U598" s="1094"/>
      <c r="V598" s="1045"/>
      <c r="W598" s="1045"/>
      <c r="X598" s="1012"/>
      <c r="Y598" s="108" t="s">
        <v>2104</v>
      </c>
      <c r="Z598" s="109">
        <v>96222000</v>
      </c>
      <c r="AA598" s="109">
        <v>-38488800</v>
      </c>
      <c r="AB598" s="109">
        <f>Z598+AA598</f>
        <v>57733200</v>
      </c>
      <c r="AC598" s="97">
        <v>43095</v>
      </c>
      <c r="AD598" s="119">
        <v>57733200</v>
      </c>
      <c r="AE598" s="98" t="s">
        <v>7</v>
      </c>
      <c r="AF598" s="1045"/>
      <c r="AG598" s="1045"/>
      <c r="AH598" s="111">
        <f>AB598-AD598</f>
        <v>0</v>
      </c>
      <c r="AI598" s="1045"/>
      <c r="AJ598" s="1064"/>
      <c r="AK598" s="1064"/>
      <c r="AL598" s="1064"/>
      <c r="AM598" s="1064"/>
      <c r="AN598" s="1110"/>
      <c r="AO598" s="1105"/>
    </row>
    <row r="599" spans="1:43" s="954" customFormat="1" ht="15" customHeight="1">
      <c r="A599" s="1214" t="s">
        <v>749</v>
      </c>
      <c r="B599" s="1171">
        <v>40455</v>
      </c>
      <c r="C599" s="1076" t="s">
        <v>15</v>
      </c>
      <c r="D599" s="1076" t="s">
        <v>598</v>
      </c>
      <c r="E599" s="1252">
        <v>900368699</v>
      </c>
      <c r="F599" s="1252">
        <v>2</v>
      </c>
      <c r="G599" s="1076" t="s">
        <v>2794</v>
      </c>
      <c r="H599" s="1076" t="s">
        <v>72</v>
      </c>
      <c r="I599" s="1076" t="s">
        <v>177</v>
      </c>
      <c r="J599" s="1250" t="s">
        <v>66</v>
      </c>
      <c r="K599" s="1076" t="s">
        <v>50</v>
      </c>
      <c r="L599" s="1076" t="s">
        <v>753</v>
      </c>
      <c r="M599" s="1269">
        <v>144</v>
      </c>
      <c r="N599" s="1271" t="s">
        <v>7</v>
      </c>
      <c r="O599" s="1255">
        <v>57362000</v>
      </c>
      <c r="P599" s="1255">
        <f>O599</f>
        <v>57362000</v>
      </c>
      <c r="Q599" s="1119">
        <f>P599+P602</f>
        <v>86043000</v>
      </c>
      <c r="R599" s="1270">
        <v>40647</v>
      </c>
      <c r="S599" s="1272">
        <f>T599</f>
        <v>57362000</v>
      </c>
      <c r="T599" s="1255">
        <v>57362000</v>
      </c>
      <c r="U599" s="1255">
        <f>O599-T599</f>
        <v>0</v>
      </c>
      <c r="V599" s="1255">
        <v>57362000</v>
      </c>
      <c r="W599" s="1119">
        <v>86043000</v>
      </c>
      <c r="X599" s="1076" t="s">
        <v>751</v>
      </c>
      <c r="Y599" s="947" t="s">
        <v>752</v>
      </c>
      <c r="Z599" s="944">
        <v>0</v>
      </c>
      <c r="AA599" s="944">
        <v>22944800</v>
      </c>
      <c r="AB599" s="944">
        <f t="shared" si="41"/>
        <v>22944800</v>
      </c>
      <c r="AC599" s="945">
        <v>40690</v>
      </c>
      <c r="AD599" s="938">
        <v>22944800</v>
      </c>
      <c r="AE599" s="938" t="s">
        <v>7</v>
      </c>
      <c r="AF599" s="1264">
        <f>SUM(AD599:AD601)</f>
        <v>57362000</v>
      </c>
      <c r="AG599" s="1084">
        <f>AF599+AF602</f>
        <v>77438700</v>
      </c>
      <c r="AH599" s="939">
        <f t="shared" si="42"/>
        <v>0</v>
      </c>
      <c r="AI599" s="1264">
        <f>V599-Z599-Z600-Z601</f>
        <v>0</v>
      </c>
      <c r="AJ599" s="1255">
        <f>SUM(Z599:Z601)-SUM(AD599:AD601)</f>
        <v>0</v>
      </c>
      <c r="AK599" s="1255">
        <f>P599-V599</f>
        <v>0</v>
      </c>
      <c r="AL599" s="1255">
        <f>V599-SUM(Z599:Z601)</f>
        <v>0</v>
      </c>
      <c r="AM599" s="1255">
        <f>AK599+AL599</f>
        <v>0</v>
      </c>
      <c r="AN599" s="1203" t="s">
        <v>757</v>
      </c>
      <c r="AO599" s="1203" t="s">
        <v>1702</v>
      </c>
      <c r="AP599" s="1074" t="s">
        <v>2500</v>
      </c>
      <c r="AQ599" s="934"/>
    </row>
    <row r="600" spans="1:43" s="954" customFormat="1" ht="15" customHeight="1">
      <c r="A600" s="1214"/>
      <c r="B600" s="1171"/>
      <c r="C600" s="1076"/>
      <c r="D600" s="1076"/>
      <c r="E600" s="1252"/>
      <c r="F600" s="1252"/>
      <c r="G600" s="1076"/>
      <c r="H600" s="1076"/>
      <c r="I600" s="1076"/>
      <c r="J600" s="1250"/>
      <c r="K600" s="1076"/>
      <c r="L600" s="1076"/>
      <c r="M600" s="1269"/>
      <c r="N600" s="1271"/>
      <c r="O600" s="1255"/>
      <c r="P600" s="1255"/>
      <c r="Q600" s="1119"/>
      <c r="R600" s="1270"/>
      <c r="S600" s="1272"/>
      <c r="T600" s="1255"/>
      <c r="U600" s="1255"/>
      <c r="V600" s="1255"/>
      <c r="W600" s="1119"/>
      <c r="X600" s="1076"/>
      <c r="Y600" s="947" t="s">
        <v>754</v>
      </c>
      <c r="Z600" s="944">
        <v>40153400</v>
      </c>
      <c r="AA600" s="944">
        <v>-16061360</v>
      </c>
      <c r="AB600" s="944">
        <f t="shared" si="41"/>
        <v>24092040</v>
      </c>
      <c r="AC600" s="945">
        <v>41554</v>
      </c>
      <c r="AD600" s="938">
        <v>24092040</v>
      </c>
      <c r="AE600" s="938" t="s">
        <v>7</v>
      </c>
      <c r="AF600" s="1264"/>
      <c r="AG600" s="1084"/>
      <c r="AH600" s="939">
        <f t="shared" si="42"/>
        <v>0</v>
      </c>
      <c r="AI600" s="1264"/>
      <c r="AJ600" s="1255"/>
      <c r="AK600" s="1255"/>
      <c r="AL600" s="1255"/>
      <c r="AM600" s="1255"/>
      <c r="AN600" s="1203"/>
      <c r="AO600" s="1203"/>
      <c r="AP600" s="1074"/>
      <c r="AQ600" s="934"/>
    </row>
    <row r="601" spans="1:43" s="954" customFormat="1" ht="15" customHeight="1">
      <c r="A601" s="1214"/>
      <c r="B601" s="1171"/>
      <c r="C601" s="1076"/>
      <c r="D601" s="1076"/>
      <c r="E601" s="1252"/>
      <c r="F601" s="1252"/>
      <c r="G601" s="1076"/>
      <c r="H601" s="1076"/>
      <c r="I601" s="1076"/>
      <c r="J601" s="1250"/>
      <c r="K601" s="1076"/>
      <c r="L601" s="1076"/>
      <c r="M601" s="1269"/>
      <c r="N601" s="1271"/>
      <c r="O601" s="1255"/>
      <c r="P601" s="1255"/>
      <c r="Q601" s="1119"/>
      <c r="R601" s="1270"/>
      <c r="S601" s="1272"/>
      <c r="T601" s="1255"/>
      <c r="U601" s="1255"/>
      <c r="V601" s="1255"/>
      <c r="W601" s="1119"/>
      <c r="X601" s="1076"/>
      <c r="Y601" s="947" t="s">
        <v>756</v>
      </c>
      <c r="Z601" s="944">
        <v>17208600</v>
      </c>
      <c r="AA601" s="944">
        <v>-6883440</v>
      </c>
      <c r="AB601" s="944">
        <f t="shared" si="41"/>
        <v>10325160</v>
      </c>
      <c r="AC601" s="945">
        <v>43026</v>
      </c>
      <c r="AD601" s="938">
        <f>+AB601</f>
        <v>10325160</v>
      </c>
      <c r="AE601" s="938"/>
      <c r="AF601" s="1264"/>
      <c r="AG601" s="1084"/>
      <c r="AH601" s="939">
        <f t="shared" si="42"/>
        <v>0</v>
      </c>
      <c r="AI601" s="1264"/>
      <c r="AJ601" s="1255"/>
      <c r="AK601" s="1255"/>
      <c r="AL601" s="1255"/>
      <c r="AM601" s="1255"/>
      <c r="AN601" s="1203"/>
      <c r="AO601" s="1203"/>
      <c r="AP601" s="1074"/>
      <c r="AQ601" s="934"/>
    </row>
    <row r="602" spans="1:43" ht="15" customHeight="1">
      <c r="A602" s="1214"/>
      <c r="B602" s="1171"/>
      <c r="C602" s="1076"/>
      <c r="D602" s="1076"/>
      <c r="E602" s="1252"/>
      <c r="F602" s="1252"/>
      <c r="G602" s="1076"/>
      <c r="H602" s="1076"/>
      <c r="I602" s="1076"/>
      <c r="J602" s="1076" t="s">
        <v>171</v>
      </c>
      <c r="K602" s="1076"/>
      <c r="L602" s="1076"/>
      <c r="M602" s="1251">
        <v>174</v>
      </c>
      <c r="N602" s="1123" t="s">
        <v>7</v>
      </c>
      <c r="O602" s="1119">
        <v>28681000</v>
      </c>
      <c r="P602" s="1119">
        <f>O602</f>
        <v>28681000</v>
      </c>
      <c r="Q602" s="1119"/>
      <c r="R602" s="1171"/>
      <c r="S602" s="1196"/>
      <c r="T602" s="1119"/>
      <c r="U602" s="1119"/>
      <c r="V602" s="1119">
        <v>28681000</v>
      </c>
      <c r="W602" s="1119"/>
      <c r="X602" s="1076"/>
      <c r="Y602" s="108" t="s">
        <v>755</v>
      </c>
      <c r="Z602" s="109">
        <v>20076700</v>
      </c>
      <c r="AA602" s="109">
        <v>0</v>
      </c>
      <c r="AB602" s="109">
        <f t="shared" si="41"/>
        <v>20076700</v>
      </c>
      <c r="AC602" s="97">
        <v>41554</v>
      </c>
      <c r="AD602" s="119">
        <v>20076700</v>
      </c>
      <c r="AE602" s="119" t="s">
        <v>7</v>
      </c>
      <c r="AF602" s="1084">
        <f>SUM(AD602:AD603)</f>
        <v>20076700</v>
      </c>
      <c r="AG602" s="1084"/>
      <c r="AH602" s="111">
        <f t="shared" si="42"/>
        <v>0</v>
      </c>
      <c r="AI602" s="1084">
        <f>V602-Z602-Z603</f>
        <v>0</v>
      </c>
      <c r="AJ602" s="1119">
        <f>SUM(Z602:Z603)-SUM(AD602:AD603)</f>
        <v>8604300</v>
      </c>
      <c r="AK602" s="1119">
        <f>P602-V602</f>
        <v>0</v>
      </c>
      <c r="AL602" s="1119">
        <f>V602-SUM(Z602:Z603)</f>
        <v>0</v>
      </c>
      <c r="AM602" s="1119">
        <f>AK602+AL602</f>
        <v>0</v>
      </c>
      <c r="AN602" s="1203"/>
      <c r="AO602" s="1203"/>
      <c r="AP602" s="1074"/>
    </row>
    <row r="603" spans="1:43" ht="15" customHeight="1">
      <c r="A603" s="1214"/>
      <c r="B603" s="1171"/>
      <c r="C603" s="1076"/>
      <c r="D603" s="1076"/>
      <c r="E603" s="1252"/>
      <c r="F603" s="1252"/>
      <c r="G603" s="1076"/>
      <c r="H603" s="1076"/>
      <c r="I603" s="1076"/>
      <c r="J603" s="1076"/>
      <c r="K603" s="1076"/>
      <c r="L603" s="1076"/>
      <c r="M603" s="1251"/>
      <c r="N603" s="1123"/>
      <c r="O603" s="1119"/>
      <c r="P603" s="1119"/>
      <c r="Q603" s="1119"/>
      <c r="R603" s="1171"/>
      <c r="S603" s="1196"/>
      <c r="T603" s="1119"/>
      <c r="U603" s="1119"/>
      <c r="V603" s="1119"/>
      <c r="W603" s="1119"/>
      <c r="X603" s="1076"/>
      <c r="Y603" s="108" t="s">
        <v>756</v>
      </c>
      <c r="Z603" s="109">
        <v>8604300</v>
      </c>
      <c r="AA603" s="109">
        <v>0</v>
      </c>
      <c r="AB603" s="109">
        <f t="shared" si="41"/>
        <v>8604300</v>
      </c>
      <c r="AC603" s="97"/>
      <c r="AD603" s="119">
        <v>0</v>
      </c>
      <c r="AE603" s="119"/>
      <c r="AF603" s="1084"/>
      <c r="AG603" s="1084"/>
      <c r="AH603" s="111">
        <f t="shared" si="42"/>
        <v>8604300</v>
      </c>
      <c r="AI603" s="1084"/>
      <c r="AJ603" s="1119"/>
      <c r="AK603" s="1119"/>
      <c r="AL603" s="1119"/>
      <c r="AM603" s="1119"/>
      <c r="AN603" s="1203"/>
      <c r="AO603" s="1203"/>
      <c r="AP603" s="1074"/>
    </row>
    <row r="604" spans="1:43" s="4" customFormat="1" ht="15" customHeight="1">
      <c r="A604" s="1030" t="s">
        <v>2113</v>
      </c>
      <c r="B604" s="1068">
        <v>40455</v>
      </c>
      <c r="C604" s="1011" t="s">
        <v>10</v>
      </c>
      <c r="D604" s="1011" t="s">
        <v>2120</v>
      </c>
      <c r="E604" s="1011">
        <v>900368699</v>
      </c>
      <c r="F604" s="1011">
        <v>2</v>
      </c>
      <c r="G604" s="1011" t="s">
        <v>2813</v>
      </c>
      <c r="H604" s="1011" t="s">
        <v>72</v>
      </c>
      <c r="I604" s="1011" t="s">
        <v>206</v>
      </c>
      <c r="J604" s="1011" t="s">
        <v>66</v>
      </c>
      <c r="K604" s="1011" t="s">
        <v>49</v>
      </c>
      <c r="L604" s="1011" t="s">
        <v>2118</v>
      </c>
      <c r="M604" s="1009">
        <v>166</v>
      </c>
      <c r="N604" s="1065" t="s">
        <v>7</v>
      </c>
      <c r="O604" s="1062">
        <v>188642825</v>
      </c>
      <c r="P604" s="1062">
        <v>188642825</v>
      </c>
      <c r="Q604" s="1062">
        <f>SUM(O604:O607)</f>
        <v>282950825</v>
      </c>
      <c r="R604" s="1068">
        <v>40701</v>
      </c>
      <c r="S604" s="1089">
        <f>T604</f>
        <v>188642825</v>
      </c>
      <c r="T604" s="1089">
        <v>188642825</v>
      </c>
      <c r="U604" s="1089">
        <f>P604-T604</f>
        <v>0</v>
      </c>
      <c r="V604" s="1062">
        <v>188642825</v>
      </c>
      <c r="W604" s="1062">
        <f>V604+V607</f>
        <v>282950825</v>
      </c>
      <c r="X604" s="1011"/>
      <c r="Y604" s="108" t="s">
        <v>2117</v>
      </c>
      <c r="Z604" s="109">
        <v>0</v>
      </c>
      <c r="AA604" s="109">
        <v>75457130</v>
      </c>
      <c r="AB604" s="109">
        <f>Z604+AA604</f>
        <v>75457130</v>
      </c>
      <c r="AC604" s="97">
        <v>40736</v>
      </c>
      <c r="AD604" s="119">
        <v>75457130</v>
      </c>
      <c r="AE604" s="108" t="s">
        <v>7</v>
      </c>
      <c r="AF604" s="1043">
        <f>SUM(AD604:AD606)</f>
        <v>188642825</v>
      </c>
      <c r="AG604" s="1043">
        <f>AF604+AF607</f>
        <v>235794142.5</v>
      </c>
      <c r="AH604" s="111">
        <f>AB604-AD604</f>
        <v>0</v>
      </c>
      <c r="AI604" s="1043">
        <f>P604-AF604</f>
        <v>0</v>
      </c>
      <c r="AJ604" s="1043">
        <f>SUM(Z604:Z608)-SUM(AD604:AD608)</f>
        <v>0</v>
      </c>
      <c r="AK604" s="1043">
        <f>P604-V604</f>
        <v>0</v>
      </c>
      <c r="AL604" s="1043">
        <f>V604-SUM(Z604:Z606)</f>
        <v>0</v>
      </c>
      <c r="AM604" s="1043"/>
      <c r="AN604" s="1023"/>
      <c r="AO604" s="1023" t="s">
        <v>2116</v>
      </c>
      <c r="AQ604" s="934"/>
    </row>
    <row r="605" spans="1:43" s="4" customFormat="1" ht="15" customHeight="1">
      <c r="A605" s="1031"/>
      <c r="B605" s="1069"/>
      <c r="C605" s="1033"/>
      <c r="D605" s="1033"/>
      <c r="E605" s="1033"/>
      <c r="F605" s="1033"/>
      <c r="G605" s="1033"/>
      <c r="H605" s="1033"/>
      <c r="I605" s="1033"/>
      <c r="J605" s="1033"/>
      <c r="K605" s="1033"/>
      <c r="L605" s="1033"/>
      <c r="M605" s="1039"/>
      <c r="N605" s="1066"/>
      <c r="O605" s="1063"/>
      <c r="P605" s="1063"/>
      <c r="Q605" s="1063"/>
      <c r="R605" s="1069"/>
      <c r="S605" s="1090"/>
      <c r="T605" s="1090"/>
      <c r="U605" s="1090"/>
      <c r="V605" s="1063"/>
      <c r="W605" s="1063"/>
      <c r="X605" s="1033"/>
      <c r="Y605" s="108" t="s">
        <v>2115</v>
      </c>
      <c r="Z605" s="109">
        <v>122617836.25</v>
      </c>
      <c r="AA605" s="109">
        <v>-49047134.5</v>
      </c>
      <c r="AB605" s="109">
        <f>Z605+AA605</f>
        <v>73570701.75</v>
      </c>
      <c r="AC605" s="97">
        <v>41988</v>
      </c>
      <c r="AD605" s="119">
        <v>73570701.75</v>
      </c>
      <c r="AE605" s="108" t="s">
        <v>7</v>
      </c>
      <c r="AF605" s="1044"/>
      <c r="AG605" s="1044"/>
      <c r="AH605" s="111">
        <f>AB605-AD605</f>
        <v>0</v>
      </c>
      <c r="AI605" s="1044"/>
      <c r="AJ605" s="1044"/>
      <c r="AK605" s="1044"/>
      <c r="AL605" s="1044"/>
      <c r="AM605" s="1044"/>
      <c r="AN605" s="1124"/>
      <c r="AO605" s="1124"/>
      <c r="AQ605" s="934"/>
    </row>
    <row r="606" spans="1:43" s="4" customFormat="1" ht="15" customHeight="1">
      <c r="A606" s="1031"/>
      <c r="B606" s="1069"/>
      <c r="C606" s="1033"/>
      <c r="D606" s="1033"/>
      <c r="E606" s="1033"/>
      <c r="F606" s="1033"/>
      <c r="G606" s="1033"/>
      <c r="H606" s="1033"/>
      <c r="I606" s="1033"/>
      <c r="J606" s="1033"/>
      <c r="K606" s="1033"/>
      <c r="L606" s="1033"/>
      <c r="M606" s="1039"/>
      <c r="N606" s="1067"/>
      <c r="O606" s="1064"/>
      <c r="P606" s="1064"/>
      <c r="Q606" s="1063"/>
      <c r="R606" s="1070"/>
      <c r="S606" s="1091"/>
      <c r="T606" s="1091"/>
      <c r="U606" s="1091"/>
      <c r="V606" s="1064"/>
      <c r="W606" s="1063"/>
      <c r="X606" s="1033"/>
      <c r="Y606" s="108" t="s">
        <v>2114</v>
      </c>
      <c r="Z606" s="109">
        <v>66024988.75</v>
      </c>
      <c r="AA606" s="109">
        <v>-26409995.5</v>
      </c>
      <c r="AB606" s="109">
        <f>Z606+AA606</f>
        <v>39614993.25</v>
      </c>
      <c r="AC606" s="97">
        <v>43014</v>
      </c>
      <c r="AD606" s="119">
        <v>39614993.25</v>
      </c>
      <c r="AE606" s="108" t="s">
        <v>7</v>
      </c>
      <c r="AF606" s="1045"/>
      <c r="AG606" s="1044"/>
      <c r="AH606" s="111">
        <f>AB606-AD606</f>
        <v>0</v>
      </c>
      <c r="AI606" s="1045"/>
      <c r="AJ606" s="1044"/>
      <c r="AK606" s="1045"/>
      <c r="AL606" s="1045"/>
      <c r="AM606" s="1045"/>
      <c r="AN606" s="1124"/>
      <c r="AO606" s="1124"/>
      <c r="AQ606" s="934"/>
    </row>
    <row r="607" spans="1:43" s="4" customFormat="1" ht="15" customHeight="1">
      <c r="A607" s="1031"/>
      <c r="B607" s="1069"/>
      <c r="C607" s="1033"/>
      <c r="D607" s="1033"/>
      <c r="E607" s="1033"/>
      <c r="F607" s="1033"/>
      <c r="G607" s="1033"/>
      <c r="H607" s="1033"/>
      <c r="I607" s="1033"/>
      <c r="J607" s="1033"/>
      <c r="K607" s="1033"/>
      <c r="L607" s="1033"/>
      <c r="M607" s="1009">
        <v>174</v>
      </c>
      <c r="N607" s="1021" t="s">
        <v>7</v>
      </c>
      <c r="O607" s="1062">
        <v>94308000</v>
      </c>
      <c r="P607" s="1062">
        <f>O607</f>
        <v>94308000</v>
      </c>
      <c r="Q607" s="1063"/>
      <c r="R607" s="1068">
        <v>40701</v>
      </c>
      <c r="S607" s="1089">
        <f>T607</f>
        <v>94308000</v>
      </c>
      <c r="T607" s="1089">
        <v>94308000</v>
      </c>
      <c r="U607" s="1089">
        <f>P607-T607</f>
        <v>0</v>
      </c>
      <c r="V607" s="1062">
        <f>O607</f>
        <v>94308000</v>
      </c>
      <c r="W607" s="1063"/>
      <c r="X607" s="1033"/>
      <c r="Y607" s="108" t="s">
        <v>2114</v>
      </c>
      <c r="Z607" s="109">
        <v>47151317.5</v>
      </c>
      <c r="AA607" s="109">
        <v>0</v>
      </c>
      <c r="AB607" s="109">
        <f>Z607+AA607</f>
        <v>47151317.5</v>
      </c>
      <c r="AC607" s="97">
        <v>43014</v>
      </c>
      <c r="AD607" s="119">
        <v>47151317.5</v>
      </c>
      <c r="AE607" s="98" t="s">
        <v>7</v>
      </c>
      <c r="AF607" s="1043">
        <f>SUM(AD607:AD608)</f>
        <v>47151317.5</v>
      </c>
      <c r="AG607" s="1044"/>
      <c r="AH607" s="111">
        <f>AB607-AD607</f>
        <v>0</v>
      </c>
      <c r="AI607" s="1043">
        <f>P607-AF607</f>
        <v>47156682.5</v>
      </c>
      <c r="AJ607" s="1044"/>
      <c r="AK607" s="1043">
        <f>P607-V607</f>
        <v>0</v>
      </c>
      <c r="AL607" s="1043">
        <f>V607-SUM(Z607:Z608)</f>
        <v>47156682.5</v>
      </c>
      <c r="AM607" s="1043"/>
      <c r="AN607" s="1124"/>
      <c r="AO607" s="1124"/>
      <c r="AQ607" s="934"/>
    </row>
    <row r="608" spans="1:43" s="4" customFormat="1" ht="15" customHeight="1">
      <c r="A608" s="1032"/>
      <c r="B608" s="1070"/>
      <c r="C608" s="1012"/>
      <c r="D608" s="1012"/>
      <c r="E608" s="1012"/>
      <c r="F608" s="1012"/>
      <c r="G608" s="1012"/>
      <c r="H608" s="1012"/>
      <c r="I608" s="1012"/>
      <c r="J608" s="1012"/>
      <c r="K608" s="1012"/>
      <c r="L608" s="1012"/>
      <c r="M608" s="1010"/>
      <c r="N608" s="1038"/>
      <c r="O608" s="1064"/>
      <c r="P608" s="1064"/>
      <c r="Q608" s="1064"/>
      <c r="R608" s="1070"/>
      <c r="S608" s="1091"/>
      <c r="T608" s="1091"/>
      <c r="U608" s="1091"/>
      <c r="V608" s="1064"/>
      <c r="W608" s="1064"/>
      <c r="X608" s="1012"/>
      <c r="Y608" s="108"/>
      <c r="Z608" s="109"/>
      <c r="AA608" s="109"/>
      <c r="AB608" s="109">
        <f>Z608+AA608</f>
        <v>0</v>
      </c>
      <c r="AC608" s="97"/>
      <c r="AD608" s="119"/>
      <c r="AE608" s="98"/>
      <c r="AF608" s="1045"/>
      <c r="AG608" s="1045"/>
      <c r="AH608" s="111">
        <f>AB608-AD608</f>
        <v>0</v>
      </c>
      <c r="AI608" s="1045"/>
      <c r="AJ608" s="1045"/>
      <c r="AK608" s="1045"/>
      <c r="AL608" s="1045"/>
      <c r="AM608" s="1045"/>
      <c r="AN608" s="1024"/>
      <c r="AO608" s="1024"/>
      <c r="AQ608" s="934"/>
    </row>
    <row r="609" spans="1:41" ht="15" customHeight="1">
      <c r="A609" s="1214" t="s">
        <v>758</v>
      </c>
      <c r="B609" s="1171">
        <v>40455</v>
      </c>
      <c r="C609" s="1076" t="s">
        <v>28</v>
      </c>
      <c r="D609" s="1076" t="s">
        <v>759</v>
      </c>
      <c r="E609" s="1252">
        <v>830040053</v>
      </c>
      <c r="F609" s="1252">
        <v>2</v>
      </c>
      <c r="G609" s="1076" t="s">
        <v>2795</v>
      </c>
      <c r="H609" s="1076" t="s">
        <v>72</v>
      </c>
      <c r="I609" s="1076" t="s">
        <v>177</v>
      </c>
      <c r="J609" s="1076" t="s">
        <v>66</v>
      </c>
      <c r="K609" s="1076" t="s">
        <v>49</v>
      </c>
      <c r="L609" s="1076" t="s">
        <v>763</v>
      </c>
      <c r="M609" s="1251">
        <v>149</v>
      </c>
      <c r="N609" s="1123" t="s">
        <v>7</v>
      </c>
      <c r="O609" s="1119">
        <v>39875000</v>
      </c>
      <c r="P609" s="1119">
        <f>O609</f>
        <v>39875000</v>
      </c>
      <c r="Q609" s="1119">
        <f>P609</f>
        <v>39875000</v>
      </c>
      <c r="R609" s="1171">
        <v>40647</v>
      </c>
      <c r="S609" s="1196">
        <f>T609</f>
        <v>39875000</v>
      </c>
      <c r="T609" s="1119">
        <v>39875000</v>
      </c>
      <c r="U609" s="1119">
        <f>O609-T609</f>
        <v>0</v>
      </c>
      <c r="V609" s="1119">
        <v>39875000</v>
      </c>
      <c r="W609" s="1119">
        <v>39875000</v>
      </c>
      <c r="X609" s="1076" t="s">
        <v>761</v>
      </c>
      <c r="Y609" s="108" t="s">
        <v>762</v>
      </c>
      <c r="Z609" s="109">
        <v>0</v>
      </c>
      <c r="AA609" s="109">
        <v>15950000</v>
      </c>
      <c r="AB609" s="109">
        <f t="shared" si="41"/>
        <v>15950000</v>
      </c>
      <c r="AC609" s="97">
        <v>40694</v>
      </c>
      <c r="AD609" s="119">
        <v>15950000</v>
      </c>
      <c r="AE609" s="119" t="s">
        <v>7</v>
      </c>
      <c r="AF609" s="1084">
        <f>SUM(AD609:AD611)</f>
        <v>15950000</v>
      </c>
      <c r="AG609" s="1084">
        <f>AF609</f>
        <v>15950000</v>
      </c>
      <c r="AH609" s="111">
        <f t="shared" si="42"/>
        <v>0</v>
      </c>
      <c r="AI609" s="1084">
        <f>O609-AD609-AD610-AD611</f>
        <v>23925000</v>
      </c>
      <c r="AJ609" s="1119">
        <f>SUM(Z609:Z611)-SUM(AD609:AD611)</f>
        <v>-15950000</v>
      </c>
      <c r="AK609" s="1119">
        <f>P609-V609</f>
        <v>0</v>
      </c>
      <c r="AL609" s="1119">
        <f>V609-SUM(Z609:Z611)+AJ609</f>
        <v>23925000</v>
      </c>
      <c r="AM609" s="1119"/>
      <c r="AN609" s="1203" t="s">
        <v>764</v>
      </c>
      <c r="AO609" s="1237" t="s">
        <v>765</v>
      </c>
    </row>
    <row r="610" spans="1:41" ht="15" customHeight="1">
      <c r="A610" s="1214"/>
      <c r="B610" s="1171"/>
      <c r="C610" s="1076"/>
      <c r="D610" s="1076"/>
      <c r="E610" s="1252"/>
      <c r="F610" s="1252"/>
      <c r="G610" s="1076"/>
      <c r="H610" s="1076"/>
      <c r="I610" s="1076"/>
      <c r="J610" s="1076"/>
      <c r="K610" s="1076"/>
      <c r="L610" s="1076"/>
      <c r="M610" s="1251"/>
      <c r="N610" s="1123"/>
      <c r="O610" s="1119"/>
      <c r="P610" s="1119"/>
      <c r="Q610" s="1119"/>
      <c r="R610" s="1171"/>
      <c r="S610" s="1196"/>
      <c r="T610" s="1119"/>
      <c r="U610" s="1119"/>
      <c r="V610" s="1119"/>
      <c r="W610" s="1119"/>
      <c r="X610" s="1076"/>
      <c r="Y610" s="108"/>
      <c r="Z610" s="109"/>
      <c r="AA610" s="109"/>
      <c r="AB610" s="109">
        <f t="shared" si="41"/>
        <v>0</v>
      </c>
      <c r="AC610" s="97"/>
      <c r="AD610" s="119">
        <v>0</v>
      </c>
      <c r="AE610" s="119"/>
      <c r="AF610" s="1084"/>
      <c r="AG610" s="1084"/>
      <c r="AH610" s="111">
        <f t="shared" si="42"/>
        <v>0</v>
      </c>
      <c r="AI610" s="1084"/>
      <c r="AJ610" s="1119"/>
      <c r="AK610" s="1119"/>
      <c r="AL610" s="1119"/>
      <c r="AM610" s="1119"/>
      <c r="AN610" s="1203"/>
      <c r="AO610" s="1204"/>
    </row>
    <row r="611" spans="1:41" ht="15" customHeight="1">
      <c r="A611" s="1214"/>
      <c r="B611" s="1171"/>
      <c r="C611" s="1076"/>
      <c r="D611" s="1076"/>
      <c r="E611" s="1252"/>
      <c r="F611" s="1252"/>
      <c r="G611" s="1076"/>
      <c r="H611" s="1076"/>
      <c r="I611" s="1076"/>
      <c r="J611" s="1076"/>
      <c r="K611" s="1076"/>
      <c r="L611" s="1076"/>
      <c r="M611" s="1251"/>
      <c r="N611" s="1123"/>
      <c r="O611" s="1119"/>
      <c r="P611" s="1119"/>
      <c r="Q611" s="1119"/>
      <c r="R611" s="1171"/>
      <c r="S611" s="1196"/>
      <c r="T611" s="1119"/>
      <c r="U611" s="1119"/>
      <c r="V611" s="1119"/>
      <c r="W611" s="1119"/>
      <c r="X611" s="1076"/>
      <c r="Y611" s="108"/>
      <c r="Z611" s="109"/>
      <c r="AA611" s="109"/>
      <c r="AB611" s="109">
        <f t="shared" si="41"/>
        <v>0</v>
      </c>
      <c r="AC611" s="97"/>
      <c r="AD611" s="119">
        <v>0</v>
      </c>
      <c r="AE611" s="119"/>
      <c r="AF611" s="1084"/>
      <c r="AG611" s="1084"/>
      <c r="AH611" s="111">
        <f t="shared" si="42"/>
        <v>0</v>
      </c>
      <c r="AI611" s="1084"/>
      <c r="AJ611" s="1119"/>
      <c r="AK611" s="1119"/>
      <c r="AL611" s="1119"/>
      <c r="AM611" s="1119"/>
      <c r="AN611" s="1203"/>
      <c r="AO611" s="1204"/>
    </row>
    <row r="612" spans="1:41" ht="15" customHeight="1">
      <c r="A612" s="1214" t="s">
        <v>813</v>
      </c>
      <c r="B612" s="1171">
        <v>40455</v>
      </c>
      <c r="C612" s="1076" t="s">
        <v>28</v>
      </c>
      <c r="D612" s="1076" t="s">
        <v>759</v>
      </c>
      <c r="E612" s="1076" t="s">
        <v>814</v>
      </c>
      <c r="F612" s="1252">
        <v>2</v>
      </c>
      <c r="G612" s="1076" t="s">
        <v>2796</v>
      </c>
      <c r="H612" s="1076" t="s">
        <v>72</v>
      </c>
      <c r="I612" s="1076" t="s">
        <v>177</v>
      </c>
      <c r="J612" s="1076" t="s">
        <v>66</v>
      </c>
      <c r="K612" s="1076" t="s">
        <v>49</v>
      </c>
      <c r="L612" s="1076" t="s">
        <v>763</v>
      </c>
      <c r="M612" s="1251">
        <v>141</v>
      </c>
      <c r="N612" s="1123" t="s">
        <v>7</v>
      </c>
      <c r="O612" s="1119">
        <v>40745000</v>
      </c>
      <c r="P612" s="1119">
        <f>O612</f>
        <v>40745000</v>
      </c>
      <c r="Q612" s="1119">
        <f>P612</f>
        <v>40745000</v>
      </c>
      <c r="R612" s="1171">
        <v>40647</v>
      </c>
      <c r="S612" s="1196">
        <f>T612</f>
        <v>40745000</v>
      </c>
      <c r="T612" s="1196">
        <v>40745000</v>
      </c>
      <c r="U612" s="1196">
        <f>O612-T612</f>
        <v>0</v>
      </c>
      <c r="V612" s="1119">
        <v>40745000</v>
      </c>
      <c r="W612" s="1119">
        <v>40745000</v>
      </c>
      <c r="X612" s="1076" t="s">
        <v>816</v>
      </c>
      <c r="Y612" s="1123" t="s">
        <v>818</v>
      </c>
      <c r="Z612" s="1119">
        <v>0</v>
      </c>
      <c r="AA612" s="1119">
        <v>16298000</v>
      </c>
      <c r="AB612" s="1119">
        <f t="shared" si="41"/>
        <v>16298000</v>
      </c>
      <c r="AC612" s="1171">
        <v>40694</v>
      </c>
      <c r="AD612" s="119">
        <v>4691569</v>
      </c>
      <c r="AE612" s="119" t="s">
        <v>7</v>
      </c>
      <c r="AF612" s="1084">
        <f>SUM(AD612:AD615)</f>
        <v>16298000</v>
      </c>
      <c r="AG612" s="1084">
        <f>AF612</f>
        <v>16298000</v>
      </c>
      <c r="AH612" s="1084">
        <f>AB612-AD612-AD613</f>
        <v>0</v>
      </c>
      <c r="AI612" s="1084">
        <f>O612-SUM(AD612:AD615)</f>
        <v>24447000</v>
      </c>
      <c r="AJ612" s="1119">
        <f>SUM(Z612:Z615)-SUM(AD612:AD615)</f>
        <v>-16298000</v>
      </c>
      <c r="AK612" s="1119">
        <f>P612-V612</f>
        <v>0</v>
      </c>
      <c r="AL612" s="1119">
        <f>V612-SUM(Z612:Z615)+AJ612</f>
        <v>24447000</v>
      </c>
      <c r="AM612" s="1119"/>
      <c r="AN612" s="1203" t="s">
        <v>817</v>
      </c>
      <c r="AO612" s="1204" t="s">
        <v>819</v>
      </c>
    </row>
    <row r="613" spans="1:41" ht="15" customHeight="1">
      <c r="A613" s="1214"/>
      <c r="B613" s="1171"/>
      <c r="C613" s="1076"/>
      <c r="D613" s="1076"/>
      <c r="E613" s="1076"/>
      <c r="F613" s="1252"/>
      <c r="G613" s="1076"/>
      <c r="H613" s="1076"/>
      <c r="I613" s="1076"/>
      <c r="J613" s="1076"/>
      <c r="K613" s="1076"/>
      <c r="L613" s="1076"/>
      <c r="M613" s="1251"/>
      <c r="N613" s="1123"/>
      <c r="O613" s="1119"/>
      <c r="P613" s="1119"/>
      <c r="Q613" s="1119"/>
      <c r="R613" s="1171"/>
      <c r="S613" s="1196"/>
      <c r="T613" s="1196"/>
      <c r="U613" s="1196"/>
      <c r="V613" s="1119"/>
      <c r="W613" s="1119"/>
      <c r="X613" s="1076"/>
      <c r="Y613" s="1123"/>
      <c r="Z613" s="1119"/>
      <c r="AA613" s="1119"/>
      <c r="AB613" s="1119"/>
      <c r="AC613" s="1171"/>
      <c r="AD613" s="119">
        <v>11606431</v>
      </c>
      <c r="AE613" s="119" t="s">
        <v>7</v>
      </c>
      <c r="AF613" s="1084"/>
      <c r="AG613" s="1084"/>
      <c r="AH613" s="1084"/>
      <c r="AI613" s="1084"/>
      <c r="AJ613" s="1119"/>
      <c r="AK613" s="1119"/>
      <c r="AL613" s="1119"/>
      <c r="AM613" s="1119"/>
      <c r="AN613" s="1203"/>
      <c r="AO613" s="1204"/>
    </row>
    <row r="614" spans="1:41" ht="15" customHeight="1">
      <c r="A614" s="1214"/>
      <c r="B614" s="1171"/>
      <c r="C614" s="1076"/>
      <c r="D614" s="1076"/>
      <c r="E614" s="1076"/>
      <c r="F614" s="1252"/>
      <c r="G614" s="1076"/>
      <c r="H614" s="1076"/>
      <c r="I614" s="1076"/>
      <c r="J614" s="1076"/>
      <c r="K614" s="1076"/>
      <c r="L614" s="1076"/>
      <c r="M614" s="1251"/>
      <c r="N614" s="1123"/>
      <c r="O614" s="1119"/>
      <c r="P614" s="1119"/>
      <c r="Q614" s="1119"/>
      <c r="R614" s="1171"/>
      <c r="S614" s="1196"/>
      <c r="T614" s="1196"/>
      <c r="U614" s="1196"/>
      <c r="V614" s="1119"/>
      <c r="W614" s="1119"/>
      <c r="X614" s="1076"/>
      <c r="Y614" s="108"/>
      <c r="Z614" s="109"/>
      <c r="AA614" s="109"/>
      <c r="AB614" s="109">
        <f t="shared" ref="AB614:AB629" si="43">Z614+AA614</f>
        <v>0</v>
      </c>
      <c r="AC614" s="97"/>
      <c r="AD614" s="119"/>
      <c r="AE614" s="119"/>
      <c r="AF614" s="1084"/>
      <c r="AG614" s="1084"/>
      <c r="AH614" s="111">
        <f t="shared" ref="AH614:AH659" si="44">AB614-AD614</f>
        <v>0</v>
      </c>
      <c r="AI614" s="1084"/>
      <c r="AJ614" s="1119"/>
      <c r="AK614" s="1119"/>
      <c r="AL614" s="1119"/>
      <c r="AM614" s="1119"/>
      <c r="AN614" s="1203"/>
      <c r="AO614" s="1204"/>
    </row>
    <row r="615" spans="1:41" ht="15" customHeight="1">
      <c r="A615" s="1214"/>
      <c r="B615" s="1171"/>
      <c r="C615" s="1076"/>
      <c r="D615" s="1076"/>
      <c r="E615" s="1076"/>
      <c r="F615" s="1252"/>
      <c r="G615" s="1076"/>
      <c r="H615" s="1076"/>
      <c r="I615" s="1076"/>
      <c r="J615" s="1076"/>
      <c r="K615" s="1076"/>
      <c r="L615" s="1076"/>
      <c r="M615" s="1251"/>
      <c r="N615" s="1123"/>
      <c r="O615" s="1119"/>
      <c r="P615" s="1119"/>
      <c r="Q615" s="1119"/>
      <c r="R615" s="1171"/>
      <c r="S615" s="1196"/>
      <c r="T615" s="1196"/>
      <c r="U615" s="1196"/>
      <c r="V615" s="1119"/>
      <c r="W615" s="1119"/>
      <c r="X615" s="1076"/>
      <c r="Y615" s="108"/>
      <c r="Z615" s="109"/>
      <c r="AA615" s="109"/>
      <c r="AB615" s="109">
        <f t="shared" si="43"/>
        <v>0</v>
      </c>
      <c r="AC615" s="97"/>
      <c r="AD615" s="119"/>
      <c r="AE615" s="119"/>
      <c r="AF615" s="1084"/>
      <c r="AG615" s="1084"/>
      <c r="AH615" s="111">
        <f t="shared" si="44"/>
        <v>0</v>
      </c>
      <c r="AI615" s="1084"/>
      <c r="AJ615" s="1119"/>
      <c r="AK615" s="1119"/>
      <c r="AL615" s="1119"/>
      <c r="AM615" s="1119"/>
      <c r="AN615" s="1203"/>
      <c r="AO615" s="1204"/>
    </row>
    <row r="616" spans="1:41" ht="15" customHeight="1">
      <c r="A616" s="1214" t="s">
        <v>820</v>
      </c>
      <c r="B616" s="1171">
        <v>40455</v>
      </c>
      <c r="C616" s="1076" t="s">
        <v>28</v>
      </c>
      <c r="D616" s="1076" t="s">
        <v>759</v>
      </c>
      <c r="E616" s="1252">
        <v>830040053</v>
      </c>
      <c r="F616" s="1252">
        <v>2</v>
      </c>
      <c r="G616" s="1076" t="s">
        <v>2797</v>
      </c>
      <c r="H616" s="1076" t="s">
        <v>72</v>
      </c>
      <c r="I616" s="1076" t="s">
        <v>177</v>
      </c>
      <c r="J616" s="1076" t="s">
        <v>489</v>
      </c>
      <c r="K616" s="1076" t="s">
        <v>49</v>
      </c>
      <c r="L616" s="1076" t="s">
        <v>823</v>
      </c>
      <c r="M616" s="1251">
        <v>142</v>
      </c>
      <c r="N616" s="1123" t="s">
        <v>7</v>
      </c>
      <c r="O616" s="1119">
        <v>36540000</v>
      </c>
      <c r="P616" s="1119">
        <f>O616</f>
        <v>36540000</v>
      </c>
      <c r="Q616" s="1119">
        <f>P616</f>
        <v>36540000</v>
      </c>
      <c r="R616" s="1171">
        <v>40647</v>
      </c>
      <c r="S616" s="1196">
        <f>T616</f>
        <v>36540000</v>
      </c>
      <c r="T616" s="1119">
        <v>36540000</v>
      </c>
      <c r="U616" s="1119">
        <f>O616-T616</f>
        <v>0</v>
      </c>
      <c r="V616" s="1119">
        <v>36540000</v>
      </c>
      <c r="W616" s="1119">
        <v>36540000</v>
      </c>
      <c r="X616" s="1076" t="s">
        <v>822</v>
      </c>
      <c r="Y616" s="108" t="s">
        <v>825</v>
      </c>
      <c r="Z616" s="109">
        <v>0</v>
      </c>
      <c r="AA616" s="109">
        <v>14616000</v>
      </c>
      <c r="AB616" s="109">
        <f t="shared" si="43"/>
        <v>14616000</v>
      </c>
      <c r="AC616" s="97">
        <v>40694</v>
      </c>
      <c r="AD616" s="119">
        <v>14616000</v>
      </c>
      <c r="AE616" s="119" t="s">
        <v>7</v>
      </c>
      <c r="AF616" s="1084">
        <f>SUM(AD616:AD618)</f>
        <v>14616000</v>
      </c>
      <c r="AG616" s="1084">
        <f>AF616</f>
        <v>14616000</v>
      </c>
      <c r="AH616" s="111">
        <f t="shared" si="44"/>
        <v>0</v>
      </c>
      <c r="AI616" s="1084">
        <f>O616-AD616-AD617-AD618</f>
        <v>21924000</v>
      </c>
      <c r="AJ616" s="1119">
        <f>SUM(Z616:Z618)-SUM(AD616:AD618)</f>
        <v>-14616000</v>
      </c>
      <c r="AK616" s="1119">
        <f>P616-V616</f>
        <v>0</v>
      </c>
      <c r="AL616" s="1119">
        <f>V616-SUM(Z616:Z618)+AJ616</f>
        <v>21924000</v>
      </c>
      <c r="AM616" s="1119">
        <f>AK616+AL616</f>
        <v>21924000</v>
      </c>
      <c r="AN616" s="1203" t="s">
        <v>824</v>
      </c>
      <c r="AO616" s="1237" t="s">
        <v>826</v>
      </c>
    </row>
    <row r="617" spans="1:41" ht="15" customHeight="1">
      <c r="A617" s="1214"/>
      <c r="B617" s="1171"/>
      <c r="C617" s="1076"/>
      <c r="D617" s="1076"/>
      <c r="E617" s="1252"/>
      <c r="F617" s="1252"/>
      <c r="G617" s="1076"/>
      <c r="H617" s="1076"/>
      <c r="I617" s="1076"/>
      <c r="J617" s="1076"/>
      <c r="K617" s="1076"/>
      <c r="L617" s="1076"/>
      <c r="M617" s="1251"/>
      <c r="N617" s="1123"/>
      <c r="O617" s="1119"/>
      <c r="P617" s="1119"/>
      <c r="Q617" s="1119"/>
      <c r="R617" s="1171"/>
      <c r="S617" s="1196"/>
      <c r="T617" s="1119"/>
      <c r="U617" s="1119"/>
      <c r="V617" s="1119"/>
      <c r="W617" s="1119"/>
      <c r="X617" s="1076"/>
      <c r="Y617" s="108"/>
      <c r="Z617" s="109"/>
      <c r="AA617" s="109"/>
      <c r="AB617" s="109">
        <f t="shared" si="43"/>
        <v>0</v>
      </c>
      <c r="AC617" s="97"/>
      <c r="AD617" s="119"/>
      <c r="AE617" s="119"/>
      <c r="AF617" s="1084"/>
      <c r="AG617" s="1084"/>
      <c r="AH617" s="111">
        <f t="shared" si="44"/>
        <v>0</v>
      </c>
      <c r="AI617" s="1084"/>
      <c r="AJ617" s="1119"/>
      <c r="AK617" s="1119"/>
      <c r="AL617" s="1119"/>
      <c r="AM617" s="1119"/>
      <c r="AN617" s="1203"/>
      <c r="AO617" s="1204"/>
    </row>
    <row r="618" spans="1:41" ht="15" customHeight="1">
      <c r="A618" s="1214"/>
      <c r="B618" s="1171"/>
      <c r="C618" s="1076"/>
      <c r="D618" s="1076"/>
      <c r="E618" s="1252"/>
      <c r="F618" s="1252"/>
      <c r="G618" s="1076"/>
      <c r="H618" s="1076"/>
      <c r="I618" s="1076"/>
      <c r="J618" s="1076"/>
      <c r="K618" s="1076"/>
      <c r="L618" s="1076"/>
      <c r="M618" s="1251"/>
      <c r="N618" s="1123"/>
      <c r="O618" s="1119"/>
      <c r="P618" s="1119"/>
      <c r="Q618" s="1119"/>
      <c r="R618" s="1171"/>
      <c r="S618" s="1196"/>
      <c r="T618" s="1119"/>
      <c r="U618" s="1119"/>
      <c r="V618" s="1119"/>
      <c r="W618" s="1119"/>
      <c r="X618" s="1076"/>
      <c r="Y618" s="108"/>
      <c r="Z618" s="109"/>
      <c r="AA618" s="109"/>
      <c r="AB618" s="109">
        <f t="shared" si="43"/>
        <v>0</v>
      </c>
      <c r="AC618" s="97"/>
      <c r="AD618" s="119"/>
      <c r="AE618" s="119"/>
      <c r="AF618" s="1084"/>
      <c r="AG618" s="1084"/>
      <c r="AH618" s="111">
        <f t="shared" si="44"/>
        <v>0</v>
      </c>
      <c r="AI618" s="1084"/>
      <c r="AJ618" s="1119"/>
      <c r="AK618" s="1119"/>
      <c r="AL618" s="1119"/>
      <c r="AM618" s="1119"/>
      <c r="AN618" s="1203"/>
      <c r="AO618" s="1204"/>
    </row>
    <row r="619" spans="1:41" ht="15" customHeight="1">
      <c r="A619" s="1214" t="s">
        <v>827</v>
      </c>
      <c r="B619" s="1171">
        <v>40466</v>
      </c>
      <c r="C619" s="1076" t="s">
        <v>30</v>
      </c>
      <c r="D619" s="1076" t="s">
        <v>297</v>
      </c>
      <c r="E619" s="1252">
        <v>25287865</v>
      </c>
      <c r="F619" s="1252"/>
      <c r="G619" s="1076" t="s">
        <v>2826</v>
      </c>
      <c r="H619" s="1076" t="s">
        <v>70</v>
      </c>
      <c r="I619" s="1076" t="s">
        <v>177</v>
      </c>
      <c r="J619" s="1076" t="s">
        <v>66</v>
      </c>
      <c r="K619" s="1076" t="s">
        <v>49</v>
      </c>
      <c r="L619" s="1076" t="s">
        <v>830</v>
      </c>
      <c r="M619" s="1251">
        <v>170</v>
      </c>
      <c r="N619" s="1123" t="s">
        <v>7</v>
      </c>
      <c r="O619" s="1119">
        <v>11070000</v>
      </c>
      <c r="P619" s="1119">
        <f>O619</f>
        <v>11070000</v>
      </c>
      <c r="Q619" s="1119">
        <f>P619+P622+P625</f>
        <v>21681520</v>
      </c>
      <c r="R619" s="1171">
        <v>40707</v>
      </c>
      <c r="S619" s="1119">
        <f>T619</f>
        <v>11070000</v>
      </c>
      <c r="T619" s="1119">
        <v>11070000</v>
      </c>
      <c r="U619" s="1119">
        <f>O619-T619</f>
        <v>0</v>
      </c>
      <c r="V619" s="1119">
        <v>11070000</v>
      </c>
      <c r="W619" s="1119">
        <v>21681520</v>
      </c>
      <c r="X619" s="1076" t="s">
        <v>829</v>
      </c>
      <c r="Y619" s="108" t="s">
        <v>832</v>
      </c>
      <c r="Z619" s="109">
        <v>0</v>
      </c>
      <c r="AA619" s="109">
        <v>4428000</v>
      </c>
      <c r="AB619" s="109">
        <f t="shared" si="43"/>
        <v>4428000</v>
      </c>
      <c r="AC619" s="97">
        <v>40746</v>
      </c>
      <c r="AD619" s="119">
        <v>4428000</v>
      </c>
      <c r="AE619" s="119" t="s">
        <v>7</v>
      </c>
      <c r="AF619" s="1084">
        <f>SUM(AD619:AD621)</f>
        <v>4428000</v>
      </c>
      <c r="AG619" s="1084">
        <f>AF619+AF622+AF625</f>
        <v>8672608</v>
      </c>
      <c r="AH619" s="111">
        <f t="shared" si="44"/>
        <v>0</v>
      </c>
      <c r="AI619" s="1084">
        <f>V619-AD619-AD620-AD621</f>
        <v>6642000</v>
      </c>
      <c r="AJ619" s="1119">
        <f>SUM(Z619:Z621)-SUM(AD619:AD621)</f>
        <v>-4428000</v>
      </c>
      <c r="AK619" s="1119">
        <f>P619-V619</f>
        <v>0</v>
      </c>
      <c r="AL619" s="1119">
        <f>V619-SUM(Z619:Z621)+AJ619</f>
        <v>6642000</v>
      </c>
      <c r="AM619" s="1119"/>
      <c r="AN619" s="1204" t="s">
        <v>824</v>
      </c>
      <c r="AO619" s="1237" t="s">
        <v>831</v>
      </c>
    </row>
    <row r="620" spans="1:41" ht="15" customHeight="1">
      <c r="A620" s="1214"/>
      <c r="B620" s="1171"/>
      <c r="C620" s="1076"/>
      <c r="D620" s="1076"/>
      <c r="E620" s="1252"/>
      <c r="F620" s="1252"/>
      <c r="G620" s="1076"/>
      <c r="H620" s="1076"/>
      <c r="I620" s="1076"/>
      <c r="J620" s="1076"/>
      <c r="K620" s="1076"/>
      <c r="L620" s="1076"/>
      <c r="M620" s="1251"/>
      <c r="N620" s="1123"/>
      <c r="O620" s="1119"/>
      <c r="P620" s="1119"/>
      <c r="Q620" s="1119"/>
      <c r="R620" s="1171"/>
      <c r="S620" s="1119"/>
      <c r="T620" s="1119"/>
      <c r="U620" s="1119"/>
      <c r="V620" s="1119"/>
      <c r="W620" s="1119"/>
      <c r="X620" s="1076"/>
      <c r="Y620" s="108"/>
      <c r="Z620" s="109"/>
      <c r="AA620" s="109"/>
      <c r="AB620" s="109">
        <f t="shared" si="43"/>
        <v>0</v>
      </c>
      <c r="AC620" s="97"/>
      <c r="AD620" s="119"/>
      <c r="AE620" s="119"/>
      <c r="AF620" s="1084"/>
      <c r="AG620" s="1084"/>
      <c r="AH620" s="111">
        <f t="shared" si="44"/>
        <v>0</v>
      </c>
      <c r="AI620" s="1084"/>
      <c r="AJ620" s="1119"/>
      <c r="AK620" s="1119"/>
      <c r="AL620" s="1119"/>
      <c r="AM620" s="1119"/>
      <c r="AN620" s="1204"/>
      <c r="AO620" s="1237"/>
    </row>
    <row r="621" spans="1:41" ht="15" customHeight="1">
      <c r="A621" s="1214"/>
      <c r="B621" s="1171"/>
      <c r="C621" s="1076"/>
      <c r="D621" s="1076"/>
      <c r="E621" s="1252"/>
      <c r="F621" s="1252"/>
      <c r="G621" s="1076"/>
      <c r="H621" s="1076"/>
      <c r="I621" s="1076"/>
      <c r="J621" s="1076"/>
      <c r="K621" s="1076"/>
      <c r="L621" s="1076"/>
      <c r="M621" s="1251"/>
      <c r="N621" s="1123"/>
      <c r="O621" s="1119"/>
      <c r="P621" s="1119"/>
      <c r="Q621" s="1119"/>
      <c r="R621" s="1171"/>
      <c r="S621" s="1119"/>
      <c r="T621" s="1119"/>
      <c r="U621" s="1119"/>
      <c r="V621" s="1119"/>
      <c r="W621" s="1119"/>
      <c r="X621" s="1076"/>
      <c r="Y621" s="108"/>
      <c r="Z621" s="109"/>
      <c r="AA621" s="109"/>
      <c r="AB621" s="109">
        <f t="shared" si="43"/>
        <v>0</v>
      </c>
      <c r="AC621" s="97"/>
      <c r="AD621" s="119"/>
      <c r="AE621" s="119"/>
      <c r="AF621" s="1084"/>
      <c r="AG621" s="1084"/>
      <c r="AH621" s="111">
        <f t="shared" si="44"/>
        <v>0</v>
      </c>
      <c r="AI621" s="1084"/>
      <c r="AJ621" s="1119"/>
      <c r="AK621" s="1119"/>
      <c r="AL621" s="1119"/>
      <c r="AM621" s="1119"/>
      <c r="AN621" s="1204"/>
      <c r="AO621" s="1237"/>
    </row>
    <row r="622" spans="1:41" ht="15" customHeight="1">
      <c r="A622" s="1214"/>
      <c r="B622" s="1171"/>
      <c r="C622" s="1076" t="s">
        <v>15</v>
      </c>
      <c r="D622" s="1076"/>
      <c r="E622" s="1252"/>
      <c r="F622" s="1252"/>
      <c r="G622" s="1076"/>
      <c r="H622" s="1076"/>
      <c r="I622" s="1076"/>
      <c r="J622" s="1076"/>
      <c r="K622" s="1076"/>
      <c r="L622" s="1076"/>
      <c r="M622" s="1251">
        <v>171</v>
      </c>
      <c r="N622" s="1123" t="s">
        <v>7</v>
      </c>
      <c r="O622" s="1119">
        <v>3956000</v>
      </c>
      <c r="P622" s="1119">
        <f>O622</f>
        <v>3956000</v>
      </c>
      <c r="Q622" s="1119"/>
      <c r="R622" s="1171">
        <v>40707</v>
      </c>
      <c r="S622" s="1119">
        <f>T622</f>
        <v>3956000</v>
      </c>
      <c r="T622" s="1119">
        <v>3956000</v>
      </c>
      <c r="U622" s="1119">
        <f>O622-T622</f>
        <v>0</v>
      </c>
      <c r="V622" s="1119">
        <v>3956000</v>
      </c>
      <c r="W622" s="1119"/>
      <c r="X622" s="1076"/>
      <c r="Y622" s="108" t="s">
        <v>833</v>
      </c>
      <c r="Z622" s="109">
        <v>0</v>
      </c>
      <c r="AA622" s="109">
        <v>1582400</v>
      </c>
      <c r="AB622" s="109">
        <f t="shared" si="43"/>
        <v>1582400</v>
      </c>
      <c r="AC622" s="97">
        <v>40746</v>
      </c>
      <c r="AD622" s="119">
        <v>1582400</v>
      </c>
      <c r="AE622" s="119" t="s">
        <v>7</v>
      </c>
      <c r="AF622" s="1084">
        <f>SUM(AD622:AD624)</f>
        <v>1582400</v>
      </c>
      <c r="AG622" s="1084"/>
      <c r="AH622" s="111">
        <f t="shared" si="44"/>
        <v>0</v>
      </c>
      <c r="AI622" s="1084">
        <f>V622-AD622-AD623-AD624</f>
        <v>2373600</v>
      </c>
      <c r="AJ622" s="1119">
        <f>SUM(Z622:Z624)-SUM(AD622:AD624)</f>
        <v>-1582400</v>
      </c>
      <c r="AK622" s="1119">
        <f>P622-V622</f>
        <v>0</v>
      </c>
      <c r="AL622" s="1119">
        <f>V622-SUM(Z622:Z624)+AJ622</f>
        <v>2373600</v>
      </c>
      <c r="AM622" s="1119"/>
      <c r="AN622" s="1204"/>
      <c r="AO622" s="1237"/>
    </row>
    <row r="623" spans="1:41" ht="15" customHeight="1">
      <c r="A623" s="1214"/>
      <c r="B623" s="1171"/>
      <c r="C623" s="1076"/>
      <c r="D623" s="1076"/>
      <c r="E623" s="1252"/>
      <c r="F623" s="1252"/>
      <c r="G623" s="1076"/>
      <c r="H623" s="1076"/>
      <c r="I623" s="1076"/>
      <c r="J623" s="1076"/>
      <c r="K623" s="1076"/>
      <c r="L623" s="1076"/>
      <c r="M623" s="1251"/>
      <c r="N623" s="1123"/>
      <c r="O623" s="1119"/>
      <c r="P623" s="1119"/>
      <c r="Q623" s="1119"/>
      <c r="R623" s="1171"/>
      <c r="S623" s="1119"/>
      <c r="T623" s="1119"/>
      <c r="U623" s="1119"/>
      <c r="V623" s="1119"/>
      <c r="W623" s="1119"/>
      <c r="X623" s="1076"/>
      <c r="Y623" s="108"/>
      <c r="Z623" s="109"/>
      <c r="AA623" s="109"/>
      <c r="AB623" s="109">
        <f t="shared" si="43"/>
        <v>0</v>
      </c>
      <c r="AC623" s="97"/>
      <c r="AD623" s="119"/>
      <c r="AE623" s="119"/>
      <c r="AF623" s="1084"/>
      <c r="AG623" s="1084"/>
      <c r="AH623" s="111">
        <f t="shared" si="44"/>
        <v>0</v>
      </c>
      <c r="AI623" s="1084"/>
      <c r="AJ623" s="1119"/>
      <c r="AK623" s="1119"/>
      <c r="AL623" s="1119"/>
      <c r="AM623" s="1119"/>
      <c r="AN623" s="1204"/>
      <c r="AO623" s="1237"/>
    </row>
    <row r="624" spans="1:41" ht="15" customHeight="1">
      <c r="A624" s="1214"/>
      <c r="B624" s="1171"/>
      <c r="C624" s="1076"/>
      <c r="D624" s="1076"/>
      <c r="E624" s="1252"/>
      <c r="F624" s="1252"/>
      <c r="G624" s="1076"/>
      <c r="H624" s="1076"/>
      <c r="I624" s="1076"/>
      <c r="J624" s="1076"/>
      <c r="K624" s="1076"/>
      <c r="L624" s="1076"/>
      <c r="M624" s="1251"/>
      <c r="N624" s="1123"/>
      <c r="O624" s="1119"/>
      <c r="P624" s="1119"/>
      <c r="Q624" s="1119"/>
      <c r="R624" s="1171"/>
      <c r="S624" s="1119"/>
      <c r="T624" s="1119"/>
      <c r="U624" s="1119"/>
      <c r="V624" s="1119"/>
      <c r="W624" s="1119"/>
      <c r="X624" s="1076"/>
      <c r="Y624" s="108"/>
      <c r="Z624" s="109"/>
      <c r="AA624" s="109"/>
      <c r="AB624" s="109">
        <f t="shared" si="43"/>
        <v>0</v>
      </c>
      <c r="AC624" s="97"/>
      <c r="AD624" s="119"/>
      <c r="AE624" s="119"/>
      <c r="AF624" s="1084"/>
      <c r="AG624" s="1084"/>
      <c r="AH624" s="111">
        <f t="shared" si="44"/>
        <v>0</v>
      </c>
      <c r="AI624" s="1084"/>
      <c r="AJ624" s="1119"/>
      <c r="AK624" s="1119"/>
      <c r="AL624" s="1119"/>
      <c r="AM624" s="1119"/>
      <c r="AN624" s="1204"/>
      <c r="AO624" s="1237"/>
    </row>
    <row r="625" spans="1:42" ht="15" customHeight="1">
      <c r="A625" s="1214"/>
      <c r="B625" s="1171"/>
      <c r="C625" s="1076"/>
      <c r="D625" s="1076"/>
      <c r="E625" s="1252"/>
      <c r="F625" s="1252"/>
      <c r="G625" s="1076"/>
      <c r="H625" s="1076"/>
      <c r="I625" s="1076"/>
      <c r="J625" s="1076"/>
      <c r="K625" s="1076"/>
      <c r="L625" s="1076"/>
      <c r="M625" s="1251">
        <v>172</v>
      </c>
      <c r="N625" s="1123" t="s">
        <v>7</v>
      </c>
      <c r="O625" s="1119">
        <v>6655520</v>
      </c>
      <c r="P625" s="1119">
        <f>O625</f>
        <v>6655520</v>
      </c>
      <c r="Q625" s="1119"/>
      <c r="R625" s="1171">
        <v>40707</v>
      </c>
      <c r="S625" s="1119">
        <f>T625</f>
        <v>6655520</v>
      </c>
      <c r="T625" s="1119">
        <v>6655520</v>
      </c>
      <c r="U625" s="1119">
        <f>O625-T625</f>
        <v>0</v>
      </c>
      <c r="V625" s="1119">
        <v>6655520</v>
      </c>
      <c r="W625" s="1119"/>
      <c r="X625" s="1076"/>
      <c r="Y625" s="108" t="s">
        <v>834</v>
      </c>
      <c r="Z625" s="109">
        <v>0</v>
      </c>
      <c r="AA625" s="109">
        <v>2662208</v>
      </c>
      <c r="AB625" s="109">
        <f t="shared" si="43"/>
        <v>2662208</v>
      </c>
      <c r="AC625" s="97">
        <v>40746</v>
      </c>
      <c r="AD625" s="119">
        <v>2662208</v>
      </c>
      <c r="AE625" s="119" t="s">
        <v>7</v>
      </c>
      <c r="AF625" s="1084">
        <f>SUM(AD625:AD627)</f>
        <v>2662208</v>
      </c>
      <c r="AG625" s="1084"/>
      <c r="AH625" s="111">
        <f t="shared" si="44"/>
        <v>0</v>
      </c>
      <c r="AI625" s="1084">
        <f>V625-AD625-AD626-AD627</f>
        <v>3993312</v>
      </c>
      <c r="AJ625" s="1119">
        <f>SUM(Z625:Z627)-SUM(AD625:AD627)</f>
        <v>-2662208</v>
      </c>
      <c r="AK625" s="1119">
        <f>P625-V625</f>
        <v>0</v>
      </c>
      <c r="AL625" s="1119">
        <f>V625-SUM(Z625:Z627)+AJ625</f>
        <v>3993312</v>
      </c>
      <c r="AM625" s="1119"/>
      <c r="AN625" s="1204"/>
      <c r="AO625" s="1237"/>
    </row>
    <row r="626" spans="1:42" ht="15" customHeight="1">
      <c r="A626" s="1214"/>
      <c r="B626" s="1171"/>
      <c r="C626" s="1076"/>
      <c r="D626" s="1076"/>
      <c r="E626" s="1252"/>
      <c r="F626" s="1252"/>
      <c r="G626" s="1076"/>
      <c r="H626" s="1076"/>
      <c r="I626" s="1076"/>
      <c r="J626" s="1076"/>
      <c r="K626" s="1076"/>
      <c r="L626" s="1076"/>
      <c r="M626" s="1251"/>
      <c r="N626" s="1123"/>
      <c r="O626" s="1119"/>
      <c r="P626" s="1119"/>
      <c r="Q626" s="1119"/>
      <c r="R626" s="1171"/>
      <c r="S626" s="1119"/>
      <c r="T626" s="1119"/>
      <c r="U626" s="1119"/>
      <c r="V626" s="1119"/>
      <c r="W626" s="1119"/>
      <c r="X626" s="1076"/>
      <c r="Y626" s="108"/>
      <c r="Z626" s="109"/>
      <c r="AA626" s="109"/>
      <c r="AB626" s="109">
        <f t="shared" si="43"/>
        <v>0</v>
      </c>
      <c r="AC626" s="97"/>
      <c r="AD626" s="119"/>
      <c r="AE626" s="119"/>
      <c r="AF626" s="1084"/>
      <c r="AG626" s="1084"/>
      <c r="AH626" s="111">
        <f t="shared" si="44"/>
        <v>0</v>
      </c>
      <c r="AI626" s="1084"/>
      <c r="AJ626" s="1119"/>
      <c r="AK626" s="1119"/>
      <c r="AL626" s="1119"/>
      <c r="AM626" s="1119"/>
      <c r="AN626" s="1204"/>
      <c r="AO626" s="1237"/>
    </row>
    <row r="627" spans="1:42" ht="15" customHeight="1">
      <c r="A627" s="1214"/>
      <c r="B627" s="1171"/>
      <c r="C627" s="1076"/>
      <c r="D627" s="1076"/>
      <c r="E627" s="1252"/>
      <c r="F627" s="1252"/>
      <c r="G627" s="1076"/>
      <c r="H627" s="1076"/>
      <c r="I627" s="1076"/>
      <c r="J627" s="1076"/>
      <c r="K627" s="1076"/>
      <c r="L627" s="1076"/>
      <c r="M627" s="1251"/>
      <c r="N627" s="1123"/>
      <c r="O627" s="1119"/>
      <c r="P627" s="1119"/>
      <c r="Q627" s="1119"/>
      <c r="R627" s="1171"/>
      <c r="S627" s="1119"/>
      <c r="T627" s="1119"/>
      <c r="U627" s="1119"/>
      <c r="V627" s="1119"/>
      <c r="W627" s="1119"/>
      <c r="X627" s="1076"/>
      <c r="Y627" s="108"/>
      <c r="Z627" s="109"/>
      <c r="AA627" s="109"/>
      <c r="AB627" s="109">
        <f t="shared" si="43"/>
        <v>0</v>
      </c>
      <c r="AC627" s="97"/>
      <c r="AD627" s="119"/>
      <c r="AE627" s="119"/>
      <c r="AF627" s="1084"/>
      <c r="AG627" s="1084"/>
      <c r="AH627" s="111">
        <f t="shared" si="44"/>
        <v>0</v>
      </c>
      <c r="AI627" s="1084"/>
      <c r="AJ627" s="1119"/>
      <c r="AK627" s="1119"/>
      <c r="AL627" s="1119"/>
      <c r="AM627" s="1119"/>
      <c r="AN627" s="1204"/>
      <c r="AO627" s="1237"/>
    </row>
    <row r="628" spans="1:42" ht="15" customHeight="1">
      <c r="A628" s="1214" t="s">
        <v>835</v>
      </c>
      <c r="B628" s="1171">
        <v>40472</v>
      </c>
      <c r="C628" s="1076"/>
      <c r="D628" s="1076" t="s">
        <v>836</v>
      </c>
      <c r="E628" s="1252">
        <v>34560843</v>
      </c>
      <c r="F628" s="1252"/>
      <c r="G628" s="1076" t="s">
        <v>2827</v>
      </c>
      <c r="H628" s="1076" t="s">
        <v>70</v>
      </c>
      <c r="I628" s="1076" t="s">
        <v>177</v>
      </c>
      <c r="J628" s="1076" t="s">
        <v>66</v>
      </c>
      <c r="K628" s="1076" t="s">
        <v>48</v>
      </c>
      <c r="L628" s="1076" t="s">
        <v>839</v>
      </c>
      <c r="M628" s="1251">
        <v>138</v>
      </c>
      <c r="N628" s="1123" t="s">
        <v>7</v>
      </c>
      <c r="O628" s="1119">
        <v>13860000</v>
      </c>
      <c r="P628" s="1119">
        <f>O628</f>
        <v>13860000</v>
      </c>
      <c r="Q628" s="1119">
        <f>P628</f>
        <v>13860000</v>
      </c>
      <c r="R628" s="1171">
        <v>40647</v>
      </c>
      <c r="S628" s="1196">
        <v>13860000</v>
      </c>
      <c r="T628" s="1196">
        <v>13860000</v>
      </c>
      <c r="U628" s="1119">
        <f>O628-T628</f>
        <v>0</v>
      </c>
      <c r="V628" s="1119">
        <v>13860000</v>
      </c>
      <c r="W628" s="1119">
        <v>13860000</v>
      </c>
      <c r="X628" s="1076" t="s">
        <v>837</v>
      </c>
      <c r="Y628" s="108" t="s">
        <v>840</v>
      </c>
      <c r="Z628" s="109">
        <v>0</v>
      </c>
      <c r="AA628" s="109">
        <v>5544000</v>
      </c>
      <c r="AB628" s="109">
        <f t="shared" si="43"/>
        <v>5544000</v>
      </c>
      <c r="AC628" s="97">
        <v>40667</v>
      </c>
      <c r="AD628" s="119">
        <v>5544000</v>
      </c>
      <c r="AE628" s="119" t="s">
        <v>7</v>
      </c>
      <c r="AF628" s="1084">
        <f>SUM(AD628:AD632)</f>
        <v>13028400</v>
      </c>
      <c r="AG628" s="1084">
        <f>AF628</f>
        <v>13028400</v>
      </c>
      <c r="AH628" s="111">
        <f t="shared" si="44"/>
        <v>0</v>
      </c>
      <c r="AI628" s="1084">
        <f>W628-AD628-AD629-AD630-AD631-AD632</f>
        <v>831600</v>
      </c>
      <c r="AJ628" s="1119">
        <f>SUM(Z628:Z632)-SUM(AD628:AD632)</f>
        <v>-554400</v>
      </c>
      <c r="AK628" s="1119">
        <f>P628-V628</f>
        <v>0</v>
      </c>
      <c r="AL628" s="1119">
        <f>V628-SUM(Z628:Z632)+AJ628</f>
        <v>831600</v>
      </c>
      <c r="AM628" s="1119"/>
      <c r="AN628" s="1204" t="s">
        <v>843</v>
      </c>
      <c r="AO628" s="1237" t="s">
        <v>842</v>
      </c>
      <c r="AP628" s="1364" t="s">
        <v>2476</v>
      </c>
    </row>
    <row r="629" spans="1:42" ht="15" customHeight="1">
      <c r="A629" s="1214"/>
      <c r="B629" s="1171"/>
      <c r="C629" s="1076"/>
      <c r="D629" s="1076"/>
      <c r="E629" s="1252"/>
      <c r="F629" s="1252"/>
      <c r="G629" s="1076"/>
      <c r="H629" s="1076"/>
      <c r="I629" s="1076"/>
      <c r="J629" s="1076"/>
      <c r="K629" s="1076"/>
      <c r="L629" s="1076"/>
      <c r="M629" s="1251"/>
      <c r="N629" s="1123"/>
      <c r="O629" s="1119"/>
      <c r="P629" s="1119"/>
      <c r="Q629" s="1119"/>
      <c r="R629" s="1171"/>
      <c r="S629" s="1196"/>
      <c r="T629" s="1196"/>
      <c r="U629" s="1119"/>
      <c r="V629" s="1119"/>
      <c r="W629" s="1119"/>
      <c r="X629" s="1076"/>
      <c r="Y629" s="1123" t="s">
        <v>841</v>
      </c>
      <c r="Z629" s="1119">
        <v>12474000</v>
      </c>
      <c r="AA629" s="1119">
        <v>-4989600</v>
      </c>
      <c r="AB629" s="1119">
        <f t="shared" si="43"/>
        <v>7484400</v>
      </c>
      <c r="AC629" s="1171">
        <v>40898</v>
      </c>
      <c r="AD629" s="119">
        <v>2174497</v>
      </c>
      <c r="AE629" s="119" t="s">
        <v>7</v>
      </c>
      <c r="AF629" s="1084"/>
      <c r="AG629" s="1084"/>
      <c r="AH629" s="111">
        <f t="shared" si="44"/>
        <v>5309903</v>
      </c>
      <c r="AI629" s="1084"/>
      <c r="AJ629" s="1119"/>
      <c r="AK629" s="1119"/>
      <c r="AL629" s="1119"/>
      <c r="AM629" s="1119"/>
      <c r="AN629" s="1204"/>
      <c r="AO629" s="1237"/>
      <c r="AP629" s="1364"/>
    </row>
    <row r="630" spans="1:42" ht="15" customHeight="1">
      <c r="A630" s="1214"/>
      <c r="B630" s="1171"/>
      <c r="C630" s="1076"/>
      <c r="D630" s="1076"/>
      <c r="E630" s="1252"/>
      <c r="F630" s="1252"/>
      <c r="G630" s="1076"/>
      <c r="H630" s="1076"/>
      <c r="I630" s="1076"/>
      <c r="J630" s="1076"/>
      <c r="K630" s="1076"/>
      <c r="L630" s="1076"/>
      <c r="M630" s="1251"/>
      <c r="N630" s="1123"/>
      <c r="O630" s="1119"/>
      <c r="P630" s="1119"/>
      <c r="Q630" s="1119"/>
      <c r="R630" s="1171"/>
      <c r="S630" s="1196"/>
      <c r="T630" s="1196"/>
      <c r="U630" s="1119"/>
      <c r="V630" s="1119"/>
      <c r="W630" s="1119"/>
      <c r="X630" s="1076"/>
      <c r="Y630" s="1123"/>
      <c r="Z630" s="1119"/>
      <c r="AA630" s="1119"/>
      <c r="AB630" s="1119"/>
      <c r="AC630" s="1171"/>
      <c r="AD630" s="119">
        <v>2444384</v>
      </c>
      <c r="AE630" s="119" t="s">
        <v>7</v>
      </c>
      <c r="AF630" s="1084"/>
      <c r="AG630" s="1084"/>
      <c r="AH630" s="111">
        <f t="shared" si="44"/>
        <v>-2444384</v>
      </c>
      <c r="AI630" s="1084"/>
      <c r="AJ630" s="1119"/>
      <c r="AK630" s="1119"/>
      <c r="AL630" s="1119"/>
      <c r="AM630" s="1119"/>
      <c r="AN630" s="1204"/>
      <c r="AO630" s="1237"/>
      <c r="AP630" s="1364"/>
    </row>
    <row r="631" spans="1:42" ht="15" customHeight="1">
      <c r="A631" s="1214"/>
      <c r="B631" s="1171"/>
      <c r="C631" s="1076"/>
      <c r="D631" s="1076"/>
      <c r="E631" s="1252"/>
      <c r="F631" s="1252"/>
      <c r="G631" s="1076"/>
      <c r="H631" s="1076"/>
      <c r="I631" s="1076"/>
      <c r="J631" s="1076"/>
      <c r="K631" s="1076"/>
      <c r="L631" s="1076"/>
      <c r="M631" s="1251"/>
      <c r="N631" s="1123"/>
      <c r="O631" s="1119"/>
      <c r="P631" s="1119"/>
      <c r="Q631" s="1119"/>
      <c r="R631" s="1171"/>
      <c r="S631" s="1196"/>
      <c r="T631" s="1196"/>
      <c r="U631" s="1119"/>
      <c r="V631" s="1119"/>
      <c r="W631" s="1119"/>
      <c r="X631" s="1076"/>
      <c r="Y631" s="1123"/>
      <c r="Z631" s="1119"/>
      <c r="AA631" s="1119"/>
      <c r="AB631" s="1119"/>
      <c r="AC631" s="1171"/>
      <c r="AD631" s="119">
        <v>2865519</v>
      </c>
      <c r="AE631" s="119" t="s">
        <v>7</v>
      </c>
      <c r="AF631" s="1084"/>
      <c r="AG631" s="1084"/>
      <c r="AH631" s="111">
        <f t="shared" si="44"/>
        <v>-2865519</v>
      </c>
      <c r="AI631" s="1084"/>
      <c r="AJ631" s="1119"/>
      <c r="AK631" s="1119"/>
      <c r="AL631" s="1119"/>
      <c r="AM631" s="1119"/>
      <c r="AN631" s="1204"/>
      <c r="AO631" s="1237"/>
      <c r="AP631" s="1364"/>
    </row>
    <row r="632" spans="1:42" ht="15" customHeight="1">
      <c r="A632" s="1214"/>
      <c r="B632" s="1171"/>
      <c r="C632" s="1076"/>
      <c r="D632" s="1076"/>
      <c r="E632" s="1252"/>
      <c r="F632" s="1252"/>
      <c r="G632" s="1076"/>
      <c r="H632" s="1076"/>
      <c r="I632" s="1076"/>
      <c r="J632" s="1076"/>
      <c r="K632" s="1076"/>
      <c r="L632" s="1076"/>
      <c r="M632" s="1251"/>
      <c r="N632" s="1123"/>
      <c r="O632" s="1119"/>
      <c r="P632" s="1119"/>
      <c r="Q632" s="1119"/>
      <c r="R632" s="1171"/>
      <c r="S632" s="1196"/>
      <c r="T632" s="1196"/>
      <c r="U632" s="1119"/>
      <c r="V632" s="1119"/>
      <c r="W632" s="1119"/>
      <c r="X632" s="1076"/>
      <c r="Y632" s="108"/>
      <c r="Z632" s="109"/>
      <c r="AA632" s="109"/>
      <c r="AB632" s="109">
        <f t="shared" ref="AB632:AB660" si="45">Z632+AA632</f>
        <v>0</v>
      </c>
      <c r="AC632" s="97"/>
      <c r="AD632" s="119"/>
      <c r="AE632" s="119"/>
      <c r="AF632" s="1084"/>
      <c r="AG632" s="1084"/>
      <c r="AH632" s="111">
        <f t="shared" si="44"/>
        <v>0</v>
      </c>
      <c r="AI632" s="1084"/>
      <c r="AJ632" s="1119"/>
      <c r="AK632" s="1119"/>
      <c r="AL632" s="1119"/>
      <c r="AM632" s="1119"/>
      <c r="AN632" s="1204"/>
      <c r="AO632" s="1237"/>
      <c r="AP632" s="1364"/>
    </row>
    <row r="633" spans="1:42" ht="15" customHeight="1">
      <c r="A633" s="1214" t="s">
        <v>844</v>
      </c>
      <c r="B633" s="1171">
        <v>40473</v>
      </c>
      <c r="C633" s="1076"/>
      <c r="D633" s="1076" t="s">
        <v>846</v>
      </c>
      <c r="E633" s="1252">
        <v>34541197</v>
      </c>
      <c r="F633" s="1252"/>
      <c r="G633" s="1076" t="s">
        <v>2828</v>
      </c>
      <c r="H633" s="1076" t="s">
        <v>70</v>
      </c>
      <c r="I633" s="1076" t="s">
        <v>177</v>
      </c>
      <c r="J633" s="1076" t="s">
        <v>66</v>
      </c>
      <c r="K633" s="1076" t="s">
        <v>49</v>
      </c>
      <c r="L633" s="1076" t="s">
        <v>848</v>
      </c>
      <c r="M633" s="1251">
        <v>189</v>
      </c>
      <c r="N633" s="1123" t="s">
        <v>7</v>
      </c>
      <c r="O633" s="1119">
        <v>13009850</v>
      </c>
      <c r="P633" s="1119">
        <f>O633</f>
        <v>13009850</v>
      </c>
      <c r="Q633" s="1119">
        <f>P633</f>
        <v>13009850</v>
      </c>
      <c r="R633" s="1171">
        <v>40759</v>
      </c>
      <c r="S633" s="1196">
        <v>13009850</v>
      </c>
      <c r="T633" s="1119">
        <v>13009850</v>
      </c>
      <c r="U633" s="1119">
        <f>O633-T633</f>
        <v>0</v>
      </c>
      <c r="V633" s="1119">
        <v>13009284</v>
      </c>
      <c r="W633" s="1119">
        <v>13009284</v>
      </c>
      <c r="X633" s="1076" t="s">
        <v>847</v>
      </c>
      <c r="Y633" s="108" t="s">
        <v>849</v>
      </c>
      <c r="Z633" s="109">
        <v>0</v>
      </c>
      <c r="AA633" s="109">
        <v>5203713.6000000006</v>
      </c>
      <c r="AB633" s="109">
        <f t="shared" si="45"/>
        <v>5203713.6000000006</v>
      </c>
      <c r="AC633" s="97">
        <v>40858</v>
      </c>
      <c r="AD633" s="119">
        <v>5203714</v>
      </c>
      <c r="AE633" s="119" t="s">
        <v>7</v>
      </c>
      <c r="AF633" s="1084">
        <f>SUM(AD633:AD635)</f>
        <v>10277336</v>
      </c>
      <c r="AG633" s="1084">
        <f>AF633</f>
        <v>10277336</v>
      </c>
      <c r="AH633" s="111">
        <f t="shared" si="44"/>
        <v>-0.39999999944120646</v>
      </c>
      <c r="AI633" s="1084">
        <f>O633-AD633-AD634-AD635</f>
        <v>2732514</v>
      </c>
      <c r="AJ633" s="1119">
        <f>SUM(Z633:Z635)-SUM(AD633:AD635)</f>
        <v>-1821301</v>
      </c>
      <c r="AK633" s="1119">
        <f>P633-V633</f>
        <v>566</v>
      </c>
      <c r="AL633" s="1119">
        <f>V633-SUM(Z633:Z635)+AJ633</f>
        <v>2731948</v>
      </c>
      <c r="AM633" s="1119">
        <f>AK633</f>
        <v>566</v>
      </c>
      <c r="AN633" s="1204" t="s">
        <v>851</v>
      </c>
      <c r="AO633" s="1237" t="s">
        <v>852</v>
      </c>
    </row>
    <row r="634" spans="1:42" ht="15" customHeight="1">
      <c r="A634" s="1214"/>
      <c r="B634" s="1171"/>
      <c r="C634" s="1076"/>
      <c r="D634" s="1076"/>
      <c r="E634" s="1252"/>
      <c r="F634" s="1252"/>
      <c r="G634" s="1076"/>
      <c r="H634" s="1076"/>
      <c r="I634" s="1076"/>
      <c r="J634" s="1076"/>
      <c r="K634" s="1076"/>
      <c r="L634" s="1076"/>
      <c r="M634" s="1251"/>
      <c r="N634" s="1123"/>
      <c r="O634" s="1119"/>
      <c r="P634" s="1119"/>
      <c r="Q634" s="1119"/>
      <c r="R634" s="1171"/>
      <c r="S634" s="1196"/>
      <c r="T634" s="1119"/>
      <c r="U634" s="1119"/>
      <c r="V634" s="1119"/>
      <c r="W634" s="1119"/>
      <c r="X634" s="1076"/>
      <c r="Y634" s="108" t="s">
        <v>850</v>
      </c>
      <c r="Z634" s="109">
        <v>8456035</v>
      </c>
      <c r="AA634" s="109">
        <v>-3382413</v>
      </c>
      <c r="AB634" s="109">
        <f t="shared" si="45"/>
        <v>5073622</v>
      </c>
      <c r="AC634" s="97">
        <v>41991</v>
      </c>
      <c r="AD634" s="119">
        <v>5073622</v>
      </c>
      <c r="AE634" s="119" t="s">
        <v>7</v>
      </c>
      <c r="AF634" s="1084"/>
      <c r="AG634" s="1084"/>
      <c r="AH634" s="111">
        <f t="shared" si="44"/>
        <v>0</v>
      </c>
      <c r="AI634" s="1084"/>
      <c r="AJ634" s="1119"/>
      <c r="AK634" s="1119"/>
      <c r="AL634" s="1119"/>
      <c r="AM634" s="1119"/>
      <c r="AN634" s="1204"/>
      <c r="AO634" s="1204"/>
    </row>
    <row r="635" spans="1:42" ht="15" customHeight="1">
      <c r="A635" s="1214"/>
      <c r="B635" s="1171"/>
      <c r="C635" s="1076"/>
      <c r="D635" s="1076"/>
      <c r="E635" s="1252"/>
      <c r="F635" s="1252"/>
      <c r="G635" s="1076"/>
      <c r="H635" s="1076"/>
      <c r="I635" s="1076"/>
      <c r="J635" s="1076"/>
      <c r="K635" s="1076"/>
      <c r="L635" s="1076"/>
      <c r="M635" s="1251"/>
      <c r="N635" s="1123"/>
      <c r="O635" s="1119"/>
      <c r="P635" s="1119"/>
      <c r="Q635" s="1119"/>
      <c r="R635" s="1171"/>
      <c r="S635" s="1196"/>
      <c r="T635" s="1119"/>
      <c r="U635" s="1119"/>
      <c r="V635" s="1119"/>
      <c r="W635" s="1119"/>
      <c r="X635" s="1076"/>
      <c r="Y635" s="108"/>
      <c r="Z635" s="109"/>
      <c r="AA635" s="109"/>
      <c r="AB635" s="109">
        <f t="shared" si="45"/>
        <v>0</v>
      </c>
      <c r="AC635" s="97"/>
      <c r="AD635" s="119"/>
      <c r="AE635" s="119"/>
      <c r="AF635" s="1084"/>
      <c r="AG635" s="1084"/>
      <c r="AH635" s="111">
        <f t="shared" si="44"/>
        <v>0</v>
      </c>
      <c r="AI635" s="1084"/>
      <c r="AJ635" s="1119"/>
      <c r="AK635" s="1119"/>
      <c r="AL635" s="1119"/>
      <c r="AM635" s="1119"/>
      <c r="AN635" s="1204"/>
      <c r="AO635" s="1204"/>
    </row>
    <row r="636" spans="1:42" ht="15" customHeight="1">
      <c r="A636" s="1214" t="s">
        <v>853</v>
      </c>
      <c r="B636" s="1171">
        <v>40473</v>
      </c>
      <c r="C636" s="1076" t="s">
        <v>19</v>
      </c>
      <c r="D636" s="1076" t="s">
        <v>854</v>
      </c>
      <c r="E636" s="1252">
        <v>76308120</v>
      </c>
      <c r="F636" s="1252"/>
      <c r="G636" s="1076" t="s">
        <v>2798</v>
      </c>
      <c r="H636" s="1076" t="s">
        <v>72</v>
      </c>
      <c r="I636" s="1076" t="s">
        <v>177</v>
      </c>
      <c r="J636" s="1076" t="s">
        <v>66</v>
      </c>
      <c r="K636" s="1076" t="s">
        <v>697</v>
      </c>
      <c r="L636" s="1076" t="s">
        <v>507</v>
      </c>
      <c r="M636" s="1251">
        <v>173</v>
      </c>
      <c r="N636" s="1123" t="s">
        <v>7</v>
      </c>
      <c r="O636" s="1119">
        <v>23000000</v>
      </c>
      <c r="P636" s="1119">
        <f>O636</f>
        <v>23000000</v>
      </c>
      <c r="Q636" s="1119">
        <f>P636</f>
        <v>23000000</v>
      </c>
      <c r="R636" s="1171">
        <v>40718</v>
      </c>
      <c r="S636" s="1196">
        <f>T636</f>
        <v>23000000</v>
      </c>
      <c r="T636" s="1119">
        <v>23000000</v>
      </c>
      <c r="U636" s="1119">
        <f>O636-T636</f>
        <v>0</v>
      </c>
      <c r="V636" s="1119">
        <v>23000000</v>
      </c>
      <c r="W636" s="1119">
        <v>23000000</v>
      </c>
      <c r="X636" s="1076" t="s">
        <v>856</v>
      </c>
      <c r="Y636" s="108" t="s">
        <v>857</v>
      </c>
      <c r="Z636" s="109">
        <v>0</v>
      </c>
      <c r="AA636" s="109">
        <v>9200000</v>
      </c>
      <c r="AB636" s="109">
        <f t="shared" si="45"/>
        <v>9200000</v>
      </c>
      <c r="AC636" s="97">
        <v>40750</v>
      </c>
      <c r="AD636" s="119">
        <v>9200000</v>
      </c>
      <c r="AE636" s="119" t="s">
        <v>7</v>
      </c>
      <c r="AF636" s="1084">
        <f>SUM(AD636:AD637)</f>
        <v>21620000</v>
      </c>
      <c r="AG636" s="1084">
        <f>AF636</f>
        <v>21620000</v>
      </c>
      <c r="AH636" s="111">
        <f t="shared" si="44"/>
        <v>0</v>
      </c>
      <c r="AI636" s="1084">
        <v>0</v>
      </c>
      <c r="AJ636" s="1119">
        <v>0</v>
      </c>
      <c r="AK636" s="1119">
        <f>P636-V636</f>
        <v>0</v>
      </c>
      <c r="AL636" s="1119">
        <f>V636-SUM(Z636:Z637)-920000</f>
        <v>1380000</v>
      </c>
      <c r="AM636" s="1119">
        <f>AK636+AL636</f>
        <v>1380000</v>
      </c>
      <c r="AN636" s="1249" t="s">
        <v>523</v>
      </c>
      <c r="AO636" s="1248" t="s">
        <v>859</v>
      </c>
    </row>
    <row r="637" spans="1:42" ht="15" customHeight="1">
      <c r="A637" s="1214"/>
      <c r="B637" s="1171"/>
      <c r="C637" s="1076"/>
      <c r="D637" s="1076"/>
      <c r="E637" s="1252"/>
      <c r="F637" s="1252"/>
      <c r="G637" s="1076"/>
      <c r="H637" s="1076"/>
      <c r="I637" s="1076"/>
      <c r="J637" s="1076"/>
      <c r="K637" s="1076"/>
      <c r="L637" s="1076"/>
      <c r="M637" s="1251"/>
      <c r="N637" s="1123"/>
      <c r="O637" s="1119"/>
      <c r="P637" s="1119"/>
      <c r="Q637" s="1119"/>
      <c r="R637" s="1171"/>
      <c r="S637" s="1196"/>
      <c r="T637" s="1119"/>
      <c r="U637" s="1119"/>
      <c r="V637" s="1119"/>
      <c r="W637" s="1119"/>
      <c r="X637" s="1076"/>
      <c r="Y637" s="108" t="s">
        <v>858</v>
      </c>
      <c r="Z637" s="109">
        <v>20700000</v>
      </c>
      <c r="AA637" s="109">
        <v>-8280000</v>
      </c>
      <c r="AB637" s="109">
        <f t="shared" si="45"/>
        <v>12420000</v>
      </c>
      <c r="AC637" s="97">
        <v>41103</v>
      </c>
      <c r="AD637" s="119">
        <v>12420000</v>
      </c>
      <c r="AE637" s="119" t="s">
        <v>7</v>
      </c>
      <c r="AF637" s="1084"/>
      <c r="AG637" s="1084"/>
      <c r="AH637" s="111">
        <f t="shared" si="44"/>
        <v>0</v>
      </c>
      <c r="AI637" s="1084"/>
      <c r="AJ637" s="1119"/>
      <c r="AK637" s="1119"/>
      <c r="AL637" s="1119"/>
      <c r="AM637" s="1119"/>
      <c r="AN637" s="1249"/>
      <c r="AO637" s="1249"/>
    </row>
    <row r="638" spans="1:42" ht="15" customHeight="1">
      <c r="A638" s="1075" t="s">
        <v>860</v>
      </c>
      <c r="B638" s="1171">
        <v>40473</v>
      </c>
      <c r="C638" s="1076" t="s">
        <v>39</v>
      </c>
      <c r="D638" s="1076" t="s">
        <v>861</v>
      </c>
      <c r="E638" s="1252">
        <v>10532319</v>
      </c>
      <c r="F638" s="1252"/>
      <c r="G638" s="1076" t="s">
        <v>2829</v>
      </c>
      <c r="H638" s="1076" t="s">
        <v>70</v>
      </c>
      <c r="I638" s="1076" t="s">
        <v>177</v>
      </c>
      <c r="J638" s="1076" t="s">
        <v>489</v>
      </c>
      <c r="K638" s="1076" t="s">
        <v>49</v>
      </c>
      <c r="L638" s="1076" t="s">
        <v>873</v>
      </c>
      <c r="M638" s="1268">
        <v>47</v>
      </c>
      <c r="N638" s="1123" t="s">
        <v>7</v>
      </c>
      <c r="O638" s="1119">
        <v>1381339</v>
      </c>
      <c r="P638" s="1119">
        <f>O638+O641</f>
        <v>4204988</v>
      </c>
      <c r="Q638" s="1119">
        <f>P638+P644+P647+P650+P653</f>
        <v>14124988</v>
      </c>
      <c r="R638" s="1171">
        <v>40353</v>
      </c>
      <c r="S638" s="1196">
        <f>T638+T641</f>
        <v>4204988</v>
      </c>
      <c r="T638" s="1196">
        <v>1381339</v>
      </c>
      <c r="U638" s="1196">
        <f>O638-T638</f>
        <v>0</v>
      </c>
      <c r="V638" s="1119">
        <v>1300000</v>
      </c>
      <c r="W638" s="1119">
        <v>13545000</v>
      </c>
      <c r="X638" s="1076" t="s">
        <v>863</v>
      </c>
      <c r="Y638" s="1123" t="s">
        <v>864</v>
      </c>
      <c r="Z638" s="109">
        <v>0</v>
      </c>
      <c r="AA638" s="109">
        <v>520000</v>
      </c>
      <c r="AB638" s="109">
        <f t="shared" si="45"/>
        <v>520000</v>
      </c>
      <c r="AC638" s="1171">
        <v>40581</v>
      </c>
      <c r="AD638" s="119">
        <v>520000</v>
      </c>
      <c r="AE638" s="119" t="s">
        <v>7</v>
      </c>
      <c r="AF638" s="1084">
        <f>SUM(AD638:AD643)</f>
        <v>3625000</v>
      </c>
      <c r="AG638" s="1084">
        <f>AF638+AF644+AF647+AF650+AF653</f>
        <v>8586600</v>
      </c>
      <c r="AH638" s="111">
        <f t="shared" si="44"/>
        <v>0</v>
      </c>
      <c r="AI638" s="1084">
        <f>V638-AD638-AD639-AD642</f>
        <v>-228000</v>
      </c>
      <c r="AJ638" s="1119">
        <f>SUM(Z638:Z643)-SUM(AD638:AD643)</f>
        <v>0</v>
      </c>
      <c r="AK638" s="1119">
        <f>O638-V638</f>
        <v>81339</v>
      </c>
      <c r="AL638" s="1119">
        <f>SUM(V638:V643)-SUM(Z638:Z643)</f>
        <v>0</v>
      </c>
      <c r="AM638" s="1119">
        <f>AK638+AK641+AL638</f>
        <v>579988</v>
      </c>
      <c r="AN638" s="1204" t="s">
        <v>865</v>
      </c>
      <c r="AO638" s="1237" t="s">
        <v>874</v>
      </c>
    </row>
    <row r="639" spans="1:42" ht="15" customHeight="1">
      <c r="A639" s="1075"/>
      <c r="B639" s="1171"/>
      <c r="C639" s="1076"/>
      <c r="D639" s="1076"/>
      <c r="E639" s="1252"/>
      <c r="F639" s="1252"/>
      <c r="G639" s="1076"/>
      <c r="H639" s="1076"/>
      <c r="I639" s="1076"/>
      <c r="J639" s="1076"/>
      <c r="K639" s="1076"/>
      <c r="L639" s="1076"/>
      <c r="M639" s="1268"/>
      <c r="N639" s="1123"/>
      <c r="O639" s="1119"/>
      <c r="P639" s="1119"/>
      <c r="Q639" s="1119"/>
      <c r="R639" s="1171"/>
      <c r="S639" s="1196"/>
      <c r="T639" s="1196"/>
      <c r="U639" s="1196"/>
      <c r="V639" s="1119"/>
      <c r="W639" s="1119"/>
      <c r="X639" s="1076"/>
      <c r="Y639" s="1123"/>
      <c r="Z639" s="109">
        <v>0</v>
      </c>
      <c r="AA639" s="109">
        <v>930000</v>
      </c>
      <c r="AB639" s="109">
        <f t="shared" si="45"/>
        <v>930000</v>
      </c>
      <c r="AC639" s="1171"/>
      <c r="AD639" s="119">
        <v>930000</v>
      </c>
      <c r="AE639" s="119" t="s">
        <v>7</v>
      </c>
      <c r="AF639" s="1084"/>
      <c r="AG639" s="1084"/>
      <c r="AH639" s="111">
        <f t="shared" si="44"/>
        <v>0</v>
      </c>
      <c r="AI639" s="1084"/>
      <c r="AJ639" s="1119"/>
      <c r="AK639" s="1119"/>
      <c r="AL639" s="1119"/>
      <c r="AM639" s="1119"/>
      <c r="AN639" s="1204"/>
      <c r="AO639" s="1204"/>
    </row>
    <row r="640" spans="1:42" ht="15" customHeight="1">
      <c r="A640" s="1075"/>
      <c r="B640" s="1171"/>
      <c r="C640" s="1076"/>
      <c r="D640" s="1076"/>
      <c r="E640" s="1252"/>
      <c r="F640" s="1252"/>
      <c r="G640" s="1076"/>
      <c r="H640" s="1076"/>
      <c r="I640" s="1076"/>
      <c r="J640" s="1076"/>
      <c r="K640" s="1076"/>
      <c r="L640" s="1076"/>
      <c r="M640" s="1268"/>
      <c r="N640" s="1123"/>
      <c r="O640" s="1119"/>
      <c r="P640" s="1119"/>
      <c r="Q640" s="1119"/>
      <c r="R640" s="1171"/>
      <c r="S640" s="1196"/>
      <c r="T640" s="1196"/>
      <c r="U640" s="1196"/>
      <c r="V640" s="1119"/>
      <c r="W640" s="1119"/>
      <c r="X640" s="1076"/>
      <c r="Y640" s="1123" t="s">
        <v>870</v>
      </c>
      <c r="Z640" s="109">
        <v>1170000</v>
      </c>
      <c r="AA640" s="109">
        <v>-468000</v>
      </c>
      <c r="AB640" s="109">
        <f t="shared" si="45"/>
        <v>702000</v>
      </c>
      <c r="AC640" s="1171">
        <v>40864</v>
      </c>
      <c r="AD640" s="119">
        <v>702000</v>
      </c>
      <c r="AE640" s="119" t="s">
        <v>137</v>
      </c>
      <c r="AF640" s="1084"/>
      <c r="AG640" s="1084"/>
      <c r="AH640" s="111">
        <f t="shared" si="44"/>
        <v>0</v>
      </c>
      <c r="AI640" s="1084"/>
      <c r="AJ640" s="1119"/>
      <c r="AK640" s="1119"/>
      <c r="AL640" s="1119"/>
      <c r="AM640" s="1119"/>
      <c r="AN640" s="1204"/>
      <c r="AO640" s="1204"/>
    </row>
    <row r="641" spans="1:42" ht="15" customHeight="1">
      <c r="A641" s="1075"/>
      <c r="B641" s="1171"/>
      <c r="C641" s="1076"/>
      <c r="D641" s="1076"/>
      <c r="E641" s="1252"/>
      <c r="F641" s="1252"/>
      <c r="G641" s="1076"/>
      <c r="H641" s="1076"/>
      <c r="I641" s="1076"/>
      <c r="J641" s="1076"/>
      <c r="K641" s="1076"/>
      <c r="L641" s="1076"/>
      <c r="M641" s="1268"/>
      <c r="N641" s="1123" t="s">
        <v>137</v>
      </c>
      <c r="O641" s="1119">
        <v>2823649</v>
      </c>
      <c r="P641" s="1119"/>
      <c r="Q641" s="1119"/>
      <c r="R641" s="1171"/>
      <c r="S641" s="1196"/>
      <c r="T641" s="1196">
        <v>2823649</v>
      </c>
      <c r="U641" s="1196">
        <f>O641-T641</f>
        <v>0</v>
      </c>
      <c r="V641" s="1119">
        <v>2325000</v>
      </c>
      <c r="W641" s="1119"/>
      <c r="X641" s="1076"/>
      <c r="Y641" s="1123"/>
      <c r="Z641" s="109">
        <v>2092500</v>
      </c>
      <c r="AA641" s="109">
        <v>-837000</v>
      </c>
      <c r="AB641" s="109">
        <f t="shared" si="45"/>
        <v>1255500</v>
      </c>
      <c r="AC641" s="1171"/>
      <c r="AD641" s="119">
        <v>1255500</v>
      </c>
      <c r="AE641" s="119" t="s">
        <v>137</v>
      </c>
      <c r="AF641" s="1084"/>
      <c r="AG641" s="1084"/>
      <c r="AH641" s="111">
        <f t="shared" si="44"/>
        <v>0</v>
      </c>
      <c r="AI641" s="1084">
        <f>V641-AD640-AD641-AD643</f>
        <v>228000</v>
      </c>
      <c r="AJ641" s="1119"/>
      <c r="AK641" s="1119">
        <f>O641-V641</f>
        <v>498649</v>
      </c>
      <c r="AL641" s="1119"/>
      <c r="AM641" s="1119"/>
      <c r="AN641" s="1204"/>
      <c r="AO641" s="1204"/>
    </row>
    <row r="642" spans="1:42" ht="15" customHeight="1">
      <c r="A642" s="1075"/>
      <c r="B642" s="1171"/>
      <c r="C642" s="1076"/>
      <c r="D642" s="1076"/>
      <c r="E642" s="1252"/>
      <c r="F642" s="1252"/>
      <c r="G642" s="1076"/>
      <c r="H642" s="1076"/>
      <c r="I642" s="1076"/>
      <c r="J642" s="1076"/>
      <c r="K642" s="1076"/>
      <c r="L642" s="1076"/>
      <c r="M642" s="1268"/>
      <c r="N642" s="1123"/>
      <c r="O642" s="1119"/>
      <c r="P642" s="1119"/>
      <c r="Q642" s="1119"/>
      <c r="R642" s="1171"/>
      <c r="S642" s="1196"/>
      <c r="T642" s="1196"/>
      <c r="U642" s="1196"/>
      <c r="V642" s="1119"/>
      <c r="W642" s="1119"/>
      <c r="X642" s="1076"/>
      <c r="Y642" s="1123" t="s">
        <v>871</v>
      </c>
      <c r="Z642" s="109">
        <v>130200</v>
      </c>
      <c r="AA642" s="109">
        <v>-52200</v>
      </c>
      <c r="AB642" s="109">
        <f t="shared" si="45"/>
        <v>78000</v>
      </c>
      <c r="AC642" s="1171">
        <v>41459</v>
      </c>
      <c r="AD642" s="119">
        <v>78000</v>
      </c>
      <c r="AE642" s="119" t="s">
        <v>7</v>
      </c>
      <c r="AF642" s="1084"/>
      <c r="AG642" s="1084"/>
      <c r="AH642" s="111">
        <f t="shared" si="44"/>
        <v>0</v>
      </c>
      <c r="AI642" s="1084"/>
      <c r="AJ642" s="1119"/>
      <c r="AK642" s="1119"/>
      <c r="AL642" s="1119"/>
      <c r="AM642" s="1119"/>
      <c r="AN642" s="1204"/>
      <c r="AO642" s="1204"/>
    </row>
    <row r="643" spans="1:42" ht="15" customHeight="1">
      <c r="A643" s="1075"/>
      <c r="B643" s="1171"/>
      <c r="C643" s="1076"/>
      <c r="D643" s="1076"/>
      <c r="E643" s="1252"/>
      <c r="F643" s="1252"/>
      <c r="G643" s="1076"/>
      <c r="H643" s="1076"/>
      <c r="I643" s="1076"/>
      <c r="J643" s="1076"/>
      <c r="K643" s="1076"/>
      <c r="L643" s="1076"/>
      <c r="M643" s="1268"/>
      <c r="N643" s="1123"/>
      <c r="O643" s="1119"/>
      <c r="P643" s="1119"/>
      <c r="Q643" s="1119"/>
      <c r="R643" s="1171"/>
      <c r="S643" s="1196"/>
      <c r="T643" s="1196"/>
      <c r="U643" s="1196"/>
      <c r="V643" s="1119"/>
      <c r="W643" s="1119"/>
      <c r="X643" s="1076"/>
      <c r="Y643" s="1123"/>
      <c r="Z643" s="109">
        <v>232300</v>
      </c>
      <c r="AA643" s="109">
        <v>-92800</v>
      </c>
      <c r="AB643" s="109">
        <f t="shared" si="45"/>
        <v>139500</v>
      </c>
      <c r="AC643" s="1171"/>
      <c r="AD643" s="119">
        <v>139500</v>
      </c>
      <c r="AE643" s="119" t="s">
        <v>137</v>
      </c>
      <c r="AF643" s="1084"/>
      <c r="AG643" s="1084"/>
      <c r="AH643" s="111">
        <f t="shared" si="44"/>
        <v>0</v>
      </c>
      <c r="AI643" s="1084"/>
      <c r="AJ643" s="1119"/>
      <c r="AK643" s="1119"/>
      <c r="AL643" s="1119"/>
      <c r="AM643" s="1119"/>
      <c r="AN643" s="1204"/>
      <c r="AO643" s="1204"/>
    </row>
    <row r="644" spans="1:42" ht="15" customHeight="1">
      <c r="A644" s="1075"/>
      <c r="B644" s="1171"/>
      <c r="C644" s="1076" t="s">
        <v>28</v>
      </c>
      <c r="D644" s="1076"/>
      <c r="E644" s="1252"/>
      <c r="F644" s="1252"/>
      <c r="G644" s="1076"/>
      <c r="H644" s="1076"/>
      <c r="I644" s="1076"/>
      <c r="J644" s="1076"/>
      <c r="K644" s="1076"/>
      <c r="L644" s="1076"/>
      <c r="M644" s="1251">
        <v>195</v>
      </c>
      <c r="N644" s="1123" t="s">
        <v>7</v>
      </c>
      <c r="O644" s="1119">
        <v>2750000</v>
      </c>
      <c r="P644" s="1119">
        <v>2750000</v>
      </c>
      <c r="Q644" s="1119"/>
      <c r="R644" s="1171">
        <v>40759</v>
      </c>
      <c r="S644" s="1196">
        <v>2750000</v>
      </c>
      <c r="T644" s="1196">
        <v>2750000</v>
      </c>
      <c r="U644" s="1196">
        <f>O644-T644</f>
        <v>0</v>
      </c>
      <c r="V644" s="1119">
        <v>2750000</v>
      </c>
      <c r="W644" s="1119"/>
      <c r="X644" s="1076"/>
      <c r="Y644" s="108" t="s">
        <v>866</v>
      </c>
      <c r="Z644" s="109">
        <v>0</v>
      </c>
      <c r="AA644" s="109">
        <v>1100000</v>
      </c>
      <c r="AB644" s="109">
        <f t="shared" si="45"/>
        <v>1100000</v>
      </c>
      <c r="AC644" s="97">
        <v>40823</v>
      </c>
      <c r="AD644" s="119">
        <v>1100000</v>
      </c>
      <c r="AE644" s="119" t="s">
        <v>7</v>
      </c>
      <c r="AF644" s="1084">
        <f>SUM(AD644:AD646)</f>
        <v>1100000</v>
      </c>
      <c r="AG644" s="1084"/>
      <c r="AH644" s="111">
        <f t="shared" si="44"/>
        <v>0</v>
      </c>
      <c r="AI644" s="1084"/>
      <c r="AJ644" s="1119">
        <f>SUM(Z644:Z646)-SUM(AD644:AD646)</f>
        <v>-1100000</v>
      </c>
      <c r="AK644" s="1119">
        <f>P644-V644</f>
        <v>0</v>
      </c>
      <c r="AL644" s="1119">
        <f>V644-SUM(Z644:Z646)</f>
        <v>2750000</v>
      </c>
      <c r="AM644" s="1119"/>
      <c r="AN644" s="1204"/>
      <c r="AO644" s="1204"/>
    </row>
    <row r="645" spans="1:42" ht="15" customHeight="1">
      <c r="A645" s="1075"/>
      <c r="B645" s="1171"/>
      <c r="C645" s="1076"/>
      <c r="D645" s="1076"/>
      <c r="E645" s="1252"/>
      <c r="F645" s="1252"/>
      <c r="G645" s="1076"/>
      <c r="H645" s="1076"/>
      <c r="I645" s="1076"/>
      <c r="J645" s="1076"/>
      <c r="K645" s="1076"/>
      <c r="L645" s="1076"/>
      <c r="M645" s="1251"/>
      <c r="N645" s="1123"/>
      <c r="O645" s="1119"/>
      <c r="P645" s="1119"/>
      <c r="Q645" s="1119"/>
      <c r="R645" s="1171"/>
      <c r="S645" s="1196"/>
      <c r="T645" s="1196"/>
      <c r="U645" s="1196"/>
      <c r="V645" s="1119"/>
      <c r="W645" s="1119"/>
      <c r="X645" s="1076"/>
      <c r="Y645" s="108"/>
      <c r="Z645" s="109"/>
      <c r="AA645" s="109"/>
      <c r="AB645" s="109">
        <f t="shared" si="45"/>
        <v>0</v>
      </c>
      <c r="AC645" s="97"/>
      <c r="AD645" s="119"/>
      <c r="AE645" s="119"/>
      <c r="AF645" s="1084"/>
      <c r="AG645" s="1084"/>
      <c r="AH645" s="111">
        <f t="shared" si="44"/>
        <v>0</v>
      </c>
      <c r="AI645" s="1084"/>
      <c r="AJ645" s="1119"/>
      <c r="AK645" s="1119"/>
      <c r="AL645" s="1119"/>
      <c r="AM645" s="1119"/>
      <c r="AN645" s="1204"/>
      <c r="AO645" s="1204"/>
    </row>
    <row r="646" spans="1:42" ht="15" customHeight="1">
      <c r="A646" s="1075"/>
      <c r="B646" s="1171"/>
      <c r="C646" s="1076"/>
      <c r="D646" s="1076"/>
      <c r="E646" s="1252"/>
      <c r="F646" s="1252"/>
      <c r="G646" s="1076"/>
      <c r="H646" s="1076"/>
      <c r="I646" s="1076"/>
      <c r="J646" s="1076"/>
      <c r="K646" s="1076"/>
      <c r="L646" s="1076"/>
      <c r="M646" s="1251"/>
      <c r="N646" s="1123"/>
      <c r="O646" s="1119"/>
      <c r="P646" s="1119"/>
      <c r="Q646" s="1119"/>
      <c r="R646" s="1171"/>
      <c r="S646" s="1196"/>
      <c r="T646" s="1196"/>
      <c r="U646" s="1196"/>
      <c r="V646" s="1119"/>
      <c r="W646" s="1119"/>
      <c r="X646" s="1076"/>
      <c r="Y646" s="108"/>
      <c r="Z646" s="109"/>
      <c r="AA646" s="109"/>
      <c r="AB646" s="109">
        <f t="shared" si="45"/>
        <v>0</v>
      </c>
      <c r="AC646" s="97"/>
      <c r="AD646" s="119"/>
      <c r="AE646" s="119"/>
      <c r="AF646" s="1084"/>
      <c r="AG646" s="1084"/>
      <c r="AH646" s="111">
        <f t="shared" si="44"/>
        <v>0</v>
      </c>
      <c r="AI646" s="1084"/>
      <c r="AJ646" s="1119"/>
      <c r="AK646" s="1119"/>
      <c r="AL646" s="1119"/>
      <c r="AM646" s="1119"/>
      <c r="AN646" s="1204"/>
      <c r="AO646" s="1204"/>
    </row>
    <row r="647" spans="1:42" ht="15" customHeight="1">
      <c r="A647" s="1075"/>
      <c r="B647" s="1171"/>
      <c r="C647" s="1076"/>
      <c r="D647" s="1076"/>
      <c r="E647" s="1252"/>
      <c r="F647" s="1252"/>
      <c r="G647" s="1076"/>
      <c r="H647" s="1076"/>
      <c r="I647" s="1076"/>
      <c r="J647" s="1076"/>
      <c r="K647" s="1076"/>
      <c r="L647" s="1076"/>
      <c r="M647" s="1251">
        <v>210</v>
      </c>
      <c r="N647" s="1123" t="s">
        <v>7</v>
      </c>
      <c r="O647" s="1119">
        <v>2810000</v>
      </c>
      <c r="P647" s="1119">
        <v>2810000</v>
      </c>
      <c r="Q647" s="1119"/>
      <c r="R647" s="1171">
        <v>40779</v>
      </c>
      <c r="S647" s="1196">
        <v>2810000</v>
      </c>
      <c r="T647" s="1196">
        <v>2810000</v>
      </c>
      <c r="U647" s="1196">
        <f>O647-T647</f>
        <v>0</v>
      </c>
      <c r="V647" s="1119">
        <v>2810000</v>
      </c>
      <c r="W647" s="1119"/>
      <c r="X647" s="1076"/>
      <c r="Y647" s="108" t="s">
        <v>867</v>
      </c>
      <c r="Z647" s="109">
        <v>0</v>
      </c>
      <c r="AA647" s="109">
        <v>1124000</v>
      </c>
      <c r="AB647" s="109">
        <f t="shared" si="45"/>
        <v>1124000</v>
      </c>
      <c r="AC647" s="97">
        <v>40823</v>
      </c>
      <c r="AD647" s="119">
        <v>1124000</v>
      </c>
      <c r="AE647" s="119" t="s">
        <v>7</v>
      </c>
      <c r="AF647" s="1084">
        <f>SUM(AD647:AD649)</f>
        <v>1124000</v>
      </c>
      <c r="AG647" s="1084"/>
      <c r="AH647" s="111">
        <f t="shared" si="44"/>
        <v>0</v>
      </c>
      <c r="AI647" s="1084"/>
      <c r="AJ647" s="1119">
        <f>SUM(Z647:Z649)-SUM(AD647:AD649)</f>
        <v>-1124000</v>
      </c>
      <c r="AK647" s="1119">
        <f>P647-V647</f>
        <v>0</v>
      </c>
      <c r="AL647" s="1119">
        <f>V647-SUM(Z647:Z649)</f>
        <v>2810000</v>
      </c>
      <c r="AM647" s="1119"/>
      <c r="AN647" s="1204"/>
      <c r="AO647" s="1204"/>
    </row>
    <row r="648" spans="1:42" ht="15" customHeight="1">
      <c r="A648" s="1075"/>
      <c r="B648" s="1171"/>
      <c r="C648" s="1076"/>
      <c r="D648" s="1076"/>
      <c r="E648" s="1252"/>
      <c r="F648" s="1252"/>
      <c r="G648" s="1076"/>
      <c r="H648" s="1076"/>
      <c r="I648" s="1076"/>
      <c r="J648" s="1076"/>
      <c r="K648" s="1076"/>
      <c r="L648" s="1076"/>
      <c r="M648" s="1251"/>
      <c r="N648" s="1123"/>
      <c r="O648" s="1119"/>
      <c r="P648" s="1119"/>
      <c r="Q648" s="1119"/>
      <c r="R648" s="1171"/>
      <c r="S648" s="1196"/>
      <c r="T648" s="1196"/>
      <c r="U648" s="1196"/>
      <c r="V648" s="1119"/>
      <c r="W648" s="1119"/>
      <c r="X648" s="1076"/>
      <c r="Y648" s="108"/>
      <c r="Z648" s="109"/>
      <c r="AA648" s="109"/>
      <c r="AB648" s="109">
        <f t="shared" si="45"/>
        <v>0</v>
      </c>
      <c r="AC648" s="97"/>
      <c r="AD648" s="119"/>
      <c r="AE648" s="119"/>
      <c r="AF648" s="1084"/>
      <c r="AG648" s="1084"/>
      <c r="AH648" s="111">
        <f t="shared" si="44"/>
        <v>0</v>
      </c>
      <c r="AI648" s="1084"/>
      <c r="AJ648" s="1119"/>
      <c r="AK648" s="1119"/>
      <c r="AL648" s="1119"/>
      <c r="AM648" s="1119"/>
      <c r="AN648" s="1204"/>
      <c r="AO648" s="1204"/>
    </row>
    <row r="649" spans="1:42" ht="15" customHeight="1">
      <c r="A649" s="1075"/>
      <c r="B649" s="1171"/>
      <c r="C649" s="1076"/>
      <c r="D649" s="1076"/>
      <c r="E649" s="1252"/>
      <c r="F649" s="1252"/>
      <c r="G649" s="1076"/>
      <c r="H649" s="1076"/>
      <c r="I649" s="1076"/>
      <c r="J649" s="1076"/>
      <c r="K649" s="1076"/>
      <c r="L649" s="1076"/>
      <c r="M649" s="1251"/>
      <c r="N649" s="1123"/>
      <c r="O649" s="1119"/>
      <c r="P649" s="1119"/>
      <c r="Q649" s="1119"/>
      <c r="R649" s="1171"/>
      <c r="S649" s="1196"/>
      <c r="T649" s="1196"/>
      <c r="U649" s="1196"/>
      <c r="V649" s="1119"/>
      <c r="W649" s="1119"/>
      <c r="X649" s="1076"/>
      <c r="Y649" s="108"/>
      <c r="Z649" s="109"/>
      <c r="AA649" s="109"/>
      <c r="AB649" s="109">
        <f t="shared" si="45"/>
        <v>0</v>
      </c>
      <c r="AC649" s="97"/>
      <c r="AD649" s="119"/>
      <c r="AE649" s="119"/>
      <c r="AF649" s="1084"/>
      <c r="AG649" s="1084"/>
      <c r="AH649" s="111">
        <f t="shared" si="44"/>
        <v>0</v>
      </c>
      <c r="AI649" s="1084"/>
      <c r="AJ649" s="1119"/>
      <c r="AK649" s="1119"/>
      <c r="AL649" s="1119"/>
      <c r="AM649" s="1119"/>
      <c r="AN649" s="1204"/>
      <c r="AO649" s="1204"/>
    </row>
    <row r="650" spans="1:42" ht="15" customHeight="1">
      <c r="A650" s="1075"/>
      <c r="B650" s="1171"/>
      <c r="C650" s="1076"/>
      <c r="D650" s="1076"/>
      <c r="E650" s="1252"/>
      <c r="F650" s="1252"/>
      <c r="G650" s="1076"/>
      <c r="H650" s="1076"/>
      <c r="I650" s="1076"/>
      <c r="J650" s="1076"/>
      <c r="K650" s="1076"/>
      <c r="L650" s="1076"/>
      <c r="M650" s="1251">
        <v>209</v>
      </c>
      <c r="N650" s="1123" t="s">
        <v>7</v>
      </c>
      <c r="O650" s="1119">
        <v>2520000</v>
      </c>
      <c r="P650" s="1119">
        <f>O650</f>
        <v>2520000</v>
      </c>
      <c r="Q650" s="1119"/>
      <c r="R650" s="1171">
        <v>40779</v>
      </c>
      <c r="S650" s="1196">
        <v>2520000</v>
      </c>
      <c r="T650" s="1196">
        <v>2520000</v>
      </c>
      <c r="U650" s="1196">
        <f>O650-T650</f>
        <v>0</v>
      </c>
      <c r="V650" s="1119">
        <v>2520000</v>
      </c>
      <c r="W650" s="1119"/>
      <c r="X650" s="1076"/>
      <c r="Y650" s="108" t="s">
        <v>868</v>
      </c>
      <c r="Z650" s="109">
        <v>0</v>
      </c>
      <c r="AA650" s="109">
        <v>1008000</v>
      </c>
      <c r="AB650" s="109">
        <f t="shared" si="45"/>
        <v>1008000</v>
      </c>
      <c r="AC650" s="97">
        <v>40823</v>
      </c>
      <c r="AD650" s="119">
        <v>1008000</v>
      </c>
      <c r="AE650" s="119" t="s">
        <v>7</v>
      </c>
      <c r="AF650" s="1084">
        <f>SUM(AD650:AD652)</f>
        <v>1008000</v>
      </c>
      <c r="AG650" s="1084"/>
      <c r="AH650" s="111">
        <f t="shared" si="44"/>
        <v>0</v>
      </c>
      <c r="AI650" s="1084"/>
      <c r="AJ650" s="1119">
        <f>SUM(Z650:Z652)-SUM(AD650:AD652)</f>
        <v>-1008000</v>
      </c>
      <c r="AK650" s="1119">
        <f>P650-V650</f>
        <v>0</v>
      </c>
      <c r="AL650" s="1119">
        <f>V650-SUM(Z650:Z652)</f>
        <v>2520000</v>
      </c>
      <c r="AM650" s="1119"/>
      <c r="AN650" s="1204"/>
      <c r="AO650" s="1204"/>
    </row>
    <row r="651" spans="1:42" ht="15" customHeight="1">
      <c r="A651" s="1075"/>
      <c r="B651" s="1171"/>
      <c r="C651" s="1076"/>
      <c r="D651" s="1076"/>
      <c r="E651" s="1252"/>
      <c r="F651" s="1252"/>
      <c r="G651" s="1076"/>
      <c r="H651" s="1076"/>
      <c r="I651" s="1076"/>
      <c r="J651" s="1076"/>
      <c r="K651" s="1076"/>
      <c r="L651" s="1076"/>
      <c r="M651" s="1251"/>
      <c r="N651" s="1123"/>
      <c r="O651" s="1119"/>
      <c r="P651" s="1119"/>
      <c r="Q651" s="1119"/>
      <c r="R651" s="1171"/>
      <c r="S651" s="1196"/>
      <c r="T651" s="1196"/>
      <c r="U651" s="1196"/>
      <c r="V651" s="1119"/>
      <c r="W651" s="1119"/>
      <c r="X651" s="1076"/>
      <c r="Y651" s="108"/>
      <c r="Z651" s="109"/>
      <c r="AA651" s="109"/>
      <c r="AB651" s="109">
        <f t="shared" si="45"/>
        <v>0</v>
      </c>
      <c r="AC651" s="97"/>
      <c r="AD651" s="119"/>
      <c r="AE651" s="119"/>
      <c r="AF651" s="1084"/>
      <c r="AG651" s="1084"/>
      <c r="AH651" s="111">
        <f t="shared" si="44"/>
        <v>0</v>
      </c>
      <c r="AI651" s="1084"/>
      <c r="AJ651" s="1119"/>
      <c r="AK651" s="1119"/>
      <c r="AL651" s="1119"/>
      <c r="AM651" s="1119"/>
      <c r="AN651" s="1204"/>
      <c r="AO651" s="1204"/>
    </row>
    <row r="652" spans="1:42" ht="15" customHeight="1">
      <c r="A652" s="1075"/>
      <c r="B652" s="1171"/>
      <c r="C652" s="1076"/>
      <c r="D652" s="1076"/>
      <c r="E652" s="1252"/>
      <c r="F652" s="1252"/>
      <c r="G652" s="1076"/>
      <c r="H652" s="1076"/>
      <c r="I652" s="1076"/>
      <c r="J652" s="1076"/>
      <c r="K652" s="1076"/>
      <c r="L652" s="1076"/>
      <c r="M652" s="1251"/>
      <c r="N652" s="1123"/>
      <c r="O652" s="1119"/>
      <c r="P652" s="1119"/>
      <c r="Q652" s="1119"/>
      <c r="R652" s="1171"/>
      <c r="S652" s="1196"/>
      <c r="T652" s="1196"/>
      <c r="U652" s="1196"/>
      <c r="V652" s="1119"/>
      <c r="W652" s="1119"/>
      <c r="X652" s="1076"/>
      <c r="Y652" s="108"/>
      <c r="Z652" s="109"/>
      <c r="AA652" s="109"/>
      <c r="AB652" s="109">
        <f t="shared" si="45"/>
        <v>0</v>
      </c>
      <c r="AC652" s="97"/>
      <c r="AD652" s="119"/>
      <c r="AE652" s="119"/>
      <c r="AF652" s="1084"/>
      <c r="AG652" s="1084"/>
      <c r="AH652" s="111">
        <f t="shared" si="44"/>
        <v>0</v>
      </c>
      <c r="AI652" s="1084"/>
      <c r="AJ652" s="1119"/>
      <c r="AK652" s="1119"/>
      <c r="AL652" s="1119"/>
      <c r="AM652" s="1119"/>
      <c r="AN652" s="1204"/>
      <c r="AO652" s="1204"/>
    </row>
    <row r="653" spans="1:42" ht="15" customHeight="1">
      <c r="A653" s="1075"/>
      <c r="B653" s="1171"/>
      <c r="C653" s="1076" t="s">
        <v>19</v>
      </c>
      <c r="D653" s="1076"/>
      <c r="E653" s="1252"/>
      <c r="F653" s="1252"/>
      <c r="G653" s="1076"/>
      <c r="H653" s="1076"/>
      <c r="I653" s="1076"/>
      <c r="J653" s="1076"/>
      <c r="K653" s="1076"/>
      <c r="L653" s="1076"/>
      <c r="M653" s="1251">
        <v>145</v>
      </c>
      <c r="N653" s="1123" t="s">
        <v>7</v>
      </c>
      <c r="O653" s="1119">
        <v>1840000</v>
      </c>
      <c r="P653" s="1119">
        <f>O653</f>
        <v>1840000</v>
      </c>
      <c r="Q653" s="1119"/>
      <c r="R653" s="1171">
        <v>40647</v>
      </c>
      <c r="S653" s="1196">
        <v>1840000</v>
      </c>
      <c r="T653" s="1196">
        <v>1840000</v>
      </c>
      <c r="U653" s="1196">
        <f>O653-T653</f>
        <v>0</v>
      </c>
      <c r="V653" s="1119">
        <v>1840000</v>
      </c>
      <c r="W653" s="1119"/>
      <c r="X653" s="1076"/>
      <c r="Y653" s="108" t="s">
        <v>869</v>
      </c>
      <c r="Z653" s="109">
        <v>0</v>
      </c>
      <c r="AA653" s="109">
        <v>736000</v>
      </c>
      <c r="AB653" s="109">
        <f t="shared" si="45"/>
        <v>736000</v>
      </c>
      <c r="AC653" s="97">
        <v>40823</v>
      </c>
      <c r="AD653" s="119">
        <v>736000</v>
      </c>
      <c r="AE653" s="119" t="s">
        <v>7</v>
      </c>
      <c r="AF653" s="1084">
        <f>SUM(AD653:AD655)</f>
        <v>1729600</v>
      </c>
      <c r="AG653" s="1084"/>
      <c r="AH653" s="111">
        <f t="shared" si="44"/>
        <v>0</v>
      </c>
      <c r="AI653" s="1084"/>
      <c r="AJ653" s="1119">
        <f>SUM(Z653:Z655)-SUM(AD653:AD655)</f>
        <v>-73600</v>
      </c>
      <c r="AK653" s="1119">
        <f>P653-V653</f>
        <v>0</v>
      </c>
      <c r="AL653" s="1119">
        <f>V653-SUM(Z653:Z655)</f>
        <v>184000</v>
      </c>
      <c r="AM653" s="1119"/>
      <c r="AN653" s="1204"/>
      <c r="AO653" s="1204"/>
    </row>
    <row r="654" spans="1:42" ht="15" customHeight="1">
      <c r="A654" s="1075"/>
      <c r="B654" s="1171"/>
      <c r="C654" s="1076"/>
      <c r="D654" s="1076"/>
      <c r="E654" s="1252"/>
      <c r="F654" s="1252"/>
      <c r="G654" s="1076"/>
      <c r="H654" s="1076"/>
      <c r="I654" s="1076"/>
      <c r="J654" s="1076"/>
      <c r="K654" s="1076"/>
      <c r="L654" s="1076"/>
      <c r="M654" s="1251"/>
      <c r="N654" s="1123"/>
      <c r="O654" s="1119"/>
      <c r="P654" s="1119"/>
      <c r="Q654" s="1119"/>
      <c r="R654" s="1171"/>
      <c r="S654" s="1196"/>
      <c r="T654" s="1196"/>
      <c r="U654" s="1196"/>
      <c r="V654" s="1119"/>
      <c r="W654" s="1119"/>
      <c r="X654" s="1076"/>
      <c r="Y654" s="108" t="s">
        <v>872</v>
      </c>
      <c r="Z654" s="109">
        <v>1656000</v>
      </c>
      <c r="AA654" s="109">
        <v>-662400</v>
      </c>
      <c r="AB654" s="109">
        <f t="shared" si="45"/>
        <v>993600</v>
      </c>
      <c r="AC654" s="97">
        <v>41117</v>
      </c>
      <c r="AD654" s="119">
        <v>993600</v>
      </c>
      <c r="AE654" s="119" t="s">
        <v>7</v>
      </c>
      <c r="AF654" s="1084"/>
      <c r="AG654" s="1084"/>
      <c r="AH654" s="111">
        <f t="shared" si="44"/>
        <v>0</v>
      </c>
      <c r="AI654" s="1084"/>
      <c r="AJ654" s="1119"/>
      <c r="AK654" s="1119"/>
      <c r="AL654" s="1119"/>
      <c r="AM654" s="1119"/>
      <c r="AN654" s="1204"/>
      <c r="AO654" s="1204"/>
    </row>
    <row r="655" spans="1:42" ht="15" customHeight="1">
      <c r="A655" s="1075"/>
      <c r="B655" s="1171"/>
      <c r="C655" s="1076"/>
      <c r="D655" s="1076"/>
      <c r="E655" s="1252"/>
      <c r="F655" s="1252"/>
      <c r="G655" s="1076"/>
      <c r="H655" s="1076"/>
      <c r="I655" s="1076"/>
      <c r="J655" s="1076"/>
      <c r="K655" s="1076"/>
      <c r="L655" s="1076"/>
      <c r="M655" s="1251"/>
      <c r="N655" s="1123"/>
      <c r="O655" s="1119"/>
      <c r="P655" s="1119"/>
      <c r="Q655" s="1119"/>
      <c r="R655" s="1171"/>
      <c r="S655" s="1196"/>
      <c r="T655" s="1196"/>
      <c r="U655" s="1196"/>
      <c r="V655" s="1119"/>
      <c r="W655" s="1119"/>
      <c r="X655" s="1076"/>
      <c r="Y655" s="108"/>
      <c r="Z655" s="109"/>
      <c r="AA655" s="109"/>
      <c r="AB655" s="109">
        <f t="shared" si="45"/>
        <v>0</v>
      </c>
      <c r="AC655" s="97"/>
      <c r="AD655" s="119"/>
      <c r="AE655" s="119"/>
      <c r="AF655" s="1084"/>
      <c r="AG655" s="1084"/>
      <c r="AH655" s="111">
        <f t="shared" si="44"/>
        <v>0</v>
      </c>
      <c r="AI655" s="1084"/>
      <c r="AJ655" s="1119"/>
      <c r="AK655" s="1119"/>
      <c r="AL655" s="1119"/>
      <c r="AM655" s="1119"/>
      <c r="AN655" s="1204"/>
      <c r="AO655" s="1204"/>
    </row>
    <row r="656" spans="1:42" ht="15" customHeight="1">
      <c r="A656" s="1214" t="s">
        <v>875</v>
      </c>
      <c r="B656" s="1171">
        <v>40473</v>
      </c>
      <c r="C656" s="1076" t="s">
        <v>45</v>
      </c>
      <c r="D656" s="1076" t="s">
        <v>876</v>
      </c>
      <c r="E656" s="1252">
        <v>10527597</v>
      </c>
      <c r="F656" s="1252"/>
      <c r="G656" s="1076" t="s">
        <v>2799</v>
      </c>
      <c r="H656" s="1076" t="s">
        <v>72</v>
      </c>
      <c r="I656" s="1076" t="s">
        <v>177</v>
      </c>
      <c r="J656" s="1076" t="s">
        <v>489</v>
      </c>
      <c r="K656" s="1076" t="s">
        <v>217</v>
      </c>
      <c r="L656" s="1076" t="s">
        <v>882</v>
      </c>
      <c r="M656" s="1251">
        <v>169</v>
      </c>
      <c r="N656" s="1123" t="s">
        <v>7</v>
      </c>
      <c r="O656" s="1119">
        <v>23000000</v>
      </c>
      <c r="P656" s="1119">
        <v>23000000</v>
      </c>
      <c r="Q656" s="1119">
        <f>P656</f>
        <v>23000000</v>
      </c>
      <c r="R656" s="1171">
        <v>40707</v>
      </c>
      <c r="S656" s="1196">
        <v>23000000</v>
      </c>
      <c r="T656" s="1196">
        <v>23000000</v>
      </c>
      <c r="U656" s="1196">
        <f>O656-T656</f>
        <v>0</v>
      </c>
      <c r="V656" s="1196">
        <v>23000000</v>
      </c>
      <c r="W656" s="1119">
        <v>23000000</v>
      </c>
      <c r="X656" s="1076" t="s">
        <v>878</v>
      </c>
      <c r="Y656" s="108" t="s">
        <v>879</v>
      </c>
      <c r="Z656" s="109">
        <v>0</v>
      </c>
      <c r="AA656" s="109">
        <v>9200000</v>
      </c>
      <c r="AB656" s="109">
        <f t="shared" si="45"/>
        <v>9200000</v>
      </c>
      <c r="AC656" s="97">
        <v>41106</v>
      </c>
      <c r="AD656" s="119">
        <v>9200000</v>
      </c>
      <c r="AE656" s="119" t="s">
        <v>7</v>
      </c>
      <c r="AF656" s="1084">
        <f>SUM(AD656:AD658)</f>
        <v>23000000</v>
      </c>
      <c r="AG656" s="1084">
        <f>AF656</f>
        <v>23000000</v>
      </c>
      <c r="AH656" s="111">
        <f t="shared" si="44"/>
        <v>0</v>
      </c>
      <c r="AI656" s="1084">
        <f>O656-AD656-AD657-AD658</f>
        <v>0</v>
      </c>
      <c r="AJ656" s="1119">
        <f>SUM(Z656:Z658)-SUM(AD656:AD658)</f>
        <v>0</v>
      </c>
      <c r="AK656" s="1119">
        <f>P656-V656</f>
        <v>0</v>
      </c>
      <c r="AL656" s="1119">
        <v>0</v>
      </c>
      <c r="AM656" s="1119">
        <f>AK656+AL656</f>
        <v>0</v>
      </c>
      <c r="AN656" s="1204" t="s">
        <v>883</v>
      </c>
      <c r="AO656" s="1237" t="s">
        <v>884</v>
      </c>
      <c r="AP656" s="203" t="s">
        <v>2503</v>
      </c>
    </row>
    <row r="657" spans="1:43" ht="15" customHeight="1">
      <c r="A657" s="1214"/>
      <c r="B657" s="1171"/>
      <c r="C657" s="1076"/>
      <c r="D657" s="1076"/>
      <c r="E657" s="1252"/>
      <c r="F657" s="1252"/>
      <c r="G657" s="1076"/>
      <c r="H657" s="1076"/>
      <c r="I657" s="1076"/>
      <c r="J657" s="1076"/>
      <c r="K657" s="1076"/>
      <c r="L657" s="1076"/>
      <c r="M657" s="1251"/>
      <c r="N657" s="1123"/>
      <c r="O657" s="1119"/>
      <c r="P657" s="1119"/>
      <c r="Q657" s="1119"/>
      <c r="R657" s="1171"/>
      <c r="S657" s="1196"/>
      <c r="T657" s="1196"/>
      <c r="U657" s="1196"/>
      <c r="V657" s="1196"/>
      <c r="W657" s="1119"/>
      <c r="X657" s="1076"/>
      <c r="Y657" s="108" t="s">
        <v>880</v>
      </c>
      <c r="Z657" s="109">
        <v>16100000</v>
      </c>
      <c r="AA657" s="109">
        <v>-6440000</v>
      </c>
      <c r="AB657" s="109">
        <f t="shared" si="45"/>
        <v>9660000</v>
      </c>
      <c r="AC657" s="97">
        <v>41618</v>
      </c>
      <c r="AD657" s="119">
        <v>9660000</v>
      </c>
      <c r="AE657" s="119" t="s">
        <v>7</v>
      </c>
      <c r="AF657" s="1084"/>
      <c r="AG657" s="1084"/>
      <c r="AH657" s="111">
        <f t="shared" si="44"/>
        <v>0</v>
      </c>
      <c r="AI657" s="1084"/>
      <c r="AJ657" s="1119"/>
      <c r="AK657" s="1119"/>
      <c r="AL657" s="1119"/>
      <c r="AM657" s="1119"/>
      <c r="AN657" s="1204"/>
      <c r="AO657" s="1204"/>
    </row>
    <row r="658" spans="1:43" ht="15" customHeight="1">
      <c r="A658" s="1214"/>
      <c r="B658" s="1171"/>
      <c r="C658" s="1076"/>
      <c r="D658" s="1076"/>
      <c r="E658" s="1252"/>
      <c r="F658" s="1252"/>
      <c r="G658" s="1076"/>
      <c r="H658" s="1076"/>
      <c r="I658" s="1076"/>
      <c r="J658" s="1076"/>
      <c r="K658" s="1076"/>
      <c r="L658" s="1076"/>
      <c r="M658" s="1251"/>
      <c r="N658" s="1123"/>
      <c r="O658" s="1119"/>
      <c r="P658" s="1119"/>
      <c r="Q658" s="1119"/>
      <c r="R658" s="1171"/>
      <c r="S658" s="1196"/>
      <c r="T658" s="1196"/>
      <c r="U658" s="1196"/>
      <c r="V658" s="1196"/>
      <c r="W658" s="1119"/>
      <c r="X658" s="1076"/>
      <c r="Y658" s="108" t="s">
        <v>881</v>
      </c>
      <c r="Z658" s="109">
        <v>6900000</v>
      </c>
      <c r="AA658" s="109">
        <v>-2760000</v>
      </c>
      <c r="AB658" s="109">
        <f t="shared" si="45"/>
        <v>4140000</v>
      </c>
      <c r="AC658" s="97">
        <v>42993</v>
      </c>
      <c r="AD658" s="119">
        <f>+AB658</f>
        <v>4140000</v>
      </c>
      <c r="AE658" s="119" t="s">
        <v>7</v>
      </c>
      <c r="AF658" s="1084"/>
      <c r="AG658" s="1084"/>
      <c r="AH658" s="111">
        <f t="shared" si="44"/>
        <v>0</v>
      </c>
      <c r="AI658" s="1084"/>
      <c r="AJ658" s="1119"/>
      <c r="AK658" s="1119"/>
      <c r="AL658" s="1119"/>
      <c r="AM658" s="1119"/>
      <c r="AN658" s="1204"/>
      <c r="AO658" s="1204"/>
    </row>
    <row r="659" spans="1:43" ht="15" customHeight="1">
      <c r="A659" s="1075" t="s">
        <v>885</v>
      </c>
      <c r="B659" s="1171">
        <v>40499</v>
      </c>
      <c r="C659" s="1076"/>
      <c r="D659" s="1076" t="s">
        <v>886</v>
      </c>
      <c r="E659" s="1252">
        <v>17649042</v>
      </c>
      <c r="F659" s="1252"/>
      <c r="G659" s="1076" t="s">
        <v>2800</v>
      </c>
      <c r="H659" s="1076" t="s">
        <v>72</v>
      </c>
      <c r="I659" s="1076" t="s">
        <v>177</v>
      </c>
      <c r="J659" s="1076" t="s">
        <v>66</v>
      </c>
      <c r="K659" s="1076" t="s">
        <v>48</v>
      </c>
      <c r="L659" s="1076" t="s">
        <v>839</v>
      </c>
      <c r="M659" s="1251">
        <v>137</v>
      </c>
      <c r="N659" s="1123" t="s">
        <v>7</v>
      </c>
      <c r="O659" s="1119">
        <v>199875694</v>
      </c>
      <c r="P659" s="1119">
        <v>199875694</v>
      </c>
      <c r="Q659" s="1119">
        <f>P659</f>
        <v>199875694</v>
      </c>
      <c r="R659" s="1171">
        <v>40647</v>
      </c>
      <c r="S659" s="1196">
        <v>199875694</v>
      </c>
      <c r="T659" s="1196">
        <v>199875694</v>
      </c>
      <c r="U659" s="1196">
        <f>O659-T659</f>
        <v>0</v>
      </c>
      <c r="V659" s="1196">
        <v>199875693.84</v>
      </c>
      <c r="W659" s="1119">
        <v>199875693.84</v>
      </c>
      <c r="X659" s="1076" t="s">
        <v>888</v>
      </c>
      <c r="Y659" s="108" t="s">
        <v>889</v>
      </c>
      <c r="Z659" s="109">
        <v>0</v>
      </c>
      <c r="AA659" s="109">
        <v>79950277.535999998</v>
      </c>
      <c r="AB659" s="109">
        <f t="shared" si="45"/>
        <v>79950277.535999998</v>
      </c>
      <c r="AC659" s="97">
        <v>40694</v>
      </c>
      <c r="AD659" s="119">
        <v>79950277.540000007</v>
      </c>
      <c r="AE659" s="119" t="s">
        <v>7</v>
      </c>
      <c r="AF659" s="1084">
        <f>SUM(AD659:AD663)</f>
        <v>187883150.54000002</v>
      </c>
      <c r="AG659" s="1084">
        <f>AF659</f>
        <v>187883150.54000002</v>
      </c>
      <c r="AH659" s="111">
        <f t="shared" si="44"/>
        <v>-4.0000081062316895E-3</v>
      </c>
      <c r="AI659" s="1084"/>
      <c r="AJ659" s="1119">
        <f>SUM(Z659:Z663)-SUM(AD659:AD663)</f>
        <v>-7995026.5400000215</v>
      </c>
      <c r="AK659" s="1119">
        <f>P659-W659</f>
        <v>0.15999999642372131</v>
      </c>
      <c r="AL659" s="1119">
        <f>V659-SUM(Z659:Z663)+AJ659</f>
        <v>11992543.299999982</v>
      </c>
      <c r="AM659" s="1119">
        <f>AK659+AL659</f>
        <v>11992543.459999979</v>
      </c>
      <c r="AN659" s="1204" t="s">
        <v>891</v>
      </c>
      <c r="AO659" s="1204" t="s">
        <v>892</v>
      </c>
      <c r="AP659" s="1074" t="s">
        <v>2505</v>
      </c>
    </row>
    <row r="660" spans="1:43" ht="15" customHeight="1">
      <c r="A660" s="1075"/>
      <c r="B660" s="1171"/>
      <c r="C660" s="1076"/>
      <c r="D660" s="1076"/>
      <c r="E660" s="1252"/>
      <c r="F660" s="1252"/>
      <c r="G660" s="1076"/>
      <c r="H660" s="1076"/>
      <c r="I660" s="1076"/>
      <c r="J660" s="1076"/>
      <c r="K660" s="1076"/>
      <c r="L660" s="1076"/>
      <c r="M660" s="1251"/>
      <c r="N660" s="1123"/>
      <c r="O660" s="1119"/>
      <c r="P660" s="1119"/>
      <c r="Q660" s="1119"/>
      <c r="R660" s="1171"/>
      <c r="S660" s="1196"/>
      <c r="T660" s="1196"/>
      <c r="U660" s="1196"/>
      <c r="V660" s="1196"/>
      <c r="W660" s="1119"/>
      <c r="X660" s="1076"/>
      <c r="Y660" s="1123" t="s">
        <v>890</v>
      </c>
      <c r="Z660" s="1119">
        <v>179888124</v>
      </c>
      <c r="AA660" s="1119">
        <v>-71955249.599999994</v>
      </c>
      <c r="AB660" s="1119">
        <f t="shared" si="45"/>
        <v>107932874.40000001</v>
      </c>
      <c r="AC660" s="1171">
        <v>40898</v>
      </c>
      <c r="AD660" s="119">
        <v>31358524</v>
      </c>
      <c r="AE660" s="119" t="s">
        <v>7</v>
      </c>
      <c r="AF660" s="1084"/>
      <c r="AG660" s="1084"/>
      <c r="AH660" s="1084">
        <f>AB660-AD660-AD661-AD662</f>
        <v>1.4000000059604645</v>
      </c>
      <c r="AI660" s="1084"/>
      <c r="AJ660" s="1119"/>
      <c r="AK660" s="1119"/>
      <c r="AL660" s="1119"/>
      <c r="AM660" s="1119"/>
      <c r="AN660" s="1204"/>
      <c r="AO660" s="1204"/>
      <c r="AP660" s="1074"/>
    </row>
    <row r="661" spans="1:43" ht="15" customHeight="1">
      <c r="A661" s="1075"/>
      <c r="B661" s="1171"/>
      <c r="C661" s="1076"/>
      <c r="D661" s="1076"/>
      <c r="E661" s="1252"/>
      <c r="F661" s="1252"/>
      <c r="G661" s="1076"/>
      <c r="H661" s="1076"/>
      <c r="I661" s="1076"/>
      <c r="J661" s="1076"/>
      <c r="K661" s="1076"/>
      <c r="L661" s="1076"/>
      <c r="M661" s="1251"/>
      <c r="N661" s="1123"/>
      <c r="O661" s="1119"/>
      <c r="P661" s="1119"/>
      <c r="Q661" s="1119"/>
      <c r="R661" s="1171"/>
      <c r="S661" s="1196"/>
      <c r="T661" s="1196"/>
      <c r="U661" s="1196"/>
      <c r="V661" s="1196"/>
      <c r="W661" s="1119"/>
      <c r="X661" s="1076"/>
      <c r="Y661" s="1123"/>
      <c r="Z661" s="1119"/>
      <c r="AA661" s="1119"/>
      <c r="AB661" s="1119"/>
      <c r="AC661" s="1171"/>
      <c r="AD661" s="119">
        <v>35250571</v>
      </c>
      <c r="AE661" s="119" t="s">
        <v>7</v>
      </c>
      <c r="AF661" s="1084"/>
      <c r="AG661" s="1084"/>
      <c r="AH661" s="1084"/>
      <c r="AI661" s="1084"/>
      <c r="AJ661" s="1119"/>
      <c r="AK661" s="1119"/>
      <c r="AL661" s="1119"/>
      <c r="AM661" s="1119"/>
      <c r="AN661" s="1204"/>
      <c r="AO661" s="1204"/>
      <c r="AP661" s="1074"/>
    </row>
    <row r="662" spans="1:43" ht="15" customHeight="1">
      <c r="A662" s="1075"/>
      <c r="B662" s="1171"/>
      <c r="C662" s="1076"/>
      <c r="D662" s="1076"/>
      <c r="E662" s="1252"/>
      <c r="F662" s="1252"/>
      <c r="G662" s="1076"/>
      <c r="H662" s="1076"/>
      <c r="I662" s="1076"/>
      <c r="J662" s="1076"/>
      <c r="K662" s="1076"/>
      <c r="L662" s="1076"/>
      <c r="M662" s="1251"/>
      <c r="N662" s="1123"/>
      <c r="O662" s="1119"/>
      <c r="P662" s="1119"/>
      <c r="Q662" s="1119"/>
      <c r="R662" s="1171"/>
      <c r="S662" s="1196"/>
      <c r="T662" s="1196"/>
      <c r="U662" s="1196"/>
      <c r="V662" s="1196"/>
      <c r="W662" s="1119"/>
      <c r="X662" s="1076"/>
      <c r="Y662" s="1123"/>
      <c r="Z662" s="1119"/>
      <c r="AA662" s="1119"/>
      <c r="AB662" s="1119"/>
      <c r="AC662" s="1171"/>
      <c r="AD662" s="119">
        <v>41323778</v>
      </c>
      <c r="AE662" s="119" t="s">
        <v>7</v>
      </c>
      <c r="AF662" s="1084"/>
      <c r="AG662" s="1084"/>
      <c r="AH662" s="1084"/>
      <c r="AI662" s="1084"/>
      <c r="AJ662" s="1119"/>
      <c r="AK662" s="1119"/>
      <c r="AL662" s="1119"/>
      <c r="AM662" s="1119"/>
      <c r="AN662" s="1204"/>
      <c r="AO662" s="1204"/>
      <c r="AP662" s="1074"/>
    </row>
    <row r="663" spans="1:43" ht="15" customHeight="1">
      <c r="A663" s="1075"/>
      <c r="B663" s="1171"/>
      <c r="C663" s="1076"/>
      <c r="D663" s="1076"/>
      <c r="E663" s="1252"/>
      <c r="F663" s="1252"/>
      <c r="G663" s="1076"/>
      <c r="H663" s="1076"/>
      <c r="I663" s="1076"/>
      <c r="J663" s="1076"/>
      <c r="K663" s="1076"/>
      <c r="L663" s="1076"/>
      <c r="M663" s="1251"/>
      <c r="N663" s="1123"/>
      <c r="O663" s="1119"/>
      <c r="P663" s="1119"/>
      <c r="Q663" s="1119"/>
      <c r="R663" s="1171"/>
      <c r="S663" s="1196"/>
      <c r="T663" s="1196"/>
      <c r="U663" s="1196"/>
      <c r="V663" s="1196"/>
      <c r="W663" s="1119"/>
      <c r="X663" s="1076"/>
      <c r="Y663" s="108"/>
      <c r="Z663" s="109"/>
      <c r="AA663" s="109"/>
      <c r="AB663" s="109">
        <f>Z663+AA663</f>
        <v>0</v>
      </c>
      <c r="AC663" s="97"/>
      <c r="AD663" s="119"/>
      <c r="AE663" s="119"/>
      <c r="AF663" s="1084"/>
      <c r="AG663" s="1084"/>
      <c r="AH663" s="111">
        <f t="shared" ref="AH663:AH726" si="46">AB663-AD663</f>
        <v>0</v>
      </c>
      <c r="AI663" s="1084"/>
      <c r="AJ663" s="1119"/>
      <c r="AK663" s="1119"/>
      <c r="AL663" s="1119"/>
      <c r="AM663" s="1119"/>
      <c r="AN663" s="1204"/>
      <c r="AO663" s="1204"/>
      <c r="AP663" s="1074"/>
    </row>
    <row r="664" spans="1:43" s="30" customFormat="1" ht="15" customHeight="1">
      <c r="A664" s="1075" t="s">
        <v>972</v>
      </c>
      <c r="B664" s="1213">
        <v>40653</v>
      </c>
      <c r="C664" s="1076" t="s">
        <v>12</v>
      </c>
      <c r="D664" s="1076" t="s">
        <v>976</v>
      </c>
      <c r="E664" s="1076" t="s">
        <v>977</v>
      </c>
      <c r="F664" s="1076" t="s">
        <v>978</v>
      </c>
      <c r="G664" s="1076" t="s">
        <v>979</v>
      </c>
      <c r="H664" s="1076" t="s">
        <v>71</v>
      </c>
      <c r="I664" s="1076" t="s">
        <v>692</v>
      </c>
      <c r="J664" s="1076" t="s">
        <v>66</v>
      </c>
      <c r="K664" s="1076" t="s">
        <v>183</v>
      </c>
      <c r="L664" s="1076" t="s">
        <v>983</v>
      </c>
      <c r="M664" s="1216">
        <v>1</v>
      </c>
      <c r="N664" s="1076" t="s">
        <v>132</v>
      </c>
      <c r="O664" s="1119">
        <v>93175970</v>
      </c>
      <c r="P664" s="1119">
        <f>O664</f>
        <v>93175970</v>
      </c>
      <c r="Q664" s="1119">
        <f>P664</f>
        <v>93175970</v>
      </c>
      <c r="R664" s="1171">
        <v>40709</v>
      </c>
      <c r="S664" s="1119">
        <v>93175970</v>
      </c>
      <c r="T664" s="1119">
        <v>93175970</v>
      </c>
      <c r="U664" s="1119">
        <f>O664-T664</f>
        <v>0</v>
      </c>
      <c r="V664" s="1119">
        <v>93175000</v>
      </c>
      <c r="W664" s="1119">
        <v>93175000</v>
      </c>
      <c r="X664" s="1203" t="s">
        <v>959</v>
      </c>
      <c r="Y664" s="108" t="s">
        <v>981</v>
      </c>
      <c r="Z664" s="109">
        <v>0</v>
      </c>
      <c r="AA664" s="109">
        <v>37270000</v>
      </c>
      <c r="AB664" s="109">
        <f t="shared" ref="AB664:AB671" si="47">AA664+Z664</f>
        <v>37270000</v>
      </c>
      <c r="AC664" s="97">
        <v>40812</v>
      </c>
      <c r="AD664" s="119">
        <f>AB664</f>
        <v>37270000</v>
      </c>
      <c r="AE664" s="119" t="s">
        <v>132</v>
      </c>
      <c r="AF664" s="1215">
        <f>SUM(AD664:AD665)</f>
        <v>93174130</v>
      </c>
      <c r="AG664" s="1215">
        <f>AF664</f>
        <v>93174130</v>
      </c>
      <c r="AH664" s="119">
        <f t="shared" si="46"/>
        <v>0</v>
      </c>
      <c r="AI664" s="1215">
        <f>O664-AD664-AD665</f>
        <v>1840</v>
      </c>
      <c r="AJ664" s="1215">
        <f>SUM(Z664:Z665)-SUM(AD664:AD665)</f>
        <v>0</v>
      </c>
      <c r="AK664" s="1215">
        <f>P664-V664</f>
        <v>970</v>
      </c>
      <c r="AL664" s="1215">
        <f>V664-SUM(Z664:Z665)</f>
        <v>870</v>
      </c>
      <c r="AM664" s="1215">
        <f>AK664+AL664</f>
        <v>1840</v>
      </c>
      <c r="AN664" s="1247" t="s">
        <v>606</v>
      </c>
      <c r="AO664" s="1246" t="s">
        <v>984</v>
      </c>
      <c r="AQ664" s="934"/>
    </row>
    <row r="665" spans="1:43" s="30" customFormat="1" ht="15" customHeight="1">
      <c r="A665" s="1075"/>
      <c r="B665" s="1213"/>
      <c r="C665" s="1076"/>
      <c r="D665" s="1076"/>
      <c r="E665" s="1076"/>
      <c r="F665" s="1076"/>
      <c r="G665" s="1076"/>
      <c r="H665" s="1076"/>
      <c r="I665" s="1076"/>
      <c r="J665" s="1076"/>
      <c r="K665" s="1076"/>
      <c r="L665" s="1076"/>
      <c r="M665" s="1218"/>
      <c r="N665" s="1076"/>
      <c r="O665" s="1119"/>
      <c r="P665" s="1119"/>
      <c r="Q665" s="1119"/>
      <c r="R665" s="1171"/>
      <c r="S665" s="1119"/>
      <c r="T665" s="1119"/>
      <c r="U665" s="1119"/>
      <c r="V665" s="1119"/>
      <c r="W665" s="1119"/>
      <c r="X665" s="1203"/>
      <c r="Y665" s="108" t="s">
        <v>982</v>
      </c>
      <c r="Z665" s="109">
        <v>93174130</v>
      </c>
      <c r="AA665" s="109">
        <f>-AA664</f>
        <v>-37270000</v>
      </c>
      <c r="AB665" s="109">
        <f t="shared" si="47"/>
        <v>55904130</v>
      </c>
      <c r="AC665" s="97">
        <v>41129</v>
      </c>
      <c r="AD665" s="119">
        <f>AB665</f>
        <v>55904130</v>
      </c>
      <c r="AE665" s="119" t="s">
        <v>132</v>
      </c>
      <c r="AF665" s="1215"/>
      <c r="AG665" s="1215"/>
      <c r="AH665" s="119">
        <f t="shared" si="46"/>
        <v>0</v>
      </c>
      <c r="AI665" s="1215"/>
      <c r="AJ665" s="1215"/>
      <c r="AK665" s="1215"/>
      <c r="AL665" s="1215"/>
      <c r="AM665" s="1215"/>
      <c r="AN665" s="1247"/>
      <c r="AO665" s="1246"/>
      <c r="AQ665" s="934"/>
    </row>
    <row r="666" spans="1:43" s="30" customFormat="1" ht="15" customHeight="1">
      <c r="A666" s="1214" t="s">
        <v>975</v>
      </c>
      <c r="B666" s="1213">
        <v>40630</v>
      </c>
      <c r="C666" s="1076" t="s">
        <v>41</v>
      </c>
      <c r="D666" s="1076" t="s">
        <v>985</v>
      </c>
      <c r="E666" s="1076" t="s">
        <v>986</v>
      </c>
      <c r="F666" s="1076"/>
      <c r="G666" s="1076" t="s">
        <v>987</v>
      </c>
      <c r="H666" s="1076" t="s">
        <v>71</v>
      </c>
      <c r="I666" s="1076" t="s">
        <v>692</v>
      </c>
      <c r="J666" s="1076" t="s">
        <v>489</v>
      </c>
      <c r="K666" s="1076" t="s">
        <v>217</v>
      </c>
      <c r="L666" s="1076" t="s">
        <v>974</v>
      </c>
      <c r="M666" s="1216" t="s">
        <v>973</v>
      </c>
      <c r="N666" s="1076" t="s">
        <v>7</v>
      </c>
      <c r="O666" s="1119">
        <v>190119770</v>
      </c>
      <c r="P666" s="1119">
        <f>O666</f>
        <v>190119770</v>
      </c>
      <c r="Q666" s="1119">
        <f>P666</f>
        <v>190119770</v>
      </c>
      <c r="R666" s="1171">
        <v>40637</v>
      </c>
      <c r="S666" s="1119">
        <v>190119770</v>
      </c>
      <c r="T666" s="1119">
        <v>190119770</v>
      </c>
      <c r="U666" s="1119">
        <f>O666-T666</f>
        <v>0</v>
      </c>
      <c r="V666" s="1119">
        <v>190010000</v>
      </c>
      <c r="W666" s="1119">
        <v>190010000</v>
      </c>
      <c r="X666" s="1203" t="s">
        <v>988</v>
      </c>
      <c r="Y666" s="108" t="s">
        <v>989</v>
      </c>
      <c r="Z666" s="109">
        <v>0</v>
      </c>
      <c r="AA666" s="109">
        <v>95005000</v>
      </c>
      <c r="AB666" s="109">
        <f t="shared" si="47"/>
        <v>95005000</v>
      </c>
      <c r="AC666" s="97">
        <v>40667</v>
      </c>
      <c r="AD666" s="119">
        <f>AB666</f>
        <v>95005000</v>
      </c>
      <c r="AE666" s="119" t="s">
        <v>7</v>
      </c>
      <c r="AF666" s="1215">
        <f>SUM(AD666:AD668)</f>
        <v>180259138.5</v>
      </c>
      <c r="AG666" s="1215">
        <f>AF666</f>
        <v>180259138.5</v>
      </c>
      <c r="AH666" s="119">
        <f t="shared" si="46"/>
        <v>0</v>
      </c>
      <c r="AI666" s="1215">
        <f>O666-SUM(AD666:AD668)</f>
        <v>9860631.5</v>
      </c>
      <c r="AJ666" s="1215">
        <f>SUM(Z666:Z668)-SUM(AD666:AD668)</f>
        <v>9750151.5</v>
      </c>
      <c r="AK666" s="1215">
        <f>P666-V666</f>
        <v>109770</v>
      </c>
      <c r="AL666" s="1215">
        <f>V666-SUM(Z666:Z668)</f>
        <v>710</v>
      </c>
      <c r="AM666" s="1215">
        <f>AK666+AL666</f>
        <v>110480</v>
      </c>
      <c r="AN666" s="1247" t="s">
        <v>992</v>
      </c>
      <c r="AO666" s="1246" t="s">
        <v>993</v>
      </c>
      <c r="AQ666" s="934"/>
    </row>
    <row r="667" spans="1:43" s="30" customFormat="1" ht="15" customHeight="1">
      <c r="A667" s="1214"/>
      <c r="B667" s="1213"/>
      <c r="C667" s="1076"/>
      <c r="D667" s="1076"/>
      <c r="E667" s="1076"/>
      <c r="F667" s="1076"/>
      <c r="G667" s="1076"/>
      <c r="H667" s="1076"/>
      <c r="I667" s="1076"/>
      <c r="J667" s="1076"/>
      <c r="K667" s="1076"/>
      <c r="L667" s="1076"/>
      <c r="M667" s="1217"/>
      <c r="N667" s="1076"/>
      <c r="O667" s="1119"/>
      <c r="P667" s="1119"/>
      <c r="Q667" s="1119"/>
      <c r="R667" s="1171"/>
      <c r="S667" s="1119"/>
      <c r="T667" s="1119"/>
      <c r="U667" s="1119"/>
      <c r="V667" s="1119"/>
      <c r="W667" s="1119"/>
      <c r="X667" s="1203"/>
      <c r="Y667" s="108" t="s">
        <v>990</v>
      </c>
      <c r="Z667" s="109">
        <v>170508277</v>
      </c>
      <c r="AA667" s="109">
        <v>-85254138.5</v>
      </c>
      <c r="AB667" s="109">
        <f t="shared" si="47"/>
        <v>85254138.5</v>
      </c>
      <c r="AC667" s="97">
        <v>41271</v>
      </c>
      <c r="AD667" s="119">
        <f>AB667</f>
        <v>85254138.5</v>
      </c>
      <c r="AE667" s="119" t="s">
        <v>7</v>
      </c>
      <c r="AF667" s="1215"/>
      <c r="AG667" s="1215"/>
      <c r="AH667" s="119">
        <f t="shared" si="46"/>
        <v>0</v>
      </c>
      <c r="AI667" s="1215"/>
      <c r="AJ667" s="1215"/>
      <c r="AK667" s="1215"/>
      <c r="AL667" s="1215"/>
      <c r="AM667" s="1215"/>
      <c r="AN667" s="1247"/>
      <c r="AO667" s="1246"/>
      <c r="AQ667" s="934"/>
    </row>
    <row r="668" spans="1:43" s="30" customFormat="1" ht="15" customHeight="1">
      <c r="A668" s="1214"/>
      <c r="B668" s="1213"/>
      <c r="C668" s="1076"/>
      <c r="D668" s="1076"/>
      <c r="E668" s="1076"/>
      <c r="F668" s="1076"/>
      <c r="G668" s="1076"/>
      <c r="H668" s="1076"/>
      <c r="I668" s="1076"/>
      <c r="J668" s="1076"/>
      <c r="K668" s="1076"/>
      <c r="L668" s="1076"/>
      <c r="M668" s="1218"/>
      <c r="N668" s="1076"/>
      <c r="O668" s="1119"/>
      <c r="P668" s="1119"/>
      <c r="Q668" s="1119"/>
      <c r="R668" s="1171"/>
      <c r="S668" s="1119"/>
      <c r="T668" s="1119"/>
      <c r="U668" s="1119"/>
      <c r="V668" s="1119"/>
      <c r="W668" s="1119"/>
      <c r="X668" s="1203"/>
      <c r="Y668" s="108" t="s">
        <v>991</v>
      </c>
      <c r="Z668" s="109">
        <v>19501013</v>
      </c>
      <c r="AA668" s="109">
        <v>-9750861.5</v>
      </c>
      <c r="AB668" s="109">
        <f t="shared" si="47"/>
        <v>9750151.5</v>
      </c>
      <c r="AC668" s="97"/>
      <c r="AD668" s="119">
        <v>0</v>
      </c>
      <c r="AE668" s="119" t="s">
        <v>7</v>
      </c>
      <c r="AF668" s="1215"/>
      <c r="AG668" s="1215"/>
      <c r="AH668" s="119">
        <f t="shared" si="46"/>
        <v>9750151.5</v>
      </c>
      <c r="AI668" s="1215"/>
      <c r="AJ668" s="1215"/>
      <c r="AK668" s="1215"/>
      <c r="AL668" s="1215"/>
      <c r="AM668" s="1215"/>
      <c r="AN668" s="1247"/>
      <c r="AO668" s="1246"/>
      <c r="AQ668" s="934"/>
    </row>
    <row r="669" spans="1:43" s="30" customFormat="1" ht="15" customHeight="1">
      <c r="A669" s="1214" t="s">
        <v>994</v>
      </c>
      <c r="B669" s="1213">
        <v>40630</v>
      </c>
      <c r="C669" s="1076" t="s">
        <v>41</v>
      </c>
      <c r="D669" s="1076" t="s">
        <v>995</v>
      </c>
      <c r="E669" s="1076" t="s">
        <v>996</v>
      </c>
      <c r="F669" s="1076"/>
      <c r="G669" s="1076" t="s">
        <v>997</v>
      </c>
      <c r="H669" s="1076" t="s">
        <v>71</v>
      </c>
      <c r="I669" s="1076" t="s">
        <v>692</v>
      </c>
      <c r="J669" s="1076" t="s">
        <v>66</v>
      </c>
      <c r="K669" s="1076" t="s">
        <v>183</v>
      </c>
      <c r="L669" s="1076" t="s">
        <v>998</v>
      </c>
      <c r="M669" s="1216">
        <v>131</v>
      </c>
      <c r="N669" s="1076" t="s">
        <v>7</v>
      </c>
      <c r="O669" s="1119">
        <v>141212150</v>
      </c>
      <c r="P669" s="1119">
        <v>141212150</v>
      </c>
      <c r="Q669" s="1119">
        <f>P669</f>
        <v>141212150</v>
      </c>
      <c r="R669" s="1171">
        <v>40637</v>
      </c>
      <c r="S669" s="1119">
        <v>140957310</v>
      </c>
      <c r="T669" s="1119">
        <v>140957310</v>
      </c>
      <c r="U669" s="1119">
        <f>O669-T669</f>
        <v>254840</v>
      </c>
      <c r="V669" s="1119">
        <v>140957310</v>
      </c>
      <c r="W669" s="1119">
        <v>140957310</v>
      </c>
      <c r="X669" s="1203" t="s">
        <v>988</v>
      </c>
      <c r="Y669" s="108" t="s">
        <v>999</v>
      </c>
      <c r="Z669" s="109">
        <v>0</v>
      </c>
      <c r="AA669" s="109">
        <v>70478655</v>
      </c>
      <c r="AB669" s="109">
        <f t="shared" si="47"/>
        <v>70478655</v>
      </c>
      <c r="AC669" s="97">
        <v>40693</v>
      </c>
      <c r="AD669" s="119">
        <v>70478655</v>
      </c>
      <c r="AE669" s="119" t="s">
        <v>7</v>
      </c>
      <c r="AF669" s="1215">
        <f>SUM(AD669:AD671)</f>
        <v>140957200</v>
      </c>
      <c r="AG669" s="1215">
        <f>AF669</f>
        <v>140957200</v>
      </c>
      <c r="AH669" s="119">
        <f t="shared" si="46"/>
        <v>0</v>
      </c>
      <c r="AI669" s="1215">
        <f>O669-AG669</f>
        <v>254950</v>
      </c>
      <c r="AJ669" s="1215">
        <f>SUM(Z669:Z671)-SUM(AD669:AD671)</f>
        <v>-1</v>
      </c>
      <c r="AK669" s="1215">
        <f>S669-V669</f>
        <v>0</v>
      </c>
      <c r="AL669" s="1215">
        <f>V669-SUM(Z669:Z671)+AJ669</f>
        <v>110</v>
      </c>
      <c r="AM669" s="1215">
        <f>AK669+AL669</f>
        <v>110</v>
      </c>
      <c r="AN669" s="1246" t="s">
        <v>606</v>
      </c>
      <c r="AO669" s="1246" t="s">
        <v>1002</v>
      </c>
      <c r="AQ669" s="934"/>
    </row>
    <row r="670" spans="1:43" s="30" customFormat="1" ht="15" customHeight="1">
      <c r="A670" s="1214"/>
      <c r="B670" s="1213"/>
      <c r="C670" s="1076"/>
      <c r="D670" s="1076"/>
      <c r="E670" s="1076"/>
      <c r="F670" s="1076"/>
      <c r="G670" s="1076"/>
      <c r="H670" s="1076"/>
      <c r="I670" s="1076"/>
      <c r="J670" s="1076"/>
      <c r="K670" s="1076"/>
      <c r="L670" s="1076"/>
      <c r="M670" s="1217"/>
      <c r="N670" s="1076"/>
      <c r="O670" s="1119"/>
      <c r="P670" s="1119"/>
      <c r="Q670" s="1119"/>
      <c r="R670" s="1171"/>
      <c r="S670" s="1119"/>
      <c r="T670" s="1119"/>
      <c r="U670" s="1119"/>
      <c r="V670" s="1119"/>
      <c r="W670" s="1119"/>
      <c r="X670" s="1203"/>
      <c r="Y670" s="108" t="s">
        <v>1000</v>
      </c>
      <c r="Z670" s="109">
        <v>125662963</v>
      </c>
      <c r="AA670" s="109">
        <v>-62831481</v>
      </c>
      <c r="AB670" s="109">
        <f t="shared" si="47"/>
        <v>62831482</v>
      </c>
      <c r="AC670" s="97">
        <v>41158</v>
      </c>
      <c r="AD670" s="119">
        <v>62831482</v>
      </c>
      <c r="AE670" s="119" t="s">
        <v>7</v>
      </c>
      <c r="AF670" s="1215"/>
      <c r="AG670" s="1215"/>
      <c r="AH670" s="119">
        <f t="shared" si="46"/>
        <v>0</v>
      </c>
      <c r="AI670" s="1215"/>
      <c r="AJ670" s="1215"/>
      <c r="AK670" s="1215"/>
      <c r="AL670" s="1215"/>
      <c r="AM670" s="1215"/>
      <c r="AN670" s="1246"/>
      <c r="AO670" s="1246"/>
      <c r="AQ670" s="934"/>
    </row>
    <row r="671" spans="1:43" s="30" customFormat="1" ht="15" customHeight="1">
      <c r="A671" s="1214"/>
      <c r="B671" s="1213"/>
      <c r="C671" s="1076"/>
      <c r="D671" s="1076"/>
      <c r="E671" s="1076"/>
      <c r="F671" s="1076"/>
      <c r="G671" s="1076"/>
      <c r="H671" s="1076"/>
      <c r="I671" s="1076"/>
      <c r="J671" s="1076"/>
      <c r="K671" s="1076"/>
      <c r="L671" s="1076"/>
      <c r="M671" s="1218"/>
      <c r="N671" s="1076"/>
      <c r="O671" s="1119"/>
      <c r="P671" s="1119"/>
      <c r="Q671" s="1119"/>
      <c r="R671" s="1171"/>
      <c r="S671" s="1119"/>
      <c r="T671" s="1119"/>
      <c r="U671" s="1119"/>
      <c r="V671" s="1119"/>
      <c r="W671" s="1119"/>
      <c r="X671" s="1203"/>
      <c r="Y671" s="108" t="s">
        <v>1001</v>
      </c>
      <c r="Z671" s="109">
        <v>15294236</v>
      </c>
      <c r="AA671" s="109">
        <v>-7647174</v>
      </c>
      <c r="AB671" s="109">
        <f t="shared" si="47"/>
        <v>7647062</v>
      </c>
      <c r="AC671" s="97">
        <v>41879</v>
      </c>
      <c r="AD671" s="119">
        <v>7647063</v>
      </c>
      <c r="AE671" s="119" t="s">
        <v>7</v>
      </c>
      <c r="AF671" s="1215"/>
      <c r="AG671" s="1215"/>
      <c r="AH671" s="119">
        <f t="shared" si="46"/>
        <v>-1</v>
      </c>
      <c r="AI671" s="1215"/>
      <c r="AJ671" s="1215"/>
      <c r="AK671" s="1215"/>
      <c r="AL671" s="1215"/>
      <c r="AM671" s="1215"/>
      <c r="AN671" s="1246"/>
      <c r="AO671" s="1246"/>
      <c r="AQ671" s="934"/>
    </row>
    <row r="672" spans="1:43" s="30" customFormat="1" ht="15" customHeight="1">
      <c r="A672" s="1075" t="s">
        <v>1015</v>
      </c>
      <c r="B672" s="1213">
        <v>40630</v>
      </c>
      <c r="C672" s="1076" t="s">
        <v>41</v>
      </c>
      <c r="D672" s="1076" t="s">
        <v>1016</v>
      </c>
      <c r="E672" s="1076" t="s">
        <v>1017</v>
      </c>
      <c r="F672" s="1076"/>
      <c r="G672" s="1076" t="s">
        <v>1018</v>
      </c>
      <c r="H672" s="1076" t="s">
        <v>71</v>
      </c>
      <c r="I672" s="1076" t="s">
        <v>692</v>
      </c>
      <c r="J672" s="1076" t="s">
        <v>66</v>
      </c>
      <c r="K672" s="1076" t="s">
        <v>183</v>
      </c>
      <c r="L672" s="1076" t="s">
        <v>1014</v>
      </c>
      <c r="M672" s="1223">
        <v>135</v>
      </c>
      <c r="N672" s="1076" t="s">
        <v>7</v>
      </c>
      <c r="O672" s="1119">
        <v>191854661</v>
      </c>
      <c r="P672" s="1119">
        <f>O672</f>
        <v>191854661</v>
      </c>
      <c r="Q672" s="1119">
        <f>P672</f>
        <v>191854661</v>
      </c>
      <c r="R672" s="1171">
        <v>40637</v>
      </c>
      <c r="S672" s="1119">
        <v>191854661</v>
      </c>
      <c r="T672" s="1119">
        <v>191854661</v>
      </c>
      <c r="U672" s="1119">
        <f>O672-T672</f>
        <v>0</v>
      </c>
      <c r="V672" s="1119">
        <v>191150000</v>
      </c>
      <c r="W672" s="1119">
        <v>191150000</v>
      </c>
      <c r="X672" s="1203" t="s">
        <v>1006</v>
      </c>
      <c r="Y672" s="108" t="s">
        <v>1019</v>
      </c>
      <c r="Z672" s="109">
        <v>0</v>
      </c>
      <c r="AA672" s="109">
        <v>95005000</v>
      </c>
      <c r="AB672" s="109">
        <f t="shared" ref="AB672:AB678" si="48">Z672+AA672</f>
        <v>95005000</v>
      </c>
      <c r="AC672" s="97">
        <v>40672</v>
      </c>
      <c r="AD672" s="119">
        <v>95005000</v>
      </c>
      <c r="AE672" s="119" t="s">
        <v>7</v>
      </c>
      <c r="AF672" s="1215">
        <f>SUM(AD672:AD674)</f>
        <v>191149996.00999999</v>
      </c>
      <c r="AG672" s="1215">
        <f>AF672</f>
        <v>191149996.00999999</v>
      </c>
      <c r="AH672" s="119">
        <f t="shared" si="46"/>
        <v>0</v>
      </c>
      <c r="AI672" s="1215">
        <f>O672-AG672</f>
        <v>704664.99000000954</v>
      </c>
      <c r="AJ672" s="1215">
        <f>SUM(Z672:Z674)-SUM(AD672:AD674)</f>
        <v>-9.9999904632568359E-3</v>
      </c>
      <c r="AK672" s="1215">
        <f>P672-V672</f>
        <v>704661</v>
      </c>
      <c r="AL672" s="1215">
        <f>V672-SUM(Z672:Z674)</f>
        <v>4</v>
      </c>
      <c r="AM672" s="1215">
        <f>AK672+AL672</f>
        <v>704665</v>
      </c>
      <c r="AN672" s="1246" t="s">
        <v>1023</v>
      </c>
      <c r="AO672" s="1246" t="s">
        <v>1022</v>
      </c>
      <c r="AQ672" s="934"/>
    </row>
    <row r="673" spans="1:43" s="30" customFormat="1" ht="15" customHeight="1">
      <c r="A673" s="1075"/>
      <c r="B673" s="1213"/>
      <c r="C673" s="1076"/>
      <c r="D673" s="1076"/>
      <c r="E673" s="1076"/>
      <c r="F673" s="1076"/>
      <c r="G673" s="1076"/>
      <c r="H673" s="1076"/>
      <c r="I673" s="1076"/>
      <c r="J673" s="1076"/>
      <c r="K673" s="1076"/>
      <c r="L673" s="1076"/>
      <c r="M673" s="1223"/>
      <c r="N673" s="1076"/>
      <c r="O673" s="1119"/>
      <c r="P673" s="1119"/>
      <c r="Q673" s="1119"/>
      <c r="R673" s="1171"/>
      <c r="S673" s="1119"/>
      <c r="T673" s="1119"/>
      <c r="U673" s="1119"/>
      <c r="V673" s="1119"/>
      <c r="W673" s="1119"/>
      <c r="X673" s="1203"/>
      <c r="Y673" s="108" t="s">
        <v>1020</v>
      </c>
      <c r="Z673" s="109">
        <v>170556627</v>
      </c>
      <c r="AA673" s="109">
        <v>-85278313.5</v>
      </c>
      <c r="AB673" s="109">
        <f t="shared" si="48"/>
        <v>85278313.5</v>
      </c>
      <c r="AC673" s="97">
        <v>41284</v>
      </c>
      <c r="AD673" s="119">
        <v>85278313.510000005</v>
      </c>
      <c r="AE673" s="119" t="s">
        <v>7</v>
      </c>
      <c r="AF673" s="1215"/>
      <c r="AG673" s="1215"/>
      <c r="AH673" s="119">
        <f t="shared" si="46"/>
        <v>-1.000000536441803E-2</v>
      </c>
      <c r="AI673" s="1215"/>
      <c r="AJ673" s="1215"/>
      <c r="AK673" s="1215"/>
      <c r="AL673" s="1215"/>
      <c r="AM673" s="1215"/>
      <c r="AN673" s="1246"/>
      <c r="AO673" s="1246"/>
      <c r="AQ673" s="934"/>
    </row>
    <row r="674" spans="1:43" s="30" customFormat="1" ht="15" customHeight="1">
      <c r="A674" s="1075"/>
      <c r="B674" s="1213"/>
      <c r="C674" s="1076"/>
      <c r="D674" s="1076"/>
      <c r="E674" s="1076"/>
      <c r="F674" s="1076"/>
      <c r="G674" s="1076"/>
      <c r="H674" s="1076"/>
      <c r="I674" s="1076"/>
      <c r="J674" s="1076"/>
      <c r="K674" s="1076"/>
      <c r="L674" s="1076"/>
      <c r="M674" s="1223"/>
      <c r="N674" s="1076"/>
      <c r="O674" s="1119"/>
      <c r="P674" s="1119"/>
      <c r="Q674" s="1119"/>
      <c r="R674" s="1171"/>
      <c r="S674" s="1119"/>
      <c r="T674" s="1119"/>
      <c r="U674" s="1119"/>
      <c r="V674" s="1119"/>
      <c r="W674" s="1119"/>
      <c r="X674" s="1203"/>
      <c r="Y674" s="108" t="s">
        <v>1021</v>
      </c>
      <c r="Z674" s="109">
        <v>20593369</v>
      </c>
      <c r="AA674" s="109">
        <v>-9726686.5</v>
      </c>
      <c r="AB674" s="109">
        <f t="shared" si="48"/>
        <v>10866682.5</v>
      </c>
      <c r="AC674" s="97">
        <v>41827</v>
      </c>
      <c r="AD674" s="119">
        <v>10866682.5</v>
      </c>
      <c r="AE674" s="119" t="s">
        <v>7</v>
      </c>
      <c r="AF674" s="1215"/>
      <c r="AG674" s="1215"/>
      <c r="AH674" s="119">
        <f t="shared" si="46"/>
        <v>0</v>
      </c>
      <c r="AI674" s="1215"/>
      <c r="AJ674" s="1215"/>
      <c r="AK674" s="1215"/>
      <c r="AL674" s="1215"/>
      <c r="AM674" s="1215"/>
      <c r="AN674" s="1246"/>
      <c r="AO674" s="1246"/>
      <c r="AQ674" s="934"/>
    </row>
    <row r="675" spans="1:43" ht="15" customHeight="1">
      <c r="A675" s="1030" t="s">
        <v>1003</v>
      </c>
      <c r="B675" s="1068">
        <v>40630</v>
      </c>
      <c r="C675" s="1011"/>
      <c r="D675" s="1011" t="s">
        <v>1004</v>
      </c>
      <c r="E675" s="1097">
        <v>76316908</v>
      </c>
      <c r="F675" s="1097"/>
      <c r="G675" s="1011" t="s">
        <v>1005</v>
      </c>
      <c r="H675" s="1011" t="s">
        <v>71</v>
      </c>
      <c r="I675" s="1011" t="s">
        <v>692</v>
      </c>
      <c r="J675" s="1011" t="s">
        <v>489</v>
      </c>
      <c r="K675" s="1011" t="s">
        <v>183</v>
      </c>
      <c r="L675" s="1011" t="s">
        <v>1078</v>
      </c>
      <c r="M675" s="1220">
        <v>127</v>
      </c>
      <c r="N675" s="1065" t="s">
        <v>7</v>
      </c>
      <c r="O675" s="1062">
        <v>373831776</v>
      </c>
      <c r="P675" s="1062">
        <v>373831776</v>
      </c>
      <c r="Q675" s="1062">
        <f>P675+P679</f>
        <v>501107476</v>
      </c>
      <c r="R675" s="1068">
        <v>40637</v>
      </c>
      <c r="S675" s="1092">
        <v>373765710</v>
      </c>
      <c r="T675" s="1092">
        <v>373765710</v>
      </c>
      <c r="U675" s="1092">
        <f>O675-T675</f>
        <v>66066</v>
      </c>
      <c r="V675" s="1062">
        <v>373765710</v>
      </c>
      <c r="W675" s="1062">
        <v>501041410</v>
      </c>
      <c r="X675" s="1011" t="s">
        <v>1006</v>
      </c>
      <c r="Y675" s="108" t="s">
        <v>1007</v>
      </c>
      <c r="Z675" s="109">
        <v>0</v>
      </c>
      <c r="AA675" s="109">
        <v>186882855</v>
      </c>
      <c r="AB675" s="109">
        <f t="shared" si="48"/>
        <v>186882855</v>
      </c>
      <c r="AC675" s="97">
        <v>40666</v>
      </c>
      <c r="AD675" s="119">
        <v>186882855</v>
      </c>
      <c r="AE675" s="119" t="s">
        <v>7</v>
      </c>
      <c r="AF675" s="1043">
        <f>SUM(AD675:AD678)</f>
        <v>373765708</v>
      </c>
      <c r="AG675" s="1043">
        <f>AF675+AF679</f>
        <v>475269823</v>
      </c>
      <c r="AH675" s="111">
        <f t="shared" si="46"/>
        <v>0</v>
      </c>
      <c r="AI675" s="1043">
        <f>S675-SUM(AD675:AD678)</f>
        <v>2</v>
      </c>
      <c r="AJ675" s="1062">
        <f>SUM(Z675:Z680)-SUM(AD675:AD680)</f>
        <v>1</v>
      </c>
      <c r="AK675" s="1062">
        <f>S675-V675</f>
        <v>0</v>
      </c>
      <c r="AL675" s="1062">
        <f>V675-SUM(Z675:Z678)</f>
        <v>1</v>
      </c>
      <c r="AM675" s="1062">
        <f>AK675+AL675+AJ675</f>
        <v>2</v>
      </c>
      <c r="AN675" s="1103" t="s">
        <v>523</v>
      </c>
      <c r="AO675" s="1195" t="s">
        <v>1013</v>
      </c>
    </row>
    <row r="676" spans="1:43" ht="15" customHeight="1">
      <c r="A676" s="1031"/>
      <c r="B676" s="1069"/>
      <c r="C676" s="1033"/>
      <c r="D676" s="1033"/>
      <c r="E676" s="1098"/>
      <c r="F676" s="1098"/>
      <c r="G676" s="1033"/>
      <c r="H676" s="1033"/>
      <c r="I676" s="1033"/>
      <c r="J676" s="1033"/>
      <c r="K676" s="1033"/>
      <c r="L676" s="1033"/>
      <c r="M676" s="1221"/>
      <c r="N676" s="1066"/>
      <c r="O676" s="1063"/>
      <c r="P676" s="1063"/>
      <c r="Q676" s="1063"/>
      <c r="R676" s="1069"/>
      <c r="S676" s="1093"/>
      <c r="T676" s="1093"/>
      <c r="U676" s="1093"/>
      <c r="V676" s="1063"/>
      <c r="W676" s="1063"/>
      <c r="X676" s="1033"/>
      <c r="Y676" s="108" t="s">
        <v>1008</v>
      </c>
      <c r="Z676" s="109">
        <v>189808327</v>
      </c>
      <c r="AA676" s="109">
        <v>-94904163.5</v>
      </c>
      <c r="AB676" s="109">
        <f t="shared" si="48"/>
        <v>94904163.5</v>
      </c>
      <c r="AC676" s="97">
        <v>40788</v>
      </c>
      <c r="AD676" s="119">
        <v>94904163</v>
      </c>
      <c r="AE676" s="119" t="s">
        <v>7</v>
      </c>
      <c r="AF676" s="1044"/>
      <c r="AG676" s="1044"/>
      <c r="AH676" s="111">
        <f t="shared" si="46"/>
        <v>0.5</v>
      </c>
      <c r="AI676" s="1044"/>
      <c r="AJ676" s="1063"/>
      <c r="AK676" s="1063"/>
      <c r="AL676" s="1063"/>
      <c r="AM676" s="1063"/>
      <c r="AN676" s="1104"/>
      <c r="AO676" s="1104"/>
    </row>
    <row r="677" spans="1:43" ht="15" customHeight="1">
      <c r="A677" s="1031"/>
      <c r="B677" s="1069"/>
      <c r="C677" s="1033"/>
      <c r="D677" s="1033"/>
      <c r="E677" s="1098"/>
      <c r="F677" s="1098"/>
      <c r="G677" s="1033"/>
      <c r="H677" s="1033"/>
      <c r="I677" s="1033"/>
      <c r="J677" s="1033"/>
      <c r="K677" s="1033"/>
      <c r="L677" s="1033"/>
      <c r="M677" s="1221"/>
      <c r="N677" s="1066"/>
      <c r="O677" s="1063"/>
      <c r="P677" s="1063"/>
      <c r="Q677" s="1063"/>
      <c r="R677" s="1069"/>
      <c r="S677" s="1093"/>
      <c r="T677" s="1093"/>
      <c r="U677" s="1093"/>
      <c r="V677" s="1063"/>
      <c r="W677" s="1063"/>
      <c r="X677" s="1033"/>
      <c r="Y677" s="108" t="s">
        <v>1009</v>
      </c>
      <c r="Z677" s="109">
        <v>128018691</v>
      </c>
      <c r="AA677" s="109">
        <v>-64009345.5</v>
      </c>
      <c r="AB677" s="109">
        <f t="shared" si="48"/>
        <v>64009345.5</v>
      </c>
      <c r="AC677" s="97">
        <v>40864</v>
      </c>
      <c r="AD677" s="119">
        <v>64009345</v>
      </c>
      <c r="AE677" s="119" t="s">
        <v>7</v>
      </c>
      <c r="AF677" s="1044"/>
      <c r="AG677" s="1044"/>
      <c r="AH677" s="111">
        <f t="shared" si="46"/>
        <v>0.5</v>
      </c>
      <c r="AI677" s="1044"/>
      <c r="AJ677" s="1063"/>
      <c r="AK677" s="1063"/>
      <c r="AL677" s="1063"/>
      <c r="AM677" s="1063"/>
      <c r="AN677" s="1104"/>
      <c r="AO677" s="1104"/>
    </row>
    <row r="678" spans="1:43" ht="15" customHeight="1">
      <c r="A678" s="1031"/>
      <c r="B678" s="1069"/>
      <c r="C678" s="1033"/>
      <c r="D678" s="1033"/>
      <c r="E678" s="1098"/>
      <c r="F678" s="1098"/>
      <c r="G678" s="1033"/>
      <c r="H678" s="1033"/>
      <c r="I678" s="1033"/>
      <c r="J678" s="1012"/>
      <c r="K678" s="1033"/>
      <c r="L678" s="1033"/>
      <c r="M678" s="1222"/>
      <c r="N678" s="1067"/>
      <c r="O678" s="1064"/>
      <c r="P678" s="1064"/>
      <c r="Q678" s="1063"/>
      <c r="R678" s="1070"/>
      <c r="S678" s="1094"/>
      <c r="T678" s="1094"/>
      <c r="U678" s="1094"/>
      <c r="V678" s="1064"/>
      <c r="W678" s="1063"/>
      <c r="X678" s="1033"/>
      <c r="Y678" s="108" t="s">
        <v>1010</v>
      </c>
      <c r="Z678" s="109">
        <v>55938691</v>
      </c>
      <c r="AA678" s="109">
        <v>-27969346</v>
      </c>
      <c r="AB678" s="109">
        <f t="shared" si="48"/>
        <v>27969345</v>
      </c>
      <c r="AC678" s="97">
        <v>41149</v>
      </c>
      <c r="AD678" s="119">
        <v>27969345</v>
      </c>
      <c r="AE678" s="119" t="s">
        <v>7</v>
      </c>
      <c r="AF678" s="1045"/>
      <c r="AG678" s="1044"/>
      <c r="AH678" s="111">
        <f t="shared" si="46"/>
        <v>0</v>
      </c>
      <c r="AI678" s="1045"/>
      <c r="AJ678" s="1063"/>
      <c r="AK678" s="1064"/>
      <c r="AL678" s="1064"/>
      <c r="AM678" s="1064"/>
      <c r="AN678" s="1104"/>
      <c r="AO678" s="1104"/>
    </row>
    <row r="679" spans="1:43" ht="15" customHeight="1">
      <c r="A679" s="1031"/>
      <c r="B679" s="1069"/>
      <c r="C679" s="1033"/>
      <c r="D679" s="1033"/>
      <c r="E679" s="1098"/>
      <c r="F679" s="1098"/>
      <c r="G679" s="1033"/>
      <c r="H679" s="1033"/>
      <c r="I679" s="1033"/>
      <c r="J679" s="1011" t="s">
        <v>67</v>
      </c>
      <c r="K679" s="1033"/>
      <c r="L679" s="1033"/>
      <c r="M679" s="1220">
        <v>241</v>
      </c>
      <c r="N679" s="1065" t="s">
        <v>7</v>
      </c>
      <c r="O679" s="1062">
        <v>127275700</v>
      </c>
      <c r="P679" s="1062">
        <v>127275700</v>
      </c>
      <c r="Q679" s="1063"/>
      <c r="R679" s="1068">
        <v>41081</v>
      </c>
      <c r="S679" s="1092">
        <v>101504115</v>
      </c>
      <c r="T679" s="1092">
        <v>101504115</v>
      </c>
      <c r="U679" s="1092">
        <f>O679-T679</f>
        <v>25771585</v>
      </c>
      <c r="V679" s="1062">
        <v>127275700</v>
      </c>
      <c r="W679" s="1063"/>
      <c r="X679" s="1033"/>
      <c r="Y679" s="108" t="s">
        <v>1011</v>
      </c>
      <c r="Z679" s="109">
        <v>49586118</v>
      </c>
      <c r="AA679" s="109">
        <v>0</v>
      </c>
      <c r="AB679" s="109">
        <f>Z679-AA679</f>
        <v>49586118</v>
      </c>
      <c r="AC679" s="97">
        <v>41149</v>
      </c>
      <c r="AD679" s="119">
        <v>49586118</v>
      </c>
      <c r="AE679" s="119" t="s">
        <v>7</v>
      </c>
      <c r="AF679" s="1043">
        <f>SUM(AD679:AD680)</f>
        <v>101504115</v>
      </c>
      <c r="AG679" s="1044"/>
      <c r="AH679" s="111">
        <f t="shared" si="46"/>
        <v>0</v>
      </c>
      <c r="AI679" s="1043">
        <f>S679-SUM(AD679:AD680)</f>
        <v>0</v>
      </c>
      <c r="AJ679" s="1063"/>
      <c r="AK679" s="1062">
        <f>P679-V679</f>
        <v>0</v>
      </c>
      <c r="AL679" s="1062">
        <f>V679-SUM(Z679:Z680)</f>
        <v>25771585</v>
      </c>
      <c r="AM679" s="1062">
        <v>0</v>
      </c>
      <c r="AN679" s="1104"/>
      <c r="AO679" s="1104"/>
    </row>
    <row r="680" spans="1:43" ht="15" customHeight="1">
      <c r="A680" s="1032"/>
      <c r="B680" s="1070"/>
      <c r="C680" s="1012"/>
      <c r="D680" s="1012"/>
      <c r="E680" s="1099"/>
      <c r="F680" s="1099"/>
      <c r="G680" s="1012"/>
      <c r="H680" s="1012"/>
      <c r="I680" s="1012"/>
      <c r="J680" s="1012"/>
      <c r="K680" s="1012"/>
      <c r="L680" s="1012"/>
      <c r="M680" s="1222"/>
      <c r="N680" s="1067"/>
      <c r="O680" s="1064"/>
      <c r="P680" s="1064"/>
      <c r="Q680" s="1064"/>
      <c r="R680" s="1070"/>
      <c r="S680" s="1094"/>
      <c r="T680" s="1094"/>
      <c r="U680" s="1094"/>
      <c r="V680" s="1064"/>
      <c r="W680" s="1064"/>
      <c r="X680" s="1012"/>
      <c r="Y680" s="108" t="s">
        <v>1012</v>
      </c>
      <c r="Z680" s="109">
        <v>51917997</v>
      </c>
      <c r="AA680" s="109">
        <v>0</v>
      </c>
      <c r="AB680" s="109">
        <f>Z680-AA680</f>
        <v>51917997</v>
      </c>
      <c r="AC680" s="97">
        <v>41451</v>
      </c>
      <c r="AD680" s="119">
        <v>51917997</v>
      </c>
      <c r="AE680" s="119" t="s">
        <v>7</v>
      </c>
      <c r="AF680" s="1045"/>
      <c r="AG680" s="1045"/>
      <c r="AH680" s="111">
        <f t="shared" si="46"/>
        <v>0</v>
      </c>
      <c r="AI680" s="1045"/>
      <c r="AJ680" s="1064"/>
      <c r="AK680" s="1064"/>
      <c r="AL680" s="1064"/>
      <c r="AM680" s="1064"/>
      <c r="AN680" s="1105"/>
      <c r="AO680" s="1105"/>
    </row>
    <row r="681" spans="1:43" s="4" customFormat="1" ht="15" customHeight="1">
      <c r="A681" s="1075" t="s">
        <v>1083</v>
      </c>
      <c r="B681" s="1171">
        <v>40630</v>
      </c>
      <c r="C681" s="1076" t="s">
        <v>5</v>
      </c>
      <c r="D681" s="1076" t="s">
        <v>1084</v>
      </c>
      <c r="E681" s="1208">
        <v>10529407</v>
      </c>
      <c r="F681" s="1208"/>
      <c r="G681" s="1076" t="s">
        <v>1085</v>
      </c>
      <c r="H681" s="1076" t="s">
        <v>71</v>
      </c>
      <c r="I681" s="1076" t="s">
        <v>1086</v>
      </c>
      <c r="J681" s="1076" t="s">
        <v>66</v>
      </c>
      <c r="K681" s="1076" t="s">
        <v>48</v>
      </c>
      <c r="L681" s="1076" t="s">
        <v>1088</v>
      </c>
      <c r="M681" s="1245">
        <v>125</v>
      </c>
      <c r="N681" s="1065" t="s">
        <v>137</v>
      </c>
      <c r="O681" s="1062">
        <v>695806847</v>
      </c>
      <c r="P681" s="1224">
        <f>O681+O689</f>
        <v>1177691989</v>
      </c>
      <c r="Q681" s="1119">
        <f>P681+P697</f>
        <v>1233691989</v>
      </c>
      <c r="R681" s="1171">
        <v>40637</v>
      </c>
      <c r="S681" s="1119">
        <f>T681+T689</f>
        <v>1177691989</v>
      </c>
      <c r="T681" s="1119">
        <v>695806847</v>
      </c>
      <c r="U681" s="1119">
        <f>O681-T681</f>
        <v>0</v>
      </c>
      <c r="V681" s="1062">
        <v>695806847</v>
      </c>
      <c r="W681" s="1224">
        <v>1233519000</v>
      </c>
      <c r="X681" s="1076" t="s">
        <v>1087</v>
      </c>
      <c r="Y681" s="1123" t="s">
        <v>1089</v>
      </c>
      <c r="Z681" s="109">
        <v>0</v>
      </c>
      <c r="AA681" s="109">
        <f>V689*50%</f>
        <v>240942571</v>
      </c>
      <c r="AB681" s="109">
        <f t="shared" ref="AB681:AB697" si="49">Z681+AA681</f>
        <v>240942571</v>
      </c>
      <c r="AC681" s="740">
        <v>40659</v>
      </c>
      <c r="AD681" s="134">
        <v>347903423.33999997</v>
      </c>
      <c r="AE681" s="1065" t="s">
        <v>137</v>
      </c>
      <c r="AF681" s="1224">
        <f>SUM(AD681:AD696)</f>
        <v>1166255753</v>
      </c>
      <c r="AG681" s="1224">
        <f>+AF697+AF681</f>
        <v>1169788411.96</v>
      </c>
      <c r="AH681" s="134">
        <f t="shared" ref="AH681:AH698" si="50">AB681-AD681</f>
        <v>-106960852.33999997</v>
      </c>
      <c r="AI681" s="1224">
        <f>O681-AD681-AD682-AD683-AD684-AD694</f>
        <v>75793004.710000038</v>
      </c>
      <c r="AJ681" s="1119">
        <f>SUM(Z681:Z696)-SUM(AD681:AD696)</f>
        <v>2.0399999618530273</v>
      </c>
      <c r="AK681" s="1119">
        <f>O681-V681</f>
        <v>0</v>
      </c>
      <c r="AL681" s="1119">
        <f>SUM(V681:V696)-SUM(Z681:Z696)+AJ681</f>
        <v>11436236</v>
      </c>
      <c r="AM681" s="1119">
        <f>+P681-AF681</f>
        <v>11436236</v>
      </c>
      <c r="AN681" s="1203" t="s">
        <v>1096</v>
      </c>
      <c r="AO681" s="1074" t="s">
        <v>2891</v>
      </c>
      <c r="AP681" s="1074"/>
      <c r="AQ681" s="934"/>
    </row>
    <row r="682" spans="1:43" s="4" customFormat="1" ht="15" customHeight="1">
      <c r="A682" s="1075"/>
      <c r="B682" s="1171"/>
      <c r="C682" s="1076"/>
      <c r="D682" s="1076"/>
      <c r="E682" s="1208"/>
      <c r="F682" s="1208"/>
      <c r="G682" s="1076"/>
      <c r="H682" s="1076"/>
      <c r="I682" s="1076"/>
      <c r="J682" s="1076"/>
      <c r="K682" s="1076"/>
      <c r="L682" s="1076"/>
      <c r="M682" s="1245"/>
      <c r="N682" s="1066"/>
      <c r="O682" s="1063"/>
      <c r="P682" s="1224"/>
      <c r="Q682" s="1119"/>
      <c r="R682" s="1171"/>
      <c r="S682" s="1119"/>
      <c r="T682" s="1119"/>
      <c r="U682" s="1119"/>
      <c r="V682" s="1063"/>
      <c r="W682" s="1224"/>
      <c r="X682" s="1076"/>
      <c r="Y682" s="1123"/>
      <c r="Z682" s="109">
        <v>0</v>
      </c>
      <c r="AA682" s="109">
        <f>V681*50%</f>
        <v>347903423.5</v>
      </c>
      <c r="AB682" s="109">
        <f t="shared" si="49"/>
        <v>347903423.5</v>
      </c>
      <c r="AC682" s="740">
        <v>40767</v>
      </c>
      <c r="AD682" s="134">
        <v>108981552.89</v>
      </c>
      <c r="AE682" s="1066"/>
      <c r="AF682" s="1224"/>
      <c r="AG682" s="1224"/>
      <c r="AH682" s="134">
        <f t="shared" si="50"/>
        <v>238921870.61000001</v>
      </c>
      <c r="AI682" s="1224"/>
      <c r="AJ682" s="1119"/>
      <c r="AK682" s="1119"/>
      <c r="AL682" s="1119"/>
      <c r="AM682" s="1119"/>
      <c r="AN682" s="1203"/>
      <c r="AO682" s="1074"/>
      <c r="AP682" s="1074"/>
      <c r="AQ682" s="934"/>
    </row>
    <row r="683" spans="1:43" s="4" customFormat="1" ht="15" customHeight="1">
      <c r="A683" s="1075"/>
      <c r="B683" s="1171"/>
      <c r="C683" s="1076"/>
      <c r="D683" s="1076"/>
      <c r="E683" s="1208"/>
      <c r="F683" s="1208"/>
      <c r="G683" s="1076"/>
      <c r="H683" s="1076"/>
      <c r="I683" s="1076"/>
      <c r="J683" s="1076"/>
      <c r="K683" s="1076"/>
      <c r="L683" s="1076"/>
      <c r="M683" s="1245"/>
      <c r="N683" s="1066"/>
      <c r="O683" s="1063"/>
      <c r="P683" s="1224"/>
      <c r="Q683" s="1119"/>
      <c r="R683" s="1171"/>
      <c r="S683" s="1119"/>
      <c r="T683" s="1119"/>
      <c r="U683" s="1119"/>
      <c r="V683" s="1063"/>
      <c r="W683" s="1224"/>
      <c r="X683" s="1076"/>
      <c r="Y683" s="1123" t="s">
        <v>1091</v>
      </c>
      <c r="Z683" s="109">
        <v>150951638.78</v>
      </c>
      <c r="AA683" s="109">
        <v>-75475819.390000001</v>
      </c>
      <c r="AB683" s="109">
        <f t="shared" si="49"/>
        <v>75475819.390000001</v>
      </c>
      <c r="AC683" s="740">
        <v>40835</v>
      </c>
      <c r="AD683" s="134">
        <v>49843003</v>
      </c>
      <c r="AE683" s="1066"/>
      <c r="AF683" s="1224"/>
      <c r="AG683" s="1224"/>
      <c r="AH683" s="134">
        <f t="shared" si="50"/>
        <v>25632816.390000001</v>
      </c>
      <c r="AI683" s="1224"/>
      <c r="AJ683" s="1119"/>
      <c r="AK683" s="1119"/>
      <c r="AL683" s="1119"/>
      <c r="AM683" s="1119"/>
      <c r="AN683" s="1203"/>
      <c r="AO683" s="1074"/>
      <c r="AP683" s="1074"/>
      <c r="AQ683" s="934"/>
    </row>
    <row r="684" spans="1:43" s="4" customFormat="1" ht="15" customHeight="1">
      <c r="A684" s="1075"/>
      <c r="B684" s="1171"/>
      <c r="C684" s="1076"/>
      <c r="D684" s="1076"/>
      <c r="E684" s="1208"/>
      <c r="F684" s="1208"/>
      <c r="G684" s="1076"/>
      <c r="H684" s="1076"/>
      <c r="I684" s="1076"/>
      <c r="J684" s="1076"/>
      <c r="K684" s="1076"/>
      <c r="L684" s="1076"/>
      <c r="M684" s="1245"/>
      <c r="N684" s="1066"/>
      <c r="O684" s="1063"/>
      <c r="P684" s="1224"/>
      <c r="Q684" s="1119"/>
      <c r="R684" s="1171"/>
      <c r="S684" s="1119"/>
      <c r="T684" s="1119"/>
      <c r="U684" s="1119"/>
      <c r="V684" s="1063"/>
      <c r="W684" s="1224"/>
      <c r="X684" s="1076"/>
      <c r="Y684" s="1123"/>
      <c r="Z684" s="109">
        <v>217963109.22</v>
      </c>
      <c r="AA684" s="109">
        <v>-108981554.61</v>
      </c>
      <c r="AB684" s="109">
        <f t="shared" si="49"/>
        <v>108981554.61</v>
      </c>
      <c r="AC684" s="740">
        <v>40856</v>
      </c>
      <c r="AD684" s="134">
        <v>96104979</v>
      </c>
      <c r="AE684" s="1066"/>
      <c r="AF684" s="1224"/>
      <c r="AG684" s="1224"/>
      <c r="AH684" s="134">
        <f t="shared" si="50"/>
        <v>12876575.609999999</v>
      </c>
      <c r="AI684" s="1224"/>
      <c r="AJ684" s="1119"/>
      <c r="AK684" s="1119"/>
      <c r="AL684" s="1119"/>
      <c r="AM684" s="1119"/>
      <c r="AN684" s="1203"/>
      <c r="AO684" s="1074"/>
      <c r="AP684" s="1074"/>
      <c r="AQ684" s="934"/>
    </row>
    <row r="685" spans="1:43" s="4" customFormat="1" ht="15" customHeight="1">
      <c r="A685" s="1075"/>
      <c r="B685" s="1171"/>
      <c r="C685" s="1076"/>
      <c r="D685" s="1076"/>
      <c r="E685" s="1208"/>
      <c r="F685" s="1208"/>
      <c r="G685" s="1076"/>
      <c r="H685" s="1076"/>
      <c r="I685" s="1076"/>
      <c r="J685" s="1076"/>
      <c r="K685" s="1076"/>
      <c r="L685" s="1076"/>
      <c r="M685" s="1245"/>
      <c r="N685" s="1066"/>
      <c r="O685" s="1063"/>
      <c r="P685" s="1224"/>
      <c r="Q685" s="1119"/>
      <c r="R685" s="1171"/>
      <c r="S685" s="1119"/>
      <c r="T685" s="1119"/>
      <c r="U685" s="1119"/>
      <c r="V685" s="1063"/>
      <c r="W685" s="1224"/>
      <c r="X685" s="1076"/>
      <c r="Y685" s="1123" t="s">
        <v>1092</v>
      </c>
      <c r="Z685" s="109">
        <v>69273326</v>
      </c>
      <c r="AA685" s="109">
        <v>-34636663</v>
      </c>
      <c r="AB685" s="109">
        <f t="shared" si="49"/>
        <v>34636663</v>
      </c>
      <c r="AC685" s="740">
        <v>41628</v>
      </c>
      <c r="AD685" s="134">
        <v>44755955.469999999</v>
      </c>
      <c r="AE685" s="1066"/>
      <c r="AF685" s="1224"/>
      <c r="AG685" s="1224"/>
      <c r="AH685" s="134">
        <f t="shared" si="50"/>
        <v>-10119292.469999999</v>
      </c>
      <c r="AI685" s="1224"/>
      <c r="AJ685" s="1119"/>
      <c r="AK685" s="1119"/>
      <c r="AL685" s="1119"/>
      <c r="AM685" s="1119"/>
      <c r="AN685" s="1203"/>
      <c r="AO685" s="1074"/>
      <c r="AP685" s="1074"/>
      <c r="AQ685" s="934"/>
    </row>
    <row r="686" spans="1:43" s="4" customFormat="1" ht="15" customHeight="1">
      <c r="A686" s="1075"/>
      <c r="B686" s="1171"/>
      <c r="C686" s="1076"/>
      <c r="D686" s="1076"/>
      <c r="E686" s="1208"/>
      <c r="F686" s="1208"/>
      <c r="G686" s="1076"/>
      <c r="H686" s="1076"/>
      <c r="I686" s="1076"/>
      <c r="J686" s="1076"/>
      <c r="K686" s="1076"/>
      <c r="L686" s="1076"/>
      <c r="M686" s="1245"/>
      <c r="N686" s="1066"/>
      <c r="O686" s="1063"/>
      <c r="P686" s="1224"/>
      <c r="Q686" s="1119"/>
      <c r="R686" s="1171"/>
      <c r="S686" s="1119"/>
      <c r="T686" s="1119"/>
      <c r="U686" s="1119"/>
      <c r="V686" s="1063"/>
      <c r="W686" s="1224"/>
      <c r="X686" s="1076"/>
      <c r="Y686" s="1123"/>
      <c r="Z686" s="109">
        <v>99686006</v>
      </c>
      <c r="AA686" s="109">
        <v>-49843003</v>
      </c>
      <c r="AB686" s="109">
        <f t="shared" si="49"/>
        <v>49843003</v>
      </c>
      <c r="AC686" s="740">
        <v>42159</v>
      </c>
      <c r="AD686" s="134">
        <v>24807937.940000001</v>
      </c>
      <c r="AE686" s="1066"/>
      <c r="AF686" s="1224"/>
      <c r="AG686" s="1224"/>
      <c r="AH686" s="134">
        <f t="shared" si="50"/>
        <v>25035065.059999999</v>
      </c>
      <c r="AI686" s="1224"/>
      <c r="AJ686" s="1119"/>
      <c r="AK686" s="1119"/>
      <c r="AL686" s="1119"/>
      <c r="AM686" s="1119"/>
      <c r="AN686" s="1203"/>
      <c r="AO686" s="1074"/>
      <c r="AP686" s="1074"/>
      <c r="AQ686" s="934"/>
    </row>
    <row r="687" spans="1:43" s="4" customFormat="1" ht="15" customHeight="1">
      <c r="A687" s="1075"/>
      <c r="B687" s="1171"/>
      <c r="C687" s="1076"/>
      <c r="D687" s="1076"/>
      <c r="E687" s="1208"/>
      <c r="F687" s="1208"/>
      <c r="G687" s="1076"/>
      <c r="H687" s="1076"/>
      <c r="I687" s="1076"/>
      <c r="J687" s="1076"/>
      <c r="K687" s="1076"/>
      <c r="L687" s="1076"/>
      <c r="M687" s="1245"/>
      <c r="N687" s="1066"/>
      <c r="O687" s="1063"/>
      <c r="P687" s="1224"/>
      <c r="Q687" s="1119"/>
      <c r="R687" s="1171"/>
      <c r="S687" s="1119"/>
      <c r="T687" s="751"/>
      <c r="U687" s="751"/>
      <c r="V687" s="1063"/>
      <c r="W687" s="1224"/>
      <c r="X687" s="1076"/>
      <c r="Y687" s="751" t="s">
        <v>2724</v>
      </c>
      <c r="Z687" s="751">
        <v>39565784.670000002</v>
      </c>
      <c r="AA687" s="751">
        <v>-23409993.309999999</v>
      </c>
      <c r="AB687" s="751">
        <v>16155791.360000003</v>
      </c>
      <c r="AC687" s="740">
        <v>43209</v>
      </c>
      <c r="AD687" s="987">
        <f>+AB687</f>
        <v>16155791.360000003</v>
      </c>
      <c r="AE687" s="1066"/>
      <c r="AF687" s="1224"/>
      <c r="AG687" s="1224"/>
      <c r="AH687" s="765"/>
      <c r="AI687" s="765"/>
      <c r="AJ687" s="1119"/>
      <c r="AK687" s="751"/>
      <c r="AL687" s="1119"/>
      <c r="AM687" s="1119"/>
      <c r="AN687" s="1203"/>
      <c r="AO687" s="1074"/>
      <c r="AP687" s="1074"/>
      <c r="AQ687" s="934"/>
    </row>
    <row r="688" spans="1:43" s="4" customFormat="1" ht="15" customHeight="1">
      <c r="A688" s="1075"/>
      <c r="B688" s="1171"/>
      <c r="C688" s="1076"/>
      <c r="D688" s="1076"/>
      <c r="E688" s="1208"/>
      <c r="F688" s="1208"/>
      <c r="G688" s="1076"/>
      <c r="H688" s="1076"/>
      <c r="I688" s="1076"/>
      <c r="J688" s="1076"/>
      <c r="K688" s="1076"/>
      <c r="L688" s="1076"/>
      <c r="M688" s="1245"/>
      <c r="N688" s="1067"/>
      <c r="O688" s="1064"/>
      <c r="P688" s="1224"/>
      <c r="Q688" s="1119"/>
      <c r="R688" s="1171"/>
      <c r="S688" s="1119"/>
      <c r="T688" s="751"/>
      <c r="U688" s="751"/>
      <c r="V688" s="1064"/>
      <c r="W688" s="1224"/>
      <c r="X688" s="1076"/>
      <c r="Y688" s="973" t="s">
        <v>2890</v>
      </c>
      <c r="Z688" s="751"/>
      <c r="AA688" s="751"/>
      <c r="AB688" s="751"/>
      <c r="AC688" s="740"/>
      <c r="AD688" s="765"/>
      <c r="AE688" s="1067"/>
      <c r="AF688" s="1224"/>
      <c r="AG688" s="1224"/>
      <c r="AH688" s="765"/>
      <c r="AI688" s="765"/>
      <c r="AJ688" s="1119"/>
      <c r="AK688" s="751"/>
      <c r="AL688" s="1119"/>
      <c r="AM688" s="1119"/>
      <c r="AN688" s="1203"/>
      <c r="AO688" s="1074"/>
      <c r="AP688" s="1074"/>
      <c r="AQ688" s="934"/>
    </row>
    <row r="689" spans="1:43" s="4" customFormat="1" ht="15" customHeight="1">
      <c r="A689" s="1075"/>
      <c r="B689" s="1171"/>
      <c r="C689" s="1076"/>
      <c r="D689" s="1076"/>
      <c r="E689" s="1208"/>
      <c r="F689" s="1208"/>
      <c r="G689" s="1076"/>
      <c r="H689" s="1076"/>
      <c r="I689" s="1076"/>
      <c r="J689" s="1076"/>
      <c r="K689" s="1076"/>
      <c r="L689" s="1076"/>
      <c r="M689" s="1245"/>
      <c r="N689" s="1123" t="s">
        <v>7</v>
      </c>
      <c r="O689" s="1119">
        <v>481885142</v>
      </c>
      <c r="P689" s="1224"/>
      <c r="Q689" s="1119"/>
      <c r="R689" s="1171"/>
      <c r="S689" s="1119"/>
      <c r="T689" s="1295">
        <v>481885142</v>
      </c>
      <c r="U689" s="1295">
        <f>O689-T689</f>
        <v>0</v>
      </c>
      <c r="V689" s="1119">
        <v>481885142</v>
      </c>
      <c r="W689" s="1224"/>
      <c r="X689" s="1076"/>
      <c r="Y689" s="1123" t="s">
        <v>1093</v>
      </c>
      <c r="Z689" s="109">
        <v>133569632</v>
      </c>
      <c r="AA689" s="109">
        <v>-66784816</v>
      </c>
      <c r="AB689" s="109">
        <f t="shared" si="49"/>
        <v>66784816</v>
      </c>
      <c r="AC689" s="740">
        <v>40659</v>
      </c>
      <c r="AD689" s="134">
        <v>240942570.66</v>
      </c>
      <c r="AE689" s="1123" t="s">
        <v>7</v>
      </c>
      <c r="AF689" s="1224"/>
      <c r="AG689" s="1224"/>
      <c r="AH689" s="134">
        <f t="shared" si="50"/>
        <v>-174157754.66</v>
      </c>
      <c r="AI689" s="1119">
        <f>O689-AD685-AD686-AD689-AD690-AD691-AD692-AD693</f>
        <v>-36514621.670000017</v>
      </c>
      <c r="AJ689" s="1119"/>
      <c r="AK689" s="1119">
        <f>O689-V689</f>
        <v>0</v>
      </c>
      <c r="AL689" s="1119"/>
      <c r="AM689" s="1119"/>
      <c r="AN689" s="1203"/>
      <c r="AO689" s="1074"/>
      <c r="AP689" s="1074"/>
      <c r="AQ689" s="934"/>
    </row>
    <row r="690" spans="1:43" s="4" customFormat="1" ht="15" customHeight="1">
      <c r="A690" s="1075"/>
      <c r="B690" s="1171"/>
      <c r="C690" s="1076"/>
      <c r="D690" s="1076"/>
      <c r="E690" s="1208"/>
      <c r="F690" s="1208"/>
      <c r="G690" s="1076"/>
      <c r="H690" s="1076"/>
      <c r="I690" s="1076"/>
      <c r="J690" s="1076"/>
      <c r="K690" s="1076"/>
      <c r="L690" s="1076"/>
      <c r="M690" s="1245"/>
      <c r="N690" s="1123"/>
      <c r="O690" s="1119"/>
      <c r="P690" s="1224"/>
      <c r="Q690" s="1119"/>
      <c r="R690" s="1171"/>
      <c r="S690" s="1119"/>
      <c r="T690" s="1295"/>
      <c r="U690" s="1295"/>
      <c r="V690" s="1119"/>
      <c r="W690" s="1224"/>
      <c r="X690" s="1076"/>
      <c r="Y690" s="1123"/>
      <c r="Z690" s="109">
        <v>192209958</v>
      </c>
      <c r="AA690" s="109">
        <v>-96104979</v>
      </c>
      <c r="AB690" s="109">
        <f t="shared" si="49"/>
        <v>96104979</v>
      </c>
      <c r="AC690" s="740">
        <v>40767</v>
      </c>
      <c r="AD690" s="134">
        <v>75475819.109999999</v>
      </c>
      <c r="AE690" s="1123"/>
      <c r="AF690" s="1224"/>
      <c r="AG690" s="1224"/>
      <c r="AH690" s="134">
        <f t="shared" si="50"/>
        <v>20629159.890000001</v>
      </c>
      <c r="AI690" s="1119"/>
      <c r="AJ690" s="1119"/>
      <c r="AK690" s="1119"/>
      <c r="AL690" s="1119"/>
      <c r="AM690" s="1119"/>
      <c r="AN690" s="1203"/>
      <c r="AO690" s="1074"/>
      <c r="AP690" s="1074"/>
      <c r="AQ690" s="934"/>
    </row>
    <row r="691" spans="1:43" s="4" customFormat="1" ht="15" customHeight="1">
      <c r="A691" s="1075"/>
      <c r="B691" s="1171"/>
      <c r="C691" s="1076"/>
      <c r="D691" s="1076"/>
      <c r="E691" s="1208"/>
      <c r="F691" s="1208"/>
      <c r="G691" s="1076"/>
      <c r="H691" s="1076"/>
      <c r="I691" s="1076"/>
      <c r="J691" s="1076"/>
      <c r="K691" s="1076"/>
      <c r="L691" s="1076"/>
      <c r="M691" s="1245"/>
      <c r="N691" s="1123"/>
      <c r="O691" s="1119"/>
      <c r="P691" s="1224"/>
      <c r="Q691" s="1119"/>
      <c r="R691" s="1171"/>
      <c r="S691" s="1119"/>
      <c r="T691" s="1295"/>
      <c r="U691" s="1295"/>
      <c r="V691" s="1119"/>
      <c r="W691" s="1224"/>
      <c r="X691" s="1076"/>
      <c r="Y691" s="1123" t="s">
        <v>1094</v>
      </c>
      <c r="Z691" s="109">
        <v>61992003.039999999</v>
      </c>
      <c r="AA691" s="109">
        <v>-30996001.52</v>
      </c>
      <c r="AB691" s="109">
        <f t="shared" si="49"/>
        <v>30996001.52</v>
      </c>
      <c r="AC691" s="740">
        <v>40835</v>
      </c>
      <c r="AD691" s="134">
        <v>34636663</v>
      </c>
      <c r="AE691" s="1123"/>
      <c r="AF691" s="1224"/>
      <c r="AG691" s="1224"/>
      <c r="AH691" s="134">
        <f t="shared" si="50"/>
        <v>-3640661.4800000004</v>
      </c>
      <c r="AI691" s="1119"/>
      <c r="AJ691" s="1119"/>
      <c r="AK691" s="1119"/>
      <c r="AL691" s="1119"/>
      <c r="AM691" s="1119"/>
      <c r="AN691" s="1203"/>
      <c r="AO691" s="1074"/>
      <c r="AP691" s="1074"/>
      <c r="AQ691" s="934"/>
    </row>
    <row r="692" spans="1:43" s="4" customFormat="1" ht="15" customHeight="1">
      <c r="A692" s="1075"/>
      <c r="B692" s="1171"/>
      <c r="C692" s="1076"/>
      <c r="D692" s="1076"/>
      <c r="E692" s="1208"/>
      <c r="F692" s="1208"/>
      <c r="G692" s="1076"/>
      <c r="H692" s="1076"/>
      <c r="I692" s="1076"/>
      <c r="J692" s="1076"/>
      <c r="K692" s="1076"/>
      <c r="L692" s="1076"/>
      <c r="M692" s="1245"/>
      <c r="N692" s="1123"/>
      <c r="O692" s="1119"/>
      <c r="P692" s="1224"/>
      <c r="Q692" s="1119"/>
      <c r="R692" s="1171"/>
      <c r="S692" s="1119"/>
      <c r="T692" s="1295"/>
      <c r="U692" s="1295"/>
      <c r="V692" s="1119"/>
      <c r="W692" s="1224"/>
      <c r="X692" s="1076"/>
      <c r="Y692" s="1123"/>
      <c r="Z692" s="109">
        <v>89511910.959999993</v>
      </c>
      <c r="AA692" s="109">
        <v>-44755955.479999997</v>
      </c>
      <c r="AB692" s="109">
        <f t="shared" si="49"/>
        <v>44755955.479999997</v>
      </c>
      <c r="AC692" s="740">
        <v>40856</v>
      </c>
      <c r="AD692" s="134">
        <v>66784816</v>
      </c>
      <c r="AE692" s="1123"/>
      <c r="AF692" s="1224"/>
      <c r="AG692" s="1224"/>
      <c r="AH692" s="134">
        <f t="shared" si="50"/>
        <v>-22028860.520000003</v>
      </c>
      <c r="AI692" s="1119"/>
      <c r="AJ692" s="1119"/>
      <c r="AK692" s="1119"/>
      <c r="AL692" s="1119"/>
      <c r="AM692" s="1119"/>
      <c r="AN692" s="1203"/>
      <c r="AO692" s="1074"/>
      <c r="AP692" s="1074"/>
      <c r="AQ692" s="934"/>
    </row>
    <row r="693" spans="1:43" s="4" customFormat="1" ht="15" customHeight="1">
      <c r="A693" s="1075"/>
      <c r="B693" s="1171"/>
      <c r="C693" s="1076"/>
      <c r="D693" s="1076"/>
      <c r="E693" s="1208"/>
      <c r="F693" s="1208"/>
      <c r="G693" s="1076"/>
      <c r="H693" s="1076"/>
      <c r="I693" s="1076"/>
      <c r="J693" s="1076"/>
      <c r="K693" s="1076"/>
      <c r="L693" s="1076"/>
      <c r="M693" s="1245"/>
      <c r="N693" s="1123"/>
      <c r="O693" s="1119"/>
      <c r="P693" s="1224"/>
      <c r="Q693" s="1119"/>
      <c r="R693" s="1171"/>
      <c r="S693" s="1119"/>
      <c r="T693" s="1295"/>
      <c r="U693" s="1295"/>
      <c r="V693" s="1119"/>
      <c r="W693" s="1224"/>
      <c r="X693" s="1076"/>
      <c r="Y693" s="1123" t="s">
        <v>1095</v>
      </c>
      <c r="Z693" s="109">
        <v>34361768.119999997</v>
      </c>
      <c r="AA693" s="109">
        <v>-17180884.059999999</v>
      </c>
      <c r="AB693" s="109">
        <f t="shared" si="49"/>
        <v>17180884.059999999</v>
      </c>
      <c r="AC693" s="740">
        <v>41628</v>
      </c>
      <c r="AD693" s="134">
        <v>30996001.489999998</v>
      </c>
      <c r="AE693" s="1123"/>
      <c r="AF693" s="1224"/>
      <c r="AG693" s="1224"/>
      <c r="AH693" s="134">
        <f t="shared" si="50"/>
        <v>-13815117.43</v>
      </c>
      <c r="AI693" s="1119"/>
      <c r="AJ693" s="1119"/>
      <c r="AK693" s="1119"/>
      <c r="AL693" s="1119"/>
      <c r="AM693" s="1119"/>
      <c r="AN693" s="1203"/>
      <c r="AO693" s="1074"/>
      <c r="AP693" s="1074"/>
      <c r="AQ693" s="934"/>
    </row>
    <row r="694" spans="1:43" s="4" customFormat="1" ht="15" customHeight="1">
      <c r="A694" s="1075"/>
      <c r="B694" s="1171"/>
      <c r="C694" s="1076"/>
      <c r="D694" s="1076"/>
      <c r="E694" s="1208"/>
      <c r="F694" s="1208"/>
      <c r="G694" s="1076"/>
      <c r="H694" s="1076"/>
      <c r="I694" s="1076"/>
      <c r="J694" s="1076"/>
      <c r="K694" s="1076"/>
      <c r="L694" s="1076"/>
      <c r="M694" s="1245"/>
      <c r="N694" s="1123"/>
      <c r="O694" s="1119"/>
      <c r="P694" s="1224"/>
      <c r="Q694" s="1119"/>
      <c r="R694" s="1171"/>
      <c r="S694" s="1119"/>
      <c r="T694" s="1295"/>
      <c r="U694" s="1295"/>
      <c r="V694" s="1119"/>
      <c r="W694" s="1224"/>
      <c r="X694" s="1076"/>
      <c r="Y694" s="1123"/>
      <c r="Z694" s="109">
        <v>49615875.880000003</v>
      </c>
      <c r="AA694" s="109">
        <v>-24807937.940000001</v>
      </c>
      <c r="AB694" s="109">
        <f t="shared" si="49"/>
        <v>24807937.940000001</v>
      </c>
      <c r="AC694" s="740">
        <v>42159</v>
      </c>
      <c r="AD694" s="134">
        <v>17180884.059999999</v>
      </c>
      <c r="AE694" s="1123"/>
      <c r="AF694" s="1224"/>
      <c r="AG694" s="1224"/>
      <c r="AH694" s="134">
        <f t="shared" si="50"/>
        <v>7627053.8800000027</v>
      </c>
      <c r="AI694" s="1119"/>
      <c r="AJ694" s="1119"/>
      <c r="AK694" s="1119"/>
      <c r="AL694" s="1119"/>
      <c r="AM694" s="1119"/>
      <c r="AN694" s="1203"/>
      <c r="AO694" s="1074"/>
      <c r="AP694" s="1074"/>
      <c r="AQ694" s="934"/>
    </row>
    <row r="695" spans="1:43" s="4" customFormat="1" ht="15" customHeight="1">
      <c r="A695" s="1075"/>
      <c r="B695" s="1171"/>
      <c r="C695" s="1076"/>
      <c r="D695" s="1076"/>
      <c r="E695" s="1208"/>
      <c r="F695" s="1208"/>
      <c r="G695" s="1076"/>
      <c r="H695" s="1076"/>
      <c r="I695" s="1076"/>
      <c r="J695" s="1076"/>
      <c r="K695" s="1076"/>
      <c r="L695" s="1076"/>
      <c r="M695" s="1245"/>
      <c r="N695" s="1123"/>
      <c r="O695" s="1119"/>
      <c r="P695" s="1224"/>
      <c r="Q695" s="1119"/>
      <c r="R695" s="1171"/>
      <c r="S695" s="1119"/>
      <c r="T695" s="1295"/>
      <c r="U695" s="1295"/>
      <c r="V695" s="1119"/>
      <c r="W695" s="1224"/>
      <c r="X695" s="1076"/>
      <c r="Y695" s="751" t="s">
        <v>2724</v>
      </c>
      <c r="Z695" s="109">
        <v>27554742.370000001</v>
      </c>
      <c r="AA695" s="109">
        <v>-15868386.689999999</v>
      </c>
      <c r="AB695" s="109">
        <v>11686355.680000002</v>
      </c>
      <c r="AC695" s="740">
        <v>43209</v>
      </c>
      <c r="AD695" s="987">
        <f>+AB695</f>
        <v>11686355.680000002</v>
      </c>
      <c r="AE695" s="1123"/>
      <c r="AF695" s="1224"/>
      <c r="AG695" s="1224"/>
      <c r="AH695" s="134">
        <f t="shared" si="50"/>
        <v>0</v>
      </c>
      <c r="AI695" s="1119"/>
      <c r="AJ695" s="1119"/>
      <c r="AK695" s="1119"/>
      <c r="AL695" s="1119"/>
      <c r="AM695" s="1119"/>
      <c r="AN695" s="1203"/>
      <c r="AO695" s="1074"/>
      <c r="AP695" s="1074"/>
      <c r="AQ695" s="934"/>
    </row>
    <row r="696" spans="1:43" s="4" customFormat="1" ht="15" customHeight="1">
      <c r="A696" s="1075"/>
      <c r="B696" s="1171"/>
      <c r="C696" s="1076"/>
      <c r="D696" s="1076"/>
      <c r="E696" s="1208"/>
      <c r="F696" s="1208"/>
      <c r="G696" s="1076"/>
      <c r="H696" s="1076"/>
      <c r="I696" s="1076"/>
      <c r="J696" s="1076"/>
      <c r="K696" s="1076"/>
      <c r="L696" s="1076"/>
      <c r="M696" s="1245"/>
      <c r="N696" s="1123"/>
      <c r="O696" s="1119"/>
      <c r="P696" s="1224"/>
      <c r="Q696" s="1119"/>
      <c r="R696" s="1171"/>
      <c r="S696" s="1119"/>
      <c r="T696" s="1295"/>
      <c r="U696" s="1295"/>
      <c r="V696" s="1119"/>
      <c r="W696" s="1224"/>
      <c r="X696" s="1076"/>
      <c r="Y696" s="973" t="s">
        <v>2890</v>
      </c>
      <c r="Z696" s="109"/>
      <c r="AA696" s="109"/>
      <c r="AB696" s="109">
        <f t="shared" si="49"/>
        <v>0</v>
      </c>
      <c r="AC696" s="740"/>
      <c r="AD696" s="134"/>
      <c r="AE696" s="1123"/>
      <c r="AF696" s="1224"/>
      <c r="AG696" s="1224"/>
      <c r="AH696" s="134">
        <f t="shared" si="50"/>
        <v>0</v>
      </c>
      <c r="AI696" s="1119"/>
      <c r="AJ696" s="1119"/>
      <c r="AK696" s="1119"/>
      <c r="AL696" s="1119"/>
      <c r="AM696" s="1119"/>
      <c r="AN696" s="1203"/>
      <c r="AO696" s="1074"/>
      <c r="AP696" s="1074"/>
      <c r="AQ696" s="934"/>
    </row>
    <row r="697" spans="1:43" s="4" customFormat="1" ht="15" customHeight="1">
      <c r="A697" s="1075"/>
      <c r="B697" s="1171"/>
      <c r="C697" s="1076"/>
      <c r="D697" s="1076"/>
      <c r="E697" s="1208"/>
      <c r="F697" s="1208"/>
      <c r="G697" s="1076"/>
      <c r="H697" s="1076"/>
      <c r="I697" s="1076"/>
      <c r="J697" s="1076"/>
      <c r="K697" s="1076"/>
      <c r="L697" s="1076"/>
      <c r="M697" s="1245">
        <v>1</v>
      </c>
      <c r="N697" s="1123" t="s">
        <v>150</v>
      </c>
      <c r="O697" s="1119">
        <v>56000000</v>
      </c>
      <c r="P697" s="1119">
        <f>O697</f>
        <v>56000000</v>
      </c>
      <c r="Q697" s="1119"/>
      <c r="R697" s="1171">
        <v>40637</v>
      </c>
      <c r="S697" s="1295">
        <v>56000000</v>
      </c>
      <c r="T697" s="1295">
        <v>56000000</v>
      </c>
      <c r="U697" s="1295">
        <f>O697-T697</f>
        <v>0</v>
      </c>
      <c r="V697" s="1119">
        <v>55827011</v>
      </c>
      <c r="W697" s="1224"/>
      <c r="X697" s="1076"/>
      <c r="Y697" s="108" t="s">
        <v>1090</v>
      </c>
      <c r="Z697" s="109">
        <v>0</v>
      </c>
      <c r="AA697" s="109">
        <v>28000000</v>
      </c>
      <c r="AB697" s="109">
        <f t="shared" si="49"/>
        <v>28000000</v>
      </c>
      <c r="AC697" s="97"/>
      <c r="AD697" s="134"/>
      <c r="AE697" s="1123" t="s">
        <v>150</v>
      </c>
      <c r="AF697" s="1119">
        <f>SUM(AD697:AD698)</f>
        <v>3532658.96</v>
      </c>
      <c r="AG697" s="1224"/>
      <c r="AH697" s="134">
        <f t="shared" si="50"/>
        <v>28000000</v>
      </c>
      <c r="AI697" s="1119">
        <f>O697-SUM(AH697:AH698)</f>
        <v>28000000</v>
      </c>
      <c r="AJ697" s="1119">
        <f>SUM(Z697:Z698)-SUM(AD697:AD698)</f>
        <v>0</v>
      </c>
      <c r="AK697" s="1119">
        <f>O697-V697</f>
        <v>172989</v>
      </c>
      <c r="AL697" s="1119">
        <f>V697-SUM(Z697:Z698)</f>
        <v>52294352.039999999</v>
      </c>
      <c r="AM697" s="1119"/>
      <c r="AN697" s="1203"/>
      <c r="AO697" s="1074"/>
      <c r="AP697" s="1074"/>
      <c r="AQ697" s="934"/>
    </row>
    <row r="698" spans="1:43" ht="15" customHeight="1">
      <c r="A698" s="1075"/>
      <c r="B698" s="1171"/>
      <c r="C698" s="1076"/>
      <c r="D698" s="1076"/>
      <c r="E698" s="1208"/>
      <c r="F698" s="1208"/>
      <c r="G698" s="1076"/>
      <c r="H698" s="1076"/>
      <c r="I698" s="1076"/>
      <c r="J698" s="1076"/>
      <c r="K698" s="1076"/>
      <c r="L698" s="1076"/>
      <c r="M698" s="1245"/>
      <c r="N698" s="1123"/>
      <c r="O698" s="1119"/>
      <c r="P698" s="1119"/>
      <c r="Q698" s="1119"/>
      <c r="R698" s="1171"/>
      <c r="S698" s="1295"/>
      <c r="T698" s="1295"/>
      <c r="U698" s="1295"/>
      <c r="V698" s="1119"/>
      <c r="W698" s="1224"/>
      <c r="X698" s="1076"/>
      <c r="Y698" s="751" t="s">
        <v>2724</v>
      </c>
      <c r="Z698" s="109">
        <v>3532658.96</v>
      </c>
      <c r="AA698" s="109"/>
      <c r="AB698" s="109">
        <v>3532658.96</v>
      </c>
      <c r="AC698" s="97">
        <v>43209</v>
      </c>
      <c r="AD698" s="987">
        <f>+AB698</f>
        <v>3532658.96</v>
      </c>
      <c r="AE698" s="1123"/>
      <c r="AF698" s="1119"/>
      <c r="AG698" s="1224"/>
      <c r="AH698" s="134">
        <f t="shared" si="50"/>
        <v>0</v>
      </c>
      <c r="AI698" s="1119"/>
      <c r="AJ698" s="1119"/>
      <c r="AK698" s="1119"/>
      <c r="AL698" s="1119"/>
      <c r="AM698" s="1119"/>
      <c r="AN698" s="1203"/>
      <c r="AO698" s="1074"/>
      <c r="AP698" s="1074"/>
    </row>
    <row r="699" spans="1:43" ht="15" customHeight="1">
      <c r="A699" s="1015" t="s">
        <v>1056</v>
      </c>
      <c r="B699" s="1068">
        <v>40630</v>
      </c>
      <c r="C699" s="1011" t="s">
        <v>45</v>
      </c>
      <c r="D699" s="1011" t="s">
        <v>1057</v>
      </c>
      <c r="E699" s="1097">
        <v>900423055</v>
      </c>
      <c r="F699" s="1097">
        <v>5</v>
      </c>
      <c r="G699" s="1011" t="s">
        <v>1058</v>
      </c>
      <c r="H699" s="1011" t="s">
        <v>71</v>
      </c>
      <c r="I699" s="1011" t="s">
        <v>692</v>
      </c>
      <c r="J699" s="1011" t="s">
        <v>66</v>
      </c>
      <c r="K699" s="1011" t="s">
        <v>183</v>
      </c>
      <c r="L699" s="1011" t="s">
        <v>1065</v>
      </c>
      <c r="M699" s="1220">
        <v>129</v>
      </c>
      <c r="N699" s="1065" t="s">
        <v>7</v>
      </c>
      <c r="O699" s="1062">
        <v>443302491</v>
      </c>
      <c r="P699" s="1062">
        <v>443302491</v>
      </c>
      <c r="Q699" s="1062">
        <f>P699+P704</f>
        <v>660104402</v>
      </c>
      <c r="R699" s="1068">
        <v>40637</v>
      </c>
      <c r="S699" s="1092">
        <v>443238328</v>
      </c>
      <c r="T699" s="1092">
        <v>443238328</v>
      </c>
      <c r="U699" s="1092">
        <f>O699-T699</f>
        <v>64163</v>
      </c>
      <c r="V699" s="1062">
        <v>443238328</v>
      </c>
      <c r="W699" s="1062">
        <f>V699+V704</f>
        <v>660040239</v>
      </c>
      <c r="X699" s="1011" t="s">
        <v>1006</v>
      </c>
      <c r="Y699" s="108" t="s">
        <v>1059</v>
      </c>
      <c r="Z699" s="109">
        <v>0</v>
      </c>
      <c r="AA699" s="109">
        <v>221619164</v>
      </c>
      <c r="AB699" s="109">
        <f t="shared" ref="AB699:AB726" si="51">Z699+AA699</f>
        <v>221619164</v>
      </c>
      <c r="AC699" s="97">
        <v>40667</v>
      </c>
      <c r="AD699" s="119">
        <v>221619164</v>
      </c>
      <c r="AE699" s="119" t="s">
        <v>7</v>
      </c>
      <c r="AF699" s="1043">
        <f>SUM(AD699:AD703)</f>
        <v>443238328</v>
      </c>
      <c r="AG699" s="1043">
        <f>AF699+AF704</f>
        <v>659970837</v>
      </c>
      <c r="AH699" s="111">
        <f t="shared" si="46"/>
        <v>0</v>
      </c>
      <c r="AI699" s="1043">
        <f>S699-SUM(AD699:AD703)</f>
        <v>0</v>
      </c>
      <c r="AJ699" s="1062">
        <f>SUM(Z699:Z705)-SUM(AD699:AD705)</f>
        <v>-1</v>
      </c>
      <c r="AK699" s="1062">
        <f>S699-V699</f>
        <v>0</v>
      </c>
      <c r="AL699" s="1062">
        <f>V699-SUM(Z699:Z703)</f>
        <v>0</v>
      </c>
      <c r="AM699" s="1062">
        <f>AK699+AL699</f>
        <v>0</v>
      </c>
      <c r="AN699" s="1108" t="s">
        <v>1060</v>
      </c>
      <c r="AO699" s="1103" t="s">
        <v>1067</v>
      </c>
    </row>
    <row r="700" spans="1:43" ht="15" customHeight="1">
      <c r="A700" s="1050"/>
      <c r="B700" s="1069"/>
      <c r="C700" s="1033"/>
      <c r="D700" s="1033"/>
      <c r="E700" s="1098"/>
      <c r="F700" s="1098"/>
      <c r="G700" s="1033"/>
      <c r="H700" s="1033"/>
      <c r="I700" s="1033"/>
      <c r="J700" s="1033"/>
      <c r="K700" s="1033"/>
      <c r="L700" s="1033"/>
      <c r="M700" s="1221"/>
      <c r="N700" s="1066"/>
      <c r="O700" s="1063"/>
      <c r="P700" s="1063"/>
      <c r="Q700" s="1063"/>
      <c r="R700" s="1069"/>
      <c r="S700" s="1093"/>
      <c r="T700" s="1093"/>
      <c r="U700" s="1093"/>
      <c r="V700" s="1063"/>
      <c r="W700" s="1063"/>
      <c r="X700" s="1033"/>
      <c r="Y700" s="108" t="s">
        <v>1062</v>
      </c>
      <c r="Z700" s="109">
        <v>156294980</v>
      </c>
      <c r="AA700" s="109">
        <v>-77669524</v>
      </c>
      <c r="AB700" s="109">
        <f t="shared" si="51"/>
        <v>78625456</v>
      </c>
      <c r="AC700" s="97">
        <v>40807</v>
      </c>
      <c r="AD700" s="119">
        <v>78625457</v>
      </c>
      <c r="AE700" s="119" t="s">
        <v>7</v>
      </c>
      <c r="AF700" s="1044"/>
      <c r="AG700" s="1044"/>
      <c r="AH700" s="111">
        <f t="shared" si="46"/>
        <v>-1</v>
      </c>
      <c r="AI700" s="1044"/>
      <c r="AJ700" s="1063"/>
      <c r="AK700" s="1063"/>
      <c r="AL700" s="1063"/>
      <c r="AM700" s="1063"/>
      <c r="AN700" s="1109"/>
      <c r="AO700" s="1104"/>
    </row>
    <row r="701" spans="1:43" ht="15" customHeight="1">
      <c r="A701" s="1050"/>
      <c r="B701" s="1069"/>
      <c r="C701" s="1033"/>
      <c r="D701" s="1033"/>
      <c r="E701" s="1098"/>
      <c r="F701" s="1098"/>
      <c r="G701" s="1033"/>
      <c r="H701" s="1033"/>
      <c r="I701" s="1033"/>
      <c r="J701" s="1033"/>
      <c r="K701" s="1033"/>
      <c r="L701" s="1033"/>
      <c r="M701" s="1221"/>
      <c r="N701" s="1066"/>
      <c r="O701" s="1063"/>
      <c r="P701" s="1063"/>
      <c r="Q701" s="1063"/>
      <c r="R701" s="1069"/>
      <c r="S701" s="1093"/>
      <c r="T701" s="1093"/>
      <c r="U701" s="1093"/>
      <c r="V701" s="1063"/>
      <c r="W701" s="1063"/>
      <c r="X701" s="1033"/>
      <c r="Y701" s="108" t="s">
        <v>1063</v>
      </c>
      <c r="Z701" s="109">
        <v>205895475</v>
      </c>
      <c r="AA701" s="109">
        <v>-102318088</v>
      </c>
      <c r="AB701" s="109">
        <f t="shared" si="51"/>
        <v>103577387</v>
      </c>
      <c r="AC701" s="97">
        <v>40871</v>
      </c>
      <c r="AD701" s="119">
        <v>103577387</v>
      </c>
      <c r="AE701" s="119" t="s">
        <v>7</v>
      </c>
      <c r="AF701" s="1044"/>
      <c r="AG701" s="1044"/>
      <c r="AH701" s="111">
        <f t="shared" si="46"/>
        <v>0</v>
      </c>
      <c r="AI701" s="1044"/>
      <c r="AJ701" s="1063"/>
      <c r="AK701" s="1063"/>
      <c r="AL701" s="1063"/>
      <c r="AM701" s="1063"/>
      <c r="AN701" s="1109"/>
      <c r="AO701" s="1104"/>
    </row>
    <row r="702" spans="1:43" ht="15" customHeight="1">
      <c r="A702" s="1050"/>
      <c r="B702" s="1069"/>
      <c r="C702" s="1033"/>
      <c r="D702" s="1033"/>
      <c r="E702" s="1098"/>
      <c r="F702" s="1098"/>
      <c r="G702" s="1033"/>
      <c r="H702" s="1033"/>
      <c r="I702" s="1033"/>
      <c r="J702" s="1033"/>
      <c r="K702" s="1033"/>
      <c r="L702" s="1033"/>
      <c r="M702" s="1221"/>
      <c r="N702" s="1066"/>
      <c r="O702" s="1063"/>
      <c r="P702" s="1063"/>
      <c r="Q702" s="1063"/>
      <c r="R702" s="1069"/>
      <c r="S702" s="1093"/>
      <c r="T702" s="1093"/>
      <c r="U702" s="1093"/>
      <c r="V702" s="1063"/>
      <c r="W702" s="1063"/>
      <c r="X702" s="1033"/>
      <c r="Y702" s="108" t="s">
        <v>1064</v>
      </c>
      <c r="Z702" s="109">
        <v>69463669</v>
      </c>
      <c r="AA702" s="109">
        <v>-34519407</v>
      </c>
      <c r="AB702" s="109">
        <f t="shared" si="51"/>
        <v>34944262</v>
      </c>
      <c r="AC702" s="97">
        <v>41169</v>
      </c>
      <c r="AD702" s="119">
        <v>34944262</v>
      </c>
      <c r="AE702" s="119" t="s">
        <v>7</v>
      </c>
      <c r="AF702" s="1044"/>
      <c r="AG702" s="1044"/>
      <c r="AH702" s="111">
        <f t="shared" si="46"/>
        <v>0</v>
      </c>
      <c r="AI702" s="1044"/>
      <c r="AJ702" s="1063"/>
      <c r="AK702" s="1063"/>
      <c r="AL702" s="1063"/>
      <c r="AM702" s="1063"/>
      <c r="AN702" s="1109"/>
      <c r="AO702" s="1104"/>
    </row>
    <row r="703" spans="1:43" ht="15" customHeight="1">
      <c r="A703" s="1050"/>
      <c r="B703" s="1069"/>
      <c r="C703" s="1033"/>
      <c r="D703" s="1033"/>
      <c r="E703" s="1098"/>
      <c r="F703" s="1098"/>
      <c r="G703" s="1033"/>
      <c r="H703" s="1033"/>
      <c r="I703" s="1033"/>
      <c r="J703" s="1012"/>
      <c r="K703" s="1033"/>
      <c r="L703" s="1033"/>
      <c r="M703" s="1222"/>
      <c r="N703" s="1067"/>
      <c r="O703" s="1064"/>
      <c r="P703" s="1064"/>
      <c r="Q703" s="1063"/>
      <c r="R703" s="1070"/>
      <c r="S703" s="1094"/>
      <c r="T703" s="1094"/>
      <c r="U703" s="1094"/>
      <c r="V703" s="1064"/>
      <c r="W703" s="1063"/>
      <c r="X703" s="1033"/>
      <c r="Y703" s="108" t="s">
        <v>1066</v>
      </c>
      <c r="Z703" s="109">
        <v>11584204</v>
      </c>
      <c r="AA703" s="109">
        <v>-7112145</v>
      </c>
      <c r="AB703" s="109">
        <f t="shared" si="51"/>
        <v>4472059</v>
      </c>
      <c r="AC703" s="97">
        <v>41212</v>
      </c>
      <c r="AD703" s="119">
        <v>4472058</v>
      </c>
      <c r="AE703" s="119" t="s">
        <v>7</v>
      </c>
      <c r="AF703" s="1045"/>
      <c r="AG703" s="1044"/>
      <c r="AH703" s="111">
        <f t="shared" si="46"/>
        <v>1</v>
      </c>
      <c r="AI703" s="1045"/>
      <c r="AJ703" s="1063"/>
      <c r="AK703" s="1064"/>
      <c r="AL703" s="1064"/>
      <c r="AM703" s="1064"/>
      <c r="AN703" s="1109"/>
      <c r="AO703" s="1104"/>
    </row>
    <row r="704" spans="1:43" ht="15" customHeight="1">
      <c r="A704" s="1050"/>
      <c r="B704" s="1069"/>
      <c r="C704" s="1033"/>
      <c r="D704" s="1033"/>
      <c r="E704" s="1098"/>
      <c r="F704" s="1098"/>
      <c r="G704" s="1033"/>
      <c r="H704" s="1033"/>
      <c r="I704" s="1033"/>
      <c r="J704" s="1076" t="s">
        <v>67</v>
      </c>
      <c r="K704" s="1033"/>
      <c r="L704" s="1033"/>
      <c r="M704" s="1220">
        <v>243</v>
      </c>
      <c r="N704" s="1065" t="s">
        <v>7</v>
      </c>
      <c r="O704" s="1062">
        <v>216801911</v>
      </c>
      <c r="P704" s="1062">
        <v>216801911</v>
      </c>
      <c r="Q704" s="1063"/>
      <c r="R704" s="1068">
        <v>41081</v>
      </c>
      <c r="S704" s="1092">
        <v>216801911</v>
      </c>
      <c r="T704" s="1062">
        <v>216801911</v>
      </c>
      <c r="U704" s="1062">
        <f>O704-T704</f>
        <v>0</v>
      </c>
      <c r="V704" s="1062">
        <v>216801911</v>
      </c>
      <c r="W704" s="1063"/>
      <c r="X704" s="1033"/>
      <c r="Y704" s="108" t="s">
        <v>1066</v>
      </c>
      <c r="Z704" s="109">
        <v>121947440</v>
      </c>
      <c r="AA704" s="109">
        <v>0</v>
      </c>
      <c r="AB704" s="109">
        <f t="shared" si="51"/>
        <v>121947440</v>
      </c>
      <c r="AC704" s="97">
        <v>41211</v>
      </c>
      <c r="AD704" s="119">
        <v>121947441</v>
      </c>
      <c r="AE704" s="119" t="s">
        <v>7</v>
      </c>
      <c r="AF704" s="1043">
        <f>SUM(AD704:AD705)</f>
        <v>216732509</v>
      </c>
      <c r="AG704" s="1044"/>
      <c r="AH704" s="111">
        <f t="shared" si="46"/>
        <v>-1</v>
      </c>
      <c r="AI704" s="1043">
        <f>O704-SUM(AD704:AD705)</f>
        <v>69402</v>
      </c>
      <c r="AJ704" s="1063"/>
      <c r="AK704" s="1062">
        <f>P704-V704</f>
        <v>0</v>
      </c>
      <c r="AL704" s="1062">
        <f>V704-SUM(Z704:Z705)+AJ699</f>
        <v>69402</v>
      </c>
      <c r="AM704" s="1062">
        <f>AK704+AL704</f>
        <v>69402</v>
      </c>
      <c r="AN704" s="1109"/>
      <c r="AO704" s="1104"/>
    </row>
    <row r="705" spans="1:41" ht="15" customHeight="1">
      <c r="A705" s="1050"/>
      <c r="B705" s="1069"/>
      <c r="C705" s="1033"/>
      <c r="D705" s="1033"/>
      <c r="E705" s="1098"/>
      <c r="F705" s="1098"/>
      <c r="G705" s="1033"/>
      <c r="H705" s="1033"/>
      <c r="I705" s="1033"/>
      <c r="J705" s="1076"/>
      <c r="K705" s="1033"/>
      <c r="L705" s="1033"/>
      <c r="M705" s="1221"/>
      <c r="N705" s="1066"/>
      <c r="O705" s="1063"/>
      <c r="P705" s="1063"/>
      <c r="Q705" s="1063"/>
      <c r="R705" s="1069"/>
      <c r="S705" s="1093"/>
      <c r="T705" s="1063"/>
      <c r="U705" s="1063"/>
      <c r="V705" s="1063"/>
      <c r="W705" s="1063"/>
      <c r="X705" s="1033"/>
      <c r="Y705" s="108" t="s">
        <v>1061</v>
      </c>
      <c r="Z705" s="109">
        <v>94785068</v>
      </c>
      <c r="AA705" s="109">
        <v>0</v>
      </c>
      <c r="AB705" s="109">
        <f t="shared" si="51"/>
        <v>94785068</v>
      </c>
      <c r="AC705" s="97">
        <v>41568</v>
      </c>
      <c r="AD705" s="119">
        <v>94785068</v>
      </c>
      <c r="AE705" s="119" t="s">
        <v>7</v>
      </c>
      <c r="AF705" s="1044"/>
      <c r="AG705" s="1044"/>
      <c r="AH705" s="111">
        <f t="shared" si="46"/>
        <v>0</v>
      </c>
      <c r="AI705" s="1044"/>
      <c r="AJ705" s="1063"/>
      <c r="AK705" s="1063"/>
      <c r="AL705" s="1063"/>
      <c r="AM705" s="1063"/>
      <c r="AN705" s="1109"/>
      <c r="AO705" s="1104"/>
    </row>
    <row r="706" spans="1:41" ht="15" customHeight="1">
      <c r="A706" s="1030" t="s">
        <v>2130</v>
      </c>
      <c r="B706" s="1068">
        <v>40644</v>
      </c>
      <c r="C706" s="1011" t="s">
        <v>5</v>
      </c>
      <c r="D706" s="1011" t="s">
        <v>2129</v>
      </c>
      <c r="E706" s="1071">
        <v>94527133</v>
      </c>
      <c r="F706" s="1071"/>
      <c r="G706" s="1011" t="s">
        <v>2128</v>
      </c>
      <c r="H706" s="1011" t="s">
        <v>70</v>
      </c>
      <c r="I706" s="1011" t="s">
        <v>206</v>
      </c>
      <c r="J706" s="1011" t="s">
        <v>66</v>
      </c>
      <c r="K706" s="1011" t="s">
        <v>48</v>
      </c>
      <c r="L706" s="1011" t="s">
        <v>2127</v>
      </c>
      <c r="M706" s="1009">
        <v>126</v>
      </c>
      <c r="N706" s="1065" t="s">
        <v>137</v>
      </c>
      <c r="O706" s="1062">
        <v>77596069</v>
      </c>
      <c r="P706" s="1062">
        <v>77596069</v>
      </c>
      <c r="Q706" s="1062">
        <v>77596069</v>
      </c>
      <c r="R706" s="1068">
        <v>40637</v>
      </c>
      <c r="S706" s="1092">
        <f>T706</f>
        <v>77596069</v>
      </c>
      <c r="T706" s="1092">
        <v>77596069</v>
      </c>
      <c r="U706" s="1092">
        <f>P706-T706</f>
        <v>0</v>
      </c>
      <c r="V706" s="1043">
        <v>77500000</v>
      </c>
      <c r="W706" s="1043">
        <v>77500000</v>
      </c>
      <c r="X706" s="1011" t="s">
        <v>2126</v>
      </c>
      <c r="Y706" s="108" t="s">
        <v>2125</v>
      </c>
      <c r="Z706" s="109">
        <v>0</v>
      </c>
      <c r="AA706" s="109">
        <v>31000000</v>
      </c>
      <c r="AB706" s="109">
        <f>Z706+AA706</f>
        <v>31000000</v>
      </c>
      <c r="AC706" s="97">
        <v>40666</v>
      </c>
      <c r="AD706" s="119">
        <v>31000000</v>
      </c>
      <c r="AE706" s="98" t="s">
        <v>137</v>
      </c>
      <c r="AF706" s="1043">
        <f>SUM(AD706:AD709)</f>
        <v>72850000</v>
      </c>
      <c r="AG706" s="1043">
        <f>AF706</f>
        <v>72850000</v>
      </c>
      <c r="AH706" s="111">
        <f>AB706-AD706</f>
        <v>0</v>
      </c>
      <c r="AI706" s="1043">
        <f>P706-AF706</f>
        <v>4746069</v>
      </c>
      <c r="AJ706" s="1062">
        <f>SUM(Z706:Z709)-SUM(AD706:AD709)</f>
        <v>-3100000</v>
      </c>
      <c r="AK706" s="1062">
        <f>P706-V706</f>
        <v>96069</v>
      </c>
      <c r="AL706" s="1062">
        <f>V706-SUM(Z706:Z709)+AJ706</f>
        <v>4650000</v>
      </c>
      <c r="AM706" s="1062"/>
      <c r="AN706" s="1108" t="s">
        <v>2124</v>
      </c>
      <c r="AO706" s="1103" t="s">
        <v>2123</v>
      </c>
    </row>
    <row r="707" spans="1:41" ht="15" customHeight="1">
      <c r="A707" s="1031"/>
      <c r="B707" s="1069"/>
      <c r="C707" s="1033"/>
      <c r="D707" s="1033"/>
      <c r="E707" s="1072"/>
      <c r="F707" s="1072"/>
      <c r="G707" s="1033"/>
      <c r="H707" s="1033"/>
      <c r="I707" s="1033"/>
      <c r="J707" s="1033"/>
      <c r="K707" s="1033"/>
      <c r="L707" s="1033"/>
      <c r="M707" s="1039"/>
      <c r="N707" s="1066"/>
      <c r="O707" s="1063"/>
      <c r="P707" s="1063"/>
      <c r="Q707" s="1063"/>
      <c r="R707" s="1069"/>
      <c r="S707" s="1093"/>
      <c r="T707" s="1093"/>
      <c r="U707" s="1093"/>
      <c r="V707" s="1044"/>
      <c r="W707" s="1044"/>
      <c r="X707" s="1033"/>
      <c r="Y707" s="108" t="s">
        <v>2122</v>
      </c>
      <c r="Z707" s="109">
        <v>38750000</v>
      </c>
      <c r="AA707" s="109">
        <v>-15500000</v>
      </c>
      <c r="AB707" s="109">
        <f>Z707+AA707</f>
        <v>23250000</v>
      </c>
      <c r="AC707" s="97">
        <v>40809</v>
      </c>
      <c r="AD707" s="119">
        <v>23250000</v>
      </c>
      <c r="AE707" s="98" t="s">
        <v>137</v>
      </c>
      <c r="AF707" s="1044"/>
      <c r="AG707" s="1044"/>
      <c r="AH707" s="111">
        <f>AB707-AD707</f>
        <v>0</v>
      </c>
      <c r="AI707" s="1044"/>
      <c r="AJ707" s="1063"/>
      <c r="AK707" s="1063"/>
      <c r="AL707" s="1063"/>
      <c r="AM707" s="1063"/>
      <c r="AN707" s="1109"/>
      <c r="AO707" s="1104"/>
    </row>
    <row r="708" spans="1:41" ht="15" customHeight="1">
      <c r="A708" s="1031"/>
      <c r="B708" s="1069"/>
      <c r="C708" s="1033"/>
      <c r="D708" s="1033"/>
      <c r="E708" s="1072"/>
      <c r="F708" s="1072"/>
      <c r="G708" s="1033"/>
      <c r="H708" s="1033"/>
      <c r="I708" s="1033"/>
      <c r="J708" s="1033"/>
      <c r="K708" s="1033"/>
      <c r="L708" s="1033"/>
      <c r="M708" s="1039"/>
      <c r="N708" s="1066"/>
      <c r="O708" s="1063"/>
      <c r="P708" s="1063"/>
      <c r="Q708" s="1063"/>
      <c r="R708" s="1069"/>
      <c r="S708" s="1093"/>
      <c r="T708" s="1093"/>
      <c r="U708" s="1093"/>
      <c r="V708" s="1044"/>
      <c r="W708" s="1044"/>
      <c r="X708" s="1033"/>
      <c r="Y708" s="108" t="s">
        <v>2121</v>
      </c>
      <c r="Z708" s="109">
        <v>31000000</v>
      </c>
      <c r="AA708" s="109">
        <v>-12400000</v>
      </c>
      <c r="AB708" s="109">
        <f>Z708+AA708</f>
        <v>18600000</v>
      </c>
      <c r="AC708" s="97">
        <v>43013</v>
      </c>
      <c r="AD708" s="119">
        <v>18600000</v>
      </c>
      <c r="AE708" s="98" t="s">
        <v>137</v>
      </c>
      <c r="AF708" s="1044"/>
      <c r="AG708" s="1044"/>
      <c r="AH708" s="111">
        <f>AB708-AD708</f>
        <v>0</v>
      </c>
      <c r="AI708" s="1044"/>
      <c r="AJ708" s="1063"/>
      <c r="AK708" s="1063"/>
      <c r="AL708" s="1063"/>
      <c r="AM708" s="1063"/>
      <c r="AN708" s="1109"/>
      <c r="AO708" s="1104"/>
    </row>
    <row r="709" spans="1:41" ht="15" customHeight="1">
      <c r="A709" s="1032"/>
      <c r="B709" s="1070"/>
      <c r="C709" s="1012"/>
      <c r="D709" s="1012"/>
      <c r="E709" s="1073"/>
      <c r="F709" s="1073"/>
      <c r="G709" s="1012"/>
      <c r="H709" s="1012"/>
      <c r="I709" s="1012"/>
      <c r="J709" s="1012"/>
      <c r="K709" s="1012"/>
      <c r="L709" s="1012"/>
      <c r="M709" s="1010"/>
      <c r="N709" s="1067"/>
      <c r="O709" s="1064"/>
      <c r="P709" s="1064"/>
      <c r="Q709" s="1064"/>
      <c r="R709" s="1070"/>
      <c r="S709" s="1094"/>
      <c r="T709" s="1094"/>
      <c r="U709" s="1094"/>
      <c r="V709" s="1045"/>
      <c r="W709" s="1045"/>
      <c r="X709" s="1012"/>
      <c r="Y709" s="108"/>
      <c r="Z709" s="109"/>
      <c r="AA709" s="109"/>
      <c r="AB709" s="109">
        <f>Z709+AA709</f>
        <v>0</v>
      </c>
      <c r="AC709" s="97"/>
      <c r="AD709" s="119"/>
      <c r="AE709" s="98"/>
      <c r="AF709" s="1045"/>
      <c r="AG709" s="1045"/>
      <c r="AH709" s="111">
        <f>AB709-AD709</f>
        <v>0</v>
      </c>
      <c r="AI709" s="1045"/>
      <c r="AJ709" s="1064"/>
      <c r="AK709" s="1064"/>
      <c r="AL709" s="1064"/>
      <c r="AM709" s="1064"/>
      <c r="AN709" s="1110"/>
      <c r="AO709" s="1105"/>
    </row>
    <row r="710" spans="1:41" ht="15" customHeight="1">
      <c r="A710" s="1015" t="s">
        <v>1024</v>
      </c>
      <c r="B710" s="1068">
        <v>40638</v>
      </c>
      <c r="C710" s="1011" t="s">
        <v>41</v>
      </c>
      <c r="D710" s="1011" t="s">
        <v>671</v>
      </c>
      <c r="E710" s="1097">
        <v>10523123</v>
      </c>
      <c r="F710" s="1097"/>
      <c r="G710" s="1011" t="s">
        <v>2858</v>
      </c>
      <c r="H710" s="1011" t="s">
        <v>70</v>
      </c>
      <c r="I710" s="1011" t="s">
        <v>177</v>
      </c>
      <c r="J710" s="1011" t="s">
        <v>66</v>
      </c>
      <c r="K710" s="1011" t="s">
        <v>250</v>
      </c>
      <c r="L710" s="1011" t="s">
        <v>1030</v>
      </c>
      <c r="M710" s="1220">
        <v>136</v>
      </c>
      <c r="N710" s="1065" t="s">
        <v>7</v>
      </c>
      <c r="O710" s="1062">
        <v>13429826</v>
      </c>
      <c r="P710" s="1062">
        <v>13429826</v>
      </c>
      <c r="Q710" s="1062">
        <v>13429826</v>
      </c>
      <c r="R710" s="1068">
        <v>40637</v>
      </c>
      <c r="S710" s="1092">
        <v>13429826</v>
      </c>
      <c r="T710" s="1092">
        <v>13429826</v>
      </c>
      <c r="U710" s="1062">
        <f>O710-T710</f>
        <v>0</v>
      </c>
      <c r="V710" s="1062">
        <v>13305000</v>
      </c>
      <c r="W710" s="1062">
        <v>13305000</v>
      </c>
      <c r="X710" s="1011" t="s">
        <v>1026</v>
      </c>
      <c r="Y710" s="108" t="s">
        <v>1027</v>
      </c>
      <c r="Z710" s="109">
        <v>0</v>
      </c>
      <c r="AA710" s="109">
        <v>5322000</v>
      </c>
      <c r="AB710" s="109">
        <f t="shared" si="51"/>
        <v>5322000</v>
      </c>
      <c r="AC710" s="97">
        <v>40672</v>
      </c>
      <c r="AD710" s="119">
        <v>5322000</v>
      </c>
      <c r="AE710" s="119" t="s">
        <v>7</v>
      </c>
      <c r="AF710" s="1043">
        <f>SUM(AD710:AD711)</f>
        <v>11841450</v>
      </c>
      <c r="AG710" s="1043">
        <f>AF710</f>
        <v>11841450</v>
      </c>
      <c r="AH710" s="111">
        <f t="shared" si="46"/>
        <v>0</v>
      </c>
      <c r="AI710" s="1043">
        <f>O710-SUM(AD710:AD711)</f>
        <v>1588376</v>
      </c>
      <c r="AJ710" s="1062">
        <f>SUM(Z710:Z711)-SUM(AD710:AD711)</f>
        <v>0</v>
      </c>
      <c r="AK710" s="1062">
        <f>P710-V710</f>
        <v>124826</v>
      </c>
      <c r="AL710" s="1062">
        <f>V710-SUM(Z710:Z711)</f>
        <v>1463550</v>
      </c>
      <c r="AM710" s="1062">
        <f>AK710+AL710</f>
        <v>1588376</v>
      </c>
      <c r="AN710" s="1103" t="s">
        <v>1028</v>
      </c>
      <c r="AO710" s="1103" t="s">
        <v>1031</v>
      </c>
    </row>
    <row r="711" spans="1:41" ht="15" customHeight="1">
      <c r="A711" s="1050"/>
      <c r="B711" s="1069"/>
      <c r="C711" s="1033"/>
      <c r="D711" s="1033"/>
      <c r="E711" s="1098"/>
      <c r="F711" s="1098"/>
      <c r="G711" s="1033"/>
      <c r="H711" s="1033"/>
      <c r="I711" s="1033"/>
      <c r="J711" s="1033"/>
      <c r="K711" s="1033"/>
      <c r="L711" s="1033"/>
      <c r="M711" s="1221"/>
      <c r="N711" s="1066"/>
      <c r="O711" s="1063"/>
      <c r="P711" s="1063"/>
      <c r="Q711" s="1063"/>
      <c r="R711" s="1069"/>
      <c r="S711" s="1093"/>
      <c r="T711" s="1093"/>
      <c r="U711" s="1063"/>
      <c r="V711" s="1063"/>
      <c r="W711" s="1063"/>
      <c r="X711" s="1033"/>
      <c r="Y711" s="108" t="s">
        <v>1029</v>
      </c>
      <c r="Z711" s="109">
        <v>11841450</v>
      </c>
      <c r="AA711" s="109">
        <v>-5322000</v>
      </c>
      <c r="AB711" s="109">
        <f t="shared" si="51"/>
        <v>6519450</v>
      </c>
      <c r="AC711" s="97">
        <v>41271</v>
      </c>
      <c r="AD711" s="119">
        <v>6519450</v>
      </c>
      <c r="AE711" s="119" t="s">
        <v>7</v>
      </c>
      <c r="AF711" s="1044"/>
      <c r="AG711" s="1044"/>
      <c r="AH711" s="111">
        <f t="shared" si="46"/>
        <v>0</v>
      </c>
      <c r="AI711" s="1044"/>
      <c r="AJ711" s="1063"/>
      <c r="AK711" s="1063"/>
      <c r="AL711" s="1063"/>
      <c r="AM711" s="1063"/>
      <c r="AN711" s="1104"/>
      <c r="AO711" s="1104"/>
    </row>
    <row r="712" spans="1:41" ht="15" customHeight="1">
      <c r="A712" s="1030" t="s">
        <v>1032</v>
      </c>
      <c r="B712" s="1068">
        <v>40638</v>
      </c>
      <c r="C712" s="1011" t="s">
        <v>41</v>
      </c>
      <c r="D712" s="1011" t="s">
        <v>1033</v>
      </c>
      <c r="E712" s="1097">
        <v>76315256</v>
      </c>
      <c r="F712" s="1097"/>
      <c r="G712" s="1011" t="s">
        <v>2859</v>
      </c>
      <c r="H712" s="1011" t="s">
        <v>70</v>
      </c>
      <c r="I712" s="1011" t="s">
        <v>177</v>
      </c>
      <c r="J712" s="1011" t="s">
        <v>66</v>
      </c>
      <c r="K712" s="1011" t="s">
        <v>183</v>
      </c>
      <c r="L712" s="1011" t="s">
        <v>1036</v>
      </c>
      <c r="M712" s="1220">
        <v>132</v>
      </c>
      <c r="N712" s="1065" t="s">
        <v>7</v>
      </c>
      <c r="O712" s="1062">
        <v>9884850</v>
      </c>
      <c r="P712" s="1062">
        <v>9884850</v>
      </c>
      <c r="Q712" s="1062">
        <v>9884850</v>
      </c>
      <c r="R712" s="1068">
        <v>40637</v>
      </c>
      <c r="S712" s="1092">
        <v>9800000</v>
      </c>
      <c r="T712" s="1092">
        <v>9800000</v>
      </c>
      <c r="U712" s="1062">
        <f>O712-T712</f>
        <v>84850</v>
      </c>
      <c r="V712" s="1062">
        <v>9800000</v>
      </c>
      <c r="W712" s="1062">
        <v>9800000</v>
      </c>
      <c r="X712" s="1011" t="s">
        <v>1026</v>
      </c>
      <c r="Y712" s="108" t="s">
        <v>1027</v>
      </c>
      <c r="Z712" s="109">
        <v>0</v>
      </c>
      <c r="AA712" s="109">
        <v>3920000</v>
      </c>
      <c r="AB712" s="109">
        <f t="shared" si="51"/>
        <v>3920000</v>
      </c>
      <c r="AC712" s="97">
        <v>40675</v>
      </c>
      <c r="AD712" s="119">
        <v>3920000</v>
      </c>
      <c r="AE712" s="119" t="s">
        <v>7</v>
      </c>
      <c r="AF712" s="1043">
        <f>SUM(AD712:AD713)</f>
        <v>9800000</v>
      </c>
      <c r="AG712" s="1043">
        <f>AF712</f>
        <v>9800000</v>
      </c>
      <c r="AH712" s="111">
        <f t="shared" si="46"/>
        <v>0</v>
      </c>
      <c r="AI712" s="1043">
        <f>S712-SUM(AD712:AD713)</f>
        <v>0</v>
      </c>
      <c r="AJ712" s="1062">
        <f>SUM(Z712:Z713)-SUM(AD712:AD713)</f>
        <v>0</v>
      </c>
      <c r="AK712" s="1062">
        <f>S712-V712</f>
        <v>0</v>
      </c>
      <c r="AL712" s="1062">
        <f>V712-SUM(Z712:Z713)</f>
        <v>0</v>
      </c>
      <c r="AM712" s="1062">
        <f>AK712+AL712</f>
        <v>0</v>
      </c>
      <c r="AN712" s="1103" t="s">
        <v>1035</v>
      </c>
      <c r="AO712" s="1103" t="s">
        <v>1038</v>
      </c>
    </row>
    <row r="713" spans="1:41" ht="15" customHeight="1">
      <c r="A713" s="1032"/>
      <c r="B713" s="1070"/>
      <c r="C713" s="1012"/>
      <c r="D713" s="1012"/>
      <c r="E713" s="1099"/>
      <c r="F713" s="1099"/>
      <c r="G713" s="1012"/>
      <c r="H713" s="1012"/>
      <c r="I713" s="1012"/>
      <c r="J713" s="1012"/>
      <c r="K713" s="1012"/>
      <c r="L713" s="1012"/>
      <c r="M713" s="1222"/>
      <c r="N713" s="1067"/>
      <c r="O713" s="1064"/>
      <c r="P713" s="1064"/>
      <c r="Q713" s="1064"/>
      <c r="R713" s="1070"/>
      <c r="S713" s="1094"/>
      <c r="T713" s="1094"/>
      <c r="U713" s="1064"/>
      <c r="V713" s="1064"/>
      <c r="W713" s="1064"/>
      <c r="X713" s="1012"/>
      <c r="Y713" s="108" t="s">
        <v>1037</v>
      </c>
      <c r="Z713" s="109">
        <v>9800000</v>
      </c>
      <c r="AA713" s="109">
        <v>-3920000</v>
      </c>
      <c r="AB713" s="109">
        <f t="shared" si="51"/>
        <v>5880000</v>
      </c>
      <c r="AC713" s="97">
        <v>41984</v>
      </c>
      <c r="AD713" s="119">
        <v>5880000</v>
      </c>
      <c r="AE713" s="119" t="s">
        <v>7</v>
      </c>
      <c r="AF713" s="1045"/>
      <c r="AG713" s="1045"/>
      <c r="AH713" s="111">
        <f t="shared" si="46"/>
        <v>0</v>
      </c>
      <c r="AI713" s="1045"/>
      <c r="AJ713" s="1064"/>
      <c r="AK713" s="1064"/>
      <c r="AL713" s="1064"/>
      <c r="AM713" s="1064"/>
      <c r="AN713" s="1105"/>
      <c r="AO713" s="1105"/>
    </row>
    <row r="714" spans="1:41" ht="15" customHeight="1">
      <c r="A714" s="1015" t="s">
        <v>1039</v>
      </c>
      <c r="B714" s="1068">
        <v>40638</v>
      </c>
      <c r="C714" s="1011" t="s">
        <v>41</v>
      </c>
      <c r="D714" s="1011" t="s">
        <v>1040</v>
      </c>
      <c r="E714" s="1097">
        <v>10541182</v>
      </c>
      <c r="F714" s="1097"/>
      <c r="G714" s="1011" t="s">
        <v>2860</v>
      </c>
      <c r="H714" s="1011" t="s">
        <v>70</v>
      </c>
      <c r="I714" s="1011" t="s">
        <v>177</v>
      </c>
      <c r="J714" s="1011" t="s">
        <v>66</v>
      </c>
      <c r="K714" s="1011" t="s">
        <v>217</v>
      </c>
      <c r="L714" s="1011" t="s">
        <v>1044</v>
      </c>
      <c r="M714" s="1220">
        <v>134</v>
      </c>
      <c r="N714" s="1065" t="s">
        <v>7</v>
      </c>
      <c r="O714" s="1062">
        <v>13308383</v>
      </c>
      <c r="P714" s="1062">
        <v>13308383</v>
      </c>
      <c r="Q714" s="1062">
        <v>13308383</v>
      </c>
      <c r="R714" s="1068">
        <v>40637</v>
      </c>
      <c r="S714" s="1092">
        <v>13308383</v>
      </c>
      <c r="T714" s="1092">
        <v>13308383</v>
      </c>
      <c r="U714" s="1062">
        <f>O714-T714</f>
        <v>0</v>
      </c>
      <c r="V714" s="1062">
        <v>13081320</v>
      </c>
      <c r="W714" s="1062">
        <v>13081320</v>
      </c>
      <c r="X714" s="1011" t="s">
        <v>1026</v>
      </c>
      <c r="Y714" s="108" t="s">
        <v>1042</v>
      </c>
      <c r="Z714" s="109">
        <v>0</v>
      </c>
      <c r="AA714" s="109">
        <v>5232528</v>
      </c>
      <c r="AB714" s="109">
        <f t="shared" si="51"/>
        <v>5232528</v>
      </c>
      <c r="AC714" s="97">
        <v>40672</v>
      </c>
      <c r="AD714" s="119">
        <v>5232528</v>
      </c>
      <c r="AE714" s="119" t="s">
        <v>7</v>
      </c>
      <c r="AF714" s="1043">
        <f>SUM(AD714:AD716)</f>
        <v>12217953</v>
      </c>
      <c r="AG714" s="1043">
        <f>SUM(AE714:AE716)</f>
        <v>0</v>
      </c>
      <c r="AH714" s="111">
        <f t="shared" si="46"/>
        <v>0</v>
      </c>
      <c r="AI714" s="1043">
        <f>O714-SUM(AD714:AD716)</f>
        <v>1090430</v>
      </c>
      <c r="AJ714" s="1062">
        <f>SUM(Z714:Z716)-SUM(AD714:AD716)</f>
        <v>863367</v>
      </c>
      <c r="AK714" s="1062">
        <f>P714-V714</f>
        <v>227063</v>
      </c>
      <c r="AL714" s="1062">
        <f>V714-SUM(Z714:Z716)</f>
        <v>0</v>
      </c>
      <c r="AM714" s="1062">
        <f>AK714+AL714</f>
        <v>227063</v>
      </c>
      <c r="AN714" s="1103" t="s">
        <v>1046</v>
      </c>
      <c r="AO714" s="1103" t="s">
        <v>1047</v>
      </c>
    </row>
    <row r="715" spans="1:41" ht="15" customHeight="1">
      <c r="A715" s="1050"/>
      <c r="B715" s="1069"/>
      <c r="C715" s="1033"/>
      <c r="D715" s="1033"/>
      <c r="E715" s="1098"/>
      <c r="F715" s="1098"/>
      <c r="G715" s="1033"/>
      <c r="H715" s="1033"/>
      <c r="I715" s="1033"/>
      <c r="J715" s="1033"/>
      <c r="K715" s="1033"/>
      <c r="L715" s="1033"/>
      <c r="M715" s="1221"/>
      <c r="N715" s="1066"/>
      <c r="O715" s="1063"/>
      <c r="P715" s="1063"/>
      <c r="Q715" s="1063"/>
      <c r="R715" s="1069"/>
      <c r="S715" s="1093"/>
      <c r="T715" s="1093"/>
      <c r="U715" s="1063"/>
      <c r="V715" s="1063"/>
      <c r="W715" s="1063"/>
      <c r="X715" s="1033"/>
      <c r="Y715" s="108" t="s">
        <v>1043</v>
      </c>
      <c r="Z715" s="109">
        <v>11642375</v>
      </c>
      <c r="AA715" s="109">
        <v>-4656950</v>
      </c>
      <c r="AB715" s="109">
        <f t="shared" si="51"/>
        <v>6985425</v>
      </c>
      <c r="AC715" s="97">
        <v>41271</v>
      </c>
      <c r="AD715" s="119">
        <v>6985425</v>
      </c>
      <c r="AE715" s="119" t="s">
        <v>7</v>
      </c>
      <c r="AF715" s="1044"/>
      <c r="AG715" s="1044"/>
      <c r="AH715" s="111">
        <f t="shared" si="46"/>
        <v>0</v>
      </c>
      <c r="AI715" s="1044"/>
      <c r="AJ715" s="1063"/>
      <c r="AK715" s="1063"/>
      <c r="AL715" s="1063"/>
      <c r="AM715" s="1063"/>
      <c r="AN715" s="1104"/>
      <c r="AO715" s="1104"/>
    </row>
    <row r="716" spans="1:41" ht="15" customHeight="1">
      <c r="A716" s="1016"/>
      <c r="B716" s="1070"/>
      <c r="C716" s="1012"/>
      <c r="D716" s="1012"/>
      <c r="E716" s="1099"/>
      <c r="F716" s="1099"/>
      <c r="G716" s="1012"/>
      <c r="H716" s="1012"/>
      <c r="I716" s="1012"/>
      <c r="J716" s="1012"/>
      <c r="K716" s="1012"/>
      <c r="L716" s="1012"/>
      <c r="M716" s="1222"/>
      <c r="N716" s="1067"/>
      <c r="O716" s="1064"/>
      <c r="P716" s="1064"/>
      <c r="Q716" s="1064"/>
      <c r="R716" s="1070"/>
      <c r="S716" s="1094"/>
      <c r="T716" s="1094"/>
      <c r="U716" s="1064"/>
      <c r="V716" s="1064"/>
      <c r="W716" s="1064"/>
      <c r="X716" s="1012"/>
      <c r="Y716" s="108" t="s">
        <v>1045</v>
      </c>
      <c r="Z716" s="109">
        <v>1438945</v>
      </c>
      <c r="AA716" s="109">
        <v>-575578</v>
      </c>
      <c r="AB716" s="109">
        <f t="shared" si="51"/>
        <v>863367</v>
      </c>
      <c r="AC716" s="97"/>
      <c r="AD716" s="119">
        <v>0</v>
      </c>
      <c r="AE716" s="119" t="s">
        <v>7</v>
      </c>
      <c r="AF716" s="1045"/>
      <c r="AG716" s="1045"/>
      <c r="AH716" s="111">
        <f t="shared" si="46"/>
        <v>863367</v>
      </c>
      <c r="AI716" s="1045"/>
      <c r="AJ716" s="1064"/>
      <c r="AK716" s="1064"/>
      <c r="AL716" s="1064"/>
      <c r="AM716" s="1064"/>
      <c r="AN716" s="1105"/>
      <c r="AO716" s="1105"/>
    </row>
    <row r="717" spans="1:41" ht="15" customHeight="1">
      <c r="A717" s="1030" t="s">
        <v>1076</v>
      </c>
      <c r="B717" s="1068">
        <v>40638</v>
      </c>
      <c r="C717" s="1011"/>
      <c r="D717" s="1011" t="s">
        <v>385</v>
      </c>
      <c r="E717" s="1097">
        <v>10536762</v>
      </c>
      <c r="F717" s="1097"/>
      <c r="G717" s="1011" t="s">
        <v>2861</v>
      </c>
      <c r="H717" s="1011" t="s">
        <v>70</v>
      </c>
      <c r="I717" s="1011" t="s">
        <v>177</v>
      </c>
      <c r="J717" s="1011" t="s">
        <v>66</v>
      </c>
      <c r="K717" s="1011" t="s">
        <v>183</v>
      </c>
      <c r="L717" s="1011" t="s">
        <v>1079</v>
      </c>
      <c r="M717" s="1220">
        <v>128</v>
      </c>
      <c r="N717" s="1065" t="s">
        <v>7</v>
      </c>
      <c r="O717" s="1062">
        <v>26168224</v>
      </c>
      <c r="P717" s="1062">
        <v>26168224</v>
      </c>
      <c r="Q717" s="1062">
        <f>P717+P719</f>
        <v>35077523</v>
      </c>
      <c r="R717" s="1068">
        <v>40637</v>
      </c>
      <c r="S717" s="1092">
        <v>26163600</v>
      </c>
      <c r="T717" s="1092">
        <v>26163600</v>
      </c>
      <c r="U717" s="1062">
        <f>O717-T717</f>
        <v>4624</v>
      </c>
      <c r="V717" s="1062">
        <v>26100000</v>
      </c>
      <c r="W717" s="1062">
        <f>V717+V719</f>
        <v>35009299</v>
      </c>
      <c r="X717" s="1011" t="s">
        <v>1026</v>
      </c>
      <c r="Y717" s="108" t="s">
        <v>1080</v>
      </c>
      <c r="Z717" s="109">
        <v>0</v>
      </c>
      <c r="AA717" s="109">
        <v>10440000</v>
      </c>
      <c r="AB717" s="109">
        <f t="shared" si="51"/>
        <v>10440000</v>
      </c>
      <c r="AC717" s="97">
        <v>40666</v>
      </c>
      <c r="AD717" s="119">
        <v>10440000</v>
      </c>
      <c r="AE717" s="119" t="s">
        <v>7</v>
      </c>
      <c r="AF717" s="1043">
        <f>SUM(AD717:AD718)</f>
        <v>26100000</v>
      </c>
      <c r="AG717" s="1043">
        <f>AF717+AF719</f>
        <v>33205165.949999999</v>
      </c>
      <c r="AH717" s="111">
        <f t="shared" si="46"/>
        <v>0</v>
      </c>
      <c r="AI717" s="1043">
        <f>S717-AD717-AD718</f>
        <v>63600</v>
      </c>
      <c r="AJ717" s="1062">
        <f>SUM(Z717:Z719)-SUM(AD717:AD719)</f>
        <v>0</v>
      </c>
      <c r="AK717" s="1062">
        <f>S717-V717</f>
        <v>63600</v>
      </c>
      <c r="AL717" s="1062">
        <f>V717-SUM(Z717:Z718)</f>
        <v>0</v>
      </c>
      <c r="AM717" s="1062">
        <f>AK717+AL717</f>
        <v>63600</v>
      </c>
      <c r="AN717" s="1103" t="s">
        <v>606</v>
      </c>
      <c r="AO717" s="1103" t="s">
        <v>1082</v>
      </c>
    </row>
    <row r="718" spans="1:41" ht="15" customHeight="1">
      <c r="A718" s="1031"/>
      <c r="B718" s="1069"/>
      <c r="C718" s="1033"/>
      <c r="D718" s="1033"/>
      <c r="E718" s="1098"/>
      <c r="F718" s="1098"/>
      <c r="G718" s="1033"/>
      <c r="H718" s="1033"/>
      <c r="I718" s="1033"/>
      <c r="J718" s="1012"/>
      <c r="K718" s="1033"/>
      <c r="L718" s="1033"/>
      <c r="M718" s="1222"/>
      <c r="N718" s="1067"/>
      <c r="O718" s="1064"/>
      <c r="P718" s="1064"/>
      <c r="Q718" s="1063"/>
      <c r="R718" s="1070"/>
      <c r="S718" s="1094"/>
      <c r="T718" s="1094"/>
      <c r="U718" s="1064"/>
      <c r="V718" s="1064"/>
      <c r="W718" s="1063"/>
      <c r="X718" s="1033"/>
      <c r="Y718" s="108" t="s">
        <v>1081</v>
      </c>
      <c r="Z718" s="109">
        <v>26100000</v>
      </c>
      <c r="AA718" s="109">
        <v>-10440000</v>
      </c>
      <c r="AB718" s="109">
        <f t="shared" si="51"/>
        <v>15660000</v>
      </c>
      <c r="AC718" s="97">
        <v>41470</v>
      </c>
      <c r="AD718" s="119">
        <v>15660000</v>
      </c>
      <c r="AE718" s="119" t="s">
        <v>7</v>
      </c>
      <c r="AF718" s="1045"/>
      <c r="AG718" s="1044"/>
      <c r="AH718" s="111">
        <f t="shared" si="46"/>
        <v>0</v>
      </c>
      <c r="AI718" s="1045"/>
      <c r="AJ718" s="1063"/>
      <c r="AK718" s="1064"/>
      <c r="AL718" s="1064"/>
      <c r="AM718" s="1064"/>
      <c r="AN718" s="1104"/>
      <c r="AO718" s="1104"/>
    </row>
    <row r="719" spans="1:41" ht="15" customHeight="1">
      <c r="A719" s="1031"/>
      <c r="B719" s="1069"/>
      <c r="C719" s="1033"/>
      <c r="D719" s="1033"/>
      <c r="E719" s="1098"/>
      <c r="F719" s="1098"/>
      <c r="G719" s="1033"/>
      <c r="H719" s="1033"/>
      <c r="I719" s="1033"/>
      <c r="J719" s="86" t="s">
        <v>67</v>
      </c>
      <c r="K719" s="1033"/>
      <c r="L719" s="1033"/>
      <c r="M719" s="118">
        <v>242</v>
      </c>
      <c r="N719" s="94" t="s">
        <v>7</v>
      </c>
      <c r="O719" s="85">
        <v>8909299</v>
      </c>
      <c r="P719" s="85">
        <v>8909299</v>
      </c>
      <c r="Q719" s="1063"/>
      <c r="R719" s="91">
        <v>41081</v>
      </c>
      <c r="S719" s="93">
        <v>8909299</v>
      </c>
      <c r="T719" s="93">
        <v>8909299</v>
      </c>
      <c r="U719" s="85">
        <f>O719-T719</f>
        <v>0</v>
      </c>
      <c r="V719" s="85">
        <v>8909299</v>
      </c>
      <c r="W719" s="1063"/>
      <c r="X719" s="1033"/>
      <c r="Y719" s="108" t="s">
        <v>1081</v>
      </c>
      <c r="Z719" s="109">
        <v>7105165.9500000002</v>
      </c>
      <c r="AA719" s="109">
        <v>0</v>
      </c>
      <c r="AB719" s="109">
        <f t="shared" si="51"/>
        <v>7105165.9500000002</v>
      </c>
      <c r="AC719" s="97">
        <v>41470</v>
      </c>
      <c r="AD719" s="119">
        <v>7105165.9500000002</v>
      </c>
      <c r="AE719" s="119" t="s">
        <v>7</v>
      </c>
      <c r="AF719" s="88">
        <f>SUM(AD719:AD719)</f>
        <v>7105165.9500000002</v>
      </c>
      <c r="AG719" s="1044"/>
      <c r="AH719" s="111">
        <f t="shared" si="46"/>
        <v>0</v>
      </c>
      <c r="AI719" s="88">
        <f>S719-AD719</f>
        <v>1804133.0499999998</v>
      </c>
      <c r="AJ719" s="1063"/>
      <c r="AK719" s="85">
        <f>P719-V719</f>
        <v>0</v>
      </c>
      <c r="AL719" s="85">
        <f>V719-Z719</f>
        <v>1804133.0499999998</v>
      </c>
      <c r="AM719" s="85">
        <f>AK719+AL719</f>
        <v>1804133.0499999998</v>
      </c>
      <c r="AN719" s="1104"/>
      <c r="AO719" s="1104"/>
    </row>
    <row r="720" spans="1:41" ht="15" customHeight="1">
      <c r="A720" s="1015" t="s">
        <v>1068</v>
      </c>
      <c r="B720" s="1068">
        <v>40638</v>
      </c>
      <c r="C720" s="1011" t="s">
        <v>45</v>
      </c>
      <c r="D720" s="1011" t="s">
        <v>1069</v>
      </c>
      <c r="E720" s="1097">
        <v>34561465</v>
      </c>
      <c r="F720" s="1097"/>
      <c r="G720" s="1011" t="s">
        <v>2862</v>
      </c>
      <c r="H720" s="1011" t="s">
        <v>70</v>
      </c>
      <c r="I720" s="1011" t="s">
        <v>177</v>
      </c>
      <c r="J720" s="1011" t="s">
        <v>66</v>
      </c>
      <c r="K720" s="1011" t="s">
        <v>183</v>
      </c>
      <c r="L720" s="1011" t="s">
        <v>1074</v>
      </c>
      <c r="M720" s="1220">
        <v>130</v>
      </c>
      <c r="N720" s="1065" t="s">
        <v>7</v>
      </c>
      <c r="O720" s="1062">
        <v>31031174</v>
      </c>
      <c r="P720" s="1062">
        <v>31031174</v>
      </c>
      <c r="Q720" s="1062">
        <f>P720+P723</f>
        <v>46207307</v>
      </c>
      <c r="R720" s="1068">
        <v>40637</v>
      </c>
      <c r="S720" s="1092">
        <v>31000000</v>
      </c>
      <c r="T720" s="1092">
        <v>31000000</v>
      </c>
      <c r="U720" s="1062">
        <f>O720-T720</f>
        <v>31174</v>
      </c>
      <c r="V720" s="1062">
        <v>31000000</v>
      </c>
      <c r="W720" s="1062">
        <v>46176133</v>
      </c>
      <c r="X720" s="1011" t="s">
        <v>1026</v>
      </c>
      <c r="Y720" s="108" t="s">
        <v>1071</v>
      </c>
      <c r="Z720" s="109">
        <v>0</v>
      </c>
      <c r="AA720" s="109">
        <v>12400000</v>
      </c>
      <c r="AB720" s="109">
        <f t="shared" si="51"/>
        <v>12400000</v>
      </c>
      <c r="AC720" s="97">
        <v>40666</v>
      </c>
      <c r="AD720" s="119">
        <v>12400000</v>
      </c>
      <c r="AE720" s="119" t="s">
        <v>7</v>
      </c>
      <c r="AF720" s="1043">
        <f>SUM(AD720:AD722)</f>
        <v>31000000</v>
      </c>
      <c r="AG720" s="1043">
        <f>AF720+AF723</f>
        <v>46176133</v>
      </c>
      <c r="AH720" s="111">
        <f t="shared" si="46"/>
        <v>0</v>
      </c>
      <c r="AI720" s="1043">
        <f>S720-SUM(AD720:AD722)</f>
        <v>0</v>
      </c>
      <c r="AJ720" s="1062">
        <f>SUM(Z720:Z723)-SUM(AD720:AD723)</f>
        <v>0</v>
      </c>
      <c r="AK720" s="1062">
        <f>S720-V720</f>
        <v>0</v>
      </c>
      <c r="AL720" s="1062">
        <f>V720-SUM(Z720:Z722)</f>
        <v>0</v>
      </c>
      <c r="AM720" s="1062">
        <f>AK720+AL720</f>
        <v>0</v>
      </c>
      <c r="AN720" s="1103" t="s">
        <v>606</v>
      </c>
      <c r="AO720" s="1195" t="s">
        <v>1075</v>
      </c>
    </row>
    <row r="721" spans="1:43" ht="15" customHeight="1">
      <c r="A721" s="1050"/>
      <c r="B721" s="1069"/>
      <c r="C721" s="1033"/>
      <c r="D721" s="1033"/>
      <c r="E721" s="1098"/>
      <c r="F721" s="1098"/>
      <c r="G721" s="1033"/>
      <c r="H721" s="1033"/>
      <c r="I721" s="1033"/>
      <c r="J721" s="1033"/>
      <c r="K721" s="1033"/>
      <c r="L721" s="1033"/>
      <c r="M721" s="1221"/>
      <c r="N721" s="1066"/>
      <c r="O721" s="1063"/>
      <c r="P721" s="1063"/>
      <c r="Q721" s="1063"/>
      <c r="R721" s="1069"/>
      <c r="S721" s="1093"/>
      <c r="T721" s="1093"/>
      <c r="U721" s="1063"/>
      <c r="V721" s="1063"/>
      <c r="W721" s="1063"/>
      <c r="X721" s="1033"/>
      <c r="Y721" s="108" t="s">
        <v>1072</v>
      </c>
      <c r="Z721" s="109">
        <v>25175100</v>
      </c>
      <c r="AA721" s="109">
        <v>-10070040</v>
      </c>
      <c r="AB721" s="109">
        <f t="shared" si="51"/>
        <v>15105060</v>
      </c>
      <c r="AC721" s="97">
        <v>41022</v>
      </c>
      <c r="AD721" s="119">
        <v>15105060</v>
      </c>
      <c r="AE721" s="119" t="s">
        <v>7</v>
      </c>
      <c r="AF721" s="1044"/>
      <c r="AG721" s="1044"/>
      <c r="AH721" s="111">
        <f t="shared" si="46"/>
        <v>0</v>
      </c>
      <c r="AI721" s="1044"/>
      <c r="AJ721" s="1063"/>
      <c r="AK721" s="1063"/>
      <c r="AL721" s="1063"/>
      <c r="AM721" s="1063"/>
      <c r="AN721" s="1104"/>
      <c r="AO721" s="1104"/>
    </row>
    <row r="722" spans="1:43" ht="15" customHeight="1">
      <c r="A722" s="1050"/>
      <c r="B722" s="1069"/>
      <c r="C722" s="1033"/>
      <c r="D722" s="1033"/>
      <c r="E722" s="1098"/>
      <c r="F722" s="1098"/>
      <c r="G722" s="1033"/>
      <c r="H722" s="1033"/>
      <c r="I722" s="1033"/>
      <c r="J722" s="1012"/>
      <c r="K722" s="1033"/>
      <c r="L722" s="1033"/>
      <c r="M722" s="1222"/>
      <c r="N722" s="1067"/>
      <c r="O722" s="1064"/>
      <c r="P722" s="1064"/>
      <c r="Q722" s="1063"/>
      <c r="R722" s="1070"/>
      <c r="S722" s="1094"/>
      <c r="T722" s="1094"/>
      <c r="U722" s="1064"/>
      <c r="V722" s="1064"/>
      <c r="W722" s="1063"/>
      <c r="X722" s="1033"/>
      <c r="Y722" s="108" t="s">
        <v>1073</v>
      </c>
      <c r="Z722" s="109">
        <v>5824900</v>
      </c>
      <c r="AA722" s="109">
        <v>-2329960</v>
      </c>
      <c r="AB722" s="109">
        <f t="shared" si="51"/>
        <v>3494940</v>
      </c>
      <c r="AC722" s="97">
        <v>41638</v>
      </c>
      <c r="AD722" s="119">
        <v>3494940</v>
      </c>
      <c r="AE722" s="119" t="s">
        <v>7</v>
      </c>
      <c r="AF722" s="1045"/>
      <c r="AG722" s="1044"/>
      <c r="AH722" s="111">
        <f t="shared" si="46"/>
        <v>0</v>
      </c>
      <c r="AI722" s="1045"/>
      <c r="AJ722" s="1063"/>
      <c r="AK722" s="1064"/>
      <c r="AL722" s="1064"/>
      <c r="AM722" s="1064"/>
      <c r="AN722" s="1104"/>
      <c r="AO722" s="1104"/>
    </row>
    <row r="723" spans="1:43" ht="15" customHeight="1">
      <c r="A723" s="1016"/>
      <c r="B723" s="1070"/>
      <c r="C723" s="1012"/>
      <c r="D723" s="1012"/>
      <c r="E723" s="1099"/>
      <c r="F723" s="1099"/>
      <c r="G723" s="1012"/>
      <c r="H723" s="1012"/>
      <c r="I723" s="1012"/>
      <c r="J723" s="113" t="s">
        <v>67</v>
      </c>
      <c r="K723" s="1012"/>
      <c r="L723" s="1012"/>
      <c r="M723" s="122">
        <v>244</v>
      </c>
      <c r="N723" s="108" t="s">
        <v>7</v>
      </c>
      <c r="O723" s="109">
        <v>15176133</v>
      </c>
      <c r="P723" s="109">
        <v>15176133</v>
      </c>
      <c r="Q723" s="1064"/>
      <c r="R723" s="97">
        <v>41081</v>
      </c>
      <c r="S723" s="110">
        <v>15176133</v>
      </c>
      <c r="T723" s="110">
        <v>15176133</v>
      </c>
      <c r="U723" s="109">
        <f>O723-T723</f>
        <v>0</v>
      </c>
      <c r="V723" s="109">
        <v>15176133</v>
      </c>
      <c r="W723" s="1064"/>
      <c r="X723" s="1012"/>
      <c r="Y723" s="108" t="s">
        <v>1073</v>
      </c>
      <c r="Z723" s="109">
        <v>15176133</v>
      </c>
      <c r="AA723" s="109">
        <v>0</v>
      </c>
      <c r="AB723" s="109">
        <f t="shared" si="51"/>
        <v>15176133</v>
      </c>
      <c r="AC723" s="97">
        <v>41638</v>
      </c>
      <c r="AD723" s="119">
        <v>15176133</v>
      </c>
      <c r="AE723" s="119" t="s">
        <v>7</v>
      </c>
      <c r="AF723" s="111">
        <f>AD723</f>
        <v>15176133</v>
      </c>
      <c r="AG723" s="1045"/>
      <c r="AH723" s="111">
        <f t="shared" si="46"/>
        <v>0</v>
      </c>
      <c r="AI723" s="111">
        <f>O723-AD723</f>
        <v>0</v>
      </c>
      <c r="AJ723" s="1064"/>
      <c r="AK723" s="109">
        <f>P723-V723</f>
        <v>0</v>
      </c>
      <c r="AL723" s="109">
        <f>V723-Z723</f>
        <v>0</v>
      </c>
      <c r="AM723" s="109">
        <f>AK723+AL723</f>
        <v>0</v>
      </c>
      <c r="AN723" s="1105"/>
      <c r="AO723" s="1105"/>
    </row>
    <row r="724" spans="1:43" ht="15" customHeight="1">
      <c r="A724" s="1015" t="s">
        <v>1048</v>
      </c>
      <c r="B724" s="1068">
        <v>40704</v>
      </c>
      <c r="C724" s="1011" t="s">
        <v>12</v>
      </c>
      <c r="D724" s="1011" t="s">
        <v>671</v>
      </c>
      <c r="E724" s="1097">
        <v>10523123</v>
      </c>
      <c r="F724" s="1097"/>
      <c r="G724" s="1011" t="s">
        <v>2863</v>
      </c>
      <c r="H724" s="1011" t="s">
        <v>70</v>
      </c>
      <c r="I724" s="1011" t="s">
        <v>177</v>
      </c>
      <c r="J724" s="1011" t="s">
        <v>66</v>
      </c>
      <c r="K724" s="1011" t="s">
        <v>217</v>
      </c>
      <c r="L724" s="1011" t="s">
        <v>1051</v>
      </c>
      <c r="M724" s="1220">
        <v>2</v>
      </c>
      <c r="N724" s="1065" t="s">
        <v>132</v>
      </c>
      <c r="O724" s="1062">
        <v>9317597</v>
      </c>
      <c r="P724" s="1062">
        <v>9317597</v>
      </c>
      <c r="Q724" s="1062">
        <v>9317597</v>
      </c>
      <c r="R724" s="1068">
        <v>40709</v>
      </c>
      <c r="S724" s="1092">
        <v>9317597</v>
      </c>
      <c r="T724" s="1092">
        <v>9317597</v>
      </c>
      <c r="U724" s="1119">
        <f>O724-T724</f>
        <v>0</v>
      </c>
      <c r="V724" s="1062">
        <v>8975674</v>
      </c>
      <c r="W724" s="1062">
        <v>8975674</v>
      </c>
      <c r="X724" s="1011" t="s">
        <v>1050</v>
      </c>
      <c r="Y724" s="108" t="s">
        <v>1052</v>
      </c>
      <c r="Z724" s="109">
        <v>0</v>
      </c>
      <c r="AA724" s="109">
        <v>3590269.6</v>
      </c>
      <c r="AB724" s="109">
        <f t="shared" si="51"/>
        <v>3590269.6</v>
      </c>
      <c r="AC724" s="97">
        <v>40746</v>
      </c>
      <c r="AD724" s="119">
        <v>3590270</v>
      </c>
      <c r="AE724" s="119" t="s">
        <v>132</v>
      </c>
      <c r="AF724" s="1043">
        <f>SUM(AD724:AD726)</f>
        <v>8437134</v>
      </c>
      <c r="AG724" s="1043">
        <f>SUM(AE724:AE726)</f>
        <v>0</v>
      </c>
      <c r="AH724" s="111">
        <f t="shared" si="46"/>
        <v>-0.39999999990686774</v>
      </c>
      <c r="AI724" s="1043">
        <f>O724-SUM(AD724:AD726)</f>
        <v>880463</v>
      </c>
      <c r="AJ724" s="1062">
        <f>SUM(Z724:Z726)-SUM(AD724:AD726)</f>
        <v>538540</v>
      </c>
      <c r="AK724" s="1062">
        <f>P724-V724</f>
        <v>341923</v>
      </c>
      <c r="AL724" s="1062">
        <f>V724-SUM(Z724:Z726)</f>
        <v>0</v>
      </c>
      <c r="AM724" s="1062">
        <f>AK724+AL724</f>
        <v>341923</v>
      </c>
      <c r="AN724" s="1103" t="s">
        <v>1046</v>
      </c>
      <c r="AO724" s="1195" t="s">
        <v>1055</v>
      </c>
    </row>
    <row r="725" spans="1:43" ht="15" customHeight="1">
      <c r="A725" s="1050"/>
      <c r="B725" s="1069"/>
      <c r="C725" s="1033"/>
      <c r="D725" s="1033"/>
      <c r="E725" s="1098"/>
      <c r="F725" s="1098"/>
      <c r="G725" s="1033"/>
      <c r="H725" s="1033"/>
      <c r="I725" s="1033"/>
      <c r="J725" s="1033"/>
      <c r="K725" s="1033"/>
      <c r="L725" s="1033"/>
      <c r="M725" s="1221"/>
      <c r="N725" s="1066"/>
      <c r="O725" s="1063"/>
      <c r="P725" s="1063"/>
      <c r="Q725" s="1063"/>
      <c r="R725" s="1069"/>
      <c r="S725" s="1093"/>
      <c r="T725" s="1093"/>
      <c r="U725" s="1119"/>
      <c r="V725" s="1063"/>
      <c r="W725" s="1063"/>
      <c r="X725" s="1033"/>
      <c r="Y725" s="108" t="s">
        <v>1053</v>
      </c>
      <c r="Z725" s="109">
        <v>8078107</v>
      </c>
      <c r="AA725" s="109">
        <v>-3231242.8</v>
      </c>
      <c r="AB725" s="109">
        <f t="shared" si="51"/>
        <v>4846864.2</v>
      </c>
      <c r="AC725" s="97">
        <v>41106</v>
      </c>
      <c r="AD725" s="119">
        <v>4846864</v>
      </c>
      <c r="AE725" s="119" t="s">
        <v>132</v>
      </c>
      <c r="AF725" s="1044"/>
      <c r="AG725" s="1044"/>
      <c r="AH725" s="111">
        <f t="shared" si="46"/>
        <v>0.20000000018626451</v>
      </c>
      <c r="AI725" s="1044"/>
      <c r="AJ725" s="1063"/>
      <c r="AK725" s="1063"/>
      <c r="AL725" s="1063"/>
      <c r="AM725" s="1063"/>
      <c r="AN725" s="1104"/>
      <c r="AO725" s="1104"/>
    </row>
    <row r="726" spans="1:43" ht="15" customHeight="1">
      <c r="A726" s="1016"/>
      <c r="B726" s="1070"/>
      <c r="C726" s="1012"/>
      <c r="D726" s="1012"/>
      <c r="E726" s="1099"/>
      <c r="F726" s="1099"/>
      <c r="G726" s="1012"/>
      <c r="H726" s="1012"/>
      <c r="I726" s="1012"/>
      <c r="J726" s="1012"/>
      <c r="K726" s="1012"/>
      <c r="L726" s="1012"/>
      <c r="M726" s="1222"/>
      <c r="N726" s="1067"/>
      <c r="O726" s="1064"/>
      <c r="P726" s="1064"/>
      <c r="Q726" s="1064"/>
      <c r="R726" s="1070"/>
      <c r="S726" s="1094"/>
      <c r="T726" s="1094"/>
      <c r="U726" s="1119"/>
      <c r="V726" s="1064"/>
      <c r="W726" s="1064"/>
      <c r="X726" s="1012"/>
      <c r="Y726" s="108" t="s">
        <v>1054</v>
      </c>
      <c r="Z726" s="109">
        <v>897567</v>
      </c>
      <c r="AA726" s="109">
        <v>-359026.8</v>
      </c>
      <c r="AB726" s="109">
        <f t="shared" si="51"/>
        <v>538540.19999999995</v>
      </c>
      <c r="AC726" s="97"/>
      <c r="AD726" s="119">
        <v>0</v>
      </c>
      <c r="AE726" s="119" t="s">
        <v>132</v>
      </c>
      <c r="AF726" s="1045"/>
      <c r="AG726" s="1045"/>
      <c r="AH726" s="111">
        <f t="shared" si="46"/>
        <v>538540.19999999995</v>
      </c>
      <c r="AI726" s="1045"/>
      <c r="AJ726" s="1064"/>
      <c r="AK726" s="1064"/>
      <c r="AL726" s="1064"/>
      <c r="AM726" s="1064"/>
      <c r="AN726" s="1105"/>
      <c r="AO726" s="1105"/>
    </row>
    <row r="727" spans="1:43" s="24" customFormat="1" ht="15" customHeight="1">
      <c r="A727" s="1214" t="s">
        <v>1100</v>
      </c>
      <c r="B727" s="1171">
        <v>40724</v>
      </c>
      <c r="C727" s="1076" t="s">
        <v>9</v>
      </c>
      <c r="D727" s="1076" t="s">
        <v>1101</v>
      </c>
      <c r="E727" s="1208">
        <v>900446152</v>
      </c>
      <c r="F727" s="1208">
        <v>0</v>
      </c>
      <c r="G727" s="1076" t="s">
        <v>1102</v>
      </c>
      <c r="H727" s="1076" t="s">
        <v>71</v>
      </c>
      <c r="I727" s="1076" t="s">
        <v>1086</v>
      </c>
      <c r="J727" s="1076" t="s">
        <v>66</v>
      </c>
      <c r="K727" s="1076" t="s">
        <v>183</v>
      </c>
      <c r="L727" s="1076" t="s">
        <v>1099</v>
      </c>
      <c r="M727" s="1245">
        <v>152</v>
      </c>
      <c r="N727" s="1244" t="s">
        <v>137</v>
      </c>
      <c r="O727" s="1119">
        <v>122551517</v>
      </c>
      <c r="P727" s="1119">
        <v>243133608</v>
      </c>
      <c r="Q727" s="1119">
        <f>P727+P735</f>
        <v>780816153</v>
      </c>
      <c r="R727" s="1171">
        <v>40686</v>
      </c>
      <c r="S727" s="1351">
        <v>239805800</v>
      </c>
      <c r="T727" s="1224">
        <v>120874135</v>
      </c>
      <c r="U727" s="1224">
        <f>O727-T727</f>
        <v>1677382</v>
      </c>
      <c r="V727" s="1119">
        <v>120874135</v>
      </c>
      <c r="W727" s="1224">
        <v>770129000</v>
      </c>
      <c r="X727" s="1076" t="s">
        <v>1103</v>
      </c>
      <c r="Y727" s="1123" t="s">
        <v>1105</v>
      </c>
      <c r="Z727" s="109">
        <v>0</v>
      </c>
      <c r="AA727" s="111">
        <v>59465832.5</v>
      </c>
      <c r="AB727" s="111">
        <f t="shared" ref="AB727:AB765" si="52">Z727+AA727</f>
        <v>59465832.5</v>
      </c>
      <c r="AC727" s="1171">
        <v>40765</v>
      </c>
      <c r="AD727" s="119">
        <v>59465832.490000002</v>
      </c>
      <c r="AE727" s="119" t="s">
        <v>7</v>
      </c>
      <c r="AF727" s="1215">
        <f>SUM(AD727:AD734)</f>
        <v>239805800</v>
      </c>
      <c r="AG727" s="1215">
        <f>AF727+AF735</f>
        <v>770129000</v>
      </c>
      <c r="AH727" s="119">
        <f t="shared" ref="AH727:AH764" si="53">AB727-AD727</f>
        <v>9.9999979138374329E-3</v>
      </c>
      <c r="AI727" s="1215">
        <f>T727-SUM(AD728:AD733)</f>
        <v>-51872960.00999999</v>
      </c>
      <c r="AJ727" s="1215">
        <f>SUM(Z727:Z738)-SUM(AD727:AD738)</f>
        <v>0</v>
      </c>
      <c r="AK727" s="1215">
        <f>T727-V727</f>
        <v>0</v>
      </c>
      <c r="AL727" s="1215">
        <f>SUM(V727:V734)-SUM(Z727:Z734)</f>
        <v>0</v>
      </c>
      <c r="AM727" s="1215">
        <f>AK727+AK733+AL727</f>
        <v>0</v>
      </c>
      <c r="AN727" s="1283" t="s">
        <v>1108</v>
      </c>
      <c r="AO727" s="1204" t="s">
        <v>1119</v>
      </c>
      <c r="AQ727" s="934"/>
    </row>
    <row r="728" spans="1:43" s="24" customFormat="1" ht="15" customHeight="1">
      <c r="A728" s="1214"/>
      <c r="B728" s="1171"/>
      <c r="C728" s="1076"/>
      <c r="D728" s="1076"/>
      <c r="E728" s="1208"/>
      <c r="F728" s="1208"/>
      <c r="G728" s="1076"/>
      <c r="H728" s="1076"/>
      <c r="I728" s="1076"/>
      <c r="J728" s="1076"/>
      <c r="K728" s="1076"/>
      <c r="L728" s="1076"/>
      <c r="M728" s="1245"/>
      <c r="N728" s="1244"/>
      <c r="O728" s="1119"/>
      <c r="P728" s="1119"/>
      <c r="Q728" s="1119"/>
      <c r="R728" s="1171"/>
      <c r="S728" s="1351"/>
      <c r="T728" s="1224"/>
      <c r="U728" s="1224"/>
      <c r="V728" s="1119"/>
      <c r="W728" s="1224"/>
      <c r="X728" s="1076"/>
      <c r="Y728" s="1123"/>
      <c r="Z728" s="109">
        <v>0</v>
      </c>
      <c r="AA728" s="109">
        <v>60437067.5</v>
      </c>
      <c r="AB728" s="111">
        <f t="shared" si="52"/>
        <v>60437067.5</v>
      </c>
      <c r="AC728" s="1171"/>
      <c r="AD728" s="119">
        <v>60437067.509999998</v>
      </c>
      <c r="AE728" s="119" t="s">
        <v>137</v>
      </c>
      <c r="AF728" s="1215"/>
      <c r="AG728" s="1215"/>
      <c r="AH728" s="119">
        <f t="shared" si="53"/>
        <v>-9.9999979138374329E-3</v>
      </c>
      <c r="AI728" s="1215"/>
      <c r="AJ728" s="1215"/>
      <c r="AK728" s="1215"/>
      <c r="AL728" s="1215"/>
      <c r="AM728" s="1215"/>
      <c r="AN728" s="1203"/>
      <c r="AO728" s="1204"/>
      <c r="AQ728" s="934"/>
    </row>
    <row r="729" spans="1:43" s="24" customFormat="1" ht="15" customHeight="1">
      <c r="A729" s="1214"/>
      <c r="B729" s="1171"/>
      <c r="C729" s="1076"/>
      <c r="D729" s="1076"/>
      <c r="E729" s="1208"/>
      <c r="F729" s="1208"/>
      <c r="G729" s="1076"/>
      <c r="H729" s="1076"/>
      <c r="I729" s="1076"/>
      <c r="J729" s="1076"/>
      <c r="K729" s="1076"/>
      <c r="L729" s="1076"/>
      <c r="M729" s="1245"/>
      <c r="N729" s="1244"/>
      <c r="O729" s="1119"/>
      <c r="P729" s="1119"/>
      <c r="Q729" s="1119"/>
      <c r="R729" s="1171"/>
      <c r="S729" s="1351"/>
      <c r="T729" s="1224"/>
      <c r="U729" s="1224"/>
      <c r="V729" s="1119"/>
      <c r="W729" s="1224"/>
      <c r="X729" s="1076"/>
      <c r="Y729" s="1123" t="s">
        <v>1104</v>
      </c>
      <c r="Z729" s="109">
        <v>45504622</v>
      </c>
      <c r="AA729" s="109">
        <v>-22752311</v>
      </c>
      <c r="AB729" s="111">
        <f t="shared" si="52"/>
        <v>22752311</v>
      </c>
      <c r="AC729" s="1171">
        <v>41089</v>
      </c>
      <c r="AD729" s="119">
        <v>22752311</v>
      </c>
      <c r="AE729" s="119" t="s">
        <v>137</v>
      </c>
      <c r="AF729" s="1215"/>
      <c r="AG729" s="1215"/>
      <c r="AH729" s="119">
        <f t="shared" si="53"/>
        <v>0</v>
      </c>
      <c r="AI729" s="1215"/>
      <c r="AJ729" s="1215"/>
      <c r="AK729" s="1215"/>
      <c r="AL729" s="1215"/>
      <c r="AM729" s="1215"/>
      <c r="AN729" s="1203"/>
      <c r="AO729" s="1204"/>
      <c r="AQ729" s="934"/>
    </row>
    <row r="730" spans="1:43" s="24" customFormat="1" ht="15" customHeight="1">
      <c r="A730" s="1214"/>
      <c r="B730" s="1171"/>
      <c r="C730" s="1076"/>
      <c r="D730" s="1076"/>
      <c r="E730" s="1208"/>
      <c r="F730" s="1208"/>
      <c r="G730" s="1076"/>
      <c r="H730" s="1076"/>
      <c r="I730" s="1076"/>
      <c r="J730" s="1076"/>
      <c r="K730" s="1076"/>
      <c r="L730" s="1076"/>
      <c r="M730" s="1245"/>
      <c r="N730" s="1244"/>
      <c r="O730" s="1119"/>
      <c r="P730" s="1119"/>
      <c r="Q730" s="1119"/>
      <c r="R730" s="1171"/>
      <c r="S730" s="1351"/>
      <c r="T730" s="1224"/>
      <c r="U730" s="1224"/>
      <c r="V730" s="1119"/>
      <c r="W730" s="1224"/>
      <c r="X730" s="1076"/>
      <c r="Y730" s="1123"/>
      <c r="Z730" s="109">
        <v>46247832</v>
      </c>
      <c r="AA730" s="109">
        <v>-23123916</v>
      </c>
      <c r="AB730" s="111">
        <f t="shared" si="52"/>
        <v>23123916</v>
      </c>
      <c r="AC730" s="1171"/>
      <c r="AD730" s="119">
        <v>23123916</v>
      </c>
      <c r="AE730" s="119" t="s">
        <v>137</v>
      </c>
      <c r="AF730" s="1215"/>
      <c r="AG730" s="1215"/>
      <c r="AH730" s="119">
        <f t="shared" si="53"/>
        <v>0</v>
      </c>
      <c r="AI730" s="1215"/>
      <c r="AJ730" s="1215"/>
      <c r="AK730" s="1215"/>
      <c r="AL730" s="1215"/>
      <c r="AM730" s="1215"/>
      <c r="AN730" s="1203"/>
      <c r="AO730" s="1204"/>
      <c r="AQ730" s="934"/>
    </row>
    <row r="731" spans="1:43" s="24" customFormat="1" ht="15" customHeight="1">
      <c r="A731" s="1214"/>
      <c r="B731" s="1171"/>
      <c r="C731" s="1076"/>
      <c r="D731" s="1076"/>
      <c r="E731" s="1208"/>
      <c r="F731" s="1208"/>
      <c r="G731" s="1076"/>
      <c r="H731" s="1076"/>
      <c r="I731" s="1076"/>
      <c r="J731" s="1076"/>
      <c r="K731" s="1076"/>
      <c r="L731" s="1076"/>
      <c r="M731" s="1245"/>
      <c r="N731" s="1244"/>
      <c r="O731" s="1119"/>
      <c r="P731" s="1119"/>
      <c r="Q731" s="1119"/>
      <c r="R731" s="1171"/>
      <c r="S731" s="1351"/>
      <c r="T731" s="1224"/>
      <c r="U731" s="1224"/>
      <c r="V731" s="1119"/>
      <c r="W731" s="1224"/>
      <c r="X731" s="1076"/>
      <c r="Y731" s="1123" t="s">
        <v>1107</v>
      </c>
      <c r="Z731" s="109">
        <v>58485336</v>
      </c>
      <c r="AA731" s="109">
        <v>-29242668</v>
      </c>
      <c r="AB731" s="111">
        <f t="shared" si="52"/>
        <v>29242668</v>
      </c>
      <c r="AC731" s="1171">
        <v>41208</v>
      </c>
      <c r="AD731" s="119">
        <v>29242668</v>
      </c>
      <c r="AE731" s="119" t="s">
        <v>137</v>
      </c>
      <c r="AF731" s="1215"/>
      <c r="AG731" s="1215"/>
      <c r="AH731" s="119">
        <f t="shared" si="53"/>
        <v>0</v>
      </c>
      <c r="AI731" s="1215"/>
      <c r="AJ731" s="1215"/>
      <c r="AK731" s="1215"/>
      <c r="AL731" s="1215"/>
      <c r="AM731" s="1215"/>
      <c r="AN731" s="1203"/>
      <c r="AO731" s="1204"/>
      <c r="AQ731" s="934"/>
    </row>
    <row r="732" spans="1:43" s="24" customFormat="1" ht="15" customHeight="1">
      <c r="A732" s="1214"/>
      <c r="B732" s="1171"/>
      <c r="C732" s="1076"/>
      <c r="D732" s="1076"/>
      <c r="E732" s="1208"/>
      <c r="F732" s="1208"/>
      <c r="G732" s="1076"/>
      <c r="H732" s="1076"/>
      <c r="I732" s="1076"/>
      <c r="J732" s="1076"/>
      <c r="K732" s="1076"/>
      <c r="L732" s="1076"/>
      <c r="M732" s="1245"/>
      <c r="N732" s="1244"/>
      <c r="O732" s="1119"/>
      <c r="P732" s="1119"/>
      <c r="Q732" s="1119"/>
      <c r="R732" s="1171"/>
      <c r="S732" s="1351"/>
      <c r="T732" s="1224"/>
      <c r="U732" s="1224"/>
      <c r="V732" s="1119"/>
      <c r="W732" s="1224"/>
      <c r="X732" s="1076"/>
      <c r="Y732" s="1123"/>
      <c r="Z732" s="109">
        <v>59440558</v>
      </c>
      <c r="AA732" s="109">
        <v>-29720279</v>
      </c>
      <c r="AB732" s="111">
        <f t="shared" si="52"/>
        <v>29720279</v>
      </c>
      <c r="AC732" s="1171"/>
      <c r="AD732" s="119">
        <v>29720279</v>
      </c>
      <c r="AE732" s="119" t="s">
        <v>137</v>
      </c>
      <c r="AF732" s="1215"/>
      <c r="AG732" s="1215"/>
      <c r="AH732" s="119">
        <f t="shared" si="53"/>
        <v>0</v>
      </c>
      <c r="AI732" s="1215"/>
      <c r="AJ732" s="1215"/>
      <c r="AK732" s="1215"/>
      <c r="AL732" s="1215"/>
      <c r="AM732" s="1215"/>
      <c r="AN732" s="1203"/>
      <c r="AO732" s="1204"/>
      <c r="AQ732" s="934"/>
    </row>
    <row r="733" spans="1:43" s="24" customFormat="1" ht="15" customHeight="1">
      <c r="A733" s="1214"/>
      <c r="B733" s="1171"/>
      <c r="C733" s="1076"/>
      <c r="D733" s="1076"/>
      <c r="E733" s="1208"/>
      <c r="F733" s="1208"/>
      <c r="G733" s="1076"/>
      <c r="H733" s="1076"/>
      <c r="I733" s="1076"/>
      <c r="J733" s="1076"/>
      <c r="K733" s="1076"/>
      <c r="L733" s="1076"/>
      <c r="M733" s="1245"/>
      <c r="N733" s="1244" t="s">
        <v>7</v>
      </c>
      <c r="O733" s="1119">
        <v>120582091</v>
      </c>
      <c r="P733" s="1119"/>
      <c r="Q733" s="1119"/>
      <c r="R733" s="1171"/>
      <c r="S733" s="1351"/>
      <c r="T733" s="1224">
        <f>V733</f>
        <v>118931665</v>
      </c>
      <c r="U733" s="1224">
        <f>O733-T733</f>
        <v>1650426</v>
      </c>
      <c r="V733" s="1119">
        <v>118931665</v>
      </c>
      <c r="W733" s="1224"/>
      <c r="X733" s="1076"/>
      <c r="Y733" s="1123" t="s">
        <v>1106</v>
      </c>
      <c r="Z733" s="109">
        <v>14941707</v>
      </c>
      <c r="AA733" s="109">
        <v>-7470853.5</v>
      </c>
      <c r="AB733" s="109">
        <f t="shared" si="52"/>
        <v>7470853.5</v>
      </c>
      <c r="AC733" s="1171">
        <v>41451</v>
      </c>
      <c r="AD733" s="119">
        <v>7470853.5</v>
      </c>
      <c r="AE733" s="119" t="s">
        <v>137</v>
      </c>
      <c r="AF733" s="1215"/>
      <c r="AG733" s="1215"/>
      <c r="AH733" s="119">
        <f t="shared" si="53"/>
        <v>0</v>
      </c>
      <c r="AI733" s="1215">
        <f>T733-AD727-AD734</f>
        <v>51872960.009999998</v>
      </c>
      <c r="AJ733" s="1215"/>
      <c r="AK733" s="1215">
        <f>T733-V733</f>
        <v>0</v>
      </c>
      <c r="AL733" s="1215"/>
      <c r="AM733" s="1215"/>
      <c r="AN733" s="1203"/>
      <c r="AO733" s="1204"/>
      <c r="AQ733" s="934"/>
    </row>
    <row r="734" spans="1:43" s="24" customFormat="1" ht="15" customHeight="1">
      <c r="A734" s="1214"/>
      <c r="B734" s="1171"/>
      <c r="C734" s="1076"/>
      <c r="D734" s="1076"/>
      <c r="E734" s="1208"/>
      <c r="F734" s="1208"/>
      <c r="G734" s="1076"/>
      <c r="H734" s="1076"/>
      <c r="I734" s="1076"/>
      <c r="J734" s="1076"/>
      <c r="K734" s="1076"/>
      <c r="L734" s="1076"/>
      <c r="M734" s="1245"/>
      <c r="N734" s="1244"/>
      <c r="O734" s="1119"/>
      <c r="P734" s="1119"/>
      <c r="Q734" s="1119"/>
      <c r="R734" s="1171"/>
      <c r="S734" s="1351"/>
      <c r="T734" s="1224"/>
      <c r="U734" s="1224"/>
      <c r="V734" s="1119"/>
      <c r="W734" s="1224"/>
      <c r="X734" s="1076"/>
      <c r="Y734" s="1123"/>
      <c r="Z734" s="109">
        <v>15185745</v>
      </c>
      <c r="AA734" s="109">
        <v>-7592872.5</v>
      </c>
      <c r="AB734" s="109">
        <f t="shared" si="52"/>
        <v>7592872.5</v>
      </c>
      <c r="AC734" s="1171"/>
      <c r="AD734" s="119">
        <v>7592872.5</v>
      </c>
      <c r="AE734" s="119" t="s">
        <v>7</v>
      </c>
      <c r="AF734" s="1215"/>
      <c r="AG734" s="1215"/>
      <c r="AH734" s="119">
        <f t="shared" si="53"/>
        <v>0</v>
      </c>
      <c r="AI734" s="1215"/>
      <c r="AJ734" s="1215"/>
      <c r="AK734" s="1215"/>
      <c r="AL734" s="1215"/>
      <c r="AM734" s="1215"/>
      <c r="AN734" s="1203"/>
      <c r="AO734" s="1204"/>
      <c r="AQ734" s="934"/>
    </row>
    <row r="735" spans="1:43" s="24" customFormat="1" ht="15" customHeight="1">
      <c r="A735" s="1214"/>
      <c r="B735" s="1171"/>
      <c r="C735" s="1076"/>
      <c r="D735" s="1076"/>
      <c r="E735" s="1208"/>
      <c r="F735" s="1208"/>
      <c r="G735" s="1076"/>
      <c r="H735" s="1076"/>
      <c r="I735" s="1076"/>
      <c r="J735" s="1076"/>
      <c r="K735" s="1076"/>
      <c r="L735" s="1076"/>
      <c r="M735" s="1245">
        <v>2</v>
      </c>
      <c r="N735" s="1123" t="s">
        <v>129</v>
      </c>
      <c r="O735" s="1119">
        <v>537682545</v>
      </c>
      <c r="P735" s="1119">
        <v>537682545</v>
      </c>
      <c r="Q735" s="1119"/>
      <c r="R735" s="1171">
        <v>40686</v>
      </c>
      <c r="S735" s="1351">
        <v>530323200</v>
      </c>
      <c r="T735" s="1351">
        <v>530323200</v>
      </c>
      <c r="U735" s="1351">
        <f>O735-T735</f>
        <v>7359345</v>
      </c>
      <c r="V735" s="1119">
        <v>530323200</v>
      </c>
      <c r="W735" s="1224"/>
      <c r="X735" s="1076"/>
      <c r="Y735" s="108" t="s">
        <v>1105</v>
      </c>
      <c r="Z735" s="109">
        <v>0</v>
      </c>
      <c r="AA735" s="109">
        <v>265161600</v>
      </c>
      <c r="AB735" s="109">
        <f t="shared" si="52"/>
        <v>265161600</v>
      </c>
      <c r="AC735" s="97">
        <v>40765</v>
      </c>
      <c r="AD735" s="119">
        <v>265161600</v>
      </c>
      <c r="AE735" s="119" t="s">
        <v>129</v>
      </c>
      <c r="AF735" s="1215">
        <f>SUM(AD735:AD738)</f>
        <v>530323200</v>
      </c>
      <c r="AG735" s="1215"/>
      <c r="AH735" s="119">
        <f t="shared" si="53"/>
        <v>0</v>
      </c>
      <c r="AI735" s="1215">
        <f>S735-SUM(AD735:AD738)</f>
        <v>0</v>
      </c>
      <c r="AJ735" s="1215"/>
      <c r="AK735" s="1215">
        <f>S735-V735</f>
        <v>0</v>
      </c>
      <c r="AL735" s="1215">
        <f>V735-SUM(Z735:Z738)</f>
        <v>0</v>
      </c>
      <c r="AM735" s="1215">
        <f>AK735+AL735</f>
        <v>0</v>
      </c>
      <c r="AN735" s="1203"/>
      <c r="AO735" s="1204"/>
      <c r="AQ735" s="934"/>
    </row>
    <row r="736" spans="1:43" s="24" customFormat="1" ht="15" customHeight="1">
      <c r="A736" s="1214"/>
      <c r="B736" s="1171"/>
      <c r="C736" s="1076"/>
      <c r="D736" s="1076"/>
      <c r="E736" s="1208"/>
      <c r="F736" s="1208"/>
      <c r="G736" s="1076"/>
      <c r="H736" s="1076"/>
      <c r="I736" s="1076"/>
      <c r="J736" s="1076"/>
      <c r="K736" s="1076"/>
      <c r="L736" s="1076"/>
      <c r="M736" s="1245"/>
      <c r="N736" s="1123"/>
      <c r="O736" s="1119"/>
      <c r="P736" s="1119"/>
      <c r="Q736" s="1119"/>
      <c r="R736" s="1171"/>
      <c r="S736" s="1351"/>
      <c r="T736" s="1351"/>
      <c r="U736" s="1351"/>
      <c r="V736" s="1119"/>
      <c r="W736" s="1224"/>
      <c r="X736" s="1076"/>
      <c r="Y736" s="108" t="s">
        <v>1104</v>
      </c>
      <c r="Z736" s="109">
        <v>202907750</v>
      </c>
      <c r="AA736" s="109">
        <v>-101453875</v>
      </c>
      <c r="AB736" s="109">
        <f t="shared" si="52"/>
        <v>101453875</v>
      </c>
      <c r="AC736" s="97">
        <v>41089</v>
      </c>
      <c r="AD736" s="119">
        <v>101453875</v>
      </c>
      <c r="AE736" s="119" t="s">
        <v>129</v>
      </c>
      <c r="AF736" s="1215"/>
      <c r="AG736" s="1215"/>
      <c r="AH736" s="119">
        <f t="shared" si="53"/>
        <v>0</v>
      </c>
      <c r="AI736" s="1215"/>
      <c r="AJ736" s="1215"/>
      <c r="AK736" s="1215"/>
      <c r="AL736" s="1215"/>
      <c r="AM736" s="1215"/>
      <c r="AN736" s="1203"/>
      <c r="AO736" s="1204"/>
      <c r="AQ736" s="934"/>
    </row>
    <row r="737" spans="1:43" s="24" customFormat="1" ht="15" customHeight="1">
      <c r="A737" s="1214"/>
      <c r="B737" s="1171"/>
      <c r="C737" s="1076"/>
      <c r="D737" s="1076"/>
      <c r="E737" s="1208"/>
      <c r="F737" s="1208"/>
      <c r="G737" s="1076"/>
      <c r="H737" s="1076"/>
      <c r="I737" s="1076"/>
      <c r="J737" s="1076"/>
      <c r="K737" s="1076"/>
      <c r="L737" s="1076"/>
      <c r="M737" s="1245"/>
      <c r="N737" s="1123"/>
      <c r="O737" s="1119"/>
      <c r="P737" s="1119"/>
      <c r="Q737" s="1119"/>
      <c r="R737" s="1171"/>
      <c r="S737" s="1351"/>
      <c r="T737" s="1351"/>
      <c r="U737" s="1351"/>
      <c r="V737" s="1119"/>
      <c r="W737" s="1224"/>
      <c r="X737" s="1076"/>
      <c r="Y737" s="108" t="s">
        <v>1107</v>
      </c>
      <c r="Z737" s="109">
        <v>260789512</v>
      </c>
      <c r="AA737" s="109">
        <v>-130394756</v>
      </c>
      <c r="AB737" s="109">
        <f t="shared" si="52"/>
        <v>130394756</v>
      </c>
      <c r="AC737" s="97">
        <v>41208</v>
      </c>
      <c r="AD737" s="119">
        <v>130394756</v>
      </c>
      <c r="AE737" s="119" t="s">
        <v>129</v>
      </c>
      <c r="AF737" s="1215"/>
      <c r="AG737" s="1215"/>
      <c r="AH737" s="119">
        <f t="shared" si="53"/>
        <v>0</v>
      </c>
      <c r="AI737" s="1215"/>
      <c r="AJ737" s="1215"/>
      <c r="AK737" s="1215"/>
      <c r="AL737" s="1215"/>
      <c r="AM737" s="1215"/>
      <c r="AN737" s="1203"/>
      <c r="AO737" s="1204"/>
      <c r="AQ737" s="934"/>
    </row>
    <row r="738" spans="1:43" s="24" customFormat="1" ht="15" customHeight="1">
      <c r="A738" s="1214"/>
      <c r="B738" s="1171"/>
      <c r="C738" s="1076"/>
      <c r="D738" s="1076"/>
      <c r="E738" s="1208"/>
      <c r="F738" s="1208"/>
      <c r="G738" s="1076"/>
      <c r="H738" s="1076"/>
      <c r="I738" s="1076"/>
      <c r="J738" s="1076"/>
      <c r="K738" s="1076"/>
      <c r="L738" s="1076"/>
      <c r="M738" s="1245"/>
      <c r="N738" s="1123"/>
      <c r="O738" s="1119"/>
      <c r="P738" s="1119"/>
      <c r="Q738" s="1119"/>
      <c r="R738" s="1171"/>
      <c r="S738" s="1351"/>
      <c r="T738" s="1351"/>
      <c r="U738" s="1351"/>
      <c r="V738" s="1119"/>
      <c r="W738" s="1224"/>
      <c r="X738" s="1076"/>
      <c r="Y738" s="108" t="s">
        <v>1106</v>
      </c>
      <c r="Z738" s="109">
        <v>66625938</v>
      </c>
      <c r="AA738" s="109">
        <v>-33312969</v>
      </c>
      <c r="AB738" s="109">
        <f t="shared" si="52"/>
        <v>33312969</v>
      </c>
      <c r="AC738" s="97">
        <v>41451</v>
      </c>
      <c r="AD738" s="119">
        <v>33312969</v>
      </c>
      <c r="AE738" s="119" t="s">
        <v>129</v>
      </c>
      <c r="AF738" s="1215"/>
      <c r="AG738" s="1215"/>
      <c r="AH738" s="119">
        <f t="shared" si="53"/>
        <v>0</v>
      </c>
      <c r="AI738" s="1215"/>
      <c r="AJ738" s="1215"/>
      <c r="AK738" s="1215"/>
      <c r="AL738" s="1215"/>
      <c r="AM738" s="1215"/>
      <c r="AN738" s="1203"/>
      <c r="AO738" s="1204"/>
      <c r="AQ738" s="934"/>
    </row>
    <row r="739" spans="1:43" ht="15" customHeight="1">
      <c r="A739" s="1214" t="s">
        <v>1109</v>
      </c>
      <c r="B739" s="1171">
        <v>40822</v>
      </c>
      <c r="C739" s="1076" t="s">
        <v>44</v>
      </c>
      <c r="D739" s="1076" t="s">
        <v>1110</v>
      </c>
      <c r="E739" s="1208">
        <v>72222176</v>
      </c>
      <c r="F739" s="1208"/>
      <c r="G739" s="1076" t="s">
        <v>1111</v>
      </c>
      <c r="H739" s="1076" t="s">
        <v>71</v>
      </c>
      <c r="I739" s="1076" t="s">
        <v>1086</v>
      </c>
      <c r="J739" s="1076" t="s">
        <v>66</v>
      </c>
      <c r="K739" s="1076" t="s">
        <v>183</v>
      </c>
      <c r="L739" s="1076" t="s">
        <v>1117</v>
      </c>
      <c r="M739" s="1245">
        <v>1</v>
      </c>
      <c r="N739" s="1123" t="s">
        <v>141</v>
      </c>
      <c r="O739" s="1119">
        <v>485545287</v>
      </c>
      <c r="P739" s="1119">
        <v>485545287</v>
      </c>
      <c r="Q739" s="1119">
        <f>P739+P742</f>
        <v>1585545287</v>
      </c>
      <c r="R739" s="1171">
        <v>40723</v>
      </c>
      <c r="S739" s="1119">
        <v>485545287</v>
      </c>
      <c r="T739" s="1119">
        <v>485545287</v>
      </c>
      <c r="U739" s="1119">
        <f>O739-T739</f>
        <v>0</v>
      </c>
      <c r="V739" s="1119">
        <v>485545288</v>
      </c>
      <c r="W739" s="1119">
        <v>1566678737</v>
      </c>
      <c r="X739" s="1076" t="s">
        <v>1112</v>
      </c>
      <c r="Y739" s="108" t="s">
        <v>1113</v>
      </c>
      <c r="Z739" s="109">
        <v>0</v>
      </c>
      <c r="AA739" s="109">
        <v>242772644</v>
      </c>
      <c r="AB739" s="109">
        <f t="shared" si="52"/>
        <v>242772644</v>
      </c>
      <c r="AC739" s="97">
        <v>40877</v>
      </c>
      <c r="AD739" s="119">
        <v>242772644</v>
      </c>
      <c r="AE739" s="119" t="s">
        <v>141</v>
      </c>
      <c r="AF739" s="1084">
        <f>SUM(AD739:AD741)</f>
        <v>485545236.10000002</v>
      </c>
      <c r="AG739" s="1084">
        <f>AF739+AF742</f>
        <v>1566678571.5</v>
      </c>
      <c r="AH739" s="111">
        <f t="shared" si="53"/>
        <v>0</v>
      </c>
      <c r="AI739" s="1084">
        <f>S739-SUM(AD739:AD741)</f>
        <v>50.899999976158142</v>
      </c>
      <c r="AJ739" s="1119">
        <f>SUM(Z739:Z744)-SUM(AD739:AD744)</f>
        <v>0</v>
      </c>
      <c r="AK739" s="1119">
        <f>S739-V739</f>
        <v>-1</v>
      </c>
      <c r="AL739" s="1119">
        <f>V739-SUM(Z739:Z741)</f>
        <v>51.899999976158142</v>
      </c>
      <c r="AM739" s="1119">
        <f>AK739+AL739</f>
        <v>50.899999976158142</v>
      </c>
      <c r="AN739" s="1203" t="s">
        <v>1116</v>
      </c>
      <c r="AO739" s="1203" t="s">
        <v>1118</v>
      </c>
    </row>
    <row r="740" spans="1:43" ht="15" customHeight="1">
      <c r="A740" s="1214"/>
      <c r="B740" s="1171"/>
      <c r="C740" s="1076"/>
      <c r="D740" s="1076"/>
      <c r="E740" s="1208"/>
      <c r="F740" s="1208"/>
      <c r="G740" s="1076"/>
      <c r="H740" s="1076"/>
      <c r="I740" s="1076"/>
      <c r="J740" s="1076"/>
      <c r="K740" s="1076"/>
      <c r="L740" s="1076"/>
      <c r="M740" s="1245"/>
      <c r="N740" s="1123"/>
      <c r="O740" s="1119"/>
      <c r="P740" s="1119"/>
      <c r="Q740" s="1119"/>
      <c r="R740" s="1171"/>
      <c r="S740" s="1119"/>
      <c r="T740" s="1119"/>
      <c r="U740" s="1119"/>
      <c r="V740" s="1119"/>
      <c r="W740" s="1119"/>
      <c r="X740" s="1076"/>
      <c r="Y740" s="108" t="s">
        <v>1114</v>
      </c>
      <c r="Z740" s="109">
        <v>433694464.06</v>
      </c>
      <c r="AA740" s="109">
        <v>-242772644</v>
      </c>
      <c r="AB740" s="109">
        <f t="shared" si="52"/>
        <v>190921820.06</v>
      </c>
      <c r="AC740" s="97">
        <v>41260</v>
      </c>
      <c r="AD740" s="119">
        <v>190921820.06</v>
      </c>
      <c r="AE740" s="119" t="s">
        <v>141</v>
      </c>
      <c r="AF740" s="1084"/>
      <c r="AG740" s="1084"/>
      <c r="AH740" s="111">
        <f t="shared" si="53"/>
        <v>0</v>
      </c>
      <c r="AI740" s="1084"/>
      <c r="AJ740" s="1119"/>
      <c r="AK740" s="1119"/>
      <c r="AL740" s="1119"/>
      <c r="AM740" s="1119"/>
      <c r="AN740" s="1203"/>
      <c r="AO740" s="1203"/>
    </row>
    <row r="741" spans="1:43" ht="15" customHeight="1">
      <c r="A741" s="1214"/>
      <c r="B741" s="1171"/>
      <c r="C741" s="1076"/>
      <c r="D741" s="1076"/>
      <c r="E741" s="1208"/>
      <c r="F741" s="1208"/>
      <c r="G741" s="1076"/>
      <c r="H741" s="1076"/>
      <c r="I741" s="1076"/>
      <c r="J741" s="1076"/>
      <c r="K741" s="1076"/>
      <c r="L741" s="1076"/>
      <c r="M741" s="1245"/>
      <c r="N741" s="1123"/>
      <c r="O741" s="1119"/>
      <c r="P741" s="1119"/>
      <c r="Q741" s="1119"/>
      <c r="R741" s="1171"/>
      <c r="S741" s="1119"/>
      <c r="T741" s="1119"/>
      <c r="U741" s="1119"/>
      <c r="V741" s="1119"/>
      <c r="W741" s="1119"/>
      <c r="X741" s="1076"/>
      <c r="Y741" s="108" t="s">
        <v>1115</v>
      </c>
      <c r="Z741" s="109">
        <v>51850772.039999999</v>
      </c>
      <c r="AA741" s="109">
        <v>0</v>
      </c>
      <c r="AB741" s="109">
        <f t="shared" si="52"/>
        <v>51850772.039999999</v>
      </c>
      <c r="AC741" s="97">
        <v>41564</v>
      </c>
      <c r="AD741" s="119">
        <v>51850772.039999999</v>
      </c>
      <c r="AE741" s="119" t="s">
        <v>141</v>
      </c>
      <c r="AF741" s="1084"/>
      <c r="AG741" s="1084"/>
      <c r="AH741" s="111">
        <f t="shared" si="53"/>
        <v>0</v>
      </c>
      <c r="AI741" s="1084"/>
      <c r="AJ741" s="1119"/>
      <c r="AK741" s="1119"/>
      <c r="AL741" s="1119"/>
      <c r="AM741" s="1119"/>
      <c r="AN741" s="1203"/>
      <c r="AO741" s="1203"/>
    </row>
    <row r="742" spans="1:43" ht="15" customHeight="1">
      <c r="A742" s="1214"/>
      <c r="B742" s="1171"/>
      <c r="C742" s="1076"/>
      <c r="D742" s="1076"/>
      <c r="E742" s="1208"/>
      <c r="F742" s="1208"/>
      <c r="G742" s="1076"/>
      <c r="H742" s="1076"/>
      <c r="I742" s="1076"/>
      <c r="J742" s="1076"/>
      <c r="K742" s="1076"/>
      <c r="L742" s="1076"/>
      <c r="M742" s="1245">
        <v>176</v>
      </c>
      <c r="N742" s="1123" t="s">
        <v>7</v>
      </c>
      <c r="O742" s="1119">
        <v>1100000000</v>
      </c>
      <c r="P742" s="1119">
        <v>1100000000</v>
      </c>
      <c r="Q742" s="1119"/>
      <c r="R742" s="1171">
        <v>40723</v>
      </c>
      <c r="S742" s="1119">
        <v>1081133450</v>
      </c>
      <c r="T742" s="1119">
        <v>1081133450</v>
      </c>
      <c r="U742" s="1119">
        <f>O742-T742</f>
        <v>18866550</v>
      </c>
      <c r="V742" s="1119">
        <v>1081133450</v>
      </c>
      <c r="W742" s="1119"/>
      <c r="X742" s="1076"/>
      <c r="Y742" s="108" t="s">
        <v>1113</v>
      </c>
      <c r="Z742" s="109">
        <v>0</v>
      </c>
      <c r="AA742" s="109">
        <v>540566725</v>
      </c>
      <c r="AB742" s="109">
        <f t="shared" si="52"/>
        <v>540566725</v>
      </c>
      <c r="AC742" s="97">
        <v>40877</v>
      </c>
      <c r="AD742" s="119">
        <v>540566725</v>
      </c>
      <c r="AE742" s="119" t="s">
        <v>7</v>
      </c>
      <c r="AF742" s="1084">
        <f>SUM(AD742:AD744)</f>
        <v>1081133335.4000001</v>
      </c>
      <c r="AG742" s="1084"/>
      <c r="AH742" s="111">
        <f t="shared" si="53"/>
        <v>0</v>
      </c>
      <c r="AI742" s="1084">
        <f>S742-SUM(AD742:AD744)</f>
        <v>114.59999990463257</v>
      </c>
      <c r="AJ742" s="1119"/>
      <c r="AK742" s="1119">
        <f>S742-V742</f>
        <v>0</v>
      </c>
      <c r="AL742" s="1119">
        <f>S742-SUM(Z742:Z744)</f>
        <v>114.59999990463257</v>
      </c>
      <c r="AM742" s="1119">
        <f>AK742+AL742</f>
        <v>114.59999990463257</v>
      </c>
      <c r="AN742" s="1203"/>
      <c r="AO742" s="1203"/>
    </row>
    <row r="743" spans="1:43" ht="15" customHeight="1">
      <c r="A743" s="1214"/>
      <c r="B743" s="1171"/>
      <c r="C743" s="1076"/>
      <c r="D743" s="1076"/>
      <c r="E743" s="1208"/>
      <c r="F743" s="1208"/>
      <c r="G743" s="1076"/>
      <c r="H743" s="1076"/>
      <c r="I743" s="1076"/>
      <c r="J743" s="1076"/>
      <c r="K743" s="1076"/>
      <c r="L743" s="1076"/>
      <c r="M743" s="1245"/>
      <c r="N743" s="1123"/>
      <c r="O743" s="1119"/>
      <c r="P743" s="1119"/>
      <c r="Q743" s="1119"/>
      <c r="R743" s="1171"/>
      <c r="S743" s="1119"/>
      <c r="T743" s="1119"/>
      <c r="U743" s="1119"/>
      <c r="V743" s="1119"/>
      <c r="W743" s="1119"/>
      <c r="X743" s="1076"/>
      <c r="Y743" s="108" t="s">
        <v>1114</v>
      </c>
      <c r="Z743" s="109">
        <v>965521744.44000006</v>
      </c>
      <c r="AA743" s="109">
        <v>-540566725</v>
      </c>
      <c r="AB743" s="109">
        <f t="shared" si="52"/>
        <v>424955019.44000006</v>
      </c>
      <c r="AC743" s="97">
        <v>41260</v>
      </c>
      <c r="AD743" s="119">
        <v>424955019.44</v>
      </c>
      <c r="AE743" s="119" t="s">
        <v>7</v>
      </c>
      <c r="AF743" s="1084"/>
      <c r="AG743" s="1084"/>
      <c r="AH743" s="111">
        <f t="shared" si="53"/>
        <v>0</v>
      </c>
      <c r="AI743" s="1084"/>
      <c r="AJ743" s="1119"/>
      <c r="AK743" s="1119"/>
      <c r="AL743" s="1119"/>
      <c r="AM743" s="1119"/>
      <c r="AN743" s="1203"/>
      <c r="AO743" s="1203"/>
    </row>
    <row r="744" spans="1:43" ht="15" customHeight="1">
      <c r="A744" s="1214"/>
      <c r="B744" s="1171"/>
      <c r="C744" s="1076"/>
      <c r="D744" s="1076"/>
      <c r="E744" s="1208"/>
      <c r="F744" s="1208"/>
      <c r="G744" s="1076"/>
      <c r="H744" s="1076"/>
      <c r="I744" s="1076"/>
      <c r="J744" s="1076"/>
      <c r="K744" s="1076"/>
      <c r="L744" s="1076"/>
      <c r="M744" s="1245"/>
      <c r="N744" s="1123"/>
      <c r="O744" s="1119"/>
      <c r="P744" s="1119"/>
      <c r="Q744" s="1119"/>
      <c r="R744" s="1171"/>
      <c r="S744" s="1119"/>
      <c r="T744" s="1119"/>
      <c r="U744" s="1119"/>
      <c r="V744" s="1119"/>
      <c r="W744" s="1119"/>
      <c r="X744" s="1076"/>
      <c r="Y744" s="108" t="s">
        <v>1115</v>
      </c>
      <c r="Z744" s="109">
        <v>115611590.95999999</v>
      </c>
      <c r="AA744" s="109">
        <v>0</v>
      </c>
      <c r="AB744" s="109">
        <f t="shared" si="52"/>
        <v>115611590.95999999</v>
      </c>
      <c r="AC744" s="97">
        <v>41564</v>
      </c>
      <c r="AD744" s="119">
        <v>115611590.95999999</v>
      </c>
      <c r="AE744" s="119" t="s">
        <v>7</v>
      </c>
      <c r="AF744" s="1084"/>
      <c r="AG744" s="1084"/>
      <c r="AH744" s="111">
        <f t="shared" si="53"/>
        <v>0</v>
      </c>
      <c r="AI744" s="1084"/>
      <c r="AJ744" s="1119"/>
      <c r="AK744" s="1119"/>
      <c r="AL744" s="1119"/>
      <c r="AM744" s="1119"/>
      <c r="AN744" s="1203"/>
      <c r="AO744" s="1203"/>
    </row>
    <row r="745" spans="1:43" s="4" customFormat="1" ht="15" customHeight="1">
      <c r="A745" s="1075" t="s">
        <v>1149</v>
      </c>
      <c r="B745" s="1171">
        <v>40822</v>
      </c>
      <c r="C745" s="1076" t="s">
        <v>43</v>
      </c>
      <c r="D745" s="1076" t="s">
        <v>1151</v>
      </c>
      <c r="E745" s="1208">
        <v>900470501</v>
      </c>
      <c r="F745" s="1208">
        <v>9</v>
      </c>
      <c r="G745" s="1076" t="s">
        <v>1150</v>
      </c>
      <c r="H745" s="1076" t="s">
        <v>71</v>
      </c>
      <c r="I745" s="1076" t="s">
        <v>1086</v>
      </c>
      <c r="J745" s="1076" t="s">
        <v>66</v>
      </c>
      <c r="K745" s="1076" t="s">
        <v>183</v>
      </c>
      <c r="L745" s="1076" t="s">
        <v>1152</v>
      </c>
      <c r="M745" s="1350">
        <v>183</v>
      </c>
      <c r="N745" s="1122" t="s">
        <v>137</v>
      </c>
      <c r="O745" s="1119">
        <v>29937981</v>
      </c>
      <c r="P745" s="1119">
        <f>O745+O753</f>
        <v>113912245</v>
      </c>
      <c r="Q745" s="1224">
        <f>P745+P755+P760</f>
        <v>493397628</v>
      </c>
      <c r="R745" s="1171">
        <v>40753</v>
      </c>
      <c r="S745" s="1295">
        <f>T745+T753</f>
        <v>113912245</v>
      </c>
      <c r="T745" s="1119">
        <v>29937981</v>
      </c>
      <c r="U745" s="1119">
        <f>O745-T745</f>
        <v>0</v>
      </c>
      <c r="V745" s="1119">
        <v>29566743</v>
      </c>
      <c r="W745" s="1119">
        <v>487926297</v>
      </c>
      <c r="X745" s="1076" t="s">
        <v>1112</v>
      </c>
      <c r="Y745" s="1123" t="s">
        <v>1153</v>
      </c>
      <c r="Z745" s="109">
        <v>0</v>
      </c>
      <c r="AA745" s="109">
        <v>14783371.5</v>
      </c>
      <c r="AB745" s="109">
        <f t="shared" si="52"/>
        <v>14783371.5</v>
      </c>
      <c r="AC745" s="1171">
        <v>40898</v>
      </c>
      <c r="AD745" s="119">
        <v>14783371.51</v>
      </c>
      <c r="AE745" s="119" t="s">
        <v>137</v>
      </c>
      <c r="AF745" s="1084">
        <f>SUM(AD745:AD754)</f>
        <v>112499707</v>
      </c>
      <c r="AG745" s="1084">
        <f>AF745+AF755+AF760</f>
        <v>487926295</v>
      </c>
      <c r="AH745" s="111">
        <f t="shared" si="53"/>
        <v>-9.9999997764825821E-3</v>
      </c>
      <c r="AI745" s="1084">
        <f>O745-SUM(AD747:AD753)-AD745</f>
        <v>-36860408.009999998</v>
      </c>
      <c r="AJ745" s="1119">
        <f>SUM(Z745:Z760)-SUM(AD745:AD760)</f>
        <v>1</v>
      </c>
      <c r="AK745" s="1119">
        <f>O745-V745</f>
        <v>371238</v>
      </c>
      <c r="AL745" s="1119">
        <f>SUM(V745:V754)-SUM(Z745:Z754)</f>
        <v>1</v>
      </c>
      <c r="AM745" s="1224">
        <f>AK745+AK753+AL745</f>
        <v>1412538</v>
      </c>
      <c r="AN745" s="1203" t="s">
        <v>606</v>
      </c>
      <c r="AO745" s="1204" t="s">
        <v>1159</v>
      </c>
      <c r="AQ745" s="934"/>
    </row>
    <row r="746" spans="1:43" s="4" customFormat="1" ht="15" customHeight="1">
      <c r="A746" s="1075"/>
      <c r="B746" s="1171"/>
      <c r="C746" s="1076"/>
      <c r="D746" s="1076"/>
      <c r="E746" s="1208"/>
      <c r="F746" s="1208"/>
      <c r="G746" s="1076"/>
      <c r="H746" s="1076"/>
      <c r="I746" s="1076"/>
      <c r="J746" s="1076"/>
      <c r="K746" s="1076"/>
      <c r="L746" s="1076"/>
      <c r="M746" s="1350"/>
      <c r="N746" s="1122"/>
      <c r="O746" s="1119"/>
      <c r="P746" s="1119"/>
      <c r="Q746" s="1224"/>
      <c r="R746" s="1171"/>
      <c r="S746" s="1295"/>
      <c r="T746" s="1119"/>
      <c r="U746" s="1119"/>
      <c r="V746" s="1119"/>
      <c r="W746" s="1119"/>
      <c r="X746" s="1076"/>
      <c r="Y746" s="1123"/>
      <c r="Z746" s="109">
        <v>0</v>
      </c>
      <c r="AA746" s="109">
        <v>41466482.5</v>
      </c>
      <c r="AB746" s="109">
        <f t="shared" si="52"/>
        <v>41466482.5</v>
      </c>
      <c r="AC746" s="1171"/>
      <c r="AD746" s="119">
        <v>41466482.490000002</v>
      </c>
      <c r="AE746" s="119" t="s">
        <v>7</v>
      </c>
      <c r="AF746" s="1084"/>
      <c r="AG746" s="1084"/>
      <c r="AH746" s="111">
        <f t="shared" si="53"/>
        <v>9.9999979138374329E-3</v>
      </c>
      <c r="AI746" s="1084"/>
      <c r="AJ746" s="1119"/>
      <c r="AK746" s="1119"/>
      <c r="AL746" s="1119"/>
      <c r="AM746" s="1224"/>
      <c r="AN746" s="1203"/>
      <c r="AO746" s="1204"/>
      <c r="AQ746" s="934"/>
    </row>
    <row r="747" spans="1:43" s="4" customFormat="1" ht="15" customHeight="1">
      <c r="A747" s="1075"/>
      <c r="B747" s="1171"/>
      <c r="C747" s="1076"/>
      <c r="D747" s="1076"/>
      <c r="E747" s="1208"/>
      <c r="F747" s="1208"/>
      <c r="G747" s="1076"/>
      <c r="H747" s="1076"/>
      <c r="I747" s="1076"/>
      <c r="J747" s="1076"/>
      <c r="K747" s="1076"/>
      <c r="L747" s="1076"/>
      <c r="M747" s="1350"/>
      <c r="N747" s="1122"/>
      <c r="O747" s="1119"/>
      <c r="P747" s="1119"/>
      <c r="Q747" s="1224"/>
      <c r="R747" s="1171"/>
      <c r="S747" s="1295"/>
      <c r="T747" s="1119"/>
      <c r="U747" s="1119"/>
      <c r="V747" s="1119"/>
      <c r="W747" s="1119"/>
      <c r="X747" s="1076"/>
      <c r="Y747" s="1123" t="s">
        <v>1154</v>
      </c>
      <c r="Z747" s="109">
        <v>9611380</v>
      </c>
      <c r="AA747" s="109">
        <v>-4805690</v>
      </c>
      <c r="AB747" s="109">
        <f t="shared" si="52"/>
        <v>4805690</v>
      </c>
      <c r="AC747" s="1171">
        <v>41032</v>
      </c>
      <c r="AD747" s="119">
        <v>4805690</v>
      </c>
      <c r="AE747" s="119" t="s">
        <v>137</v>
      </c>
      <c r="AF747" s="1084"/>
      <c r="AG747" s="1084"/>
      <c r="AH747" s="111">
        <f t="shared" si="53"/>
        <v>0</v>
      </c>
      <c r="AI747" s="1084"/>
      <c r="AJ747" s="1119"/>
      <c r="AK747" s="1119"/>
      <c r="AL747" s="1119"/>
      <c r="AM747" s="1224"/>
      <c r="AN747" s="1203"/>
      <c r="AO747" s="1204"/>
      <c r="AQ747" s="934"/>
    </row>
    <row r="748" spans="1:43" s="4" customFormat="1" ht="15" customHeight="1">
      <c r="A748" s="1075"/>
      <c r="B748" s="1171"/>
      <c r="C748" s="1076"/>
      <c r="D748" s="1076"/>
      <c r="E748" s="1208"/>
      <c r="F748" s="1208"/>
      <c r="G748" s="1076"/>
      <c r="H748" s="1076"/>
      <c r="I748" s="1076"/>
      <c r="J748" s="1076"/>
      <c r="K748" s="1076"/>
      <c r="L748" s="1076"/>
      <c r="M748" s="1350"/>
      <c r="N748" s="1122"/>
      <c r="O748" s="1119"/>
      <c r="P748" s="1119"/>
      <c r="Q748" s="1224"/>
      <c r="R748" s="1171"/>
      <c r="S748" s="1295"/>
      <c r="T748" s="1119"/>
      <c r="U748" s="1119"/>
      <c r="V748" s="1119"/>
      <c r="W748" s="1119"/>
      <c r="X748" s="1076"/>
      <c r="Y748" s="1123"/>
      <c r="Z748" s="109">
        <v>26088032</v>
      </c>
      <c r="AA748" s="109">
        <v>-13044016</v>
      </c>
      <c r="AB748" s="109">
        <f t="shared" si="52"/>
        <v>13044016</v>
      </c>
      <c r="AC748" s="1171"/>
      <c r="AD748" s="119">
        <v>13044016</v>
      </c>
      <c r="AE748" s="119" t="s">
        <v>137</v>
      </c>
      <c r="AF748" s="1084"/>
      <c r="AG748" s="1084"/>
      <c r="AH748" s="111">
        <f t="shared" si="53"/>
        <v>0</v>
      </c>
      <c r="AI748" s="1084"/>
      <c r="AJ748" s="1119"/>
      <c r="AK748" s="1119"/>
      <c r="AL748" s="1119"/>
      <c r="AM748" s="1224"/>
      <c r="AN748" s="1203"/>
      <c r="AO748" s="1204"/>
      <c r="AQ748" s="934"/>
    </row>
    <row r="749" spans="1:43" s="4" customFormat="1" ht="15" customHeight="1">
      <c r="A749" s="1075"/>
      <c r="B749" s="1171"/>
      <c r="C749" s="1076"/>
      <c r="D749" s="1076"/>
      <c r="E749" s="1208"/>
      <c r="F749" s="1208"/>
      <c r="G749" s="1076"/>
      <c r="H749" s="1076"/>
      <c r="I749" s="1076"/>
      <c r="J749" s="1076"/>
      <c r="K749" s="1076"/>
      <c r="L749" s="1076"/>
      <c r="M749" s="1350"/>
      <c r="N749" s="1122"/>
      <c r="O749" s="1119"/>
      <c r="P749" s="1119"/>
      <c r="Q749" s="1224"/>
      <c r="R749" s="1171"/>
      <c r="S749" s="1295"/>
      <c r="T749" s="1119"/>
      <c r="U749" s="1119"/>
      <c r="V749" s="1119"/>
      <c r="W749" s="1119"/>
      <c r="X749" s="1076"/>
      <c r="Y749" s="1123" t="s">
        <v>1155</v>
      </c>
      <c r="Z749" s="109">
        <v>6748694</v>
      </c>
      <c r="AA749" s="109">
        <v>-3374347</v>
      </c>
      <c r="AB749" s="109">
        <f t="shared" si="52"/>
        <v>3374347</v>
      </c>
      <c r="AC749" s="1171">
        <v>41088</v>
      </c>
      <c r="AD749" s="119">
        <v>3374347</v>
      </c>
      <c r="AE749" s="119" t="s">
        <v>137</v>
      </c>
      <c r="AF749" s="1084"/>
      <c r="AG749" s="1084"/>
      <c r="AH749" s="111">
        <f t="shared" si="53"/>
        <v>0</v>
      </c>
      <c r="AI749" s="1084"/>
      <c r="AJ749" s="1119"/>
      <c r="AK749" s="1119"/>
      <c r="AL749" s="1119"/>
      <c r="AM749" s="1224"/>
      <c r="AN749" s="1203"/>
      <c r="AO749" s="1204"/>
      <c r="AQ749" s="934"/>
    </row>
    <row r="750" spans="1:43" s="4" customFormat="1" ht="15" customHeight="1">
      <c r="A750" s="1075"/>
      <c r="B750" s="1171"/>
      <c r="C750" s="1076"/>
      <c r="D750" s="1076"/>
      <c r="E750" s="1208"/>
      <c r="F750" s="1208"/>
      <c r="G750" s="1076"/>
      <c r="H750" s="1076"/>
      <c r="I750" s="1076"/>
      <c r="J750" s="1076"/>
      <c r="K750" s="1076"/>
      <c r="L750" s="1076"/>
      <c r="M750" s="1350"/>
      <c r="N750" s="1122"/>
      <c r="O750" s="1119"/>
      <c r="P750" s="1119"/>
      <c r="Q750" s="1224"/>
      <c r="R750" s="1171"/>
      <c r="S750" s="1295"/>
      <c r="T750" s="1119"/>
      <c r="U750" s="1119"/>
      <c r="V750" s="1119"/>
      <c r="W750" s="1119"/>
      <c r="X750" s="1076"/>
      <c r="Y750" s="1123"/>
      <c r="Z750" s="109">
        <v>18929690</v>
      </c>
      <c r="AA750" s="109">
        <v>-9464845</v>
      </c>
      <c r="AB750" s="109">
        <f t="shared" si="52"/>
        <v>9464845</v>
      </c>
      <c r="AC750" s="1171"/>
      <c r="AD750" s="119">
        <v>9464845</v>
      </c>
      <c r="AE750" s="119" t="s">
        <v>137</v>
      </c>
      <c r="AF750" s="1084"/>
      <c r="AG750" s="1084"/>
      <c r="AH750" s="111">
        <f t="shared" si="53"/>
        <v>0</v>
      </c>
      <c r="AI750" s="1084"/>
      <c r="AJ750" s="1119"/>
      <c r="AK750" s="1119"/>
      <c r="AL750" s="1119"/>
      <c r="AM750" s="1224"/>
      <c r="AN750" s="1203"/>
      <c r="AO750" s="1204"/>
      <c r="AQ750" s="934"/>
    </row>
    <row r="751" spans="1:43" s="4" customFormat="1" ht="15" customHeight="1">
      <c r="A751" s="1075"/>
      <c r="B751" s="1171"/>
      <c r="C751" s="1076"/>
      <c r="D751" s="1076"/>
      <c r="E751" s="1208"/>
      <c r="F751" s="1208"/>
      <c r="G751" s="1076"/>
      <c r="H751" s="1076"/>
      <c r="I751" s="1076"/>
      <c r="J751" s="1076"/>
      <c r="K751" s="1076"/>
      <c r="L751" s="1076"/>
      <c r="M751" s="1350"/>
      <c r="N751" s="1122"/>
      <c r="O751" s="1119"/>
      <c r="P751" s="1119"/>
      <c r="Q751" s="1224"/>
      <c r="R751" s="1171"/>
      <c r="S751" s="1295"/>
      <c r="T751" s="1119"/>
      <c r="U751" s="1119"/>
      <c r="V751" s="1119"/>
      <c r="W751" s="1119"/>
      <c r="X751" s="1076"/>
      <c r="Y751" s="1123" t="s">
        <v>1156</v>
      </c>
      <c r="Z751" s="109">
        <v>10497751</v>
      </c>
      <c r="AA751" s="109">
        <v>-5248876</v>
      </c>
      <c r="AB751" s="109">
        <f t="shared" si="52"/>
        <v>5248875</v>
      </c>
      <c r="AC751" s="1171">
        <v>41094</v>
      </c>
      <c r="AD751" s="119">
        <v>5248875</v>
      </c>
      <c r="AE751" s="119" t="s">
        <v>137</v>
      </c>
      <c r="AF751" s="1084"/>
      <c r="AG751" s="1084"/>
      <c r="AH751" s="111">
        <f t="shared" si="53"/>
        <v>0</v>
      </c>
      <c r="AI751" s="1084"/>
      <c r="AJ751" s="1119"/>
      <c r="AK751" s="1119"/>
      <c r="AL751" s="1119"/>
      <c r="AM751" s="1224"/>
      <c r="AN751" s="1203"/>
      <c r="AO751" s="1204"/>
      <c r="AQ751" s="934"/>
    </row>
    <row r="752" spans="1:43" s="4" customFormat="1" ht="15" customHeight="1">
      <c r="A752" s="1075"/>
      <c r="B752" s="1171"/>
      <c r="C752" s="1076"/>
      <c r="D752" s="1076"/>
      <c r="E752" s="1208"/>
      <c r="F752" s="1208"/>
      <c r="G752" s="1076"/>
      <c r="H752" s="1076"/>
      <c r="I752" s="1076"/>
      <c r="J752" s="1076"/>
      <c r="K752" s="1076"/>
      <c r="L752" s="1076"/>
      <c r="M752" s="1350"/>
      <c r="N752" s="1122"/>
      <c r="O752" s="1119"/>
      <c r="P752" s="1119"/>
      <c r="Q752" s="1224"/>
      <c r="R752" s="1171"/>
      <c r="S752" s="1295"/>
      <c r="T752" s="1119"/>
      <c r="U752" s="1119"/>
      <c r="V752" s="1119"/>
      <c r="W752" s="1119"/>
      <c r="X752" s="1076"/>
      <c r="Y752" s="1123"/>
      <c r="Z752" s="109">
        <v>29445572</v>
      </c>
      <c r="AA752" s="109">
        <v>-14722786</v>
      </c>
      <c r="AB752" s="109">
        <f t="shared" si="52"/>
        <v>14722786</v>
      </c>
      <c r="AC752" s="1171"/>
      <c r="AD752" s="119">
        <v>14722786</v>
      </c>
      <c r="AE752" s="119" t="s">
        <v>137</v>
      </c>
      <c r="AF752" s="1084"/>
      <c r="AG752" s="1084"/>
      <c r="AH752" s="111">
        <f t="shared" si="53"/>
        <v>0</v>
      </c>
      <c r="AI752" s="1084"/>
      <c r="AJ752" s="1119"/>
      <c r="AK752" s="1119"/>
      <c r="AL752" s="1119"/>
      <c r="AM752" s="1224"/>
      <c r="AN752" s="1203"/>
      <c r="AO752" s="1204"/>
      <c r="AQ752" s="934"/>
    </row>
    <row r="753" spans="1:43" s="4" customFormat="1" ht="15" customHeight="1">
      <c r="A753" s="1075"/>
      <c r="B753" s="1171"/>
      <c r="C753" s="1076"/>
      <c r="D753" s="1076"/>
      <c r="E753" s="1208"/>
      <c r="F753" s="1208"/>
      <c r="G753" s="1076"/>
      <c r="H753" s="1076"/>
      <c r="I753" s="1076"/>
      <c r="J753" s="1076"/>
      <c r="K753" s="1076"/>
      <c r="L753" s="1076"/>
      <c r="M753" s="1350"/>
      <c r="N753" s="1122" t="s">
        <v>7</v>
      </c>
      <c r="O753" s="1119">
        <v>83974264</v>
      </c>
      <c r="P753" s="1119"/>
      <c r="Q753" s="1224"/>
      <c r="R753" s="1171"/>
      <c r="S753" s="1295"/>
      <c r="T753" s="1119">
        <v>83974264</v>
      </c>
      <c r="U753" s="1119">
        <f>O753-T753</f>
        <v>0</v>
      </c>
      <c r="V753" s="1119">
        <v>82932965</v>
      </c>
      <c r="W753" s="1119"/>
      <c r="X753" s="1076"/>
      <c r="Y753" s="1123" t="s">
        <v>1157</v>
      </c>
      <c r="Z753" s="109">
        <v>2708917</v>
      </c>
      <c r="AA753" s="109">
        <v>-1354458.5</v>
      </c>
      <c r="AB753" s="109">
        <f t="shared" si="52"/>
        <v>1354458.5</v>
      </c>
      <c r="AC753" s="1171">
        <v>41878</v>
      </c>
      <c r="AD753" s="119">
        <v>1354458.5</v>
      </c>
      <c r="AE753" s="119" t="s">
        <v>137</v>
      </c>
      <c r="AF753" s="1084"/>
      <c r="AG753" s="1084"/>
      <c r="AH753" s="111">
        <f t="shared" si="53"/>
        <v>0</v>
      </c>
      <c r="AI753" s="1084">
        <f>O753-AD746-AD754</f>
        <v>38272946.009999998</v>
      </c>
      <c r="AJ753" s="1119"/>
      <c r="AK753" s="1119">
        <f>O753-V753</f>
        <v>1041299</v>
      </c>
      <c r="AL753" s="1119"/>
      <c r="AM753" s="1224"/>
      <c r="AN753" s="1203"/>
      <c r="AO753" s="1204"/>
      <c r="AQ753" s="934"/>
    </row>
    <row r="754" spans="1:43" s="4" customFormat="1" ht="15" customHeight="1">
      <c r="A754" s="1075"/>
      <c r="B754" s="1171"/>
      <c r="C754" s="1076"/>
      <c r="D754" s="1076"/>
      <c r="E754" s="1208"/>
      <c r="F754" s="1208"/>
      <c r="G754" s="1076"/>
      <c r="H754" s="1076"/>
      <c r="I754" s="1076"/>
      <c r="J754" s="1076"/>
      <c r="K754" s="1076"/>
      <c r="L754" s="1076"/>
      <c r="M754" s="1350"/>
      <c r="N754" s="1122"/>
      <c r="O754" s="1119"/>
      <c r="P754" s="1119"/>
      <c r="Q754" s="1224"/>
      <c r="R754" s="1171"/>
      <c r="S754" s="1295"/>
      <c r="T754" s="1119"/>
      <c r="U754" s="1119"/>
      <c r="V754" s="1119"/>
      <c r="W754" s="1119"/>
      <c r="X754" s="1076"/>
      <c r="Y754" s="1123"/>
      <c r="Z754" s="109">
        <v>8469671</v>
      </c>
      <c r="AA754" s="109">
        <v>-4234835.5</v>
      </c>
      <c r="AB754" s="109">
        <f t="shared" si="52"/>
        <v>4234835.5</v>
      </c>
      <c r="AC754" s="1171"/>
      <c r="AD754" s="119">
        <v>4234835.5</v>
      </c>
      <c r="AE754" s="119" t="s">
        <v>7</v>
      </c>
      <c r="AF754" s="1084"/>
      <c r="AG754" s="1084"/>
      <c r="AH754" s="111">
        <f t="shared" si="53"/>
        <v>0</v>
      </c>
      <c r="AI754" s="1084"/>
      <c r="AJ754" s="1119"/>
      <c r="AK754" s="1119"/>
      <c r="AL754" s="1119"/>
      <c r="AM754" s="1224"/>
      <c r="AN754" s="1203"/>
      <c r="AO754" s="1204"/>
      <c r="AQ754" s="934"/>
    </row>
    <row r="755" spans="1:43" s="4" customFormat="1" ht="15" customHeight="1">
      <c r="A755" s="1075"/>
      <c r="B755" s="1171"/>
      <c r="C755" s="1076"/>
      <c r="D755" s="1076"/>
      <c r="E755" s="1208"/>
      <c r="F755" s="1208"/>
      <c r="G755" s="1076"/>
      <c r="H755" s="1076"/>
      <c r="I755" s="1076"/>
      <c r="J755" s="1076"/>
      <c r="K755" s="1076"/>
      <c r="L755" s="1076"/>
      <c r="M755" s="1245">
        <v>1</v>
      </c>
      <c r="N755" s="1122" t="s">
        <v>169</v>
      </c>
      <c r="O755" s="1119">
        <v>327316179</v>
      </c>
      <c r="P755" s="1119">
        <v>327316179</v>
      </c>
      <c r="Q755" s="1224"/>
      <c r="R755" s="1171">
        <v>40753</v>
      </c>
      <c r="S755" s="1119">
        <v>327316179</v>
      </c>
      <c r="T755" s="1119">
        <v>327316179</v>
      </c>
      <c r="U755" s="1119">
        <f>O755-T755</f>
        <v>0</v>
      </c>
      <c r="V755" s="1119">
        <v>323257385</v>
      </c>
      <c r="W755" s="1119"/>
      <c r="X755" s="1076"/>
      <c r="Y755" s="108" t="s">
        <v>1153</v>
      </c>
      <c r="Z755" s="109">
        <v>0</v>
      </c>
      <c r="AA755" s="109">
        <v>161628692.5</v>
      </c>
      <c r="AB755" s="109">
        <f t="shared" si="52"/>
        <v>161628692.5</v>
      </c>
      <c r="AC755" s="97">
        <v>40898</v>
      </c>
      <c r="AD755" s="119">
        <v>161628692.5</v>
      </c>
      <c r="AE755" s="119" t="s">
        <v>169</v>
      </c>
      <c r="AF755" s="1084">
        <f>SUM(AD755:AD759)</f>
        <v>323257384</v>
      </c>
      <c r="AG755" s="1084"/>
      <c r="AH755" s="111">
        <f t="shared" si="53"/>
        <v>0</v>
      </c>
      <c r="AI755" s="1084">
        <f>O755-SUM(AD755:AD759)</f>
        <v>4058795</v>
      </c>
      <c r="AJ755" s="1119"/>
      <c r="AK755" s="1119">
        <f>P755-V755</f>
        <v>4058794</v>
      </c>
      <c r="AL755" s="1119">
        <f>V755-SUM(Z755:Z759)</f>
        <v>0</v>
      </c>
      <c r="AM755" s="1119">
        <f>AK755+AL755+AJ745</f>
        <v>4058795</v>
      </c>
      <c r="AN755" s="1203"/>
      <c r="AO755" s="1204"/>
      <c r="AQ755" s="934"/>
    </row>
    <row r="756" spans="1:43" s="4" customFormat="1" ht="15" customHeight="1">
      <c r="A756" s="1075"/>
      <c r="B756" s="1171"/>
      <c r="C756" s="1076"/>
      <c r="D756" s="1076"/>
      <c r="E756" s="1208"/>
      <c r="F756" s="1208"/>
      <c r="G756" s="1076"/>
      <c r="H756" s="1076"/>
      <c r="I756" s="1076"/>
      <c r="J756" s="1076"/>
      <c r="K756" s="1076"/>
      <c r="L756" s="1076"/>
      <c r="M756" s="1245"/>
      <c r="N756" s="1122"/>
      <c r="O756" s="1119"/>
      <c r="P756" s="1119"/>
      <c r="Q756" s="1224"/>
      <c r="R756" s="1171"/>
      <c r="S756" s="1119"/>
      <c r="T756" s="1119"/>
      <c r="U756" s="1119"/>
      <c r="V756" s="1119"/>
      <c r="W756" s="1119"/>
      <c r="X756" s="1076"/>
      <c r="Y756" s="108" t="s">
        <v>1154</v>
      </c>
      <c r="Z756" s="109">
        <v>101606018</v>
      </c>
      <c r="AA756" s="109">
        <v>-50803009</v>
      </c>
      <c r="AB756" s="109">
        <f t="shared" si="52"/>
        <v>50803009</v>
      </c>
      <c r="AC756" s="97">
        <v>41032</v>
      </c>
      <c r="AD756" s="119">
        <v>50803009</v>
      </c>
      <c r="AE756" s="119" t="s">
        <v>169</v>
      </c>
      <c r="AF756" s="1084"/>
      <c r="AG756" s="1084"/>
      <c r="AH756" s="111">
        <f t="shared" si="53"/>
        <v>0</v>
      </c>
      <c r="AI756" s="1084"/>
      <c r="AJ756" s="1119"/>
      <c r="AK756" s="1119"/>
      <c r="AL756" s="1119"/>
      <c r="AM756" s="1119"/>
      <c r="AN756" s="1203"/>
      <c r="AO756" s="1204"/>
      <c r="AQ756" s="934"/>
    </row>
    <row r="757" spans="1:43" s="4" customFormat="1" ht="15" customHeight="1">
      <c r="A757" s="1075"/>
      <c r="B757" s="1171"/>
      <c r="C757" s="1076"/>
      <c r="D757" s="1076"/>
      <c r="E757" s="1208"/>
      <c r="F757" s="1208"/>
      <c r="G757" s="1076"/>
      <c r="H757" s="1076"/>
      <c r="I757" s="1076"/>
      <c r="J757" s="1076"/>
      <c r="K757" s="1076"/>
      <c r="L757" s="1076"/>
      <c r="M757" s="1245"/>
      <c r="N757" s="1122"/>
      <c r="O757" s="1119"/>
      <c r="P757" s="1119"/>
      <c r="Q757" s="1224"/>
      <c r="R757" s="1171"/>
      <c r="S757" s="1119"/>
      <c r="T757" s="1119"/>
      <c r="U757" s="1119"/>
      <c r="V757" s="1119"/>
      <c r="W757" s="1119"/>
      <c r="X757" s="1076"/>
      <c r="Y757" s="108" t="s">
        <v>1155</v>
      </c>
      <c r="Z757" s="109">
        <v>73784438</v>
      </c>
      <c r="AA757" s="109">
        <v>-36892219</v>
      </c>
      <c r="AB757" s="109">
        <f t="shared" si="52"/>
        <v>36892219</v>
      </c>
      <c r="AC757" s="97">
        <v>41088</v>
      </c>
      <c r="AD757" s="119">
        <v>36892218</v>
      </c>
      <c r="AE757" s="119" t="s">
        <v>169</v>
      </c>
      <c r="AF757" s="1084"/>
      <c r="AG757" s="1084"/>
      <c r="AH757" s="111">
        <f t="shared" si="53"/>
        <v>1</v>
      </c>
      <c r="AI757" s="1084"/>
      <c r="AJ757" s="1119"/>
      <c r="AK757" s="1119"/>
      <c r="AL757" s="1119"/>
      <c r="AM757" s="1119"/>
      <c r="AN757" s="1203"/>
      <c r="AO757" s="1204"/>
      <c r="AQ757" s="934"/>
    </row>
    <row r="758" spans="1:43" s="4" customFormat="1" ht="15" customHeight="1">
      <c r="A758" s="1075"/>
      <c r="B758" s="1171"/>
      <c r="C758" s="1076"/>
      <c r="D758" s="1076"/>
      <c r="E758" s="1208"/>
      <c r="F758" s="1208"/>
      <c r="G758" s="1076"/>
      <c r="H758" s="1076"/>
      <c r="I758" s="1076"/>
      <c r="J758" s="1076"/>
      <c r="K758" s="1076"/>
      <c r="L758" s="1076"/>
      <c r="M758" s="1245"/>
      <c r="N758" s="1122"/>
      <c r="O758" s="1119"/>
      <c r="P758" s="1119"/>
      <c r="Q758" s="1224"/>
      <c r="R758" s="1171"/>
      <c r="S758" s="1119"/>
      <c r="T758" s="1119"/>
      <c r="U758" s="1119"/>
      <c r="V758" s="1119"/>
      <c r="W758" s="1119"/>
      <c r="X758" s="1076"/>
      <c r="Y758" s="108" t="s">
        <v>1156</v>
      </c>
      <c r="Z758" s="109">
        <v>114773402</v>
      </c>
      <c r="AA758" s="109">
        <v>-57386701</v>
      </c>
      <c r="AB758" s="109">
        <f t="shared" si="52"/>
        <v>57386701</v>
      </c>
      <c r="AC758" s="97">
        <v>41094</v>
      </c>
      <c r="AD758" s="119">
        <v>57386701</v>
      </c>
      <c r="AE758" s="119" t="s">
        <v>169</v>
      </c>
      <c r="AF758" s="1084"/>
      <c r="AG758" s="1084"/>
      <c r="AH758" s="111">
        <f t="shared" si="53"/>
        <v>0</v>
      </c>
      <c r="AI758" s="1084"/>
      <c r="AJ758" s="1119"/>
      <c r="AK758" s="1119"/>
      <c r="AL758" s="1119"/>
      <c r="AM758" s="1119"/>
      <c r="AN758" s="1203"/>
      <c r="AO758" s="1204"/>
      <c r="AQ758" s="934"/>
    </row>
    <row r="759" spans="1:43" s="4" customFormat="1" ht="15" customHeight="1">
      <c r="A759" s="1075"/>
      <c r="B759" s="1171"/>
      <c r="C759" s="1076"/>
      <c r="D759" s="1076"/>
      <c r="E759" s="1208"/>
      <c r="F759" s="1208"/>
      <c r="G759" s="1076"/>
      <c r="H759" s="1076"/>
      <c r="I759" s="1076"/>
      <c r="J759" s="1076"/>
      <c r="K759" s="1076"/>
      <c r="L759" s="1076"/>
      <c r="M759" s="1245"/>
      <c r="N759" s="1122"/>
      <c r="O759" s="1119"/>
      <c r="P759" s="1119"/>
      <c r="Q759" s="1224"/>
      <c r="R759" s="1171"/>
      <c r="S759" s="1119"/>
      <c r="T759" s="1119"/>
      <c r="U759" s="1119"/>
      <c r="V759" s="1119"/>
      <c r="W759" s="1119"/>
      <c r="X759" s="1076"/>
      <c r="Y759" s="108" t="s">
        <v>1157</v>
      </c>
      <c r="Z759" s="109">
        <v>33093527</v>
      </c>
      <c r="AA759" s="109">
        <v>-16546763.5</v>
      </c>
      <c r="AB759" s="109">
        <f t="shared" si="52"/>
        <v>16546763.5</v>
      </c>
      <c r="AC759" s="97">
        <v>41878</v>
      </c>
      <c r="AD759" s="119">
        <v>16546763.5</v>
      </c>
      <c r="AE759" s="119" t="s">
        <v>169</v>
      </c>
      <c r="AF759" s="1084"/>
      <c r="AG759" s="1084"/>
      <c r="AH759" s="111">
        <f t="shared" si="53"/>
        <v>0</v>
      </c>
      <c r="AI759" s="1084"/>
      <c r="AJ759" s="1119"/>
      <c r="AK759" s="1119"/>
      <c r="AL759" s="1119"/>
      <c r="AM759" s="1119"/>
      <c r="AN759" s="1203"/>
      <c r="AO759" s="1204"/>
      <c r="AQ759" s="934"/>
    </row>
    <row r="760" spans="1:43" s="4" customFormat="1" ht="15" customHeight="1">
      <c r="A760" s="1075"/>
      <c r="B760" s="1171"/>
      <c r="C760" s="1076"/>
      <c r="D760" s="1076"/>
      <c r="E760" s="1208"/>
      <c r="F760" s="1208"/>
      <c r="G760" s="1076"/>
      <c r="H760" s="1076"/>
      <c r="I760" s="1076"/>
      <c r="J760" s="113" t="s">
        <v>67</v>
      </c>
      <c r="K760" s="1076"/>
      <c r="L760" s="1076"/>
      <c r="M760" s="132">
        <v>5</v>
      </c>
      <c r="N760" s="620" t="s">
        <v>169</v>
      </c>
      <c r="O760" s="109">
        <v>52169204</v>
      </c>
      <c r="P760" s="109">
        <f>O760</f>
        <v>52169204</v>
      </c>
      <c r="Q760" s="1224"/>
      <c r="R760" s="97">
        <v>41234</v>
      </c>
      <c r="S760" s="109">
        <v>52169204</v>
      </c>
      <c r="T760" s="109">
        <v>52169204</v>
      </c>
      <c r="U760" s="109">
        <f>O760-T760</f>
        <v>0</v>
      </c>
      <c r="V760" s="109">
        <f>P760</f>
        <v>52169204</v>
      </c>
      <c r="W760" s="1119"/>
      <c r="X760" s="1076"/>
      <c r="Y760" s="108" t="s">
        <v>1158</v>
      </c>
      <c r="Z760" s="109">
        <v>52169204</v>
      </c>
      <c r="AA760" s="109">
        <v>0</v>
      </c>
      <c r="AB760" s="109">
        <f t="shared" si="52"/>
        <v>52169204</v>
      </c>
      <c r="AC760" s="97">
        <v>41988</v>
      </c>
      <c r="AD760" s="119">
        <v>52169204</v>
      </c>
      <c r="AE760" s="119" t="s">
        <v>169</v>
      </c>
      <c r="AF760" s="111">
        <f>AD760</f>
        <v>52169204</v>
      </c>
      <c r="AG760" s="1084"/>
      <c r="AH760" s="111">
        <f t="shared" si="53"/>
        <v>0</v>
      </c>
      <c r="AI760" s="111">
        <f>O760-AD760</f>
        <v>0</v>
      </c>
      <c r="AJ760" s="1119"/>
      <c r="AK760" s="109">
        <f>P760-V760</f>
        <v>0</v>
      </c>
      <c r="AL760" s="109">
        <f>V760-Z760</f>
        <v>0</v>
      </c>
      <c r="AM760" s="109">
        <f>AK760+AL760</f>
        <v>0</v>
      </c>
      <c r="AN760" s="1203"/>
      <c r="AO760" s="1204"/>
      <c r="AQ760" s="934"/>
    </row>
    <row r="761" spans="1:43" ht="15" customHeight="1">
      <c r="A761" s="1075" t="s">
        <v>1120</v>
      </c>
      <c r="B761" s="1171">
        <v>40822</v>
      </c>
      <c r="C761" s="1076" t="s">
        <v>42</v>
      </c>
      <c r="D761" s="1076" t="s">
        <v>1121</v>
      </c>
      <c r="E761" s="1208">
        <v>900467804</v>
      </c>
      <c r="F761" s="1208">
        <v>4</v>
      </c>
      <c r="G761" s="1076" t="s">
        <v>2864</v>
      </c>
      <c r="H761" s="1076" t="s">
        <v>71</v>
      </c>
      <c r="I761" s="1076" t="s">
        <v>1086</v>
      </c>
      <c r="J761" s="1076" t="s">
        <v>66</v>
      </c>
      <c r="K761" s="1076" t="s">
        <v>50</v>
      </c>
      <c r="L761" s="1076" t="s">
        <v>1132</v>
      </c>
      <c r="M761" s="1245">
        <v>1</v>
      </c>
      <c r="N761" s="1123" t="s">
        <v>168</v>
      </c>
      <c r="O761" s="1119">
        <v>793851137</v>
      </c>
      <c r="P761" s="1119">
        <v>793851137</v>
      </c>
      <c r="Q761" s="1119">
        <v>1774187856</v>
      </c>
      <c r="R761" s="1171">
        <v>40753</v>
      </c>
      <c r="S761" s="1196">
        <v>793851137</v>
      </c>
      <c r="T761" s="1196">
        <v>793851137</v>
      </c>
      <c r="U761" s="1196">
        <f>O761-T761</f>
        <v>0</v>
      </c>
      <c r="V761" s="1119">
        <v>793851137</v>
      </c>
      <c r="W761" s="1119">
        <v>1759982197</v>
      </c>
      <c r="X761" s="1076" t="s">
        <v>1112</v>
      </c>
      <c r="Y761" s="108" t="s">
        <v>1124</v>
      </c>
      <c r="Z761" s="109">
        <v>0</v>
      </c>
      <c r="AA761" s="109">
        <v>395491290</v>
      </c>
      <c r="AB761" s="109">
        <f t="shared" si="52"/>
        <v>395491290</v>
      </c>
      <c r="AC761" s="97">
        <v>40868</v>
      </c>
      <c r="AD761" s="119">
        <v>395491290</v>
      </c>
      <c r="AE761" s="119" t="s">
        <v>168</v>
      </c>
      <c r="AF761" s="1084">
        <f>SUM(AD761:AD766)</f>
        <v>793851137.27999997</v>
      </c>
      <c r="AG761" s="1084">
        <f>AF761+AF767+AF777</f>
        <v>1759982196.5</v>
      </c>
      <c r="AH761" s="111">
        <f t="shared" si="53"/>
        <v>0</v>
      </c>
      <c r="AI761" s="1084">
        <f>O761-SUM(AD761:AD766)</f>
        <v>-0.27999997138977051</v>
      </c>
      <c r="AJ761" s="1119">
        <f>SUM(Z761:Z780)-SUM(AD761:AD780)</f>
        <v>0.5000002384185791</v>
      </c>
      <c r="AK761" s="1119">
        <f>T761-V761</f>
        <v>0</v>
      </c>
      <c r="AL761" s="1119">
        <f>V761-SUM(Z761:Z766)</f>
        <v>0</v>
      </c>
      <c r="AM761" s="1119">
        <f>AK761+AL761</f>
        <v>0</v>
      </c>
      <c r="AN761" s="1204" t="s">
        <v>1133</v>
      </c>
      <c r="AO761" s="1204" t="s">
        <v>1134</v>
      </c>
    </row>
    <row r="762" spans="1:43" ht="15" customHeight="1">
      <c r="A762" s="1075"/>
      <c r="B762" s="1171"/>
      <c r="C762" s="1076"/>
      <c r="D762" s="1076"/>
      <c r="E762" s="1208"/>
      <c r="F762" s="1208"/>
      <c r="G762" s="1076"/>
      <c r="H762" s="1076"/>
      <c r="I762" s="1076"/>
      <c r="J762" s="1076"/>
      <c r="K762" s="1076"/>
      <c r="L762" s="1076"/>
      <c r="M762" s="1245"/>
      <c r="N762" s="1123"/>
      <c r="O762" s="1119"/>
      <c r="P762" s="1119"/>
      <c r="Q762" s="1119"/>
      <c r="R762" s="1171"/>
      <c r="S762" s="1196"/>
      <c r="T762" s="1196"/>
      <c r="U762" s="1196"/>
      <c r="V762" s="1119"/>
      <c r="W762" s="1119"/>
      <c r="X762" s="1076"/>
      <c r="Y762" s="108" t="s">
        <v>1123</v>
      </c>
      <c r="Z762" s="109">
        <v>240518540</v>
      </c>
      <c r="AA762" s="109">
        <v>-120259270</v>
      </c>
      <c r="AB762" s="109">
        <f t="shared" si="52"/>
        <v>120259270</v>
      </c>
      <c r="AC762" s="97">
        <v>41129</v>
      </c>
      <c r="AD762" s="119">
        <v>120259270</v>
      </c>
      <c r="AE762" s="119" t="s">
        <v>168</v>
      </c>
      <c r="AF762" s="1084"/>
      <c r="AG762" s="1084"/>
      <c r="AH762" s="111">
        <f t="shared" si="53"/>
        <v>0</v>
      </c>
      <c r="AI762" s="1084"/>
      <c r="AJ762" s="1119"/>
      <c r="AK762" s="1119"/>
      <c r="AL762" s="1119"/>
      <c r="AM762" s="1119"/>
      <c r="AN762" s="1204"/>
      <c r="AO762" s="1204"/>
    </row>
    <row r="763" spans="1:43" ht="15" customHeight="1">
      <c r="A763" s="1075"/>
      <c r="B763" s="1171"/>
      <c r="C763" s="1076"/>
      <c r="D763" s="1076"/>
      <c r="E763" s="1208"/>
      <c r="F763" s="1208"/>
      <c r="G763" s="1076"/>
      <c r="H763" s="1076"/>
      <c r="I763" s="1076"/>
      <c r="J763" s="1076"/>
      <c r="K763" s="1076"/>
      <c r="L763" s="1076"/>
      <c r="M763" s="1245"/>
      <c r="N763" s="1123"/>
      <c r="O763" s="1119"/>
      <c r="P763" s="1119"/>
      <c r="Q763" s="1119"/>
      <c r="R763" s="1171"/>
      <c r="S763" s="1196"/>
      <c r="T763" s="1196"/>
      <c r="U763" s="1196"/>
      <c r="V763" s="1119"/>
      <c r="W763" s="1119"/>
      <c r="X763" s="1076"/>
      <c r="Y763" s="108" t="s">
        <v>1125</v>
      </c>
      <c r="Z763" s="109">
        <v>219068628</v>
      </c>
      <c r="AA763" s="109">
        <v>-109534314</v>
      </c>
      <c r="AB763" s="109">
        <f t="shared" si="52"/>
        <v>109534314</v>
      </c>
      <c r="AC763" s="97">
        <v>41423</v>
      </c>
      <c r="AD763" s="119">
        <v>109534314</v>
      </c>
      <c r="AE763" s="119" t="s">
        <v>168</v>
      </c>
      <c r="AF763" s="1084"/>
      <c r="AG763" s="1084"/>
      <c r="AH763" s="111">
        <f t="shared" si="53"/>
        <v>0</v>
      </c>
      <c r="AI763" s="1084"/>
      <c r="AJ763" s="1119"/>
      <c r="AK763" s="1119"/>
      <c r="AL763" s="1119"/>
      <c r="AM763" s="1119"/>
      <c r="AN763" s="1204"/>
      <c r="AO763" s="1204"/>
    </row>
    <row r="764" spans="1:43" ht="15" customHeight="1">
      <c r="A764" s="1075"/>
      <c r="B764" s="1171"/>
      <c r="C764" s="1076"/>
      <c r="D764" s="1076"/>
      <c r="E764" s="1208"/>
      <c r="F764" s="1208"/>
      <c r="G764" s="1076"/>
      <c r="H764" s="1076"/>
      <c r="I764" s="1076"/>
      <c r="J764" s="1076"/>
      <c r="K764" s="1076"/>
      <c r="L764" s="1076"/>
      <c r="M764" s="1245"/>
      <c r="N764" s="1123"/>
      <c r="O764" s="1119"/>
      <c r="P764" s="1119"/>
      <c r="Q764" s="1119"/>
      <c r="R764" s="1171"/>
      <c r="S764" s="1196"/>
      <c r="T764" s="1196"/>
      <c r="U764" s="1196"/>
      <c r="V764" s="1119"/>
      <c r="W764" s="1119"/>
      <c r="X764" s="1076"/>
      <c r="Y764" s="108" t="s">
        <v>1126</v>
      </c>
      <c r="Z764" s="109">
        <v>110393704.26000001</v>
      </c>
      <c r="AA764" s="109">
        <v>-55196852.130000003</v>
      </c>
      <c r="AB764" s="109">
        <f t="shared" si="52"/>
        <v>55196852.130000003</v>
      </c>
      <c r="AC764" s="97">
        <v>41814</v>
      </c>
      <c r="AD764" s="119">
        <v>55196852</v>
      </c>
      <c r="AE764" s="119" t="s">
        <v>168</v>
      </c>
      <c r="AF764" s="1084"/>
      <c r="AG764" s="1084"/>
      <c r="AH764" s="111">
        <f t="shared" si="53"/>
        <v>0.13000000268220901</v>
      </c>
      <c r="AI764" s="1084"/>
      <c r="AJ764" s="1119"/>
      <c r="AK764" s="1119"/>
      <c r="AL764" s="1119"/>
      <c r="AM764" s="1119"/>
      <c r="AN764" s="1204"/>
      <c r="AO764" s="1204"/>
    </row>
    <row r="765" spans="1:43" ht="15" customHeight="1">
      <c r="A765" s="1075"/>
      <c r="B765" s="1171"/>
      <c r="C765" s="1076"/>
      <c r="D765" s="1076"/>
      <c r="E765" s="1208"/>
      <c r="F765" s="1208"/>
      <c r="G765" s="1076"/>
      <c r="H765" s="1076"/>
      <c r="I765" s="1076"/>
      <c r="J765" s="1076"/>
      <c r="K765" s="1076"/>
      <c r="L765" s="1076"/>
      <c r="M765" s="1245"/>
      <c r="N765" s="1123"/>
      <c r="O765" s="1119"/>
      <c r="P765" s="1119"/>
      <c r="Q765" s="1119"/>
      <c r="R765" s="1171"/>
      <c r="S765" s="1196"/>
      <c r="T765" s="1196"/>
      <c r="U765" s="1196"/>
      <c r="V765" s="1119"/>
      <c r="W765" s="1119"/>
      <c r="X765" s="1076"/>
      <c r="Y765" s="1123" t="s">
        <v>1127</v>
      </c>
      <c r="Z765" s="1119">
        <v>223870264.74000001</v>
      </c>
      <c r="AA765" s="1119">
        <v>-110500853.87</v>
      </c>
      <c r="AB765" s="1119">
        <f t="shared" si="52"/>
        <v>113369410.87</v>
      </c>
      <c r="AC765" s="1171">
        <v>41971</v>
      </c>
      <c r="AD765" s="119">
        <v>2868557.01</v>
      </c>
      <c r="AE765" s="119" t="s">
        <v>168</v>
      </c>
      <c r="AF765" s="1084"/>
      <c r="AG765" s="1084"/>
      <c r="AH765" s="1084">
        <f>AB765-AD765-AD766</f>
        <v>-0.40999999642372131</v>
      </c>
      <c r="AI765" s="1084"/>
      <c r="AJ765" s="1119"/>
      <c r="AK765" s="1119"/>
      <c r="AL765" s="1119"/>
      <c r="AM765" s="1119"/>
      <c r="AN765" s="1204"/>
      <c r="AO765" s="1204"/>
    </row>
    <row r="766" spans="1:43" ht="15" customHeight="1">
      <c r="A766" s="1075"/>
      <c r="B766" s="1171"/>
      <c r="C766" s="1076"/>
      <c r="D766" s="1076"/>
      <c r="E766" s="1208"/>
      <c r="F766" s="1208"/>
      <c r="G766" s="1076"/>
      <c r="H766" s="1076"/>
      <c r="I766" s="1076"/>
      <c r="J766" s="1076"/>
      <c r="K766" s="1076"/>
      <c r="L766" s="1076"/>
      <c r="M766" s="1245"/>
      <c r="N766" s="1123"/>
      <c r="O766" s="1119"/>
      <c r="P766" s="1119"/>
      <c r="Q766" s="1119"/>
      <c r="R766" s="1171"/>
      <c r="S766" s="1196"/>
      <c r="T766" s="1196"/>
      <c r="U766" s="1196"/>
      <c r="V766" s="1119"/>
      <c r="W766" s="1119"/>
      <c r="X766" s="1076"/>
      <c r="Y766" s="1123"/>
      <c r="Z766" s="1119"/>
      <c r="AA766" s="1119"/>
      <c r="AB766" s="1119"/>
      <c r="AC766" s="1171"/>
      <c r="AD766" s="119">
        <v>110500854.27</v>
      </c>
      <c r="AE766" s="119" t="s">
        <v>168</v>
      </c>
      <c r="AF766" s="1084"/>
      <c r="AG766" s="1084"/>
      <c r="AH766" s="1084"/>
      <c r="AI766" s="1084"/>
      <c r="AJ766" s="1119"/>
      <c r="AK766" s="1119"/>
      <c r="AL766" s="1119"/>
      <c r="AM766" s="1119"/>
      <c r="AN766" s="1204"/>
      <c r="AO766" s="1204"/>
    </row>
    <row r="767" spans="1:43" ht="15" customHeight="1">
      <c r="A767" s="1075"/>
      <c r="B767" s="1171"/>
      <c r="C767" s="1076"/>
      <c r="D767" s="1076"/>
      <c r="E767" s="1208"/>
      <c r="F767" s="1208"/>
      <c r="G767" s="1076"/>
      <c r="H767" s="1076"/>
      <c r="I767" s="1076"/>
      <c r="J767" s="1076"/>
      <c r="K767" s="1076"/>
      <c r="L767" s="1076"/>
      <c r="M767" s="1245">
        <v>180</v>
      </c>
      <c r="N767" s="1123" t="s">
        <v>137</v>
      </c>
      <c r="O767" s="1119">
        <v>221312724</v>
      </c>
      <c r="P767" s="1119">
        <v>456264804</v>
      </c>
      <c r="Q767" s="1119"/>
      <c r="R767" s="1171">
        <v>40753</v>
      </c>
      <c r="S767" s="1196">
        <f>T767+T772</f>
        <v>442059145</v>
      </c>
      <c r="T767" s="1196">
        <v>207107065</v>
      </c>
      <c r="U767" s="1196">
        <f>O767-T767</f>
        <v>14205659</v>
      </c>
      <c r="V767" s="1119">
        <v>207107065</v>
      </c>
      <c r="W767" s="1119"/>
      <c r="X767" s="1076"/>
      <c r="Y767" s="1123" t="s">
        <v>1124</v>
      </c>
      <c r="Z767" s="109">
        <v>0</v>
      </c>
      <c r="AA767" s="109">
        <v>105052374.22</v>
      </c>
      <c r="AB767" s="109">
        <f t="shared" ref="AB767:AB780" si="54">Z767+AA767</f>
        <v>105052374.22</v>
      </c>
      <c r="AC767" s="1171">
        <v>40868</v>
      </c>
      <c r="AD767" s="119">
        <v>105052374.22</v>
      </c>
      <c r="AE767" s="119" t="s">
        <v>137</v>
      </c>
      <c r="AF767" s="1084">
        <f>SUM(AD767:AD776)</f>
        <v>442059144.22000003</v>
      </c>
      <c r="AG767" s="1084"/>
      <c r="AH767" s="111">
        <f t="shared" ref="AH767:AH798" si="55">AB767-AD767</f>
        <v>0</v>
      </c>
      <c r="AI767" s="1084">
        <f>T767-AD767-AD769-AD771-AD773-AD775</f>
        <v>-0.32000000029802322</v>
      </c>
      <c r="AJ767" s="1119"/>
      <c r="AK767" s="1119">
        <f>T767-V767</f>
        <v>0</v>
      </c>
      <c r="AL767" s="1119">
        <f>V767-SUM(Z767+Z769+Z771+Z773+Z775)</f>
        <v>0</v>
      </c>
      <c r="AM767" s="1119">
        <f>AK767-AL767</f>
        <v>0</v>
      </c>
      <c r="AN767" s="1204"/>
      <c r="AO767" s="1204"/>
    </row>
    <row r="768" spans="1:43" ht="15" customHeight="1">
      <c r="A768" s="1075"/>
      <c r="B768" s="1171"/>
      <c r="C768" s="1076"/>
      <c r="D768" s="1076"/>
      <c r="E768" s="1208"/>
      <c r="F768" s="1208"/>
      <c r="G768" s="1076"/>
      <c r="H768" s="1076"/>
      <c r="I768" s="1076"/>
      <c r="J768" s="1076"/>
      <c r="K768" s="1076"/>
      <c r="L768" s="1076"/>
      <c r="M768" s="1245"/>
      <c r="N768" s="1123"/>
      <c r="O768" s="1119"/>
      <c r="P768" s="1119"/>
      <c r="Q768" s="1119"/>
      <c r="R768" s="1171"/>
      <c r="S768" s="1196"/>
      <c r="T768" s="1196"/>
      <c r="U768" s="1196"/>
      <c r="V768" s="1119"/>
      <c r="W768" s="1119"/>
      <c r="X768" s="1076"/>
      <c r="Y768" s="1123"/>
      <c r="Z768" s="109">
        <v>0</v>
      </c>
      <c r="AA768" s="109">
        <v>117411476.78</v>
      </c>
      <c r="AB768" s="109">
        <f t="shared" si="54"/>
        <v>117411476.78</v>
      </c>
      <c r="AC768" s="1171"/>
      <c r="AD768" s="119">
        <v>117411476.78</v>
      </c>
      <c r="AE768" s="119" t="s">
        <v>7</v>
      </c>
      <c r="AF768" s="1084"/>
      <c r="AG768" s="1084"/>
      <c r="AH768" s="111">
        <f t="shared" si="55"/>
        <v>0</v>
      </c>
      <c r="AI768" s="1084"/>
      <c r="AJ768" s="1119"/>
      <c r="AK768" s="1119"/>
      <c r="AL768" s="1119"/>
      <c r="AM768" s="1119"/>
      <c r="AN768" s="1204"/>
      <c r="AO768" s="1204"/>
    </row>
    <row r="769" spans="1:43" ht="15" customHeight="1">
      <c r="A769" s="1075"/>
      <c r="B769" s="1171"/>
      <c r="C769" s="1076"/>
      <c r="D769" s="1076"/>
      <c r="E769" s="1208"/>
      <c r="F769" s="1208"/>
      <c r="G769" s="1076"/>
      <c r="H769" s="1076"/>
      <c r="I769" s="1076"/>
      <c r="J769" s="1076"/>
      <c r="K769" s="1076"/>
      <c r="L769" s="1076"/>
      <c r="M769" s="1245"/>
      <c r="N769" s="1123"/>
      <c r="O769" s="1119"/>
      <c r="P769" s="1119"/>
      <c r="Q769" s="1119"/>
      <c r="R769" s="1171"/>
      <c r="S769" s="1196"/>
      <c r="T769" s="1196"/>
      <c r="U769" s="1196"/>
      <c r="V769" s="1119"/>
      <c r="W769" s="1119"/>
      <c r="X769" s="1076"/>
      <c r="Y769" s="1123" t="s">
        <v>1123</v>
      </c>
      <c r="Z769" s="109">
        <v>63887736</v>
      </c>
      <c r="AA769" s="109">
        <v>-31943868</v>
      </c>
      <c r="AB769" s="109">
        <f t="shared" si="54"/>
        <v>31943868</v>
      </c>
      <c r="AC769" s="1171">
        <v>41129</v>
      </c>
      <c r="AD769" s="119">
        <v>31943868</v>
      </c>
      <c r="AE769" s="119" t="s">
        <v>137</v>
      </c>
      <c r="AF769" s="1084"/>
      <c r="AG769" s="1084"/>
      <c r="AH769" s="111">
        <f t="shared" si="55"/>
        <v>0</v>
      </c>
      <c r="AI769" s="1084"/>
      <c r="AJ769" s="1119"/>
      <c r="AK769" s="1119"/>
      <c r="AL769" s="1119"/>
      <c r="AM769" s="1119"/>
      <c r="AN769" s="1204"/>
      <c r="AO769" s="1204"/>
    </row>
    <row r="770" spans="1:43" ht="15" customHeight="1">
      <c r="A770" s="1075"/>
      <c r="B770" s="1171"/>
      <c r="C770" s="1076"/>
      <c r="D770" s="1076"/>
      <c r="E770" s="1208"/>
      <c r="F770" s="1208"/>
      <c r="G770" s="1076"/>
      <c r="H770" s="1076"/>
      <c r="I770" s="1076"/>
      <c r="J770" s="1076"/>
      <c r="K770" s="1076"/>
      <c r="L770" s="1076"/>
      <c r="M770" s="1245"/>
      <c r="N770" s="1123"/>
      <c r="O770" s="1119"/>
      <c r="P770" s="1119"/>
      <c r="Q770" s="1119"/>
      <c r="R770" s="1171"/>
      <c r="S770" s="1196"/>
      <c r="T770" s="1196"/>
      <c r="U770" s="1196"/>
      <c r="V770" s="1119"/>
      <c r="W770" s="1119"/>
      <c r="X770" s="1076"/>
      <c r="Y770" s="1123"/>
      <c r="Z770" s="109">
        <v>71403942</v>
      </c>
      <c r="AA770" s="109">
        <v>-35701971</v>
      </c>
      <c r="AB770" s="109">
        <f t="shared" si="54"/>
        <v>35701971</v>
      </c>
      <c r="AC770" s="1171"/>
      <c r="AD770" s="119">
        <v>35701971</v>
      </c>
      <c r="AE770" s="119" t="s">
        <v>7</v>
      </c>
      <c r="AF770" s="1084"/>
      <c r="AG770" s="1084"/>
      <c r="AH770" s="111">
        <f t="shared" si="55"/>
        <v>0</v>
      </c>
      <c r="AI770" s="1084"/>
      <c r="AJ770" s="1119"/>
      <c r="AK770" s="1119"/>
      <c r="AL770" s="1119"/>
      <c r="AM770" s="1119"/>
      <c r="AN770" s="1204"/>
      <c r="AO770" s="1204"/>
    </row>
    <row r="771" spans="1:43" ht="15" customHeight="1">
      <c r="A771" s="1075"/>
      <c r="B771" s="1171"/>
      <c r="C771" s="1076"/>
      <c r="D771" s="1076"/>
      <c r="E771" s="1208"/>
      <c r="F771" s="1208"/>
      <c r="G771" s="1076"/>
      <c r="H771" s="1076"/>
      <c r="I771" s="1076"/>
      <c r="J771" s="1076"/>
      <c r="K771" s="1076"/>
      <c r="L771" s="1076"/>
      <c r="M771" s="1245"/>
      <c r="N771" s="1123"/>
      <c r="O771" s="1119"/>
      <c r="P771" s="1119"/>
      <c r="Q771" s="1119"/>
      <c r="R771" s="1171"/>
      <c r="S771" s="1196"/>
      <c r="T771" s="1196"/>
      <c r="U771" s="1196"/>
      <c r="V771" s="1119"/>
      <c r="W771" s="1119"/>
      <c r="X771" s="1076"/>
      <c r="Y771" s="1123" t="s">
        <v>1125</v>
      </c>
      <c r="Z771" s="109">
        <v>58190104</v>
      </c>
      <c r="AA771" s="109">
        <v>-29095052</v>
      </c>
      <c r="AB771" s="109">
        <f t="shared" si="54"/>
        <v>29095052</v>
      </c>
      <c r="AC771" s="1171">
        <v>41418</v>
      </c>
      <c r="AD771" s="119">
        <v>29095052</v>
      </c>
      <c r="AE771" s="119" t="s">
        <v>137</v>
      </c>
      <c r="AF771" s="1084"/>
      <c r="AG771" s="1084"/>
      <c r="AH771" s="111">
        <f t="shared" si="55"/>
        <v>0</v>
      </c>
      <c r="AI771" s="1084"/>
      <c r="AJ771" s="1119"/>
      <c r="AK771" s="1119"/>
      <c r="AL771" s="1119"/>
      <c r="AM771" s="1119"/>
      <c r="AN771" s="1204"/>
      <c r="AO771" s="1204"/>
    </row>
    <row r="772" spans="1:43" ht="15" customHeight="1">
      <c r="A772" s="1075"/>
      <c r="B772" s="1171"/>
      <c r="C772" s="1076"/>
      <c r="D772" s="1076"/>
      <c r="E772" s="1208"/>
      <c r="F772" s="1208"/>
      <c r="G772" s="1076"/>
      <c r="H772" s="1076"/>
      <c r="I772" s="1076"/>
      <c r="J772" s="1076"/>
      <c r="K772" s="1076"/>
      <c r="L772" s="1076"/>
      <c r="M772" s="1245"/>
      <c r="N772" s="1123" t="s">
        <v>7</v>
      </c>
      <c r="O772" s="1119">
        <v>234952080</v>
      </c>
      <c r="P772" s="1119"/>
      <c r="Q772" s="1119"/>
      <c r="R772" s="1171"/>
      <c r="S772" s="1196"/>
      <c r="T772" s="1196">
        <v>234952080</v>
      </c>
      <c r="U772" s="1196">
        <f>O772-T772</f>
        <v>0</v>
      </c>
      <c r="V772" s="1119">
        <v>234952080</v>
      </c>
      <c r="W772" s="1119"/>
      <c r="X772" s="1076"/>
      <c r="Y772" s="1123"/>
      <c r="Z772" s="109">
        <v>65036000</v>
      </c>
      <c r="AA772" s="109">
        <v>-32518000</v>
      </c>
      <c r="AB772" s="109">
        <f t="shared" si="54"/>
        <v>32518000</v>
      </c>
      <c r="AC772" s="1171"/>
      <c r="AD772" s="119">
        <v>32518000</v>
      </c>
      <c r="AE772" s="119" t="s">
        <v>7</v>
      </c>
      <c r="AF772" s="1084"/>
      <c r="AG772" s="1084"/>
      <c r="AH772" s="111">
        <f t="shared" si="55"/>
        <v>0</v>
      </c>
      <c r="AI772" s="1084">
        <f>O772-AD768-AD770-AD772-AD774-AD776</f>
        <v>1.0999999977648258</v>
      </c>
      <c r="AJ772" s="1119"/>
      <c r="AK772" s="1119">
        <f>O772-V772</f>
        <v>0</v>
      </c>
      <c r="AL772" s="1119">
        <f>V772-SUM(Z768+Z770+Z772+Z774+Z776)</f>
        <v>0</v>
      </c>
      <c r="AM772" s="1119">
        <f>AK772-AL772</f>
        <v>0</v>
      </c>
      <c r="AN772" s="1204"/>
      <c r="AO772" s="1204"/>
    </row>
    <row r="773" spans="1:43" ht="15" customHeight="1">
      <c r="A773" s="1075"/>
      <c r="B773" s="1171"/>
      <c r="C773" s="1076"/>
      <c r="D773" s="1076"/>
      <c r="E773" s="1208"/>
      <c r="F773" s="1208"/>
      <c r="G773" s="1076"/>
      <c r="H773" s="1076"/>
      <c r="I773" s="1076"/>
      <c r="J773" s="1076"/>
      <c r="K773" s="1076"/>
      <c r="L773" s="1076"/>
      <c r="M773" s="1245"/>
      <c r="N773" s="1123"/>
      <c r="O773" s="1119"/>
      <c r="P773" s="1119"/>
      <c r="Q773" s="1119"/>
      <c r="R773" s="1171"/>
      <c r="S773" s="1196"/>
      <c r="T773" s="1196"/>
      <c r="U773" s="1196"/>
      <c r="V773" s="1119"/>
      <c r="W773" s="1119"/>
      <c r="X773" s="1076"/>
      <c r="Y773" s="1123" t="s">
        <v>1126</v>
      </c>
      <c r="Z773" s="109">
        <v>29323328</v>
      </c>
      <c r="AA773" s="109">
        <v>-14661664</v>
      </c>
      <c r="AB773" s="109">
        <f t="shared" si="54"/>
        <v>14661664</v>
      </c>
      <c r="AC773" s="1171">
        <v>41814</v>
      </c>
      <c r="AD773" s="119">
        <v>14661664</v>
      </c>
      <c r="AE773" s="119" t="s">
        <v>137</v>
      </c>
      <c r="AF773" s="1084"/>
      <c r="AG773" s="1084"/>
      <c r="AH773" s="111">
        <f t="shared" si="55"/>
        <v>0</v>
      </c>
      <c r="AI773" s="1084"/>
      <c r="AJ773" s="1119"/>
      <c r="AK773" s="1119"/>
      <c r="AL773" s="1119"/>
      <c r="AM773" s="1119"/>
      <c r="AN773" s="1204"/>
      <c r="AO773" s="1204"/>
    </row>
    <row r="774" spans="1:43" ht="15" customHeight="1">
      <c r="A774" s="1075"/>
      <c r="B774" s="1171"/>
      <c r="C774" s="1076"/>
      <c r="D774" s="1076"/>
      <c r="E774" s="1208"/>
      <c r="F774" s="1208"/>
      <c r="G774" s="1076"/>
      <c r="H774" s="1076"/>
      <c r="I774" s="1076"/>
      <c r="J774" s="1076"/>
      <c r="K774" s="1076"/>
      <c r="L774" s="1076"/>
      <c r="M774" s="1245"/>
      <c r="N774" s="1123"/>
      <c r="O774" s="1119"/>
      <c r="P774" s="1119"/>
      <c r="Q774" s="1119"/>
      <c r="R774" s="1171"/>
      <c r="S774" s="1196"/>
      <c r="T774" s="1196"/>
      <c r="U774" s="1196"/>
      <c r="V774" s="1119"/>
      <c r="W774" s="1119"/>
      <c r="X774" s="1076"/>
      <c r="Y774" s="1123"/>
      <c r="Z774" s="109">
        <v>32773130</v>
      </c>
      <c r="AA774" s="109">
        <v>-16386565</v>
      </c>
      <c r="AB774" s="109">
        <f t="shared" si="54"/>
        <v>16386565</v>
      </c>
      <c r="AC774" s="1171"/>
      <c r="AD774" s="119">
        <v>16386565</v>
      </c>
      <c r="AE774" s="119" t="s">
        <v>7</v>
      </c>
      <c r="AF774" s="1084"/>
      <c r="AG774" s="1084"/>
      <c r="AH774" s="111">
        <f t="shared" si="55"/>
        <v>0</v>
      </c>
      <c r="AI774" s="1084"/>
      <c r="AJ774" s="1119"/>
      <c r="AK774" s="1119"/>
      <c r="AL774" s="1119"/>
      <c r="AM774" s="1119"/>
      <c r="AN774" s="1204"/>
      <c r="AO774" s="1204"/>
    </row>
    <row r="775" spans="1:43" ht="15" customHeight="1">
      <c r="A775" s="1075"/>
      <c r="B775" s="1171"/>
      <c r="C775" s="1076"/>
      <c r="D775" s="1076"/>
      <c r="E775" s="1208"/>
      <c r="F775" s="1208"/>
      <c r="G775" s="1076"/>
      <c r="H775" s="1076"/>
      <c r="I775" s="1076"/>
      <c r="J775" s="1076"/>
      <c r="K775" s="1076"/>
      <c r="L775" s="1076"/>
      <c r="M775" s="1245"/>
      <c r="N775" s="1123"/>
      <c r="O775" s="1119"/>
      <c r="P775" s="1119"/>
      <c r="Q775" s="1119"/>
      <c r="R775" s="1171"/>
      <c r="S775" s="1196"/>
      <c r="T775" s="1196"/>
      <c r="U775" s="1196"/>
      <c r="V775" s="1119"/>
      <c r="W775" s="1119"/>
      <c r="X775" s="1076"/>
      <c r="Y775" s="1123" t="s">
        <v>1127</v>
      </c>
      <c r="Z775" s="109">
        <v>55705897</v>
      </c>
      <c r="AA775" s="109">
        <v>-29351790.219999999</v>
      </c>
      <c r="AB775" s="109">
        <f t="shared" si="54"/>
        <v>26354106.780000001</v>
      </c>
      <c r="AC775" s="1171">
        <v>41971</v>
      </c>
      <c r="AD775" s="119">
        <v>26354107.100000001</v>
      </c>
      <c r="AE775" s="119" t="s">
        <v>137</v>
      </c>
      <c r="AF775" s="1084"/>
      <c r="AG775" s="1084"/>
      <c r="AH775" s="111">
        <f t="shared" si="55"/>
        <v>-0.32000000029802322</v>
      </c>
      <c r="AI775" s="1084"/>
      <c r="AJ775" s="1119"/>
      <c r="AK775" s="1119"/>
      <c r="AL775" s="1119"/>
      <c r="AM775" s="1119"/>
      <c r="AN775" s="1204"/>
      <c r="AO775" s="1204"/>
    </row>
    <row r="776" spans="1:43" ht="15" customHeight="1">
      <c r="A776" s="1075"/>
      <c r="B776" s="1171"/>
      <c r="C776" s="1076"/>
      <c r="D776" s="1076"/>
      <c r="E776" s="1208"/>
      <c r="F776" s="1208"/>
      <c r="G776" s="1076"/>
      <c r="H776" s="1076"/>
      <c r="I776" s="1076"/>
      <c r="J776" s="1076"/>
      <c r="K776" s="1076"/>
      <c r="L776" s="1076"/>
      <c r="M776" s="1245"/>
      <c r="N776" s="1123"/>
      <c r="O776" s="1119"/>
      <c r="P776" s="1119"/>
      <c r="Q776" s="1119"/>
      <c r="R776" s="1171"/>
      <c r="S776" s="1196"/>
      <c r="T776" s="1196"/>
      <c r="U776" s="1196"/>
      <c r="V776" s="1119"/>
      <c r="W776" s="1119"/>
      <c r="X776" s="1076"/>
      <c r="Y776" s="1123"/>
      <c r="Z776" s="109">
        <v>65739008</v>
      </c>
      <c r="AA776" s="109">
        <v>-32804940.780000001</v>
      </c>
      <c r="AB776" s="109">
        <f t="shared" si="54"/>
        <v>32934067.219999999</v>
      </c>
      <c r="AC776" s="1171"/>
      <c r="AD776" s="119">
        <v>32934066.120000001</v>
      </c>
      <c r="AE776" s="119" t="s">
        <v>7</v>
      </c>
      <c r="AF776" s="1084"/>
      <c r="AG776" s="1084"/>
      <c r="AH776" s="111">
        <f t="shared" si="55"/>
        <v>1.0999999977648258</v>
      </c>
      <c r="AI776" s="1084"/>
      <c r="AJ776" s="1119"/>
      <c r="AK776" s="1119"/>
      <c r="AL776" s="1119"/>
      <c r="AM776" s="1119"/>
      <c r="AN776" s="1204"/>
      <c r="AO776" s="1204"/>
    </row>
    <row r="777" spans="1:43" ht="15" customHeight="1">
      <c r="A777" s="1075"/>
      <c r="B777" s="1171"/>
      <c r="C777" s="1076"/>
      <c r="D777" s="1076"/>
      <c r="E777" s="1208"/>
      <c r="F777" s="1208"/>
      <c r="G777" s="1076"/>
      <c r="H777" s="1076"/>
      <c r="I777" s="1076"/>
      <c r="J777" s="1076" t="s">
        <v>67</v>
      </c>
      <c r="K777" s="1076"/>
      <c r="L777" s="1076"/>
      <c r="M777" s="1245">
        <v>298</v>
      </c>
      <c r="N777" s="1123" t="s">
        <v>7</v>
      </c>
      <c r="O777" s="1119">
        <v>524071915</v>
      </c>
      <c r="P777" s="1119">
        <v>524071915</v>
      </c>
      <c r="Q777" s="1119"/>
      <c r="R777" s="1171">
        <v>41619</v>
      </c>
      <c r="S777" s="1196">
        <v>524071915</v>
      </c>
      <c r="T777" s="1196">
        <v>524071915</v>
      </c>
      <c r="U777" s="1196">
        <f>O777-T777</f>
        <v>0</v>
      </c>
      <c r="V777" s="1119">
        <v>524071915</v>
      </c>
      <c r="W777" s="1119"/>
      <c r="X777" s="1076"/>
      <c r="Y777" s="108" t="s">
        <v>1128</v>
      </c>
      <c r="Z777" s="109">
        <v>31224398.379999999</v>
      </c>
      <c r="AA777" s="109">
        <v>0</v>
      </c>
      <c r="AB777" s="109">
        <f t="shared" si="54"/>
        <v>31224398.379999999</v>
      </c>
      <c r="AC777" s="97">
        <v>41971</v>
      </c>
      <c r="AD777" s="119">
        <v>31224398.379999999</v>
      </c>
      <c r="AE777" s="119" t="s">
        <v>7</v>
      </c>
      <c r="AF777" s="1084">
        <f>SUM(AD777:AD780)</f>
        <v>524071915</v>
      </c>
      <c r="AG777" s="1084"/>
      <c r="AH777" s="111">
        <f t="shared" si="55"/>
        <v>0</v>
      </c>
      <c r="AI777" s="1084">
        <f>S777-SUM(AD777:AD780)</f>
        <v>0</v>
      </c>
      <c r="AJ777" s="1119"/>
      <c r="AK777" s="1119">
        <f>P777-V777</f>
        <v>0</v>
      </c>
      <c r="AL777" s="1119">
        <f>V777-SUM(Z777:Z780)</f>
        <v>0</v>
      </c>
      <c r="AM777" s="1119">
        <f>AK777+AL777</f>
        <v>0</v>
      </c>
      <c r="AN777" s="1204"/>
      <c r="AO777" s="1204"/>
    </row>
    <row r="778" spans="1:43" ht="15" customHeight="1">
      <c r="A778" s="1075"/>
      <c r="B778" s="1171"/>
      <c r="C778" s="1076"/>
      <c r="D778" s="1076"/>
      <c r="E778" s="1208"/>
      <c r="F778" s="1208"/>
      <c r="G778" s="1076"/>
      <c r="H778" s="1076"/>
      <c r="I778" s="1076"/>
      <c r="J778" s="1076"/>
      <c r="K778" s="1076"/>
      <c r="L778" s="1076"/>
      <c r="M778" s="1245"/>
      <c r="N778" s="1123"/>
      <c r="O778" s="1119"/>
      <c r="P778" s="1119"/>
      <c r="Q778" s="1119"/>
      <c r="R778" s="1171"/>
      <c r="S778" s="1196"/>
      <c r="T778" s="1196"/>
      <c r="U778" s="1196"/>
      <c r="V778" s="1119"/>
      <c r="W778" s="1119"/>
      <c r="X778" s="1076"/>
      <c r="Y778" s="108" t="s">
        <v>1129</v>
      </c>
      <c r="Z778" s="109">
        <v>123074579.31</v>
      </c>
      <c r="AA778" s="109">
        <v>0</v>
      </c>
      <c r="AB778" s="109">
        <f t="shared" si="54"/>
        <v>123074579.31</v>
      </c>
      <c r="AC778" s="97">
        <v>41988</v>
      </c>
      <c r="AD778" s="119">
        <v>123074579.31</v>
      </c>
      <c r="AE778" s="119" t="s">
        <v>7</v>
      </c>
      <c r="AF778" s="1084"/>
      <c r="AG778" s="1084"/>
      <c r="AH778" s="111">
        <f t="shared" si="55"/>
        <v>0</v>
      </c>
      <c r="AI778" s="1084"/>
      <c r="AJ778" s="1119"/>
      <c r="AK778" s="1119"/>
      <c r="AL778" s="1119"/>
      <c r="AM778" s="1119"/>
      <c r="AN778" s="1204"/>
      <c r="AO778" s="1204"/>
    </row>
    <row r="779" spans="1:43" ht="15" customHeight="1">
      <c r="A779" s="1075"/>
      <c r="B779" s="1171"/>
      <c r="C779" s="1076"/>
      <c r="D779" s="1076"/>
      <c r="E779" s="1208"/>
      <c r="F779" s="1208"/>
      <c r="G779" s="1076"/>
      <c r="H779" s="1076"/>
      <c r="I779" s="1076"/>
      <c r="J779" s="1076"/>
      <c r="K779" s="1076"/>
      <c r="L779" s="1076"/>
      <c r="M779" s="1245"/>
      <c r="N779" s="1123"/>
      <c r="O779" s="1119"/>
      <c r="P779" s="1119"/>
      <c r="Q779" s="1119"/>
      <c r="R779" s="1171"/>
      <c r="S779" s="1196"/>
      <c r="T779" s="1196"/>
      <c r="U779" s="1196"/>
      <c r="V779" s="1119"/>
      <c r="W779" s="1119"/>
      <c r="X779" s="1076"/>
      <c r="Y779" s="108" t="s">
        <v>1130</v>
      </c>
      <c r="Z779" s="109">
        <v>190535868.58000001</v>
      </c>
      <c r="AA779" s="109">
        <v>0</v>
      </c>
      <c r="AB779" s="109">
        <f t="shared" si="54"/>
        <v>190535868.58000001</v>
      </c>
      <c r="AC779" s="97">
        <v>42587</v>
      </c>
      <c r="AD779" s="119">
        <v>190535868.58000001</v>
      </c>
      <c r="AE779" s="119" t="s">
        <v>7</v>
      </c>
      <c r="AF779" s="1084"/>
      <c r="AG779" s="1084"/>
      <c r="AH779" s="111">
        <f t="shared" si="55"/>
        <v>0</v>
      </c>
      <c r="AI779" s="1084"/>
      <c r="AJ779" s="1119"/>
      <c r="AK779" s="1119"/>
      <c r="AL779" s="1119"/>
      <c r="AM779" s="1119"/>
      <c r="AN779" s="1204"/>
      <c r="AO779" s="1204"/>
    </row>
    <row r="780" spans="1:43" ht="15" customHeight="1">
      <c r="A780" s="1075"/>
      <c r="B780" s="1171"/>
      <c r="C780" s="1076"/>
      <c r="D780" s="1076"/>
      <c r="E780" s="1208"/>
      <c r="F780" s="1208"/>
      <c r="G780" s="1076"/>
      <c r="H780" s="1076"/>
      <c r="I780" s="1076"/>
      <c r="J780" s="1076"/>
      <c r="K780" s="1076"/>
      <c r="L780" s="1076"/>
      <c r="M780" s="1245"/>
      <c r="N780" s="1123"/>
      <c r="O780" s="1119"/>
      <c r="P780" s="1119"/>
      <c r="Q780" s="1119"/>
      <c r="R780" s="1171"/>
      <c r="S780" s="1196"/>
      <c r="T780" s="1196"/>
      <c r="U780" s="1196"/>
      <c r="V780" s="1119"/>
      <c r="W780" s="1119"/>
      <c r="X780" s="1076"/>
      <c r="Y780" s="108" t="s">
        <v>1131</v>
      </c>
      <c r="Z780" s="109">
        <v>179237068.72999999</v>
      </c>
      <c r="AA780" s="109">
        <v>0</v>
      </c>
      <c r="AB780" s="109">
        <f t="shared" si="54"/>
        <v>179237068.72999999</v>
      </c>
      <c r="AC780" s="97">
        <v>42730</v>
      </c>
      <c r="AD780" s="119">
        <v>179237068.72999999</v>
      </c>
      <c r="AE780" s="119" t="s">
        <v>7</v>
      </c>
      <c r="AF780" s="1084"/>
      <c r="AG780" s="1084"/>
      <c r="AH780" s="111">
        <f t="shared" si="55"/>
        <v>0</v>
      </c>
      <c r="AI780" s="1084"/>
      <c r="AJ780" s="1119"/>
      <c r="AK780" s="1119"/>
      <c r="AL780" s="1119"/>
      <c r="AM780" s="1119"/>
      <c r="AN780" s="1204"/>
      <c r="AO780" s="1204"/>
    </row>
    <row r="781" spans="1:43" s="4" customFormat="1" ht="15" customHeight="1">
      <c r="A781" s="1075" t="s">
        <v>1166</v>
      </c>
      <c r="B781" s="1171">
        <v>40835</v>
      </c>
      <c r="C781" s="1076" t="s">
        <v>44</v>
      </c>
      <c r="D781" s="1076" t="s">
        <v>1136</v>
      </c>
      <c r="E781" s="1208" t="s">
        <v>1163</v>
      </c>
      <c r="F781" s="1208"/>
      <c r="G781" s="1076" t="s">
        <v>1164</v>
      </c>
      <c r="H781" s="1076" t="s">
        <v>70</v>
      </c>
      <c r="I781" s="1076" t="s">
        <v>206</v>
      </c>
      <c r="J781" s="1076" t="s">
        <v>66</v>
      </c>
      <c r="K781" s="1076" t="s">
        <v>183</v>
      </c>
      <c r="L781" s="1076" t="s">
        <v>1172</v>
      </c>
      <c r="M781" s="1245">
        <v>177</v>
      </c>
      <c r="N781" s="1123" t="s">
        <v>137</v>
      </c>
      <c r="O781" s="1119">
        <v>110988170</v>
      </c>
      <c r="P781" s="1119">
        <v>110988170</v>
      </c>
      <c r="Q781" s="1119">
        <v>110988170</v>
      </c>
      <c r="R781" s="1171">
        <v>40753</v>
      </c>
      <c r="S781" s="1119">
        <v>110998170</v>
      </c>
      <c r="T781" s="1119">
        <v>110988170</v>
      </c>
      <c r="U781" s="1119">
        <f>O781-T781</f>
        <v>0</v>
      </c>
      <c r="V781" s="1119">
        <v>110988170</v>
      </c>
      <c r="W781" s="1119">
        <v>110988170</v>
      </c>
      <c r="X781" s="1076" t="s">
        <v>1165</v>
      </c>
      <c r="Y781" s="108" t="s">
        <v>1171</v>
      </c>
      <c r="Z781" s="109">
        <v>0</v>
      </c>
      <c r="AA781" s="109">
        <v>55494085</v>
      </c>
      <c r="AB781" s="109">
        <f t="shared" ref="AB781:AB788" si="56">AA781+Z781</f>
        <v>55494085</v>
      </c>
      <c r="AC781" s="97">
        <v>40890</v>
      </c>
      <c r="AD781" s="119">
        <v>55494085</v>
      </c>
      <c r="AE781" s="119" t="s">
        <v>137</v>
      </c>
      <c r="AF781" s="1084">
        <f>SUM(AD781:AD788)</f>
        <v>110988168.5</v>
      </c>
      <c r="AG781" s="1084">
        <f>AF781</f>
        <v>110988168.5</v>
      </c>
      <c r="AH781" s="111">
        <f t="shared" si="55"/>
        <v>0</v>
      </c>
      <c r="AI781" s="1084">
        <f>O781-SUM(AD781:AD788)</f>
        <v>1.5</v>
      </c>
      <c r="AJ781" s="1084">
        <f>W781-AG781</f>
        <v>1.5</v>
      </c>
      <c r="AK781" s="1084">
        <v>0</v>
      </c>
      <c r="AL781" s="1084">
        <f>AJ781</f>
        <v>1.5</v>
      </c>
      <c r="AM781" s="1084">
        <f>AL781</f>
        <v>1.5</v>
      </c>
      <c r="AN781" s="1149" t="s">
        <v>1174</v>
      </c>
      <c r="AO781" s="1149" t="s">
        <v>1173</v>
      </c>
      <c r="AQ781" s="934"/>
    </row>
    <row r="782" spans="1:43" s="4" customFormat="1" ht="15" customHeight="1">
      <c r="A782" s="1075"/>
      <c r="B782" s="1171"/>
      <c r="C782" s="1076"/>
      <c r="D782" s="1076"/>
      <c r="E782" s="1208"/>
      <c r="F782" s="1208"/>
      <c r="G782" s="1076"/>
      <c r="H782" s="1076"/>
      <c r="I782" s="1076"/>
      <c r="J782" s="1076"/>
      <c r="K782" s="1076"/>
      <c r="L782" s="1076"/>
      <c r="M782" s="1245"/>
      <c r="N782" s="1123"/>
      <c r="O782" s="1119"/>
      <c r="P782" s="1119"/>
      <c r="Q782" s="1119"/>
      <c r="R782" s="1171"/>
      <c r="S782" s="1119"/>
      <c r="T782" s="1119"/>
      <c r="U782" s="1119"/>
      <c r="V782" s="1119"/>
      <c r="W782" s="1119"/>
      <c r="X782" s="1076"/>
      <c r="Y782" s="108" t="s">
        <v>1160</v>
      </c>
      <c r="Z782" s="109">
        <v>15855453</v>
      </c>
      <c r="AA782" s="109">
        <v>-7927726.5</v>
      </c>
      <c r="AB782" s="109">
        <f t="shared" si="56"/>
        <v>7927726.5</v>
      </c>
      <c r="AC782" s="97">
        <v>41026</v>
      </c>
      <c r="AD782" s="119">
        <v>7927726</v>
      </c>
      <c r="AE782" s="119" t="s">
        <v>137</v>
      </c>
      <c r="AF782" s="1084"/>
      <c r="AG782" s="1084"/>
      <c r="AH782" s="111">
        <f t="shared" si="55"/>
        <v>0.5</v>
      </c>
      <c r="AI782" s="1084"/>
      <c r="AJ782" s="1084"/>
      <c r="AK782" s="1084"/>
      <c r="AL782" s="1084"/>
      <c r="AM782" s="1084"/>
      <c r="AN782" s="1149"/>
      <c r="AO782" s="1149"/>
      <c r="AQ782" s="934"/>
    </row>
    <row r="783" spans="1:43" s="4" customFormat="1" ht="15" customHeight="1">
      <c r="A783" s="1075"/>
      <c r="B783" s="1171"/>
      <c r="C783" s="1076"/>
      <c r="D783" s="1076"/>
      <c r="E783" s="1208"/>
      <c r="F783" s="1208"/>
      <c r="G783" s="1076"/>
      <c r="H783" s="1076"/>
      <c r="I783" s="1076"/>
      <c r="J783" s="1076"/>
      <c r="K783" s="1076"/>
      <c r="L783" s="1076"/>
      <c r="M783" s="1245"/>
      <c r="N783" s="1123"/>
      <c r="O783" s="1119"/>
      <c r="P783" s="1119"/>
      <c r="Q783" s="1119"/>
      <c r="R783" s="1171"/>
      <c r="S783" s="1119"/>
      <c r="T783" s="1119"/>
      <c r="U783" s="1119"/>
      <c r="V783" s="1119"/>
      <c r="W783" s="1119"/>
      <c r="X783" s="1076"/>
      <c r="Y783" s="108" t="s">
        <v>1161</v>
      </c>
      <c r="Z783" s="109">
        <v>15855453</v>
      </c>
      <c r="AA783" s="109">
        <v>-7927726.5</v>
      </c>
      <c r="AB783" s="109">
        <f t="shared" si="56"/>
        <v>7927726.5</v>
      </c>
      <c r="AC783" s="97">
        <v>41026</v>
      </c>
      <c r="AD783" s="119">
        <v>7927726</v>
      </c>
      <c r="AE783" s="119" t="s">
        <v>137</v>
      </c>
      <c r="AF783" s="1084"/>
      <c r="AG783" s="1084"/>
      <c r="AH783" s="111">
        <f t="shared" si="55"/>
        <v>0.5</v>
      </c>
      <c r="AI783" s="1084"/>
      <c r="AJ783" s="1084"/>
      <c r="AK783" s="1084"/>
      <c r="AL783" s="1084"/>
      <c r="AM783" s="1084"/>
      <c r="AN783" s="1149"/>
      <c r="AO783" s="1149"/>
      <c r="AQ783" s="934"/>
    </row>
    <row r="784" spans="1:43" s="4" customFormat="1" ht="15" customHeight="1">
      <c r="A784" s="1075"/>
      <c r="B784" s="1171"/>
      <c r="C784" s="1076"/>
      <c r="D784" s="1076"/>
      <c r="E784" s="1208"/>
      <c r="F784" s="1208"/>
      <c r="G784" s="1076"/>
      <c r="H784" s="1076"/>
      <c r="I784" s="1076"/>
      <c r="J784" s="1076"/>
      <c r="K784" s="1076"/>
      <c r="L784" s="1076"/>
      <c r="M784" s="1245"/>
      <c r="N784" s="1123"/>
      <c r="O784" s="1119"/>
      <c r="P784" s="1119"/>
      <c r="Q784" s="1119"/>
      <c r="R784" s="1171"/>
      <c r="S784" s="1119"/>
      <c r="T784" s="1119"/>
      <c r="U784" s="1119"/>
      <c r="V784" s="1119"/>
      <c r="W784" s="1119"/>
      <c r="X784" s="1076"/>
      <c r="Y784" s="108" t="s">
        <v>1162</v>
      </c>
      <c r="Z784" s="109">
        <v>15855453</v>
      </c>
      <c r="AA784" s="109">
        <v>-7927726.5</v>
      </c>
      <c r="AB784" s="109">
        <f t="shared" si="56"/>
        <v>7927726.5</v>
      </c>
      <c r="AC784" s="97">
        <v>41026</v>
      </c>
      <c r="AD784" s="119">
        <v>7927726</v>
      </c>
      <c r="AE784" s="119" t="s">
        <v>137</v>
      </c>
      <c r="AF784" s="1084"/>
      <c r="AG784" s="1084"/>
      <c r="AH784" s="111">
        <f t="shared" si="55"/>
        <v>0.5</v>
      </c>
      <c r="AI784" s="1084"/>
      <c r="AJ784" s="1084"/>
      <c r="AK784" s="1084"/>
      <c r="AL784" s="1084"/>
      <c r="AM784" s="1084"/>
      <c r="AN784" s="1149"/>
      <c r="AO784" s="1149"/>
      <c r="AQ784" s="934"/>
    </row>
    <row r="785" spans="1:43" s="4" customFormat="1" ht="15" customHeight="1">
      <c r="A785" s="1075"/>
      <c r="B785" s="1171"/>
      <c r="C785" s="1076"/>
      <c r="D785" s="1076"/>
      <c r="E785" s="1208"/>
      <c r="F785" s="1208"/>
      <c r="G785" s="1076"/>
      <c r="H785" s="1076"/>
      <c r="I785" s="1076"/>
      <c r="J785" s="1076"/>
      <c r="K785" s="1076"/>
      <c r="L785" s="1076"/>
      <c r="M785" s="1245"/>
      <c r="N785" s="1123"/>
      <c r="O785" s="1119"/>
      <c r="P785" s="1119"/>
      <c r="Q785" s="1119"/>
      <c r="R785" s="1171"/>
      <c r="S785" s="1119"/>
      <c r="T785" s="1119"/>
      <c r="U785" s="1119"/>
      <c r="V785" s="1119"/>
      <c r="W785" s="1119"/>
      <c r="X785" s="1076"/>
      <c r="Y785" s="108" t="s">
        <v>1175</v>
      </c>
      <c r="Z785" s="109">
        <v>15855453</v>
      </c>
      <c r="AA785" s="109">
        <v>-7927726.5</v>
      </c>
      <c r="AB785" s="109">
        <f t="shared" si="56"/>
        <v>7927726.5</v>
      </c>
      <c r="AC785" s="97">
        <v>41150</v>
      </c>
      <c r="AD785" s="119">
        <v>7927726.5</v>
      </c>
      <c r="AE785" s="119" t="s">
        <v>137</v>
      </c>
      <c r="AF785" s="1084"/>
      <c r="AG785" s="1084"/>
      <c r="AH785" s="111">
        <f t="shared" si="55"/>
        <v>0</v>
      </c>
      <c r="AI785" s="1084"/>
      <c r="AJ785" s="1084"/>
      <c r="AK785" s="1084"/>
      <c r="AL785" s="1084"/>
      <c r="AM785" s="1084"/>
      <c r="AN785" s="1149"/>
      <c r="AO785" s="1149"/>
      <c r="AQ785" s="934"/>
    </row>
    <row r="786" spans="1:43" s="4" customFormat="1" ht="15" customHeight="1">
      <c r="A786" s="1075"/>
      <c r="B786" s="1171"/>
      <c r="C786" s="1076"/>
      <c r="D786" s="1076"/>
      <c r="E786" s="1208"/>
      <c r="F786" s="1208"/>
      <c r="G786" s="1076"/>
      <c r="H786" s="1076"/>
      <c r="I786" s="1076"/>
      <c r="J786" s="1076"/>
      <c r="K786" s="1076"/>
      <c r="L786" s="1076"/>
      <c r="M786" s="1245"/>
      <c r="N786" s="1123"/>
      <c r="O786" s="1119"/>
      <c r="P786" s="1119"/>
      <c r="Q786" s="1119"/>
      <c r="R786" s="1171"/>
      <c r="S786" s="1119"/>
      <c r="T786" s="1119"/>
      <c r="U786" s="1119"/>
      <c r="V786" s="1119"/>
      <c r="W786" s="1119"/>
      <c r="X786" s="1076"/>
      <c r="Y786" s="108" t="s">
        <v>1176</v>
      </c>
      <c r="Z786" s="109">
        <v>15855453</v>
      </c>
      <c r="AA786" s="109">
        <v>-7927726.5</v>
      </c>
      <c r="AB786" s="109">
        <f t="shared" si="56"/>
        <v>7927726.5</v>
      </c>
      <c r="AC786" s="97">
        <v>41150</v>
      </c>
      <c r="AD786" s="119">
        <v>7927726.5</v>
      </c>
      <c r="AE786" s="119" t="s">
        <v>137</v>
      </c>
      <c r="AF786" s="1084"/>
      <c r="AG786" s="1084"/>
      <c r="AH786" s="111">
        <f t="shared" si="55"/>
        <v>0</v>
      </c>
      <c r="AI786" s="1084"/>
      <c r="AJ786" s="1084"/>
      <c r="AK786" s="1084"/>
      <c r="AL786" s="1084"/>
      <c r="AM786" s="1084"/>
      <c r="AN786" s="1149"/>
      <c r="AO786" s="1149"/>
      <c r="AQ786" s="934"/>
    </row>
    <row r="787" spans="1:43" s="4" customFormat="1" ht="15" customHeight="1">
      <c r="A787" s="1075"/>
      <c r="B787" s="1171"/>
      <c r="C787" s="1076"/>
      <c r="D787" s="1076"/>
      <c r="E787" s="1208"/>
      <c r="F787" s="1208"/>
      <c r="G787" s="1076"/>
      <c r="H787" s="1076"/>
      <c r="I787" s="1076"/>
      <c r="J787" s="1076"/>
      <c r="K787" s="1076"/>
      <c r="L787" s="1076"/>
      <c r="M787" s="1245"/>
      <c r="N787" s="1123"/>
      <c r="O787" s="1119"/>
      <c r="P787" s="1119"/>
      <c r="Q787" s="1119"/>
      <c r="R787" s="1171"/>
      <c r="S787" s="1119"/>
      <c r="T787" s="1119"/>
      <c r="U787" s="1119"/>
      <c r="V787" s="1119"/>
      <c r="W787" s="1119"/>
      <c r="X787" s="1076"/>
      <c r="Y787" s="108" t="s">
        <v>1177</v>
      </c>
      <c r="Z787" s="109">
        <v>15855453</v>
      </c>
      <c r="AA787" s="109">
        <v>-7927726.5</v>
      </c>
      <c r="AB787" s="109">
        <f t="shared" si="56"/>
        <v>7927726.5</v>
      </c>
      <c r="AC787" s="97">
        <v>41150</v>
      </c>
      <c r="AD787" s="119">
        <v>7927726.5</v>
      </c>
      <c r="AE787" s="119" t="s">
        <v>137</v>
      </c>
      <c r="AF787" s="1084"/>
      <c r="AG787" s="1084"/>
      <c r="AH787" s="111">
        <f t="shared" si="55"/>
        <v>0</v>
      </c>
      <c r="AI787" s="1084"/>
      <c r="AJ787" s="1084"/>
      <c r="AK787" s="1084"/>
      <c r="AL787" s="1084"/>
      <c r="AM787" s="1084"/>
      <c r="AN787" s="1149"/>
      <c r="AO787" s="1149"/>
      <c r="AQ787" s="934"/>
    </row>
    <row r="788" spans="1:43" s="4" customFormat="1" ht="15" customHeight="1">
      <c r="A788" s="1075"/>
      <c r="B788" s="1171"/>
      <c r="C788" s="1076"/>
      <c r="D788" s="1076"/>
      <c r="E788" s="1208"/>
      <c r="F788" s="1208"/>
      <c r="G788" s="1076"/>
      <c r="H788" s="1076"/>
      <c r="I788" s="1076"/>
      <c r="J788" s="1076"/>
      <c r="K788" s="1076"/>
      <c r="L788" s="1076"/>
      <c r="M788" s="1245"/>
      <c r="N788" s="1123"/>
      <c r="O788" s="1119"/>
      <c r="P788" s="1119"/>
      <c r="Q788" s="1119"/>
      <c r="R788" s="1171"/>
      <c r="S788" s="1119"/>
      <c r="T788" s="1119"/>
      <c r="U788" s="1119"/>
      <c r="V788" s="1119"/>
      <c r="W788" s="1119"/>
      <c r="X788" s="1076"/>
      <c r="Y788" s="108" t="s">
        <v>1178</v>
      </c>
      <c r="Z788" s="109">
        <v>15855452</v>
      </c>
      <c r="AA788" s="109">
        <v>-7927726</v>
      </c>
      <c r="AB788" s="109">
        <f t="shared" si="56"/>
        <v>7927726</v>
      </c>
      <c r="AC788" s="97">
        <v>41635</v>
      </c>
      <c r="AD788" s="119">
        <v>7927726</v>
      </c>
      <c r="AE788" s="119" t="s">
        <v>137</v>
      </c>
      <c r="AF788" s="1084"/>
      <c r="AG788" s="1084"/>
      <c r="AH788" s="111">
        <f t="shared" si="55"/>
        <v>0</v>
      </c>
      <c r="AI788" s="1084"/>
      <c r="AJ788" s="1084"/>
      <c r="AK788" s="1084"/>
      <c r="AL788" s="1084"/>
      <c r="AM788" s="1084"/>
      <c r="AN788" s="1149"/>
      <c r="AO788" s="1149"/>
      <c r="AQ788" s="934"/>
    </row>
    <row r="789" spans="1:43" ht="15" customHeight="1">
      <c r="A789" s="1075" t="s">
        <v>1135</v>
      </c>
      <c r="B789" s="1171">
        <v>40835</v>
      </c>
      <c r="C789" s="1076" t="s">
        <v>9</v>
      </c>
      <c r="D789" s="1076" t="s">
        <v>1136</v>
      </c>
      <c r="E789" s="1208">
        <v>25274386</v>
      </c>
      <c r="F789" s="1208"/>
      <c r="G789" s="1076" t="s">
        <v>1137</v>
      </c>
      <c r="H789" s="1076" t="s">
        <v>70</v>
      </c>
      <c r="I789" s="1076" t="s">
        <v>206</v>
      </c>
      <c r="J789" s="1076" t="s">
        <v>66</v>
      </c>
      <c r="K789" s="1076" t="s">
        <v>183</v>
      </c>
      <c r="L789" s="1076" t="s">
        <v>1147</v>
      </c>
      <c r="M789" s="1350">
        <v>178</v>
      </c>
      <c r="N789" s="1123" t="s">
        <v>137</v>
      </c>
      <c r="O789" s="1119">
        <v>62465292</v>
      </c>
      <c r="P789" s="1119">
        <v>62465292</v>
      </c>
      <c r="Q789" s="1119">
        <v>62465292</v>
      </c>
      <c r="R789" s="1171">
        <v>40753</v>
      </c>
      <c r="S789" s="1196">
        <v>62465292</v>
      </c>
      <c r="T789" s="1196">
        <v>62465292</v>
      </c>
      <c r="U789" s="1196">
        <f>O789-T789</f>
        <v>0</v>
      </c>
      <c r="V789" s="1119">
        <v>62465292</v>
      </c>
      <c r="W789" s="1119">
        <v>62465292</v>
      </c>
      <c r="X789" s="1076" t="s">
        <v>1138</v>
      </c>
      <c r="Y789" s="108" t="s">
        <v>1139</v>
      </c>
      <c r="Z789" s="109">
        <v>0</v>
      </c>
      <c r="AA789" s="109">
        <v>31232646</v>
      </c>
      <c r="AB789" s="109">
        <f t="shared" ref="AB789:AB818" si="57">Z789+AA789</f>
        <v>31232646</v>
      </c>
      <c r="AC789" s="97">
        <v>40891</v>
      </c>
      <c r="AD789" s="119">
        <v>31232646</v>
      </c>
      <c r="AE789" s="119" t="s">
        <v>137</v>
      </c>
      <c r="AF789" s="1084">
        <f>SUM(AD789:AD796)</f>
        <v>62465290</v>
      </c>
      <c r="AG789" s="1084">
        <f>AF789</f>
        <v>62465290</v>
      </c>
      <c r="AH789" s="111">
        <f t="shared" si="55"/>
        <v>0</v>
      </c>
      <c r="AI789" s="1084">
        <f>O789-SUM(AD789:AD796)</f>
        <v>2</v>
      </c>
      <c r="AJ789" s="1119">
        <f>SUM(Z789:Z796)-SUM(AD789:AD796)</f>
        <v>2</v>
      </c>
      <c r="AK789" s="1119">
        <f>P789-V789</f>
        <v>0</v>
      </c>
      <c r="AL789" s="1119">
        <f>V789-SUM(Z789:Z796)+AJ789</f>
        <v>2</v>
      </c>
      <c r="AM789" s="1119">
        <f>AK789+AL789</f>
        <v>2</v>
      </c>
      <c r="AN789" s="1203" t="s">
        <v>606</v>
      </c>
      <c r="AO789" s="1237" t="s">
        <v>1148</v>
      </c>
    </row>
    <row r="790" spans="1:43" ht="15" customHeight="1">
      <c r="A790" s="1075"/>
      <c r="B790" s="1171"/>
      <c r="C790" s="1076"/>
      <c r="D790" s="1076"/>
      <c r="E790" s="1208"/>
      <c r="F790" s="1208"/>
      <c r="G790" s="1076"/>
      <c r="H790" s="1076"/>
      <c r="I790" s="1076"/>
      <c r="J790" s="1076"/>
      <c r="K790" s="1076"/>
      <c r="L790" s="1076"/>
      <c r="M790" s="1350"/>
      <c r="N790" s="1123"/>
      <c r="O790" s="1119"/>
      <c r="P790" s="1119"/>
      <c r="Q790" s="1119"/>
      <c r="R790" s="1171"/>
      <c r="S790" s="1196"/>
      <c r="T790" s="1196"/>
      <c r="U790" s="1196"/>
      <c r="V790" s="1119"/>
      <c r="W790" s="1119"/>
      <c r="X790" s="1076"/>
      <c r="Y790" s="108" t="s">
        <v>1140</v>
      </c>
      <c r="Z790" s="109">
        <v>8923613</v>
      </c>
      <c r="AA790" s="109">
        <v>-4461807</v>
      </c>
      <c r="AB790" s="109">
        <f t="shared" si="57"/>
        <v>4461806</v>
      </c>
      <c r="AC790" s="97">
        <v>41046</v>
      </c>
      <c r="AD790" s="119">
        <v>4461806</v>
      </c>
      <c r="AE790" s="119" t="s">
        <v>137</v>
      </c>
      <c r="AF790" s="1084"/>
      <c r="AG790" s="1084"/>
      <c r="AH790" s="111">
        <f t="shared" si="55"/>
        <v>0</v>
      </c>
      <c r="AI790" s="1084"/>
      <c r="AJ790" s="1119"/>
      <c r="AK790" s="1119"/>
      <c r="AL790" s="1119"/>
      <c r="AM790" s="1119"/>
      <c r="AN790" s="1203"/>
      <c r="AO790" s="1204"/>
    </row>
    <row r="791" spans="1:43" ht="15" customHeight="1">
      <c r="A791" s="1075"/>
      <c r="B791" s="1171"/>
      <c r="C791" s="1076"/>
      <c r="D791" s="1076"/>
      <c r="E791" s="1208"/>
      <c r="F791" s="1208"/>
      <c r="G791" s="1076"/>
      <c r="H791" s="1076"/>
      <c r="I791" s="1076"/>
      <c r="J791" s="1076"/>
      <c r="K791" s="1076"/>
      <c r="L791" s="1076"/>
      <c r="M791" s="1350"/>
      <c r="N791" s="1123"/>
      <c r="O791" s="1119"/>
      <c r="P791" s="1119"/>
      <c r="Q791" s="1119"/>
      <c r="R791" s="1171"/>
      <c r="S791" s="1196"/>
      <c r="T791" s="1196"/>
      <c r="U791" s="1196"/>
      <c r="V791" s="1119"/>
      <c r="W791" s="1119"/>
      <c r="X791" s="1076"/>
      <c r="Y791" s="108" t="s">
        <v>1141</v>
      </c>
      <c r="Z791" s="109">
        <v>8923613</v>
      </c>
      <c r="AA791" s="109">
        <v>-4461807</v>
      </c>
      <c r="AB791" s="109">
        <f t="shared" si="57"/>
        <v>4461806</v>
      </c>
      <c r="AC791" s="1171">
        <v>41061</v>
      </c>
      <c r="AD791" s="119">
        <v>4461806</v>
      </c>
      <c r="AE791" s="119" t="s">
        <v>137</v>
      </c>
      <c r="AF791" s="1084"/>
      <c r="AG791" s="1084"/>
      <c r="AH791" s="111">
        <f t="shared" si="55"/>
        <v>0</v>
      </c>
      <c r="AI791" s="1084"/>
      <c r="AJ791" s="1119"/>
      <c r="AK791" s="1119"/>
      <c r="AL791" s="1119"/>
      <c r="AM791" s="1119"/>
      <c r="AN791" s="1203"/>
      <c r="AO791" s="1204"/>
    </row>
    <row r="792" spans="1:43" ht="15" customHeight="1">
      <c r="A792" s="1075"/>
      <c r="B792" s="1171"/>
      <c r="C792" s="1076"/>
      <c r="D792" s="1076"/>
      <c r="E792" s="1208"/>
      <c r="F792" s="1208"/>
      <c r="G792" s="1076"/>
      <c r="H792" s="1076"/>
      <c r="I792" s="1076"/>
      <c r="J792" s="1076"/>
      <c r="K792" s="1076"/>
      <c r="L792" s="1076"/>
      <c r="M792" s="1350"/>
      <c r="N792" s="1123"/>
      <c r="O792" s="1119"/>
      <c r="P792" s="1119"/>
      <c r="Q792" s="1119"/>
      <c r="R792" s="1171"/>
      <c r="S792" s="1196"/>
      <c r="T792" s="1196"/>
      <c r="U792" s="1196"/>
      <c r="V792" s="1119"/>
      <c r="W792" s="1119"/>
      <c r="X792" s="1076"/>
      <c r="Y792" s="108" t="s">
        <v>1142</v>
      </c>
      <c r="Z792" s="109">
        <v>8923613</v>
      </c>
      <c r="AA792" s="109">
        <v>-4461807</v>
      </c>
      <c r="AB792" s="109">
        <f t="shared" si="57"/>
        <v>4461806</v>
      </c>
      <c r="AC792" s="1171"/>
      <c r="AD792" s="119">
        <v>4461806</v>
      </c>
      <c r="AE792" s="119" t="s">
        <v>137</v>
      </c>
      <c r="AF792" s="1084"/>
      <c r="AG792" s="1084"/>
      <c r="AH792" s="111">
        <f t="shared" si="55"/>
        <v>0</v>
      </c>
      <c r="AI792" s="1084"/>
      <c r="AJ792" s="1119"/>
      <c r="AK792" s="1119"/>
      <c r="AL792" s="1119"/>
      <c r="AM792" s="1119"/>
      <c r="AN792" s="1203"/>
      <c r="AO792" s="1204"/>
    </row>
    <row r="793" spans="1:43" ht="15" customHeight="1">
      <c r="A793" s="1075"/>
      <c r="B793" s="1171"/>
      <c r="C793" s="1076"/>
      <c r="D793" s="1076"/>
      <c r="E793" s="1208"/>
      <c r="F793" s="1208"/>
      <c r="G793" s="1076"/>
      <c r="H793" s="1076"/>
      <c r="I793" s="1076"/>
      <c r="J793" s="1076"/>
      <c r="K793" s="1076"/>
      <c r="L793" s="1076"/>
      <c r="M793" s="1350"/>
      <c r="N793" s="1123"/>
      <c r="O793" s="1119"/>
      <c r="P793" s="1119"/>
      <c r="Q793" s="1119"/>
      <c r="R793" s="1171"/>
      <c r="S793" s="1196"/>
      <c r="T793" s="1196"/>
      <c r="U793" s="1196"/>
      <c r="V793" s="1119"/>
      <c r="W793" s="1119"/>
      <c r="X793" s="1076"/>
      <c r="Y793" s="108" t="s">
        <v>1143</v>
      </c>
      <c r="Z793" s="109">
        <v>8923613</v>
      </c>
      <c r="AA793" s="109">
        <v>-4461807</v>
      </c>
      <c r="AB793" s="109">
        <f t="shared" si="57"/>
        <v>4461806</v>
      </c>
      <c r="AC793" s="97">
        <v>41094</v>
      </c>
      <c r="AD793" s="119">
        <v>4461806</v>
      </c>
      <c r="AE793" s="119" t="s">
        <v>137</v>
      </c>
      <c r="AF793" s="1084"/>
      <c r="AG793" s="1084"/>
      <c r="AH793" s="111">
        <f t="shared" si="55"/>
        <v>0</v>
      </c>
      <c r="AI793" s="1084"/>
      <c r="AJ793" s="1119"/>
      <c r="AK793" s="1119"/>
      <c r="AL793" s="1119"/>
      <c r="AM793" s="1119"/>
      <c r="AN793" s="1203"/>
      <c r="AO793" s="1204"/>
    </row>
    <row r="794" spans="1:43" ht="15" customHeight="1">
      <c r="A794" s="1075"/>
      <c r="B794" s="1171"/>
      <c r="C794" s="1076"/>
      <c r="D794" s="1076"/>
      <c r="E794" s="1208"/>
      <c r="F794" s="1208"/>
      <c r="G794" s="1076"/>
      <c r="H794" s="1076"/>
      <c r="I794" s="1076"/>
      <c r="J794" s="1076"/>
      <c r="K794" s="1076"/>
      <c r="L794" s="1076"/>
      <c r="M794" s="1350"/>
      <c r="N794" s="1123"/>
      <c r="O794" s="1119"/>
      <c r="P794" s="1119"/>
      <c r="Q794" s="1119"/>
      <c r="R794" s="1171"/>
      <c r="S794" s="1196"/>
      <c r="T794" s="1196"/>
      <c r="U794" s="1196"/>
      <c r="V794" s="1119"/>
      <c r="W794" s="1119"/>
      <c r="X794" s="1076"/>
      <c r="Y794" s="108" t="s">
        <v>1144</v>
      </c>
      <c r="Z794" s="109">
        <v>8923613</v>
      </c>
      <c r="AA794" s="109">
        <v>-4461806.5</v>
      </c>
      <c r="AB794" s="109">
        <f t="shared" si="57"/>
        <v>4461806.5</v>
      </c>
      <c r="AC794" s="1171">
        <v>41150</v>
      </c>
      <c r="AD794" s="119">
        <v>4461806.5</v>
      </c>
      <c r="AE794" s="119" t="s">
        <v>137</v>
      </c>
      <c r="AF794" s="1084"/>
      <c r="AG794" s="1084"/>
      <c r="AH794" s="111">
        <f t="shared" si="55"/>
        <v>0</v>
      </c>
      <c r="AI794" s="1084"/>
      <c r="AJ794" s="1119"/>
      <c r="AK794" s="1119"/>
      <c r="AL794" s="1119"/>
      <c r="AM794" s="1119"/>
      <c r="AN794" s="1203"/>
      <c r="AO794" s="1204"/>
    </row>
    <row r="795" spans="1:43" ht="15" customHeight="1">
      <c r="A795" s="1075"/>
      <c r="B795" s="1171"/>
      <c r="C795" s="1076"/>
      <c r="D795" s="1076"/>
      <c r="E795" s="1208"/>
      <c r="F795" s="1208"/>
      <c r="G795" s="1076"/>
      <c r="H795" s="1076"/>
      <c r="I795" s="1076"/>
      <c r="J795" s="1076"/>
      <c r="K795" s="1076"/>
      <c r="L795" s="1076"/>
      <c r="M795" s="1350"/>
      <c r="N795" s="1123"/>
      <c r="O795" s="1119"/>
      <c r="P795" s="1119"/>
      <c r="Q795" s="1119"/>
      <c r="R795" s="1171"/>
      <c r="S795" s="1196"/>
      <c r="T795" s="1196"/>
      <c r="U795" s="1196"/>
      <c r="V795" s="1119"/>
      <c r="W795" s="1119"/>
      <c r="X795" s="1076"/>
      <c r="Y795" s="108" t="s">
        <v>1145</v>
      </c>
      <c r="Z795" s="109">
        <v>8923613</v>
      </c>
      <c r="AA795" s="109">
        <v>-4461806.5</v>
      </c>
      <c r="AB795" s="109">
        <f t="shared" si="57"/>
        <v>4461806.5</v>
      </c>
      <c r="AC795" s="1171"/>
      <c r="AD795" s="119">
        <v>4461806.5</v>
      </c>
      <c r="AE795" s="119" t="s">
        <v>137</v>
      </c>
      <c r="AF795" s="1084"/>
      <c r="AG795" s="1084"/>
      <c r="AH795" s="111">
        <f t="shared" si="55"/>
        <v>0</v>
      </c>
      <c r="AI795" s="1084"/>
      <c r="AJ795" s="1119"/>
      <c r="AK795" s="1119"/>
      <c r="AL795" s="1119"/>
      <c r="AM795" s="1119"/>
      <c r="AN795" s="1203"/>
      <c r="AO795" s="1204"/>
    </row>
    <row r="796" spans="1:43" ht="15" customHeight="1">
      <c r="A796" s="1075"/>
      <c r="B796" s="1171"/>
      <c r="C796" s="1076"/>
      <c r="D796" s="1076"/>
      <c r="E796" s="1208"/>
      <c r="F796" s="1208"/>
      <c r="G796" s="1076"/>
      <c r="H796" s="1076"/>
      <c r="I796" s="1076"/>
      <c r="J796" s="1076"/>
      <c r="K796" s="1076"/>
      <c r="L796" s="1076"/>
      <c r="M796" s="1350"/>
      <c r="N796" s="1123"/>
      <c r="O796" s="1119"/>
      <c r="P796" s="1119"/>
      <c r="Q796" s="1119"/>
      <c r="R796" s="1171"/>
      <c r="S796" s="1196"/>
      <c r="T796" s="1196"/>
      <c r="U796" s="1196"/>
      <c r="V796" s="1119"/>
      <c r="W796" s="1119"/>
      <c r="X796" s="1076"/>
      <c r="Y796" s="108" t="s">
        <v>1146</v>
      </c>
      <c r="Z796" s="109">
        <v>8923614</v>
      </c>
      <c r="AA796" s="109">
        <v>-4461807</v>
      </c>
      <c r="AB796" s="109">
        <f t="shared" si="57"/>
        <v>4461807</v>
      </c>
      <c r="AC796" s="97">
        <v>41540</v>
      </c>
      <c r="AD796" s="119">
        <v>4461807</v>
      </c>
      <c r="AE796" s="119" t="s">
        <v>137</v>
      </c>
      <c r="AF796" s="1084"/>
      <c r="AG796" s="1084"/>
      <c r="AH796" s="111">
        <f t="shared" si="55"/>
        <v>0</v>
      </c>
      <c r="AI796" s="1084"/>
      <c r="AJ796" s="1119"/>
      <c r="AK796" s="1119"/>
      <c r="AL796" s="1119"/>
      <c r="AM796" s="1119"/>
      <c r="AN796" s="1203"/>
      <c r="AO796" s="1204"/>
    </row>
    <row r="797" spans="1:43" s="4" customFormat="1" ht="15" customHeight="1">
      <c r="A797" s="1362" t="s">
        <v>1180</v>
      </c>
      <c r="B797" s="1171">
        <v>40835</v>
      </c>
      <c r="C797" s="1076" t="s">
        <v>42</v>
      </c>
      <c r="D797" s="1076" t="s">
        <v>1186</v>
      </c>
      <c r="E797" s="1208">
        <v>900471400</v>
      </c>
      <c r="F797" s="1208" t="s">
        <v>1187</v>
      </c>
      <c r="G797" s="1076" t="s">
        <v>2865</v>
      </c>
      <c r="H797" s="1076" t="s">
        <v>70</v>
      </c>
      <c r="I797" s="1076" t="s">
        <v>206</v>
      </c>
      <c r="J797" s="1076" t="s">
        <v>66</v>
      </c>
      <c r="K797" s="1076" t="s">
        <v>183</v>
      </c>
      <c r="L797" s="1076" t="s">
        <v>1208</v>
      </c>
      <c r="M797" s="1245">
        <v>181</v>
      </c>
      <c r="N797" s="1123" t="s">
        <v>137</v>
      </c>
      <c r="O797" s="1119">
        <v>71242158</v>
      </c>
      <c r="P797" s="1119">
        <f>O797</f>
        <v>71242158</v>
      </c>
      <c r="Q797" s="1119">
        <f>P797+P805+P813+P815</f>
        <v>142465026</v>
      </c>
      <c r="R797" s="1171">
        <v>40753</v>
      </c>
      <c r="S797" s="1295">
        <v>71242158</v>
      </c>
      <c r="T797" s="1295">
        <v>71242158</v>
      </c>
      <c r="U797" s="1295">
        <f>O797-T797</f>
        <v>0</v>
      </c>
      <c r="V797" s="1119">
        <v>71152765</v>
      </c>
      <c r="W797" s="1119">
        <v>142336878</v>
      </c>
      <c r="X797" s="1244" t="s">
        <v>1179</v>
      </c>
      <c r="Y797" s="108" t="s">
        <v>1188</v>
      </c>
      <c r="Z797" s="109">
        <v>0</v>
      </c>
      <c r="AA797" s="109">
        <v>35577600</v>
      </c>
      <c r="AB797" s="109">
        <f t="shared" si="57"/>
        <v>35577600</v>
      </c>
      <c r="AC797" s="97">
        <v>40890</v>
      </c>
      <c r="AD797" s="119">
        <v>35577600</v>
      </c>
      <c r="AE797" s="119" t="s">
        <v>137</v>
      </c>
      <c r="AF797" s="1084">
        <f>SUM(AD797:AD804)</f>
        <v>71152765</v>
      </c>
      <c r="AG797" s="1084">
        <f>AF797+AF805+AF813+AF815</f>
        <v>142336876.30000001</v>
      </c>
      <c r="AH797" s="111">
        <f t="shared" si="55"/>
        <v>0</v>
      </c>
      <c r="AI797" s="1084">
        <f>O797-SUM(AD797:AD804)</f>
        <v>89393</v>
      </c>
      <c r="AJ797" s="1119">
        <f>SUM(Z797:Z816)-SUM(AD797:AD816)</f>
        <v>1.7000000178813934</v>
      </c>
      <c r="AK797" s="1119">
        <f>P797-V797</f>
        <v>89393</v>
      </c>
      <c r="AL797" s="1119">
        <f>V797-SUM(Z797:Z804)</f>
        <v>0</v>
      </c>
      <c r="AM797" s="1119">
        <f>AK797+AL797</f>
        <v>89393</v>
      </c>
      <c r="AN797" s="1249" t="s">
        <v>1190</v>
      </c>
      <c r="AO797" s="1204" t="s">
        <v>1209</v>
      </c>
      <c r="AQ797" s="934"/>
    </row>
    <row r="798" spans="1:43" s="4" customFormat="1" ht="15" customHeight="1">
      <c r="A798" s="1362"/>
      <c r="B798" s="1171"/>
      <c r="C798" s="1076"/>
      <c r="D798" s="1076"/>
      <c r="E798" s="1208"/>
      <c r="F798" s="1208"/>
      <c r="G798" s="1076"/>
      <c r="H798" s="1076"/>
      <c r="I798" s="1076"/>
      <c r="J798" s="1076"/>
      <c r="K798" s="1076"/>
      <c r="L798" s="1076"/>
      <c r="M798" s="1245"/>
      <c r="N798" s="1123"/>
      <c r="O798" s="1119"/>
      <c r="P798" s="1119"/>
      <c r="Q798" s="1119"/>
      <c r="R798" s="1171"/>
      <c r="S798" s="1295"/>
      <c r="T798" s="1295"/>
      <c r="U798" s="1295"/>
      <c r="V798" s="1119"/>
      <c r="W798" s="1119"/>
      <c r="X798" s="1244"/>
      <c r="Y798" s="108" t="s">
        <v>1191</v>
      </c>
      <c r="Z798" s="109">
        <v>10770075</v>
      </c>
      <c r="AA798" s="109">
        <v>-5385037</v>
      </c>
      <c r="AB798" s="109">
        <f t="shared" si="57"/>
        <v>5385038</v>
      </c>
      <c r="AC798" s="1171">
        <v>41057</v>
      </c>
      <c r="AD798" s="119">
        <v>5385038</v>
      </c>
      <c r="AE798" s="119" t="s">
        <v>137</v>
      </c>
      <c r="AF798" s="1084"/>
      <c r="AG798" s="1084"/>
      <c r="AH798" s="111">
        <f t="shared" si="55"/>
        <v>0</v>
      </c>
      <c r="AI798" s="1084"/>
      <c r="AJ798" s="1119"/>
      <c r="AK798" s="1119"/>
      <c r="AL798" s="1119"/>
      <c r="AM798" s="1119"/>
      <c r="AN798" s="1249"/>
      <c r="AO798" s="1204"/>
      <c r="AQ798" s="934"/>
    </row>
    <row r="799" spans="1:43" s="4" customFormat="1" ht="15" customHeight="1">
      <c r="A799" s="1362"/>
      <c r="B799" s="1171"/>
      <c r="C799" s="1076"/>
      <c r="D799" s="1076"/>
      <c r="E799" s="1208"/>
      <c r="F799" s="1208"/>
      <c r="G799" s="1076"/>
      <c r="H799" s="1076"/>
      <c r="I799" s="1076"/>
      <c r="J799" s="1076"/>
      <c r="K799" s="1076"/>
      <c r="L799" s="1076"/>
      <c r="M799" s="1245"/>
      <c r="N799" s="1123"/>
      <c r="O799" s="1119"/>
      <c r="P799" s="1119"/>
      <c r="Q799" s="1119"/>
      <c r="R799" s="1171"/>
      <c r="S799" s="1295"/>
      <c r="T799" s="1295"/>
      <c r="U799" s="1295"/>
      <c r="V799" s="1119"/>
      <c r="W799" s="1119"/>
      <c r="X799" s="1244"/>
      <c r="Y799" s="108" t="s">
        <v>1193</v>
      </c>
      <c r="Z799" s="109">
        <v>10770075</v>
      </c>
      <c r="AA799" s="109">
        <v>-5385037</v>
      </c>
      <c r="AB799" s="109">
        <f t="shared" si="57"/>
        <v>5385038</v>
      </c>
      <c r="AC799" s="1171"/>
      <c r="AD799" s="119">
        <v>5385038</v>
      </c>
      <c r="AE799" s="119" t="s">
        <v>137</v>
      </c>
      <c r="AF799" s="1084"/>
      <c r="AG799" s="1084"/>
      <c r="AH799" s="111">
        <f t="shared" ref="AH799:AH830" si="58">AB799-AD799</f>
        <v>0</v>
      </c>
      <c r="AI799" s="1084"/>
      <c r="AJ799" s="1119"/>
      <c r="AK799" s="1119"/>
      <c r="AL799" s="1119"/>
      <c r="AM799" s="1119"/>
      <c r="AN799" s="1249"/>
      <c r="AO799" s="1204"/>
      <c r="AQ799" s="934"/>
    </row>
    <row r="800" spans="1:43" s="4" customFormat="1" ht="15" customHeight="1">
      <c r="A800" s="1362"/>
      <c r="B800" s="1171"/>
      <c r="C800" s="1076"/>
      <c r="D800" s="1076"/>
      <c r="E800" s="1208"/>
      <c r="F800" s="1208"/>
      <c r="G800" s="1076"/>
      <c r="H800" s="1076"/>
      <c r="I800" s="1076"/>
      <c r="J800" s="1076"/>
      <c r="K800" s="1076"/>
      <c r="L800" s="1076"/>
      <c r="M800" s="1245"/>
      <c r="N800" s="1123"/>
      <c r="O800" s="1119"/>
      <c r="P800" s="1119"/>
      <c r="Q800" s="1119"/>
      <c r="R800" s="1171"/>
      <c r="S800" s="1295"/>
      <c r="T800" s="1295"/>
      <c r="U800" s="1295"/>
      <c r="V800" s="1119"/>
      <c r="W800" s="1119"/>
      <c r="X800" s="1244"/>
      <c r="Y800" s="108" t="s">
        <v>1195</v>
      </c>
      <c r="Z800" s="109">
        <v>10770075</v>
      </c>
      <c r="AA800" s="109">
        <v>-5385037</v>
      </c>
      <c r="AB800" s="109">
        <f t="shared" si="57"/>
        <v>5385038</v>
      </c>
      <c r="AC800" s="1171"/>
      <c r="AD800" s="119">
        <v>5385038</v>
      </c>
      <c r="AE800" s="119" t="s">
        <v>137</v>
      </c>
      <c r="AF800" s="1084"/>
      <c r="AG800" s="1084"/>
      <c r="AH800" s="111">
        <f t="shared" si="58"/>
        <v>0</v>
      </c>
      <c r="AI800" s="1084"/>
      <c r="AJ800" s="1119"/>
      <c r="AK800" s="1119"/>
      <c r="AL800" s="1119"/>
      <c r="AM800" s="1119"/>
      <c r="AN800" s="1249"/>
      <c r="AO800" s="1204"/>
      <c r="AQ800" s="934"/>
    </row>
    <row r="801" spans="1:43" s="4" customFormat="1" ht="15" customHeight="1">
      <c r="A801" s="1362"/>
      <c r="B801" s="1171"/>
      <c r="C801" s="1076"/>
      <c r="D801" s="1076"/>
      <c r="E801" s="1208"/>
      <c r="F801" s="1208"/>
      <c r="G801" s="1076"/>
      <c r="H801" s="1076"/>
      <c r="I801" s="1076"/>
      <c r="J801" s="1076"/>
      <c r="K801" s="1076"/>
      <c r="L801" s="1076"/>
      <c r="M801" s="1245"/>
      <c r="N801" s="1123"/>
      <c r="O801" s="1119"/>
      <c r="P801" s="1119"/>
      <c r="Q801" s="1119"/>
      <c r="R801" s="1171"/>
      <c r="S801" s="1295"/>
      <c r="T801" s="1295"/>
      <c r="U801" s="1295"/>
      <c r="V801" s="1119"/>
      <c r="W801" s="1119"/>
      <c r="X801" s="1244"/>
      <c r="Y801" s="108" t="s">
        <v>1197</v>
      </c>
      <c r="Z801" s="109">
        <v>10770075</v>
      </c>
      <c r="AA801" s="109">
        <v>-5385037</v>
      </c>
      <c r="AB801" s="109">
        <f t="shared" si="57"/>
        <v>5385038</v>
      </c>
      <c r="AC801" s="1171">
        <v>41151</v>
      </c>
      <c r="AD801" s="119">
        <v>5385038</v>
      </c>
      <c r="AE801" s="119" t="s">
        <v>137</v>
      </c>
      <c r="AF801" s="1084"/>
      <c r="AG801" s="1084"/>
      <c r="AH801" s="111">
        <f t="shared" si="58"/>
        <v>0</v>
      </c>
      <c r="AI801" s="1084"/>
      <c r="AJ801" s="1119"/>
      <c r="AK801" s="1119"/>
      <c r="AL801" s="1119"/>
      <c r="AM801" s="1119"/>
      <c r="AN801" s="1249"/>
      <c r="AO801" s="1204"/>
      <c r="AQ801" s="934"/>
    </row>
    <row r="802" spans="1:43" s="4" customFormat="1" ht="15" customHeight="1">
      <c r="A802" s="1362"/>
      <c r="B802" s="1171"/>
      <c r="C802" s="1076"/>
      <c r="D802" s="1076"/>
      <c r="E802" s="1208"/>
      <c r="F802" s="1208"/>
      <c r="G802" s="1076"/>
      <c r="H802" s="1076"/>
      <c r="I802" s="1076"/>
      <c r="J802" s="1076"/>
      <c r="K802" s="1076"/>
      <c r="L802" s="1076"/>
      <c r="M802" s="1245"/>
      <c r="N802" s="1123"/>
      <c r="O802" s="1119"/>
      <c r="P802" s="1119"/>
      <c r="Q802" s="1119"/>
      <c r="R802" s="1171"/>
      <c r="S802" s="1295"/>
      <c r="T802" s="1295"/>
      <c r="U802" s="1295"/>
      <c r="V802" s="1119"/>
      <c r="W802" s="1119"/>
      <c r="X802" s="1244"/>
      <c r="Y802" s="108" t="s">
        <v>1198</v>
      </c>
      <c r="Z802" s="109">
        <v>10770075</v>
      </c>
      <c r="AA802" s="109">
        <v>-5385037</v>
      </c>
      <c r="AB802" s="109">
        <f t="shared" si="57"/>
        <v>5385038</v>
      </c>
      <c r="AC802" s="1171"/>
      <c r="AD802" s="119">
        <v>5385038</v>
      </c>
      <c r="AE802" s="119" t="s">
        <v>137</v>
      </c>
      <c r="AF802" s="1084"/>
      <c r="AG802" s="1084"/>
      <c r="AH802" s="111">
        <f t="shared" si="58"/>
        <v>0</v>
      </c>
      <c r="AI802" s="1084"/>
      <c r="AJ802" s="1119"/>
      <c r="AK802" s="1119"/>
      <c r="AL802" s="1119"/>
      <c r="AM802" s="1119"/>
      <c r="AN802" s="1249"/>
      <c r="AO802" s="1204"/>
      <c r="AQ802" s="934"/>
    </row>
    <row r="803" spans="1:43" s="4" customFormat="1" ht="15" customHeight="1">
      <c r="A803" s="1362"/>
      <c r="B803" s="1171"/>
      <c r="C803" s="1076"/>
      <c r="D803" s="1076"/>
      <c r="E803" s="1208"/>
      <c r="F803" s="1208"/>
      <c r="G803" s="1076"/>
      <c r="H803" s="1076"/>
      <c r="I803" s="1076"/>
      <c r="J803" s="1076"/>
      <c r="K803" s="1076"/>
      <c r="L803" s="1076"/>
      <c r="M803" s="1245"/>
      <c r="N803" s="1123"/>
      <c r="O803" s="1119"/>
      <c r="P803" s="1119"/>
      <c r="Q803" s="1119"/>
      <c r="R803" s="1171"/>
      <c r="S803" s="1295"/>
      <c r="T803" s="1295"/>
      <c r="U803" s="1295"/>
      <c r="V803" s="1119"/>
      <c r="W803" s="1119"/>
      <c r="X803" s="1244"/>
      <c r="Y803" s="108" t="s">
        <v>1200</v>
      </c>
      <c r="Z803" s="109">
        <v>10770075</v>
      </c>
      <c r="AA803" s="109">
        <v>-5385037</v>
      </c>
      <c r="AB803" s="999">
        <f t="shared" si="57"/>
        <v>5385038</v>
      </c>
      <c r="AC803" s="1171"/>
      <c r="AD803" s="119">
        <v>5385038</v>
      </c>
      <c r="AE803" s="119" t="s">
        <v>137</v>
      </c>
      <c r="AF803" s="1084"/>
      <c r="AG803" s="1084"/>
      <c r="AH803" s="111">
        <f t="shared" si="58"/>
        <v>0</v>
      </c>
      <c r="AI803" s="1084"/>
      <c r="AJ803" s="1119"/>
      <c r="AK803" s="1119"/>
      <c r="AL803" s="1119"/>
      <c r="AM803" s="1119"/>
      <c r="AN803" s="1249"/>
      <c r="AO803" s="1204"/>
      <c r="AQ803" s="934"/>
    </row>
    <row r="804" spans="1:43" s="4" customFormat="1" ht="15" customHeight="1">
      <c r="A804" s="1362"/>
      <c r="B804" s="1171"/>
      <c r="C804" s="1076"/>
      <c r="D804" s="1076"/>
      <c r="E804" s="1208"/>
      <c r="F804" s="1208"/>
      <c r="G804" s="1076"/>
      <c r="H804" s="1076"/>
      <c r="I804" s="1076"/>
      <c r="J804" s="1076"/>
      <c r="K804" s="1076"/>
      <c r="L804" s="1076"/>
      <c r="M804" s="1245"/>
      <c r="N804" s="1123"/>
      <c r="O804" s="1119"/>
      <c r="P804" s="1119"/>
      <c r="Q804" s="1119"/>
      <c r="R804" s="1171"/>
      <c r="S804" s="1295"/>
      <c r="T804" s="1295"/>
      <c r="U804" s="1295"/>
      <c r="V804" s="1119"/>
      <c r="W804" s="1119"/>
      <c r="X804" s="1244"/>
      <c r="Y804" s="108" t="s">
        <v>1202</v>
      </c>
      <c r="Z804" s="147">
        <v>6532315</v>
      </c>
      <c r="AA804" s="147">
        <v>-3267378</v>
      </c>
      <c r="AB804" s="147">
        <f t="shared" si="57"/>
        <v>3264937</v>
      </c>
      <c r="AC804" s="97">
        <v>41942</v>
      </c>
      <c r="AD804" s="119">
        <v>3264937</v>
      </c>
      <c r="AE804" s="119" t="s">
        <v>137</v>
      </c>
      <c r="AF804" s="1084"/>
      <c r="AG804" s="1084"/>
      <c r="AH804" s="111">
        <f t="shared" si="58"/>
        <v>0</v>
      </c>
      <c r="AI804" s="1084"/>
      <c r="AJ804" s="1119"/>
      <c r="AK804" s="1119"/>
      <c r="AL804" s="1119"/>
      <c r="AM804" s="1119"/>
      <c r="AN804" s="1249"/>
      <c r="AO804" s="1204"/>
      <c r="AQ804" s="934"/>
    </row>
    <row r="805" spans="1:43" s="4" customFormat="1" ht="15" customHeight="1">
      <c r="A805" s="1362"/>
      <c r="B805" s="1171"/>
      <c r="C805" s="1076" t="s">
        <v>43</v>
      </c>
      <c r="D805" s="1076"/>
      <c r="E805" s="1208"/>
      <c r="F805" s="1208"/>
      <c r="G805" s="1076"/>
      <c r="H805" s="1076"/>
      <c r="I805" s="1076"/>
      <c r="J805" s="1076"/>
      <c r="K805" s="1076"/>
      <c r="L805" s="1076"/>
      <c r="M805" s="1245">
        <v>182</v>
      </c>
      <c r="N805" s="1123" t="s">
        <v>137</v>
      </c>
      <c r="O805" s="1119">
        <v>30885990</v>
      </c>
      <c r="P805" s="1119">
        <f>O805</f>
        <v>30885990</v>
      </c>
      <c r="Q805" s="1119"/>
      <c r="R805" s="1171">
        <v>40753</v>
      </c>
      <c r="S805" s="1119">
        <v>30885990</v>
      </c>
      <c r="T805" s="1119">
        <v>30885990</v>
      </c>
      <c r="U805" s="1119">
        <f>O805-T805</f>
        <v>0</v>
      </c>
      <c r="V805" s="1119">
        <v>30847235</v>
      </c>
      <c r="W805" s="1119"/>
      <c r="X805" s="1244"/>
      <c r="Y805" s="108" t="s">
        <v>1189</v>
      </c>
      <c r="Z805" s="109">
        <v>0</v>
      </c>
      <c r="AA805" s="109">
        <v>15422400</v>
      </c>
      <c r="AB805" s="109">
        <f t="shared" si="57"/>
        <v>15422400</v>
      </c>
      <c r="AC805" s="97">
        <v>40890</v>
      </c>
      <c r="AD805" s="119">
        <v>15422400</v>
      </c>
      <c r="AE805" s="119" t="s">
        <v>137</v>
      </c>
      <c r="AF805" s="1084">
        <f>SUM(AD805:AD812)</f>
        <v>30847233.300000001</v>
      </c>
      <c r="AG805" s="1084"/>
      <c r="AH805" s="111">
        <f t="shared" si="58"/>
        <v>0</v>
      </c>
      <c r="AI805" s="1084">
        <f>O805-SUM(AD805:AD812)</f>
        <v>38756.699999999255</v>
      </c>
      <c r="AJ805" s="1119"/>
      <c r="AK805" s="1119">
        <f>P805-V805</f>
        <v>38755</v>
      </c>
      <c r="AL805" s="1119">
        <f>V805-SUM(Z805:Z812)</f>
        <v>0</v>
      </c>
      <c r="AM805" s="1119">
        <f>AK805+AL805</f>
        <v>38755</v>
      </c>
      <c r="AN805" s="1249"/>
      <c r="AO805" s="1204"/>
      <c r="AQ805" s="934"/>
    </row>
    <row r="806" spans="1:43" s="4" customFormat="1" ht="15" customHeight="1">
      <c r="A806" s="1362"/>
      <c r="B806" s="1171"/>
      <c r="C806" s="1076"/>
      <c r="D806" s="1076"/>
      <c r="E806" s="1208"/>
      <c r="F806" s="1208"/>
      <c r="G806" s="1076"/>
      <c r="H806" s="1076"/>
      <c r="I806" s="1076"/>
      <c r="J806" s="1076"/>
      <c r="K806" s="1076"/>
      <c r="L806" s="1076"/>
      <c r="M806" s="1245"/>
      <c r="N806" s="1123"/>
      <c r="O806" s="1119"/>
      <c r="P806" s="1119"/>
      <c r="Q806" s="1119"/>
      <c r="R806" s="1171"/>
      <c r="S806" s="1119"/>
      <c r="T806" s="1119"/>
      <c r="U806" s="1119"/>
      <c r="V806" s="1119"/>
      <c r="W806" s="1119"/>
      <c r="X806" s="1244"/>
      <c r="Y806" s="108" t="s">
        <v>1192</v>
      </c>
      <c r="Z806" s="109">
        <v>3801353</v>
      </c>
      <c r="AA806" s="109">
        <v>-1900677</v>
      </c>
      <c r="AB806" s="109">
        <f t="shared" si="57"/>
        <v>1900676</v>
      </c>
      <c r="AC806" s="1171">
        <v>41057</v>
      </c>
      <c r="AD806" s="119">
        <v>1900676</v>
      </c>
      <c r="AE806" s="119" t="s">
        <v>137</v>
      </c>
      <c r="AF806" s="1084"/>
      <c r="AG806" s="1084"/>
      <c r="AH806" s="111">
        <f t="shared" si="58"/>
        <v>0</v>
      </c>
      <c r="AI806" s="1084"/>
      <c r="AJ806" s="1119"/>
      <c r="AK806" s="1119"/>
      <c r="AL806" s="1119"/>
      <c r="AM806" s="1119"/>
      <c r="AN806" s="1249"/>
      <c r="AO806" s="1204"/>
      <c r="AQ806" s="934"/>
    </row>
    <row r="807" spans="1:43" s="4" customFormat="1" ht="15" customHeight="1">
      <c r="A807" s="1362"/>
      <c r="B807" s="1171"/>
      <c r="C807" s="1076"/>
      <c r="D807" s="1076"/>
      <c r="E807" s="1208"/>
      <c r="F807" s="1208"/>
      <c r="G807" s="1076"/>
      <c r="H807" s="1076"/>
      <c r="I807" s="1076"/>
      <c r="J807" s="1076"/>
      <c r="K807" s="1076"/>
      <c r="L807" s="1076"/>
      <c r="M807" s="1245"/>
      <c r="N807" s="1123"/>
      <c r="O807" s="1119"/>
      <c r="P807" s="1119"/>
      <c r="Q807" s="1119"/>
      <c r="R807" s="1171"/>
      <c r="S807" s="1119"/>
      <c r="T807" s="1119"/>
      <c r="U807" s="1119"/>
      <c r="V807" s="1119"/>
      <c r="W807" s="1119"/>
      <c r="X807" s="1244"/>
      <c r="Y807" s="108" t="s">
        <v>1194</v>
      </c>
      <c r="Z807" s="109">
        <v>3801353</v>
      </c>
      <c r="AA807" s="109">
        <v>-1900677</v>
      </c>
      <c r="AB807" s="109">
        <f t="shared" si="57"/>
        <v>1900676</v>
      </c>
      <c r="AC807" s="1171"/>
      <c r="AD807" s="119">
        <v>1900676</v>
      </c>
      <c r="AE807" s="119" t="s">
        <v>137</v>
      </c>
      <c r="AF807" s="1084"/>
      <c r="AG807" s="1084"/>
      <c r="AH807" s="111">
        <f t="shared" si="58"/>
        <v>0</v>
      </c>
      <c r="AI807" s="1084"/>
      <c r="AJ807" s="1119"/>
      <c r="AK807" s="1119"/>
      <c r="AL807" s="1119"/>
      <c r="AM807" s="1119"/>
      <c r="AN807" s="1249"/>
      <c r="AO807" s="1204"/>
      <c r="AQ807" s="934"/>
    </row>
    <row r="808" spans="1:43" s="4" customFormat="1" ht="15" customHeight="1">
      <c r="A808" s="1362"/>
      <c r="B808" s="1171"/>
      <c r="C808" s="1076"/>
      <c r="D808" s="1076"/>
      <c r="E808" s="1208"/>
      <c r="F808" s="1208"/>
      <c r="G808" s="1076"/>
      <c r="H808" s="1076"/>
      <c r="I808" s="1076"/>
      <c r="J808" s="1076"/>
      <c r="K808" s="1076"/>
      <c r="L808" s="1076"/>
      <c r="M808" s="1245"/>
      <c r="N808" s="1123"/>
      <c r="O808" s="1119"/>
      <c r="P808" s="1119"/>
      <c r="Q808" s="1119"/>
      <c r="R808" s="1171"/>
      <c r="S808" s="1119"/>
      <c r="T808" s="1119"/>
      <c r="U808" s="1119"/>
      <c r="V808" s="1119"/>
      <c r="W808" s="1119"/>
      <c r="X808" s="1244"/>
      <c r="Y808" s="108" t="s">
        <v>1196</v>
      </c>
      <c r="Z808" s="109">
        <v>3801353</v>
      </c>
      <c r="AA808" s="109">
        <v>-1900677</v>
      </c>
      <c r="AB808" s="109">
        <f t="shared" si="57"/>
        <v>1900676</v>
      </c>
      <c r="AC808" s="1171"/>
      <c r="AD808" s="119">
        <v>1900676</v>
      </c>
      <c r="AE808" s="119" t="s">
        <v>137</v>
      </c>
      <c r="AF808" s="1084"/>
      <c r="AG808" s="1084"/>
      <c r="AH808" s="111">
        <f t="shared" si="58"/>
        <v>0</v>
      </c>
      <c r="AI808" s="1084"/>
      <c r="AJ808" s="1119"/>
      <c r="AK808" s="1119"/>
      <c r="AL808" s="1119"/>
      <c r="AM808" s="1119"/>
      <c r="AN808" s="1249"/>
      <c r="AO808" s="1204"/>
      <c r="AQ808" s="934"/>
    </row>
    <row r="809" spans="1:43" s="4" customFormat="1" ht="15" customHeight="1">
      <c r="A809" s="1362"/>
      <c r="B809" s="1171"/>
      <c r="C809" s="1076"/>
      <c r="D809" s="1076"/>
      <c r="E809" s="1208"/>
      <c r="F809" s="1208"/>
      <c r="G809" s="1076"/>
      <c r="H809" s="1076"/>
      <c r="I809" s="1076"/>
      <c r="J809" s="1076"/>
      <c r="K809" s="1076"/>
      <c r="L809" s="1076"/>
      <c r="M809" s="1245"/>
      <c r="N809" s="1123"/>
      <c r="O809" s="1119"/>
      <c r="P809" s="1119"/>
      <c r="Q809" s="1119"/>
      <c r="R809" s="1171"/>
      <c r="S809" s="1119"/>
      <c r="T809" s="1119"/>
      <c r="U809" s="1119"/>
      <c r="V809" s="1119"/>
      <c r="W809" s="1119"/>
      <c r="X809" s="1244"/>
      <c r="Y809" s="108" t="s">
        <v>1197</v>
      </c>
      <c r="Z809" s="109">
        <v>3801353</v>
      </c>
      <c r="AA809" s="109">
        <v>-1900677</v>
      </c>
      <c r="AB809" s="109">
        <f t="shared" si="57"/>
        <v>1900676</v>
      </c>
      <c r="AC809" s="1171">
        <v>41151</v>
      </c>
      <c r="AD809" s="119">
        <v>1900676</v>
      </c>
      <c r="AE809" s="119" t="s">
        <v>137</v>
      </c>
      <c r="AF809" s="1084"/>
      <c r="AG809" s="1084"/>
      <c r="AH809" s="111">
        <f t="shared" si="58"/>
        <v>0</v>
      </c>
      <c r="AI809" s="1084"/>
      <c r="AJ809" s="1119"/>
      <c r="AK809" s="1119"/>
      <c r="AL809" s="1119"/>
      <c r="AM809" s="1119"/>
      <c r="AN809" s="1249"/>
      <c r="AO809" s="1204"/>
      <c r="AQ809" s="934"/>
    </row>
    <row r="810" spans="1:43" s="4" customFormat="1" ht="15" customHeight="1">
      <c r="A810" s="1362"/>
      <c r="B810" s="1171"/>
      <c r="C810" s="1076"/>
      <c r="D810" s="1076"/>
      <c r="E810" s="1208"/>
      <c r="F810" s="1208"/>
      <c r="G810" s="1076"/>
      <c r="H810" s="1076"/>
      <c r="I810" s="1076"/>
      <c r="J810" s="1076"/>
      <c r="K810" s="1076"/>
      <c r="L810" s="1076"/>
      <c r="M810" s="1245"/>
      <c r="N810" s="1123"/>
      <c r="O810" s="1119"/>
      <c r="P810" s="1119"/>
      <c r="Q810" s="1119"/>
      <c r="R810" s="1171"/>
      <c r="S810" s="1119"/>
      <c r="T810" s="1119"/>
      <c r="U810" s="1119"/>
      <c r="V810" s="1119"/>
      <c r="W810" s="1119"/>
      <c r="X810" s="1244"/>
      <c r="Y810" s="108" t="s">
        <v>1199</v>
      </c>
      <c r="Z810" s="109">
        <v>3801353</v>
      </c>
      <c r="AA810" s="109">
        <v>-1900677</v>
      </c>
      <c r="AB810" s="109">
        <f t="shared" si="57"/>
        <v>1900676</v>
      </c>
      <c r="AC810" s="1171"/>
      <c r="AD810" s="119">
        <v>1900676</v>
      </c>
      <c r="AE810" s="119" t="s">
        <v>137</v>
      </c>
      <c r="AF810" s="1084"/>
      <c r="AG810" s="1084"/>
      <c r="AH810" s="111">
        <f t="shared" si="58"/>
        <v>0</v>
      </c>
      <c r="AI810" s="1084"/>
      <c r="AJ810" s="1119"/>
      <c r="AK810" s="1119"/>
      <c r="AL810" s="1119"/>
      <c r="AM810" s="1119"/>
      <c r="AN810" s="1249"/>
      <c r="AO810" s="1204"/>
      <c r="AQ810" s="934"/>
    </row>
    <row r="811" spans="1:43" s="4" customFormat="1" ht="15" customHeight="1">
      <c r="A811" s="1362"/>
      <c r="B811" s="1171"/>
      <c r="C811" s="1076"/>
      <c r="D811" s="1076"/>
      <c r="E811" s="1208"/>
      <c r="F811" s="1208"/>
      <c r="G811" s="1076"/>
      <c r="H811" s="1076"/>
      <c r="I811" s="1076"/>
      <c r="J811" s="1076"/>
      <c r="K811" s="1076"/>
      <c r="L811" s="1076"/>
      <c r="M811" s="1245"/>
      <c r="N811" s="1123"/>
      <c r="O811" s="1119"/>
      <c r="P811" s="1119"/>
      <c r="Q811" s="1119"/>
      <c r="R811" s="1171"/>
      <c r="S811" s="1119"/>
      <c r="T811" s="1119"/>
      <c r="U811" s="1119"/>
      <c r="V811" s="1119"/>
      <c r="W811" s="1119"/>
      <c r="X811" s="1244"/>
      <c r="Y811" s="108" t="s">
        <v>1201</v>
      </c>
      <c r="Z811" s="109">
        <v>3801353</v>
      </c>
      <c r="AA811" s="109">
        <v>-1900677</v>
      </c>
      <c r="AB811" s="109">
        <f t="shared" si="57"/>
        <v>1900676</v>
      </c>
      <c r="AC811" s="1171"/>
      <c r="AD811" s="119">
        <v>1900676</v>
      </c>
      <c r="AE811" s="119" t="s">
        <v>137</v>
      </c>
      <c r="AF811" s="1084"/>
      <c r="AG811" s="1084"/>
      <c r="AH811" s="111">
        <f t="shared" si="58"/>
        <v>0</v>
      </c>
      <c r="AI811" s="1084"/>
      <c r="AJ811" s="1119"/>
      <c r="AK811" s="1119"/>
      <c r="AL811" s="1119"/>
      <c r="AM811" s="1119"/>
      <c r="AN811" s="1249"/>
      <c r="AO811" s="1204"/>
      <c r="AQ811" s="934"/>
    </row>
    <row r="812" spans="1:43" s="4" customFormat="1" ht="15" customHeight="1">
      <c r="A812" s="1362"/>
      <c r="B812" s="1171"/>
      <c r="C812" s="1076"/>
      <c r="D812" s="1076"/>
      <c r="E812" s="1208"/>
      <c r="F812" s="1208"/>
      <c r="G812" s="1076"/>
      <c r="H812" s="1076"/>
      <c r="I812" s="1076"/>
      <c r="J812" s="1076"/>
      <c r="K812" s="1076"/>
      <c r="L812" s="1076"/>
      <c r="M812" s="1245"/>
      <c r="N812" s="1123"/>
      <c r="O812" s="1119"/>
      <c r="P812" s="1119"/>
      <c r="Q812" s="1119"/>
      <c r="R812" s="1171"/>
      <c r="S812" s="1119"/>
      <c r="T812" s="1119"/>
      <c r="U812" s="1119"/>
      <c r="V812" s="1119"/>
      <c r="W812" s="1119"/>
      <c r="X812" s="1244"/>
      <c r="Y812" s="108" t="s">
        <v>1203</v>
      </c>
      <c r="Z812" s="147">
        <v>8039117</v>
      </c>
      <c r="AA812" s="147">
        <v>-4018338</v>
      </c>
      <c r="AB812" s="147">
        <f t="shared" si="57"/>
        <v>4020779</v>
      </c>
      <c r="AC812" s="97">
        <v>41942</v>
      </c>
      <c r="AD812" s="119">
        <v>4020777.3</v>
      </c>
      <c r="AE812" s="119" t="s">
        <v>137</v>
      </c>
      <c r="AF812" s="1084"/>
      <c r="AG812" s="1084"/>
      <c r="AH812" s="111">
        <f t="shared" si="58"/>
        <v>1.7000000001862645</v>
      </c>
      <c r="AI812" s="1084"/>
      <c r="AJ812" s="1119"/>
      <c r="AK812" s="1119"/>
      <c r="AL812" s="1119"/>
      <c r="AM812" s="1119"/>
      <c r="AN812" s="1249"/>
      <c r="AO812" s="1204"/>
      <c r="AQ812" s="934"/>
    </row>
    <row r="813" spans="1:43" s="4" customFormat="1" ht="15" customHeight="1">
      <c r="A813" s="1362"/>
      <c r="B813" s="1171"/>
      <c r="C813" s="1076"/>
      <c r="D813" s="1076"/>
      <c r="E813" s="1208"/>
      <c r="F813" s="1208"/>
      <c r="G813" s="1076"/>
      <c r="H813" s="1076"/>
      <c r="I813" s="1076"/>
      <c r="J813" s="1076" t="s">
        <v>67</v>
      </c>
      <c r="K813" s="1076"/>
      <c r="L813" s="1076"/>
      <c r="M813" s="1352">
        <v>6</v>
      </c>
      <c r="N813" s="1204" t="s">
        <v>169</v>
      </c>
      <c r="O813" s="1119">
        <v>3651844</v>
      </c>
      <c r="P813" s="1119">
        <f>O813</f>
        <v>3651844</v>
      </c>
      <c r="Q813" s="1119"/>
      <c r="R813" s="1171">
        <v>41234</v>
      </c>
      <c r="S813" s="1119">
        <v>3651844</v>
      </c>
      <c r="T813" s="1119">
        <v>3651844</v>
      </c>
      <c r="U813" s="1119">
        <f>O813-T813</f>
        <v>0</v>
      </c>
      <c r="V813" s="1119">
        <v>3651844</v>
      </c>
      <c r="W813" s="1119"/>
      <c r="X813" s="1244"/>
      <c r="Y813" s="103" t="s">
        <v>1204</v>
      </c>
      <c r="Z813" s="109">
        <v>2191106.4</v>
      </c>
      <c r="AA813" s="109">
        <v>0</v>
      </c>
      <c r="AB813" s="109">
        <f t="shared" si="57"/>
        <v>2191106.4</v>
      </c>
      <c r="AC813" s="97">
        <v>41942</v>
      </c>
      <c r="AD813" s="119">
        <v>2191106.4</v>
      </c>
      <c r="AE813" s="134" t="s">
        <v>169</v>
      </c>
      <c r="AF813" s="1084">
        <f>SUM(AD813:AD814)</f>
        <v>3651844</v>
      </c>
      <c r="AG813" s="1084"/>
      <c r="AH813" s="111">
        <f t="shared" si="58"/>
        <v>0</v>
      </c>
      <c r="AI813" s="1084">
        <f>O813-AD813-AD814</f>
        <v>0</v>
      </c>
      <c r="AJ813" s="1119"/>
      <c r="AK813" s="1084">
        <f>P813-V813</f>
        <v>0</v>
      </c>
      <c r="AL813" s="1119">
        <f>V813-SUM(Z813:Z814)</f>
        <v>0</v>
      </c>
      <c r="AM813" s="1084">
        <v>0</v>
      </c>
      <c r="AN813" s="1249"/>
      <c r="AO813" s="1204"/>
      <c r="AQ813" s="934"/>
    </row>
    <row r="814" spans="1:43" s="4" customFormat="1" ht="15" customHeight="1">
      <c r="A814" s="1362"/>
      <c r="B814" s="1171"/>
      <c r="C814" s="1076"/>
      <c r="D814" s="1076"/>
      <c r="E814" s="1208"/>
      <c r="F814" s="1208"/>
      <c r="G814" s="1076"/>
      <c r="H814" s="1076"/>
      <c r="I814" s="1076"/>
      <c r="J814" s="1076"/>
      <c r="K814" s="1076"/>
      <c r="L814" s="1076"/>
      <c r="M814" s="1352"/>
      <c r="N814" s="1204"/>
      <c r="O814" s="1119"/>
      <c r="P814" s="1119"/>
      <c r="Q814" s="1119"/>
      <c r="R814" s="1171"/>
      <c r="S814" s="1119"/>
      <c r="T814" s="1119"/>
      <c r="U814" s="1119"/>
      <c r="V814" s="1119"/>
      <c r="W814" s="1119"/>
      <c r="X814" s="1244"/>
      <c r="Y814" s="108" t="s">
        <v>1206</v>
      </c>
      <c r="Z814" s="109">
        <v>1460737.6</v>
      </c>
      <c r="AA814" s="109">
        <v>0</v>
      </c>
      <c r="AB814" s="999">
        <f t="shared" si="57"/>
        <v>1460737.6</v>
      </c>
      <c r="AC814" s="97">
        <v>42821</v>
      </c>
      <c r="AD814" s="119">
        <v>1460737.6</v>
      </c>
      <c r="AE814" s="134" t="s">
        <v>169</v>
      </c>
      <c r="AF814" s="1084"/>
      <c r="AG814" s="1084"/>
      <c r="AH814" s="111">
        <f t="shared" si="58"/>
        <v>0</v>
      </c>
      <c r="AI814" s="1084"/>
      <c r="AJ814" s="1119"/>
      <c r="AK814" s="1084"/>
      <c r="AL814" s="1119"/>
      <c r="AM814" s="1084"/>
      <c r="AN814" s="1249"/>
      <c r="AO814" s="1204"/>
      <c r="AQ814" s="934"/>
    </row>
    <row r="815" spans="1:43" s="4" customFormat="1" ht="15" customHeight="1">
      <c r="A815" s="1362"/>
      <c r="B815" s="1171"/>
      <c r="C815" s="1076" t="s">
        <v>42</v>
      </c>
      <c r="D815" s="1076"/>
      <c r="E815" s="1208"/>
      <c r="F815" s="1208"/>
      <c r="G815" s="1076"/>
      <c r="H815" s="1076"/>
      <c r="I815" s="1076"/>
      <c r="J815" s="1076" t="s">
        <v>171</v>
      </c>
      <c r="K815" s="1076"/>
      <c r="L815" s="1076"/>
      <c r="M815" s="1352">
        <v>299</v>
      </c>
      <c r="N815" s="1123" t="s">
        <v>7</v>
      </c>
      <c r="O815" s="1119">
        <v>36685034</v>
      </c>
      <c r="P815" s="1119">
        <f>O815</f>
        <v>36685034</v>
      </c>
      <c r="Q815" s="1119"/>
      <c r="R815" s="1171">
        <v>41619</v>
      </c>
      <c r="S815" s="1295">
        <v>36685034</v>
      </c>
      <c r="T815" s="1295">
        <v>36685034</v>
      </c>
      <c r="U815" s="1295">
        <f>O815-T815</f>
        <v>0</v>
      </c>
      <c r="V815" s="1119">
        <v>36685034</v>
      </c>
      <c r="W815" s="1119"/>
      <c r="X815" s="1244"/>
      <c r="Y815" s="105" t="s">
        <v>1205</v>
      </c>
      <c r="Z815" s="109">
        <v>22011020.399999999</v>
      </c>
      <c r="AA815" s="109">
        <v>0</v>
      </c>
      <c r="AB815" s="109">
        <f t="shared" si="57"/>
        <v>22011020.399999999</v>
      </c>
      <c r="AC815" s="97">
        <v>41942</v>
      </c>
      <c r="AD815" s="119">
        <v>22011020.399999999</v>
      </c>
      <c r="AE815" s="134" t="s">
        <v>7</v>
      </c>
      <c r="AF815" s="1084">
        <f>SUM(AD815:AD816)</f>
        <v>36685034</v>
      </c>
      <c r="AG815" s="1084"/>
      <c r="AH815" s="111">
        <f t="shared" si="58"/>
        <v>0</v>
      </c>
      <c r="AI815" s="1084">
        <f>O815-AD815-AD816</f>
        <v>0</v>
      </c>
      <c r="AJ815" s="1119"/>
      <c r="AK815" s="1084">
        <f>P815-V815</f>
        <v>0</v>
      </c>
      <c r="AL815" s="1119">
        <f>V815-SUM(Z815:Z816)</f>
        <v>0</v>
      </c>
      <c r="AM815" s="1084">
        <v>0</v>
      </c>
      <c r="AN815" s="1249"/>
      <c r="AO815" s="1204"/>
      <c r="AQ815" s="934"/>
    </row>
    <row r="816" spans="1:43" s="4" customFormat="1" ht="15" customHeight="1">
      <c r="A816" s="1362"/>
      <c r="B816" s="1171"/>
      <c r="C816" s="1076"/>
      <c r="D816" s="1076"/>
      <c r="E816" s="1208"/>
      <c r="F816" s="1208"/>
      <c r="G816" s="1076"/>
      <c r="H816" s="1076"/>
      <c r="I816" s="1076"/>
      <c r="J816" s="1076"/>
      <c r="K816" s="1076"/>
      <c r="L816" s="1076"/>
      <c r="M816" s="1352"/>
      <c r="N816" s="1123"/>
      <c r="O816" s="1119"/>
      <c r="P816" s="1119"/>
      <c r="Q816" s="1119"/>
      <c r="R816" s="1171"/>
      <c r="S816" s="1295"/>
      <c r="T816" s="1295"/>
      <c r="U816" s="1295"/>
      <c r="V816" s="1119"/>
      <c r="W816" s="1119"/>
      <c r="X816" s="1244"/>
      <c r="Y816" s="33" t="s">
        <v>1207</v>
      </c>
      <c r="Z816" s="109">
        <v>14674013.6</v>
      </c>
      <c r="AA816" s="109">
        <v>0</v>
      </c>
      <c r="AB816" s="999">
        <f t="shared" si="57"/>
        <v>14674013.6</v>
      </c>
      <c r="AC816" s="97">
        <v>42821</v>
      </c>
      <c r="AD816" s="119">
        <v>14674013.6</v>
      </c>
      <c r="AE816" s="134" t="s">
        <v>7</v>
      </c>
      <c r="AF816" s="1084"/>
      <c r="AG816" s="1084"/>
      <c r="AH816" s="111">
        <f t="shared" si="58"/>
        <v>0</v>
      </c>
      <c r="AI816" s="1084"/>
      <c r="AJ816" s="1119"/>
      <c r="AK816" s="1084"/>
      <c r="AL816" s="1119"/>
      <c r="AM816" s="1084"/>
      <c r="AN816" s="1249"/>
      <c r="AO816" s="1204"/>
      <c r="AQ816" s="934"/>
    </row>
    <row r="817" spans="1:43" ht="15" customHeight="1">
      <c r="A817" s="1214" t="s">
        <v>1167</v>
      </c>
      <c r="B817" s="1171">
        <v>40870</v>
      </c>
      <c r="C817" s="1076" t="s">
        <v>26</v>
      </c>
      <c r="D817" s="1076" t="s">
        <v>1168</v>
      </c>
      <c r="E817" s="1208">
        <v>900480276</v>
      </c>
      <c r="F817" s="1208">
        <v>9</v>
      </c>
      <c r="G817" s="1076" t="s">
        <v>1169</v>
      </c>
      <c r="H817" s="1076" t="s">
        <v>71</v>
      </c>
      <c r="I817" s="1076" t="s">
        <v>1086</v>
      </c>
      <c r="J817" s="1076" t="s">
        <v>66</v>
      </c>
      <c r="K817" s="1076" t="s">
        <v>183</v>
      </c>
      <c r="L817" s="1076" t="s">
        <v>1182</v>
      </c>
      <c r="M817" s="1245">
        <v>221</v>
      </c>
      <c r="N817" s="1123" t="s">
        <v>137</v>
      </c>
      <c r="O817" s="1119">
        <v>209738318</v>
      </c>
      <c r="P817" s="1119">
        <v>209738318</v>
      </c>
      <c r="Q817" s="1119">
        <v>209738318</v>
      </c>
      <c r="R817" s="1171">
        <v>40851</v>
      </c>
      <c r="S817" s="1196">
        <v>209738318</v>
      </c>
      <c r="T817" s="1196">
        <v>209738318</v>
      </c>
      <c r="U817" s="1196">
        <f>O817-T817</f>
        <v>0</v>
      </c>
      <c r="V817" s="1119">
        <v>209738150</v>
      </c>
      <c r="W817" s="1119">
        <v>209738150</v>
      </c>
      <c r="X817" s="1076" t="s">
        <v>1170</v>
      </c>
      <c r="Y817" s="108" t="s">
        <v>1181</v>
      </c>
      <c r="Z817" s="109">
        <v>0</v>
      </c>
      <c r="AA817" s="109">
        <v>104869075</v>
      </c>
      <c r="AB817" s="109">
        <f t="shared" si="57"/>
        <v>104869075</v>
      </c>
      <c r="AC817" s="97">
        <v>41127</v>
      </c>
      <c r="AD817" s="119">
        <v>104869075</v>
      </c>
      <c r="AE817" s="119" t="s">
        <v>137</v>
      </c>
      <c r="AF817" s="1084">
        <f>AD817+AD818</f>
        <v>209738150</v>
      </c>
      <c r="AG817" s="1084">
        <f>AF817</f>
        <v>209738150</v>
      </c>
      <c r="AH817" s="111">
        <f t="shared" si="58"/>
        <v>0</v>
      </c>
      <c r="AI817" s="1084">
        <f>O817-AD817-AD818</f>
        <v>168</v>
      </c>
      <c r="AJ817" s="1119">
        <f>SUM(Z817:Z818)-SUM(AD817:AD818)</f>
        <v>0</v>
      </c>
      <c r="AK817" s="1119">
        <f>P817-V817</f>
        <v>168</v>
      </c>
      <c r="AL817" s="1119">
        <f>V817-SUM(Z817:Z818)</f>
        <v>0</v>
      </c>
      <c r="AM817" s="1119">
        <f>AK817+AL817</f>
        <v>168</v>
      </c>
      <c r="AN817" s="1203" t="s">
        <v>606</v>
      </c>
      <c r="AO817" s="1237" t="s">
        <v>1184</v>
      </c>
    </row>
    <row r="818" spans="1:43" ht="15" customHeight="1">
      <c r="A818" s="1214"/>
      <c r="B818" s="1171"/>
      <c r="C818" s="1076"/>
      <c r="D818" s="1076"/>
      <c r="E818" s="1208"/>
      <c r="F818" s="1208"/>
      <c r="G818" s="1076"/>
      <c r="H818" s="1076"/>
      <c r="I818" s="1076"/>
      <c r="J818" s="1076"/>
      <c r="K818" s="1076"/>
      <c r="L818" s="1076"/>
      <c r="M818" s="1245"/>
      <c r="N818" s="1123"/>
      <c r="O818" s="1119"/>
      <c r="P818" s="1119"/>
      <c r="Q818" s="1119"/>
      <c r="R818" s="1171"/>
      <c r="S818" s="1196"/>
      <c r="T818" s="1196"/>
      <c r="U818" s="1196"/>
      <c r="V818" s="1119"/>
      <c r="W818" s="1119"/>
      <c r="X818" s="1076"/>
      <c r="Y818" s="108" t="s">
        <v>1183</v>
      </c>
      <c r="Z818" s="109">
        <v>209738150</v>
      </c>
      <c r="AA818" s="109">
        <v>-104869075</v>
      </c>
      <c r="AB818" s="109">
        <f t="shared" si="57"/>
        <v>104869075</v>
      </c>
      <c r="AC818" s="97">
        <v>41619</v>
      </c>
      <c r="AD818" s="119">
        <v>104869075</v>
      </c>
      <c r="AE818" s="119" t="s">
        <v>137</v>
      </c>
      <c r="AF818" s="1084"/>
      <c r="AG818" s="1084"/>
      <c r="AH818" s="111">
        <f t="shared" si="58"/>
        <v>0</v>
      </c>
      <c r="AI818" s="1084"/>
      <c r="AJ818" s="1119"/>
      <c r="AK818" s="1119"/>
      <c r="AL818" s="1119"/>
      <c r="AM818" s="1119"/>
      <c r="AN818" s="1203"/>
      <c r="AO818" s="1204"/>
    </row>
    <row r="819" spans="1:43" s="4" customFormat="1" ht="15" customHeight="1">
      <c r="A819" s="1170" t="s">
        <v>1222</v>
      </c>
      <c r="B819" s="1171">
        <v>40870</v>
      </c>
      <c r="C819" s="1149" t="s">
        <v>31</v>
      </c>
      <c r="D819" s="1149" t="s">
        <v>1226</v>
      </c>
      <c r="E819" s="1208">
        <v>900483768</v>
      </c>
      <c r="F819" s="1208">
        <v>4</v>
      </c>
      <c r="G819" s="1149" t="s">
        <v>1227</v>
      </c>
      <c r="H819" s="1149" t="s">
        <v>71</v>
      </c>
      <c r="I819" s="1149" t="s">
        <v>1221</v>
      </c>
      <c r="J819" s="1149" t="s">
        <v>66</v>
      </c>
      <c r="K819" s="1149" t="s">
        <v>183</v>
      </c>
      <c r="L819" s="1149" t="s">
        <v>1231</v>
      </c>
      <c r="M819" s="1245">
        <v>219</v>
      </c>
      <c r="N819" s="1149" t="s">
        <v>137</v>
      </c>
      <c r="O819" s="1084">
        <v>64112159</v>
      </c>
      <c r="P819" s="1084">
        <f>O819</f>
        <v>64112159</v>
      </c>
      <c r="Q819" s="1084">
        <f>P819</f>
        <v>64112159</v>
      </c>
      <c r="R819" s="1171">
        <v>40851</v>
      </c>
      <c r="S819" s="1119">
        <v>64112159</v>
      </c>
      <c r="T819" s="1119">
        <v>64112159</v>
      </c>
      <c r="U819" s="1119">
        <f>O819-T819</f>
        <v>0</v>
      </c>
      <c r="V819" s="1084">
        <v>63321180</v>
      </c>
      <c r="W819" s="1084">
        <v>63321180</v>
      </c>
      <c r="X819" s="1149" t="s">
        <v>1228</v>
      </c>
      <c r="Y819" s="108" t="s">
        <v>1229</v>
      </c>
      <c r="Z819" s="109">
        <v>0</v>
      </c>
      <c r="AA819" s="109">
        <v>31660590</v>
      </c>
      <c r="AB819" s="109">
        <f>AA819+Z819</f>
        <v>31660590</v>
      </c>
      <c r="AC819" s="97">
        <v>41022</v>
      </c>
      <c r="AD819" s="119">
        <v>31660590</v>
      </c>
      <c r="AE819" s="119" t="s">
        <v>137</v>
      </c>
      <c r="AF819" s="1084">
        <f>SUM(AD819:AD821)</f>
        <v>63321180</v>
      </c>
      <c r="AG819" s="1084">
        <f>AF819</f>
        <v>63321180</v>
      </c>
      <c r="AH819" s="109">
        <f t="shared" si="58"/>
        <v>0</v>
      </c>
      <c r="AI819" s="1119">
        <f>O819-SUM(AD819:AD821)</f>
        <v>790979</v>
      </c>
      <c r="AJ819" s="1119">
        <f>SUM(Z819:Z821)-SUM(AD819:AD821)</f>
        <v>0</v>
      </c>
      <c r="AK819" s="1119">
        <f>P819-V819</f>
        <v>790979</v>
      </c>
      <c r="AL819" s="1119">
        <v>0</v>
      </c>
      <c r="AM819" s="1119">
        <f>AK819</f>
        <v>790979</v>
      </c>
      <c r="AN819" s="1249" t="s">
        <v>606</v>
      </c>
      <c r="AO819" s="1249" t="s">
        <v>1232</v>
      </c>
      <c r="AQ819" s="934"/>
    </row>
    <row r="820" spans="1:43" s="4" customFormat="1" ht="15" customHeight="1">
      <c r="A820" s="1170"/>
      <c r="B820" s="1171"/>
      <c r="C820" s="1149"/>
      <c r="D820" s="1149"/>
      <c r="E820" s="1208"/>
      <c r="F820" s="1208"/>
      <c r="G820" s="1149"/>
      <c r="H820" s="1149"/>
      <c r="I820" s="1149"/>
      <c r="J820" s="1149"/>
      <c r="K820" s="1149"/>
      <c r="L820" s="1149"/>
      <c r="M820" s="1245"/>
      <c r="N820" s="1149"/>
      <c r="O820" s="1084"/>
      <c r="P820" s="1084"/>
      <c r="Q820" s="1084"/>
      <c r="R820" s="1171"/>
      <c r="S820" s="1119"/>
      <c r="T820" s="1119"/>
      <c r="U820" s="1119"/>
      <c r="V820" s="1084"/>
      <c r="W820" s="1084"/>
      <c r="X820" s="1149"/>
      <c r="Y820" s="1123" t="s">
        <v>1230</v>
      </c>
      <c r="Z820" s="1119">
        <v>63321180</v>
      </c>
      <c r="AA820" s="1119">
        <f>-AA819</f>
        <v>-31660590</v>
      </c>
      <c r="AB820" s="1119">
        <f>AA820+Z820</f>
        <v>31660590</v>
      </c>
      <c r="AC820" s="97">
        <v>41661</v>
      </c>
      <c r="AD820" s="119">
        <v>13531736.17</v>
      </c>
      <c r="AE820" s="119"/>
      <c r="AF820" s="1084"/>
      <c r="AG820" s="1084"/>
      <c r="AH820" s="109">
        <f t="shared" si="58"/>
        <v>18128853.829999998</v>
      </c>
      <c r="AI820" s="1119"/>
      <c r="AJ820" s="1119"/>
      <c r="AK820" s="1119"/>
      <c r="AL820" s="1119"/>
      <c r="AM820" s="1119"/>
      <c r="AN820" s="1249"/>
      <c r="AO820" s="1249"/>
      <c r="AQ820" s="934"/>
    </row>
    <row r="821" spans="1:43" s="4" customFormat="1" ht="15" customHeight="1">
      <c r="A821" s="1170"/>
      <c r="B821" s="1171"/>
      <c r="C821" s="1149"/>
      <c r="D821" s="1149"/>
      <c r="E821" s="1208"/>
      <c r="F821" s="1208"/>
      <c r="G821" s="1149"/>
      <c r="H821" s="1149"/>
      <c r="I821" s="1149"/>
      <c r="J821" s="1149"/>
      <c r="K821" s="1149"/>
      <c r="L821" s="1149"/>
      <c r="M821" s="1245"/>
      <c r="N821" s="1149"/>
      <c r="O821" s="1084"/>
      <c r="P821" s="1084"/>
      <c r="Q821" s="1084"/>
      <c r="R821" s="1171"/>
      <c r="S821" s="1119"/>
      <c r="T821" s="1119"/>
      <c r="U821" s="1119"/>
      <c r="V821" s="1084"/>
      <c r="W821" s="1084"/>
      <c r="X821" s="1149"/>
      <c r="Y821" s="1123"/>
      <c r="Z821" s="1119"/>
      <c r="AA821" s="1119"/>
      <c r="AB821" s="1119"/>
      <c r="AC821" s="97">
        <v>41670</v>
      </c>
      <c r="AD821" s="119">
        <v>18128853.829999998</v>
      </c>
      <c r="AE821" s="119"/>
      <c r="AF821" s="1084"/>
      <c r="AG821" s="1084"/>
      <c r="AH821" s="109">
        <f t="shared" si="58"/>
        <v>-18128853.829999998</v>
      </c>
      <c r="AI821" s="1119"/>
      <c r="AJ821" s="1119"/>
      <c r="AK821" s="1119"/>
      <c r="AL821" s="1119"/>
      <c r="AM821" s="1119"/>
      <c r="AN821" s="1249"/>
      <c r="AO821" s="1249"/>
      <c r="AQ821" s="934"/>
    </row>
    <row r="822" spans="1:43" s="4" customFormat="1" ht="15" customHeight="1">
      <c r="A822" s="1361" t="s">
        <v>1223</v>
      </c>
      <c r="B822" s="1171">
        <v>40870</v>
      </c>
      <c r="C822" s="1244" t="s">
        <v>13</v>
      </c>
      <c r="D822" s="1244" t="s">
        <v>1233</v>
      </c>
      <c r="E822" s="1208">
        <v>10538292</v>
      </c>
      <c r="F822" s="1208"/>
      <c r="G822" s="1244" t="s">
        <v>1234</v>
      </c>
      <c r="H822" s="1244" t="s">
        <v>71</v>
      </c>
      <c r="I822" s="1244" t="s">
        <v>1235</v>
      </c>
      <c r="J822" s="1244" t="s">
        <v>66</v>
      </c>
      <c r="K822" s="1244" t="s">
        <v>183</v>
      </c>
      <c r="L822" s="1244" t="s">
        <v>1220</v>
      </c>
      <c r="M822" s="1352">
        <v>213</v>
      </c>
      <c r="N822" s="1244" t="s">
        <v>137</v>
      </c>
      <c r="O822" s="1119">
        <v>104791790</v>
      </c>
      <c r="P822" s="1119">
        <v>104791790</v>
      </c>
      <c r="Q822" s="1119">
        <v>104791790</v>
      </c>
      <c r="R822" s="1171">
        <v>40851</v>
      </c>
      <c r="S822" s="1119">
        <v>104791790</v>
      </c>
      <c r="T822" s="1119">
        <v>104791790</v>
      </c>
      <c r="U822" s="1119">
        <f>O822-T822</f>
        <v>0</v>
      </c>
      <c r="V822" s="1119">
        <v>104791790</v>
      </c>
      <c r="W822" s="1119">
        <v>104791790</v>
      </c>
      <c r="X822" s="1076" t="s">
        <v>1179</v>
      </c>
      <c r="Y822" s="108" t="s">
        <v>1237</v>
      </c>
      <c r="Z822" s="109">
        <v>0</v>
      </c>
      <c r="AA822" s="109">
        <v>52395895</v>
      </c>
      <c r="AB822" s="109">
        <f t="shared" ref="AB822:AB829" si="59">Z822+AA822</f>
        <v>52395895</v>
      </c>
      <c r="AC822" s="97">
        <v>40910</v>
      </c>
      <c r="AD822" s="119">
        <v>52395895</v>
      </c>
      <c r="AE822" s="119" t="s">
        <v>137</v>
      </c>
      <c r="AF822" s="1084">
        <f>SUM(AD822:AD824)</f>
        <v>104791790</v>
      </c>
      <c r="AG822" s="1084">
        <v>104791790</v>
      </c>
      <c r="AH822" s="111">
        <f t="shared" si="58"/>
        <v>0</v>
      </c>
      <c r="AI822" s="1084">
        <f>O822-SUM(AD822:AD824)</f>
        <v>0</v>
      </c>
      <c r="AJ822" s="1084">
        <f>SUM(Z822:Z824)-SUM(AD822:AD824)</f>
        <v>1</v>
      </c>
      <c r="AK822" s="1084">
        <f>P822-V822</f>
        <v>0</v>
      </c>
      <c r="AL822" s="1084">
        <f>V822-SUM(Z822:Z824)</f>
        <v>-1</v>
      </c>
      <c r="AM822" s="1084">
        <f>AK822+AL822</f>
        <v>-1</v>
      </c>
      <c r="AN822" s="1149" t="s">
        <v>606</v>
      </c>
      <c r="AO822" s="1149" t="s">
        <v>1236</v>
      </c>
      <c r="AQ822" s="934"/>
    </row>
    <row r="823" spans="1:43" s="4" customFormat="1" ht="15" customHeight="1">
      <c r="A823" s="1361"/>
      <c r="B823" s="1171"/>
      <c r="C823" s="1244"/>
      <c r="D823" s="1244"/>
      <c r="E823" s="1208"/>
      <c r="F823" s="1208"/>
      <c r="G823" s="1244"/>
      <c r="H823" s="1244"/>
      <c r="I823" s="1244"/>
      <c r="J823" s="1244"/>
      <c r="K823" s="1244"/>
      <c r="L823" s="1244"/>
      <c r="M823" s="1352"/>
      <c r="N823" s="1244"/>
      <c r="O823" s="1119"/>
      <c r="P823" s="1119"/>
      <c r="Q823" s="1119"/>
      <c r="R823" s="1171"/>
      <c r="S823" s="1119"/>
      <c r="T823" s="1119"/>
      <c r="U823" s="1119"/>
      <c r="V823" s="1119"/>
      <c r="W823" s="1119"/>
      <c r="X823" s="1076"/>
      <c r="Y823" s="108" t="s">
        <v>1238</v>
      </c>
      <c r="Z823" s="109">
        <v>92001931</v>
      </c>
      <c r="AA823" s="109">
        <v>-46000966</v>
      </c>
      <c r="AB823" s="109">
        <f t="shared" si="59"/>
        <v>46000965</v>
      </c>
      <c r="AC823" s="97">
        <v>41213</v>
      </c>
      <c r="AD823" s="119">
        <v>46000965</v>
      </c>
      <c r="AE823" s="119" t="s">
        <v>137</v>
      </c>
      <c r="AF823" s="1084"/>
      <c r="AG823" s="1084"/>
      <c r="AH823" s="111">
        <f t="shared" si="58"/>
        <v>0</v>
      </c>
      <c r="AI823" s="1084"/>
      <c r="AJ823" s="1084"/>
      <c r="AK823" s="1084"/>
      <c r="AL823" s="1084"/>
      <c r="AM823" s="1084"/>
      <c r="AN823" s="1149"/>
      <c r="AO823" s="1149"/>
      <c r="AQ823" s="934"/>
    </row>
    <row r="824" spans="1:43" s="4" customFormat="1" ht="15" customHeight="1">
      <c r="A824" s="1361"/>
      <c r="B824" s="1171"/>
      <c r="C824" s="1244"/>
      <c r="D824" s="1244"/>
      <c r="E824" s="1208"/>
      <c r="F824" s="1208"/>
      <c r="G824" s="1244"/>
      <c r="H824" s="1244"/>
      <c r="I824" s="1244"/>
      <c r="J824" s="1244"/>
      <c r="K824" s="1244"/>
      <c r="L824" s="1244"/>
      <c r="M824" s="1352"/>
      <c r="N824" s="1244"/>
      <c r="O824" s="1119"/>
      <c r="P824" s="1119"/>
      <c r="Q824" s="1119"/>
      <c r="R824" s="1171"/>
      <c r="S824" s="1119"/>
      <c r="T824" s="1119"/>
      <c r="U824" s="1119"/>
      <c r="V824" s="1119"/>
      <c r="W824" s="1119"/>
      <c r="X824" s="1076"/>
      <c r="Y824" s="108" t="s">
        <v>1239</v>
      </c>
      <c r="Z824" s="109">
        <v>12789860</v>
      </c>
      <c r="AA824" s="109">
        <v>-6394929</v>
      </c>
      <c r="AB824" s="109">
        <f t="shared" si="59"/>
        <v>6394931</v>
      </c>
      <c r="AC824" s="97">
        <v>41451</v>
      </c>
      <c r="AD824" s="119">
        <v>6394930</v>
      </c>
      <c r="AE824" s="119" t="s">
        <v>137</v>
      </c>
      <c r="AF824" s="1084"/>
      <c r="AG824" s="1084"/>
      <c r="AH824" s="111">
        <f t="shared" si="58"/>
        <v>1</v>
      </c>
      <c r="AI824" s="1084"/>
      <c r="AJ824" s="1084"/>
      <c r="AK824" s="1084"/>
      <c r="AL824" s="1084"/>
      <c r="AM824" s="1084"/>
      <c r="AN824" s="1149"/>
      <c r="AO824" s="1149"/>
      <c r="AQ824" s="934"/>
    </row>
    <row r="825" spans="1:43" s="4" customFormat="1" ht="15" customHeight="1">
      <c r="A825" s="1214" t="s">
        <v>1224</v>
      </c>
      <c r="B825" s="1171">
        <v>40870</v>
      </c>
      <c r="C825" s="1123" t="s">
        <v>13</v>
      </c>
      <c r="D825" s="1123" t="s">
        <v>1240</v>
      </c>
      <c r="E825" s="1208">
        <v>10537417</v>
      </c>
      <c r="F825" s="1208"/>
      <c r="G825" s="1123" t="s">
        <v>1219</v>
      </c>
      <c r="H825" s="1123" t="s">
        <v>71</v>
      </c>
      <c r="I825" s="1123" t="s">
        <v>1235</v>
      </c>
      <c r="J825" s="1123" t="s">
        <v>66</v>
      </c>
      <c r="K825" s="1123" t="s">
        <v>183</v>
      </c>
      <c r="L825" s="1123" t="s">
        <v>1244</v>
      </c>
      <c r="M825" s="1352">
        <v>211</v>
      </c>
      <c r="N825" s="1123" t="s">
        <v>137</v>
      </c>
      <c r="O825" s="1084">
        <v>101851852</v>
      </c>
      <c r="P825" s="1084">
        <v>101851852</v>
      </c>
      <c r="Q825" s="1084">
        <v>101851852</v>
      </c>
      <c r="R825" s="1171">
        <v>40851</v>
      </c>
      <c r="S825" s="1295">
        <v>101102103</v>
      </c>
      <c r="T825" s="1295">
        <v>101102103</v>
      </c>
      <c r="U825" s="1295">
        <f>O825-T825</f>
        <v>749749</v>
      </c>
      <c r="V825" s="1084">
        <v>101102103</v>
      </c>
      <c r="W825" s="1084">
        <f>V825</f>
        <v>101102103</v>
      </c>
      <c r="X825" s="1149" t="s">
        <v>1179</v>
      </c>
      <c r="Y825" s="108" t="s">
        <v>1241</v>
      </c>
      <c r="Z825" s="109">
        <v>0</v>
      </c>
      <c r="AA825" s="109">
        <v>50551052</v>
      </c>
      <c r="AB825" s="109">
        <f t="shared" si="59"/>
        <v>50551052</v>
      </c>
      <c r="AC825" s="97">
        <v>41025</v>
      </c>
      <c r="AD825" s="119">
        <v>50551052</v>
      </c>
      <c r="AE825" s="119" t="s">
        <v>137</v>
      </c>
      <c r="AF825" s="1084">
        <f>SUM(AD825:AD826)</f>
        <v>101102104</v>
      </c>
      <c r="AG825" s="1084">
        <f>AF825</f>
        <v>101102104</v>
      </c>
      <c r="AH825" s="111">
        <f t="shared" si="58"/>
        <v>0</v>
      </c>
      <c r="AI825" s="1084">
        <f>T825-SUM(AD825:AD826)</f>
        <v>-1</v>
      </c>
      <c r="AJ825" s="1084">
        <f>SUM(Z825:Z826)-SUM(AD825:AD826)</f>
        <v>-1</v>
      </c>
      <c r="AK825" s="1084">
        <f>T825-V825</f>
        <v>0</v>
      </c>
      <c r="AL825" s="1084">
        <f>V825-SUM(Z825:Z826)</f>
        <v>0</v>
      </c>
      <c r="AM825" s="1084">
        <f>AK825+AL825</f>
        <v>0</v>
      </c>
      <c r="AN825" s="1149" t="s">
        <v>606</v>
      </c>
      <c r="AO825" s="1149" t="s">
        <v>1243</v>
      </c>
      <c r="AQ825" s="934"/>
    </row>
    <row r="826" spans="1:43" s="4" customFormat="1" ht="15" customHeight="1">
      <c r="A826" s="1214"/>
      <c r="B826" s="1171"/>
      <c r="C826" s="1123"/>
      <c r="D826" s="1123"/>
      <c r="E826" s="1208"/>
      <c r="F826" s="1208"/>
      <c r="G826" s="1123"/>
      <c r="H826" s="1123"/>
      <c r="I826" s="1123"/>
      <c r="J826" s="1123"/>
      <c r="K826" s="1123"/>
      <c r="L826" s="1123"/>
      <c r="M826" s="1352"/>
      <c r="N826" s="1123"/>
      <c r="O826" s="1084"/>
      <c r="P826" s="1084"/>
      <c r="Q826" s="1084"/>
      <c r="R826" s="1171"/>
      <c r="S826" s="1295"/>
      <c r="T826" s="1295"/>
      <c r="U826" s="1295"/>
      <c r="V826" s="1084"/>
      <c r="W826" s="1084"/>
      <c r="X826" s="1149"/>
      <c r="Y826" s="108" t="s">
        <v>1242</v>
      </c>
      <c r="Z826" s="109">
        <v>101102103</v>
      </c>
      <c r="AA826" s="109">
        <v>-50551052</v>
      </c>
      <c r="AB826" s="109">
        <f t="shared" si="59"/>
        <v>50551051</v>
      </c>
      <c r="AC826" s="97">
        <v>41291</v>
      </c>
      <c r="AD826" s="119">
        <v>50551052</v>
      </c>
      <c r="AE826" s="119" t="s">
        <v>137</v>
      </c>
      <c r="AF826" s="1084"/>
      <c r="AG826" s="1084"/>
      <c r="AH826" s="111">
        <f t="shared" si="58"/>
        <v>-1</v>
      </c>
      <c r="AI826" s="1084"/>
      <c r="AJ826" s="1084"/>
      <c r="AK826" s="1084"/>
      <c r="AL826" s="1084"/>
      <c r="AM826" s="1084"/>
      <c r="AN826" s="1149"/>
      <c r="AO826" s="1149"/>
      <c r="AQ826" s="934"/>
    </row>
    <row r="827" spans="1:43" s="4" customFormat="1" ht="15" customHeight="1">
      <c r="A827" s="1214" t="s">
        <v>1225</v>
      </c>
      <c r="B827" s="1171">
        <v>40870</v>
      </c>
      <c r="C827" s="1076" t="s">
        <v>22</v>
      </c>
      <c r="D827" s="1076" t="s">
        <v>1245</v>
      </c>
      <c r="E827" s="1208">
        <v>900477528</v>
      </c>
      <c r="F827" s="1208">
        <v>9</v>
      </c>
      <c r="G827" s="1076" t="s">
        <v>1246</v>
      </c>
      <c r="H827" s="1076" t="s">
        <v>71</v>
      </c>
      <c r="I827" s="1076" t="s">
        <v>1235</v>
      </c>
      <c r="J827" s="1123" t="s">
        <v>66</v>
      </c>
      <c r="K827" s="1123" t="s">
        <v>183</v>
      </c>
      <c r="L827" s="1123" t="s">
        <v>1218</v>
      </c>
      <c r="M827" s="1352">
        <v>215</v>
      </c>
      <c r="N827" s="1123" t="s">
        <v>137</v>
      </c>
      <c r="O827" s="1119">
        <v>91588785</v>
      </c>
      <c r="P827" s="1119">
        <v>91588785</v>
      </c>
      <c r="Q827" s="1119">
        <f>P827+P829</f>
        <v>134309400</v>
      </c>
      <c r="R827" s="1171">
        <v>40851</v>
      </c>
      <c r="S827" s="1119">
        <f>T827</f>
        <v>90737264</v>
      </c>
      <c r="T827" s="1119">
        <v>90737264</v>
      </c>
      <c r="U827" s="1119">
        <f>O827-T827</f>
        <v>851521</v>
      </c>
      <c r="V827" s="1119">
        <v>90737369.939999998</v>
      </c>
      <c r="W827" s="1119">
        <v>133457984.94</v>
      </c>
      <c r="X827" s="1076" t="s">
        <v>1247</v>
      </c>
      <c r="Y827" s="108" t="s">
        <v>1248</v>
      </c>
      <c r="Z827" s="109">
        <v>0</v>
      </c>
      <c r="AA827" s="109">
        <v>45368685</v>
      </c>
      <c r="AB827" s="109">
        <f t="shared" si="59"/>
        <v>45368685</v>
      </c>
      <c r="AC827" s="97">
        <v>41151</v>
      </c>
      <c r="AD827" s="119">
        <v>45368685</v>
      </c>
      <c r="AE827" s="119" t="s">
        <v>137</v>
      </c>
      <c r="AF827" s="1084">
        <f>SUM(AD827:AD828)</f>
        <v>90737264</v>
      </c>
      <c r="AG827" s="1084">
        <f>SUM(AF827:AF829)</f>
        <v>133457879</v>
      </c>
      <c r="AH827" s="111">
        <f t="shared" si="58"/>
        <v>0</v>
      </c>
      <c r="AI827" s="1084">
        <f>S827-AD827-AD828</f>
        <v>0</v>
      </c>
      <c r="AJ827" s="1119">
        <f>SUM(Z827:Z829)-SUM(AD827:AD829)</f>
        <v>0</v>
      </c>
      <c r="AK827" s="1119">
        <f>S827-V827</f>
        <v>-105.93999999761581</v>
      </c>
      <c r="AL827" s="1119">
        <f>V827-Z827-Z828</f>
        <v>105.93999999761581</v>
      </c>
      <c r="AM827" s="1119">
        <f>AK827+AL827</f>
        <v>0</v>
      </c>
      <c r="AN827" s="1203" t="s">
        <v>606</v>
      </c>
      <c r="AO827" s="1204" t="s">
        <v>1251</v>
      </c>
      <c r="AQ827" s="934"/>
    </row>
    <row r="828" spans="1:43" s="4" customFormat="1" ht="15" customHeight="1">
      <c r="A828" s="1214"/>
      <c r="B828" s="1171"/>
      <c r="C828" s="1076"/>
      <c r="D828" s="1076"/>
      <c r="E828" s="1208"/>
      <c r="F828" s="1208"/>
      <c r="G828" s="1076"/>
      <c r="H828" s="1076"/>
      <c r="I828" s="1076"/>
      <c r="J828" s="1123"/>
      <c r="K828" s="1123"/>
      <c r="L828" s="1123"/>
      <c r="M828" s="1352"/>
      <c r="N828" s="1123"/>
      <c r="O828" s="1119"/>
      <c r="P828" s="1119"/>
      <c r="Q828" s="1119"/>
      <c r="R828" s="1171"/>
      <c r="S828" s="1119"/>
      <c r="T828" s="1119"/>
      <c r="U828" s="1119"/>
      <c r="V828" s="1119"/>
      <c r="W828" s="1119"/>
      <c r="X828" s="1076"/>
      <c r="Y828" s="108" t="s">
        <v>1249</v>
      </c>
      <c r="Z828" s="109">
        <v>90737264</v>
      </c>
      <c r="AA828" s="109">
        <f>-AA827</f>
        <v>-45368685</v>
      </c>
      <c r="AB828" s="109">
        <f t="shared" si="59"/>
        <v>45368579</v>
      </c>
      <c r="AC828" s="97">
        <v>41968</v>
      </c>
      <c r="AD828" s="119">
        <v>45368579</v>
      </c>
      <c r="AE828" s="119" t="s">
        <v>137</v>
      </c>
      <c r="AF828" s="1084"/>
      <c r="AG828" s="1084"/>
      <c r="AH828" s="111">
        <f t="shared" si="58"/>
        <v>0</v>
      </c>
      <c r="AI828" s="1084"/>
      <c r="AJ828" s="1119"/>
      <c r="AK828" s="1119"/>
      <c r="AL828" s="1119"/>
      <c r="AM828" s="1119"/>
      <c r="AN828" s="1203"/>
      <c r="AO828" s="1204"/>
      <c r="AQ828" s="934"/>
    </row>
    <row r="829" spans="1:43" s="4" customFormat="1" ht="15" customHeight="1">
      <c r="A829" s="1214"/>
      <c r="B829" s="1171"/>
      <c r="C829" s="1076"/>
      <c r="D829" s="1076"/>
      <c r="E829" s="1208"/>
      <c r="F829" s="1208"/>
      <c r="G829" s="1076"/>
      <c r="H829" s="1076"/>
      <c r="I829" s="1076"/>
      <c r="J829" s="113" t="s">
        <v>67</v>
      </c>
      <c r="K829" s="1123"/>
      <c r="L829" s="1123"/>
      <c r="M829" s="153">
        <v>306</v>
      </c>
      <c r="N829" s="108" t="s">
        <v>7</v>
      </c>
      <c r="O829" s="109">
        <v>42720615</v>
      </c>
      <c r="P829" s="109">
        <f>O829</f>
        <v>42720615</v>
      </c>
      <c r="Q829" s="1119"/>
      <c r="R829" s="97">
        <v>41795</v>
      </c>
      <c r="S829" s="151">
        <f>T829</f>
        <v>42720615</v>
      </c>
      <c r="T829" s="109">
        <v>42720615</v>
      </c>
      <c r="U829" s="109">
        <f>O829-T829</f>
        <v>0</v>
      </c>
      <c r="V829" s="109">
        <v>42720615</v>
      </c>
      <c r="W829" s="1119"/>
      <c r="X829" s="1076"/>
      <c r="Y829" s="108" t="s">
        <v>1250</v>
      </c>
      <c r="Z829" s="109">
        <v>42720615</v>
      </c>
      <c r="AA829" s="109">
        <v>0</v>
      </c>
      <c r="AB829" s="109">
        <f t="shared" si="59"/>
        <v>42720615</v>
      </c>
      <c r="AC829" s="97">
        <v>41968</v>
      </c>
      <c r="AD829" s="119">
        <v>42720615</v>
      </c>
      <c r="AE829" s="119" t="s">
        <v>7</v>
      </c>
      <c r="AF829" s="111">
        <f>AD829</f>
        <v>42720615</v>
      </c>
      <c r="AG829" s="1084"/>
      <c r="AH829" s="111">
        <f t="shared" si="58"/>
        <v>0</v>
      </c>
      <c r="AI829" s="111">
        <f>S829-AD829</f>
        <v>0</v>
      </c>
      <c r="AJ829" s="1119"/>
      <c r="AK829" s="109">
        <f>S829-V829</f>
        <v>0</v>
      </c>
      <c r="AL829" s="109">
        <f>V829-Z829</f>
        <v>0</v>
      </c>
      <c r="AM829" s="109">
        <f>AK829+AL829</f>
        <v>0</v>
      </c>
      <c r="AN829" s="1203"/>
      <c r="AO829" s="1204"/>
      <c r="AQ829" s="934"/>
    </row>
    <row r="830" spans="1:43" s="4" customFormat="1" ht="15" customHeight="1">
      <c r="A830" s="1001" t="s">
        <v>1255</v>
      </c>
      <c r="B830" s="97">
        <v>40870</v>
      </c>
      <c r="C830" s="113" t="s">
        <v>30</v>
      </c>
      <c r="D830" s="113" t="s">
        <v>1306</v>
      </c>
      <c r="E830" s="114">
        <v>900398594</v>
      </c>
      <c r="F830" s="114">
        <v>6</v>
      </c>
      <c r="G830" s="113" t="s">
        <v>2847</v>
      </c>
      <c r="H830" s="113" t="s">
        <v>72</v>
      </c>
      <c r="I830" s="113" t="s">
        <v>177</v>
      </c>
      <c r="J830" s="113" t="s">
        <v>66</v>
      </c>
      <c r="K830" s="113" t="s">
        <v>49</v>
      </c>
      <c r="L830" s="113" t="s">
        <v>1260</v>
      </c>
      <c r="M830" s="132">
        <v>174</v>
      </c>
      <c r="N830" s="108" t="s">
        <v>7</v>
      </c>
      <c r="O830" s="109">
        <v>200004880</v>
      </c>
      <c r="P830" s="109">
        <v>200004880</v>
      </c>
      <c r="Q830" s="109">
        <v>200004880</v>
      </c>
      <c r="R830" s="97">
        <v>40745</v>
      </c>
      <c r="S830" s="151"/>
      <c r="T830" s="109"/>
      <c r="U830" s="109"/>
      <c r="V830" s="109">
        <v>200004880</v>
      </c>
      <c r="W830" s="109">
        <v>200004880</v>
      </c>
      <c r="X830" s="113" t="s">
        <v>1259</v>
      </c>
      <c r="Y830" s="108" t="s">
        <v>1263</v>
      </c>
      <c r="Z830" s="109">
        <v>0</v>
      </c>
      <c r="AA830" s="109">
        <f>AD830</f>
        <v>80001952</v>
      </c>
      <c r="AB830" s="109">
        <f>AA830</f>
        <v>80001952</v>
      </c>
      <c r="AC830" s="97">
        <v>41025</v>
      </c>
      <c r="AD830" s="119">
        <v>80001952</v>
      </c>
      <c r="AE830" s="119" t="s">
        <v>7</v>
      </c>
      <c r="AF830" s="111">
        <f>AD830</f>
        <v>80001952</v>
      </c>
      <c r="AG830" s="119">
        <f>AF830</f>
        <v>80001952</v>
      </c>
      <c r="AH830" s="111">
        <f t="shared" si="58"/>
        <v>0</v>
      </c>
      <c r="AI830" s="111">
        <f>O830-AG830</f>
        <v>120002928</v>
      </c>
      <c r="AJ830" s="109">
        <f>Z830-AD830</f>
        <v>-80001952</v>
      </c>
      <c r="AK830" s="109">
        <f>P830-V830</f>
        <v>0</v>
      </c>
      <c r="AL830" s="109">
        <f>V830-Z830+AJ830</f>
        <v>120002928</v>
      </c>
      <c r="AM830" s="109"/>
      <c r="AN830" s="112" t="s">
        <v>1261</v>
      </c>
      <c r="AO830" s="105" t="s">
        <v>1262</v>
      </c>
      <c r="AQ830" s="934"/>
    </row>
    <row r="831" spans="1:43" ht="15" customHeight="1">
      <c r="A831" s="1214" t="s">
        <v>1210</v>
      </c>
      <c r="B831" s="1171">
        <v>40882</v>
      </c>
      <c r="C831" s="1076" t="s">
        <v>13</v>
      </c>
      <c r="D831" s="1076" t="s">
        <v>1306</v>
      </c>
      <c r="E831" s="1208">
        <v>900398594</v>
      </c>
      <c r="F831" s="1208">
        <v>6</v>
      </c>
      <c r="G831" s="1076" t="s">
        <v>2848</v>
      </c>
      <c r="H831" s="1076" t="s">
        <v>72</v>
      </c>
      <c r="I831" s="1076" t="s">
        <v>206</v>
      </c>
      <c r="J831" s="1076" t="s">
        <v>66</v>
      </c>
      <c r="K831" s="1076" t="s">
        <v>49</v>
      </c>
      <c r="L831" s="1076" t="s">
        <v>1213</v>
      </c>
      <c r="M831" s="1245">
        <v>174</v>
      </c>
      <c r="N831" s="1123" t="s">
        <v>7</v>
      </c>
      <c r="O831" s="1119">
        <v>149423312</v>
      </c>
      <c r="P831" s="1119">
        <v>149423312</v>
      </c>
      <c r="Q831" s="1119">
        <v>149423312</v>
      </c>
      <c r="R831" s="1171">
        <v>40745</v>
      </c>
      <c r="S831" s="1196"/>
      <c r="T831" s="1119"/>
      <c r="U831" s="1119"/>
      <c r="V831" s="1119">
        <v>149423312</v>
      </c>
      <c r="W831" s="1119">
        <v>149423312</v>
      </c>
      <c r="X831" s="1076" t="s">
        <v>1212</v>
      </c>
      <c r="Y831" s="108" t="s">
        <v>1214</v>
      </c>
      <c r="Z831" s="109">
        <v>0</v>
      </c>
      <c r="AA831" s="109">
        <v>59769325</v>
      </c>
      <c r="AB831" s="109">
        <f t="shared" ref="AB831:AB841" si="60">Z831+AA831</f>
        <v>59769325</v>
      </c>
      <c r="AC831" s="97">
        <v>41037</v>
      </c>
      <c r="AD831" s="119">
        <v>59769325</v>
      </c>
      <c r="AE831" s="119" t="s">
        <v>7</v>
      </c>
      <c r="AF831" s="1084">
        <f>SUM(AD831:AD833)</f>
        <v>125145012.47</v>
      </c>
      <c r="AG831" s="1215">
        <f>AF831</f>
        <v>125145012.47</v>
      </c>
      <c r="AH831" s="111">
        <f t="shared" ref="AH831:AH860" si="61">AB831-AD831</f>
        <v>0</v>
      </c>
      <c r="AI831" s="1084">
        <f>P831-SUM(AD831:AD833)</f>
        <v>24278299.530000001</v>
      </c>
      <c r="AJ831" s="1119">
        <f>SUM(Z831:Z833)-SUM(AD831:AD833)</f>
        <v>-16185533.359999999</v>
      </c>
      <c r="AK831" s="1119">
        <f>P831-V831</f>
        <v>0</v>
      </c>
      <c r="AL831" s="1119">
        <f>V831-SUM(Z831:Z833)+AJ831</f>
        <v>24278299.530000001</v>
      </c>
      <c r="AM831" s="1119"/>
      <c r="AN831" s="1203" t="s">
        <v>1216</v>
      </c>
      <c r="AO831" s="1237" t="s">
        <v>1217</v>
      </c>
    </row>
    <row r="832" spans="1:43" ht="15" customHeight="1">
      <c r="A832" s="1214"/>
      <c r="B832" s="1171"/>
      <c r="C832" s="1076"/>
      <c r="D832" s="1076"/>
      <c r="E832" s="1208"/>
      <c r="F832" s="1208"/>
      <c r="G832" s="1076"/>
      <c r="H832" s="1076"/>
      <c r="I832" s="1076"/>
      <c r="J832" s="1076"/>
      <c r="K832" s="1076"/>
      <c r="L832" s="1076"/>
      <c r="M832" s="1245"/>
      <c r="N832" s="1123"/>
      <c r="O832" s="1119"/>
      <c r="P832" s="1119"/>
      <c r="Q832" s="1119"/>
      <c r="R832" s="1171"/>
      <c r="S832" s="1196"/>
      <c r="T832" s="1119"/>
      <c r="U832" s="1119"/>
      <c r="V832" s="1119"/>
      <c r="W832" s="1119"/>
      <c r="X832" s="1076"/>
      <c r="Y832" s="108" t="s">
        <v>1215</v>
      </c>
      <c r="Z832" s="109">
        <v>108959479.11</v>
      </c>
      <c r="AA832" s="109">
        <v>-43583791.640000001</v>
      </c>
      <c r="AB832" s="109">
        <f t="shared" si="60"/>
        <v>65375687.469999999</v>
      </c>
      <c r="AC832" s="97">
        <v>41423</v>
      </c>
      <c r="AD832" s="119">
        <v>65375687.469999999</v>
      </c>
      <c r="AE832" s="119" t="s">
        <v>7</v>
      </c>
      <c r="AF832" s="1084"/>
      <c r="AG832" s="1215"/>
      <c r="AH832" s="111">
        <f t="shared" si="61"/>
        <v>0</v>
      </c>
      <c r="AI832" s="1084"/>
      <c r="AJ832" s="1119"/>
      <c r="AK832" s="1119"/>
      <c r="AL832" s="1119"/>
      <c r="AM832" s="1119"/>
      <c r="AN832" s="1203"/>
      <c r="AO832" s="1204"/>
    </row>
    <row r="833" spans="1:43" ht="15" customHeight="1">
      <c r="A833" s="1214"/>
      <c r="B833" s="1171"/>
      <c r="C833" s="1076"/>
      <c r="D833" s="1076"/>
      <c r="E833" s="1208"/>
      <c r="F833" s="1208"/>
      <c r="G833" s="1076"/>
      <c r="H833" s="1076"/>
      <c r="I833" s="1076"/>
      <c r="J833" s="1076"/>
      <c r="K833" s="1076"/>
      <c r="L833" s="1076"/>
      <c r="M833" s="1245"/>
      <c r="N833" s="1123"/>
      <c r="O833" s="1119"/>
      <c r="P833" s="1119"/>
      <c r="Q833" s="1119"/>
      <c r="R833" s="1171"/>
      <c r="S833" s="1196"/>
      <c r="T833" s="1119"/>
      <c r="U833" s="1119"/>
      <c r="V833" s="1119"/>
      <c r="W833" s="1119"/>
      <c r="X833" s="1076"/>
      <c r="Y833" s="108"/>
      <c r="Z833" s="109"/>
      <c r="AA833" s="109"/>
      <c r="AB833" s="109">
        <f t="shared" si="60"/>
        <v>0</v>
      </c>
      <c r="AC833" s="97"/>
      <c r="AD833" s="119">
        <v>0</v>
      </c>
      <c r="AE833" s="119" t="s">
        <v>7</v>
      </c>
      <c r="AF833" s="1084"/>
      <c r="AG833" s="1215"/>
      <c r="AH833" s="111">
        <f t="shared" si="61"/>
        <v>0</v>
      </c>
      <c r="AI833" s="1084"/>
      <c r="AJ833" s="1119"/>
      <c r="AK833" s="1119"/>
      <c r="AL833" s="1119"/>
      <c r="AM833" s="1119"/>
      <c r="AN833" s="1203"/>
      <c r="AO833" s="1204"/>
    </row>
    <row r="834" spans="1:43" s="4" customFormat="1" ht="15" customHeight="1">
      <c r="A834" s="1214" t="s">
        <v>1256</v>
      </c>
      <c r="B834" s="1171">
        <v>40882</v>
      </c>
      <c r="C834" s="1076" t="s">
        <v>40</v>
      </c>
      <c r="D834" s="1076" t="s">
        <v>1306</v>
      </c>
      <c r="E834" s="1208">
        <v>900398594</v>
      </c>
      <c r="F834" s="1208">
        <v>6</v>
      </c>
      <c r="G834" s="1076" t="s">
        <v>2801</v>
      </c>
      <c r="H834" s="1076" t="s">
        <v>72</v>
      </c>
      <c r="I834" s="1076" t="s">
        <v>206</v>
      </c>
      <c r="J834" s="1076" t="s">
        <v>66</v>
      </c>
      <c r="K834" s="1076" t="s">
        <v>49</v>
      </c>
      <c r="L834" s="1076"/>
      <c r="M834" s="1245">
        <v>174</v>
      </c>
      <c r="N834" s="1123" t="s">
        <v>7</v>
      </c>
      <c r="O834" s="1257">
        <v>114070920</v>
      </c>
      <c r="P834" s="1257">
        <v>114070920</v>
      </c>
      <c r="Q834" s="1257">
        <v>114070920</v>
      </c>
      <c r="R834" s="1171" t="s">
        <v>1265</v>
      </c>
      <c r="S834" s="1119"/>
      <c r="T834" s="1119"/>
      <c r="U834" s="1119"/>
      <c r="V834" s="1257">
        <v>114070920</v>
      </c>
      <c r="W834" s="1257">
        <v>114070920</v>
      </c>
      <c r="X834" s="1363" t="s">
        <v>1264</v>
      </c>
      <c r="Y834" s="108" t="s">
        <v>1267</v>
      </c>
      <c r="Z834" s="109">
        <v>0</v>
      </c>
      <c r="AA834" s="109">
        <v>45628368</v>
      </c>
      <c r="AB834" s="109">
        <f t="shared" si="60"/>
        <v>45628368</v>
      </c>
      <c r="AC834" s="97">
        <v>41037</v>
      </c>
      <c r="AD834" s="119">
        <f>AB834</f>
        <v>45628368</v>
      </c>
      <c r="AE834" s="119" t="s">
        <v>7</v>
      </c>
      <c r="AF834" s="1084">
        <f>SUM(AD834:AD835)</f>
        <v>103804537.2</v>
      </c>
      <c r="AG834" s="1215">
        <f>AF834</f>
        <v>103804537.2</v>
      </c>
      <c r="AH834" s="111">
        <f t="shared" si="61"/>
        <v>0</v>
      </c>
      <c r="AI834" s="1084">
        <f>P834-AD834-AD835</f>
        <v>10266382.799999997</v>
      </c>
      <c r="AJ834" s="1119">
        <f>SUM(Z834:Z835)-SUM(AD834:AD835)</f>
        <v>-6844255.200000003</v>
      </c>
      <c r="AK834" s="1084">
        <f>P834-V834</f>
        <v>0</v>
      </c>
      <c r="AL834" s="1084">
        <f>V834-SUM(Z834:Z835)+AJ834</f>
        <v>10266382.799999997</v>
      </c>
      <c r="AM834" s="1084"/>
      <c r="AN834" s="1149" t="s">
        <v>1269</v>
      </c>
      <c r="AO834" s="1204" t="s">
        <v>1266</v>
      </c>
      <c r="AQ834" s="934"/>
    </row>
    <row r="835" spans="1:43" s="4" customFormat="1" ht="15" customHeight="1">
      <c r="A835" s="1214"/>
      <c r="B835" s="1171"/>
      <c r="C835" s="1076"/>
      <c r="D835" s="1076"/>
      <c r="E835" s="1208"/>
      <c r="F835" s="1208"/>
      <c r="G835" s="1076"/>
      <c r="H835" s="1076"/>
      <c r="I835" s="1076"/>
      <c r="J835" s="1076"/>
      <c r="K835" s="1076"/>
      <c r="L835" s="1076"/>
      <c r="M835" s="1245"/>
      <c r="N835" s="1123"/>
      <c r="O835" s="1257"/>
      <c r="P835" s="1257"/>
      <c r="Q835" s="1257"/>
      <c r="R835" s="1171"/>
      <c r="S835" s="1119"/>
      <c r="T835" s="1119"/>
      <c r="U835" s="1119"/>
      <c r="V835" s="1257"/>
      <c r="W835" s="1257"/>
      <c r="X835" s="1363"/>
      <c r="Y835" s="108" t="s">
        <v>1268</v>
      </c>
      <c r="Z835" s="109">
        <v>96960282</v>
      </c>
      <c r="AA835" s="109">
        <v>-38784112.799999997</v>
      </c>
      <c r="AB835" s="109">
        <f t="shared" si="60"/>
        <v>58176169.200000003</v>
      </c>
      <c r="AC835" s="97">
        <v>41842</v>
      </c>
      <c r="AD835" s="119">
        <f>AB835</f>
        <v>58176169.200000003</v>
      </c>
      <c r="AE835" s="119" t="s">
        <v>7</v>
      </c>
      <c r="AF835" s="1084"/>
      <c r="AG835" s="1215"/>
      <c r="AH835" s="111">
        <f t="shared" si="61"/>
        <v>0</v>
      </c>
      <c r="AI835" s="1084"/>
      <c r="AJ835" s="1119"/>
      <c r="AK835" s="1084"/>
      <c r="AL835" s="1084"/>
      <c r="AM835" s="1084"/>
      <c r="AN835" s="1149"/>
      <c r="AO835" s="1204"/>
      <c r="AQ835" s="934"/>
    </row>
    <row r="836" spans="1:43" s="4" customFormat="1" ht="15" customHeight="1">
      <c r="A836" s="1214" t="s">
        <v>1257</v>
      </c>
      <c r="B836" s="1171">
        <v>40889</v>
      </c>
      <c r="C836" s="1076" t="s">
        <v>31</v>
      </c>
      <c r="D836" s="1076" t="s">
        <v>1253</v>
      </c>
      <c r="E836" s="1208" t="s">
        <v>1275</v>
      </c>
      <c r="F836" s="1208" t="s">
        <v>1276</v>
      </c>
      <c r="G836" s="1076" t="s">
        <v>2802</v>
      </c>
      <c r="H836" s="1076" t="s">
        <v>72</v>
      </c>
      <c r="I836" s="1076" t="s">
        <v>206</v>
      </c>
      <c r="J836" s="1076" t="s">
        <v>66</v>
      </c>
      <c r="K836" s="1076" t="s">
        <v>183</v>
      </c>
      <c r="L836" s="1076" t="s">
        <v>1252</v>
      </c>
      <c r="M836" s="1245">
        <v>174</v>
      </c>
      <c r="N836" s="1123" t="s">
        <v>7</v>
      </c>
      <c r="O836" s="1119">
        <v>70179999</v>
      </c>
      <c r="P836" s="1119">
        <v>70179999</v>
      </c>
      <c r="Q836" s="1119">
        <v>70179999</v>
      </c>
      <c r="R836" s="1171">
        <v>40745</v>
      </c>
      <c r="S836" s="1119"/>
      <c r="T836" s="1119"/>
      <c r="U836" s="1119"/>
      <c r="V836" s="1119">
        <v>70179999</v>
      </c>
      <c r="W836" s="1119">
        <v>70179999</v>
      </c>
      <c r="X836" s="1076" t="s">
        <v>1271</v>
      </c>
      <c r="Y836" s="108" t="s">
        <v>1272</v>
      </c>
      <c r="Z836" s="109">
        <v>0</v>
      </c>
      <c r="AA836" s="109">
        <v>28072000</v>
      </c>
      <c r="AB836" s="109">
        <f t="shared" si="60"/>
        <v>28072000</v>
      </c>
      <c r="AC836" s="97">
        <v>41065</v>
      </c>
      <c r="AD836" s="119">
        <f>AB836</f>
        <v>28072000</v>
      </c>
      <c r="AE836" s="119" t="s">
        <v>7</v>
      </c>
      <c r="AF836" s="1084">
        <f>SUM(AD836:AD838)</f>
        <v>70179999</v>
      </c>
      <c r="AG836" s="1215">
        <f>AF836</f>
        <v>70179999</v>
      </c>
      <c r="AH836" s="111">
        <f t="shared" si="61"/>
        <v>0</v>
      </c>
      <c r="AI836" s="1084">
        <f>O836-AD836-AD837-AD838</f>
        <v>0</v>
      </c>
      <c r="AJ836" s="1084">
        <f>SUM(Z836:Z838)-SUM(AD836:AD838)</f>
        <v>0</v>
      </c>
      <c r="AK836" s="1084">
        <f>P836-V836</f>
        <v>0</v>
      </c>
      <c r="AL836" s="1084">
        <f>V836-SUM(Z836:Z838)</f>
        <v>0</v>
      </c>
      <c r="AM836" s="1084">
        <f>AK836+AL836</f>
        <v>0</v>
      </c>
      <c r="AN836" s="1149" t="s">
        <v>606</v>
      </c>
      <c r="AO836" s="1149" t="s">
        <v>1277</v>
      </c>
      <c r="AQ836" s="934"/>
    </row>
    <row r="837" spans="1:43" s="4" customFormat="1" ht="15" customHeight="1">
      <c r="A837" s="1214"/>
      <c r="B837" s="1171"/>
      <c r="C837" s="1076"/>
      <c r="D837" s="1076"/>
      <c r="E837" s="1208"/>
      <c r="F837" s="1208"/>
      <c r="G837" s="1076"/>
      <c r="H837" s="1076"/>
      <c r="I837" s="1076"/>
      <c r="J837" s="1076"/>
      <c r="K837" s="1076"/>
      <c r="L837" s="1076"/>
      <c r="M837" s="1245"/>
      <c r="N837" s="1123"/>
      <c r="O837" s="1119"/>
      <c r="P837" s="1119"/>
      <c r="Q837" s="1119"/>
      <c r="R837" s="1171"/>
      <c r="S837" s="1119"/>
      <c r="T837" s="1119"/>
      <c r="U837" s="1119"/>
      <c r="V837" s="1119"/>
      <c r="W837" s="1119"/>
      <c r="X837" s="1076"/>
      <c r="Y837" s="108" t="s">
        <v>1273</v>
      </c>
      <c r="Z837" s="109">
        <v>61288193.130000003</v>
      </c>
      <c r="AA837" s="109">
        <v>-24515277.25</v>
      </c>
      <c r="AB837" s="109">
        <f t="shared" si="60"/>
        <v>36772915.880000003</v>
      </c>
      <c r="AC837" s="97"/>
      <c r="AD837" s="119">
        <f>AB837</f>
        <v>36772915.880000003</v>
      </c>
      <c r="AE837" s="119" t="s">
        <v>7</v>
      </c>
      <c r="AF837" s="1084"/>
      <c r="AG837" s="1215"/>
      <c r="AH837" s="111">
        <f t="shared" si="61"/>
        <v>0</v>
      </c>
      <c r="AI837" s="1084"/>
      <c r="AJ837" s="1084"/>
      <c r="AK837" s="1084"/>
      <c r="AL837" s="1084"/>
      <c r="AM837" s="1084"/>
      <c r="AN837" s="1149"/>
      <c r="AO837" s="1149"/>
      <c r="AQ837" s="934"/>
    </row>
    <row r="838" spans="1:43" s="4" customFormat="1" ht="15" customHeight="1">
      <c r="A838" s="1214"/>
      <c r="B838" s="1171"/>
      <c r="C838" s="1076"/>
      <c r="D838" s="1076"/>
      <c r="E838" s="1208"/>
      <c r="F838" s="1208"/>
      <c r="G838" s="1076"/>
      <c r="H838" s="1076"/>
      <c r="I838" s="1076"/>
      <c r="J838" s="1076"/>
      <c r="K838" s="1076"/>
      <c r="L838" s="1076"/>
      <c r="M838" s="1245"/>
      <c r="N838" s="1123"/>
      <c r="O838" s="1119"/>
      <c r="P838" s="1119"/>
      <c r="Q838" s="1119"/>
      <c r="R838" s="1171"/>
      <c r="S838" s="1119"/>
      <c r="T838" s="1119"/>
      <c r="U838" s="1119"/>
      <c r="V838" s="1119"/>
      <c r="W838" s="1119"/>
      <c r="X838" s="1076"/>
      <c r="Y838" s="108" t="s">
        <v>1274</v>
      </c>
      <c r="Z838" s="109">
        <v>8891805.8699999992</v>
      </c>
      <c r="AA838" s="109">
        <v>-3556722.75</v>
      </c>
      <c r="AB838" s="109">
        <f t="shared" si="60"/>
        <v>5335083.1199999992</v>
      </c>
      <c r="AC838" s="97">
        <v>41862</v>
      </c>
      <c r="AD838" s="119">
        <f>AB838</f>
        <v>5335083.1199999992</v>
      </c>
      <c r="AE838" s="119" t="s">
        <v>7</v>
      </c>
      <c r="AF838" s="1084"/>
      <c r="AG838" s="1215"/>
      <c r="AH838" s="111">
        <f t="shared" si="61"/>
        <v>0</v>
      </c>
      <c r="AI838" s="1084"/>
      <c r="AJ838" s="1084"/>
      <c r="AK838" s="1084"/>
      <c r="AL838" s="1084"/>
      <c r="AM838" s="1084"/>
      <c r="AN838" s="1149"/>
      <c r="AO838" s="1149"/>
      <c r="AQ838" s="934"/>
    </row>
    <row r="839" spans="1:43" ht="15" customHeight="1">
      <c r="A839" s="1075" t="s">
        <v>1278</v>
      </c>
      <c r="B839" s="1171">
        <v>40889</v>
      </c>
      <c r="C839" s="1076" t="s">
        <v>42</v>
      </c>
      <c r="D839" s="1076" t="s">
        <v>1279</v>
      </c>
      <c r="E839" s="1208">
        <v>900262339</v>
      </c>
      <c r="F839" s="1208">
        <v>1</v>
      </c>
      <c r="G839" s="1076" t="s">
        <v>2803</v>
      </c>
      <c r="H839" s="1076" t="s">
        <v>72</v>
      </c>
      <c r="I839" s="1076" t="s">
        <v>177</v>
      </c>
      <c r="J839" s="1076" t="s">
        <v>489</v>
      </c>
      <c r="K839" s="1076" t="s">
        <v>50</v>
      </c>
      <c r="L839" s="1076" t="s">
        <v>1284</v>
      </c>
      <c r="M839" s="1360">
        <v>174</v>
      </c>
      <c r="N839" s="1123" t="s">
        <v>7</v>
      </c>
      <c r="O839" s="1119">
        <v>90000000</v>
      </c>
      <c r="P839" s="1119">
        <v>90000000</v>
      </c>
      <c r="Q839" s="1119">
        <v>90000000</v>
      </c>
      <c r="R839" s="1171">
        <v>40745</v>
      </c>
      <c r="S839" s="1196"/>
      <c r="T839" s="1196"/>
      <c r="U839" s="1196"/>
      <c r="V839" s="1119">
        <v>60027680</v>
      </c>
      <c r="W839" s="1119">
        <v>90000000</v>
      </c>
      <c r="X839" s="1076" t="s">
        <v>1271</v>
      </c>
      <c r="Y839" s="108" t="s">
        <v>1214</v>
      </c>
      <c r="Z839" s="109">
        <v>0</v>
      </c>
      <c r="AA839" s="109">
        <f>V839*40%</f>
        <v>24011072</v>
      </c>
      <c r="AB839" s="109">
        <f t="shared" si="60"/>
        <v>24011072</v>
      </c>
      <c r="AC839" s="97">
        <v>41038</v>
      </c>
      <c r="AD839" s="119">
        <v>24011072</v>
      </c>
      <c r="AE839" s="119" t="s">
        <v>7</v>
      </c>
      <c r="AF839" s="1084">
        <f>SUM(AD839:AD843)</f>
        <v>90000000.379999995</v>
      </c>
      <c r="AG839" s="1084">
        <f>AF839</f>
        <v>90000000.379999995</v>
      </c>
      <c r="AH839" s="111">
        <f t="shared" si="61"/>
        <v>0</v>
      </c>
      <c r="AI839" s="1084">
        <f>O839-SUM(AD839:AD843)</f>
        <v>-0.37999999523162842</v>
      </c>
      <c r="AJ839" s="1119">
        <f>SUM(Z839:Z843)-SUM(AD839:AD843)</f>
        <v>-0.37999999523162842</v>
      </c>
      <c r="AK839" s="1119">
        <f>P839-V839-V842</f>
        <v>0</v>
      </c>
      <c r="AL839" s="1119">
        <f>SUM(V839:V843)-SUM(Z839:Z843)</f>
        <v>0</v>
      </c>
      <c r="AM839" s="1119">
        <f>AK839+AL839</f>
        <v>0</v>
      </c>
      <c r="AN839" s="1203" t="s">
        <v>1285</v>
      </c>
      <c r="AO839" s="1203" t="s">
        <v>1286</v>
      </c>
      <c r="AP839" s="1074" t="s">
        <v>2504</v>
      </c>
    </row>
    <row r="840" spans="1:43" ht="15" customHeight="1">
      <c r="A840" s="1075"/>
      <c r="B840" s="1171"/>
      <c r="C840" s="1076"/>
      <c r="D840" s="1076"/>
      <c r="E840" s="1208"/>
      <c r="F840" s="1208"/>
      <c r="G840" s="1076"/>
      <c r="H840" s="1076"/>
      <c r="I840" s="1076"/>
      <c r="J840" s="1076"/>
      <c r="K840" s="1076"/>
      <c r="L840" s="1076"/>
      <c r="M840" s="1360"/>
      <c r="N840" s="1123"/>
      <c r="O840" s="1119"/>
      <c r="P840" s="1119"/>
      <c r="Q840" s="1119"/>
      <c r="R840" s="1171"/>
      <c r="S840" s="1196"/>
      <c r="T840" s="1196"/>
      <c r="U840" s="1196"/>
      <c r="V840" s="1119"/>
      <c r="W840" s="1119"/>
      <c r="X840" s="1076"/>
      <c r="Y840" s="108" t="s">
        <v>1281</v>
      </c>
      <c r="Z840" s="109">
        <v>36244713.18</v>
      </c>
      <c r="AA840" s="109">
        <v>-14497885.27</v>
      </c>
      <c r="AB840" s="109">
        <f t="shared" si="60"/>
        <v>21746827.91</v>
      </c>
      <c r="AC840" s="97">
        <v>41271</v>
      </c>
      <c r="AD840" s="119">
        <v>21746827.91</v>
      </c>
      <c r="AE840" s="119" t="s">
        <v>7</v>
      </c>
      <c r="AF840" s="1084"/>
      <c r="AG840" s="1084"/>
      <c r="AH840" s="111">
        <f t="shared" si="61"/>
        <v>0</v>
      </c>
      <c r="AI840" s="1084"/>
      <c r="AJ840" s="1119"/>
      <c r="AK840" s="1119"/>
      <c r="AL840" s="1119"/>
      <c r="AM840" s="1119"/>
      <c r="AN840" s="1203"/>
      <c r="AO840" s="1203"/>
      <c r="AP840" s="1074"/>
    </row>
    <row r="841" spans="1:43" ht="15" customHeight="1">
      <c r="A841" s="1075"/>
      <c r="B841" s="1171"/>
      <c r="C841" s="1076"/>
      <c r="D841" s="1076"/>
      <c r="E841" s="1208"/>
      <c r="F841" s="1208"/>
      <c r="G841" s="1076"/>
      <c r="H841" s="1076"/>
      <c r="I841" s="1076"/>
      <c r="J841" s="1076"/>
      <c r="K841" s="1076"/>
      <c r="L841" s="1076"/>
      <c r="M841" s="1360"/>
      <c r="N841" s="1123"/>
      <c r="O841" s="1119"/>
      <c r="P841" s="1119"/>
      <c r="Q841" s="1119"/>
      <c r="R841" s="1171"/>
      <c r="S841" s="1196"/>
      <c r="T841" s="1196"/>
      <c r="U841" s="1196"/>
      <c r="V841" s="1119"/>
      <c r="W841" s="1119"/>
      <c r="X841" s="1076"/>
      <c r="Y841" s="1123" t="s">
        <v>1282</v>
      </c>
      <c r="Z841" s="1119">
        <v>44755286.82</v>
      </c>
      <c r="AA841" s="1119">
        <v>-7112079.5300000003</v>
      </c>
      <c r="AB841" s="1119">
        <f t="shared" si="60"/>
        <v>37643207.289999999</v>
      </c>
      <c r="AC841" s="1171">
        <v>41424</v>
      </c>
      <c r="AD841" s="1006">
        <v>23373427.199999999</v>
      </c>
      <c r="AE841" s="119" t="s">
        <v>7</v>
      </c>
      <c r="AF841" s="1084"/>
      <c r="AG841" s="1084"/>
      <c r="AH841" s="111">
        <f t="shared" si="61"/>
        <v>14269780.09</v>
      </c>
      <c r="AI841" s="1084"/>
      <c r="AJ841" s="1119"/>
      <c r="AK841" s="1119"/>
      <c r="AL841" s="1119"/>
      <c r="AM841" s="1119"/>
      <c r="AN841" s="1203"/>
      <c r="AO841" s="1203"/>
      <c r="AP841" s="1074"/>
    </row>
    <row r="842" spans="1:43" ht="15" customHeight="1">
      <c r="A842" s="1075"/>
      <c r="B842" s="1171"/>
      <c r="C842" s="1076"/>
      <c r="D842" s="1076"/>
      <c r="E842" s="1208"/>
      <c r="F842" s="1208"/>
      <c r="G842" s="1076"/>
      <c r="H842" s="1076"/>
      <c r="I842" s="1076"/>
      <c r="J842" s="1076" t="s">
        <v>67</v>
      </c>
      <c r="K842" s="1076"/>
      <c r="L842" s="1076"/>
      <c r="M842" s="1360"/>
      <c r="N842" s="1123"/>
      <c r="O842" s="1119"/>
      <c r="P842" s="1119"/>
      <c r="Q842" s="1119"/>
      <c r="R842" s="1171"/>
      <c r="S842" s="1196"/>
      <c r="T842" s="1196"/>
      <c r="U842" s="1196"/>
      <c r="V842" s="1119">
        <v>29972320</v>
      </c>
      <c r="W842" s="1119"/>
      <c r="X842" s="1076"/>
      <c r="Y842" s="1123"/>
      <c r="Z842" s="1119"/>
      <c r="AA842" s="1119"/>
      <c r="AB842" s="1119"/>
      <c r="AC842" s="1171"/>
      <c r="AD842" s="200">
        <v>14269780.470000001</v>
      </c>
      <c r="AE842" s="119" t="s">
        <v>7</v>
      </c>
      <c r="AF842" s="1084"/>
      <c r="AG842" s="1084"/>
      <c r="AH842" s="111">
        <f t="shared" si="61"/>
        <v>-14269780.470000001</v>
      </c>
      <c r="AI842" s="1084"/>
      <c r="AJ842" s="1119"/>
      <c r="AK842" s="1119"/>
      <c r="AL842" s="1119"/>
      <c r="AM842" s="1119"/>
      <c r="AN842" s="1203"/>
      <c r="AO842" s="1203"/>
      <c r="AP842" s="1074"/>
    </row>
    <row r="843" spans="1:43" ht="15" customHeight="1">
      <c r="A843" s="1075"/>
      <c r="B843" s="1171"/>
      <c r="C843" s="1076"/>
      <c r="D843" s="1076"/>
      <c r="E843" s="1208"/>
      <c r="F843" s="1208"/>
      <c r="G843" s="1076"/>
      <c r="H843" s="1076"/>
      <c r="I843" s="1076"/>
      <c r="J843" s="1076"/>
      <c r="K843" s="1076"/>
      <c r="L843" s="1076"/>
      <c r="M843" s="1360"/>
      <c r="N843" s="1123"/>
      <c r="O843" s="1119"/>
      <c r="P843" s="1119"/>
      <c r="Q843" s="1119"/>
      <c r="R843" s="1171"/>
      <c r="S843" s="1196"/>
      <c r="T843" s="1196"/>
      <c r="U843" s="1196"/>
      <c r="V843" s="1119"/>
      <c r="W843" s="1119"/>
      <c r="X843" s="1076"/>
      <c r="Y843" s="108" t="s">
        <v>1283</v>
      </c>
      <c r="Z843" s="109">
        <v>9000000</v>
      </c>
      <c r="AA843" s="109">
        <v>-2401107.2000000002</v>
      </c>
      <c r="AB843" s="109">
        <f t="shared" ref="AB843:AB853" si="62">Z843+AA843</f>
        <v>6598892.7999999998</v>
      </c>
      <c r="AC843" s="97">
        <v>40482</v>
      </c>
      <c r="AD843" s="119">
        <f>+AB843</f>
        <v>6598892.7999999998</v>
      </c>
      <c r="AE843" s="119"/>
      <c r="AF843" s="1084"/>
      <c r="AG843" s="1084"/>
      <c r="AH843" s="111">
        <f t="shared" si="61"/>
        <v>0</v>
      </c>
      <c r="AI843" s="1084"/>
      <c r="AJ843" s="1119"/>
      <c r="AK843" s="1119"/>
      <c r="AL843" s="1119"/>
      <c r="AM843" s="1119"/>
      <c r="AN843" s="1203"/>
      <c r="AO843" s="1203"/>
      <c r="AP843" s="1074"/>
    </row>
    <row r="844" spans="1:43" ht="15" customHeight="1">
      <c r="A844" s="1075" t="s">
        <v>1287</v>
      </c>
      <c r="B844" s="1171">
        <v>40889</v>
      </c>
      <c r="C844" s="1076" t="s">
        <v>42</v>
      </c>
      <c r="D844" s="1076" t="s">
        <v>1279</v>
      </c>
      <c r="E844" s="1208">
        <v>900262339</v>
      </c>
      <c r="F844" s="1208">
        <v>1</v>
      </c>
      <c r="G844" s="1076" t="s">
        <v>2804</v>
      </c>
      <c r="H844" s="1076" t="s">
        <v>72</v>
      </c>
      <c r="I844" s="1076" t="s">
        <v>206</v>
      </c>
      <c r="J844" s="1076" t="s">
        <v>66</v>
      </c>
      <c r="K844" s="1076" t="s">
        <v>49</v>
      </c>
      <c r="L844" s="1076" t="s">
        <v>1290</v>
      </c>
      <c r="M844" s="1245">
        <v>174</v>
      </c>
      <c r="N844" s="1123" t="s">
        <v>7</v>
      </c>
      <c r="O844" s="1119">
        <v>47120360</v>
      </c>
      <c r="P844" s="1119">
        <v>47120360</v>
      </c>
      <c r="Q844" s="1119">
        <v>47120360</v>
      </c>
      <c r="R844" s="1171">
        <v>40745</v>
      </c>
      <c r="S844" s="1196"/>
      <c r="T844" s="1119"/>
      <c r="U844" s="1119"/>
      <c r="V844" s="1119">
        <v>47120360</v>
      </c>
      <c r="W844" s="1119">
        <v>47120360</v>
      </c>
      <c r="X844" s="1076" t="s">
        <v>1289</v>
      </c>
      <c r="Y844" s="108" t="s">
        <v>1291</v>
      </c>
      <c r="Z844" s="109">
        <v>0</v>
      </c>
      <c r="AA844" s="109">
        <v>18848144</v>
      </c>
      <c r="AB844" s="109">
        <f t="shared" si="62"/>
        <v>18848144</v>
      </c>
      <c r="AC844" s="97">
        <v>41038</v>
      </c>
      <c r="AD844" s="200">
        <v>18848144</v>
      </c>
      <c r="AE844" s="119" t="s">
        <v>7</v>
      </c>
      <c r="AF844" s="1084">
        <f>SUM(AD844:AD847)</f>
        <v>44293138.399999999</v>
      </c>
      <c r="AG844" s="1084">
        <f>AF844</f>
        <v>44293138.399999999</v>
      </c>
      <c r="AH844" s="111">
        <f t="shared" si="61"/>
        <v>0</v>
      </c>
      <c r="AI844" s="1084">
        <f>P844-SUM(AD844:AD847)</f>
        <v>2827221.6000000015</v>
      </c>
      <c r="AJ844" s="1119">
        <f>SUM(Z844:Z847)-SUM(AD844:AD847)</f>
        <v>-1884814.3999999985</v>
      </c>
      <c r="AK844" s="1119">
        <f>P844-V844</f>
        <v>0</v>
      </c>
      <c r="AL844" s="1119">
        <f>V844-SUM(Z844:Z847)+AJ844</f>
        <v>2827221.6000000015</v>
      </c>
      <c r="AM844" s="1119"/>
      <c r="AN844" s="1203" t="s">
        <v>1294</v>
      </c>
      <c r="AO844" s="1204" t="s">
        <v>1295</v>
      </c>
    </row>
    <row r="845" spans="1:43" ht="15" customHeight="1">
      <c r="A845" s="1075"/>
      <c r="B845" s="1171"/>
      <c r="C845" s="1076"/>
      <c r="D845" s="1076"/>
      <c r="E845" s="1208"/>
      <c r="F845" s="1208"/>
      <c r="G845" s="1076"/>
      <c r="H845" s="1076"/>
      <c r="I845" s="1076"/>
      <c r="J845" s="1076"/>
      <c r="K845" s="1076"/>
      <c r="L845" s="1076"/>
      <c r="M845" s="1245"/>
      <c r="N845" s="1123"/>
      <c r="O845" s="1119"/>
      <c r="P845" s="1119"/>
      <c r="Q845" s="1119"/>
      <c r="R845" s="1171"/>
      <c r="S845" s="1196"/>
      <c r="T845" s="1119"/>
      <c r="U845" s="1119"/>
      <c r="V845" s="1119"/>
      <c r="W845" s="1119"/>
      <c r="X845" s="1076"/>
      <c r="Y845" s="108" t="s">
        <v>1292</v>
      </c>
      <c r="Z845" s="109">
        <v>26048135.010000002</v>
      </c>
      <c r="AA845" s="109">
        <v>-10419254</v>
      </c>
      <c r="AB845" s="109">
        <f t="shared" si="62"/>
        <v>15628881.010000002</v>
      </c>
      <c r="AC845" s="97">
        <v>41255</v>
      </c>
      <c r="AD845" s="200">
        <v>15628881.01</v>
      </c>
      <c r="AE845" s="119" t="s">
        <v>7</v>
      </c>
      <c r="AF845" s="1084"/>
      <c r="AG845" s="1084"/>
      <c r="AH845" s="111">
        <f t="shared" si="61"/>
        <v>0</v>
      </c>
      <c r="AI845" s="1084"/>
      <c r="AJ845" s="1119"/>
      <c r="AK845" s="1119"/>
      <c r="AL845" s="1119"/>
      <c r="AM845" s="1119"/>
      <c r="AN845" s="1203"/>
      <c r="AO845" s="1204"/>
    </row>
    <row r="846" spans="1:43" ht="15" customHeight="1">
      <c r="A846" s="1075"/>
      <c r="B846" s="1171"/>
      <c r="C846" s="1076"/>
      <c r="D846" s="1076"/>
      <c r="E846" s="1208"/>
      <c r="F846" s="1208"/>
      <c r="G846" s="1076"/>
      <c r="H846" s="1076"/>
      <c r="I846" s="1076"/>
      <c r="J846" s="1076"/>
      <c r="K846" s="1076"/>
      <c r="L846" s="1076"/>
      <c r="M846" s="1245"/>
      <c r="N846" s="1123"/>
      <c r="O846" s="1119"/>
      <c r="P846" s="1119"/>
      <c r="Q846" s="1119"/>
      <c r="R846" s="1171"/>
      <c r="S846" s="1196"/>
      <c r="T846" s="1119"/>
      <c r="U846" s="1119"/>
      <c r="V846" s="1119"/>
      <c r="W846" s="1119"/>
      <c r="X846" s="1076"/>
      <c r="Y846" s="108" t="s">
        <v>1293</v>
      </c>
      <c r="Z846" s="109">
        <v>16360188.99</v>
      </c>
      <c r="AA846" s="109">
        <v>-6544075.5999999996</v>
      </c>
      <c r="AB846" s="109">
        <f t="shared" si="62"/>
        <v>9816113.3900000006</v>
      </c>
      <c r="AC846" s="97">
        <v>41682</v>
      </c>
      <c r="AD846" s="200">
        <v>9816113.3900000006</v>
      </c>
      <c r="AE846" s="119" t="s">
        <v>7</v>
      </c>
      <c r="AF846" s="1084"/>
      <c r="AG846" s="1084"/>
      <c r="AH846" s="111">
        <f t="shared" si="61"/>
        <v>0</v>
      </c>
      <c r="AI846" s="1084"/>
      <c r="AJ846" s="1119"/>
      <c r="AK846" s="1119"/>
      <c r="AL846" s="1119"/>
      <c r="AM846" s="1119"/>
      <c r="AN846" s="1203"/>
      <c r="AO846" s="1204"/>
    </row>
    <row r="847" spans="1:43" ht="15" customHeight="1">
      <c r="A847" s="1075"/>
      <c r="B847" s="1171"/>
      <c r="C847" s="1076"/>
      <c r="D847" s="1076"/>
      <c r="E847" s="1208"/>
      <c r="F847" s="1208"/>
      <c r="G847" s="1076"/>
      <c r="H847" s="1076"/>
      <c r="I847" s="1076"/>
      <c r="J847" s="1076"/>
      <c r="K847" s="1076"/>
      <c r="L847" s="1076"/>
      <c r="M847" s="1245"/>
      <c r="N847" s="1123"/>
      <c r="O847" s="1119"/>
      <c r="P847" s="1119"/>
      <c r="Q847" s="1119"/>
      <c r="R847" s="1171"/>
      <c r="S847" s="1196"/>
      <c r="T847" s="1119"/>
      <c r="U847" s="1119"/>
      <c r="V847" s="1119"/>
      <c r="W847" s="1119"/>
      <c r="X847" s="1076"/>
      <c r="Y847" s="108"/>
      <c r="Z847" s="109"/>
      <c r="AA847" s="109"/>
      <c r="AB847" s="109">
        <f t="shared" si="62"/>
        <v>0</v>
      </c>
      <c r="AC847" s="97"/>
      <c r="AD847" s="119"/>
      <c r="AE847" s="119"/>
      <c r="AF847" s="1084"/>
      <c r="AG847" s="1084"/>
      <c r="AH847" s="111">
        <f t="shared" si="61"/>
        <v>0</v>
      </c>
      <c r="AI847" s="1084"/>
      <c r="AJ847" s="1119"/>
      <c r="AK847" s="1119"/>
      <c r="AL847" s="1119"/>
      <c r="AM847" s="1119"/>
      <c r="AN847" s="1203"/>
      <c r="AO847" s="1204"/>
    </row>
    <row r="848" spans="1:43" ht="15" customHeight="1">
      <c r="A848" s="1075" t="s">
        <v>1296</v>
      </c>
      <c r="B848" s="1171">
        <v>40889</v>
      </c>
      <c r="C848" s="1076" t="s">
        <v>1297</v>
      </c>
      <c r="D848" s="1076" t="s">
        <v>1253</v>
      </c>
      <c r="E848" s="1208">
        <v>900485124</v>
      </c>
      <c r="F848" s="1208">
        <v>0</v>
      </c>
      <c r="G848" s="1076" t="s">
        <v>2805</v>
      </c>
      <c r="H848" s="1076" t="s">
        <v>72</v>
      </c>
      <c r="I848" s="1076" t="s">
        <v>206</v>
      </c>
      <c r="J848" s="1076" t="s">
        <v>66</v>
      </c>
      <c r="K848" s="1076" t="s">
        <v>50</v>
      </c>
      <c r="L848" s="1076" t="s">
        <v>1302</v>
      </c>
      <c r="M848" s="1245">
        <v>174</v>
      </c>
      <c r="N848" s="1123" t="s">
        <v>7</v>
      </c>
      <c r="O848" s="1119">
        <v>68874999</v>
      </c>
      <c r="P848" s="1119">
        <v>68874999</v>
      </c>
      <c r="Q848" s="1119">
        <v>68874999</v>
      </c>
      <c r="R848" s="1171">
        <v>40745</v>
      </c>
      <c r="S848" s="1196"/>
      <c r="T848" s="1196"/>
      <c r="U848" s="1196"/>
      <c r="V848" s="1119">
        <v>68874999</v>
      </c>
      <c r="W848" s="1119">
        <v>68874999</v>
      </c>
      <c r="X848" s="1076" t="s">
        <v>1271</v>
      </c>
      <c r="Y848" s="108" t="s">
        <v>1299</v>
      </c>
      <c r="Z848" s="109">
        <v>0</v>
      </c>
      <c r="AA848" s="109">
        <v>27550000</v>
      </c>
      <c r="AB848" s="109">
        <f t="shared" si="62"/>
        <v>27550000</v>
      </c>
      <c r="AC848" s="97">
        <v>41068</v>
      </c>
      <c r="AD848" s="119">
        <v>27550000</v>
      </c>
      <c r="AE848" s="119" t="s">
        <v>7</v>
      </c>
      <c r="AF848" s="1084">
        <f>SUM(AD848:AD851)</f>
        <v>64742499.460000008</v>
      </c>
      <c r="AG848" s="1084">
        <f>AF848</f>
        <v>64742499.460000008</v>
      </c>
      <c r="AH848" s="111">
        <f t="shared" si="61"/>
        <v>0</v>
      </c>
      <c r="AI848" s="1084">
        <f>P848-SUM(AD848:AD851)</f>
        <v>4132499.5399999917</v>
      </c>
      <c r="AJ848" s="1119">
        <f>SUM(Z848:Z851)-SUM(AD848:AD851)</f>
        <v>4132499.5399999917</v>
      </c>
      <c r="AK848" s="1119">
        <f>P848-V848</f>
        <v>0</v>
      </c>
      <c r="AL848" s="1119">
        <f>V848-SUM(Z848:Z851)</f>
        <v>0</v>
      </c>
      <c r="AM848" s="1119">
        <f>AK848+AL848</f>
        <v>0</v>
      </c>
      <c r="AN848" s="1203" t="s">
        <v>1303</v>
      </c>
      <c r="AO848" s="1237" t="s">
        <v>1304</v>
      </c>
      <c r="AP848" s="1074" t="s">
        <v>2504</v>
      </c>
    </row>
    <row r="849" spans="1:43" ht="15" customHeight="1">
      <c r="A849" s="1075"/>
      <c r="B849" s="1171"/>
      <c r="C849" s="1076"/>
      <c r="D849" s="1076"/>
      <c r="E849" s="1208"/>
      <c r="F849" s="1208"/>
      <c r="G849" s="1076"/>
      <c r="H849" s="1076"/>
      <c r="I849" s="1076"/>
      <c r="J849" s="1076"/>
      <c r="K849" s="1076"/>
      <c r="L849" s="1076"/>
      <c r="M849" s="1245"/>
      <c r="N849" s="1123"/>
      <c r="O849" s="1119"/>
      <c r="P849" s="1119"/>
      <c r="Q849" s="1119"/>
      <c r="R849" s="1171"/>
      <c r="S849" s="1196"/>
      <c r="T849" s="1196"/>
      <c r="U849" s="1196"/>
      <c r="V849" s="1119"/>
      <c r="W849" s="1119"/>
      <c r="X849" s="1076"/>
      <c r="Y849" s="108" t="s">
        <v>1300</v>
      </c>
      <c r="Z849" s="109">
        <v>44045561.859999999</v>
      </c>
      <c r="AA849" s="109">
        <v>-17618224.739999998</v>
      </c>
      <c r="AB849" s="109">
        <f t="shared" si="62"/>
        <v>26427337.120000001</v>
      </c>
      <c r="AC849" s="97">
        <v>41598</v>
      </c>
      <c r="AD849" s="200">
        <v>26427337.120000001</v>
      </c>
      <c r="AE849" s="119" t="s">
        <v>7</v>
      </c>
      <c r="AF849" s="1084"/>
      <c r="AG849" s="1084"/>
      <c r="AH849" s="111">
        <f t="shared" si="61"/>
        <v>0</v>
      </c>
      <c r="AI849" s="1084"/>
      <c r="AJ849" s="1119"/>
      <c r="AK849" s="1119"/>
      <c r="AL849" s="1119"/>
      <c r="AM849" s="1119"/>
      <c r="AN849" s="1203"/>
      <c r="AO849" s="1204"/>
      <c r="AP849" s="1074"/>
    </row>
    <row r="850" spans="1:43" ht="15" customHeight="1">
      <c r="A850" s="1075"/>
      <c r="B850" s="1171"/>
      <c r="C850" s="1076"/>
      <c r="D850" s="1076"/>
      <c r="E850" s="1208"/>
      <c r="F850" s="1208"/>
      <c r="G850" s="1076"/>
      <c r="H850" s="1076"/>
      <c r="I850" s="1076"/>
      <c r="J850" s="1076"/>
      <c r="K850" s="1076"/>
      <c r="L850" s="1076"/>
      <c r="M850" s="1245"/>
      <c r="N850" s="1123"/>
      <c r="O850" s="1119"/>
      <c r="P850" s="1119"/>
      <c r="Q850" s="1119"/>
      <c r="R850" s="1171"/>
      <c r="S850" s="1196"/>
      <c r="T850" s="1196"/>
      <c r="U850" s="1196"/>
      <c r="V850" s="1119"/>
      <c r="W850" s="1119"/>
      <c r="X850" s="1076"/>
      <c r="Y850" s="108" t="s">
        <v>1301</v>
      </c>
      <c r="Z850" s="109">
        <v>17941937.239999998</v>
      </c>
      <c r="AA850" s="109">
        <v>-7176774.9000000004</v>
      </c>
      <c r="AB850" s="109">
        <f t="shared" si="62"/>
        <v>10765162.339999998</v>
      </c>
      <c r="AC850" s="97">
        <v>41862</v>
      </c>
      <c r="AD850" s="119">
        <v>10765162.34</v>
      </c>
      <c r="AE850" s="119" t="s">
        <v>7</v>
      </c>
      <c r="AF850" s="1084"/>
      <c r="AG850" s="1084"/>
      <c r="AH850" s="111">
        <f t="shared" si="61"/>
        <v>0</v>
      </c>
      <c r="AI850" s="1084"/>
      <c r="AJ850" s="1119"/>
      <c r="AK850" s="1119"/>
      <c r="AL850" s="1119"/>
      <c r="AM850" s="1119"/>
      <c r="AN850" s="1203"/>
      <c r="AO850" s="1204"/>
      <c r="AP850" s="1074"/>
    </row>
    <row r="851" spans="1:43" ht="15" customHeight="1">
      <c r="A851" s="1075"/>
      <c r="B851" s="1171"/>
      <c r="C851" s="1076"/>
      <c r="D851" s="1076"/>
      <c r="E851" s="1208"/>
      <c r="F851" s="1208"/>
      <c r="G851" s="1076"/>
      <c r="H851" s="1076"/>
      <c r="I851" s="1076"/>
      <c r="J851" s="1076"/>
      <c r="K851" s="1076"/>
      <c r="L851" s="1076"/>
      <c r="M851" s="1245"/>
      <c r="N851" s="1123"/>
      <c r="O851" s="1119"/>
      <c r="P851" s="1119"/>
      <c r="Q851" s="1119"/>
      <c r="R851" s="1171"/>
      <c r="S851" s="1196"/>
      <c r="T851" s="1196"/>
      <c r="U851" s="1196"/>
      <c r="V851" s="1119"/>
      <c r="W851" s="1119"/>
      <c r="X851" s="1076"/>
      <c r="Y851" s="108" t="s">
        <v>1302</v>
      </c>
      <c r="Z851" s="109">
        <v>6887499.9000000022</v>
      </c>
      <c r="AA851" s="109">
        <v>-2755000.36</v>
      </c>
      <c r="AB851" s="109">
        <f t="shared" si="62"/>
        <v>4132499.5400000024</v>
      </c>
      <c r="AC851" s="97"/>
      <c r="AD851" s="119">
        <v>0</v>
      </c>
      <c r="AE851" s="119" t="s">
        <v>7</v>
      </c>
      <c r="AF851" s="1084"/>
      <c r="AG851" s="1084"/>
      <c r="AH851" s="111">
        <f t="shared" si="61"/>
        <v>4132499.5400000024</v>
      </c>
      <c r="AI851" s="1084"/>
      <c r="AJ851" s="1119"/>
      <c r="AK851" s="1119"/>
      <c r="AL851" s="1119"/>
      <c r="AM851" s="1119"/>
      <c r="AN851" s="1203"/>
      <c r="AO851" s="1204"/>
      <c r="AP851" s="1074"/>
    </row>
    <row r="852" spans="1:43" ht="15" customHeight="1">
      <c r="A852" s="1214" t="s">
        <v>1305</v>
      </c>
      <c r="B852" s="1171">
        <v>40889</v>
      </c>
      <c r="C852" s="1076" t="s">
        <v>33</v>
      </c>
      <c r="D852" s="1076" t="s">
        <v>1306</v>
      </c>
      <c r="E852" s="1208">
        <v>900398594</v>
      </c>
      <c r="F852" s="1208">
        <v>6</v>
      </c>
      <c r="G852" s="1076" t="s">
        <v>2806</v>
      </c>
      <c r="H852" s="1076" t="s">
        <v>72</v>
      </c>
      <c r="I852" s="1076" t="s">
        <v>206</v>
      </c>
      <c r="J852" s="1076" t="s">
        <v>66</v>
      </c>
      <c r="K852" s="1076" t="s">
        <v>49</v>
      </c>
      <c r="L852" s="1076" t="s">
        <v>1308</v>
      </c>
      <c r="M852" s="1245">
        <v>174</v>
      </c>
      <c r="N852" s="1123" t="s">
        <v>7</v>
      </c>
      <c r="O852" s="1119">
        <v>63333680</v>
      </c>
      <c r="P852" s="1119">
        <v>63333680</v>
      </c>
      <c r="Q852" s="1119">
        <v>63333680</v>
      </c>
      <c r="R852" s="1171">
        <v>40745</v>
      </c>
      <c r="S852" s="1196"/>
      <c r="T852" s="1119"/>
      <c r="U852" s="1119"/>
      <c r="V852" s="1119">
        <v>63333680</v>
      </c>
      <c r="W852" s="1119">
        <v>63333680</v>
      </c>
      <c r="X852" s="1076" t="s">
        <v>1271</v>
      </c>
      <c r="Y852" s="108" t="s">
        <v>1309</v>
      </c>
      <c r="Z852" s="109">
        <v>0</v>
      </c>
      <c r="AA852" s="109">
        <f>W852*40%</f>
        <v>25333472</v>
      </c>
      <c r="AB852" s="109">
        <f t="shared" si="62"/>
        <v>25333472</v>
      </c>
      <c r="AC852" s="97">
        <v>41037</v>
      </c>
      <c r="AD852" s="119">
        <v>25333472</v>
      </c>
      <c r="AE852" s="119" t="s">
        <v>7</v>
      </c>
      <c r="AF852" s="1084">
        <f>SUM(AD852:AD854)</f>
        <v>52074218.370000005</v>
      </c>
      <c r="AG852" s="1084">
        <f>AF852</f>
        <v>52074218.370000005</v>
      </c>
      <c r="AH852" s="111">
        <f t="shared" si="61"/>
        <v>0</v>
      </c>
      <c r="AI852" s="1084">
        <f>W852-AD852-AD853</f>
        <v>11259461.629999999</v>
      </c>
      <c r="AJ852" s="1119">
        <f>SUM(Z852:Z854)-SUM(AD852:AD854)</f>
        <v>-7506307.7500000075</v>
      </c>
      <c r="AK852" s="1119">
        <f>P852-V852</f>
        <v>0</v>
      </c>
      <c r="AL852" s="1119">
        <f>V852-SUM(Z852:Z854)+AJ852</f>
        <v>11259461.629999995</v>
      </c>
      <c r="AM852" s="1119"/>
      <c r="AN852" s="1203" t="s">
        <v>1303</v>
      </c>
      <c r="AO852" s="1237" t="s">
        <v>1519</v>
      </c>
    </row>
    <row r="853" spans="1:43" ht="15" customHeight="1">
      <c r="A853" s="1214"/>
      <c r="B853" s="1171"/>
      <c r="C853" s="1076"/>
      <c r="D853" s="1076"/>
      <c r="E853" s="1208"/>
      <c r="F853" s="1208"/>
      <c r="G853" s="1076"/>
      <c r="H853" s="1076"/>
      <c r="I853" s="1076"/>
      <c r="J853" s="1076"/>
      <c r="K853" s="1076"/>
      <c r="L853" s="1076"/>
      <c r="M853" s="1245"/>
      <c r="N853" s="1123"/>
      <c r="O853" s="1119"/>
      <c r="P853" s="1119"/>
      <c r="Q853" s="1119"/>
      <c r="R853" s="1171"/>
      <c r="S853" s="1196"/>
      <c r="T853" s="1119"/>
      <c r="U853" s="1119"/>
      <c r="V853" s="1119"/>
      <c r="W853" s="1119"/>
      <c r="X853" s="1076"/>
      <c r="Y853" s="108" t="s">
        <v>1310</v>
      </c>
      <c r="Z853" s="109">
        <v>44567910.619999997</v>
      </c>
      <c r="AA853" s="109">
        <v>-17827164.25</v>
      </c>
      <c r="AB853" s="109">
        <f t="shared" si="62"/>
        <v>26740746.369999997</v>
      </c>
      <c r="AC853" s="97">
        <v>41423</v>
      </c>
      <c r="AD853" s="119">
        <v>26740746.370000001</v>
      </c>
      <c r="AE853" s="119" t="s">
        <v>7</v>
      </c>
      <c r="AF853" s="1084"/>
      <c r="AG853" s="1084"/>
      <c r="AH853" s="111">
        <f t="shared" si="61"/>
        <v>0</v>
      </c>
      <c r="AI853" s="1084"/>
      <c r="AJ853" s="1119"/>
      <c r="AK853" s="1119"/>
      <c r="AL853" s="1119"/>
      <c r="AM853" s="1119"/>
      <c r="AN853" s="1203"/>
      <c r="AO853" s="1204"/>
    </row>
    <row r="854" spans="1:43" ht="15" customHeight="1">
      <c r="A854" s="1214"/>
      <c r="B854" s="1171"/>
      <c r="C854" s="1076"/>
      <c r="D854" s="1076"/>
      <c r="E854" s="1208"/>
      <c r="F854" s="1208"/>
      <c r="G854" s="1076"/>
      <c r="H854" s="1076"/>
      <c r="I854" s="1076"/>
      <c r="J854" s="1076"/>
      <c r="K854" s="1076"/>
      <c r="L854" s="1076"/>
      <c r="M854" s="1245"/>
      <c r="N854" s="1123"/>
      <c r="O854" s="1119"/>
      <c r="P854" s="1119"/>
      <c r="Q854" s="1119"/>
      <c r="R854" s="1171"/>
      <c r="S854" s="1196"/>
      <c r="T854" s="1119"/>
      <c r="U854" s="1119"/>
      <c r="V854" s="1119"/>
      <c r="W854" s="1119"/>
      <c r="X854" s="1076"/>
      <c r="Y854" s="108"/>
      <c r="Z854" s="109"/>
      <c r="AA854" s="109"/>
      <c r="AB854" s="109"/>
      <c r="AC854" s="97"/>
      <c r="AD854" s="119">
        <v>0</v>
      </c>
      <c r="AE854" s="119" t="s">
        <v>7</v>
      </c>
      <c r="AF854" s="1084"/>
      <c r="AG854" s="1084"/>
      <c r="AH854" s="111">
        <f t="shared" si="61"/>
        <v>0</v>
      </c>
      <c r="AI854" s="1084"/>
      <c r="AJ854" s="1119"/>
      <c r="AK854" s="1119"/>
      <c r="AL854" s="1119"/>
      <c r="AM854" s="1119"/>
      <c r="AN854" s="1203"/>
      <c r="AO854" s="1204"/>
    </row>
    <row r="855" spans="1:43" ht="15" customHeight="1">
      <c r="A855" s="1075" t="s">
        <v>1311</v>
      </c>
      <c r="B855" s="1171">
        <v>40889</v>
      </c>
      <c r="C855" s="1076" t="s">
        <v>33</v>
      </c>
      <c r="D855" s="1076" t="s">
        <v>1312</v>
      </c>
      <c r="E855" s="1208">
        <v>900484860</v>
      </c>
      <c r="F855" s="1208">
        <v>9</v>
      </c>
      <c r="G855" s="1076" t="s">
        <v>2807</v>
      </c>
      <c r="H855" s="1076" t="s">
        <v>72</v>
      </c>
      <c r="I855" s="1076" t="s">
        <v>206</v>
      </c>
      <c r="J855" s="1076" t="s">
        <v>66</v>
      </c>
      <c r="K855" s="1076" t="s">
        <v>49</v>
      </c>
      <c r="L855" s="1076" t="s">
        <v>1315</v>
      </c>
      <c r="M855" s="1245">
        <v>174</v>
      </c>
      <c r="N855" s="1123" t="s">
        <v>7</v>
      </c>
      <c r="O855" s="1119">
        <v>90044999</v>
      </c>
      <c r="P855" s="1119">
        <v>90044999</v>
      </c>
      <c r="Q855" s="1119">
        <v>90044999</v>
      </c>
      <c r="R855" s="1171">
        <v>40745</v>
      </c>
      <c r="S855" s="1196"/>
      <c r="T855" s="1119"/>
      <c r="U855" s="1119"/>
      <c r="V855" s="1119">
        <v>90044999</v>
      </c>
      <c r="W855" s="1119">
        <v>90044999</v>
      </c>
      <c r="X855" s="1076" t="s">
        <v>1271</v>
      </c>
      <c r="Y855" s="108" t="s">
        <v>1299</v>
      </c>
      <c r="Z855" s="109">
        <v>0</v>
      </c>
      <c r="AA855" s="109">
        <v>36018000</v>
      </c>
      <c r="AB855" s="109">
        <f t="shared" ref="AB855:AB876" si="63">Z855+AA855</f>
        <v>36018000</v>
      </c>
      <c r="AC855" s="97">
        <v>41065</v>
      </c>
      <c r="AD855" s="119">
        <v>36018000</v>
      </c>
      <c r="AE855" s="119" t="s">
        <v>7</v>
      </c>
      <c r="AF855" s="1084">
        <f>SUM(AD855:AD857)</f>
        <v>84642299.460000008</v>
      </c>
      <c r="AG855" s="1084">
        <f>AF855</f>
        <v>84642299.460000008</v>
      </c>
      <c r="AH855" s="111">
        <f t="shared" si="61"/>
        <v>0</v>
      </c>
      <c r="AI855" s="1084">
        <f>P855-SUM(AD855:AD857)</f>
        <v>5402699.5399999917</v>
      </c>
      <c r="AJ855" s="1119">
        <f>SUM(Z855:Z857)-SUM(AD855:AD857)</f>
        <v>-3601800.3600000143</v>
      </c>
      <c r="AK855" s="1119">
        <f>P855-V855</f>
        <v>0</v>
      </c>
      <c r="AL855" s="1119">
        <f>V855-SUM(Z855:Z857)+AJ855</f>
        <v>5402699.5399999917</v>
      </c>
      <c r="AM855" s="1119"/>
      <c r="AN855" s="1203" t="s">
        <v>1303</v>
      </c>
      <c r="AO855" s="1204" t="s">
        <v>1316</v>
      </c>
    </row>
    <row r="856" spans="1:43" ht="15" customHeight="1">
      <c r="A856" s="1075"/>
      <c r="B856" s="1171"/>
      <c r="C856" s="1076"/>
      <c r="D856" s="1076"/>
      <c r="E856" s="1208"/>
      <c r="F856" s="1208"/>
      <c r="G856" s="1076"/>
      <c r="H856" s="1076"/>
      <c r="I856" s="1076"/>
      <c r="J856" s="1076"/>
      <c r="K856" s="1076"/>
      <c r="L856" s="1076"/>
      <c r="M856" s="1245"/>
      <c r="N856" s="1123"/>
      <c r="O856" s="1119"/>
      <c r="P856" s="1119"/>
      <c r="Q856" s="1119"/>
      <c r="R856" s="1171"/>
      <c r="S856" s="1196"/>
      <c r="T856" s="1119"/>
      <c r="U856" s="1119"/>
      <c r="V856" s="1119"/>
      <c r="W856" s="1119"/>
      <c r="X856" s="1076"/>
      <c r="Y856" s="108" t="s">
        <v>1314</v>
      </c>
      <c r="Z856" s="109">
        <v>81040499.099999994</v>
      </c>
      <c r="AA856" s="109">
        <v>-32416199.640000001</v>
      </c>
      <c r="AB856" s="109">
        <f t="shared" si="63"/>
        <v>48624299.459999993</v>
      </c>
      <c r="AC856" s="97">
        <v>41904</v>
      </c>
      <c r="AD856" s="200">
        <v>48624299.460000001</v>
      </c>
      <c r="AE856" s="119" t="s">
        <v>7</v>
      </c>
      <c r="AF856" s="1084"/>
      <c r="AG856" s="1084"/>
      <c r="AH856" s="111">
        <f t="shared" si="61"/>
        <v>0</v>
      </c>
      <c r="AI856" s="1084"/>
      <c r="AJ856" s="1119"/>
      <c r="AK856" s="1119"/>
      <c r="AL856" s="1119"/>
      <c r="AM856" s="1119"/>
      <c r="AN856" s="1203"/>
      <c r="AO856" s="1204"/>
    </row>
    <row r="857" spans="1:43" ht="15" customHeight="1">
      <c r="A857" s="1075"/>
      <c r="B857" s="1171"/>
      <c r="C857" s="1076"/>
      <c r="D857" s="1076"/>
      <c r="E857" s="1208"/>
      <c r="F857" s="1208"/>
      <c r="G857" s="1076"/>
      <c r="H857" s="1076"/>
      <c r="I857" s="1076"/>
      <c r="J857" s="1076"/>
      <c r="K857" s="1076"/>
      <c r="L857" s="1076"/>
      <c r="M857" s="1245"/>
      <c r="N857" s="1123"/>
      <c r="O857" s="1119"/>
      <c r="P857" s="1119"/>
      <c r="Q857" s="1119"/>
      <c r="R857" s="1171"/>
      <c r="S857" s="1196"/>
      <c r="T857" s="1119"/>
      <c r="U857" s="1119"/>
      <c r="V857" s="1119"/>
      <c r="W857" s="1119"/>
      <c r="X857" s="1076"/>
      <c r="Y857" s="108"/>
      <c r="Z857" s="109"/>
      <c r="AA857" s="109"/>
      <c r="AB857" s="109">
        <f t="shared" si="63"/>
        <v>0</v>
      </c>
      <c r="AC857" s="97"/>
      <c r="AD857" s="119">
        <v>0</v>
      </c>
      <c r="AE857" s="119" t="s">
        <v>7</v>
      </c>
      <c r="AF857" s="1084"/>
      <c r="AG857" s="1084"/>
      <c r="AH857" s="111">
        <f t="shared" si="61"/>
        <v>0</v>
      </c>
      <c r="AI857" s="1084"/>
      <c r="AJ857" s="1119"/>
      <c r="AK857" s="1119"/>
      <c r="AL857" s="1119"/>
      <c r="AM857" s="1119"/>
      <c r="AN857" s="1203"/>
      <c r="AO857" s="1204"/>
    </row>
    <row r="858" spans="1:43" ht="15" customHeight="1">
      <c r="A858" s="1214" t="s">
        <v>1317</v>
      </c>
      <c r="B858" s="1171">
        <v>40889</v>
      </c>
      <c r="C858" s="1076" t="s">
        <v>34</v>
      </c>
      <c r="D858" s="1076" t="s">
        <v>1279</v>
      </c>
      <c r="E858" s="1208">
        <v>900262339</v>
      </c>
      <c r="F858" s="1208">
        <v>1</v>
      </c>
      <c r="G858" s="1076" t="s">
        <v>2808</v>
      </c>
      <c r="H858" s="1076" t="s">
        <v>72</v>
      </c>
      <c r="I858" s="1076" t="s">
        <v>177</v>
      </c>
      <c r="J858" s="1076" t="s">
        <v>489</v>
      </c>
      <c r="K858" s="1076" t="s">
        <v>49</v>
      </c>
      <c r="L858" s="1076" t="s">
        <v>1319</v>
      </c>
      <c r="M858" s="1245">
        <v>174</v>
      </c>
      <c r="N858" s="1123" t="s">
        <v>7</v>
      </c>
      <c r="O858" s="1119">
        <v>42229104</v>
      </c>
      <c r="P858" s="1119">
        <v>42229104</v>
      </c>
      <c r="Q858" s="1119">
        <v>42229104</v>
      </c>
      <c r="R858" s="1171">
        <v>40745</v>
      </c>
      <c r="S858" s="1196"/>
      <c r="T858" s="1119"/>
      <c r="U858" s="1119"/>
      <c r="V858" s="1119">
        <v>42229104</v>
      </c>
      <c r="W858" s="1119">
        <v>42229104</v>
      </c>
      <c r="X858" s="1076" t="s">
        <v>1271</v>
      </c>
      <c r="Y858" s="108" t="s">
        <v>1320</v>
      </c>
      <c r="Z858" s="109">
        <v>0</v>
      </c>
      <c r="AA858" s="109">
        <v>16891641.600000001</v>
      </c>
      <c r="AB858" s="109">
        <f t="shared" si="63"/>
        <v>16891641.600000001</v>
      </c>
      <c r="AC858" s="97">
        <v>41040</v>
      </c>
      <c r="AD858" s="119">
        <v>16891642</v>
      </c>
      <c r="AE858" s="119" t="s">
        <v>7</v>
      </c>
      <c r="AF858" s="1084">
        <f>SUM(AD858:AD860)</f>
        <v>16891642</v>
      </c>
      <c r="AG858" s="1084">
        <f>AF858</f>
        <v>16891642</v>
      </c>
      <c r="AH858" s="111">
        <f t="shared" si="61"/>
        <v>-0.39999999850988388</v>
      </c>
      <c r="AI858" s="1084">
        <f>O858-SUM(AD858:AD860)</f>
        <v>25337462</v>
      </c>
      <c r="AJ858" s="1119">
        <f>SUM(Z858:Z860)-SUM(AD858:AD860)</f>
        <v>-16891642</v>
      </c>
      <c r="AK858" s="1119">
        <f>P858-V858</f>
        <v>0</v>
      </c>
      <c r="AL858" s="1119">
        <f>V858-SUM(Z858:Z860)+AJ858</f>
        <v>25337462</v>
      </c>
      <c r="AM858" s="1119"/>
      <c r="AN858" s="1203" t="s">
        <v>1321</v>
      </c>
      <c r="AO858" s="1204" t="s">
        <v>1322</v>
      </c>
    </row>
    <row r="859" spans="1:43" ht="15" customHeight="1">
      <c r="A859" s="1214"/>
      <c r="B859" s="1171"/>
      <c r="C859" s="1076"/>
      <c r="D859" s="1076"/>
      <c r="E859" s="1208"/>
      <c r="F859" s="1208"/>
      <c r="G859" s="1076"/>
      <c r="H859" s="1076"/>
      <c r="I859" s="1076"/>
      <c r="J859" s="1076"/>
      <c r="K859" s="1076"/>
      <c r="L859" s="1076"/>
      <c r="M859" s="1245"/>
      <c r="N859" s="1123"/>
      <c r="O859" s="1119"/>
      <c r="P859" s="1119"/>
      <c r="Q859" s="1119"/>
      <c r="R859" s="1171"/>
      <c r="S859" s="1196"/>
      <c r="T859" s="1119"/>
      <c r="U859" s="1119"/>
      <c r="V859" s="1119"/>
      <c r="W859" s="1119"/>
      <c r="X859" s="1076"/>
      <c r="Y859" s="108"/>
      <c r="Z859" s="109"/>
      <c r="AA859" s="109"/>
      <c r="AB859" s="109">
        <f t="shared" si="63"/>
        <v>0</v>
      </c>
      <c r="AC859" s="97"/>
      <c r="AD859" s="119"/>
      <c r="AE859" s="119"/>
      <c r="AF859" s="1084"/>
      <c r="AG859" s="1084"/>
      <c r="AH859" s="111">
        <f t="shared" si="61"/>
        <v>0</v>
      </c>
      <c r="AI859" s="1084"/>
      <c r="AJ859" s="1119"/>
      <c r="AK859" s="1119"/>
      <c r="AL859" s="1119"/>
      <c r="AM859" s="1119"/>
      <c r="AN859" s="1203"/>
      <c r="AO859" s="1204"/>
    </row>
    <row r="860" spans="1:43" ht="15" customHeight="1">
      <c r="A860" s="1214"/>
      <c r="B860" s="1171"/>
      <c r="C860" s="1076"/>
      <c r="D860" s="1076"/>
      <c r="E860" s="1208"/>
      <c r="F860" s="1208"/>
      <c r="G860" s="1076"/>
      <c r="H860" s="1076"/>
      <c r="I860" s="1076"/>
      <c r="J860" s="1076"/>
      <c r="K860" s="1076"/>
      <c r="L860" s="1076"/>
      <c r="M860" s="1245"/>
      <c r="N860" s="1123"/>
      <c r="O860" s="1119"/>
      <c r="P860" s="1119"/>
      <c r="Q860" s="1119"/>
      <c r="R860" s="1171"/>
      <c r="S860" s="1196"/>
      <c r="T860" s="1119"/>
      <c r="U860" s="1119"/>
      <c r="V860" s="1119"/>
      <c r="W860" s="1119"/>
      <c r="X860" s="1076"/>
      <c r="Y860" s="108"/>
      <c r="Z860" s="109"/>
      <c r="AA860" s="109"/>
      <c r="AB860" s="109">
        <f t="shared" si="63"/>
        <v>0</v>
      </c>
      <c r="AC860" s="97"/>
      <c r="AD860" s="119"/>
      <c r="AE860" s="119"/>
      <c r="AF860" s="1084"/>
      <c r="AG860" s="1084"/>
      <c r="AH860" s="111">
        <f t="shared" si="61"/>
        <v>0</v>
      </c>
      <c r="AI860" s="1084"/>
      <c r="AJ860" s="1119"/>
      <c r="AK860" s="1119"/>
      <c r="AL860" s="1119"/>
      <c r="AM860" s="1119"/>
      <c r="AN860" s="1203"/>
      <c r="AO860" s="1204"/>
    </row>
    <row r="861" spans="1:43" ht="15" customHeight="1">
      <c r="A861" s="1004" t="s">
        <v>1323</v>
      </c>
      <c r="B861" s="97">
        <v>40889</v>
      </c>
      <c r="C861" s="113" t="s">
        <v>23</v>
      </c>
      <c r="D861" s="113" t="s">
        <v>1279</v>
      </c>
      <c r="E861" s="114">
        <v>900262339</v>
      </c>
      <c r="F861" s="114">
        <v>1</v>
      </c>
      <c r="G861" s="113" t="s">
        <v>2809</v>
      </c>
      <c r="H861" s="113" t="s">
        <v>72</v>
      </c>
      <c r="I861" s="113" t="s">
        <v>206</v>
      </c>
      <c r="J861" s="113" t="s">
        <v>66</v>
      </c>
      <c r="K861" s="113" t="s">
        <v>1326</v>
      </c>
      <c r="L861" s="113" t="s">
        <v>1325</v>
      </c>
      <c r="M861" s="132">
        <v>174</v>
      </c>
      <c r="N861" s="108" t="s">
        <v>7</v>
      </c>
      <c r="O861" s="109">
        <v>0</v>
      </c>
      <c r="P861" s="109">
        <v>0</v>
      </c>
      <c r="Q861" s="109">
        <v>0</v>
      </c>
      <c r="R861" s="97">
        <v>40745</v>
      </c>
      <c r="S861" s="110"/>
      <c r="T861" s="109"/>
      <c r="U861" s="109"/>
      <c r="V861" s="109">
        <v>80167600</v>
      </c>
      <c r="W861" s="109">
        <v>80167600</v>
      </c>
      <c r="X861" s="113" t="s">
        <v>1271</v>
      </c>
      <c r="Y861" s="108"/>
      <c r="Z861" s="109">
        <v>0</v>
      </c>
      <c r="AA861" s="109">
        <v>0</v>
      </c>
      <c r="AB861" s="109">
        <f t="shared" si="63"/>
        <v>0</v>
      </c>
      <c r="AC861" s="97"/>
      <c r="AD861" s="119">
        <v>0</v>
      </c>
      <c r="AE861" s="119" t="s">
        <v>7</v>
      </c>
      <c r="AF861" s="111">
        <v>0</v>
      </c>
      <c r="AG861" s="111">
        <v>0</v>
      </c>
      <c r="AH861" s="111">
        <v>0</v>
      </c>
      <c r="AI861" s="111">
        <v>0</v>
      </c>
      <c r="AJ861" s="109">
        <v>0</v>
      </c>
      <c r="AK861" s="109">
        <v>0</v>
      </c>
      <c r="AL861" s="109">
        <v>0</v>
      </c>
      <c r="AM861" s="109">
        <v>0</v>
      </c>
      <c r="AN861" s="112"/>
      <c r="AO861" s="105" t="s">
        <v>1327</v>
      </c>
    </row>
    <row r="862" spans="1:43" s="4" customFormat="1" ht="15" customHeight="1">
      <c r="A862" s="1214" t="s">
        <v>1351</v>
      </c>
      <c r="B862" s="1171">
        <v>40900</v>
      </c>
      <c r="C862" s="1076" t="s">
        <v>45</v>
      </c>
      <c r="D862" s="1076" t="s">
        <v>1352</v>
      </c>
      <c r="E862" s="1208" t="s">
        <v>1356</v>
      </c>
      <c r="F862" s="1208" t="s">
        <v>1357</v>
      </c>
      <c r="G862" s="1076" t="s">
        <v>1353</v>
      </c>
      <c r="H862" s="1076" t="s">
        <v>71</v>
      </c>
      <c r="I862" s="1076" t="s">
        <v>1221</v>
      </c>
      <c r="J862" s="1076" t="s">
        <v>66</v>
      </c>
      <c r="K862" s="1076" t="s">
        <v>50</v>
      </c>
      <c r="L862" s="1076" t="s">
        <v>1358</v>
      </c>
      <c r="M862" s="1245">
        <v>1</v>
      </c>
      <c r="N862" s="1353" t="s">
        <v>152</v>
      </c>
      <c r="O862" s="1119">
        <v>537864037</v>
      </c>
      <c r="P862" s="1119">
        <f>O862</f>
        <v>537864037</v>
      </c>
      <c r="Q862" s="1119">
        <f>SUM(P862:P872)</f>
        <v>1304972075</v>
      </c>
      <c r="R862" s="1171">
        <v>40758</v>
      </c>
      <c r="S862" s="1089">
        <f>T862</f>
        <v>537864037</v>
      </c>
      <c r="T862" s="1089">
        <v>537864037</v>
      </c>
      <c r="U862" s="1089">
        <f>O862-T862</f>
        <v>0</v>
      </c>
      <c r="V862" s="1062">
        <v>537864037</v>
      </c>
      <c r="W862" s="1119">
        <f>V862+V865+V868+V871</f>
        <v>1304972075</v>
      </c>
      <c r="X862" s="1076" t="s">
        <v>1330</v>
      </c>
      <c r="Y862" s="105" t="s">
        <v>1359</v>
      </c>
      <c r="Z862" s="109">
        <v>0</v>
      </c>
      <c r="AA862" s="109">
        <v>268932018.5</v>
      </c>
      <c r="AB862" s="109">
        <f t="shared" si="63"/>
        <v>268932018.5</v>
      </c>
      <c r="AC862" s="97">
        <v>41620</v>
      </c>
      <c r="AD862" s="119">
        <v>268932018.5</v>
      </c>
      <c r="AE862" s="119" t="s">
        <v>152</v>
      </c>
      <c r="AF862" s="1084">
        <f>SUM(AD862:AD864)</f>
        <v>537864037</v>
      </c>
      <c r="AG862" s="1084">
        <f>AF862+AF865+AF871</f>
        <v>1304966817.54</v>
      </c>
      <c r="AH862" s="119">
        <f t="shared" ref="AH862:AH893" si="64">AB862-AD862</f>
        <v>0</v>
      </c>
      <c r="AI862" s="1043">
        <f>O862-SUM(AD862:AD864)</f>
        <v>0</v>
      </c>
      <c r="AJ862" s="1119">
        <f>SUM(Z862:Z872)-SUM(AD862:AD872)-8</f>
        <v>0</v>
      </c>
      <c r="AK862" s="1062">
        <f>P862-V862</f>
        <v>0</v>
      </c>
      <c r="AL862" s="1062">
        <f>V862-SUM(Z862:Z864)</f>
        <v>0</v>
      </c>
      <c r="AM862" s="1062">
        <f>AK862+AL862</f>
        <v>0</v>
      </c>
      <c r="AN862" s="1203" t="s">
        <v>1363</v>
      </c>
      <c r="AO862" s="1203" t="s">
        <v>1364</v>
      </c>
      <c r="AQ862" s="934"/>
    </row>
    <row r="863" spans="1:43" s="4" customFormat="1" ht="15" customHeight="1">
      <c r="A863" s="1214"/>
      <c r="B863" s="1171"/>
      <c r="C863" s="1076"/>
      <c r="D863" s="1076"/>
      <c r="E863" s="1208"/>
      <c r="F863" s="1208"/>
      <c r="G863" s="1076"/>
      <c r="H863" s="1076"/>
      <c r="I863" s="1076"/>
      <c r="J863" s="1076"/>
      <c r="K863" s="1076"/>
      <c r="L863" s="1076"/>
      <c r="M863" s="1245"/>
      <c r="N863" s="1353"/>
      <c r="O863" s="1119"/>
      <c r="P863" s="1119"/>
      <c r="Q863" s="1119"/>
      <c r="R863" s="1171"/>
      <c r="S863" s="1090"/>
      <c r="T863" s="1090"/>
      <c r="U863" s="1090"/>
      <c r="V863" s="1063"/>
      <c r="W863" s="1119"/>
      <c r="X863" s="1076"/>
      <c r="Y863" s="105" t="s">
        <v>1360</v>
      </c>
      <c r="Z863" s="109">
        <v>430273593.27999997</v>
      </c>
      <c r="AA863" s="109">
        <v>-215136796.63999999</v>
      </c>
      <c r="AB863" s="109">
        <f t="shared" si="63"/>
        <v>215136796.63999999</v>
      </c>
      <c r="AC863" s="97">
        <v>41864</v>
      </c>
      <c r="AD863" s="119">
        <v>215136796.63999999</v>
      </c>
      <c r="AE863" s="119" t="s">
        <v>152</v>
      </c>
      <c r="AF863" s="1084"/>
      <c r="AG863" s="1084"/>
      <c r="AH863" s="119">
        <f t="shared" si="64"/>
        <v>0</v>
      </c>
      <c r="AI863" s="1044"/>
      <c r="AJ863" s="1119"/>
      <c r="AK863" s="1063"/>
      <c r="AL863" s="1063"/>
      <c r="AM863" s="1063"/>
      <c r="AN863" s="1203"/>
      <c r="AO863" s="1203"/>
      <c r="AQ863" s="934"/>
    </row>
    <row r="864" spans="1:43" s="4" customFormat="1" ht="15" customHeight="1">
      <c r="A864" s="1214"/>
      <c r="B864" s="1171"/>
      <c r="C864" s="1076"/>
      <c r="D864" s="1076"/>
      <c r="E864" s="1208"/>
      <c r="F864" s="1208"/>
      <c r="G864" s="1076"/>
      <c r="H864" s="1076"/>
      <c r="I864" s="1076"/>
      <c r="J864" s="1076"/>
      <c r="K864" s="1076"/>
      <c r="L864" s="1076"/>
      <c r="M864" s="1245"/>
      <c r="N864" s="1353"/>
      <c r="O864" s="1119"/>
      <c r="P864" s="1119"/>
      <c r="Q864" s="1119"/>
      <c r="R864" s="1171"/>
      <c r="S864" s="1091"/>
      <c r="T864" s="1091"/>
      <c r="U864" s="1091"/>
      <c r="V864" s="1064"/>
      <c r="W864" s="1119"/>
      <c r="X864" s="1076"/>
      <c r="Y864" s="105" t="s">
        <v>1361</v>
      </c>
      <c r="Z864" s="109">
        <v>107590443.72000003</v>
      </c>
      <c r="AA864" s="109">
        <v>-53795221.859999999</v>
      </c>
      <c r="AB864" s="109">
        <f t="shared" si="63"/>
        <v>53795221.860000029</v>
      </c>
      <c r="AC864" s="97">
        <v>42257</v>
      </c>
      <c r="AD864" s="119">
        <v>53795221.859999999</v>
      </c>
      <c r="AE864" s="119" t="s">
        <v>152</v>
      </c>
      <c r="AF864" s="1084"/>
      <c r="AG864" s="1084"/>
      <c r="AH864" s="119">
        <f t="shared" si="64"/>
        <v>0</v>
      </c>
      <c r="AI864" s="1045"/>
      <c r="AJ864" s="1119"/>
      <c r="AK864" s="1064"/>
      <c r="AL864" s="1064"/>
      <c r="AM864" s="1064"/>
      <c r="AN864" s="1203"/>
      <c r="AO864" s="1203"/>
      <c r="AQ864" s="934"/>
    </row>
    <row r="865" spans="1:43" s="4" customFormat="1" ht="15" customHeight="1">
      <c r="A865" s="1214"/>
      <c r="B865" s="1171"/>
      <c r="C865" s="1076"/>
      <c r="D865" s="1076"/>
      <c r="E865" s="1208"/>
      <c r="F865" s="1208"/>
      <c r="G865" s="1076"/>
      <c r="H865" s="1076"/>
      <c r="I865" s="1076"/>
      <c r="J865" s="1076"/>
      <c r="K865" s="1076"/>
      <c r="L865" s="1076"/>
      <c r="M865" s="1245">
        <v>185</v>
      </c>
      <c r="N865" s="1353" t="s">
        <v>137</v>
      </c>
      <c r="O865" s="1119">
        <v>138627571</v>
      </c>
      <c r="P865" s="1119">
        <f>SUM(O865:O870)</f>
        <v>334322997</v>
      </c>
      <c r="Q865" s="1119"/>
      <c r="R865" s="1068">
        <v>40758</v>
      </c>
      <c r="S865" s="1089">
        <f>T865+T868</f>
        <v>334322997</v>
      </c>
      <c r="T865" s="1062">
        <v>138627571</v>
      </c>
      <c r="U865" s="1062">
        <f>O865-T865</f>
        <v>0</v>
      </c>
      <c r="V865" s="1062">
        <v>138627571</v>
      </c>
      <c r="W865" s="1119"/>
      <c r="X865" s="1076"/>
      <c r="Y865" s="1103" t="s">
        <v>1359</v>
      </c>
      <c r="Z865" s="109">
        <v>0</v>
      </c>
      <c r="AA865" s="109">
        <v>69313785.5</v>
      </c>
      <c r="AB865" s="109">
        <f t="shared" si="63"/>
        <v>69313785.5</v>
      </c>
      <c r="AC865" s="1068">
        <v>41620</v>
      </c>
      <c r="AD865" s="119">
        <v>69313785.5</v>
      </c>
      <c r="AE865" s="119" t="s">
        <v>137</v>
      </c>
      <c r="AF865" s="1084">
        <f>SUM(AD865:AD870)</f>
        <v>334322989</v>
      </c>
      <c r="AG865" s="1084"/>
      <c r="AH865" s="119">
        <f t="shared" si="64"/>
        <v>0</v>
      </c>
      <c r="AI865" s="1043">
        <f>O865-AD865-AD867-AD869</f>
        <v>7.9999999981373549</v>
      </c>
      <c r="AJ865" s="1119"/>
      <c r="AK865" s="1119">
        <f>O865-V865</f>
        <v>0</v>
      </c>
      <c r="AL865" s="1062">
        <v>8</v>
      </c>
      <c r="AM865" s="1062">
        <f>AK865+AL865</f>
        <v>8</v>
      </c>
      <c r="AN865" s="1203"/>
      <c r="AO865" s="1203"/>
      <c r="AQ865" s="934"/>
    </row>
    <row r="866" spans="1:43" s="4" customFormat="1" ht="15" customHeight="1">
      <c r="A866" s="1214"/>
      <c r="B866" s="1171"/>
      <c r="C866" s="1076"/>
      <c r="D866" s="1076"/>
      <c r="E866" s="1208"/>
      <c r="F866" s="1208"/>
      <c r="G866" s="1076"/>
      <c r="H866" s="1076"/>
      <c r="I866" s="1076"/>
      <c r="J866" s="1076"/>
      <c r="K866" s="1076"/>
      <c r="L866" s="1076"/>
      <c r="M866" s="1245"/>
      <c r="N866" s="1353"/>
      <c r="O866" s="1119"/>
      <c r="P866" s="1119"/>
      <c r="Q866" s="1119"/>
      <c r="R866" s="1069"/>
      <c r="S866" s="1090"/>
      <c r="T866" s="1063"/>
      <c r="U866" s="1063"/>
      <c r="V866" s="1063"/>
      <c r="W866" s="1119"/>
      <c r="X866" s="1076"/>
      <c r="Y866" s="1105"/>
      <c r="Z866" s="109">
        <v>0</v>
      </c>
      <c r="AA866" s="109">
        <v>97847713</v>
      </c>
      <c r="AB866" s="109">
        <f t="shared" si="63"/>
        <v>97847713</v>
      </c>
      <c r="AC866" s="1070"/>
      <c r="AD866" s="119">
        <v>97847713</v>
      </c>
      <c r="AE866" s="119" t="s">
        <v>7</v>
      </c>
      <c r="AF866" s="1084"/>
      <c r="AG866" s="1084"/>
      <c r="AH866" s="119">
        <f t="shared" si="64"/>
        <v>0</v>
      </c>
      <c r="AI866" s="1044"/>
      <c r="AJ866" s="1119"/>
      <c r="AK866" s="1119"/>
      <c r="AL866" s="1063"/>
      <c r="AM866" s="1063"/>
      <c r="AN866" s="1203"/>
      <c r="AO866" s="1203"/>
      <c r="AQ866" s="934"/>
    </row>
    <row r="867" spans="1:43" s="4" customFormat="1" ht="15" customHeight="1">
      <c r="A867" s="1214"/>
      <c r="B867" s="1171"/>
      <c r="C867" s="1076"/>
      <c r="D867" s="1076"/>
      <c r="E867" s="1208"/>
      <c r="F867" s="1208"/>
      <c r="G867" s="1076"/>
      <c r="H867" s="1076"/>
      <c r="I867" s="1076"/>
      <c r="J867" s="1076"/>
      <c r="K867" s="1076"/>
      <c r="L867" s="1076"/>
      <c r="M867" s="1245"/>
      <c r="N867" s="1353"/>
      <c r="O867" s="1119"/>
      <c r="P867" s="1119"/>
      <c r="Q867" s="1119"/>
      <c r="R867" s="1069"/>
      <c r="S867" s="1090"/>
      <c r="T867" s="1064"/>
      <c r="U867" s="1064"/>
      <c r="V867" s="1064"/>
      <c r="W867" s="1119"/>
      <c r="X867" s="1076"/>
      <c r="Y867" s="1103" t="s">
        <v>1360</v>
      </c>
      <c r="Z867" s="109">
        <v>110897511.26000001</v>
      </c>
      <c r="AA867" s="109">
        <v>-55448755.630000003</v>
      </c>
      <c r="AB867" s="109">
        <f t="shared" si="63"/>
        <v>55448755.630000003</v>
      </c>
      <c r="AC867" s="1068">
        <v>41864</v>
      </c>
      <c r="AD867" s="119">
        <v>55448757.630000003</v>
      </c>
      <c r="AE867" s="119" t="s">
        <v>137</v>
      </c>
      <c r="AF867" s="1084"/>
      <c r="AG867" s="1084"/>
      <c r="AH867" s="119">
        <f t="shared" si="64"/>
        <v>-2</v>
      </c>
      <c r="AI867" s="1045"/>
      <c r="AJ867" s="1119"/>
      <c r="AK867" s="1119"/>
      <c r="AL867" s="1064"/>
      <c r="AM867" s="1064"/>
      <c r="AN867" s="1203"/>
      <c r="AO867" s="1203"/>
      <c r="AQ867" s="934"/>
    </row>
    <row r="868" spans="1:43" s="4" customFormat="1" ht="15" customHeight="1">
      <c r="A868" s="1214"/>
      <c r="B868" s="1171"/>
      <c r="C868" s="1076"/>
      <c r="D868" s="1076"/>
      <c r="E868" s="1208"/>
      <c r="F868" s="1208"/>
      <c r="G868" s="1076"/>
      <c r="H868" s="1076"/>
      <c r="I868" s="1076"/>
      <c r="J868" s="1076"/>
      <c r="K868" s="1076"/>
      <c r="L868" s="1076"/>
      <c r="M868" s="1245"/>
      <c r="N868" s="1122" t="s">
        <v>7</v>
      </c>
      <c r="O868" s="1119">
        <v>195695426</v>
      </c>
      <c r="P868" s="1119"/>
      <c r="Q868" s="1119"/>
      <c r="R868" s="1069"/>
      <c r="S868" s="1090"/>
      <c r="T868" s="1062">
        <v>195695426</v>
      </c>
      <c r="U868" s="1062">
        <f>O868-T868</f>
        <v>0</v>
      </c>
      <c r="V868" s="1062">
        <v>195695426</v>
      </c>
      <c r="W868" s="1119"/>
      <c r="X868" s="1076"/>
      <c r="Y868" s="1105"/>
      <c r="Z868" s="109">
        <v>156549924.03999999</v>
      </c>
      <c r="AA868" s="109">
        <v>-78274962.019999996</v>
      </c>
      <c r="AB868" s="109">
        <f t="shared" si="63"/>
        <v>78274962.019999996</v>
      </c>
      <c r="AC868" s="1070"/>
      <c r="AD868" s="119">
        <v>78274962.019999996</v>
      </c>
      <c r="AE868" s="119" t="s">
        <v>7</v>
      </c>
      <c r="AF868" s="1084"/>
      <c r="AG868" s="1084"/>
      <c r="AH868" s="119">
        <f t="shared" si="64"/>
        <v>0</v>
      </c>
      <c r="AI868" s="1043">
        <f>O868-AD866-AD868-AD870</f>
        <v>0</v>
      </c>
      <c r="AJ868" s="1119"/>
      <c r="AK868" s="1119">
        <f>O868-V868</f>
        <v>0</v>
      </c>
      <c r="AL868" s="1062">
        <f>V868-Z866-Z868-Z870</f>
        <v>0</v>
      </c>
      <c r="AM868" s="1062">
        <f>AK868+AL868</f>
        <v>0</v>
      </c>
      <c r="AN868" s="1203"/>
      <c r="AO868" s="1203"/>
      <c r="AQ868" s="934"/>
    </row>
    <row r="869" spans="1:43" s="4" customFormat="1" ht="15" customHeight="1">
      <c r="A869" s="1214"/>
      <c r="B869" s="1171"/>
      <c r="C869" s="1076"/>
      <c r="D869" s="1076"/>
      <c r="E869" s="1208"/>
      <c r="F869" s="1208"/>
      <c r="G869" s="1076"/>
      <c r="H869" s="1076"/>
      <c r="I869" s="1076"/>
      <c r="J869" s="1076"/>
      <c r="K869" s="1076"/>
      <c r="L869" s="1076"/>
      <c r="M869" s="1245"/>
      <c r="N869" s="1122"/>
      <c r="O869" s="1119"/>
      <c r="P869" s="1119"/>
      <c r="Q869" s="1119"/>
      <c r="R869" s="1069"/>
      <c r="S869" s="1090"/>
      <c r="T869" s="1063"/>
      <c r="U869" s="1063"/>
      <c r="V869" s="1063"/>
      <c r="W869" s="1119"/>
      <c r="X869" s="1076"/>
      <c r="Y869" s="1103" t="s">
        <v>1361</v>
      </c>
      <c r="Z869" s="109">
        <v>27730059.739999995</v>
      </c>
      <c r="AA869" s="109">
        <v>-13865029.869999999</v>
      </c>
      <c r="AB869" s="109">
        <f t="shared" si="63"/>
        <v>13865029.869999995</v>
      </c>
      <c r="AC869" s="1068">
        <v>42257</v>
      </c>
      <c r="AD869" s="119">
        <v>13865019.869999999</v>
      </c>
      <c r="AE869" s="119" t="s">
        <v>137</v>
      </c>
      <c r="AF869" s="1084"/>
      <c r="AG869" s="1084"/>
      <c r="AH869" s="119">
        <f t="shared" si="64"/>
        <v>9.9999999962747097</v>
      </c>
      <c r="AI869" s="1044"/>
      <c r="AJ869" s="1119"/>
      <c r="AK869" s="1119"/>
      <c r="AL869" s="1063"/>
      <c r="AM869" s="1063"/>
      <c r="AN869" s="1203"/>
      <c r="AO869" s="1203"/>
      <c r="AQ869" s="934"/>
    </row>
    <row r="870" spans="1:43" s="4" customFormat="1" ht="15" customHeight="1">
      <c r="A870" s="1214"/>
      <c r="B870" s="1171"/>
      <c r="C870" s="1076"/>
      <c r="D870" s="1076"/>
      <c r="E870" s="1208"/>
      <c r="F870" s="1208"/>
      <c r="G870" s="1076"/>
      <c r="H870" s="1076"/>
      <c r="I870" s="1076"/>
      <c r="J870" s="1076"/>
      <c r="K870" s="1076"/>
      <c r="L870" s="1076"/>
      <c r="M870" s="1245"/>
      <c r="N870" s="1122"/>
      <c r="O870" s="1119"/>
      <c r="P870" s="1119"/>
      <c r="Q870" s="1119"/>
      <c r="R870" s="1070"/>
      <c r="S870" s="1091"/>
      <c r="T870" s="1064"/>
      <c r="U870" s="1064"/>
      <c r="V870" s="1064"/>
      <c r="W870" s="1119"/>
      <c r="X870" s="1076"/>
      <c r="Y870" s="1105"/>
      <c r="Z870" s="109">
        <v>39145501.960000008</v>
      </c>
      <c r="AA870" s="109">
        <v>-19572750.98</v>
      </c>
      <c r="AB870" s="109">
        <f t="shared" si="63"/>
        <v>19572750.980000008</v>
      </c>
      <c r="AC870" s="1070"/>
      <c r="AD870" s="119">
        <v>19572750.98</v>
      </c>
      <c r="AE870" s="119" t="s">
        <v>7</v>
      </c>
      <c r="AF870" s="1084"/>
      <c r="AG870" s="1084"/>
      <c r="AH870" s="119">
        <f t="shared" si="64"/>
        <v>0</v>
      </c>
      <c r="AI870" s="1045"/>
      <c r="AJ870" s="1119"/>
      <c r="AK870" s="1119"/>
      <c r="AL870" s="1064"/>
      <c r="AM870" s="1064"/>
      <c r="AN870" s="1203"/>
      <c r="AO870" s="1203"/>
      <c r="AQ870" s="934"/>
    </row>
    <row r="871" spans="1:43" s="4" customFormat="1" ht="15" customHeight="1">
      <c r="A871" s="1214"/>
      <c r="B871" s="1171"/>
      <c r="C871" s="1076"/>
      <c r="D871" s="1076"/>
      <c r="E871" s="1208"/>
      <c r="F871" s="1208"/>
      <c r="G871" s="1076"/>
      <c r="H871" s="1076"/>
      <c r="I871" s="1076"/>
      <c r="J871" s="1076" t="s">
        <v>67</v>
      </c>
      <c r="K871" s="1076"/>
      <c r="L871" s="1076"/>
      <c r="M871" s="1245">
        <v>12</v>
      </c>
      <c r="N871" s="1122" t="s">
        <v>152</v>
      </c>
      <c r="O871" s="1119">
        <v>432785041</v>
      </c>
      <c r="P871" s="1119">
        <f>O871</f>
        <v>432785041</v>
      </c>
      <c r="Q871" s="1119"/>
      <c r="R871" s="1068">
        <v>42003</v>
      </c>
      <c r="S871" s="1089">
        <f>T871</f>
        <v>432785041</v>
      </c>
      <c r="T871" s="1062">
        <v>432785041</v>
      </c>
      <c r="U871" s="1062">
        <f>O871-T871</f>
        <v>0</v>
      </c>
      <c r="V871" s="1119">
        <f>O871</f>
        <v>432785041</v>
      </c>
      <c r="W871" s="1119"/>
      <c r="X871" s="1076"/>
      <c r="Y871" s="108" t="s">
        <v>1362</v>
      </c>
      <c r="Z871" s="109">
        <v>302161645.05000001</v>
      </c>
      <c r="AA871" s="109">
        <v>0</v>
      </c>
      <c r="AB871" s="109">
        <f t="shared" si="63"/>
        <v>302161645.05000001</v>
      </c>
      <c r="AC871" s="97">
        <v>42257</v>
      </c>
      <c r="AD871" s="119">
        <v>302161645.05000001</v>
      </c>
      <c r="AE871" s="1122" t="s">
        <v>152</v>
      </c>
      <c r="AF871" s="1084">
        <f>SUM(AD871:AD872)</f>
        <v>432779791.54000002</v>
      </c>
      <c r="AG871" s="1084"/>
      <c r="AH871" s="119">
        <f t="shared" si="64"/>
        <v>0</v>
      </c>
      <c r="AI871" s="1043">
        <f>O871-SUM(AD871:AD872)</f>
        <v>5249.4599999785423</v>
      </c>
      <c r="AJ871" s="1119"/>
      <c r="AK871" s="1119">
        <f>P871-V871</f>
        <v>0</v>
      </c>
      <c r="AL871" s="1062">
        <f>V871-SUM(Z871:Z872)</f>
        <v>5249.4599999785423</v>
      </c>
      <c r="AM871" s="1062">
        <f>AK871+AL871</f>
        <v>5249.4599999785423</v>
      </c>
      <c r="AN871" s="1203"/>
      <c r="AO871" s="1203"/>
      <c r="AQ871" s="934"/>
    </row>
    <row r="872" spans="1:43" s="4" customFormat="1" ht="15" customHeight="1">
      <c r="A872" s="1214"/>
      <c r="B872" s="1171"/>
      <c r="C872" s="1076"/>
      <c r="D872" s="1076"/>
      <c r="E872" s="1208"/>
      <c r="F872" s="1208"/>
      <c r="G872" s="1076"/>
      <c r="H872" s="1076"/>
      <c r="I872" s="1076"/>
      <c r="J872" s="1076"/>
      <c r="K872" s="1076"/>
      <c r="L872" s="1076"/>
      <c r="M872" s="1245"/>
      <c r="N872" s="1122"/>
      <c r="O872" s="1119"/>
      <c r="P872" s="1119"/>
      <c r="Q872" s="1119"/>
      <c r="R872" s="1070"/>
      <c r="S872" s="1091"/>
      <c r="T872" s="1064"/>
      <c r="U872" s="1064"/>
      <c r="V872" s="1119"/>
      <c r="W872" s="1119"/>
      <c r="X872" s="1076"/>
      <c r="Y872" s="108" t="s">
        <v>2717</v>
      </c>
      <c r="Z872" s="109">
        <v>130618146.48999999</v>
      </c>
      <c r="AA872" s="109">
        <v>0</v>
      </c>
      <c r="AB872" s="109">
        <f t="shared" si="63"/>
        <v>130618146.48999999</v>
      </c>
      <c r="AC872" s="97">
        <v>43157</v>
      </c>
      <c r="AD872" s="119">
        <f>+AB872</f>
        <v>130618146.48999999</v>
      </c>
      <c r="AE872" s="1122"/>
      <c r="AF872" s="1084"/>
      <c r="AG872" s="1084"/>
      <c r="AH872" s="119">
        <f t="shared" si="64"/>
        <v>0</v>
      </c>
      <c r="AI872" s="1045"/>
      <c r="AJ872" s="1119"/>
      <c r="AK872" s="1119"/>
      <c r="AL872" s="1064"/>
      <c r="AM872" s="1064"/>
      <c r="AN872" s="1203"/>
      <c r="AO872" s="1203"/>
      <c r="AQ872" s="934"/>
    </row>
    <row r="873" spans="1:43" ht="15" customHeight="1">
      <c r="A873" s="1075" t="s">
        <v>1328</v>
      </c>
      <c r="B873" s="1171">
        <v>40903</v>
      </c>
      <c r="C873" s="1076" t="s">
        <v>21</v>
      </c>
      <c r="D873" s="1076" t="s">
        <v>1110</v>
      </c>
      <c r="E873" s="1208">
        <v>72222176</v>
      </c>
      <c r="F873" s="1208">
        <v>2</v>
      </c>
      <c r="G873" s="1076" t="s">
        <v>1329</v>
      </c>
      <c r="H873" s="1076" t="s">
        <v>71</v>
      </c>
      <c r="I873" s="1076" t="s">
        <v>1221</v>
      </c>
      <c r="J873" s="1076" t="s">
        <v>66</v>
      </c>
      <c r="K873" s="1076" t="s">
        <v>49</v>
      </c>
      <c r="L873" s="1076" t="s">
        <v>1349</v>
      </c>
      <c r="M873" s="1245">
        <v>1</v>
      </c>
      <c r="N873" s="1353" t="s">
        <v>144</v>
      </c>
      <c r="O873" s="1119">
        <v>316836415</v>
      </c>
      <c r="P873" s="1119">
        <v>316836415</v>
      </c>
      <c r="Q873" s="1119">
        <f>P873+P878</f>
        <v>1184936003</v>
      </c>
      <c r="R873" s="1171">
        <v>40899</v>
      </c>
      <c r="S873" s="1196">
        <f>T873</f>
        <v>316836415</v>
      </c>
      <c r="T873" s="1196">
        <v>316836415</v>
      </c>
      <c r="U873" s="1196">
        <f>O873-T873</f>
        <v>0</v>
      </c>
      <c r="V873" s="1119">
        <v>314935172</v>
      </c>
      <c r="W873" s="1119">
        <v>1177825549</v>
      </c>
      <c r="X873" s="1076" t="s">
        <v>1330</v>
      </c>
      <c r="Y873" s="108" t="s">
        <v>1331</v>
      </c>
      <c r="Z873" s="109">
        <v>55538100</v>
      </c>
      <c r="AA873" s="109">
        <v>0</v>
      </c>
      <c r="AB873" s="109">
        <f t="shared" si="63"/>
        <v>55538100</v>
      </c>
      <c r="AC873" s="97">
        <v>41569</v>
      </c>
      <c r="AD873" s="119">
        <v>55538100</v>
      </c>
      <c r="AE873" s="119" t="s">
        <v>144</v>
      </c>
      <c r="AF873" s="1084">
        <f>SUM(AD873:AD877)</f>
        <v>283446935.15999997</v>
      </c>
      <c r="AG873" s="1084">
        <f>AF873+AF878</f>
        <v>1060062738.9999999</v>
      </c>
      <c r="AH873" s="111">
        <f t="shared" si="64"/>
        <v>0</v>
      </c>
      <c r="AI873" s="1084">
        <f>O873-SUM(AD873:AD877)</f>
        <v>33389479.840000033</v>
      </c>
      <c r="AJ873" s="1119">
        <f>SUM(Z873:Z877)-SUM(AD873:AD877)</f>
        <v>0</v>
      </c>
      <c r="AK873" s="1119">
        <f>P873-V873</f>
        <v>1901243</v>
      </c>
      <c r="AL873" s="1119">
        <f>V873-SUM(Z873:Z877)</f>
        <v>31488236.840000033</v>
      </c>
      <c r="AM873" s="1119"/>
      <c r="AN873" s="1203" t="s">
        <v>1336</v>
      </c>
      <c r="AO873" s="1204" t="s">
        <v>1350</v>
      </c>
    </row>
    <row r="874" spans="1:43" ht="15" customHeight="1">
      <c r="A874" s="1075"/>
      <c r="B874" s="1171"/>
      <c r="C874" s="1076"/>
      <c r="D874" s="1076"/>
      <c r="E874" s="1208"/>
      <c r="F874" s="1208"/>
      <c r="G874" s="1076"/>
      <c r="H874" s="1076"/>
      <c r="I874" s="1076"/>
      <c r="J874" s="1076"/>
      <c r="K874" s="1076"/>
      <c r="L874" s="1076"/>
      <c r="M874" s="1245"/>
      <c r="N874" s="1353"/>
      <c r="O874" s="1119"/>
      <c r="P874" s="1119"/>
      <c r="Q874" s="1119"/>
      <c r="R874" s="1171"/>
      <c r="S874" s="1196"/>
      <c r="T874" s="1196"/>
      <c r="U874" s="1196"/>
      <c r="V874" s="1119"/>
      <c r="W874" s="1119"/>
      <c r="X874" s="1076"/>
      <c r="Y874" s="108" t="s">
        <v>1332</v>
      </c>
      <c r="Z874" s="109">
        <v>72167924.849999994</v>
      </c>
      <c r="AA874" s="109">
        <v>0</v>
      </c>
      <c r="AB874" s="109">
        <f t="shared" si="63"/>
        <v>72167924.849999994</v>
      </c>
      <c r="AC874" s="97">
        <v>41985</v>
      </c>
      <c r="AD874" s="119">
        <v>72167924.849999994</v>
      </c>
      <c r="AE874" s="119" t="s">
        <v>144</v>
      </c>
      <c r="AF874" s="1084"/>
      <c r="AG874" s="1084"/>
      <c r="AH874" s="111">
        <f t="shared" si="64"/>
        <v>0</v>
      </c>
      <c r="AI874" s="1084"/>
      <c r="AJ874" s="1119"/>
      <c r="AK874" s="1119"/>
      <c r="AL874" s="1119"/>
      <c r="AM874" s="1119"/>
      <c r="AN874" s="1203"/>
      <c r="AO874" s="1204"/>
    </row>
    <row r="875" spans="1:43" ht="15" customHeight="1">
      <c r="A875" s="1075"/>
      <c r="B875" s="1171"/>
      <c r="C875" s="1076"/>
      <c r="D875" s="1076"/>
      <c r="E875" s="1208"/>
      <c r="F875" s="1208"/>
      <c r="G875" s="1076"/>
      <c r="H875" s="1076"/>
      <c r="I875" s="1076"/>
      <c r="J875" s="1076"/>
      <c r="K875" s="1076"/>
      <c r="L875" s="1076"/>
      <c r="M875" s="1245"/>
      <c r="N875" s="1353"/>
      <c r="O875" s="1119"/>
      <c r="P875" s="1119"/>
      <c r="Q875" s="1119"/>
      <c r="R875" s="1171"/>
      <c r="S875" s="1196"/>
      <c r="T875" s="1196"/>
      <c r="U875" s="1196"/>
      <c r="V875" s="1119"/>
      <c r="W875" s="1119"/>
      <c r="X875" s="1076"/>
      <c r="Y875" s="108" t="s">
        <v>1334</v>
      </c>
      <c r="Z875" s="109">
        <v>54794274.560000002</v>
      </c>
      <c r="AA875" s="109">
        <v>0</v>
      </c>
      <c r="AB875" s="109">
        <f t="shared" si="63"/>
        <v>54794274.560000002</v>
      </c>
      <c r="AC875" s="97">
        <v>41985</v>
      </c>
      <c r="AD875" s="119">
        <v>54794274.560000002</v>
      </c>
      <c r="AE875" s="119" t="s">
        <v>144</v>
      </c>
      <c r="AF875" s="1084"/>
      <c r="AG875" s="1084"/>
      <c r="AH875" s="111">
        <f t="shared" si="64"/>
        <v>0</v>
      </c>
      <c r="AI875" s="1084"/>
      <c r="AJ875" s="1119"/>
      <c r="AK875" s="1119"/>
      <c r="AL875" s="1119"/>
      <c r="AM875" s="1119"/>
      <c r="AN875" s="1203"/>
      <c r="AO875" s="1204"/>
    </row>
    <row r="876" spans="1:43" ht="15" customHeight="1">
      <c r="A876" s="1075"/>
      <c r="B876" s="1171"/>
      <c r="C876" s="1076"/>
      <c r="D876" s="1076"/>
      <c r="E876" s="1208"/>
      <c r="F876" s="1208"/>
      <c r="G876" s="1076"/>
      <c r="H876" s="1076"/>
      <c r="I876" s="1076"/>
      <c r="J876" s="1076"/>
      <c r="K876" s="1076"/>
      <c r="L876" s="1076"/>
      <c r="M876" s="1245"/>
      <c r="N876" s="1353"/>
      <c r="O876" s="1119"/>
      <c r="P876" s="1119"/>
      <c r="Q876" s="1119"/>
      <c r="R876" s="1171"/>
      <c r="S876" s="1196"/>
      <c r="T876" s="1196"/>
      <c r="U876" s="1196"/>
      <c r="V876" s="1119"/>
      <c r="W876" s="1119"/>
      <c r="X876" s="1076"/>
      <c r="Y876" s="108" t="s">
        <v>1335</v>
      </c>
      <c r="Z876" s="109">
        <v>100946635.75</v>
      </c>
      <c r="AA876" s="109">
        <v>0</v>
      </c>
      <c r="AB876" s="109">
        <f t="shared" si="63"/>
        <v>100946635.75</v>
      </c>
      <c r="AC876" s="97">
        <v>42164</v>
      </c>
      <c r="AD876" s="119">
        <v>100946635.75</v>
      </c>
      <c r="AE876" s="119" t="s">
        <v>144</v>
      </c>
      <c r="AF876" s="1084"/>
      <c r="AG876" s="1084"/>
      <c r="AH876" s="111">
        <f t="shared" si="64"/>
        <v>0</v>
      </c>
      <c r="AI876" s="1084"/>
      <c r="AJ876" s="1119"/>
      <c r="AK876" s="1119"/>
      <c r="AL876" s="1119"/>
      <c r="AM876" s="1119"/>
      <c r="AN876" s="1203"/>
      <c r="AO876" s="1204"/>
    </row>
    <row r="877" spans="1:43" ht="15" customHeight="1">
      <c r="A877" s="1075"/>
      <c r="B877" s="1171"/>
      <c r="C877" s="1076"/>
      <c r="D877" s="1076"/>
      <c r="E877" s="1208"/>
      <c r="F877" s="1208"/>
      <c r="G877" s="1076"/>
      <c r="H877" s="1076"/>
      <c r="I877" s="1076"/>
      <c r="J877" s="1076"/>
      <c r="K877" s="1076"/>
      <c r="L877" s="1076"/>
      <c r="M877" s="1245"/>
      <c r="N877" s="1353"/>
      <c r="O877" s="1119"/>
      <c r="P877" s="1119"/>
      <c r="Q877" s="1119"/>
      <c r="R877" s="1171"/>
      <c r="S877" s="1196"/>
      <c r="T877" s="1196"/>
      <c r="U877" s="1196"/>
      <c r="V877" s="1119"/>
      <c r="W877" s="1119"/>
      <c r="X877" s="1076"/>
      <c r="Y877" s="108"/>
      <c r="Z877" s="109"/>
      <c r="AA877" s="109"/>
      <c r="AB877" s="109"/>
      <c r="AC877" s="97"/>
      <c r="AD877" s="119"/>
      <c r="AE877" s="119"/>
      <c r="AF877" s="1084"/>
      <c r="AG877" s="1084"/>
      <c r="AH877" s="111">
        <f t="shared" si="64"/>
        <v>0</v>
      </c>
      <c r="AI877" s="1084"/>
      <c r="AJ877" s="1119"/>
      <c r="AK877" s="1119"/>
      <c r="AL877" s="1119"/>
      <c r="AM877" s="1119"/>
      <c r="AN877" s="1203"/>
      <c r="AO877" s="1204"/>
    </row>
    <row r="878" spans="1:43" ht="15" customHeight="1">
      <c r="A878" s="1075"/>
      <c r="B878" s="1171"/>
      <c r="C878" s="1076"/>
      <c r="D878" s="1076"/>
      <c r="E878" s="1208"/>
      <c r="F878" s="1208"/>
      <c r="G878" s="1076"/>
      <c r="H878" s="1076"/>
      <c r="I878" s="1076"/>
      <c r="J878" s="1076"/>
      <c r="K878" s="1076"/>
      <c r="L878" s="1076"/>
      <c r="M878" s="1245">
        <v>235</v>
      </c>
      <c r="N878" s="1353" t="s">
        <v>7</v>
      </c>
      <c r="O878" s="1119">
        <v>868099588</v>
      </c>
      <c r="P878" s="1119">
        <v>868099588</v>
      </c>
      <c r="Q878" s="1119"/>
      <c r="R878" s="1171">
        <v>40899</v>
      </c>
      <c r="S878" s="1196">
        <f>T878</f>
        <v>868099588</v>
      </c>
      <c r="T878" s="1196">
        <v>868099588</v>
      </c>
      <c r="U878" s="1196">
        <f>O878-T878</f>
        <v>0</v>
      </c>
      <c r="V878" s="1119">
        <v>862890377</v>
      </c>
      <c r="W878" s="1119"/>
      <c r="X878" s="1076"/>
      <c r="Y878" s="108" t="s">
        <v>1333</v>
      </c>
      <c r="Z878" s="109">
        <v>152168750</v>
      </c>
      <c r="AA878" s="109">
        <v>0</v>
      </c>
      <c r="AB878" s="109">
        <f>Z878+AA878</f>
        <v>152168750</v>
      </c>
      <c r="AC878" s="97">
        <v>41569</v>
      </c>
      <c r="AD878" s="119">
        <v>152168750</v>
      </c>
      <c r="AE878" s="119" t="s">
        <v>7</v>
      </c>
      <c r="AF878" s="1084">
        <f>SUM(AD878:AD882)</f>
        <v>776615803.83999991</v>
      </c>
      <c r="AG878" s="1084"/>
      <c r="AH878" s="111">
        <f t="shared" si="64"/>
        <v>0</v>
      </c>
      <c r="AI878" s="1084">
        <f>O878-SUM(AD878:AD882)</f>
        <v>91483784.160000086</v>
      </c>
      <c r="AJ878" s="1119">
        <f>SUM(Z878:Z882)-SUM(AD878:AD882)</f>
        <v>0</v>
      </c>
      <c r="AK878" s="1119">
        <f>P878-V878</f>
        <v>5209211</v>
      </c>
      <c r="AL878" s="1119">
        <f>V878-SUM(Z878:Z882)</f>
        <v>86274573.160000086</v>
      </c>
      <c r="AM878" s="1119"/>
      <c r="AN878" s="1203"/>
      <c r="AO878" s="1204"/>
    </row>
    <row r="879" spans="1:43" ht="15" customHeight="1">
      <c r="A879" s="1075"/>
      <c r="B879" s="1171"/>
      <c r="C879" s="1076"/>
      <c r="D879" s="1076"/>
      <c r="E879" s="1208"/>
      <c r="F879" s="1208"/>
      <c r="G879" s="1076"/>
      <c r="H879" s="1076"/>
      <c r="I879" s="1076"/>
      <c r="J879" s="1076"/>
      <c r="K879" s="1076"/>
      <c r="L879" s="1076"/>
      <c r="M879" s="1245"/>
      <c r="N879" s="1353"/>
      <c r="O879" s="1119"/>
      <c r="P879" s="1119"/>
      <c r="Q879" s="1119"/>
      <c r="R879" s="1171"/>
      <c r="S879" s="1196"/>
      <c r="T879" s="1196"/>
      <c r="U879" s="1196"/>
      <c r="V879" s="1119"/>
      <c r="W879" s="1119"/>
      <c r="X879" s="1076"/>
      <c r="Y879" s="108" t="s">
        <v>1332</v>
      </c>
      <c r="Z879" s="109">
        <v>197732782.15000001</v>
      </c>
      <c r="AA879" s="109">
        <v>0</v>
      </c>
      <c r="AB879" s="109">
        <f>Z879+AA879</f>
        <v>197732782.15000001</v>
      </c>
      <c r="AC879" s="97">
        <v>41985</v>
      </c>
      <c r="AD879" s="119">
        <v>197732782.15000001</v>
      </c>
      <c r="AE879" s="119" t="s">
        <v>7</v>
      </c>
      <c r="AF879" s="1084"/>
      <c r="AG879" s="1084"/>
      <c r="AH879" s="111">
        <f t="shared" si="64"/>
        <v>0</v>
      </c>
      <c r="AI879" s="1084"/>
      <c r="AJ879" s="1119"/>
      <c r="AK879" s="1119"/>
      <c r="AL879" s="1119"/>
      <c r="AM879" s="1119"/>
      <c r="AN879" s="1203"/>
      <c r="AO879" s="1204"/>
    </row>
    <row r="880" spans="1:43" ht="15" customHeight="1">
      <c r="A880" s="1075"/>
      <c r="B880" s="1171"/>
      <c r="C880" s="1076"/>
      <c r="D880" s="1076"/>
      <c r="E880" s="1208"/>
      <c r="F880" s="1208"/>
      <c r="G880" s="1076"/>
      <c r="H880" s="1076"/>
      <c r="I880" s="1076"/>
      <c r="J880" s="1076"/>
      <c r="K880" s="1076"/>
      <c r="L880" s="1076"/>
      <c r="M880" s="1245"/>
      <c r="N880" s="1353"/>
      <c r="O880" s="1119"/>
      <c r="P880" s="1119"/>
      <c r="Q880" s="1119"/>
      <c r="R880" s="1171"/>
      <c r="S880" s="1196"/>
      <c r="T880" s="1196"/>
      <c r="U880" s="1196"/>
      <c r="V880" s="1119"/>
      <c r="W880" s="1119"/>
      <c r="X880" s="1076"/>
      <c r="Y880" s="108" t="s">
        <v>1334</v>
      </c>
      <c r="Z880" s="109">
        <v>150130745.44</v>
      </c>
      <c r="AA880" s="109">
        <v>0</v>
      </c>
      <c r="AB880" s="109">
        <f>Z880+AA880</f>
        <v>150130745.44</v>
      </c>
      <c r="AC880" s="97">
        <v>41985</v>
      </c>
      <c r="AD880" s="119">
        <v>150130745.44</v>
      </c>
      <c r="AE880" s="119" t="s">
        <v>7</v>
      </c>
      <c r="AF880" s="1084"/>
      <c r="AG880" s="1084"/>
      <c r="AH880" s="111">
        <f t="shared" si="64"/>
        <v>0</v>
      </c>
      <c r="AI880" s="1084"/>
      <c r="AJ880" s="1119"/>
      <c r="AK880" s="1119"/>
      <c r="AL880" s="1119"/>
      <c r="AM880" s="1119"/>
      <c r="AN880" s="1203"/>
      <c r="AO880" s="1204"/>
    </row>
    <row r="881" spans="1:43" ht="15" customHeight="1">
      <c r="A881" s="1075"/>
      <c r="B881" s="1171"/>
      <c r="C881" s="1076"/>
      <c r="D881" s="1076"/>
      <c r="E881" s="1208"/>
      <c r="F881" s="1208"/>
      <c r="G881" s="1076"/>
      <c r="H881" s="1076"/>
      <c r="I881" s="1076"/>
      <c r="J881" s="1076"/>
      <c r="K881" s="1076"/>
      <c r="L881" s="1076"/>
      <c r="M881" s="1245"/>
      <c r="N881" s="1353"/>
      <c r="O881" s="1119"/>
      <c r="P881" s="1119"/>
      <c r="Q881" s="1119"/>
      <c r="R881" s="1171"/>
      <c r="S881" s="1196"/>
      <c r="T881" s="1196"/>
      <c r="U881" s="1196"/>
      <c r="V881" s="1119"/>
      <c r="W881" s="1119"/>
      <c r="X881" s="1076"/>
      <c r="Y881" s="108" t="s">
        <v>1335</v>
      </c>
      <c r="Z881" s="109">
        <v>276583526.25</v>
      </c>
      <c r="AA881" s="109">
        <v>0</v>
      </c>
      <c r="AB881" s="109">
        <f>Z881+AA881</f>
        <v>276583526.25</v>
      </c>
      <c r="AC881" s="97">
        <v>42164</v>
      </c>
      <c r="AD881" s="119">
        <v>276583526.25</v>
      </c>
      <c r="AE881" s="119" t="s">
        <v>7</v>
      </c>
      <c r="AF881" s="1084"/>
      <c r="AG881" s="1084"/>
      <c r="AH881" s="111">
        <f t="shared" si="64"/>
        <v>0</v>
      </c>
      <c r="AI881" s="1084"/>
      <c r="AJ881" s="1119"/>
      <c r="AK881" s="1119"/>
      <c r="AL881" s="1119"/>
      <c r="AM881" s="1119"/>
      <c r="AN881" s="1203"/>
      <c r="AO881" s="1204"/>
    </row>
    <row r="882" spans="1:43" ht="15" customHeight="1">
      <c r="A882" s="1075"/>
      <c r="B882" s="1171"/>
      <c r="C882" s="1076"/>
      <c r="D882" s="1076"/>
      <c r="E882" s="1208"/>
      <c r="F882" s="1208"/>
      <c r="G882" s="1076"/>
      <c r="H882" s="1076"/>
      <c r="I882" s="1076"/>
      <c r="J882" s="1076"/>
      <c r="K882" s="1076"/>
      <c r="L882" s="1076"/>
      <c r="M882" s="1245"/>
      <c r="N882" s="1353"/>
      <c r="O882" s="1119"/>
      <c r="P882" s="1119"/>
      <c r="Q882" s="1119"/>
      <c r="R882" s="1171"/>
      <c r="S882" s="1196"/>
      <c r="T882" s="1196"/>
      <c r="U882" s="1196"/>
      <c r="V882" s="1119"/>
      <c r="W882" s="1119"/>
      <c r="X882" s="1076"/>
      <c r="Y882" s="108"/>
      <c r="Z882" s="109"/>
      <c r="AA882" s="109"/>
      <c r="AB882" s="109"/>
      <c r="AC882" s="97"/>
      <c r="AD882" s="119"/>
      <c r="AE882" s="119"/>
      <c r="AF882" s="1084"/>
      <c r="AG882" s="1084"/>
      <c r="AH882" s="111">
        <f t="shared" si="64"/>
        <v>0</v>
      </c>
      <c r="AI882" s="1084"/>
      <c r="AJ882" s="1119"/>
      <c r="AK882" s="1119"/>
      <c r="AL882" s="1119"/>
      <c r="AM882" s="1119"/>
      <c r="AN882" s="1203"/>
      <c r="AO882" s="1204"/>
    </row>
    <row r="883" spans="1:43" ht="15" customHeight="1">
      <c r="A883" s="1214" t="s">
        <v>1337</v>
      </c>
      <c r="B883" s="1171">
        <v>40903</v>
      </c>
      <c r="C883" s="1076" t="s">
        <v>13</v>
      </c>
      <c r="D883" s="1076" t="s">
        <v>1339</v>
      </c>
      <c r="E883" s="1208">
        <v>10523877</v>
      </c>
      <c r="F883" s="1208"/>
      <c r="G883" s="1076" t="s">
        <v>2866</v>
      </c>
      <c r="H883" s="1076" t="s">
        <v>70</v>
      </c>
      <c r="I883" s="1076" t="s">
        <v>206</v>
      </c>
      <c r="J883" s="1076" t="s">
        <v>66</v>
      </c>
      <c r="K883" s="1076" t="s">
        <v>183</v>
      </c>
      <c r="L883" s="1076" t="s">
        <v>1341</v>
      </c>
      <c r="M883" s="1245">
        <v>212</v>
      </c>
      <c r="N883" s="1353" t="s">
        <v>137</v>
      </c>
      <c r="O883" s="1119">
        <v>8148148</v>
      </c>
      <c r="P883" s="1119">
        <f>O883</f>
        <v>8148148</v>
      </c>
      <c r="Q883" s="1119">
        <f>P883+P886+P889</f>
        <v>18809218</v>
      </c>
      <c r="R883" s="1171">
        <v>40851</v>
      </c>
      <c r="S883" s="1196">
        <f>T883</f>
        <v>7754275</v>
      </c>
      <c r="T883" s="1196">
        <v>7754275</v>
      </c>
      <c r="U883" s="1196">
        <f>O883-T883</f>
        <v>393873</v>
      </c>
      <c r="V883" s="1119">
        <v>7754275</v>
      </c>
      <c r="W883" s="1119">
        <v>17900000</v>
      </c>
      <c r="X883" s="1076" t="s">
        <v>1340</v>
      </c>
      <c r="Y883" s="108" t="s">
        <v>1342</v>
      </c>
      <c r="Z883" s="109">
        <v>0</v>
      </c>
      <c r="AA883" s="109">
        <v>3877137.5</v>
      </c>
      <c r="AB883" s="109">
        <f t="shared" ref="AB883:AB926" si="65">Z883+AA883</f>
        <v>3877137.5</v>
      </c>
      <c r="AC883" s="97">
        <v>41003</v>
      </c>
      <c r="AD883" s="119">
        <v>3877138</v>
      </c>
      <c r="AE883" s="119" t="s">
        <v>137</v>
      </c>
      <c r="AF883" s="1084">
        <f>SUM(AD883:AD885)</f>
        <v>7754275.5</v>
      </c>
      <c r="AG883" s="1084">
        <f>AF883+AF886+AF889</f>
        <v>17900001</v>
      </c>
      <c r="AH883" s="111">
        <f t="shared" si="64"/>
        <v>-0.5</v>
      </c>
      <c r="AI883" s="1084">
        <f>T883-SUM(AD883:AD885)</f>
        <v>-0.5</v>
      </c>
      <c r="AJ883" s="1119">
        <f>SUM(Z883:Z891)-SUM(AD883:AD891)</f>
        <v>-1</v>
      </c>
      <c r="AK883" s="1119">
        <f>T883-V883</f>
        <v>0</v>
      </c>
      <c r="AL883" s="1119">
        <f>V883-SUM(Z883:Z885)</f>
        <v>0</v>
      </c>
      <c r="AM883" s="1119">
        <f>AK883+AL883</f>
        <v>0</v>
      </c>
      <c r="AN883" s="1203" t="s">
        <v>1348</v>
      </c>
      <c r="AO883" s="1204" t="s">
        <v>1345</v>
      </c>
    </row>
    <row r="884" spans="1:43" ht="15" customHeight="1">
      <c r="A884" s="1214"/>
      <c r="B884" s="1171"/>
      <c r="C884" s="1076"/>
      <c r="D884" s="1076"/>
      <c r="E884" s="1208"/>
      <c r="F884" s="1208"/>
      <c r="G884" s="1076"/>
      <c r="H884" s="1076"/>
      <c r="I884" s="1076"/>
      <c r="J884" s="1076"/>
      <c r="K884" s="1076"/>
      <c r="L884" s="1076"/>
      <c r="M884" s="1245"/>
      <c r="N884" s="1353"/>
      <c r="O884" s="1119"/>
      <c r="P884" s="1119"/>
      <c r="Q884" s="1119"/>
      <c r="R884" s="1171"/>
      <c r="S884" s="1196"/>
      <c r="T884" s="1196"/>
      <c r="U884" s="1196"/>
      <c r="V884" s="1119"/>
      <c r="W884" s="1119"/>
      <c r="X884" s="1076"/>
      <c r="Y884" s="108" t="s">
        <v>1343</v>
      </c>
      <c r="Z884" s="109">
        <v>7200000</v>
      </c>
      <c r="AA884" s="109">
        <v>-3600000</v>
      </c>
      <c r="AB884" s="109">
        <f t="shared" si="65"/>
        <v>3600000</v>
      </c>
      <c r="AC884" s="97">
        <v>41263</v>
      </c>
      <c r="AD884" s="119">
        <v>3600000</v>
      </c>
      <c r="AE884" s="119" t="s">
        <v>137</v>
      </c>
      <c r="AF884" s="1084"/>
      <c r="AG884" s="1084"/>
      <c r="AH884" s="111">
        <f t="shared" si="64"/>
        <v>0</v>
      </c>
      <c r="AI884" s="1084"/>
      <c r="AJ884" s="1119"/>
      <c r="AK884" s="1119"/>
      <c r="AL884" s="1119"/>
      <c r="AM884" s="1119"/>
      <c r="AN884" s="1203"/>
      <c r="AO884" s="1204"/>
    </row>
    <row r="885" spans="1:43" ht="15" customHeight="1">
      <c r="A885" s="1214"/>
      <c r="B885" s="1171"/>
      <c r="C885" s="1076"/>
      <c r="D885" s="1076"/>
      <c r="E885" s="1208"/>
      <c r="F885" s="1208"/>
      <c r="G885" s="1076"/>
      <c r="H885" s="1076"/>
      <c r="I885" s="1076"/>
      <c r="J885" s="1076"/>
      <c r="K885" s="1076"/>
      <c r="L885" s="1076"/>
      <c r="M885" s="1245"/>
      <c r="N885" s="1353"/>
      <c r="O885" s="1119"/>
      <c r="P885" s="1119"/>
      <c r="Q885" s="1119"/>
      <c r="R885" s="1171"/>
      <c r="S885" s="1196"/>
      <c r="T885" s="1196"/>
      <c r="U885" s="1196"/>
      <c r="V885" s="1119"/>
      <c r="W885" s="1119"/>
      <c r="X885" s="1076"/>
      <c r="Y885" s="108" t="s">
        <v>1346</v>
      </c>
      <c r="Z885" s="109">
        <v>554275</v>
      </c>
      <c r="AA885" s="109">
        <v>-277137.5</v>
      </c>
      <c r="AB885" s="109">
        <f t="shared" si="65"/>
        <v>277137.5</v>
      </c>
      <c r="AC885" s="97">
        <v>41859</v>
      </c>
      <c r="AD885" s="119">
        <v>277137.5</v>
      </c>
      <c r="AE885" s="119" t="s">
        <v>137</v>
      </c>
      <c r="AF885" s="1084"/>
      <c r="AG885" s="1084"/>
      <c r="AH885" s="111">
        <f t="shared" si="64"/>
        <v>0</v>
      </c>
      <c r="AI885" s="1084"/>
      <c r="AJ885" s="1119"/>
      <c r="AK885" s="1119"/>
      <c r="AL885" s="1119"/>
      <c r="AM885" s="1119"/>
      <c r="AN885" s="1203"/>
      <c r="AO885" s="1204"/>
    </row>
    <row r="886" spans="1:43" ht="15" customHeight="1">
      <c r="A886" s="1214"/>
      <c r="B886" s="1171"/>
      <c r="C886" s="1076"/>
      <c r="D886" s="1076"/>
      <c r="E886" s="1208"/>
      <c r="F886" s="1208"/>
      <c r="G886" s="1076"/>
      <c r="H886" s="1076"/>
      <c r="I886" s="1076"/>
      <c r="J886" s="1076"/>
      <c r="K886" s="1076"/>
      <c r="L886" s="1076"/>
      <c r="M886" s="1245">
        <v>214</v>
      </c>
      <c r="N886" s="1353" t="s">
        <v>137</v>
      </c>
      <c r="O886" s="1119">
        <v>6173229</v>
      </c>
      <c r="P886" s="1119">
        <f>O886</f>
        <v>6173229</v>
      </c>
      <c r="Q886" s="1119"/>
      <c r="R886" s="1171">
        <v>40851</v>
      </c>
      <c r="S886" s="1196">
        <f>T886</f>
        <v>5874822</v>
      </c>
      <c r="T886" s="1196">
        <v>5874822</v>
      </c>
      <c r="U886" s="1196">
        <f>O886-T886</f>
        <v>298407</v>
      </c>
      <c r="V886" s="1119">
        <v>5874822</v>
      </c>
      <c r="W886" s="1119"/>
      <c r="X886" s="1076"/>
      <c r="Y886" s="108" t="s">
        <v>1342</v>
      </c>
      <c r="Z886" s="109">
        <v>0</v>
      </c>
      <c r="AA886" s="109">
        <v>2937411</v>
      </c>
      <c r="AB886" s="109">
        <f t="shared" si="65"/>
        <v>2937411</v>
      </c>
      <c r="AC886" s="97">
        <v>41003</v>
      </c>
      <c r="AD886" s="119">
        <v>2937411</v>
      </c>
      <c r="AE886" s="119" t="s">
        <v>137</v>
      </c>
      <c r="AF886" s="1084">
        <f>SUM(AD886:AD888)</f>
        <v>5874822</v>
      </c>
      <c r="AG886" s="1084"/>
      <c r="AH886" s="111">
        <f t="shared" si="64"/>
        <v>0</v>
      </c>
      <c r="AI886" s="1084">
        <f>T886-SUM(AD886:AD888)</f>
        <v>0</v>
      </c>
      <c r="AJ886" s="1119"/>
      <c r="AK886" s="1119">
        <f>T886-V886</f>
        <v>0</v>
      </c>
      <c r="AL886" s="1119">
        <f>V886-SUM(Z886:Z888)</f>
        <v>0</v>
      </c>
      <c r="AM886" s="1119">
        <f>AK886+AL886</f>
        <v>0</v>
      </c>
      <c r="AN886" s="1203"/>
      <c r="AO886" s="1204"/>
    </row>
    <row r="887" spans="1:43" ht="15" customHeight="1">
      <c r="A887" s="1214"/>
      <c r="B887" s="1171"/>
      <c r="C887" s="1076"/>
      <c r="D887" s="1076"/>
      <c r="E887" s="1208"/>
      <c r="F887" s="1208"/>
      <c r="G887" s="1076"/>
      <c r="H887" s="1076"/>
      <c r="I887" s="1076"/>
      <c r="J887" s="1076"/>
      <c r="K887" s="1076"/>
      <c r="L887" s="1076"/>
      <c r="M887" s="1245"/>
      <c r="N887" s="1353"/>
      <c r="O887" s="1119"/>
      <c r="P887" s="1119"/>
      <c r="Q887" s="1119"/>
      <c r="R887" s="1171"/>
      <c r="S887" s="1196"/>
      <c r="T887" s="1196"/>
      <c r="U887" s="1196"/>
      <c r="V887" s="1119"/>
      <c r="W887" s="1119"/>
      <c r="X887" s="1076"/>
      <c r="Y887" s="108" t="s">
        <v>1343</v>
      </c>
      <c r="Z887" s="109">
        <v>5400000</v>
      </c>
      <c r="AA887" s="109">
        <v>-2700000</v>
      </c>
      <c r="AB887" s="109">
        <f t="shared" si="65"/>
        <v>2700000</v>
      </c>
      <c r="AC887" s="97">
        <v>41263</v>
      </c>
      <c r="AD887" s="119">
        <v>2700000</v>
      </c>
      <c r="AE887" s="119" t="s">
        <v>137</v>
      </c>
      <c r="AF887" s="1084"/>
      <c r="AG887" s="1084"/>
      <c r="AH887" s="111">
        <f t="shared" si="64"/>
        <v>0</v>
      </c>
      <c r="AI887" s="1084"/>
      <c r="AJ887" s="1119"/>
      <c r="AK887" s="1119"/>
      <c r="AL887" s="1119"/>
      <c r="AM887" s="1119"/>
      <c r="AN887" s="1203"/>
      <c r="AO887" s="1204"/>
    </row>
    <row r="888" spans="1:43" ht="15" customHeight="1">
      <c r="A888" s="1214"/>
      <c r="B888" s="1171"/>
      <c r="C888" s="1076"/>
      <c r="D888" s="1076"/>
      <c r="E888" s="1208"/>
      <c r="F888" s="1208"/>
      <c r="G888" s="1076"/>
      <c r="H888" s="1076"/>
      <c r="I888" s="1076"/>
      <c r="J888" s="1076"/>
      <c r="K888" s="1076"/>
      <c r="L888" s="1076"/>
      <c r="M888" s="1245"/>
      <c r="N888" s="1353"/>
      <c r="O888" s="1119"/>
      <c r="P888" s="1119"/>
      <c r="Q888" s="1119"/>
      <c r="R888" s="1171"/>
      <c r="S888" s="1196"/>
      <c r="T888" s="1196"/>
      <c r="U888" s="1196"/>
      <c r="V888" s="1119"/>
      <c r="W888" s="1119"/>
      <c r="X888" s="1076"/>
      <c r="Y888" s="108" t="s">
        <v>1346</v>
      </c>
      <c r="Z888" s="109">
        <v>474822</v>
      </c>
      <c r="AA888" s="109">
        <v>-237411</v>
      </c>
      <c r="AB888" s="109">
        <f t="shared" si="65"/>
        <v>237411</v>
      </c>
      <c r="AC888" s="97">
        <v>41859</v>
      </c>
      <c r="AD888" s="119">
        <v>237411</v>
      </c>
      <c r="AE888" s="119" t="s">
        <v>137</v>
      </c>
      <c r="AF888" s="1084"/>
      <c r="AG888" s="1084"/>
      <c r="AH888" s="111">
        <f t="shared" si="64"/>
        <v>0</v>
      </c>
      <c r="AI888" s="1084"/>
      <c r="AJ888" s="1119"/>
      <c r="AK888" s="1119"/>
      <c r="AL888" s="1119"/>
      <c r="AM888" s="1119"/>
      <c r="AN888" s="1203"/>
      <c r="AO888" s="1204"/>
    </row>
    <row r="889" spans="1:43" ht="15" customHeight="1">
      <c r="A889" s="1214"/>
      <c r="B889" s="1171"/>
      <c r="C889" s="1076" t="s">
        <v>31</v>
      </c>
      <c r="D889" s="1076"/>
      <c r="E889" s="1208"/>
      <c r="F889" s="1208"/>
      <c r="G889" s="1076"/>
      <c r="H889" s="1076"/>
      <c r="I889" s="1076"/>
      <c r="J889" s="1076"/>
      <c r="K889" s="1076"/>
      <c r="L889" s="1076"/>
      <c r="M889" s="1245">
        <v>220</v>
      </c>
      <c r="N889" s="1353" t="s">
        <v>137</v>
      </c>
      <c r="O889" s="1119">
        <v>4487841</v>
      </c>
      <c r="P889" s="1119">
        <f>O889</f>
        <v>4487841</v>
      </c>
      <c r="Q889" s="1119"/>
      <c r="R889" s="1171">
        <v>40851</v>
      </c>
      <c r="S889" s="1196">
        <f>T889</f>
        <v>4270903</v>
      </c>
      <c r="T889" s="1196">
        <v>4270903</v>
      </c>
      <c r="U889" s="1196">
        <f>O889-T889</f>
        <v>216938</v>
      </c>
      <c r="V889" s="1119">
        <v>4270903</v>
      </c>
      <c r="W889" s="1119"/>
      <c r="X889" s="1076"/>
      <c r="Y889" s="108" t="s">
        <v>1342</v>
      </c>
      <c r="Z889" s="109">
        <v>0</v>
      </c>
      <c r="AA889" s="109">
        <v>2135451.5</v>
      </c>
      <c r="AB889" s="109">
        <f t="shared" si="65"/>
        <v>2135451.5</v>
      </c>
      <c r="AC889" s="97">
        <v>41003</v>
      </c>
      <c r="AD889" s="119">
        <v>2135452</v>
      </c>
      <c r="AE889" s="119" t="s">
        <v>137</v>
      </c>
      <c r="AF889" s="1084">
        <f>SUM(AD889:AD891)</f>
        <v>4270903.5</v>
      </c>
      <c r="AG889" s="1084"/>
      <c r="AH889" s="111">
        <f t="shared" si="64"/>
        <v>-0.5</v>
      </c>
      <c r="AI889" s="1084">
        <f>T889-SUM(AD889:AD891)</f>
        <v>-0.5</v>
      </c>
      <c r="AJ889" s="1119"/>
      <c r="AK889" s="1119">
        <f>T889-V889</f>
        <v>0</v>
      </c>
      <c r="AL889" s="1119">
        <f>V889-SUM(Z889:Z891)</f>
        <v>0</v>
      </c>
      <c r="AM889" s="1119">
        <f>AK889+AL889</f>
        <v>0</v>
      </c>
      <c r="AN889" s="1203"/>
      <c r="AO889" s="1204"/>
    </row>
    <row r="890" spans="1:43" ht="15" customHeight="1">
      <c r="A890" s="1214"/>
      <c r="B890" s="1171"/>
      <c r="C890" s="1076"/>
      <c r="D890" s="1076"/>
      <c r="E890" s="1208"/>
      <c r="F890" s="1208"/>
      <c r="G890" s="1076"/>
      <c r="H890" s="1076"/>
      <c r="I890" s="1076"/>
      <c r="J890" s="1076"/>
      <c r="K890" s="1076"/>
      <c r="L890" s="1076"/>
      <c r="M890" s="1245"/>
      <c r="N890" s="1353"/>
      <c r="O890" s="1119"/>
      <c r="P890" s="1119"/>
      <c r="Q890" s="1119"/>
      <c r="R890" s="1171"/>
      <c r="S890" s="1196"/>
      <c r="T890" s="1196"/>
      <c r="U890" s="1196"/>
      <c r="V890" s="1119"/>
      <c r="W890" s="1119"/>
      <c r="X890" s="1076"/>
      <c r="Y890" s="108" t="s">
        <v>1344</v>
      </c>
      <c r="Z890" s="109">
        <v>3510000</v>
      </c>
      <c r="AA890" s="109">
        <v>-1755000</v>
      </c>
      <c r="AB890" s="109">
        <f t="shared" si="65"/>
        <v>1755000</v>
      </c>
      <c r="AC890" s="97">
        <v>41263</v>
      </c>
      <c r="AD890" s="119">
        <v>1755000</v>
      </c>
      <c r="AE890" s="119" t="s">
        <v>137</v>
      </c>
      <c r="AF890" s="1084"/>
      <c r="AG890" s="1084"/>
      <c r="AH890" s="111">
        <f t="shared" si="64"/>
        <v>0</v>
      </c>
      <c r="AI890" s="1084"/>
      <c r="AJ890" s="1119"/>
      <c r="AK890" s="1119"/>
      <c r="AL890" s="1119"/>
      <c r="AM890" s="1119"/>
      <c r="AN890" s="1203"/>
      <c r="AO890" s="1204"/>
    </row>
    <row r="891" spans="1:43" ht="15" customHeight="1">
      <c r="A891" s="1214"/>
      <c r="B891" s="1171"/>
      <c r="C891" s="1076"/>
      <c r="D891" s="1076"/>
      <c r="E891" s="1208"/>
      <c r="F891" s="1208"/>
      <c r="G891" s="1076"/>
      <c r="H891" s="1076"/>
      <c r="I891" s="1076"/>
      <c r="J891" s="1076"/>
      <c r="K891" s="1076"/>
      <c r="L891" s="1076"/>
      <c r="M891" s="1245"/>
      <c r="N891" s="1353"/>
      <c r="O891" s="1119"/>
      <c r="P891" s="1119"/>
      <c r="Q891" s="1119"/>
      <c r="R891" s="1171"/>
      <c r="S891" s="1196"/>
      <c r="T891" s="1196"/>
      <c r="U891" s="1196"/>
      <c r="V891" s="1119"/>
      <c r="W891" s="1119"/>
      <c r="X891" s="1076"/>
      <c r="Y891" s="108" t="s">
        <v>1347</v>
      </c>
      <c r="Z891" s="109">
        <v>760903</v>
      </c>
      <c r="AA891" s="109">
        <v>-380451.5</v>
      </c>
      <c r="AB891" s="109">
        <f t="shared" si="65"/>
        <v>380451.5</v>
      </c>
      <c r="AC891" s="97">
        <v>41859</v>
      </c>
      <c r="AD891" s="119">
        <v>380451.5</v>
      </c>
      <c r="AE891" s="119" t="s">
        <v>137</v>
      </c>
      <c r="AF891" s="1084"/>
      <c r="AG891" s="1084"/>
      <c r="AH891" s="111">
        <f t="shared" si="64"/>
        <v>0</v>
      </c>
      <c r="AI891" s="1084"/>
      <c r="AJ891" s="1119"/>
      <c r="AK891" s="1119"/>
      <c r="AL891" s="1119"/>
      <c r="AM891" s="1119"/>
      <c r="AN891" s="1203"/>
      <c r="AO891" s="1204"/>
    </row>
    <row r="892" spans="1:43" s="4" customFormat="1" ht="15" customHeight="1">
      <c r="A892" s="1015" t="s">
        <v>1355</v>
      </c>
      <c r="B892" s="1068">
        <v>40903</v>
      </c>
      <c r="C892" s="1011" t="s">
        <v>22</v>
      </c>
      <c r="D892" s="1023" t="s">
        <v>1339</v>
      </c>
      <c r="E892" s="1071">
        <v>10523877</v>
      </c>
      <c r="F892" s="1071"/>
      <c r="G892" s="1023" t="s">
        <v>2867</v>
      </c>
      <c r="H892" s="1023" t="s">
        <v>70</v>
      </c>
      <c r="I892" s="1023" t="s">
        <v>1354</v>
      </c>
      <c r="J892" s="1011" t="s">
        <v>66</v>
      </c>
      <c r="K892" s="1011" t="s">
        <v>183</v>
      </c>
      <c r="L892" s="1011" t="s">
        <v>954</v>
      </c>
      <c r="M892" s="1286">
        <v>216</v>
      </c>
      <c r="N892" s="1021" t="s">
        <v>137</v>
      </c>
      <c r="O892" s="1062">
        <v>6411215</v>
      </c>
      <c r="P892" s="1062">
        <f>O892</f>
        <v>6411215</v>
      </c>
      <c r="Q892" s="1062">
        <f>P892+P894+P896</f>
        <v>24083340</v>
      </c>
      <c r="R892" s="1068">
        <v>40851</v>
      </c>
      <c r="S892" s="1089">
        <f>T892</f>
        <v>6000000</v>
      </c>
      <c r="T892" s="1062">
        <v>6000000</v>
      </c>
      <c r="U892" s="1062">
        <f>O892-T892</f>
        <v>411215</v>
      </c>
      <c r="V892" s="1043">
        <v>6000000</v>
      </c>
      <c r="W892" s="1043">
        <f>V892+V894+V896</f>
        <v>22990443</v>
      </c>
      <c r="X892" s="1011" t="s">
        <v>1366</v>
      </c>
      <c r="Y892" s="108" t="s">
        <v>1368</v>
      </c>
      <c r="Z892" s="109">
        <v>0</v>
      </c>
      <c r="AA892" s="109">
        <v>3000000</v>
      </c>
      <c r="AB892" s="109">
        <f t="shared" si="65"/>
        <v>3000000</v>
      </c>
      <c r="AC892" s="97">
        <v>41075</v>
      </c>
      <c r="AD892" s="119">
        <v>3000000</v>
      </c>
      <c r="AE892" s="119" t="s">
        <v>137</v>
      </c>
      <c r="AF892" s="1043">
        <f>SUM(AD892:AD893)</f>
        <v>6000000</v>
      </c>
      <c r="AG892" s="1043">
        <f>SUM(AD892:AD896)</f>
        <v>22990443</v>
      </c>
      <c r="AH892" s="111">
        <f t="shared" si="64"/>
        <v>0</v>
      </c>
      <c r="AI892" s="1043">
        <f>T892-AD892-AD893</f>
        <v>0</v>
      </c>
      <c r="AJ892" s="1043">
        <f>SUM(Z892:Z896)-SUM(AD892:AD896)</f>
        <v>0</v>
      </c>
      <c r="AK892" s="1043">
        <f>T892-V892</f>
        <v>0</v>
      </c>
      <c r="AL892" s="1043">
        <f>V892-SUM(Z892:Z893)</f>
        <v>0</v>
      </c>
      <c r="AM892" s="1043">
        <f>AK892+AL892</f>
        <v>0</v>
      </c>
      <c r="AN892" s="1023" t="s">
        <v>606</v>
      </c>
      <c r="AO892" s="1103" t="s">
        <v>1372</v>
      </c>
      <c r="AQ892" s="934"/>
    </row>
    <row r="893" spans="1:43" s="4" customFormat="1" ht="15" customHeight="1">
      <c r="A893" s="1050"/>
      <c r="B893" s="1069"/>
      <c r="C893" s="1012"/>
      <c r="D893" s="1124"/>
      <c r="E893" s="1072"/>
      <c r="F893" s="1072"/>
      <c r="G893" s="1124"/>
      <c r="H893" s="1124"/>
      <c r="I893" s="1124"/>
      <c r="J893" s="1033"/>
      <c r="K893" s="1033"/>
      <c r="L893" s="1033"/>
      <c r="M893" s="1288"/>
      <c r="N893" s="1038"/>
      <c r="O893" s="1064"/>
      <c r="P893" s="1064"/>
      <c r="Q893" s="1063"/>
      <c r="R893" s="1070"/>
      <c r="S893" s="1091"/>
      <c r="T893" s="1064"/>
      <c r="U893" s="1064"/>
      <c r="V893" s="1045"/>
      <c r="W893" s="1044"/>
      <c r="X893" s="1033"/>
      <c r="Y893" s="108" t="s">
        <v>1370</v>
      </c>
      <c r="Z893" s="109">
        <v>6000000</v>
      </c>
      <c r="AA893" s="109">
        <v>-3000000</v>
      </c>
      <c r="AB893" s="109">
        <f t="shared" si="65"/>
        <v>3000000</v>
      </c>
      <c r="AC893" s="97">
        <v>42037</v>
      </c>
      <c r="AD893" s="119">
        <v>3000000</v>
      </c>
      <c r="AE893" s="119" t="s">
        <v>137</v>
      </c>
      <c r="AF893" s="1045"/>
      <c r="AG893" s="1044"/>
      <c r="AH893" s="111">
        <f t="shared" si="64"/>
        <v>0</v>
      </c>
      <c r="AI893" s="1044"/>
      <c r="AJ893" s="1044"/>
      <c r="AK893" s="1045"/>
      <c r="AL893" s="1045"/>
      <c r="AM893" s="1045"/>
      <c r="AN893" s="1124"/>
      <c r="AO893" s="1104"/>
      <c r="AQ893" s="934"/>
    </row>
    <row r="894" spans="1:43" s="4" customFormat="1" ht="15" customHeight="1">
      <c r="A894" s="1050"/>
      <c r="B894" s="1069"/>
      <c r="C894" s="1011" t="s">
        <v>26</v>
      </c>
      <c r="D894" s="1124"/>
      <c r="E894" s="1072"/>
      <c r="F894" s="1072"/>
      <c r="G894" s="1124"/>
      <c r="H894" s="1124"/>
      <c r="I894" s="1124"/>
      <c r="J894" s="1033"/>
      <c r="K894" s="1033"/>
      <c r="L894" s="1033"/>
      <c r="M894" s="1286">
        <v>222</v>
      </c>
      <c r="N894" s="1021" t="s">
        <v>137</v>
      </c>
      <c r="O894" s="1062">
        <v>14681682</v>
      </c>
      <c r="P894" s="1062">
        <f>O894</f>
        <v>14681682</v>
      </c>
      <c r="Q894" s="1063"/>
      <c r="R894" s="1068">
        <v>40851</v>
      </c>
      <c r="S894" s="1089">
        <f>T894</f>
        <v>14000000</v>
      </c>
      <c r="T894" s="1062">
        <v>14000000</v>
      </c>
      <c r="U894" s="1062">
        <f>O894-T894</f>
        <v>681682</v>
      </c>
      <c r="V894" s="1043">
        <v>14000000</v>
      </c>
      <c r="W894" s="1044"/>
      <c r="X894" s="1033"/>
      <c r="Y894" s="108" t="s">
        <v>1368</v>
      </c>
      <c r="Z894" s="109">
        <v>0</v>
      </c>
      <c r="AA894" s="109">
        <v>7000000</v>
      </c>
      <c r="AB894" s="109">
        <f t="shared" si="65"/>
        <v>7000000</v>
      </c>
      <c r="AC894" s="97">
        <v>41075</v>
      </c>
      <c r="AD894" s="119">
        <v>7000000</v>
      </c>
      <c r="AE894" s="119" t="s">
        <v>137</v>
      </c>
      <c r="AF894" s="1043">
        <f>SUM(AD894:AD895)</f>
        <v>14000000</v>
      </c>
      <c r="AG894" s="1044"/>
      <c r="AH894" s="111">
        <f t="shared" ref="AH894:AH925" si="66">AB894-AD894</f>
        <v>0</v>
      </c>
      <c r="AI894" s="1084">
        <f>T894-AD894-AD895</f>
        <v>0</v>
      </c>
      <c r="AJ894" s="1044"/>
      <c r="AK894" s="1043">
        <f>T894-V894</f>
        <v>0</v>
      </c>
      <c r="AL894" s="1043">
        <f>V894-SUM(Z894:Z895)</f>
        <v>0</v>
      </c>
      <c r="AM894" s="1043">
        <f>AK894+AL894</f>
        <v>0</v>
      </c>
      <c r="AN894" s="1124"/>
      <c r="AO894" s="1104"/>
      <c r="AQ894" s="934"/>
    </row>
    <row r="895" spans="1:43" s="4" customFormat="1" ht="15" customHeight="1">
      <c r="A895" s="1050"/>
      <c r="B895" s="1069"/>
      <c r="C895" s="1012"/>
      <c r="D895" s="1124"/>
      <c r="E895" s="1072"/>
      <c r="F895" s="1072"/>
      <c r="G895" s="1124"/>
      <c r="H895" s="1124"/>
      <c r="I895" s="1124"/>
      <c r="J895" s="1012"/>
      <c r="K895" s="1033"/>
      <c r="L895" s="1033"/>
      <c r="M895" s="1288"/>
      <c r="N895" s="1038"/>
      <c r="O895" s="1064"/>
      <c r="P895" s="1064"/>
      <c r="Q895" s="1063"/>
      <c r="R895" s="1070"/>
      <c r="S895" s="1091"/>
      <c r="T895" s="1064"/>
      <c r="U895" s="1064"/>
      <c r="V895" s="1045"/>
      <c r="W895" s="1044"/>
      <c r="X895" s="1033"/>
      <c r="Y895" s="108" t="s">
        <v>1369</v>
      </c>
      <c r="Z895" s="109">
        <v>14000000</v>
      </c>
      <c r="AA895" s="109">
        <v>-7000000</v>
      </c>
      <c r="AB895" s="109">
        <f t="shared" si="65"/>
        <v>7000000</v>
      </c>
      <c r="AC895" s="97">
        <v>41857</v>
      </c>
      <c r="AD895" s="119">
        <v>7000000</v>
      </c>
      <c r="AE895" s="119" t="s">
        <v>137</v>
      </c>
      <c r="AF895" s="1045"/>
      <c r="AG895" s="1044"/>
      <c r="AH895" s="111">
        <f t="shared" si="66"/>
        <v>0</v>
      </c>
      <c r="AI895" s="1084"/>
      <c r="AJ895" s="1044"/>
      <c r="AK895" s="1045"/>
      <c r="AL895" s="1045"/>
      <c r="AM895" s="1045"/>
      <c r="AN895" s="1124"/>
      <c r="AO895" s="1104"/>
      <c r="AQ895" s="934"/>
    </row>
    <row r="896" spans="1:43" s="4" customFormat="1" ht="15" customHeight="1">
      <c r="A896" s="1016"/>
      <c r="B896" s="1070"/>
      <c r="C896" s="113" t="s">
        <v>22</v>
      </c>
      <c r="D896" s="1024"/>
      <c r="E896" s="1073"/>
      <c r="F896" s="1073"/>
      <c r="G896" s="1024"/>
      <c r="H896" s="1024"/>
      <c r="I896" s="1024"/>
      <c r="J896" s="113" t="s">
        <v>67</v>
      </c>
      <c r="K896" s="1012"/>
      <c r="L896" s="1012"/>
      <c r="M896" s="132">
        <v>307</v>
      </c>
      <c r="N896" s="98" t="s">
        <v>7</v>
      </c>
      <c r="O896" s="109">
        <v>2990443</v>
      </c>
      <c r="P896" s="109">
        <f>O896</f>
        <v>2990443</v>
      </c>
      <c r="Q896" s="1064"/>
      <c r="R896" s="97">
        <v>41798</v>
      </c>
      <c r="S896" s="151">
        <f>T896</f>
        <v>2990443</v>
      </c>
      <c r="T896" s="109">
        <v>2990443</v>
      </c>
      <c r="U896" s="109">
        <f>O896-T896</f>
        <v>0</v>
      </c>
      <c r="V896" s="111">
        <v>2990443</v>
      </c>
      <c r="W896" s="1045"/>
      <c r="X896" s="1012"/>
      <c r="Y896" s="108" t="s">
        <v>1371</v>
      </c>
      <c r="Z896" s="109">
        <v>2990443</v>
      </c>
      <c r="AA896" s="109">
        <v>0</v>
      </c>
      <c r="AB896" s="109">
        <f t="shared" si="65"/>
        <v>2990443</v>
      </c>
      <c r="AC896" s="97">
        <v>42037</v>
      </c>
      <c r="AD896" s="119">
        <v>2990443</v>
      </c>
      <c r="AE896" s="119" t="s">
        <v>7</v>
      </c>
      <c r="AF896" s="111">
        <f>AD896</f>
        <v>2990443</v>
      </c>
      <c r="AG896" s="1045"/>
      <c r="AH896" s="111">
        <f t="shared" si="66"/>
        <v>0</v>
      </c>
      <c r="AI896" s="89">
        <f>T896-AD896</f>
        <v>0</v>
      </c>
      <c r="AJ896" s="1045"/>
      <c r="AK896" s="111">
        <f>T896-V896</f>
        <v>0</v>
      </c>
      <c r="AL896" s="111">
        <f>V896-Z896</f>
        <v>0</v>
      </c>
      <c r="AM896" s="111">
        <f>AK896+AL896</f>
        <v>0</v>
      </c>
      <c r="AN896" s="1024"/>
      <c r="AO896" s="1105"/>
      <c r="AQ896" s="934"/>
    </row>
    <row r="897" spans="1:43" s="4" customFormat="1" ht="15" customHeight="1">
      <c r="A897" s="1354" t="s">
        <v>1373</v>
      </c>
      <c r="B897" s="1068">
        <v>40906</v>
      </c>
      <c r="C897" s="1023" t="s">
        <v>46</v>
      </c>
      <c r="D897" s="1023" t="s">
        <v>1374</v>
      </c>
      <c r="E897" s="1178">
        <v>900487511</v>
      </c>
      <c r="F897" s="1178">
        <v>7</v>
      </c>
      <c r="G897" s="1023" t="s">
        <v>1375</v>
      </c>
      <c r="H897" s="1023" t="s">
        <v>70</v>
      </c>
      <c r="I897" s="1023" t="s">
        <v>206</v>
      </c>
      <c r="J897" s="1023" t="s">
        <v>66</v>
      </c>
      <c r="K897" s="1023" t="s">
        <v>250</v>
      </c>
      <c r="L897" s="1023" t="s">
        <v>1367</v>
      </c>
      <c r="M897" s="1286">
        <v>2</v>
      </c>
      <c r="N897" s="1023" t="s">
        <v>155</v>
      </c>
      <c r="O897" s="1043">
        <v>114671764</v>
      </c>
      <c r="P897" s="1043">
        <f>O897</f>
        <v>114671764</v>
      </c>
      <c r="Q897" s="1043">
        <f>P897</f>
        <v>114671764</v>
      </c>
      <c r="R897" s="1068">
        <v>40871</v>
      </c>
      <c r="S897" s="1089">
        <f>T897</f>
        <v>114671764</v>
      </c>
      <c r="T897" s="1062">
        <v>114671764</v>
      </c>
      <c r="U897" s="1062">
        <f>O897-T897</f>
        <v>0</v>
      </c>
      <c r="V897" s="1043">
        <v>114637000</v>
      </c>
      <c r="W897" s="1043">
        <v>114637000</v>
      </c>
      <c r="X897" s="1023" t="s">
        <v>1138</v>
      </c>
      <c r="Y897" s="108" t="s">
        <v>1376</v>
      </c>
      <c r="Z897" s="109">
        <v>0</v>
      </c>
      <c r="AA897" s="109">
        <v>57318500</v>
      </c>
      <c r="AB897" s="109">
        <f t="shared" si="65"/>
        <v>57318500</v>
      </c>
      <c r="AC897" s="97">
        <v>41269</v>
      </c>
      <c r="AD897" s="119">
        <v>57318500</v>
      </c>
      <c r="AE897" s="119" t="s">
        <v>155</v>
      </c>
      <c r="AF897" s="1043">
        <f>SUM(AD897:AD899)</f>
        <v>108905150</v>
      </c>
      <c r="AG897" s="1043">
        <f>AF897</f>
        <v>108905150</v>
      </c>
      <c r="AH897" s="111">
        <f t="shared" si="66"/>
        <v>0</v>
      </c>
      <c r="AI897" s="1043">
        <f>O897-SUM(AD897:AD899)</f>
        <v>5766614</v>
      </c>
      <c r="AJ897" s="1043">
        <f>SUM(Z897:Z899)-SUM(AD897:AD899)</f>
        <v>-5731850</v>
      </c>
      <c r="AK897" s="1043">
        <f>P897-V897</f>
        <v>34764</v>
      </c>
      <c r="AL897" s="1043">
        <f>V897-SUM(Z897:Z899)+AJ897</f>
        <v>5731850</v>
      </c>
      <c r="AM897" s="1043">
        <f>AL897+AK897</f>
        <v>5766614</v>
      </c>
      <c r="AN897" s="1023" t="s">
        <v>1379</v>
      </c>
      <c r="AO897" s="1023" t="s">
        <v>1380</v>
      </c>
      <c r="AQ897" s="934"/>
    </row>
    <row r="898" spans="1:43" s="4" customFormat="1" ht="15" customHeight="1">
      <c r="A898" s="1355"/>
      <c r="B898" s="1069"/>
      <c r="C898" s="1124"/>
      <c r="D898" s="1124"/>
      <c r="E898" s="1179"/>
      <c r="F898" s="1179"/>
      <c r="G898" s="1124"/>
      <c r="H898" s="1124"/>
      <c r="I898" s="1124"/>
      <c r="J898" s="1124"/>
      <c r="K898" s="1124"/>
      <c r="L898" s="1124"/>
      <c r="M898" s="1287"/>
      <c r="N898" s="1124"/>
      <c r="O898" s="1044"/>
      <c r="P898" s="1044"/>
      <c r="Q898" s="1044"/>
      <c r="R898" s="1069"/>
      <c r="S898" s="1090"/>
      <c r="T898" s="1063"/>
      <c r="U898" s="1063"/>
      <c r="V898" s="1044"/>
      <c r="W898" s="1044"/>
      <c r="X898" s="1124"/>
      <c r="Y898" s="108" t="s">
        <v>1377</v>
      </c>
      <c r="Z898" s="109">
        <v>85977750</v>
      </c>
      <c r="AA898" s="109">
        <v>-42988875</v>
      </c>
      <c r="AB898" s="109">
        <f t="shared" si="65"/>
        <v>42988875</v>
      </c>
      <c r="AC898" s="97">
        <v>41451</v>
      </c>
      <c r="AD898" s="119">
        <v>42988875</v>
      </c>
      <c r="AE898" s="119" t="s">
        <v>155</v>
      </c>
      <c r="AF898" s="1044"/>
      <c r="AG898" s="1044"/>
      <c r="AH898" s="111">
        <f t="shared" si="66"/>
        <v>0</v>
      </c>
      <c r="AI898" s="1044"/>
      <c r="AJ898" s="1044"/>
      <c r="AK898" s="1044"/>
      <c r="AL898" s="1044"/>
      <c r="AM898" s="1044"/>
      <c r="AN898" s="1124"/>
      <c r="AO898" s="1124"/>
      <c r="AQ898" s="934"/>
    </row>
    <row r="899" spans="1:43" s="4" customFormat="1" ht="15" customHeight="1">
      <c r="A899" s="1356"/>
      <c r="B899" s="1070"/>
      <c r="C899" s="1024"/>
      <c r="D899" s="1024"/>
      <c r="E899" s="1180"/>
      <c r="F899" s="1180"/>
      <c r="G899" s="1024"/>
      <c r="H899" s="1024"/>
      <c r="I899" s="1024"/>
      <c r="J899" s="1024"/>
      <c r="K899" s="1024"/>
      <c r="L899" s="1024"/>
      <c r="M899" s="1288"/>
      <c r="N899" s="1024"/>
      <c r="O899" s="1045"/>
      <c r="P899" s="1045"/>
      <c r="Q899" s="1045"/>
      <c r="R899" s="1070"/>
      <c r="S899" s="1091"/>
      <c r="T899" s="1064"/>
      <c r="U899" s="1064"/>
      <c r="V899" s="1045"/>
      <c r="W899" s="1045"/>
      <c r="X899" s="1024"/>
      <c r="Y899" s="108" t="s">
        <v>1378</v>
      </c>
      <c r="Z899" s="109">
        <v>17195550</v>
      </c>
      <c r="AA899" s="109">
        <v>-8597775</v>
      </c>
      <c r="AB899" s="109">
        <f t="shared" si="65"/>
        <v>8597775</v>
      </c>
      <c r="AC899" s="97">
        <v>41528</v>
      </c>
      <c r="AD899" s="119">
        <v>8597775</v>
      </c>
      <c r="AE899" s="119" t="s">
        <v>155</v>
      </c>
      <c r="AF899" s="1045"/>
      <c r="AG899" s="1045"/>
      <c r="AH899" s="111">
        <f t="shared" si="66"/>
        <v>0</v>
      </c>
      <c r="AI899" s="1045"/>
      <c r="AJ899" s="1045"/>
      <c r="AK899" s="1045"/>
      <c r="AL899" s="1045"/>
      <c r="AM899" s="1045"/>
      <c r="AN899" s="1024"/>
      <c r="AO899" s="1024"/>
      <c r="AQ899" s="934"/>
    </row>
    <row r="900" spans="1:43" ht="15" customHeight="1">
      <c r="A900" s="1030" t="s">
        <v>1381</v>
      </c>
      <c r="B900" s="1068">
        <v>40906</v>
      </c>
      <c r="C900" s="1011" t="s">
        <v>43</v>
      </c>
      <c r="D900" s="1011" t="s">
        <v>1382</v>
      </c>
      <c r="E900" s="1071">
        <v>900490282</v>
      </c>
      <c r="F900" s="1071">
        <v>6</v>
      </c>
      <c r="G900" s="1011" t="s">
        <v>1383</v>
      </c>
      <c r="H900" s="1011" t="s">
        <v>72</v>
      </c>
      <c r="I900" s="1011" t="s">
        <v>206</v>
      </c>
      <c r="J900" s="1011" t="s">
        <v>66</v>
      </c>
      <c r="K900" s="1011" t="s">
        <v>183</v>
      </c>
      <c r="L900" s="1011" t="s">
        <v>1443</v>
      </c>
      <c r="M900" s="1286">
        <v>230</v>
      </c>
      <c r="N900" s="1065" t="s">
        <v>7</v>
      </c>
      <c r="O900" s="1062">
        <v>45116885</v>
      </c>
      <c r="P900" s="1062">
        <f>O900</f>
        <v>45116885</v>
      </c>
      <c r="Q900" s="1062">
        <f>P900+P909</f>
        <v>70915067</v>
      </c>
      <c r="R900" s="1068">
        <v>40899</v>
      </c>
      <c r="S900" s="1092">
        <f>T900</f>
        <v>45116885</v>
      </c>
      <c r="T900" s="1062">
        <v>45116885</v>
      </c>
      <c r="U900" s="1062">
        <f>O900-T900</f>
        <v>0</v>
      </c>
      <c r="V900" s="1062">
        <v>45097668</v>
      </c>
      <c r="W900" s="1062">
        <v>70887600</v>
      </c>
      <c r="X900" s="1011" t="s">
        <v>1138</v>
      </c>
      <c r="Y900" s="108" t="s">
        <v>1384</v>
      </c>
      <c r="Z900" s="109">
        <v>0</v>
      </c>
      <c r="AA900" s="109">
        <v>22548834</v>
      </c>
      <c r="AB900" s="109">
        <f t="shared" si="65"/>
        <v>22548834</v>
      </c>
      <c r="AC900" s="97">
        <v>41094</v>
      </c>
      <c r="AD900" s="119">
        <v>22548834</v>
      </c>
      <c r="AE900" s="119" t="s">
        <v>7</v>
      </c>
      <c r="AF900" s="1043">
        <f>SUM(AD900:AD908)</f>
        <v>45097670</v>
      </c>
      <c r="AG900" s="1043"/>
      <c r="AH900" s="111">
        <f t="shared" si="66"/>
        <v>0</v>
      </c>
      <c r="AI900" s="1043"/>
      <c r="AJ900" s="1062">
        <f>SUM(Z900:Z916)-SUM(AD900:AD916)</f>
        <v>5268448</v>
      </c>
      <c r="AK900" s="1062">
        <f>P900-V900</f>
        <v>19217</v>
      </c>
      <c r="AL900" s="1062">
        <f>V900-SUM(Z900:Z908)</f>
        <v>0</v>
      </c>
      <c r="AM900" s="1062"/>
      <c r="AN900" s="1103"/>
      <c r="AO900" s="1357" t="s">
        <v>2316</v>
      </c>
    </row>
    <row r="901" spans="1:43" ht="15" customHeight="1">
      <c r="A901" s="1031"/>
      <c r="B901" s="1069"/>
      <c r="C901" s="1033"/>
      <c r="D901" s="1033"/>
      <c r="E901" s="1072"/>
      <c r="F901" s="1072"/>
      <c r="G901" s="1033"/>
      <c r="H901" s="1033"/>
      <c r="I901" s="1033"/>
      <c r="J901" s="1033"/>
      <c r="K901" s="1033"/>
      <c r="L901" s="1033"/>
      <c r="M901" s="1287"/>
      <c r="N901" s="1066"/>
      <c r="O901" s="1063"/>
      <c r="P901" s="1063"/>
      <c r="Q901" s="1063"/>
      <c r="R901" s="1069"/>
      <c r="S901" s="1093"/>
      <c r="T901" s="1063"/>
      <c r="U901" s="1063"/>
      <c r="V901" s="1063"/>
      <c r="W901" s="1063"/>
      <c r="X901" s="1033"/>
      <c r="Y901" s="108" t="s">
        <v>1385</v>
      </c>
      <c r="Z901" s="109">
        <v>6614501</v>
      </c>
      <c r="AA901" s="109">
        <v>-3307250.5</v>
      </c>
      <c r="AB901" s="109">
        <f t="shared" si="65"/>
        <v>3307250.5</v>
      </c>
      <c r="AC901" s="97">
        <v>41179</v>
      </c>
      <c r="AD901" s="119">
        <v>3307250.5</v>
      </c>
      <c r="AE901" s="119" t="s">
        <v>7</v>
      </c>
      <c r="AF901" s="1044"/>
      <c r="AG901" s="1044"/>
      <c r="AH901" s="111">
        <f t="shared" si="66"/>
        <v>0</v>
      </c>
      <c r="AI901" s="1044"/>
      <c r="AJ901" s="1063"/>
      <c r="AK901" s="1063"/>
      <c r="AL901" s="1063"/>
      <c r="AM901" s="1063"/>
      <c r="AN901" s="1104"/>
      <c r="AO901" s="1358"/>
    </row>
    <row r="902" spans="1:43" ht="15" customHeight="1">
      <c r="A902" s="1031"/>
      <c r="B902" s="1069"/>
      <c r="C902" s="1033"/>
      <c r="D902" s="1033"/>
      <c r="E902" s="1072"/>
      <c r="F902" s="1072"/>
      <c r="G902" s="1033"/>
      <c r="H902" s="1033"/>
      <c r="I902" s="1033"/>
      <c r="J902" s="1033"/>
      <c r="K902" s="1033"/>
      <c r="L902" s="1033"/>
      <c r="M902" s="1287"/>
      <c r="N902" s="1066"/>
      <c r="O902" s="1063"/>
      <c r="P902" s="1063"/>
      <c r="Q902" s="1063"/>
      <c r="R902" s="1069"/>
      <c r="S902" s="1093"/>
      <c r="T902" s="1063"/>
      <c r="U902" s="1063"/>
      <c r="V902" s="1063"/>
      <c r="W902" s="1063"/>
      <c r="X902" s="1033"/>
      <c r="Y902" s="108" t="s">
        <v>1387</v>
      </c>
      <c r="Z902" s="109">
        <v>6614501</v>
      </c>
      <c r="AA902" s="109">
        <v>-3307250.5</v>
      </c>
      <c r="AB902" s="109">
        <f t="shared" si="65"/>
        <v>3307250.5</v>
      </c>
      <c r="AC902" s="97">
        <v>41179</v>
      </c>
      <c r="AD902" s="119">
        <v>3307250.5</v>
      </c>
      <c r="AE902" s="119" t="s">
        <v>7</v>
      </c>
      <c r="AF902" s="1044"/>
      <c r="AG902" s="1044"/>
      <c r="AH902" s="111">
        <f t="shared" si="66"/>
        <v>0</v>
      </c>
      <c r="AI902" s="1044"/>
      <c r="AJ902" s="1063"/>
      <c r="AK902" s="1063"/>
      <c r="AL902" s="1063"/>
      <c r="AM902" s="1063"/>
      <c r="AN902" s="1104"/>
      <c r="AO902" s="1358"/>
    </row>
    <row r="903" spans="1:43" ht="15" customHeight="1">
      <c r="A903" s="1031"/>
      <c r="B903" s="1069"/>
      <c r="C903" s="1033"/>
      <c r="D903" s="1033"/>
      <c r="E903" s="1072"/>
      <c r="F903" s="1072"/>
      <c r="G903" s="1033"/>
      <c r="H903" s="1033"/>
      <c r="I903" s="1033"/>
      <c r="J903" s="1033"/>
      <c r="K903" s="1033"/>
      <c r="L903" s="1033"/>
      <c r="M903" s="1287"/>
      <c r="N903" s="1066"/>
      <c r="O903" s="1063"/>
      <c r="P903" s="1063"/>
      <c r="Q903" s="1063"/>
      <c r="R903" s="1069"/>
      <c r="S903" s="1093"/>
      <c r="T903" s="1063"/>
      <c r="U903" s="1063"/>
      <c r="V903" s="1063"/>
      <c r="W903" s="1063"/>
      <c r="X903" s="1033"/>
      <c r="Y903" s="108" t="s">
        <v>1389</v>
      </c>
      <c r="Z903" s="109">
        <v>6614501</v>
      </c>
      <c r="AA903" s="109">
        <v>-3307250.5</v>
      </c>
      <c r="AB903" s="109">
        <f t="shared" si="65"/>
        <v>3307250.5</v>
      </c>
      <c r="AC903" s="97">
        <v>41179</v>
      </c>
      <c r="AD903" s="119">
        <v>3307250.5</v>
      </c>
      <c r="AE903" s="119" t="s">
        <v>7</v>
      </c>
      <c r="AF903" s="1044"/>
      <c r="AG903" s="1044"/>
      <c r="AH903" s="111">
        <f t="shared" si="66"/>
        <v>0</v>
      </c>
      <c r="AI903" s="1044"/>
      <c r="AJ903" s="1063"/>
      <c r="AK903" s="1063"/>
      <c r="AL903" s="1063"/>
      <c r="AM903" s="1063"/>
      <c r="AN903" s="1104"/>
      <c r="AO903" s="1358"/>
    </row>
    <row r="904" spans="1:43" ht="15" customHeight="1">
      <c r="A904" s="1031"/>
      <c r="B904" s="1069"/>
      <c r="C904" s="1033"/>
      <c r="D904" s="1033"/>
      <c r="E904" s="1072"/>
      <c r="F904" s="1072"/>
      <c r="G904" s="1033"/>
      <c r="H904" s="1033"/>
      <c r="I904" s="1033"/>
      <c r="J904" s="1033"/>
      <c r="K904" s="1033"/>
      <c r="L904" s="1033"/>
      <c r="M904" s="1287"/>
      <c r="N904" s="1066"/>
      <c r="O904" s="1063"/>
      <c r="P904" s="1063"/>
      <c r="Q904" s="1063"/>
      <c r="R904" s="1069"/>
      <c r="S904" s="1093"/>
      <c r="T904" s="1063"/>
      <c r="U904" s="1063"/>
      <c r="V904" s="1063"/>
      <c r="W904" s="1063"/>
      <c r="X904" s="1033"/>
      <c r="Y904" s="108" t="s">
        <v>1391</v>
      </c>
      <c r="Z904" s="109">
        <v>6614502</v>
      </c>
      <c r="AA904" s="109">
        <v>-3307250.5</v>
      </c>
      <c r="AB904" s="109">
        <f t="shared" si="65"/>
        <v>3307251.5</v>
      </c>
      <c r="AC904" s="97">
        <v>41232</v>
      </c>
      <c r="AD904" s="119">
        <v>3307251.5</v>
      </c>
      <c r="AE904" s="119" t="s">
        <v>7</v>
      </c>
      <c r="AF904" s="1044"/>
      <c r="AG904" s="1044"/>
      <c r="AH904" s="111">
        <f t="shared" si="66"/>
        <v>0</v>
      </c>
      <c r="AI904" s="1044"/>
      <c r="AJ904" s="1063"/>
      <c r="AK904" s="1063"/>
      <c r="AL904" s="1063"/>
      <c r="AM904" s="1063"/>
      <c r="AN904" s="1104"/>
      <c r="AO904" s="1358"/>
    </row>
    <row r="905" spans="1:43" ht="15" customHeight="1">
      <c r="A905" s="1031"/>
      <c r="B905" s="1069"/>
      <c r="C905" s="1033"/>
      <c r="D905" s="1033"/>
      <c r="E905" s="1072"/>
      <c r="F905" s="1072"/>
      <c r="G905" s="1033"/>
      <c r="H905" s="1033"/>
      <c r="I905" s="1033"/>
      <c r="J905" s="1033"/>
      <c r="K905" s="1033"/>
      <c r="L905" s="1033"/>
      <c r="M905" s="1287"/>
      <c r="N905" s="1066"/>
      <c r="O905" s="1063"/>
      <c r="P905" s="1063"/>
      <c r="Q905" s="1063"/>
      <c r="R905" s="1069"/>
      <c r="S905" s="1093"/>
      <c r="T905" s="1063"/>
      <c r="U905" s="1063"/>
      <c r="V905" s="1063"/>
      <c r="W905" s="1063"/>
      <c r="X905" s="1033"/>
      <c r="Y905" s="108" t="s">
        <v>1393</v>
      </c>
      <c r="Z905" s="109">
        <v>6614502</v>
      </c>
      <c r="AA905" s="109">
        <v>-3307250.5</v>
      </c>
      <c r="AB905" s="109">
        <f t="shared" si="65"/>
        <v>3307251.5</v>
      </c>
      <c r="AC905" s="97">
        <v>41232</v>
      </c>
      <c r="AD905" s="119">
        <v>3307252</v>
      </c>
      <c r="AE905" s="119" t="s">
        <v>7</v>
      </c>
      <c r="AF905" s="1044"/>
      <c r="AG905" s="1044"/>
      <c r="AH905" s="111">
        <f t="shared" si="66"/>
        <v>-0.5</v>
      </c>
      <c r="AI905" s="1044"/>
      <c r="AJ905" s="1063"/>
      <c r="AK905" s="1063"/>
      <c r="AL905" s="1063"/>
      <c r="AM905" s="1063"/>
      <c r="AN905" s="1104"/>
      <c r="AO905" s="1358"/>
    </row>
    <row r="906" spans="1:43" ht="15" customHeight="1">
      <c r="A906" s="1031"/>
      <c r="B906" s="1069"/>
      <c r="C906" s="1033"/>
      <c r="D906" s="1033"/>
      <c r="E906" s="1072"/>
      <c r="F906" s="1072"/>
      <c r="G906" s="1033"/>
      <c r="H906" s="1033"/>
      <c r="I906" s="1033"/>
      <c r="J906" s="1033"/>
      <c r="K906" s="1033"/>
      <c r="L906" s="1033"/>
      <c r="M906" s="1287"/>
      <c r="N906" s="1066"/>
      <c r="O906" s="1063"/>
      <c r="P906" s="1063"/>
      <c r="Q906" s="1063"/>
      <c r="R906" s="1069"/>
      <c r="S906" s="1093"/>
      <c r="T906" s="1063"/>
      <c r="U906" s="1063"/>
      <c r="V906" s="1063"/>
      <c r="W906" s="1063"/>
      <c r="X906" s="1033"/>
      <c r="Y906" s="108" t="s">
        <v>1395</v>
      </c>
      <c r="Z906" s="109">
        <v>6614502</v>
      </c>
      <c r="AA906" s="109">
        <v>-3307250.5</v>
      </c>
      <c r="AB906" s="109">
        <f t="shared" si="65"/>
        <v>3307251.5</v>
      </c>
      <c r="AC906" s="97">
        <v>41232</v>
      </c>
      <c r="AD906" s="119">
        <v>3307251.5</v>
      </c>
      <c r="AE906" s="119" t="s">
        <v>7</v>
      </c>
      <c r="AF906" s="1044"/>
      <c r="AG906" s="1044"/>
      <c r="AH906" s="111">
        <f t="shared" si="66"/>
        <v>0</v>
      </c>
      <c r="AI906" s="1044"/>
      <c r="AJ906" s="1063"/>
      <c r="AK906" s="1063"/>
      <c r="AL906" s="1063"/>
      <c r="AM906" s="1063"/>
      <c r="AN906" s="1104"/>
      <c r="AO906" s="1358"/>
    </row>
    <row r="907" spans="1:43" ht="15" customHeight="1">
      <c r="A907" s="1031"/>
      <c r="B907" s="1069"/>
      <c r="C907" s="1033"/>
      <c r="D907" s="1033"/>
      <c r="E907" s="1072"/>
      <c r="F907" s="1072"/>
      <c r="G907" s="1033"/>
      <c r="H907" s="1033"/>
      <c r="I907" s="1033"/>
      <c r="J907" s="1033"/>
      <c r="K907" s="1033"/>
      <c r="L907" s="1033"/>
      <c r="M907" s="1287"/>
      <c r="N907" s="1066"/>
      <c r="O907" s="1063"/>
      <c r="P907" s="1063"/>
      <c r="Q907" s="1063"/>
      <c r="R907" s="1069"/>
      <c r="S907" s="1093"/>
      <c r="T907" s="1063"/>
      <c r="U907" s="1063"/>
      <c r="V907" s="1063"/>
      <c r="W907" s="1063"/>
      <c r="X907" s="1033"/>
      <c r="Y907" s="108" t="s">
        <v>1397</v>
      </c>
      <c r="Z907" s="109">
        <v>5410659</v>
      </c>
      <c r="AA907" s="109">
        <v>-2705329.5</v>
      </c>
      <c r="AB907" s="109">
        <f t="shared" si="65"/>
        <v>2705329.5</v>
      </c>
      <c r="AC907" s="97">
        <v>41465</v>
      </c>
      <c r="AD907" s="119">
        <v>2705329.5</v>
      </c>
      <c r="AE907" s="119" t="s">
        <v>7</v>
      </c>
      <c r="AF907" s="1044"/>
      <c r="AG907" s="1044"/>
      <c r="AH907" s="111">
        <f t="shared" si="66"/>
        <v>0</v>
      </c>
      <c r="AI907" s="1044"/>
      <c r="AJ907" s="1063"/>
      <c r="AK907" s="1063"/>
      <c r="AL907" s="1063"/>
      <c r="AM907" s="1063"/>
      <c r="AN907" s="1104"/>
      <c r="AO907" s="1358"/>
    </row>
    <row r="908" spans="1:43" ht="15" customHeight="1">
      <c r="A908" s="1031"/>
      <c r="B908" s="1069"/>
      <c r="C908" s="1012"/>
      <c r="D908" s="1033"/>
      <c r="E908" s="1072"/>
      <c r="F908" s="1072"/>
      <c r="G908" s="1033"/>
      <c r="H908" s="1033"/>
      <c r="I908" s="1033"/>
      <c r="J908" s="1033"/>
      <c r="K908" s="1033"/>
      <c r="L908" s="1033"/>
      <c r="M908" s="1288"/>
      <c r="N908" s="1067"/>
      <c r="O908" s="1064"/>
      <c r="P908" s="1064"/>
      <c r="Q908" s="1063"/>
      <c r="R908" s="1070"/>
      <c r="S908" s="1094"/>
      <c r="T908" s="1064"/>
      <c r="U908" s="1064"/>
      <c r="V908" s="1064"/>
      <c r="W908" s="1063"/>
      <c r="X908" s="1033"/>
      <c r="Y908" s="108"/>
      <c r="Z908" s="109"/>
      <c r="AA908" s="109"/>
      <c r="AB908" s="109">
        <f t="shared" si="65"/>
        <v>0</v>
      </c>
      <c r="AC908" s="97"/>
      <c r="AD908" s="119"/>
      <c r="AE908" s="119"/>
      <c r="AF908" s="1045"/>
      <c r="AG908" s="1044"/>
      <c r="AH908" s="111">
        <f t="shared" si="66"/>
        <v>0</v>
      </c>
      <c r="AI908" s="1045"/>
      <c r="AJ908" s="1063"/>
      <c r="AK908" s="1064"/>
      <c r="AL908" s="1064"/>
      <c r="AM908" s="1064"/>
      <c r="AN908" s="1104"/>
      <c r="AO908" s="1358"/>
    </row>
    <row r="909" spans="1:43" ht="15" customHeight="1">
      <c r="A909" s="1031"/>
      <c r="B909" s="1069"/>
      <c r="C909" s="1011" t="s">
        <v>26</v>
      </c>
      <c r="D909" s="1033"/>
      <c r="E909" s="1072"/>
      <c r="F909" s="1072"/>
      <c r="G909" s="1033"/>
      <c r="H909" s="1033"/>
      <c r="I909" s="1033"/>
      <c r="J909" s="1033"/>
      <c r="K909" s="1033"/>
      <c r="L909" s="1033"/>
      <c r="M909" s="1286">
        <v>4</v>
      </c>
      <c r="N909" s="1065" t="s">
        <v>149</v>
      </c>
      <c r="O909" s="1062">
        <v>25798182</v>
      </c>
      <c r="P909" s="1062">
        <f>O909</f>
        <v>25798182</v>
      </c>
      <c r="Q909" s="1063"/>
      <c r="R909" s="1068">
        <v>40899</v>
      </c>
      <c r="S909" s="1092">
        <f>T909</f>
        <v>25798182</v>
      </c>
      <c r="T909" s="1092">
        <v>25798182</v>
      </c>
      <c r="U909" s="1092">
        <f>O909-T909</f>
        <v>0</v>
      </c>
      <c r="V909" s="1062">
        <v>25789932</v>
      </c>
      <c r="W909" s="1063"/>
      <c r="X909" s="1033"/>
      <c r="Y909" s="108" t="s">
        <v>1384</v>
      </c>
      <c r="Z909" s="109">
        <v>0</v>
      </c>
      <c r="AA909" s="109">
        <v>12894966</v>
      </c>
      <c r="AB909" s="109">
        <f t="shared" si="65"/>
        <v>12894966</v>
      </c>
      <c r="AC909" s="97">
        <v>41094</v>
      </c>
      <c r="AD909" s="119">
        <v>12894966</v>
      </c>
      <c r="AE909" s="119" t="s">
        <v>149</v>
      </c>
      <c r="AF909" s="1043">
        <f>SUM(AD909:AD916)</f>
        <v>20521485</v>
      </c>
      <c r="AG909" s="1044"/>
      <c r="AH909" s="111">
        <f t="shared" si="66"/>
        <v>0</v>
      </c>
      <c r="AI909" s="1043"/>
      <c r="AJ909" s="1063"/>
      <c r="AK909" s="1062">
        <f>P909-V909</f>
        <v>8250</v>
      </c>
      <c r="AL909" s="1062">
        <f>V909-SUM(Z909:Z916)</f>
        <v>-3</v>
      </c>
      <c r="AM909" s="1062"/>
      <c r="AN909" s="1104"/>
      <c r="AO909" s="1358"/>
    </row>
    <row r="910" spans="1:43" ht="15" customHeight="1">
      <c r="A910" s="1031"/>
      <c r="B910" s="1069"/>
      <c r="C910" s="1033"/>
      <c r="D910" s="1033"/>
      <c r="E910" s="1072"/>
      <c r="F910" s="1072"/>
      <c r="G910" s="1033"/>
      <c r="H910" s="1033"/>
      <c r="I910" s="1033"/>
      <c r="J910" s="1033"/>
      <c r="K910" s="1033"/>
      <c r="L910" s="1033"/>
      <c r="M910" s="1287"/>
      <c r="N910" s="1066"/>
      <c r="O910" s="1063"/>
      <c r="P910" s="1063"/>
      <c r="Q910" s="1063"/>
      <c r="R910" s="1069"/>
      <c r="S910" s="1093"/>
      <c r="T910" s="1093"/>
      <c r="U910" s="1093"/>
      <c r="V910" s="1063"/>
      <c r="W910" s="1063"/>
      <c r="X910" s="1033"/>
      <c r="Y910" s="108" t="s">
        <v>1386</v>
      </c>
      <c r="Z910" s="109">
        <v>3512299</v>
      </c>
      <c r="AA910" s="109">
        <v>-1756149.5</v>
      </c>
      <c r="AB910" s="109">
        <f t="shared" si="65"/>
        <v>1756149.5</v>
      </c>
      <c r="AC910" s="97">
        <v>41179</v>
      </c>
      <c r="AD910" s="119">
        <v>1756149.5</v>
      </c>
      <c r="AE910" s="119" t="s">
        <v>149</v>
      </c>
      <c r="AF910" s="1044"/>
      <c r="AG910" s="1044"/>
      <c r="AH910" s="111">
        <f t="shared" si="66"/>
        <v>0</v>
      </c>
      <c r="AI910" s="1044"/>
      <c r="AJ910" s="1063"/>
      <c r="AK910" s="1063"/>
      <c r="AL910" s="1063"/>
      <c r="AM910" s="1063"/>
      <c r="AN910" s="1104"/>
      <c r="AO910" s="1358"/>
    </row>
    <row r="911" spans="1:43" ht="15" customHeight="1">
      <c r="A911" s="1031"/>
      <c r="B911" s="1069"/>
      <c r="C911" s="1033"/>
      <c r="D911" s="1033"/>
      <c r="E911" s="1072"/>
      <c r="F911" s="1072"/>
      <c r="G911" s="1033"/>
      <c r="H911" s="1033"/>
      <c r="I911" s="1033"/>
      <c r="J911" s="1033"/>
      <c r="K911" s="1033"/>
      <c r="L911" s="1033"/>
      <c r="M911" s="1287"/>
      <c r="N911" s="1066"/>
      <c r="O911" s="1063"/>
      <c r="P911" s="1063"/>
      <c r="Q911" s="1063"/>
      <c r="R911" s="1069"/>
      <c r="S911" s="1093"/>
      <c r="T911" s="1093"/>
      <c r="U911" s="1093"/>
      <c r="V911" s="1063"/>
      <c r="W911" s="1063"/>
      <c r="X911" s="1033"/>
      <c r="Y911" s="108" t="s">
        <v>1388</v>
      </c>
      <c r="Z911" s="109">
        <v>3512299</v>
      </c>
      <c r="AA911" s="109">
        <v>-1756149.5</v>
      </c>
      <c r="AB911" s="109">
        <f t="shared" si="65"/>
        <v>1756149.5</v>
      </c>
      <c r="AC911" s="97">
        <v>41179</v>
      </c>
      <c r="AD911" s="119">
        <v>1756149.5</v>
      </c>
      <c r="AE911" s="119" t="s">
        <v>149</v>
      </c>
      <c r="AF911" s="1044"/>
      <c r="AG911" s="1044"/>
      <c r="AH911" s="111">
        <f t="shared" si="66"/>
        <v>0</v>
      </c>
      <c r="AI911" s="1044"/>
      <c r="AJ911" s="1063"/>
      <c r="AK911" s="1063"/>
      <c r="AL911" s="1063"/>
      <c r="AM911" s="1063"/>
      <c r="AN911" s="1104"/>
      <c r="AO911" s="1358"/>
    </row>
    <row r="912" spans="1:43" ht="15" customHeight="1">
      <c r="A912" s="1031"/>
      <c r="B912" s="1069"/>
      <c r="C912" s="1033"/>
      <c r="D912" s="1033"/>
      <c r="E912" s="1072"/>
      <c r="F912" s="1072"/>
      <c r="G912" s="1033"/>
      <c r="H912" s="1033"/>
      <c r="I912" s="1033"/>
      <c r="J912" s="1033"/>
      <c r="K912" s="1033"/>
      <c r="L912" s="1033"/>
      <c r="M912" s="1287"/>
      <c r="N912" s="1066"/>
      <c r="O912" s="1063"/>
      <c r="P912" s="1063"/>
      <c r="Q912" s="1063"/>
      <c r="R912" s="1069"/>
      <c r="S912" s="1093"/>
      <c r="T912" s="1093"/>
      <c r="U912" s="1093"/>
      <c r="V912" s="1063"/>
      <c r="W912" s="1063"/>
      <c r="X912" s="1033"/>
      <c r="Y912" s="108" t="s">
        <v>1390</v>
      </c>
      <c r="Z912" s="109">
        <v>3512299</v>
      </c>
      <c r="AA912" s="109">
        <v>-1756149.5</v>
      </c>
      <c r="AB912" s="109">
        <f t="shared" si="65"/>
        <v>1756149.5</v>
      </c>
      <c r="AC912" s="97">
        <v>41209</v>
      </c>
      <c r="AD912" s="119">
        <v>1756149.5</v>
      </c>
      <c r="AE912" s="119" t="s">
        <v>149</v>
      </c>
      <c r="AF912" s="1044"/>
      <c r="AG912" s="1044"/>
      <c r="AH912" s="111">
        <f t="shared" si="66"/>
        <v>0</v>
      </c>
      <c r="AI912" s="1044"/>
      <c r="AJ912" s="1063"/>
      <c r="AK912" s="1063"/>
      <c r="AL912" s="1063"/>
      <c r="AM912" s="1063"/>
      <c r="AN912" s="1104"/>
      <c r="AO912" s="1358"/>
    </row>
    <row r="913" spans="1:43" ht="15" customHeight="1">
      <c r="A913" s="1031"/>
      <c r="B913" s="1069"/>
      <c r="C913" s="1033"/>
      <c r="D913" s="1033"/>
      <c r="E913" s="1072"/>
      <c r="F913" s="1072"/>
      <c r="G913" s="1033"/>
      <c r="H913" s="1033"/>
      <c r="I913" s="1033"/>
      <c r="J913" s="1033"/>
      <c r="K913" s="1033"/>
      <c r="L913" s="1033"/>
      <c r="M913" s="1287"/>
      <c r="N913" s="1066"/>
      <c r="O913" s="1063"/>
      <c r="P913" s="1063"/>
      <c r="Q913" s="1063"/>
      <c r="R913" s="1069"/>
      <c r="S913" s="1093"/>
      <c r="T913" s="1093"/>
      <c r="U913" s="1093"/>
      <c r="V913" s="1063"/>
      <c r="W913" s="1063"/>
      <c r="X913" s="1033"/>
      <c r="Y913" s="108" t="s">
        <v>1392</v>
      </c>
      <c r="Z913" s="109">
        <v>3512299</v>
      </c>
      <c r="AA913" s="109">
        <v>-1756149.5</v>
      </c>
      <c r="AB913" s="109">
        <f t="shared" si="65"/>
        <v>1756149.5</v>
      </c>
      <c r="AC913" s="97"/>
      <c r="AD913" s="119">
        <v>0</v>
      </c>
      <c r="AE913" s="119" t="s">
        <v>149</v>
      </c>
      <c r="AF913" s="1044"/>
      <c r="AG913" s="1044"/>
      <c r="AH913" s="111">
        <f t="shared" si="66"/>
        <v>1756149.5</v>
      </c>
      <c r="AI913" s="1044"/>
      <c r="AJ913" s="1063"/>
      <c r="AK913" s="1063"/>
      <c r="AL913" s="1063"/>
      <c r="AM913" s="1063"/>
      <c r="AN913" s="1104"/>
      <c r="AO913" s="1358"/>
    </row>
    <row r="914" spans="1:43" ht="15" customHeight="1">
      <c r="A914" s="1031"/>
      <c r="B914" s="1069"/>
      <c r="C914" s="1033"/>
      <c r="D914" s="1033"/>
      <c r="E914" s="1072"/>
      <c r="F914" s="1072"/>
      <c r="G914" s="1033"/>
      <c r="H914" s="1033"/>
      <c r="I914" s="1033"/>
      <c r="J914" s="1033"/>
      <c r="K914" s="1033"/>
      <c r="L914" s="1033"/>
      <c r="M914" s="1287"/>
      <c r="N914" s="1066"/>
      <c r="O914" s="1063"/>
      <c r="P914" s="1063"/>
      <c r="Q914" s="1063"/>
      <c r="R914" s="1069"/>
      <c r="S914" s="1093"/>
      <c r="T914" s="1093"/>
      <c r="U914" s="1093"/>
      <c r="V914" s="1063"/>
      <c r="W914" s="1063"/>
      <c r="X914" s="1033"/>
      <c r="Y914" s="108" t="s">
        <v>1394</v>
      </c>
      <c r="Z914" s="109">
        <v>3512299</v>
      </c>
      <c r="AA914" s="109">
        <v>-1756149.5</v>
      </c>
      <c r="AB914" s="109">
        <f t="shared" si="65"/>
        <v>1756149.5</v>
      </c>
      <c r="AC914" s="97"/>
      <c r="AD914" s="119">
        <v>0</v>
      </c>
      <c r="AE914" s="119" t="s">
        <v>149</v>
      </c>
      <c r="AF914" s="1044"/>
      <c r="AG914" s="1044"/>
      <c r="AH914" s="111">
        <f t="shared" si="66"/>
        <v>1756149.5</v>
      </c>
      <c r="AI914" s="1044"/>
      <c r="AJ914" s="1063"/>
      <c r="AK914" s="1063"/>
      <c r="AL914" s="1063"/>
      <c r="AM914" s="1063"/>
      <c r="AN914" s="1104"/>
      <c r="AO914" s="1358"/>
    </row>
    <row r="915" spans="1:43" ht="15" customHeight="1">
      <c r="A915" s="1031"/>
      <c r="B915" s="1069"/>
      <c r="C915" s="1033"/>
      <c r="D915" s="1033"/>
      <c r="E915" s="1072"/>
      <c r="F915" s="1072"/>
      <c r="G915" s="1033"/>
      <c r="H915" s="1033"/>
      <c r="I915" s="1033"/>
      <c r="J915" s="1033"/>
      <c r="K915" s="1033"/>
      <c r="L915" s="1033"/>
      <c r="M915" s="1287"/>
      <c r="N915" s="1066"/>
      <c r="O915" s="1063"/>
      <c r="P915" s="1063"/>
      <c r="Q915" s="1063"/>
      <c r="R915" s="1069"/>
      <c r="S915" s="1093"/>
      <c r="T915" s="1093"/>
      <c r="U915" s="1093"/>
      <c r="V915" s="1063"/>
      <c r="W915" s="1063"/>
      <c r="X915" s="1033"/>
      <c r="Y915" s="108" t="s">
        <v>1396</v>
      </c>
      <c r="Z915" s="109">
        <v>3512299</v>
      </c>
      <c r="AA915" s="109">
        <v>-1756149.5</v>
      </c>
      <c r="AB915" s="109">
        <f t="shared" si="65"/>
        <v>1756149.5</v>
      </c>
      <c r="AC915" s="97"/>
      <c r="AD915" s="119">
        <v>0</v>
      </c>
      <c r="AE915" s="119" t="s">
        <v>149</v>
      </c>
      <c r="AF915" s="1044"/>
      <c r="AG915" s="1044"/>
      <c r="AH915" s="111">
        <f t="shared" si="66"/>
        <v>1756149.5</v>
      </c>
      <c r="AI915" s="1044"/>
      <c r="AJ915" s="1063"/>
      <c r="AK915" s="1063"/>
      <c r="AL915" s="1063"/>
      <c r="AM915" s="1063"/>
      <c r="AN915" s="1104"/>
      <c r="AO915" s="1358"/>
    </row>
    <row r="916" spans="1:43" ht="15" customHeight="1">
      <c r="A916" s="1032"/>
      <c r="B916" s="1070"/>
      <c r="C916" s="1012"/>
      <c r="D916" s="1012"/>
      <c r="E916" s="1073"/>
      <c r="F916" s="1073"/>
      <c r="G916" s="1012"/>
      <c r="H916" s="1012"/>
      <c r="I916" s="1012"/>
      <c r="J916" s="1012"/>
      <c r="K916" s="1012"/>
      <c r="L916" s="1012"/>
      <c r="M916" s="1288"/>
      <c r="N916" s="1067"/>
      <c r="O916" s="1064"/>
      <c r="P916" s="1064"/>
      <c r="Q916" s="1064"/>
      <c r="R916" s="1070"/>
      <c r="S916" s="1094"/>
      <c r="T916" s="1094"/>
      <c r="U916" s="1094"/>
      <c r="V916" s="1064"/>
      <c r="W916" s="1064"/>
      <c r="X916" s="1012"/>
      <c r="Y916" s="108" t="s">
        <v>1398</v>
      </c>
      <c r="Z916" s="109">
        <v>4716141</v>
      </c>
      <c r="AA916" s="109">
        <v>-2358070.5</v>
      </c>
      <c r="AB916" s="109">
        <f t="shared" si="65"/>
        <v>2358070.5</v>
      </c>
      <c r="AC916" s="97">
        <v>41465</v>
      </c>
      <c r="AD916" s="119">
        <v>2358070.5</v>
      </c>
      <c r="AE916" s="119" t="s">
        <v>149</v>
      </c>
      <c r="AF916" s="1045"/>
      <c r="AG916" s="1045"/>
      <c r="AH916" s="111">
        <f t="shared" si="66"/>
        <v>0</v>
      </c>
      <c r="AI916" s="1045"/>
      <c r="AJ916" s="1064"/>
      <c r="AK916" s="1064"/>
      <c r="AL916" s="1064"/>
      <c r="AM916" s="1064"/>
      <c r="AN916" s="1105"/>
      <c r="AO916" s="1359"/>
    </row>
    <row r="917" spans="1:43" ht="15" customHeight="1">
      <c r="A917" s="1015" t="s">
        <v>1399</v>
      </c>
      <c r="B917" s="1068">
        <v>40906</v>
      </c>
      <c r="C917" s="1011" t="s">
        <v>26</v>
      </c>
      <c r="D917" s="1011" t="s">
        <v>1400</v>
      </c>
      <c r="E917" s="1071">
        <v>900487481</v>
      </c>
      <c r="F917" s="1071">
        <v>4</v>
      </c>
      <c r="G917" s="1011" t="s">
        <v>1401</v>
      </c>
      <c r="H917" s="1011" t="s">
        <v>71</v>
      </c>
      <c r="I917" s="1076" t="s">
        <v>1221</v>
      </c>
      <c r="J917" s="1011" t="s">
        <v>66</v>
      </c>
      <c r="K917" s="1011" t="s">
        <v>183</v>
      </c>
      <c r="L917" s="1011" t="s">
        <v>1405</v>
      </c>
      <c r="M917" s="1286">
        <v>228</v>
      </c>
      <c r="N917" s="1065" t="s">
        <v>7</v>
      </c>
      <c r="O917" s="1062">
        <v>325573017</v>
      </c>
      <c r="P917" s="1062">
        <f>O917</f>
        <v>325573017</v>
      </c>
      <c r="Q917" s="1062">
        <f>P917+P919</f>
        <v>406710535</v>
      </c>
      <c r="R917" s="1068">
        <v>40899</v>
      </c>
      <c r="S917" s="1092">
        <f>T917</f>
        <v>322641179</v>
      </c>
      <c r="T917" s="1062">
        <v>322641179</v>
      </c>
      <c r="U917" s="1062">
        <f>O917-T917</f>
        <v>2931838</v>
      </c>
      <c r="V917" s="1062">
        <v>322641179</v>
      </c>
      <c r="W917" s="1062">
        <v>403048040</v>
      </c>
      <c r="X917" s="1011" t="s">
        <v>1402</v>
      </c>
      <c r="Y917" s="108" t="s">
        <v>1403</v>
      </c>
      <c r="Z917" s="109">
        <v>165186271</v>
      </c>
      <c r="AA917" s="109">
        <v>0</v>
      </c>
      <c r="AB917" s="109">
        <f t="shared" si="65"/>
        <v>165186271</v>
      </c>
      <c r="AC917" s="97">
        <v>41169</v>
      </c>
      <c r="AD917" s="119">
        <v>165186271</v>
      </c>
      <c r="AE917" s="119" t="s">
        <v>7</v>
      </c>
      <c r="AF917" s="1043">
        <f>SUM(AD917:AD918)</f>
        <v>320905550</v>
      </c>
      <c r="AG917" s="1043">
        <f>AF917+AF919</f>
        <v>400879867</v>
      </c>
      <c r="AH917" s="111">
        <f t="shared" si="66"/>
        <v>0</v>
      </c>
      <c r="AI917" s="1043">
        <f>T917-SUM(AD917:AD918)</f>
        <v>1735629</v>
      </c>
      <c r="AJ917" s="1062">
        <f>SUM(Z917:Z920)-SUM(AD917:AD920)</f>
        <v>0</v>
      </c>
      <c r="AK917" s="1062">
        <f>T917-V917</f>
        <v>0</v>
      </c>
      <c r="AL917" s="1062">
        <f>V917-SUM(Z917:Z918)</f>
        <v>1735629</v>
      </c>
      <c r="AM917" s="1062">
        <f>AK917+AL917</f>
        <v>1735629</v>
      </c>
      <c r="AN917" s="1108" t="s">
        <v>606</v>
      </c>
      <c r="AO917" s="1103" t="s">
        <v>1406</v>
      </c>
    </row>
    <row r="918" spans="1:43" ht="15" customHeight="1">
      <c r="A918" s="1050"/>
      <c r="B918" s="1069"/>
      <c r="C918" s="1033"/>
      <c r="D918" s="1033"/>
      <c r="E918" s="1072"/>
      <c r="F918" s="1072"/>
      <c r="G918" s="1033"/>
      <c r="H918" s="1033"/>
      <c r="I918" s="1076"/>
      <c r="J918" s="1033"/>
      <c r="K918" s="1033"/>
      <c r="L918" s="1033"/>
      <c r="M918" s="1288"/>
      <c r="N918" s="1067"/>
      <c r="O918" s="1064"/>
      <c r="P918" s="1064"/>
      <c r="Q918" s="1063"/>
      <c r="R918" s="1070"/>
      <c r="S918" s="1094"/>
      <c r="T918" s="1064"/>
      <c r="U918" s="1064"/>
      <c r="V918" s="1063"/>
      <c r="W918" s="1063"/>
      <c r="X918" s="1033"/>
      <c r="Y918" s="108" t="s">
        <v>1404</v>
      </c>
      <c r="Z918" s="109">
        <v>155719279</v>
      </c>
      <c r="AA918" s="109">
        <v>0</v>
      </c>
      <c r="AB918" s="109">
        <f t="shared" si="65"/>
        <v>155719279</v>
      </c>
      <c r="AC918" s="97">
        <v>41347</v>
      </c>
      <c r="AD918" s="119">
        <v>155719279</v>
      </c>
      <c r="AE918" s="119" t="s">
        <v>7</v>
      </c>
      <c r="AF918" s="1045"/>
      <c r="AG918" s="1044"/>
      <c r="AH918" s="111">
        <f t="shared" si="66"/>
        <v>0</v>
      </c>
      <c r="AI918" s="1045"/>
      <c r="AJ918" s="1063"/>
      <c r="AK918" s="1064"/>
      <c r="AL918" s="1064"/>
      <c r="AM918" s="1064"/>
      <c r="AN918" s="1109"/>
      <c r="AO918" s="1104"/>
    </row>
    <row r="919" spans="1:43" ht="15" customHeight="1">
      <c r="A919" s="1050"/>
      <c r="B919" s="1069"/>
      <c r="C919" s="1033"/>
      <c r="D919" s="1033"/>
      <c r="E919" s="1072"/>
      <c r="F919" s="1072"/>
      <c r="G919" s="1033"/>
      <c r="H919" s="1033"/>
      <c r="I919" s="1076"/>
      <c r="J919" s="1033"/>
      <c r="K919" s="1033"/>
      <c r="L919" s="1033"/>
      <c r="M919" s="1286">
        <v>3</v>
      </c>
      <c r="N919" s="1065" t="s">
        <v>149</v>
      </c>
      <c r="O919" s="1062">
        <v>81137518</v>
      </c>
      <c r="P919" s="1062">
        <f>O919</f>
        <v>81137518</v>
      </c>
      <c r="Q919" s="1063"/>
      <c r="R919" s="1068">
        <v>40899</v>
      </c>
      <c r="S919" s="1092">
        <f>T919</f>
        <v>80406861</v>
      </c>
      <c r="T919" s="1062">
        <v>80406861</v>
      </c>
      <c r="U919" s="1062">
        <f>O919-T919</f>
        <v>730657</v>
      </c>
      <c r="V919" s="1119">
        <v>80406861</v>
      </c>
      <c r="W919" s="1063"/>
      <c r="X919" s="1033"/>
      <c r="Y919" s="108" t="s">
        <v>1403</v>
      </c>
      <c r="Z919" s="109">
        <v>41166814</v>
      </c>
      <c r="AA919" s="109">
        <v>0</v>
      </c>
      <c r="AB919" s="109">
        <f t="shared" si="65"/>
        <v>41166814</v>
      </c>
      <c r="AC919" s="97">
        <v>41169</v>
      </c>
      <c r="AD919" s="119">
        <v>41166814</v>
      </c>
      <c r="AE919" s="119" t="s">
        <v>149</v>
      </c>
      <c r="AF919" s="1043">
        <f>SUM(AD919:AD920)</f>
        <v>79974317</v>
      </c>
      <c r="AG919" s="1044"/>
      <c r="AH919" s="111">
        <f t="shared" si="66"/>
        <v>0</v>
      </c>
      <c r="AI919" s="1043">
        <f>T919-SUM(AD919:AD920)</f>
        <v>432544</v>
      </c>
      <c r="AJ919" s="1063"/>
      <c r="AK919" s="1062">
        <f>T919-V919</f>
        <v>0</v>
      </c>
      <c r="AL919" s="1062">
        <f>V919-SUM(Z919:Z920)</f>
        <v>432544</v>
      </c>
      <c r="AM919" s="1062">
        <f>AK919+AL919</f>
        <v>432544</v>
      </c>
      <c r="AN919" s="1109"/>
      <c r="AO919" s="1104"/>
    </row>
    <row r="920" spans="1:43" ht="15" customHeight="1">
      <c r="A920" s="1016"/>
      <c r="B920" s="1070"/>
      <c r="C920" s="1012"/>
      <c r="D920" s="1012"/>
      <c r="E920" s="1073"/>
      <c r="F920" s="1073"/>
      <c r="G920" s="1012"/>
      <c r="H920" s="1012"/>
      <c r="I920" s="1076"/>
      <c r="J920" s="1012"/>
      <c r="K920" s="1012"/>
      <c r="L920" s="1012"/>
      <c r="M920" s="1288"/>
      <c r="N920" s="1067"/>
      <c r="O920" s="1064"/>
      <c r="P920" s="1064"/>
      <c r="Q920" s="1064"/>
      <c r="R920" s="1070"/>
      <c r="S920" s="1094"/>
      <c r="T920" s="1064"/>
      <c r="U920" s="1064"/>
      <c r="V920" s="1119"/>
      <c r="W920" s="1064"/>
      <c r="X920" s="1012"/>
      <c r="Y920" s="108" t="s">
        <v>1404</v>
      </c>
      <c r="Z920" s="109">
        <v>38807503</v>
      </c>
      <c r="AA920" s="109">
        <v>0</v>
      </c>
      <c r="AB920" s="109">
        <f t="shared" si="65"/>
        <v>38807503</v>
      </c>
      <c r="AC920" s="97">
        <v>41347</v>
      </c>
      <c r="AD920" s="119">
        <v>38807503</v>
      </c>
      <c r="AE920" s="119" t="s">
        <v>149</v>
      </c>
      <c r="AF920" s="1045"/>
      <c r="AG920" s="1045"/>
      <c r="AH920" s="111">
        <f t="shared" si="66"/>
        <v>0</v>
      </c>
      <c r="AI920" s="1045"/>
      <c r="AJ920" s="1064"/>
      <c r="AK920" s="1064"/>
      <c r="AL920" s="1064"/>
      <c r="AM920" s="1064"/>
      <c r="AN920" s="1110"/>
      <c r="AO920" s="1105"/>
    </row>
    <row r="921" spans="1:43" s="4" customFormat="1" ht="15" customHeight="1">
      <c r="A921" s="1025" t="s">
        <v>1408</v>
      </c>
      <c r="B921" s="1068">
        <v>40906</v>
      </c>
      <c r="C921" s="1023" t="s">
        <v>43</v>
      </c>
      <c r="D921" s="1023" t="s">
        <v>1233</v>
      </c>
      <c r="E921" s="1178">
        <v>10538292</v>
      </c>
      <c r="F921" s="1178"/>
      <c r="G921" s="1023" t="s">
        <v>1420</v>
      </c>
      <c r="H921" s="1023" t="s">
        <v>71</v>
      </c>
      <c r="I921" s="1023" t="s">
        <v>1235</v>
      </c>
      <c r="J921" s="1023" t="s">
        <v>66</v>
      </c>
      <c r="K921" s="1023" t="s">
        <v>183</v>
      </c>
      <c r="L921" s="1023" t="s">
        <v>1407</v>
      </c>
      <c r="M921" s="1286">
        <v>229</v>
      </c>
      <c r="N921" s="1065" t="s">
        <v>7</v>
      </c>
      <c r="O921" s="1043">
        <v>767715280</v>
      </c>
      <c r="P921" s="1043">
        <f>O921</f>
        <v>767715280</v>
      </c>
      <c r="Q921" s="1043">
        <f>P921</f>
        <v>767715280</v>
      </c>
      <c r="R921" s="1068">
        <v>40899</v>
      </c>
      <c r="S921" s="1089">
        <f>T921</f>
        <v>767715280</v>
      </c>
      <c r="T921" s="1089">
        <v>767715280</v>
      </c>
      <c r="U921" s="1089">
        <f>O921-T921</f>
        <v>0</v>
      </c>
      <c r="V921" s="1043">
        <v>759036147.48000002</v>
      </c>
      <c r="W921" s="1043">
        <f>V921</f>
        <v>759036147.48000002</v>
      </c>
      <c r="X921" s="1023" t="s">
        <v>1421</v>
      </c>
      <c r="Y921" s="108" t="s">
        <v>1424</v>
      </c>
      <c r="Z921" s="109">
        <v>0</v>
      </c>
      <c r="AA921" s="109">
        <v>379518073.74000001</v>
      </c>
      <c r="AB921" s="109">
        <f t="shared" si="65"/>
        <v>379518073.74000001</v>
      </c>
      <c r="AC921" s="97">
        <v>41079</v>
      </c>
      <c r="AD921" s="119">
        <v>379518074</v>
      </c>
      <c r="AE921" s="119" t="s">
        <v>7</v>
      </c>
      <c r="AF921" s="1043">
        <f>SUM(AD921:AD926)</f>
        <v>758901814</v>
      </c>
      <c r="AG921" s="1043">
        <f>AF921</f>
        <v>758901814</v>
      </c>
      <c r="AH921" s="111">
        <f t="shared" si="66"/>
        <v>-0.25999999046325684</v>
      </c>
      <c r="AI921" s="1043">
        <f>O921-SUM(AD921:AD926)</f>
        <v>8813466</v>
      </c>
      <c r="AJ921" s="1043">
        <f>SUM(Z921:Z926)-SUM(AD921:AD926)</f>
        <v>0</v>
      </c>
      <c r="AK921" s="1043">
        <f>P921-V921</f>
        <v>8679132.5199999809</v>
      </c>
      <c r="AL921" s="1043">
        <f>V921-SUM(Z921:Z926)</f>
        <v>134333.48000001907</v>
      </c>
      <c r="AM921" s="1043">
        <f>AK921+AL921</f>
        <v>8813466</v>
      </c>
      <c r="AN921" s="1023" t="s">
        <v>1423</v>
      </c>
      <c r="AO921" s="1023" t="s">
        <v>1422</v>
      </c>
      <c r="AQ921" s="934"/>
    </row>
    <row r="922" spans="1:43" s="4" customFormat="1" ht="15" customHeight="1">
      <c r="A922" s="1026"/>
      <c r="B922" s="1069"/>
      <c r="C922" s="1124"/>
      <c r="D922" s="1124"/>
      <c r="E922" s="1179"/>
      <c r="F922" s="1179"/>
      <c r="G922" s="1124"/>
      <c r="H922" s="1124"/>
      <c r="I922" s="1124"/>
      <c r="J922" s="1124"/>
      <c r="K922" s="1124"/>
      <c r="L922" s="1124"/>
      <c r="M922" s="1287"/>
      <c r="N922" s="1066"/>
      <c r="O922" s="1044"/>
      <c r="P922" s="1044"/>
      <c r="Q922" s="1044"/>
      <c r="R922" s="1069"/>
      <c r="S922" s="1090"/>
      <c r="T922" s="1090"/>
      <c r="U922" s="1090"/>
      <c r="V922" s="1044"/>
      <c r="W922" s="1044"/>
      <c r="X922" s="1124"/>
      <c r="Y922" s="108" t="s">
        <v>1425</v>
      </c>
      <c r="Z922" s="109">
        <v>257972994</v>
      </c>
      <c r="AA922" s="109">
        <v>-128986497</v>
      </c>
      <c r="AB922" s="109">
        <f t="shared" si="65"/>
        <v>128986497</v>
      </c>
      <c r="AC922" s="97">
        <v>41152</v>
      </c>
      <c r="AD922" s="119">
        <v>128986497</v>
      </c>
      <c r="AE922" s="119" t="s">
        <v>7</v>
      </c>
      <c r="AF922" s="1044"/>
      <c r="AG922" s="1044"/>
      <c r="AH922" s="111">
        <f t="shared" si="66"/>
        <v>0</v>
      </c>
      <c r="AI922" s="1044"/>
      <c r="AJ922" s="1044"/>
      <c r="AK922" s="1044"/>
      <c r="AL922" s="1044"/>
      <c r="AM922" s="1044"/>
      <c r="AN922" s="1124"/>
      <c r="AO922" s="1124"/>
      <c r="AQ922" s="934"/>
    </row>
    <row r="923" spans="1:43" s="4" customFormat="1" ht="15" customHeight="1">
      <c r="A923" s="1026"/>
      <c r="B923" s="1069"/>
      <c r="C923" s="1124"/>
      <c r="D923" s="1124"/>
      <c r="E923" s="1179"/>
      <c r="F923" s="1179"/>
      <c r="G923" s="1124"/>
      <c r="H923" s="1124"/>
      <c r="I923" s="1124"/>
      <c r="J923" s="1124"/>
      <c r="K923" s="1124"/>
      <c r="L923" s="1124"/>
      <c r="M923" s="1287"/>
      <c r="N923" s="1066"/>
      <c r="O923" s="1044"/>
      <c r="P923" s="1044"/>
      <c r="Q923" s="1044"/>
      <c r="R923" s="1069"/>
      <c r="S923" s="1090"/>
      <c r="T923" s="1090"/>
      <c r="U923" s="1090"/>
      <c r="V923" s="1044"/>
      <c r="W923" s="1044"/>
      <c r="X923" s="1124"/>
      <c r="Y923" s="108" t="s">
        <v>1426</v>
      </c>
      <c r="Z923" s="109">
        <v>173373302</v>
      </c>
      <c r="AA923" s="109">
        <v>-86686651</v>
      </c>
      <c r="AB923" s="109">
        <f t="shared" si="65"/>
        <v>86686651</v>
      </c>
      <c r="AC923" s="97">
        <v>41169</v>
      </c>
      <c r="AD923" s="119">
        <v>86686651</v>
      </c>
      <c r="AE923" s="119" t="s">
        <v>7</v>
      </c>
      <c r="AF923" s="1044"/>
      <c r="AG923" s="1044"/>
      <c r="AH923" s="111">
        <f t="shared" si="66"/>
        <v>0</v>
      </c>
      <c r="AI923" s="1044"/>
      <c r="AJ923" s="1044"/>
      <c r="AK923" s="1044"/>
      <c r="AL923" s="1044"/>
      <c r="AM923" s="1044"/>
      <c r="AN923" s="1124"/>
      <c r="AO923" s="1124"/>
      <c r="AQ923" s="934"/>
    </row>
    <row r="924" spans="1:43" s="4" customFormat="1" ht="15" customHeight="1">
      <c r="A924" s="1026"/>
      <c r="B924" s="1069"/>
      <c r="C924" s="1124"/>
      <c r="D924" s="1124"/>
      <c r="E924" s="1179"/>
      <c r="F924" s="1179"/>
      <c r="G924" s="1124"/>
      <c r="H924" s="1124"/>
      <c r="I924" s="1124"/>
      <c r="J924" s="1124"/>
      <c r="K924" s="1124"/>
      <c r="L924" s="1124"/>
      <c r="M924" s="1287"/>
      <c r="N924" s="1066"/>
      <c r="O924" s="1044"/>
      <c r="P924" s="1044"/>
      <c r="Q924" s="1044"/>
      <c r="R924" s="1069"/>
      <c r="S924" s="1090"/>
      <c r="T924" s="1090"/>
      <c r="U924" s="1090"/>
      <c r="V924" s="1044"/>
      <c r="W924" s="1044"/>
      <c r="X924" s="1124"/>
      <c r="Y924" s="108" t="s">
        <v>1427</v>
      </c>
      <c r="Z924" s="109">
        <v>141706923</v>
      </c>
      <c r="AA924" s="109">
        <v>-70853461</v>
      </c>
      <c r="AB924" s="109">
        <f t="shared" si="65"/>
        <v>70853462</v>
      </c>
      <c r="AC924" s="97">
        <v>41205</v>
      </c>
      <c r="AD924" s="119">
        <v>70853462</v>
      </c>
      <c r="AE924" s="119" t="s">
        <v>7</v>
      </c>
      <c r="AF924" s="1044"/>
      <c r="AG924" s="1044"/>
      <c r="AH924" s="111">
        <f t="shared" si="66"/>
        <v>0</v>
      </c>
      <c r="AI924" s="1044"/>
      <c r="AJ924" s="1044"/>
      <c r="AK924" s="1044"/>
      <c r="AL924" s="1044"/>
      <c r="AM924" s="1044"/>
      <c r="AN924" s="1124"/>
      <c r="AO924" s="1124"/>
      <c r="AQ924" s="934"/>
    </row>
    <row r="925" spans="1:43" s="4" customFormat="1" ht="15" customHeight="1">
      <c r="A925" s="1026"/>
      <c r="B925" s="1069"/>
      <c r="C925" s="1124"/>
      <c r="D925" s="1124"/>
      <c r="E925" s="1179"/>
      <c r="F925" s="1179"/>
      <c r="G925" s="1124"/>
      <c r="H925" s="1124"/>
      <c r="I925" s="1124"/>
      <c r="J925" s="1124"/>
      <c r="K925" s="1124"/>
      <c r="L925" s="1124"/>
      <c r="M925" s="1287"/>
      <c r="N925" s="1066"/>
      <c r="O925" s="1044"/>
      <c r="P925" s="1044"/>
      <c r="Q925" s="1044"/>
      <c r="R925" s="1069"/>
      <c r="S925" s="1090"/>
      <c r="T925" s="1090"/>
      <c r="U925" s="1090"/>
      <c r="V925" s="1044"/>
      <c r="W925" s="1044"/>
      <c r="X925" s="1124"/>
      <c r="Y925" s="108" t="s">
        <v>1428</v>
      </c>
      <c r="Z925" s="109">
        <v>103750951</v>
      </c>
      <c r="AA925" s="109">
        <v>-51875476</v>
      </c>
      <c r="AB925" s="109">
        <f t="shared" si="65"/>
        <v>51875475</v>
      </c>
      <c r="AC925" s="97">
        <v>41239</v>
      </c>
      <c r="AD925" s="119">
        <v>51875475</v>
      </c>
      <c r="AE925" s="119" t="s">
        <v>7</v>
      </c>
      <c r="AF925" s="1044"/>
      <c r="AG925" s="1044"/>
      <c r="AH925" s="111">
        <f t="shared" si="66"/>
        <v>0</v>
      </c>
      <c r="AI925" s="1044"/>
      <c r="AJ925" s="1044"/>
      <c r="AK925" s="1044"/>
      <c r="AL925" s="1044"/>
      <c r="AM925" s="1044"/>
      <c r="AN925" s="1124"/>
      <c r="AO925" s="1124"/>
      <c r="AQ925" s="934"/>
    </row>
    <row r="926" spans="1:43" s="4" customFormat="1" ht="15" customHeight="1">
      <c r="A926" s="1027"/>
      <c r="B926" s="1070"/>
      <c r="C926" s="1024"/>
      <c r="D926" s="1024"/>
      <c r="E926" s="1180"/>
      <c r="F926" s="1180"/>
      <c r="G926" s="1024"/>
      <c r="H926" s="1024"/>
      <c r="I926" s="1024"/>
      <c r="J926" s="1024"/>
      <c r="K926" s="1024"/>
      <c r="L926" s="1024"/>
      <c r="M926" s="1288"/>
      <c r="N926" s="1067"/>
      <c r="O926" s="1045"/>
      <c r="P926" s="1045"/>
      <c r="Q926" s="1045"/>
      <c r="R926" s="1070"/>
      <c r="S926" s="1091"/>
      <c r="T926" s="1091"/>
      <c r="U926" s="1091"/>
      <c r="V926" s="1045"/>
      <c r="W926" s="1045"/>
      <c r="X926" s="1024"/>
      <c r="Y926" s="108" t="s">
        <v>1429</v>
      </c>
      <c r="Z926" s="109">
        <v>82097644</v>
      </c>
      <c r="AA926" s="109">
        <v>-41115989</v>
      </c>
      <c r="AB926" s="109">
        <f t="shared" si="65"/>
        <v>40981655</v>
      </c>
      <c r="AC926" s="97">
        <v>41451</v>
      </c>
      <c r="AD926" s="119">
        <v>40981655</v>
      </c>
      <c r="AE926" s="119" t="s">
        <v>7</v>
      </c>
      <c r="AF926" s="1045"/>
      <c r="AG926" s="1045"/>
      <c r="AH926" s="111">
        <f t="shared" ref="AH926:AH957" si="67">AB926-AD926</f>
        <v>0</v>
      </c>
      <c r="AI926" s="1045"/>
      <c r="AJ926" s="1045"/>
      <c r="AK926" s="1045"/>
      <c r="AL926" s="1045"/>
      <c r="AM926" s="1045"/>
      <c r="AN926" s="1024"/>
      <c r="AO926" s="1024"/>
      <c r="AQ926" s="934"/>
    </row>
    <row r="927" spans="1:43" ht="15" customHeight="1">
      <c r="A927" s="1015" t="s">
        <v>1409</v>
      </c>
      <c r="B927" s="1068">
        <v>41176</v>
      </c>
      <c r="C927" s="1011" t="s">
        <v>13</v>
      </c>
      <c r="D927" s="1011" t="s">
        <v>1411</v>
      </c>
      <c r="E927" s="1071">
        <v>900491769</v>
      </c>
      <c r="F927" s="1071">
        <v>5</v>
      </c>
      <c r="G927" s="1011" t="s">
        <v>2868</v>
      </c>
      <c r="H927" s="1011" t="s">
        <v>72</v>
      </c>
      <c r="I927" s="1011" t="s">
        <v>206</v>
      </c>
      <c r="J927" s="1011" t="s">
        <v>66</v>
      </c>
      <c r="K927" s="1011" t="s">
        <v>49</v>
      </c>
      <c r="L927" s="1011" t="s">
        <v>1413</v>
      </c>
      <c r="M927" s="1286">
        <v>174</v>
      </c>
      <c r="N927" s="1065" t="s">
        <v>7</v>
      </c>
      <c r="O927" s="1062">
        <v>55728140</v>
      </c>
      <c r="P927" s="1062">
        <v>55728140</v>
      </c>
      <c r="Q927" s="1062">
        <v>55728140</v>
      </c>
      <c r="R927" s="1068">
        <v>40745</v>
      </c>
      <c r="S927" s="1092"/>
      <c r="T927" s="1092"/>
      <c r="U927" s="1092"/>
      <c r="V927" s="1062">
        <v>55728140</v>
      </c>
      <c r="W927" s="1062">
        <v>55728140</v>
      </c>
      <c r="X927" s="1011" t="s">
        <v>1412</v>
      </c>
      <c r="Y927" s="1065" t="s">
        <v>1419</v>
      </c>
      <c r="Z927" s="1062">
        <v>12673966.82</v>
      </c>
      <c r="AA927" s="1062">
        <v>0</v>
      </c>
      <c r="AB927" s="109">
        <v>3529985.74</v>
      </c>
      <c r="AC927" s="1068">
        <v>41347</v>
      </c>
      <c r="AD927" s="200">
        <v>3529985.74</v>
      </c>
      <c r="AE927" s="119" t="s">
        <v>7</v>
      </c>
      <c r="AF927" s="1043">
        <f>SUM(AD927:AD953)</f>
        <v>44971656.809999995</v>
      </c>
      <c r="AG927" s="1043">
        <f>AF927</f>
        <v>44971656.809999995</v>
      </c>
      <c r="AH927" s="111">
        <f t="shared" si="67"/>
        <v>0</v>
      </c>
      <c r="AI927" s="1043">
        <f>O927-SUM(AD927:AD953)</f>
        <v>10756483.190000005</v>
      </c>
      <c r="AJ927" s="1062">
        <f>SUM(Z927:Z953)-SUM(AD927:AD953)</f>
        <v>1910386.5100000054</v>
      </c>
      <c r="AK927" s="1062">
        <f>O927-V927</f>
        <v>0</v>
      </c>
      <c r="AL927" s="1062">
        <f>V927-SUM(Z927:Z953)</f>
        <v>8846096.6799999997</v>
      </c>
      <c r="AM927" s="1119"/>
      <c r="AN927" s="1108"/>
      <c r="AO927" s="1357" t="s">
        <v>1442</v>
      </c>
    </row>
    <row r="928" spans="1:43" ht="15" customHeight="1">
      <c r="A928" s="1050"/>
      <c r="B928" s="1069"/>
      <c r="C928" s="1033"/>
      <c r="D928" s="1033"/>
      <c r="E928" s="1072"/>
      <c r="F928" s="1072"/>
      <c r="G928" s="1033"/>
      <c r="H928" s="1033"/>
      <c r="I928" s="1033"/>
      <c r="J928" s="1033"/>
      <c r="K928" s="1033"/>
      <c r="L928" s="1033"/>
      <c r="M928" s="1287"/>
      <c r="N928" s="1066"/>
      <c r="O928" s="1063"/>
      <c r="P928" s="1063"/>
      <c r="Q928" s="1063"/>
      <c r="R928" s="1069"/>
      <c r="S928" s="1093"/>
      <c r="T928" s="1093"/>
      <c r="U928" s="1093"/>
      <c r="V928" s="1063"/>
      <c r="W928" s="1063"/>
      <c r="X928" s="1033"/>
      <c r="Y928" s="1066"/>
      <c r="Z928" s="1063"/>
      <c r="AA928" s="1063"/>
      <c r="AB928" s="109">
        <v>725971.14</v>
      </c>
      <c r="AC928" s="1069"/>
      <c r="AD928" s="200">
        <v>0</v>
      </c>
      <c r="AE928" s="119"/>
      <c r="AF928" s="1044"/>
      <c r="AG928" s="1044"/>
      <c r="AH928" s="111">
        <f t="shared" si="67"/>
        <v>725971.14</v>
      </c>
      <c r="AI928" s="1044"/>
      <c r="AJ928" s="1063"/>
      <c r="AK928" s="1063"/>
      <c r="AL928" s="1063"/>
      <c r="AM928" s="1119"/>
      <c r="AN928" s="1109"/>
      <c r="AO928" s="1358"/>
    </row>
    <row r="929" spans="1:41" ht="15" customHeight="1">
      <c r="A929" s="1050"/>
      <c r="B929" s="1069"/>
      <c r="C929" s="1012"/>
      <c r="D929" s="1033"/>
      <c r="E929" s="1072"/>
      <c r="F929" s="1072"/>
      <c r="G929" s="1033"/>
      <c r="H929" s="1033"/>
      <c r="I929" s="1033"/>
      <c r="J929" s="1033"/>
      <c r="K929" s="1033"/>
      <c r="L929" s="1033"/>
      <c r="M929" s="1287"/>
      <c r="N929" s="1066"/>
      <c r="O929" s="1063"/>
      <c r="P929" s="1063"/>
      <c r="Q929" s="1063"/>
      <c r="R929" s="1069"/>
      <c r="S929" s="1093"/>
      <c r="T929" s="1093"/>
      <c r="U929" s="1093"/>
      <c r="V929" s="1063"/>
      <c r="W929" s="1063"/>
      <c r="X929" s="1033"/>
      <c r="Y929" s="1066"/>
      <c r="Z929" s="1063"/>
      <c r="AA929" s="1063"/>
      <c r="AB929" s="109">
        <v>917146.01</v>
      </c>
      <c r="AC929" s="1069"/>
      <c r="AD929" s="200">
        <v>0</v>
      </c>
      <c r="AE929" s="119"/>
      <c r="AF929" s="1044"/>
      <c r="AG929" s="1044"/>
      <c r="AH929" s="111">
        <f t="shared" si="67"/>
        <v>917146.01</v>
      </c>
      <c r="AI929" s="1044"/>
      <c r="AJ929" s="1063"/>
      <c r="AK929" s="1063"/>
      <c r="AL929" s="1063"/>
      <c r="AM929" s="1119"/>
      <c r="AN929" s="1109"/>
      <c r="AO929" s="1358"/>
    </row>
    <row r="930" spans="1:41" ht="15" customHeight="1">
      <c r="A930" s="1050"/>
      <c r="B930" s="1069"/>
      <c r="C930" s="1011" t="s">
        <v>40</v>
      </c>
      <c r="D930" s="1033"/>
      <c r="E930" s="1072"/>
      <c r="F930" s="1072"/>
      <c r="G930" s="1033"/>
      <c r="H930" s="1033"/>
      <c r="I930" s="1033"/>
      <c r="J930" s="1033"/>
      <c r="K930" s="1033"/>
      <c r="L930" s="1033"/>
      <c r="M930" s="1287"/>
      <c r="N930" s="1066"/>
      <c r="O930" s="1063"/>
      <c r="P930" s="1063"/>
      <c r="Q930" s="1063"/>
      <c r="R930" s="1069"/>
      <c r="S930" s="1093"/>
      <c r="T930" s="1093"/>
      <c r="U930" s="1093"/>
      <c r="V930" s="1063"/>
      <c r="W930" s="1063"/>
      <c r="X930" s="1033"/>
      <c r="Y930" s="1066"/>
      <c r="Z930" s="1063"/>
      <c r="AA930" s="1063"/>
      <c r="AB930" s="109">
        <v>2537029.33</v>
      </c>
      <c r="AC930" s="1069"/>
      <c r="AD930" s="200">
        <v>2537029.33</v>
      </c>
      <c r="AE930" s="119" t="s">
        <v>7</v>
      </c>
      <c r="AF930" s="1044"/>
      <c r="AG930" s="1044"/>
      <c r="AH930" s="111">
        <f t="shared" si="67"/>
        <v>0</v>
      </c>
      <c r="AI930" s="1044"/>
      <c r="AJ930" s="1063"/>
      <c r="AK930" s="1063"/>
      <c r="AL930" s="1063"/>
      <c r="AM930" s="1119"/>
      <c r="AN930" s="1109"/>
      <c r="AO930" s="1358"/>
    </row>
    <row r="931" spans="1:41" ht="15" customHeight="1">
      <c r="A931" s="1050"/>
      <c r="B931" s="1069"/>
      <c r="C931" s="1033"/>
      <c r="D931" s="1033"/>
      <c r="E931" s="1072"/>
      <c r="F931" s="1072"/>
      <c r="G931" s="1033"/>
      <c r="H931" s="1033"/>
      <c r="I931" s="1033"/>
      <c r="J931" s="1033"/>
      <c r="K931" s="1033"/>
      <c r="L931" s="1033"/>
      <c r="M931" s="1287"/>
      <c r="N931" s="1066"/>
      <c r="O931" s="1063"/>
      <c r="P931" s="1063"/>
      <c r="Q931" s="1063"/>
      <c r="R931" s="1069"/>
      <c r="S931" s="1093"/>
      <c r="T931" s="1093"/>
      <c r="U931" s="1093"/>
      <c r="V931" s="1063"/>
      <c r="W931" s="1063"/>
      <c r="X931" s="1033"/>
      <c r="Y931" s="1066"/>
      <c r="Z931" s="1063"/>
      <c r="AA931" s="1063"/>
      <c r="AB931" s="109">
        <v>1823296.92</v>
      </c>
      <c r="AC931" s="1069"/>
      <c r="AD931" s="200">
        <v>1823296.92</v>
      </c>
      <c r="AE931" s="119" t="s">
        <v>7</v>
      </c>
      <c r="AF931" s="1044"/>
      <c r="AG931" s="1044"/>
      <c r="AH931" s="111">
        <f t="shared" si="67"/>
        <v>0</v>
      </c>
      <c r="AI931" s="1044"/>
      <c r="AJ931" s="1063"/>
      <c r="AK931" s="1063"/>
      <c r="AL931" s="1063"/>
      <c r="AM931" s="1119"/>
      <c r="AN931" s="1109"/>
      <c r="AO931" s="1358"/>
    </row>
    <row r="932" spans="1:41" ht="15" customHeight="1">
      <c r="A932" s="1050"/>
      <c r="B932" s="1069"/>
      <c r="C932" s="1012"/>
      <c r="D932" s="1033"/>
      <c r="E932" s="1072"/>
      <c r="F932" s="1072"/>
      <c r="G932" s="1033"/>
      <c r="H932" s="1033"/>
      <c r="I932" s="1033"/>
      <c r="J932" s="1033"/>
      <c r="K932" s="1033"/>
      <c r="L932" s="1033"/>
      <c r="M932" s="1287"/>
      <c r="N932" s="1066"/>
      <c r="O932" s="1063"/>
      <c r="P932" s="1063"/>
      <c r="Q932" s="1063"/>
      <c r="R932" s="1069"/>
      <c r="S932" s="1093"/>
      <c r="T932" s="1093"/>
      <c r="U932" s="1093"/>
      <c r="V932" s="1063"/>
      <c r="W932" s="1063"/>
      <c r="X932" s="1033"/>
      <c r="Y932" s="1066"/>
      <c r="Z932" s="1063"/>
      <c r="AA932" s="1063"/>
      <c r="AB932" s="109">
        <v>457518.5</v>
      </c>
      <c r="AC932" s="1069"/>
      <c r="AD932" s="200">
        <v>457518.5</v>
      </c>
      <c r="AE932" s="119" t="s">
        <v>7</v>
      </c>
      <c r="AF932" s="1044"/>
      <c r="AG932" s="1044"/>
      <c r="AH932" s="111">
        <f t="shared" si="67"/>
        <v>0</v>
      </c>
      <c r="AI932" s="1044"/>
      <c r="AJ932" s="1063"/>
      <c r="AK932" s="1063"/>
      <c r="AL932" s="1063"/>
      <c r="AM932" s="1119"/>
      <c r="AN932" s="1109"/>
      <c r="AO932" s="1358"/>
    </row>
    <row r="933" spans="1:41" ht="15" customHeight="1">
      <c r="A933" s="1050"/>
      <c r="B933" s="1069"/>
      <c r="C933" s="1011" t="s">
        <v>31</v>
      </c>
      <c r="D933" s="1033"/>
      <c r="E933" s="1072"/>
      <c r="F933" s="1072"/>
      <c r="G933" s="1033"/>
      <c r="H933" s="1033"/>
      <c r="I933" s="1033"/>
      <c r="J933" s="1033"/>
      <c r="K933" s="1033"/>
      <c r="L933" s="1033"/>
      <c r="M933" s="1287"/>
      <c r="N933" s="1066"/>
      <c r="O933" s="1063"/>
      <c r="P933" s="1063"/>
      <c r="Q933" s="1063"/>
      <c r="R933" s="1069"/>
      <c r="S933" s="1093"/>
      <c r="T933" s="1093"/>
      <c r="U933" s="1093"/>
      <c r="V933" s="1063"/>
      <c r="W933" s="1063"/>
      <c r="X933" s="1033"/>
      <c r="Y933" s="1066"/>
      <c r="Z933" s="1063"/>
      <c r="AA933" s="1063"/>
      <c r="AB933" s="109">
        <v>1817604.62</v>
      </c>
      <c r="AC933" s="1069"/>
      <c r="AD933" s="200">
        <v>1817604.62</v>
      </c>
      <c r="AE933" s="119" t="s">
        <v>7</v>
      </c>
      <c r="AF933" s="1044"/>
      <c r="AG933" s="1044"/>
      <c r="AH933" s="111">
        <f t="shared" si="67"/>
        <v>0</v>
      </c>
      <c r="AI933" s="1044"/>
      <c r="AJ933" s="1063"/>
      <c r="AK933" s="1063"/>
      <c r="AL933" s="1063"/>
      <c r="AM933" s="1119"/>
      <c r="AN933" s="1109"/>
      <c r="AO933" s="1358"/>
    </row>
    <row r="934" spans="1:41" ht="15" customHeight="1">
      <c r="A934" s="1050"/>
      <c r="B934" s="1069"/>
      <c r="C934" s="1033"/>
      <c r="D934" s="1033"/>
      <c r="E934" s="1072"/>
      <c r="F934" s="1072"/>
      <c r="G934" s="1033"/>
      <c r="H934" s="1033"/>
      <c r="I934" s="1033"/>
      <c r="J934" s="1033"/>
      <c r="K934" s="1033"/>
      <c r="L934" s="1033"/>
      <c r="M934" s="1287"/>
      <c r="N934" s="1066"/>
      <c r="O934" s="1063"/>
      <c r="P934" s="1063"/>
      <c r="Q934" s="1063"/>
      <c r="R934" s="1069"/>
      <c r="S934" s="1093"/>
      <c r="T934" s="1093"/>
      <c r="U934" s="1093"/>
      <c r="V934" s="1063"/>
      <c r="W934" s="1063"/>
      <c r="X934" s="1033"/>
      <c r="Y934" s="1066"/>
      <c r="Z934" s="1063"/>
      <c r="AA934" s="1063"/>
      <c r="AB934" s="109">
        <v>598145.21</v>
      </c>
      <c r="AC934" s="1069"/>
      <c r="AD934" s="200">
        <v>598145.21</v>
      </c>
      <c r="AE934" s="119" t="s">
        <v>7</v>
      </c>
      <c r="AF934" s="1044"/>
      <c r="AG934" s="1044"/>
      <c r="AH934" s="111">
        <f t="shared" si="67"/>
        <v>0</v>
      </c>
      <c r="AI934" s="1044"/>
      <c r="AJ934" s="1063"/>
      <c r="AK934" s="1063"/>
      <c r="AL934" s="1063"/>
      <c r="AM934" s="1119"/>
      <c r="AN934" s="1109"/>
      <c r="AO934" s="1358"/>
    </row>
    <row r="935" spans="1:41" ht="15" customHeight="1">
      <c r="A935" s="1050"/>
      <c r="B935" s="1069"/>
      <c r="C935" s="1012"/>
      <c r="D935" s="1033"/>
      <c r="E935" s="1072"/>
      <c r="F935" s="1072"/>
      <c r="G935" s="1033"/>
      <c r="H935" s="1033"/>
      <c r="I935" s="1033"/>
      <c r="J935" s="1033"/>
      <c r="K935" s="1033"/>
      <c r="L935" s="1033"/>
      <c r="M935" s="1287"/>
      <c r="N935" s="1066"/>
      <c r="O935" s="1063"/>
      <c r="P935" s="1063"/>
      <c r="Q935" s="1063"/>
      <c r="R935" s="1069"/>
      <c r="S935" s="1093"/>
      <c r="T935" s="1093"/>
      <c r="U935" s="1093"/>
      <c r="V935" s="1063"/>
      <c r="W935" s="1063"/>
      <c r="X935" s="1033"/>
      <c r="Y935" s="1067"/>
      <c r="Z935" s="1064"/>
      <c r="AA935" s="1064"/>
      <c r="AB935" s="109">
        <v>267269.36</v>
      </c>
      <c r="AC935" s="1070"/>
      <c r="AD935" s="200">
        <v>0</v>
      </c>
      <c r="AE935" s="119"/>
      <c r="AF935" s="1044"/>
      <c r="AG935" s="1044"/>
      <c r="AH935" s="111">
        <f t="shared" si="67"/>
        <v>267269.36</v>
      </c>
      <c r="AI935" s="1044"/>
      <c r="AJ935" s="1063"/>
      <c r="AK935" s="1063"/>
      <c r="AL935" s="1063"/>
      <c r="AM935" s="1119"/>
      <c r="AN935" s="1109"/>
      <c r="AO935" s="1358"/>
    </row>
    <row r="936" spans="1:41" ht="15" customHeight="1">
      <c r="A936" s="1050"/>
      <c r="B936" s="1069"/>
      <c r="C936" s="1011" t="s">
        <v>42</v>
      </c>
      <c r="D936" s="1033"/>
      <c r="E936" s="1072"/>
      <c r="F936" s="1072"/>
      <c r="G936" s="1033"/>
      <c r="H936" s="1033"/>
      <c r="I936" s="1033"/>
      <c r="J936" s="1033"/>
      <c r="K936" s="1033"/>
      <c r="L936" s="1033"/>
      <c r="M936" s="1287"/>
      <c r="N936" s="1066"/>
      <c r="O936" s="1063"/>
      <c r="P936" s="1063"/>
      <c r="Q936" s="1063"/>
      <c r="R936" s="1069"/>
      <c r="S936" s="1093"/>
      <c r="T936" s="1093"/>
      <c r="U936" s="1093"/>
      <c r="V936" s="1063"/>
      <c r="W936" s="1063"/>
      <c r="X936" s="1033"/>
      <c r="Y936" s="1065" t="s">
        <v>1415</v>
      </c>
      <c r="Z936" s="1062">
        <v>14109490.16</v>
      </c>
      <c r="AA936" s="1062">
        <v>0</v>
      </c>
      <c r="AB936" s="109">
        <v>4096875.3</v>
      </c>
      <c r="AC936" s="1068">
        <v>41415</v>
      </c>
      <c r="AD936" s="200">
        <v>4096875.3</v>
      </c>
      <c r="AE936" s="119" t="s">
        <v>7</v>
      </c>
      <c r="AF936" s="1044"/>
      <c r="AG936" s="1044"/>
      <c r="AH936" s="111">
        <f t="shared" si="67"/>
        <v>0</v>
      </c>
      <c r="AI936" s="1044"/>
      <c r="AJ936" s="1063"/>
      <c r="AK936" s="1063"/>
      <c r="AL936" s="1063"/>
      <c r="AM936" s="1119"/>
      <c r="AN936" s="1109"/>
      <c r="AO936" s="1358"/>
    </row>
    <row r="937" spans="1:41" ht="15" customHeight="1">
      <c r="A937" s="1050"/>
      <c r="B937" s="1069"/>
      <c r="C937" s="1033"/>
      <c r="D937" s="1033"/>
      <c r="E937" s="1072"/>
      <c r="F937" s="1072"/>
      <c r="G937" s="1033"/>
      <c r="H937" s="1033"/>
      <c r="I937" s="1033"/>
      <c r="J937" s="1033"/>
      <c r="K937" s="1033"/>
      <c r="L937" s="1033"/>
      <c r="M937" s="1287"/>
      <c r="N937" s="1066"/>
      <c r="O937" s="1063"/>
      <c r="P937" s="1063"/>
      <c r="Q937" s="1063"/>
      <c r="R937" s="1069"/>
      <c r="S937" s="1093"/>
      <c r="T937" s="1093"/>
      <c r="U937" s="1093"/>
      <c r="V937" s="1063"/>
      <c r="W937" s="1063"/>
      <c r="X937" s="1033"/>
      <c r="Y937" s="1066"/>
      <c r="Z937" s="1063"/>
      <c r="AA937" s="1063"/>
      <c r="AB937" s="109">
        <v>4290003.29</v>
      </c>
      <c r="AC937" s="1069"/>
      <c r="AD937" s="200">
        <v>4290003.29</v>
      </c>
      <c r="AE937" s="119" t="s">
        <v>7</v>
      </c>
      <c r="AF937" s="1044"/>
      <c r="AG937" s="1044"/>
      <c r="AH937" s="111">
        <f t="shared" si="67"/>
        <v>0</v>
      </c>
      <c r="AI937" s="1044"/>
      <c r="AJ937" s="1063"/>
      <c r="AK937" s="1063"/>
      <c r="AL937" s="1063"/>
      <c r="AM937" s="1119"/>
      <c r="AN937" s="1109"/>
      <c r="AO937" s="1358"/>
    </row>
    <row r="938" spans="1:41" ht="15" customHeight="1">
      <c r="A938" s="1050"/>
      <c r="B938" s="1069"/>
      <c r="C938" s="1033"/>
      <c r="D938" s="1033"/>
      <c r="E938" s="1072"/>
      <c r="F938" s="1072"/>
      <c r="G938" s="1033"/>
      <c r="H938" s="1033"/>
      <c r="I938" s="1033"/>
      <c r="J938" s="1033"/>
      <c r="K938" s="1033"/>
      <c r="L938" s="1033"/>
      <c r="M938" s="1287"/>
      <c r="N938" s="1066"/>
      <c r="O938" s="1063"/>
      <c r="P938" s="1063"/>
      <c r="Q938" s="1063"/>
      <c r="R938" s="1069"/>
      <c r="S938" s="1093"/>
      <c r="T938" s="1093"/>
      <c r="U938" s="1093"/>
      <c r="V938" s="1063"/>
      <c r="W938" s="1063"/>
      <c r="X938" s="1033"/>
      <c r="Y938" s="1066"/>
      <c r="Z938" s="1063"/>
      <c r="AA938" s="1063"/>
      <c r="AB938" s="109">
        <v>1244564.57</v>
      </c>
      <c r="AC938" s="1069"/>
      <c r="AD938" s="200">
        <v>1244564.57</v>
      </c>
      <c r="AE938" s="119" t="s">
        <v>7</v>
      </c>
      <c r="AF938" s="1044"/>
      <c r="AG938" s="1044"/>
      <c r="AH938" s="111">
        <f t="shared" si="67"/>
        <v>0</v>
      </c>
      <c r="AI938" s="1044"/>
      <c r="AJ938" s="1063"/>
      <c r="AK938" s="1063"/>
      <c r="AL938" s="1063"/>
      <c r="AM938" s="1119"/>
      <c r="AN938" s="1109"/>
      <c r="AO938" s="1358"/>
    </row>
    <row r="939" spans="1:41" ht="15" customHeight="1">
      <c r="A939" s="1050"/>
      <c r="B939" s="1069"/>
      <c r="C939" s="1012"/>
      <c r="D939" s="1033"/>
      <c r="E939" s="1072"/>
      <c r="F939" s="1072"/>
      <c r="G939" s="1033"/>
      <c r="H939" s="1033"/>
      <c r="I939" s="1033"/>
      <c r="J939" s="1033"/>
      <c r="K939" s="1033"/>
      <c r="L939" s="1033"/>
      <c r="M939" s="1287"/>
      <c r="N939" s="1066"/>
      <c r="O939" s="1063"/>
      <c r="P939" s="1063"/>
      <c r="Q939" s="1063"/>
      <c r="R939" s="1069"/>
      <c r="S939" s="1093"/>
      <c r="T939" s="1093"/>
      <c r="U939" s="1093"/>
      <c r="V939" s="1063"/>
      <c r="W939" s="1063"/>
      <c r="X939" s="1033"/>
      <c r="Y939" s="1066"/>
      <c r="Z939" s="1063"/>
      <c r="AA939" s="1063"/>
      <c r="AB939" s="109">
        <v>635581.25</v>
      </c>
      <c r="AC939" s="1069"/>
      <c r="AD939" s="200">
        <v>635581.25</v>
      </c>
      <c r="AE939" s="119" t="s">
        <v>7</v>
      </c>
      <c r="AF939" s="1044"/>
      <c r="AG939" s="1044"/>
      <c r="AH939" s="111">
        <f t="shared" si="67"/>
        <v>0</v>
      </c>
      <c r="AI939" s="1044"/>
      <c r="AJ939" s="1063"/>
      <c r="AK939" s="1063"/>
      <c r="AL939" s="1063"/>
      <c r="AM939" s="1119"/>
      <c r="AN939" s="1109"/>
      <c r="AO939" s="1358"/>
    </row>
    <row r="940" spans="1:41" ht="15" customHeight="1">
      <c r="A940" s="1050"/>
      <c r="B940" s="1069"/>
      <c r="C940" s="1011" t="s">
        <v>1297</v>
      </c>
      <c r="D940" s="1033"/>
      <c r="E940" s="1072"/>
      <c r="F940" s="1072"/>
      <c r="G940" s="1033"/>
      <c r="H940" s="1033"/>
      <c r="I940" s="1033"/>
      <c r="J940" s="1033"/>
      <c r="K940" s="1033"/>
      <c r="L940" s="1033"/>
      <c r="M940" s="1287"/>
      <c r="N940" s="1066"/>
      <c r="O940" s="1063"/>
      <c r="P940" s="1063"/>
      <c r="Q940" s="1063"/>
      <c r="R940" s="1069"/>
      <c r="S940" s="1093"/>
      <c r="T940" s="1093"/>
      <c r="U940" s="1093"/>
      <c r="V940" s="1063"/>
      <c r="W940" s="1063"/>
      <c r="X940" s="1033"/>
      <c r="Y940" s="1066"/>
      <c r="Z940" s="1063"/>
      <c r="AA940" s="1063"/>
      <c r="AB940" s="109">
        <v>601668.16</v>
      </c>
      <c r="AC940" s="1069"/>
      <c r="AD940" s="200">
        <v>601668.16</v>
      </c>
      <c r="AE940" s="119" t="s">
        <v>7</v>
      </c>
      <c r="AF940" s="1044"/>
      <c r="AG940" s="1044"/>
      <c r="AH940" s="111">
        <f t="shared" si="67"/>
        <v>0</v>
      </c>
      <c r="AI940" s="1044"/>
      <c r="AJ940" s="1063"/>
      <c r="AK940" s="1063"/>
      <c r="AL940" s="1063"/>
      <c r="AM940" s="1119"/>
      <c r="AN940" s="1109"/>
      <c r="AO940" s="1358"/>
    </row>
    <row r="941" spans="1:41" ht="15" customHeight="1">
      <c r="A941" s="1050"/>
      <c r="B941" s="1069"/>
      <c r="C941" s="1033"/>
      <c r="D941" s="1033"/>
      <c r="E941" s="1072"/>
      <c r="F941" s="1072"/>
      <c r="G941" s="1033"/>
      <c r="H941" s="1033"/>
      <c r="I941" s="1033"/>
      <c r="J941" s="1033"/>
      <c r="K941" s="1033"/>
      <c r="L941" s="1033"/>
      <c r="M941" s="1287"/>
      <c r="N941" s="1066"/>
      <c r="O941" s="1063"/>
      <c r="P941" s="1063"/>
      <c r="Q941" s="1063"/>
      <c r="R941" s="1069"/>
      <c r="S941" s="1093"/>
      <c r="T941" s="1093"/>
      <c r="U941" s="1093"/>
      <c r="V941" s="1063"/>
      <c r="W941" s="1063"/>
      <c r="X941" s="1033"/>
      <c r="Y941" s="1066"/>
      <c r="Z941" s="1063"/>
      <c r="AA941" s="1063"/>
      <c r="AB941" s="109">
        <v>1302025.55</v>
      </c>
      <c r="AC941" s="1069"/>
      <c r="AD941" s="200">
        <v>1302025.55</v>
      </c>
      <c r="AE941" s="119" t="s">
        <v>7</v>
      </c>
      <c r="AF941" s="1044"/>
      <c r="AG941" s="1044"/>
      <c r="AH941" s="111">
        <f t="shared" si="67"/>
        <v>0</v>
      </c>
      <c r="AI941" s="1044"/>
      <c r="AJ941" s="1063"/>
      <c r="AK941" s="1063"/>
      <c r="AL941" s="1063"/>
      <c r="AM941" s="1119"/>
      <c r="AN941" s="1109"/>
      <c r="AO941" s="1358"/>
    </row>
    <row r="942" spans="1:41" ht="15" customHeight="1">
      <c r="A942" s="1050"/>
      <c r="B942" s="1069"/>
      <c r="C942" s="1033"/>
      <c r="D942" s="1033"/>
      <c r="E942" s="1072"/>
      <c r="F942" s="1072"/>
      <c r="G942" s="1033"/>
      <c r="H942" s="1033"/>
      <c r="I942" s="1033"/>
      <c r="J942" s="1033"/>
      <c r="K942" s="1033"/>
      <c r="L942" s="1033"/>
      <c r="M942" s="1287"/>
      <c r="N942" s="1066"/>
      <c r="O942" s="1063"/>
      <c r="P942" s="1063"/>
      <c r="Q942" s="1063"/>
      <c r="R942" s="1069"/>
      <c r="S942" s="1093"/>
      <c r="T942" s="1093"/>
      <c r="U942" s="1093"/>
      <c r="V942" s="1063"/>
      <c r="W942" s="1063"/>
      <c r="X942" s="1033"/>
      <c r="Y942" s="1067"/>
      <c r="Z942" s="1064"/>
      <c r="AA942" s="1064"/>
      <c r="AB942" s="109">
        <v>1938772.04</v>
      </c>
      <c r="AC942" s="1070"/>
      <c r="AD942" s="200">
        <v>1938772.04</v>
      </c>
      <c r="AE942" s="119" t="s">
        <v>7</v>
      </c>
      <c r="AF942" s="1044"/>
      <c r="AG942" s="1044"/>
      <c r="AH942" s="111">
        <f t="shared" si="67"/>
        <v>0</v>
      </c>
      <c r="AI942" s="1044"/>
      <c r="AJ942" s="1063"/>
      <c r="AK942" s="1063"/>
      <c r="AL942" s="1063"/>
      <c r="AM942" s="1119"/>
      <c r="AN942" s="1109"/>
      <c r="AO942" s="1358"/>
    </row>
    <row r="943" spans="1:41" ht="15" customHeight="1">
      <c r="A943" s="1050"/>
      <c r="B943" s="1069"/>
      <c r="C943" s="1012"/>
      <c r="D943" s="1033"/>
      <c r="E943" s="1072"/>
      <c r="F943" s="1072"/>
      <c r="G943" s="1033"/>
      <c r="H943" s="1033"/>
      <c r="I943" s="1033"/>
      <c r="J943" s="1033"/>
      <c r="K943" s="1033"/>
      <c r="L943" s="1033"/>
      <c r="M943" s="1287"/>
      <c r="N943" s="1066"/>
      <c r="O943" s="1063"/>
      <c r="P943" s="1063"/>
      <c r="Q943" s="1063"/>
      <c r="R943" s="1069"/>
      <c r="S943" s="1093"/>
      <c r="T943" s="1093"/>
      <c r="U943" s="1093"/>
      <c r="V943" s="1063"/>
      <c r="W943" s="1063"/>
      <c r="X943" s="1033"/>
      <c r="Y943" s="108" t="s">
        <v>1416</v>
      </c>
      <c r="Z943" s="109">
        <v>5858587.0999999996</v>
      </c>
      <c r="AA943" s="109">
        <v>0</v>
      </c>
      <c r="AB943" s="109">
        <v>5858587.0999999996</v>
      </c>
      <c r="AC943" s="97">
        <v>41626</v>
      </c>
      <c r="AD943" s="119">
        <v>5858587.0999999996</v>
      </c>
      <c r="AE943" s="119" t="s">
        <v>7</v>
      </c>
      <c r="AF943" s="1044"/>
      <c r="AG943" s="1044"/>
      <c r="AH943" s="111">
        <f t="shared" si="67"/>
        <v>0</v>
      </c>
      <c r="AI943" s="1044"/>
      <c r="AJ943" s="1063"/>
      <c r="AK943" s="1063"/>
      <c r="AL943" s="1063"/>
      <c r="AM943" s="1119"/>
      <c r="AN943" s="1109"/>
      <c r="AO943" s="1358"/>
    </row>
    <row r="944" spans="1:41" ht="15" customHeight="1">
      <c r="A944" s="1050"/>
      <c r="B944" s="1069"/>
      <c r="C944" s="1011" t="s">
        <v>33</v>
      </c>
      <c r="D944" s="1033"/>
      <c r="E944" s="1072"/>
      <c r="F944" s="1072"/>
      <c r="G944" s="1033"/>
      <c r="H944" s="1033"/>
      <c r="I944" s="1033"/>
      <c r="J944" s="1033"/>
      <c r="K944" s="1033"/>
      <c r="L944" s="1033"/>
      <c r="M944" s="1287"/>
      <c r="N944" s="1066"/>
      <c r="O944" s="1063"/>
      <c r="P944" s="1063"/>
      <c r="Q944" s="1063"/>
      <c r="R944" s="1069"/>
      <c r="S944" s="1093"/>
      <c r="T944" s="1093"/>
      <c r="U944" s="1093"/>
      <c r="V944" s="1063"/>
      <c r="W944" s="1063"/>
      <c r="X944" s="1033"/>
      <c r="Y944" s="1065" t="s">
        <v>1417</v>
      </c>
      <c r="Z944" s="1062">
        <v>5791022.5300000003</v>
      </c>
      <c r="AA944" s="1062">
        <v>0</v>
      </c>
      <c r="AB944" s="109">
        <v>1786434.26</v>
      </c>
      <c r="AC944" s="1068">
        <v>41586</v>
      </c>
      <c r="AD944" s="119">
        <v>1786434.26</v>
      </c>
      <c r="AE944" s="119" t="s">
        <v>7</v>
      </c>
      <c r="AF944" s="1044"/>
      <c r="AG944" s="1044"/>
      <c r="AH944" s="111">
        <f t="shared" si="67"/>
        <v>0</v>
      </c>
      <c r="AI944" s="1044"/>
      <c r="AJ944" s="1063"/>
      <c r="AK944" s="1063"/>
      <c r="AL944" s="1063"/>
      <c r="AM944" s="1119"/>
      <c r="AN944" s="1109"/>
      <c r="AO944" s="1358"/>
    </row>
    <row r="945" spans="1:43" ht="15" customHeight="1">
      <c r="A945" s="1050"/>
      <c r="B945" s="1069"/>
      <c r="C945" s="1033"/>
      <c r="D945" s="1033"/>
      <c r="E945" s="1072"/>
      <c r="F945" s="1072"/>
      <c r="G945" s="1033"/>
      <c r="H945" s="1033"/>
      <c r="I945" s="1033"/>
      <c r="J945" s="1033"/>
      <c r="K945" s="1033"/>
      <c r="L945" s="1033"/>
      <c r="M945" s="1287"/>
      <c r="N945" s="1066"/>
      <c r="O945" s="1063"/>
      <c r="P945" s="1063"/>
      <c r="Q945" s="1063"/>
      <c r="R945" s="1069"/>
      <c r="S945" s="1093"/>
      <c r="T945" s="1093"/>
      <c r="U945" s="1093"/>
      <c r="V945" s="1063"/>
      <c r="W945" s="1063"/>
      <c r="X945" s="1033"/>
      <c r="Y945" s="1066"/>
      <c r="Z945" s="1063"/>
      <c r="AA945" s="1063"/>
      <c r="AB945" s="109">
        <v>159967.26</v>
      </c>
      <c r="AC945" s="1069"/>
      <c r="AD945" s="119">
        <v>159967.26</v>
      </c>
      <c r="AE945" s="119" t="s">
        <v>7</v>
      </c>
      <c r="AF945" s="1044"/>
      <c r="AG945" s="1044"/>
      <c r="AH945" s="111">
        <f t="shared" si="67"/>
        <v>0</v>
      </c>
      <c r="AI945" s="1044"/>
      <c r="AJ945" s="1063"/>
      <c r="AK945" s="1063"/>
      <c r="AL945" s="1063"/>
      <c r="AM945" s="1119"/>
      <c r="AN945" s="1109"/>
      <c r="AO945" s="1358"/>
    </row>
    <row r="946" spans="1:43" ht="15" customHeight="1">
      <c r="A946" s="1050"/>
      <c r="B946" s="1069"/>
      <c r="C946" s="1033"/>
      <c r="D946" s="1033"/>
      <c r="E946" s="1072"/>
      <c r="F946" s="1072"/>
      <c r="G946" s="1033"/>
      <c r="H946" s="1033"/>
      <c r="I946" s="1033"/>
      <c r="J946" s="1033"/>
      <c r="K946" s="1033"/>
      <c r="L946" s="1033"/>
      <c r="M946" s="1287"/>
      <c r="N946" s="1066"/>
      <c r="O946" s="1063"/>
      <c r="P946" s="1063"/>
      <c r="Q946" s="1063"/>
      <c r="R946" s="1069"/>
      <c r="S946" s="1093"/>
      <c r="T946" s="1093"/>
      <c r="U946" s="1093"/>
      <c r="V946" s="1063"/>
      <c r="W946" s="1063"/>
      <c r="X946" s="1033"/>
      <c r="Y946" s="1066"/>
      <c r="Z946" s="1063"/>
      <c r="AA946" s="1063"/>
      <c r="AB946" s="109">
        <v>2023880.57</v>
      </c>
      <c r="AC946" s="1069"/>
      <c r="AD946" s="119">
        <v>2023880.57</v>
      </c>
      <c r="AE946" s="119" t="s">
        <v>7</v>
      </c>
      <c r="AF946" s="1044"/>
      <c r="AG946" s="1044"/>
      <c r="AH946" s="111">
        <f t="shared" si="67"/>
        <v>0</v>
      </c>
      <c r="AI946" s="1044"/>
      <c r="AJ946" s="1063"/>
      <c r="AK946" s="1063"/>
      <c r="AL946" s="1063"/>
      <c r="AM946" s="1119"/>
      <c r="AN946" s="1109"/>
      <c r="AO946" s="1358"/>
    </row>
    <row r="947" spans="1:43" ht="15" customHeight="1">
      <c r="A947" s="1050"/>
      <c r="B947" s="1069"/>
      <c r="C947" s="1012"/>
      <c r="D947" s="1033"/>
      <c r="E947" s="1072"/>
      <c r="F947" s="1072"/>
      <c r="G947" s="1033"/>
      <c r="H947" s="1033"/>
      <c r="I947" s="1033"/>
      <c r="J947" s="1033"/>
      <c r="K947" s="1033"/>
      <c r="L947" s="1033"/>
      <c r="M947" s="1287"/>
      <c r="N947" s="1066"/>
      <c r="O947" s="1063"/>
      <c r="P947" s="1063"/>
      <c r="Q947" s="1063"/>
      <c r="R947" s="1069"/>
      <c r="S947" s="1093"/>
      <c r="T947" s="1093"/>
      <c r="U947" s="1093"/>
      <c r="V947" s="1063"/>
      <c r="W947" s="1063"/>
      <c r="X947" s="1033"/>
      <c r="Y947" s="1066"/>
      <c r="Z947" s="1063"/>
      <c r="AA947" s="1063"/>
      <c r="AB947" s="109">
        <v>480113.61</v>
      </c>
      <c r="AC947" s="1069"/>
      <c r="AD947" s="119">
        <v>480113.61</v>
      </c>
      <c r="AE947" s="119" t="s">
        <v>7</v>
      </c>
      <c r="AF947" s="1044"/>
      <c r="AG947" s="1044"/>
      <c r="AH947" s="111">
        <f t="shared" si="67"/>
        <v>0</v>
      </c>
      <c r="AI947" s="1044"/>
      <c r="AJ947" s="1063"/>
      <c r="AK947" s="1063"/>
      <c r="AL947" s="1063"/>
      <c r="AM947" s="1119"/>
      <c r="AN947" s="1109"/>
      <c r="AO947" s="1358"/>
    </row>
    <row r="948" spans="1:43" ht="15" customHeight="1">
      <c r="A948" s="1050"/>
      <c r="B948" s="1069"/>
      <c r="C948" s="1011" t="s">
        <v>34</v>
      </c>
      <c r="D948" s="1033"/>
      <c r="E948" s="1072"/>
      <c r="F948" s="1072"/>
      <c r="G948" s="1033"/>
      <c r="H948" s="1033"/>
      <c r="I948" s="1033"/>
      <c r="J948" s="1033"/>
      <c r="K948" s="1033"/>
      <c r="L948" s="1033"/>
      <c r="M948" s="1287"/>
      <c r="N948" s="1066"/>
      <c r="O948" s="1063"/>
      <c r="P948" s="1063"/>
      <c r="Q948" s="1063"/>
      <c r="R948" s="1069"/>
      <c r="S948" s="1093"/>
      <c r="T948" s="1093"/>
      <c r="U948" s="1093"/>
      <c r="V948" s="1063"/>
      <c r="W948" s="1063"/>
      <c r="X948" s="1033"/>
      <c r="Y948" s="1067"/>
      <c r="Z948" s="1064"/>
      <c r="AA948" s="1064"/>
      <c r="AB948" s="109">
        <v>1340626.82</v>
      </c>
      <c r="AC948" s="1070"/>
      <c r="AD948" s="119">
        <v>1340626.82</v>
      </c>
      <c r="AE948" s="119" t="s">
        <v>7</v>
      </c>
      <c r="AF948" s="1044"/>
      <c r="AG948" s="1044"/>
      <c r="AH948" s="111">
        <f t="shared" si="67"/>
        <v>0</v>
      </c>
      <c r="AI948" s="1044"/>
      <c r="AJ948" s="1063"/>
      <c r="AK948" s="1063"/>
      <c r="AL948" s="1063"/>
      <c r="AM948" s="1119"/>
      <c r="AN948" s="1109"/>
      <c r="AO948" s="1358"/>
    </row>
    <row r="949" spans="1:43" ht="15" customHeight="1">
      <c r="A949" s="1050"/>
      <c r="B949" s="1069"/>
      <c r="C949" s="1033"/>
      <c r="D949" s="1033"/>
      <c r="E949" s="1072"/>
      <c r="F949" s="1072"/>
      <c r="G949" s="1033"/>
      <c r="H949" s="1033"/>
      <c r="I949" s="1033"/>
      <c r="J949" s="1033"/>
      <c r="K949" s="1033"/>
      <c r="L949" s="1033"/>
      <c r="M949" s="1287"/>
      <c r="N949" s="1066"/>
      <c r="O949" s="1063"/>
      <c r="P949" s="1063"/>
      <c r="Q949" s="1063"/>
      <c r="R949" s="1069"/>
      <c r="S949" s="1093"/>
      <c r="T949" s="1093"/>
      <c r="U949" s="1093"/>
      <c r="V949" s="1063"/>
      <c r="W949" s="1063"/>
      <c r="X949" s="1033"/>
      <c r="Y949" s="1065" t="s">
        <v>1418</v>
      </c>
      <c r="Z949" s="1062">
        <v>8448976.7100000009</v>
      </c>
      <c r="AA949" s="1062">
        <v>0</v>
      </c>
      <c r="AB949" s="109">
        <v>4426004.05</v>
      </c>
      <c r="AC949" s="1068">
        <v>41849</v>
      </c>
      <c r="AD949" s="119">
        <v>4426004.05</v>
      </c>
      <c r="AE949" s="119" t="s">
        <v>7</v>
      </c>
      <c r="AF949" s="1044"/>
      <c r="AG949" s="1044"/>
      <c r="AH949" s="111">
        <f t="shared" si="67"/>
        <v>0</v>
      </c>
      <c r="AI949" s="1044"/>
      <c r="AJ949" s="1063"/>
      <c r="AK949" s="1063"/>
      <c r="AL949" s="1063"/>
      <c r="AM949" s="1119"/>
      <c r="AN949" s="1109"/>
      <c r="AO949" s="1358"/>
    </row>
    <row r="950" spans="1:43" ht="15" customHeight="1">
      <c r="A950" s="1050"/>
      <c r="B950" s="1069"/>
      <c r="C950" s="1033"/>
      <c r="D950" s="1033"/>
      <c r="E950" s="1072"/>
      <c r="F950" s="1072"/>
      <c r="G950" s="1033"/>
      <c r="H950" s="1033"/>
      <c r="I950" s="1033"/>
      <c r="J950" s="1033"/>
      <c r="K950" s="1033"/>
      <c r="L950" s="1033"/>
      <c r="M950" s="1287"/>
      <c r="N950" s="1066"/>
      <c r="O950" s="1063"/>
      <c r="P950" s="1063"/>
      <c r="Q950" s="1063"/>
      <c r="R950" s="1069"/>
      <c r="S950" s="1093"/>
      <c r="T950" s="1093"/>
      <c r="U950" s="1093"/>
      <c r="V950" s="1063"/>
      <c r="W950" s="1063"/>
      <c r="X950" s="1033"/>
      <c r="Y950" s="1066"/>
      <c r="Z950" s="1063"/>
      <c r="AA950" s="1063"/>
      <c r="AB950" s="109">
        <v>622401.71</v>
      </c>
      <c r="AC950" s="1069"/>
      <c r="AD950" s="119">
        <v>622401.71</v>
      </c>
      <c r="AE950" s="119" t="s">
        <v>7</v>
      </c>
      <c r="AF950" s="1044"/>
      <c r="AG950" s="1044"/>
      <c r="AH950" s="111">
        <f t="shared" si="67"/>
        <v>0</v>
      </c>
      <c r="AI950" s="1044"/>
      <c r="AJ950" s="1063"/>
      <c r="AK950" s="1063"/>
      <c r="AL950" s="1063"/>
      <c r="AM950" s="1119"/>
      <c r="AN950" s="1109"/>
      <c r="AO950" s="1358"/>
    </row>
    <row r="951" spans="1:43" ht="15" customHeight="1">
      <c r="A951" s="1050"/>
      <c r="B951" s="1069"/>
      <c r="C951" s="1033"/>
      <c r="D951" s="1033"/>
      <c r="E951" s="1072"/>
      <c r="F951" s="1072"/>
      <c r="G951" s="1033"/>
      <c r="H951" s="1033"/>
      <c r="I951" s="1033"/>
      <c r="J951" s="1033"/>
      <c r="K951" s="1033"/>
      <c r="L951" s="1033"/>
      <c r="M951" s="1287"/>
      <c r="N951" s="1066"/>
      <c r="O951" s="1063"/>
      <c r="P951" s="1063"/>
      <c r="Q951" s="1063"/>
      <c r="R951" s="1069"/>
      <c r="S951" s="1093"/>
      <c r="T951" s="1093"/>
      <c r="U951" s="1093"/>
      <c r="V951" s="1063"/>
      <c r="W951" s="1063"/>
      <c r="X951" s="1033"/>
      <c r="Y951" s="1066"/>
      <c r="Z951" s="1063"/>
      <c r="AA951" s="1063"/>
      <c r="AB951" s="109">
        <v>349619.16</v>
      </c>
      <c r="AC951" s="1069"/>
      <c r="AD951" s="119">
        <v>349619.16</v>
      </c>
      <c r="AE951" s="119" t="s">
        <v>7</v>
      </c>
      <c r="AF951" s="1044"/>
      <c r="AG951" s="1044"/>
      <c r="AH951" s="111">
        <f t="shared" si="67"/>
        <v>0</v>
      </c>
      <c r="AI951" s="1044"/>
      <c r="AJ951" s="1063"/>
      <c r="AK951" s="1063"/>
      <c r="AL951" s="1063"/>
      <c r="AM951" s="1119"/>
      <c r="AN951" s="1109"/>
      <c r="AO951" s="1358"/>
    </row>
    <row r="952" spans="1:43" ht="15" customHeight="1">
      <c r="A952" s="1050"/>
      <c r="B952" s="1069"/>
      <c r="C952" s="1033"/>
      <c r="D952" s="1033"/>
      <c r="E952" s="1072"/>
      <c r="F952" s="1072"/>
      <c r="G952" s="1033"/>
      <c r="H952" s="1033"/>
      <c r="I952" s="1033"/>
      <c r="J952" s="1033"/>
      <c r="K952" s="1033"/>
      <c r="L952" s="1033"/>
      <c r="M952" s="1287"/>
      <c r="N952" s="1066"/>
      <c r="O952" s="1063"/>
      <c r="P952" s="1063"/>
      <c r="Q952" s="1063"/>
      <c r="R952" s="1069"/>
      <c r="S952" s="1093"/>
      <c r="T952" s="1093"/>
      <c r="U952" s="1093"/>
      <c r="V952" s="1063"/>
      <c r="W952" s="1063"/>
      <c r="X952" s="1033"/>
      <c r="Y952" s="1066"/>
      <c r="Z952" s="1063"/>
      <c r="AA952" s="1063"/>
      <c r="AB952" s="109">
        <v>1255885.8700000001</v>
      </c>
      <c r="AC952" s="1069"/>
      <c r="AD952" s="119">
        <v>1255885.8700000001</v>
      </c>
      <c r="AE952" s="119" t="s">
        <v>7</v>
      </c>
      <c r="AF952" s="1044"/>
      <c r="AG952" s="1044"/>
      <c r="AH952" s="111">
        <f t="shared" si="67"/>
        <v>0</v>
      </c>
      <c r="AI952" s="1044"/>
      <c r="AJ952" s="1063"/>
      <c r="AK952" s="1063"/>
      <c r="AL952" s="1063"/>
      <c r="AM952" s="1119"/>
      <c r="AN952" s="1109"/>
      <c r="AO952" s="1358"/>
    </row>
    <row r="953" spans="1:43" ht="15" customHeight="1">
      <c r="A953" s="1016"/>
      <c r="B953" s="1070"/>
      <c r="C953" s="1012"/>
      <c r="D953" s="1012"/>
      <c r="E953" s="1073"/>
      <c r="F953" s="1073"/>
      <c r="G953" s="1012"/>
      <c r="H953" s="1012"/>
      <c r="I953" s="1012"/>
      <c r="J953" s="1012"/>
      <c r="K953" s="1012"/>
      <c r="L953" s="1012"/>
      <c r="M953" s="1288"/>
      <c r="N953" s="1067"/>
      <c r="O953" s="1064"/>
      <c r="P953" s="1064"/>
      <c r="Q953" s="1064"/>
      <c r="R953" s="1070"/>
      <c r="S953" s="1094"/>
      <c r="T953" s="1094"/>
      <c r="U953" s="1094"/>
      <c r="V953" s="1064"/>
      <c r="W953" s="1064"/>
      <c r="X953" s="1012"/>
      <c r="Y953" s="1067"/>
      <c r="Z953" s="1064"/>
      <c r="AA953" s="1064"/>
      <c r="AB953" s="109">
        <v>1795065.92</v>
      </c>
      <c r="AC953" s="1070"/>
      <c r="AD953" s="119">
        <v>1795065.92</v>
      </c>
      <c r="AE953" s="119" t="s">
        <v>7</v>
      </c>
      <c r="AF953" s="1045"/>
      <c r="AG953" s="1045"/>
      <c r="AH953" s="111">
        <f t="shared" si="67"/>
        <v>0</v>
      </c>
      <c r="AI953" s="1045"/>
      <c r="AJ953" s="1064"/>
      <c r="AK953" s="1064"/>
      <c r="AL953" s="1064"/>
      <c r="AM953" s="1119"/>
      <c r="AN953" s="1110"/>
      <c r="AO953" s="1359"/>
    </row>
    <row r="954" spans="1:43" s="4" customFormat="1" ht="15" customHeight="1">
      <c r="A954" s="1015" t="s">
        <v>1430</v>
      </c>
      <c r="B954" s="1068">
        <v>41212</v>
      </c>
      <c r="C954" s="1011" t="s">
        <v>45</v>
      </c>
      <c r="D954" s="1011" t="s">
        <v>1431</v>
      </c>
      <c r="E954" s="1011">
        <v>900564859</v>
      </c>
      <c r="F954" s="1011">
        <v>4</v>
      </c>
      <c r="G954" s="1011" t="s">
        <v>2869</v>
      </c>
      <c r="H954" s="1011" t="s">
        <v>70</v>
      </c>
      <c r="I954" s="1011" t="s">
        <v>206</v>
      </c>
      <c r="J954" s="1011" t="s">
        <v>66</v>
      </c>
      <c r="K954" s="1011" t="s">
        <v>50</v>
      </c>
      <c r="L954" s="1011" t="s">
        <v>1434</v>
      </c>
      <c r="M954" s="1286">
        <v>186</v>
      </c>
      <c r="N954" s="1065" t="s">
        <v>137</v>
      </c>
      <c r="O954" s="1062">
        <v>61053092</v>
      </c>
      <c r="P954" s="1062">
        <f>O954</f>
        <v>61053092</v>
      </c>
      <c r="Q954" s="1062">
        <f>P954+P958</f>
        <v>91348045</v>
      </c>
      <c r="R954" s="1068">
        <v>40758</v>
      </c>
      <c r="S954" s="1062">
        <f>T954</f>
        <v>61053092</v>
      </c>
      <c r="T954" s="1062">
        <v>61053092</v>
      </c>
      <c r="U954" s="1062">
        <f>O954-T954</f>
        <v>0</v>
      </c>
      <c r="V954" s="1089">
        <v>60923200</v>
      </c>
      <c r="W954" s="1062">
        <v>91218153</v>
      </c>
      <c r="X954" s="1011" t="s">
        <v>1448</v>
      </c>
      <c r="Y954" s="108" t="s">
        <v>1435</v>
      </c>
      <c r="Z954" s="109">
        <v>36553920</v>
      </c>
      <c r="AA954" s="109">
        <v>0</v>
      </c>
      <c r="AB954" s="109">
        <f t="shared" ref="AB954:AB959" si="68">AA954+Z954</f>
        <v>36553920</v>
      </c>
      <c r="AC954" s="97">
        <v>41752</v>
      </c>
      <c r="AD954" s="119">
        <v>36553920</v>
      </c>
      <c r="AE954" s="119" t="s">
        <v>137</v>
      </c>
      <c r="AF954" s="1043">
        <f>SUM(AD954:AD957)</f>
        <v>60923200</v>
      </c>
      <c r="AG954" s="1043">
        <f>AF954+AF958</f>
        <v>91218153</v>
      </c>
      <c r="AH954" s="111">
        <f t="shared" si="67"/>
        <v>0</v>
      </c>
      <c r="AI954" s="1043">
        <f>O954-SUM(AD954:AD957)</f>
        <v>129892</v>
      </c>
      <c r="AJ954" s="1062">
        <f>SUM(Z954:Z959)-SUM(AD954:AD959)</f>
        <v>0</v>
      </c>
      <c r="AK954" s="1062">
        <f>P954-V954</f>
        <v>129892</v>
      </c>
      <c r="AL954" s="1062">
        <f>V954-SUM(Z954:Z957)</f>
        <v>0</v>
      </c>
      <c r="AM954" s="1062">
        <f>AK954+AL954</f>
        <v>129892</v>
      </c>
      <c r="AN954" s="1108" t="s">
        <v>1441</v>
      </c>
      <c r="AO954" s="1103" t="s">
        <v>1520</v>
      </c>
      <c r="AQ954" s="934"/>
    </row>
    <row r="955" spans="1:43" s="4" customFormat="1" ht="15" customHeight="1">
      <c r="A955" s="1050"/>
      <c r="B955" s="1069"/>
      <c r="C955" s="1033"/>
      <c r="D955" s="1033"/>
      <c r="E955" s="1033"/>
      <c r="F955" s="1033"/>
      <c r="G955" s="1033"/>
      <c r="H955" s="1033"/>
      <c r="I955" s="1033"/>
      <c r="J955" s="1033"/>
      <c r="K955" s="1033"/>
      <c r="L955" s="1033"/>
      <c r="M955" s="1287"/>
      <c r="N955" s="1066"/>
      <c r="O955" s="1063"/>
      <c r="P955" s="1063"/>
      <c r="Q955" s="1063"/>
      <c r="R955" s="1069"/>
      <c r="S955" s="1063"/>
      <c r="T955" s="1063"/>
      <c r="U955" s="1063"/>
      <c r="V955" s="1090"/>
      <c r="W955" s="1063"/>
      <c r="X955" s="1033"/>
      <c r="Y955" s="108" t="s">
        <v>1436</v>
      </c>
      <c r="Z955" s="109">
        <v>12184640</v>
      </c>
      <c r="AA955" s="109">
        <v>0</v>
      </c>
      <c r="AB955" s="109">
        <f t="shared" si="68"/>
        <v>12184640</v>
      </c>
      <c r="AC955" s="97">
        <v>41862</v>
      </c>
      <c r="AD955" s="119">
        <v>12184640</v>
      </c>
      <c r="AE955" s="119" t="s">
        <v>137</v>
      </c>
      <c r="AF955" s="1044"/>
      <c r="AG955" s="1044"/>
      <c r="AH955" s="111">
        <f t="shared" si="67"/>
        <v>0</v>
      </c>
      <c r="AI955" s="1044"/>
      <c r="AJ955" s="1063"/>
      <c r="AK955" s="1063"/>
      <c r="AL955" s="1063"/>
      <c r="AM955" s="1063"/>
      <c r="AN955" s="1109"/>
      <c r="AO955" s="1104"/>
      <c r="AQ955" s="934"/>
    </row>
    <row r="956" spans="1:43" s="4" customFormat="1" ht="15" customHeight="1">
      <c r="A956" s="1050"/>
      <c r="B956" s="1069"/>
      <c r="C956" s="1033"/>
      <c r="D956" s="1033"/>
      <c r="E956" s="1033"/>
      <c r="F956" s="1033"/>
      <c r="G956" s="1033"/>
      <c r="H956" s="1033"/>
      <c r="I956" s="1033"/>
      <c r="J956" s="1033"/>
      <c r="K956" s="1033"/>
      <c r="L956" s="1033"/>
      <c r="M956" s="1287"/>
      <c r="N956" s="1066"/>
      <c r="O956" s="1063"/>
      <c r="P956" s="1063"/>
      <c r="Q956" s="1063"/>
      <c r="R956" s="1069"/>
      <c r="S956" s="1063"/>
      <c r="T956" s="1063"/>
      <c r="U956" s="1063"/>
      <c r="V956" s="1090"/>
      <c r="W956" s="1063"/>
      <c r="X956" s="1033"/>
      <c r="Y956" s="108" t="s">
        <v>1437</v>
      </c>
      <c r="Z956" s="109">
        <v>6092320</v>
      </c>
      <c r="AA956" s="109">
        <v>0</v>
      </c>
      <c r="AB956" s="109">
        <f t="shared" si="68"/>
        <v>6092320</v>
      </c>
      <c r="AC956" s="97">
        <v>41985</v>
      </c>
      <c r="AD956" s="119">
        <v>6092320</v>
      </c>
      <c r="AE956" s="119" t="s">
        <v>137</v>
      </c>
      <c r="AF956" s="1044"/>
      <c r="AG956" s="1044"/>
      <c r="AH956" s="111">
        <f t="shared" si="67"/>
        <v>0</v>
      </c>
      <c r="AI956" s="1044"/>
      <c r="AJ956" s="1063"/>
      <c r="AK956" s="1063"/>
      <c r="AL956" s="1063"/>
      <c r="AM956" s="1063"/>
      <c r="AN956" s="1109"/>
      <c r="AO956" s="1104"/>
      <c r="AQ956" s="934"/>
    </row>
    <row r="957" spans="1:43" s="4" customFormat="1" ht="15" customHeight="1">
      <c r="A957" s="1050"/>
      <c r="B957" s="1069"/>
      <c r="C957" s="1033"/>
      <c r="D957" s="1033"/>
      <c r="E957" s="1033"/>
      <c r="F957" s="1033"/>
      <c r="G957" s="1033"/>
      <c r="H957" s="1033"/>
      <c r="I957" s="1033"/>
      <c r="J957" s="1012"/>
      <c r="K957" s="1033"/>
      <c r="L957" s="1033"/>
      <c r="M957" s="1288"/>
      <c r="N957" s="1067"/>
      <c r="O957" s="1064"/>
      <c r="P957" s="1064"/>
      <c r="Q957" s="1063"/>
      <c r="R957" s="1070"/>
      <c r="S957" s="1064"/>
      <c r="T957" s="1064"/>
      <c r="U957" s="1064"/>
      <c r="V957" s="1091"/>
      <c r="W957" s="1063"/>
      <c r="X957" s="1033"/>
      <c r="Y957" s="108" t="s">
        <v>1438</v>
      </c>
      <c r="Z957" s="109">
        <v>6092320</v>
      </c>
      <c r="AA957" s="109">
        <v>0</v>
      </c>
      <c r="AB957" s="109">
        <f t="shared" si="68"/>
        <v>6092320</v>
      </c>
      <c r="AC957" s="97">
        <v>42236</v>
      </c>
      <c r="AD957" s="119">
        <v>6092320</v>
      </c>
      <c r="AE957" s="119" t="s">
        <v>137</v>
      </c>
      <c r="AF957" s="1045"/>
      <c r="AG957" s="1044"/>
      <c r="AH957" s="111">
        <f t="shared" si="67"/>
        <v>0</v>
      </c>
      <c r="AI957" s="1045"/>
      <c r="AJ957" s="1063"/>
      <c r="AK957" s="1064"/>
      <c r="AL957" s="1064"/>
      <c r="AM957" s="1064"/>
      <c r="AN957" s="1109"/>
      <c r="AO957" s="1104"/>
      <c r="AQ957" s="934"/>
    </row>
    <row r="958" spans="1:43" s="4" customFormat="1" ht="15" customHeight="1">
      <c r="A958" s="1050"/>
      <c r="B958" s="1069"/>
      <c r="C958" s="1033"/>
      <c r="D958" s="1033"/>
      <c r="E958" s="1033"/>
      <c r="F958" s="1033"/>
      <c r="G958" s="1033"/>
      <c r="H958" s="1033"/>
      <c r="I958" s="1033"/>
      <c r="J958" s="1011" t="s">
        <v>67</v>
      </c>
      <c r="K958" s="1033"/>
      <c r="L958" s="1033"/>
      <c r="M958" s="1286">
        <v>13</v>
      </c>
      <c r="N958" s="1065" t="s">
        <v>152</v>
      </c>
      <c r="O958" s="1062">
        <v>30294953</v>
      </c>
      <c r="P958" s="1062">
        <f>O958</f>
        <v>30294953</v>
      </c>
      <c r="Q958" s="1063"/>
      <c r="R958" s="1068">
        <v>42003</v>
      </c>
      <c r="S958" s="1062">
        <f>T958</f>
        <v>30294953</v>
      </c>
      <c r="T958" s="1062">
        <v>30294953</v>
      </c>
      <c r="U958" s="1062">
        <f>O958-T958</f>
        <v>0</v>
      </c>
      <c r="V958" s="1062">
        <v>30294953</v>
      </c>
      <c r="W958" s="1063"/>
      <c r="X958" s="1033"/>
      <c r="Y958" s="108" t="s">
        <v>1439</v>
      </c>
      <c r="Z958" s="109">
        <v>21173138</v>
      </c>
      <c r="AA958" s="109">
        <v>0</v>
      </c>
      <c r="AB958" s="109">
        <f t="shared" si="68"/>
        <v>21173138</v>
      </c>
      <c r="AC958" s="97">
        <v>42236</v>
      </c>
      <c r="AD958" s="119">
        <v>21173138</v>
      </c>
      <c r="AE958" s="119" t="s">
        <v>152</v>
      </c>
      <c r="AF958" s="1043">
        <f>SUM(AD958:AD959)</f>
        <v>30294953</v>
      </c>
      <c r="AG958" s="1044"/>
      <c r="AH958" s="111">
        <f t="shared" ref="AH958:AH998" si="69">AB958-AD958</f>
        <v>0</v>
      </c>
      <c r="AI958" s="1043">
        <f>O958-SUM(AD958:AD959)</f>
        <v>0</v>
      </c>
      <c r="AJ958" s="1063"/>
      <c r="AK958" s="1062">
        <f>P958-V958</f>
        <v>0</v>
      </c>
      <c r="AL958" s="1062">
        <f>V958-SUM(Z958:Z959)</f>
        <v>0</v>
      </c>
      <c r="AM958" s="1062">
        <f>AK958+AL958</f>
        <v>0</v>
      </c>
      <c r="AN958" s="1109"/>
      <c r="AO958" s="1104"/>
      <c r="AQ958" s="934"/>
    </row>
    <row r="959" spans="1:43" ht="15" customHeight="1">
      <c r="A959" s="1016"/>
      <c r="B959" s="1070"/>
      <c r="C959" s="1012"/>
      <c r="D959" s="1012"/>
      <c r="E959" s="1012"/>
      <c r="F959" s="1012"/>
      <c r="G959" s="1012"/>
      <c r="H959" s="1012"/>
      <c r="I959" s="1012"/>
      <c r="J959" s="1012"/>
      <c r="K959" s="1012"/>
      <c r="L959" s="1012"/>
      <c r="M959" s="1288"/>
      <c r="N959" s="1067"/>
      <c r="O959" s="1064"/>
      <c r="P959" s="1064"/>
      <c r="Q959" s="1064"/>
      <c r="R959" s="1070"/>
      <c r="S959" s="1064"/>
      <c r="T959" s="1064"/>
      <c r="U959" s="1064"/>
      <c r="V959" s="1064"/>
      <c r="W959" s="1064"/>
      <c r="X959" s="1012"/>
      <c r="Y959" s="108" t="s">
        <v>1440</v>
      </c>
      <c r="Z959" s="109">
        <v>9121815</v>
      </c>
      <c r="AA959" s="109">
        <v>0</v>
      </c>
      <c r="AB959" s="109">
        <f t="shared" si="68"/>
        <v>9121815</v>
      </c>
      <c r="AC959" s="97">
        <v>43194</v>
      </c>
      <c r="AD959" s="200">
        <f>+AB959</f>
        <v>9121815</v>
      </c>
      <c r="AE959" s="119" t="s">
        <v>152</v>
      </c>
      <c r="AF959" s="1045"/>
      <c r="AG959" s="1045"/>
      <c r="AH959" s="111">
        <f t="shared" si="69"/>
        <v>0</v>
      </c>
      <c r="AI959" s="1045"/>
      <c r="AJ959" s="1064"/>
      <c r="AK959" s="1064"/>
      <c r="AL959" s="1064"/>
      <c r="AM959" s="1064"/>
      <c r="AN959" s="1110"/>
      <c r="AO959" s="1105"/>
    </row>
    <row r="960" spans="1:43" ht="15" customHeight="1">
      <c r="A960" s="1015" t="s">
        <v>1445</v>
      </c>
      <c r="B960" s="1068">
        <v>41212</v>
      </c>
      <c r="C960" s="1011" t="s">
        <v>21</v>
      </c>
      <c r="D960" s="1011" t="s">
        <v>1446</v>
      </c>
      <c r="E960" s="1071">
        <v>900563625</v>
      </c>
      <c r="F960" s="1071">
        <v>3</v>
      </c>
      <c r="G960" s="1011" t="s">
        <v>2870</v>
      </c>
      <c r="H960" s="1011" t="s">
        <v>70</v>
      </c>
      <c r="I960" s="1011" t="s">
        <v>206</v>
      </c>
      <c r="J960" s="1011" t="s">
        <v>66</v>
      </c>
      <c r="K960" s="1011" t="s">
        <v>49</v>
      </c>
      <c r="L960" s="1011" t="s">
        <v>1449</v>
      </c>
      <c r="M960" s="1286">
        <v>2</v>
      </c>
      <c r="N960" s="1065" t="s">
        <v>144</v>
      </c>
      <c r="O960" s="1062">
        <v>80193892</v>
      </c>
      <c r="P960" s="1062">
        <f>O960</f>
        <v>80193892</v>
      </c>
      <c r="Q960" s="1062">
        <f>P960</f>
        <v>80193892</v>
      </c>
      <c r="R960" s="1068">
        <v>40899</v>
      </c>
      <c r="S960" s="1092">
        <f>T960</f>
        <v>80193892</v>
      </c>
      <c r="T960" s="1092">
        <v>80193892</v>
      </c>
      <c r="U960" s="1092">
        <f>O960-T960</f>
        <v>0</v>
      </c>
      <c r="V960" s="1062">
        <v>79970400</v>
      </c>
      <c r="W960" s="1062">
        <v>79970400</v>
      </c>
      <c r="X960" s="1011" t="s">
        <v>1448</v>
      </c>
      <c r="Y960" s="108" t="s">
        <v>1450</v>
      </c>
      <c r="Z960" s="109">
        <v>14098782</v>
      </c>
      <c r="AA960" s="109">
        <v>0</v>
      </c>
      <c r="AB960" s="109">
        <f t="shared" ref="AB960:AB1000" si="70">Z960+AA960</f>
        <v>14098782</v>
      </c>
      <c r="AC960" s="97">
        <v>41563</v>
      </c>
      <c r="AD960" s="200">
        <v>14098782</v>
      </c>
      <c r="AE960" s="119" t="s">
        <v>144</v>
      </c>
      <c r="AF960" s="1043">
        <f>SUM(AD960:AD964)</f>
        <v>71973361</v>
      </c>
      <c r="AG960" s="1043">
        <f>AF960</f>
        <v>71973361</v>
      </c>
      <c r="AH960" s="111">
        <f t="shared" si="69"/>
        <v>0</v>
      </c>
      <c r="AI960" s="1043">
        <f>O960-SUM(AD960:AD964)</f>
        <v>8220531</v>
      </c>
      <c r="AJ960" s="1062">
        <f>SUM(Z960:Z964)-SUM(AD960:AD964)</f>
        <v>0</v>
      </c>
      <c r="AK960" s="1062">
        <f>P960-V960</f>
        <v>223492</v>
      </c>
      <c r="AL960" s="1062">
        <f>V960-SUM(Z960:Z964)</f>
        <v>7997039</v>
      </c>
      <c r="AM960" s="1062"/>
      <c r="AN960" s="1103" t="s">
        <v>1455</v>
      </c>
      <c r="AO960" s="1103" t="s">
        <v>1454</v>
      </c>
      <c r="AP960" s="1074" t="s">
        <v>2466</v>
      </c>
    </row>
    <row r="961" spans="1:42" ht="15" customHeight="1">
      <c r="A961" s="1050"/>
      <c r="B961" s="1069"/>
      <c r="C961" s="1033"/>
      <c r="D961" s="1033"/>
      <c r="E961" s="1072"/>
      <c r="F961" s="1072"/>
      <c r="G961" s="1033"/>
      <c r="H961" s="1033"/>
      <c r="I961" s="1033"/>
      <c r="J961" s="1033"/>
      <c r="K961" s="1033"/>
      <c r="L961" s="1033"/>
      <c r="M961" s="1287"/>
      <c r="N961" s="1066"/>
      <c r="O961" s="1063"/>
      <c r="P961" s="1063"/>
      <c r="Q961" s="1063"/>
      <c r="R961" s="1069"/>
      <c r="S961" s="1093"/>
      <c r="T961" s="1093"/>
      <c r="U961" s="1093"/>
      <c r="V961" s="1063"/>
      <c r="W961" s="1063"/>
      <c r="X961" s="1033"/>
      <c r="Y961" s="108" t="s">
        <v>1451</v>
      </c>
      <c r="Z961" s="109">
        <v>18329216</v>
      </c>
      <c r="AA961" s="109">
        <v>0</v>
      </c>
      <c r="AB961" s="109">
        <f t="shared" si="70"/>
        <v>18329216</v>
      </c>
      <c r="AC961" s="97">
        <v>41984</v>
      </c>
      <c r="AD961" s="200">
        <v>18329216</v>
      </c>
      <c r="AE961" s="119" t="s">
        <v>144</v>
      </c>
      <c r="AF961" s="1044"/>
      <c r="AG961" s="1044"/>
      <c r="AH961" s="111">
        <f t="shared" si="69"/>
        <v>0</v>
      </c>
      <c r="AI961" s="1044"/>
      <c r="AJ961" s="1063"/>
      <c r="AK961" s="1063"/>
      <c r="AL961" s="1063"/>
      <c r="AM961" s="1063"/>
      <c r="AN961" s="1104"/>
      <c r="AO961" s="1104"/>
      <c r="AP961" s="1074"/>
    </row>
    <row r="962" spans="1:42" ht="15" customHeight="1">
      <c r="A962" s="1050"/>
      <c r="B962" s="1069"/>
      <c r="C962" s="1033"/>
      <c r="D962" s="1033"/>
      <c r="E962" s="1072"/>
      <c r="F962" s="1072"/>
      <c r="G962" s="1033"/>
      <c r="H962" s="1033"/>
      <c r="I962" s="1033"/>
      <c r="J962" s="1033"/>
      <c r="K962" s="1033"/>
      <c r="L962" s="1033"/>
      <c r="M962" s="1287"/>
      <c r="N962" s="1066"/>
      <c r="O962" s="1063"/>
      <c r="P962" s="1063"/>
      <c r="Q962" s="1063"/>
      <c r="R962" s="1069"/>
      <c r="S962" s="1093"/>
      <c r="T962" s="1093"/>
      <c r="U962" s="1093"/>
      <c r="V962" s="1063"/>
      <c r="W962" s="1063"/>
      <c r="X962" s="1033"/>
      <c r="Y962" s="108" t="s">
        <v>1452</v>
      </c>
      <c r="Z962" s="109">
        <v>13914850</v>
      </c>
      <c r="AA962" s="109">
        <v>0</v>
      </c>
      <c r="AB962" s="109">
        <f t="shared" si="70"/>
        <v>13914850</v>
      </c>
      <c r="AC962" s="97">
        <v>41989</v>
      </c>
      <c r="AD962" s="200">
        <v>13914850</v>
      </c>
      <c r="AE962" s="119" t="s">
        <v>144</v>
      </c>
      <c r="AF962" s="1044"/>
      <c r="AG962" s="1044"/>
      <c r="AH962" s="111">
        <f t="shared" si="69"/>
        <v>0</v>
      </c>
      <c r="AI962" s="1044"/>
      <c r="AJ962" s="1063"/>
      <c r="AK962" s="1063"/>
      <c r="AL962" s="1063"/>
      <c r="AM962" s="1063"/>
      <c r="AN962" s="1104"/>
      <c r="AO962" s="1104"/>
      <c r="AP962" s="1074"/>
    </row>
    <row r="963" spans="1:42" ht="15" customHeight="1">
      <c r="A963" s="1050"/>
      <c r="B963" s="1069"/>
      <c r="C963" s="1033"/>
      <c r="D963" s="1033"/>
      <c r="E963" s="1072"/>
      <c r="F963" s="1072"/>
      <c r="G963" s="1033"/>
      <c r="H963" s="1033"/>
      <c r="I963" s="1033"/>
      <c r="J963" s="1033"/>
      <c r="K963" s="1033"/>
      <c r="L963" s="1033"/>
      <c r="M963" s="1287"/>
      <c r="N963" s="1066"/>
      <c r="O963" s="1063"/>
      <c r="P963" s="1063"/>
      <c r="Q963" s="1063"/>
      <c r="R963" s="1069"/>
      <c r="S963" s="1093"/>
      <c r="T963" s="1093"/>
      <c r="U963" s="1093"/>
      <c r="V963" s="1063"/>
      <c r="W963" s="1063"/>
      <c r="X963" s="1033"/>
      <c r="Y963" s="108" t="s">
        <v>1453</v>
      </c>
      <c r="Z963" s="109">
        <v>25630513</v>
      </c>
      <c r="AA963" s="109">
        <v>0</v>
      </c>
      <c r="AB963" s="109">
        <f t="shared" si="70"/>
        <v>25630513</v>
      </c>
      <c r="AC963" s="97">
        <v>42166</v>
      </c>
      <c r="AD963" s="119">
        <v>25630513</v>
      </c>
      <c r="AE963" s="119" t="s">
        <v>144</v>
      </c>
      <c r="AF963" s="1044"/>
      <c r="AG963" s="1044"/>
      <c r="AH963" s="111">
        <f t="shared" si="69"/>
        <v>0</v>
      </c>
      <c r="AI963" s="1044"/>
      <c r="AJ963" s="1063"/>
      <c r="AK963" s="1063"/>
      <c r="AL963" s="1063"/>
      <c r="AM963" s="1063"/>
      <c r="AN963" s="1104"/>
      <c r="AO963" s="1104"/>
      <c r="AP963" s="1074"/>
    </row>
    <row r="964" spans="1:42" ht="15" customHeight="1">
      <c r="A964" s="1016"/>
      <c r="B964" s="1070"/>
      <c r="C964" s="1012"/>
      <c r="D964" s="1012"/>
      <c r="E964" s="1073"/>
      <c r="F964" s="1073"/>
      <c r="G964" s="1012"/>
      <c r="H964" s="1012"/>
      <c r="I964" s="1012"/>
      <c r="J964" s="1012"/>
      <c r="K964" s="1012"/>
      <c r="L964" s="1012"/>
      <c r="M964" s="1288"/>
      <c r="N964" s="1067"/>
      <c r="O964" s="1064"/>
      <c r="P964" s="1064"/>
      <c r="Q964" s="1064"/>
      <c r="R964" s="1070"/>
      <c r="S964" s="1094"/>
      <c r="T964" s="1094"/>
      <c r="U964" s="1094"/>
      <c r="V964" s="1064"/>
      <c r="W964" s="1064"/>
      <c r="X964" s="1012"/>
      <c r="Y964" s="108"/>
      <c r="Z964" s="109"/>
      <c r="AA964" s="109"/>
      <c r="AB964" s="109">
        <f t="shared" si="70"/>
        <v>0</v>
      </c>
      <c r="AC964" s="97"/>
      <c r="AD964" s="119">
        <v>0</v>
      </c>
      <c r="AE964" s="119" t="s">
        <v>144</v>
      </c>
      <c r="AF964" s="1045"/>
      <c r="AG964" s="1045"/>
      <c r="AH964" s="111">
        <f t="shared" si="69"/>
        <v>0</v>
      </c>
      <c r="AI964" s="1045"/>
      <c r="AJ964" s="1064"/>
      <c r="AK964" s="1064"/>
      <c r="AL964" s="1064"/>
      <c r="AM964" s="1064"/>
      <c r="AN964" s="1105"/>
      <c r="AO964" s="1105"/>
      <c r="AP964" s="1074"/>
    </row>
    <row r="965" spans="1:42" ht="15" customHeight="1">
      <c r="A965" s="1011" t="s">
        <v>2684</v>
      </c>
      <c r="B965" s="654"/>
      <c r="C965" s="644"/>
      <c r="D965" s="1011" t="s">
        <v>2687</v>
      </c>
      <c r="E965" s="661"/>
      <c r="F965" s="661"/>
      <c r="G965" s="1011" t="s">
        <v>2688</v>
      </c>
      <c r="H965" s="644"/>
      <c r="I965" s="644"/>
      <c r="J965" s="644"/>
      <c r="K965" s="644"/>
      <c r="L965" s="644"/>
      <c r="M965" s="1009">
        <v>6</v>
      </c>
      <c r="N965" s="1065" t="s">
        <v>161</v>
      </c>
      <c r="O965" s="653">
        <v>47711888</v>
      </c>
      <c r="P965" s="653"/>
      <c r="Q965" s="653"/>
      <c r="R965" s="654">
        <v>41827</v>
      </c>
      <c r="S965" s="660"/>
      <c r="T965" s="660"/>
      <c r="U965" s="660"/>
      <c r="V965" s="653">
        <v>31360454</v>
      </c>
      <c r="W965" s="653"/>
      <c r="X965" s="644"/>
      <c r="Y965" s="650" t="s">
        <v>2685</v>
      </c>
      <c r="Z965" s="666">
        <v>18581459</v>
      </c>
      <c r="AA965" s="666"/>
      <c r="AB965" s="666">
        <v>18581459</v>
      </c>
      <c r="AC965" s="665">
        <v>42970</v>
      </c>
      <c r="AD965" s="672">
        <f>+AB965</f>
        <v>18581459</v>
      </c>
      <c r="AE965" s="672"/>
      <c r="AF965" s="645"/>
      <c r="AG965" s="645"/>
      <c r="AH965" s="648"/>
      <c r="AI965" s="645"/>
      <c r="AJ965" s="653"/>
      <c r="AK965" s="653"/>
      <c r="AL965" s="653"/>
      <c r="AM965" s="653"/>
      <c r="AN965" s="649"/>
      <c r="AO965" s="649"/>
      <c r="AP965" s="203"/>
    </row>
    <row r="966" spans="1:42" ht="15" customHeight="1">
      <c r="A966" s="1033"/>
      <c r="B966" s="654"/>
      <c r="C966" s="644"/>
      <c r="D966" s="1033"/>
      <c r="E966" s="661"/>
      <c r="F966" s="661"/>
      <c r="G966" s="1033"/>
      <c r="H966" s="644"/>
      <c r="I966" s="644"/>
      <c r="J966" s="644"/>
      <c r="K966" s="644"/>
      <c r="L966" s="644"/>
      <c r="M966" s="1039"/>
      <c r="N966" s="1066"/>
      <c r="O966" s="653"/>
      <c r="P966" s="653"/>
      <c r="Q966" s="653"/>
      <c r="R966" s="654"/>
      <c r="S966" s="660"/>
      <c r="T966" s="660"/>
      <c r="U966" s="660"/>
      <c r="V966" s="653"/>
      <c r="W966" s="653"/>
      <c r="X966" s="644"/>
      <c r="Y966" s="650" t="s">
        <v>2686</v>
      </c>
      <c r="Z966" s="666">
        <v>12778995</v>
      </c>
      <c r="AA966" s="666"/>
      <c r="AB966" s="666">
        <v>12778995</v>
      </c>
      <c r="AC966" s="665">
        <v>42970</v>
      </c>
      <c r="AD966" s="672">
        <f>+AB966</f>
        <v>12778995</v>
      </c>
      <c r="AE966" s="672"/>
      <c r="AF966" s="645"/>
      <c r="AG966" s="645"/>
      <c r="AH966" s="648"/>
      <c r="AI966" s="645"/>
      <c r="AJ966" s="653"/>
      <c r="AK966" s="653"/>
      <c r="AL966" s="653"/>
      <c r="AM966" s="653"/>
      <c r="AN966" s="649"/>
      <c r="AO966" s="649"/>
      <c r="AP966" s="203"/>
    </row>
    <row r="967" spans="1:42" ht="15" customHeight="1">
      <c r="A967" s="644"/>
      <c r="B967" s="654"/>
      <c r="C967" s="644"/>
      <c r="D967" s="644"/>
      <c r="E967" s="661"/>
      <c r="F967" s="661"/>
      <c r="G967" s="644"/>
      <c r="H967" s="644"/>
      <c r="I967" s="644"/>
      <c r="J967" s="644"/>
      <c r="K967" s="644"/>
      <c r="L967" s="644"/>
      <c r="M967" s="683"/>
      <c r="N967" s="659"/>
      <c r="O967" s="653"/>
      <c r="P967" s="653"/>
      <c r="Q967" s="653"/>
      <c r="R967" s="654"/>
      <c r="S967" s="660"/>
      <c r="T967" s="660"/>
      <c r="U967" s="660"/>
      <c r="V967" s="653"/>
      <c r="W967" s="653"/>
      <c r="X967" s="644"/>
      <c r="Y967" s="650"/>
      <c r="Z967" s="666"/>
      <c r="AA967" s="666"/>
      <c r="AB967" s="666"/>
      <c r="AC967" s="665"/>
      <c r="AD967" s="672"/>
      <c r="AE967" s="672"/>
      <c r="AF967" s="645"/>
      <c r="AG967" s="645"/>
      <c r="AH967" s="648"/>
      <c r="AI967" s="645"/>
      <c r="AJ967" s="653"/>
      <c r="AK967" s="653"/>
      <c r="AL967" s="653"/>
      <c r="AM967" s="653"/>
      <c r="AN967" s="649"/>
      <c r="AO967" s="649"/>
      <c r="AP967" s="203"/>
    </row>
    <row r="968" spans="1:42" ht="15" customHeight="1">
      <c r="A968" s="1030" t="s">
        <v>1457</v>
      </c>
      <c r="B968" s="1068">
        <v>41331</v>
      </c>
      <c r="C968" s="1011" t="s">
        <v>39</v>
      </c>
      <c r="D968" s="1011" t="s">
        <v>1233</v>
      </c>
      <c r="E968" s="1071">
        <v>10538292</v>
      </c>
      <c r="F968" s="1071"/>
      <c r="G968" s="1011" t="s">
        <v>1458</v>
      </c>
      <c r="H968" s="1011" t="s">
        <v>71</v>
      </c>
      <c r="I968" s="1011" t="s">
        <v>1221</v>
      </c>
      <c r="J968" s="1011" t="s">
        <v>66</v>
      </c>
      <c r="K968" s="1011" t="s">
        <v>183</v>
      </c>
      <c r="L968" s="1011" t="s">
        <v>1469</v>
      </c>
      <c r="M968" s="1286">
        <v>261</v>
      </c>
      <c r="N968" s="1065" t="s">
        <v>7</v>
      </c>
      <c r="O968" s="1062">
        <v>839576101</v>
      </c>
      <c r="P968" s="1062">
        <f>O968</f>
        <v>839576101</v>
      </c>
      <c r="Q968" s="1062">
        <f>P968+P975+P982</f>
        <v>1531340768</v>
      </c>
      <c r="R968" s="1068">
        <v>41220</v>
      </c>
      <c r="S968" s="1092">
        <f>T968</f>
        <v>828171885.54999995</v>
      </c>
      <c r="T968" s="1092">
        <v>828171885.54999995</v>
      </c>
      <c r="U968" s="1092">
        <f>O968-T968</f>
        <v>11404215.450000048</v>
      </c>
      <c r="V968" s="1062">
        <v>828171885.67999995</v>
      </c>
      <c r="W968" s="1062">
        <f>V968+V975+V982</f>
        <v>1514447709</v>
      </c>
      <c r="X968" s="1011" t="s">
        <v>1459</v>
      </c>
      <c r="Y968" s="108" t="s">
        <v>1460</v>
      </c>
      <c r="Z968" s="109">
        <v>186137458</v>
      </c>
      <c r="AA968" s="109">
        <v>0</v>
      </c>
      <c r="AB968" s="109">
        <f t="shared" si="70"/>
        <v>186137458</v>
      </c>
      <c r="AC968" s="97">
        <v>41571</v>
      </c>
      <c r="AD968" s="119">
        <v>186137458</v>
      </c>
      <c r="AE968" s="119" t="s">
        <v>7</v>
      </c>
      <c r="AF968" s="1043">
        <f>SUM(AD968:AD974)</f>
        <v>828171885.54999995</v>
      </c>
      <c r="AG968" s="1043">
        <f>AF968+AF975+AF982</f>
        <v>1514447580</v>
      </c>
      <c r="AH968" s="111">
        <f t="shared" si="69"/>
        <v>0</v>
      </c>
      <c r="AI968" s="1043">
        <f>T968-SUM(AD968:AD974)</f>
        <v>0</v>
      </c>
      <c r="AJ968" s="1062">
        <f>SUM(Z968:Z983)-SUM(AD968:AD983)</f>
        <v>0</v>
      </c>
      <c r="AK968" s="1062">
        <f>T968-V968</f>
        <v>-0.12999999523162842</v>
      </c>
      <c r="AL968" s="1062">
        <f>V968-SUM(Z968:Z974)</f>
        <v>0.12999999523162842</v>
      </c>
      <c r="AM968" s="1062">
        <f>AK968+AL968</f>
        <v>0</v>
      </c>
      <c r="AN968" s="1108" t="s">
        <v>606</v>
      </c>
      <c r="AO968" s="1103" t="s">
        <v>1470</v>
      </c>
    </row>
    <row r="969" spans="1:42" ht="15" customHeight="1">
      <c r="A969" s="1031"/>
      <c r="B969" s="1069"/>
      <c r="C969" s="1033"/>
      <c r="D969" s="1033"/>
      <c r="E969" s="1072"/>
      <c r="F969" s="1072"/>
      <c r="G969" s="1033"/>
      <c r="H969" s="1033"/>
      <c r="I969" s="1033"/>
      <c r="J969" s="1033"/>
      <c r="K969" s="1033"/>
      <c r="L969" s="1033"/>
      <c r="M969" s="1287"/>
      <c r="N969" s="1066"/>
      <c r="O969" s="1063"/>
      <c r="P969" s="1063"/>
      <c r="Q969" s="1063"/>
      <c r="R969" s="1069"/>
      <c r="S969" s="1093"/>
      <c r="T969" s="1093"/>
      <c r="U969" s="1093"/>
      <c r="V969" s="1063"/>
      <c r="W969" s="1063"/>
      <c r="X969" s="1033"/>
      <c r="Y969" s="108" t="s">
        <v>1462</v>
      </c>
      <c r="Z969" s="109">
        <v>136875575</v>
      </c>
      <c r="AA969" s="109">
        <v>0</v>
      </c>
      <c r="AB969" s="109">
        <f t="shared" si="70"/>
        <v>136875575</v>
      </c>
      <c r="AC969" s="97">
        <v>41606</v>
      </c>
      <c r="AD969" s="119">
        <v>136875575</v>
      </c>
      <c r="AE969" s="119" t="s">
        <v>7</v>
      </c>
      <c r="AF969" s="1044"/>
      <c r="AG969" s="1044"/>
      <c r="AH969" s="111">
        <f t="shared" si="69"/>
        <v>0</v>
      </c>
      <c r="AI969" s="1044"/>
      <c r="AJ969" s="1063"/>
      <c r="AK969" s="1063"/>
      <c r="AL969" s="1063"/>
      <c r="AM969" s="1063"/>
      <c r="AN969" s="1109"/>
      <c r="AO969" s="1104"/>
    </row>
    <row r="970" spans="1:42" ht="15" customHeight="1">
      <c r="A970" s="1031"/>
      <c r="B970" s="1069"/>
      <c r="C970" s="1033"/>
      <c r="D970" s="1033"/>
      <c r="E970" s="1072"/>
      <c r="F970" s="1072"/>
      <c r="G970" s="1033"/>
      <c r="H970" s="1033"/>
      <c r="I970" s="1033"/>
      <c r="J970" s="1033"/>
      <c r="K970" s="1033"/>
      <c r="L970" s="1033"/>
      <c r="M970" s="1287"/>
      <c r="N970" s="1066"/>
      <c r="O970" s="1063"/>
      <c r="P970" s="1063"/>
      <c r="Q970" s="1063"/>
      <c r="R970" s="1069"/>
      <c r="S970" s="1093"/>
      <c r="T970" s="1093"/>
      <c r="U970" s="1093"/>
      <c r="V970" s="1063"/>
      <c r="W970" s="1063"/>
      <c r="X970" s="1033"/>
      <c r="Y970" s="108" t="s">
        <v>1461</v>
      </c>
      <c r="Z970" s="109">
        <v>111401544.81999999</v>
      </c>
      <c r="AA970" s="109">
        <v>0</v>
      </c>
      <c r="AB970" s="109">
        <f t="shared" si="70"/>
        <v>111401544.81999999</v>
      </c>
      <c r="AC970" s="97">
        <v>41626</v>
      </c>
      <c r="AD970" s="119">
        <v>111401544.81999999</v>
      </c>
      <c r="AE970" s="119" t="s">
        <v>7</v>
      </c>
      <c r="AF970" s="1044"/>
      <c r="AG970" s="1044"/>
      <c r="AH970" s="111">
        <f t="shared" si="69"/>
        <v>0</v>
      </c>
      <c r="AI970" s="1044"/>
      <c r="AJ970" s="1063"/>
      <c r="AK970" s="1063"/>
      <c r="AL970" s="1063"/>
      <c r="AM970" s="1063"/>
      <c r="AN970" s="1109"/>
      <c r="AO970" s="1104"/>
    </row>
    <row r="971" spans="1:42" ht="15" customHeight="1">
      <c r="A971" s="1031"/>
      <c r="B971" s="1069"/>
      <c r="C971" s="1033"/>
      <c r="D971" s="1033"/>
      <c r="E971" s="1072"/>
      <c r="F971" s="1072"/>
      <c r="G971" s="1033"/>
      <c r="H971" s="1033"/>
      <c r="I971" s="1033"/>
      <c r="J971" s="1033"/>
      <c r="K971" s="1033"/>
      <c r="L971" s="1033"/>
      <c r="M971" s="1287"/>
      <c r="N971" s="1066"/>
      <c r="O971" s="1063"/>
      <c r="P971" s="1063"/>
      <c r="Q971" s="1063"/>
      <c r="R971" s="1069"/>
      <c r="S971" s="1093"/>
      <c r="T971" s="1093"/>
      <c r="U971" s="1093"/>
      <c r="V971" s="1063"/>
      <c r="W971" s="1063"/>
      <c r="X971" s="1033"/>
      <c r="Y971" s="108" t="s">
        <v>1463</v>
      </c>
      <c r="Z971" s="109">
        <v>166012140</v>
      </c>
      <c r="AA971" s="109">
        <v>0</v>
      </c>
      <c r="AB971" s="109">
        <f t="shared" si="70"/>
        <v>166012140</v>
      </c>
      <c r="AC971" s="97">
        <v>41684</v>
      </c>
      <c r="AD971" s="119">
        <v>166012140</v>
      </c>
      <c r="AE971" s="119" t="s">
        <v>7</v>
      </c>
      <c r="AF971" s="1044"/>
      <c r="AG971" s="1044"/>
      <c r="AH971" s="111">
        <f t="shared" si="69"/>
        <v>0</v>
      </c>
      <c r="AI971" s="1044"/>
      <c r="AJ971" s="1063"/>
      <c r="AK971" s="1063"/>
      <c r="AL971" s="1063"/>
      <c r="AM971" s="1063"/>
      <c r="AN971" s="1109"/>
      <c r="AO971" s="1104"/>
    </row>
    <row r="972" spans="1:42" ht="15" customHeight="1">
      <c r="A972" s="1031"/>
      <c r="B972" s="1069"/>
      <c r="C972" s="1033"/>
      <c r="D972" s="1033"/>
      <c r="E972" s="1072"/>
      <c r="F972" s="1072"/>
      <c r="G972" s="1033"/>
      <c r="H972" s="1033"/>
      <c r="I972" s="1033"/>
      <c r="J972" s="1033"/>
      <c r="K972" s="1033"/>
      <c r="L972" s="1033"/>
      <c r="M972" s="1287"/>
      <c r="N972" s="1066"/>
      <c r="O972" s="1063"/>
      <c r="P972" s="1063"/>
      <c r="Q972" s="1063"/>
      <c r="R972" s="1069"/>
      <c r="S972" s="1093"/>
      <c r="T972" s="1093"/>
      <c r="U972" s="1093"/>
      <c r="V972" s="1063"/>
      <c r="W972" s="1063"/>
      <c r="X972" s="1033"/>
      <c r="Y972" s="108" t="s">
        <v>1464</v>
      </c>
      <c r="Z972" s="109">
        <v>73510098.709999993</v>
      </c>
      <c r="AA972" s="109">
        <v>0</v>
      </c>
      <c r="AB972" s="109">
        <f t="shared" si="70"/>
        <v>73510098.709999993</v>
      </c>
      <c r="AC972" s="97">
        <v>41726</v>
      </c>
      <c r="AD972" s="119">
        <v>73510098.709999993</v>
      </c>
      <c r="AE972" s="119" t="s">
        <v>7</v>
      </c>
      <c r="AF972" s="1044"/>
      <c r="AG972" s="1044"/>
      <c r="AH972" s="111">
        <f t="shared" si="69"/>
        <v>0</v>
      </c>
      <c r="AI972" s="1044"/>
      <c r="AJ972" s="1063"/>
      <c r="AK972" s="1063"/>
      <c r="AL972" s="1063"/>
      <c r="AM972" s="1063"/>
      <c r="AN972" s="1109"/>
      <c r="AO972" s="1104"/>
    </row>
    <row r="973" spans="1:42" ht="15" customHeight="1">
      <c r="A973" s="1031"/>
      <c r="B973" s="1069"/>
      <c r="C973" s="1033"/>
      <c r="D973" s="1033"/>
      <c r="E973" s="1072"/>
      <c r="F973" s="1072"/>
      <c r="G973" s="1033"/>
      <c r="H973" s="1033"/>
      <c r="I973" s="1033"/>
      <c r="J973" s="1033"/>
      <c r="K973" s="1033"/>
      <c r="L973" s="1033"/>
      <c r="M973" s="1287"/>
      <c r="N973" s="1066"/>
      <c r="O973" s="1063"/>
      <c r="P973" s="1063"/>
      <c r="Q973" s="1063"/>
      <c r="R973" s="1069"/>
      <c r="S973" s="1093"/>
      <c r="T973" s="1093"/>
      <c r="U973" s="1093"/>
      <c r="V973" s="1063"/>
      <c r="W973" s="1063"/>
      <c r="X973" s="1033"/>
      <c r="Y973" s="108" t="s">
        <v>1465</v>
      </c>
      <c r="Z973" s="109">
        <v>69281011.480000004</v>
      </c>
      <c r="AA973" s="109">
        <v>0</v>
      </c>
      <c r="AB973" s="109">
        <f t="shared" si="70"/>
        <v>69281011.480000004</v>
      </c>
      <c r="AC973" s="97">
        <v>41767</v>
      </c>
      <c r="AD973" s="119">
        <v>69281011.480000004</v>
      </c>
      <c r="AE973" s="119" t="s">
        <v>7</v>
      </c>
      <c r="AF973" s="1044"/>
      <c r="AG973" s="1044"/>
      <c r="AH973" s="111">
        <f t="shared" si="69"/>
        <v>0</v>
      </c>
      <c r="AI973" s="1044"/>
      <c r="AJ973" s="1063"/>
      <c r="AK973" s="1063"/>
      <c r="AL973" s="1063"/>
      <c r="AM973" s="1063"/>
      <c r="AN973" s="1109"/>
      <c r="AO973" s="1104"/>
    </row>
    <row r="974" spans="1:42" ht="15" customHeight="1">
      <c r="A974" s="1031"/>
      <c r="B974" s="1069"/>
      <c r="C974" s="1033"/>
      <c r="D974" s="1033"/>
      <c r="E974" s="1072"/>
      <c r="F974" s="1072"/>
      <c r="G974" s="1033"/>
      <c r="H974" s="1033"/>
      <c r="I974" s="1033"/>
      <c r="J974" s="1033"/>
      <c r="K974" s="1033"/>
      <c r="L974" s="1033"/>
      <c r="M974" s="1288"/>
      <c r="N974" s="1067"/>
      <c r="O974" s="1064"/>
      <c r="P974" s="1064"/>
      <c r="Q974" s="1063"/>
      <c r="R974" s="1070"/>
      <c r="S974" s="1094"/>
      <c r="T974" s="1094"/>
      <c r="U974" s="1094"/>
      <c r="V974" s="1064"/>
      <c r="W974" s="1063"/>
      <c r="X974" s="1033"/>
      <c r="Y974" s="108" t="s">
        <v>1466</v>
      </c>
      <c r="Z974" s="109">
        <v>84954057.540000007</v>
      </c>
      <c r="AA974" s="109">
        <v>0</v>
      </c>
      <c r="AB974" s="109">
        <f t="shared" si="70"/>
        <v>84954057.540000007</v>
      </c>
      <c r="AC974" s="97">
        <v>41947</v>
      </c>
      <c r="AD974" s="119">
        <v>84954057.540000007</v>
      </c>
      <c r="AE974" s="119" t="s">
        <v>7</v>
      </c>
      <c r="AF974" s="1045"/>
      <c r="AG974" s="1044"/>
      <c r="AH974" s="111">
        <f t="shared" si="69"/>
        <v>0</v>
      </c>
      <c r="AI974" s="1045"/>
      <c r="AJ974" s="1063"/>
      <c r="AK974" s="1064"/>
      <c r="AL974" s="1064"/>
      <c r="AM974" s="1064"/>
      <c r="AN974" s="1109"/>
      <c r="AO974" s="1104"/>
    </row>
    <row r="975" spans="1:42" ht="15" customHeight="1">
      <c r="A975" s="1031"/>
      <c r="B975" s="1069"/>
      <c r="C975" s="1033"/>
      <c r="D975" s="1033"/>
      <c r="E975" s="1072"/>
      <c r="F975" s="1072"/>
      <c r="G975" s="1033"/>
      <c r="H975" s="1033"/>
      <c r="I975" s="1033"/>
      <c r="J975" s="1033"/>
      <c r="K975" s="1033"/>
      <c r="L975" s="1033"/>
      <c r="M975" s="1286">
        <v>4</v>
      </c>
      <c r="N975" s="1065" t="s">
        <v>164</v>
      </c>
      <c r="O975" s="1062">
        <v>404087598</v>
      </c>
      <c r="P975" s="1062">
        <f>O975</f>
        <v>404087598</v>
      </c>
      <c r="Q975" s="1063"/>
      <c r="R975" s="1068">
        <v>41220</v>
      </c>
      <c r="S975" s="1092">
        <f>T975</f>
        <v>398598754</v>
      </c>
      <c r="T975" s="1092">
        <v>398598754</v>
      </c>
      <c r="U975" s="1092">
        <f>O975-T975</f>
        <v>5488844</v>
      </c>
      <c r="V975" s="1062">
        <v>398598754.31999999</v>
      </c>
      <c r="W975" s="1063"/>
      <c r="X975" s="1033"/>
      <c r="Y975" s="108" t="s">
        <v>1460</v>
      </c>
      <c r="Z975" s="109">
        <v>89587875</v>
      </c>
      <c r="AA975" s="109">
        <v>0</v>
      </c>
      <c r="AB975" s="109">
        <f t="shared" si="70"/>
        <v>89587875</v>
      </c>
      <c r="AC975" s="97">
        <v>41571</v>
      </c>
      <c r="AD975" s="119">
        <v>89587875</v>
      </c>
      <c r="AE975" s="119" t="s">
        <v>164</v>
      </c>
      <c r="AF975" s="1043">
        <f>SUM(AD975:AD981)</f>
        <v>398598754.44999999</v>
      </c>
      <c r="AG975" s="1044"/>
      <c r="AH975" s="111">
        <f t="shared" si="69"/>
        <v>0</v>
      </c>
      <c r="AI975" s="1043">
        <f>T975-SUM(AD975:AD981)</f>
        <v>-0.44999998807907104</v>
      </c>
      <c r="AJ975" s="1063"/>
      <c r="AK975" s="1062">
        <f>T975-V975</f>
        <v>-0.31999999284744263</v>
      </c>
      <c r="AL975" s="1062">
        <f>V975-SUM(Z975:Z981)</f>
        <v>-0.12999999523162842</v>
      </c>
      <c r="AM975" s="1062">
        <f>AK975+AL975</f>
        <v>-0.44999998807907104</v>
      </c>
      <c r="AN975" s="1109"/>
      <c r="AO975" s="1104"/>
    </row>
    <row r="976" spans="1:42" ht="15" customHeight="1">
      <c r="A976" s="1031"/>
      <c r="B976" s="1069"/>
      <c r="C976" s="1033"/>
      <c r="D976" s="1033"/>
      <c r="E976" s="1072"/>
      <c r="F976" s="1072"/>
      <c r="G976" s="1033"/>
      <c r="H976" s="1033"/>
      <c r="I976" s="1033"/>
      <c r="J976" s="1033"/>
      <c r="K976" s="1033"/>
      <c r="L976" s="1033"/>
      <c r="M976" s="1287"/>
      <c r="N976" s="1066"/>
      <c r="O976" s="1063"/>
      <c r="P976" s="1063"/>
      <c r="Q976" s="1063"/>
      <c r="R976" s="1069"/>
      <c r="S976" s="1093"/>
      <c r="T976" s="1093"/>
      <c r="U976" s="1093"/>
      <c r="V976" s="1063"/>
      <c r="W976" s="1063"/>
      <c r="X976" s="1033"/>
      <c r="Y976" s="108" t="s">
        <v>1462</v>
      </c>
      <c r="Z976" s="109">
        <v>65878152</v>
      </c>
      <c r="AA976" s="109">
        <v>0</v>
      </c>
      <c r="AB976" s="109">
        <f t="shared" si="70"/>
        <v>65878152</v>
      </c>
      <c r="AC976" s="97">
        <v>41606</v>
      </c>
      <c r="AD976" s="119">
        <v>65878152</v>
      </c>
      <c r="AE976" s="119" t="s">
        <v>164</v>
      </c>
      <c r="AF976" s="1044"/>
      <c r="AG976" s="1044"/>
      <c r="AH976" s="111">
        <f t="shared" si="69"/>
        <v>0</v>
      </c>
      <c r="AI976" s="1044"/>
      <c r="AJ976" s="1063"/>
      <c r="AK976" s="1063"/>
      <c r="AL976" s="1063"/>
      <c r="AM976" s="1063"/>
      <c r="AN976" s="1109"/>
      <c r="AO976" s="1104"/>
    </row>
    <row r="977" spans="1:43" ht="15" customHeight="1">
      <c r="A977" s="1031"/>
      <c r="B977" s="1069"/>
      <c r="C977" s="1033"/>
      <c r="D977" s="1033"/>
      <c r="E977" s="1072"/>
      <c r="F977" s="1072"/>
      <c r="G977" s="1033"/>
      <c r="H977" s="1033"/>
      <c r="I977" s="1033"/>
      <c r="J977" s="1033"/>
      <c r="K977" s="1033"/>
      <c r="L977" s="1033"/>
      <c r="M977" s="1287"/>
      <c r="N977" s="1066"/>
      <c r="O977" s="1063"/>
      <c r="P977" s="1063"/>
      <c r="Q977" s="1063"/>
      <c r="R977" s="1069"/>
      <c r="S977" s="1093"/>
      <c r="T977" s="1093"/>
      <c r="U977" s="1093"/>
      <c r="V977" s="1063"/>
      <c r="W977" s="1063"/>
      <c r="X977" s="1033"/>
      <c r="Y977" s="108" t="s">
        <v>1461</v>
      </c>
      <c r="Z977" s="109">
        <v>53617513.18</v>
      </c>
      <c r="AA977" s="109">
        <v>0</v>
      </c>
      <c r="AB977" s="109">
        <f t="shared" si="70"/>
        <v>53617513.18</v>
      </c>
      <c r="AC977" s="97">
        <v>41626</v>
      </c>
      <c r="AD977" s="119">
        <v>53617513.18</v>
      </c>
      <c r="AE977" s="119" t="s">
        <v>164</v>
      </c>
      <c r="AF977" s="1044"/>
      <c r="AG977" s="1044"/>
      <c r="AH977" s="111">
        <f t="shared" si="69"/>
        <v>0</v>
      </c>
      <c r="AI977" s="1044"/>
      <c r="AJ977" s="1063"/>
      <c r="AK977" s="1063"/>
      <c r="AL977" s="1063"/>
      <c r="AM977" s="1063"/>
      <c r="AN977" s="1109"/>
      <c r="AO977" s="1104"/>
    </row>
    <row r="978" spans="1:43" ht="15" customHeight="1">
      <c r="A978" s="1031"/>
      <c r="B978" s="1069"/>
      <c r="C978" s="1033"/>
      <c r="D978" s="1033"/>
      <c r="E978" s="1072"/>
      <c r="F978" s="1072"/>
      <c r="G978" s="1033"/>
      <c r="H978" s="1033"/>
      <c r="I978" s="1033"/>
      <c r="J978" s="1033"/>
      <c r="K978" s="1033"/>
      <c r="L978" s="1033"/>
      <c r="M978" s="1287"/>
      <c r="N978" s="1066"/>
      <c r="O978" s="1063"/>
      <c r="P978" s="1063"/>
      <c r="Q978" s="1063"/>
      <c r="R978" s="1069"/>
      <c r="S978" s="1093"/>
      <c r="T978" s="1093"/>
      <c r="U978" s="1093"/>
      <c r="V978" s="1063"/>
      <c r="W978" s="1063"/>
      <c r="X978" s="1033"/>
      <c r="Y978" s="108" t="s">
        <v>1463</v>
      </c>
      <c r="Z978" s="109">
        <v>78123360.319999993</v>
      </c>
      <c r="AA978" s="109">
        <v>0</v>
      </c>
      <c r="AB978" s="109">
        <f t="shared" si="70"/>
        <v>78123360.319999993</v>
      </c>
      <c r="AC978" s="97">
        <v>41684</v>
      </c>
      <c r="AD978" s="119">
        <v>78123360.319999993</v>
      </c>
      <c r="AE978" s="119" t="s">
        <v>164</v>
      </c>
      <c r="AF978" s="1044"/>
      <c r="AG978" s="1044"/>
      <c r="AH978" s="111">
        <f t="shared" si="69"/>
        <v>0</v>
      </c>
      <c r="AI978" s="1044"/>
      <c r="AJ978" s="1063"/>
      <c r="AK978" s="1063"/>
      <c r="AL978" s="1063"/>
      <c r="AM978" s="1063"/>
      <c r="AN978" s="1109"/>
      <c r="AO978" s="1104"/>
    </row>
    <row r="979" spans="1:43" ht="15" customHeight="1">
      <c r="A979" s="1031"/>
      <c r="B979" s="1069"/>
      <c r="C979" s="1033"/>
      <c r="D979" s="1033"/>
      <c r="E979" s="1072"/>
      <c r="F979" s="1072"/>
      <c r="G979" s="1033"/>
      <c r="H979" s="1033"/>
      <c r="I979" s="1033"/>
      <c r="J979" s="1033"/>
      <c r="K979" s="1033"/>
      <c r="L979" s="1033"/>
      <c r="M979" s="1287"/>
      <c r="N979" s="1066"/>
      <c r="O979" s="1063"/>
      <c r="P979" s="1063"/>
      <c r="Q979" s="1063"/>
      <c r="R979" s="1069"/>
      <c r="S979" s="1093"/>
      <c r="T979" s="1093"/>
      <c r="U979" s="1093"/>
      <c r="V979" s="1063"/>
      <c r="W979" s="1063"/>
      <c r="X979" s="1033"/>
      <c r="Y979" s="108" t="s">
        <v>1464</v>
      </c>
      <c r="Z979" s="109">
        <v>35380377.289999999</v>
      </c>
      <c r="AA979" s="109">
        <v>0</v>
      </c>
      <c r="AB979" s="109">
        <f t="shared" si="70"/>
        <v>35380377.289999999</v>
      </c>
      <c r="AC979" s="97">
        <v>41726</v>
      </c>
      <c r="AD979" s="119">
        <v>35380377.289999999</v>
      </c>
      <c r="AE979" s="119" t="s">
        <v>164</v>
      </c>
      <c r="AF979" s="1044"/>
      <c r="AG979" s="1044"/>
      <c r="AH979" s="111">
        <f t="shared" si="69"/>
        <v>0</v>
      </c>
      <c r="AI979" s="1044"/>
      <c r="AJ979" s="1063"/>
      <c r="AK979" s="1063"/>
      <c r="AL979" s="1063"/>
      <c r="AM979" s="1063"/>
      <c r="AN979" s="1109"/>
      <c r="AO979" s="1104"/>
    </row>
    <row r="980" spans="1:43" ht="15" customHeight="1">
      <c r="A980" s="1031"/>
      <c r="B980" s="1069"/>
      <c r="C980" s="1033"/>
      <c r="D980" s="1033"/>
      <c r="E980" s="1072"/>
      <c r="F980" s="1072"/>
      <c r="G980" s="1033"/>
      <c r="H980" s="1033"/>
      <c r="I980" s="1033"/>
      <c r="J980" s="1033"/>
      <c r="K980" s="1033"/>
      <c r="L980" s="1033"/>
      <c r="M980" s="1287"/>
      <c r="N980" s="1066"/>
      <c r="O980" s="1063"/>
      <c r="P980" s="1063"/>
      <c r="Q980" s="1063"/>
      <c r="R980" s="1069"/>
      <c r="S980" s="1093"/>
      <c r="T980" s="1093"/>
      <c r="U980" s="1093"/>
      <c r="V980" s="1063"/>
      <c r="W980" s="1063"/>
      <c r="X980" s="1033"/>
      <c r="Y980" s="108" t="s">
        <v>1465</v>
      </c>
      <c r="Z980" s="109">
        <v>33344919.52</v>
      </c>
      <c r="AA980" s="109">
        <v>0</v>
      </c>
      <c r="AB980" s="109">
        <f t="shared" si="70"/>
        <v>33344919.52</v>
      </c>
      <c r="AC980" s="97">
        <v>41767</v>
      </c>
      <c r="AD980" s="119">
        <v>33344919.52</v>
      </c>
      <c r="AE980" s="119" t="s">
        <v>164</v>
      </c>
      <c r="AF980" s="1044"/>
      <c r="AG980" s="1044"/>
      <c r="AH980" s="111">
        <f t="shared" si="69"/>
        <v>0</v>
      </c>
      <c r="AI980" s="1044"/>
      <c r="AJ980" s="1063"/>
      <c r="AK980" s="1063"/>
      <c r="AL980" s="1063"/>
      <c r="AM980" s="1063"/>
      <c r="AN980" s="1109"/>
      <c r="AO980" s="1104"/>
    </row>
    <row r="981" spans="1:43" ht="15" customHeight="1">
      <c r="A981" s="1031"/>
      <c r="B981" s="1069"/>
      <c r="C981" s="1033"/>
      <c r="D981" s="1033"/>
      <c r="E981" s="1072"/>
      <c r="F981" s="1072"/>
      <c r="G981" s="1033"/>
      <c r="H981" s="1033"/>
      <c r="I981" s="1033"/>
      <c r="J981" s="1012"/>
      <c r="K981" s="1033"/>
      <c r="L981" s="1033"/>
      <c r="M981" s="1288"/>
      <c r="N981" s="1067"/>
      <c r="O981" s="1064"/>
      <c r="P981" s="1064"/>
      <c r="Q981" s="1063"/>
      <c r="R981" s="1070"/>
      <c r="S981" s="1094"/>
      <c r="T981" s="1094"/>
      <c r="U981" s="1094"/>
      <c r="V981" s="1064"/>
      <c r="W981" s="1063"/>
      <c r="X981" s="1033"/>
      <c r="Y981" s="108" t="s">
        <v>1466</v>
      </c>
      <c r="Z981" s="109">
        <v>42666557.140000001</v>
      </c>
      <c r="AA981" s="109">
        <v>0</v>
      </c>
      <c r="AB981" s="109">
        <f t="shared" si="70"/>
        <v>42666557.140000001</v>
      </c>
      <c r="AC981" s="97">
        <v>41947</v>
      </c>
      <c r="AD981" s="119">
        <v>42666557.140000001</v>
      </c>
      <c r="AE981" s="119" t="s">
        <v>164</v>
      </c>
      <c r="AF981" s="1045"/>
      <c r="AG981" s="1044"/>
      <c r="AH981" s="111">
        <f t="shared" si="69"/>
        <v>0</v>
      </c>
      <c r="AI981" s="1045"/>
      <c r="AJ981" s="1063"/>
      <c r="AK981" s="1064"/>
      <c r="AL981" s="1064"/>
      <c r="AM981" s="1064"/>
      <c r="AN981" s="1109"/>
      <c r="AO981" s="1104"/>
    </row>
    <row r="982" spans="1:43" ht="15" customHeight="1">
      <c r="A982" s="1031"/>
      <c r="B982" s="1069"/>
      <c r="C982" s="1033"/>
      <c r="D982" s="1033"/>
      <c r="E982" s="1072"/>
      <c r="F982" s="1072"/>
      <c r="G982" s="1033"/>
      <c r="H982" s="1033"/>
      <c r="I982" s="1033"/>
      <c r="J982" s="1011" t="s">
        <v>67</v>
      </c>
      <c r="K982" s="1033"/>
      <c r="L982" s="1033"/>
      <c r="M982" s="1286">
        <v>5</v>
      </c>
      <c r="N982" s="1065" t="s">
        <v>164</v>
      </c>
      <c r="O982" s="1062">
        <v>287677069</v>
      </c>
      <c r="P982" s="1062">
        <f>O982</f>
        <v>287677069</v>
      </c>
      <c r="Q982" s="1063"/>
      <c r="R982" s="1068">
        <v>41893</v>
      </c>
      <c r="S982" s="1092">
        <f>T982</f>
        <v>287677069</v>
      </c>
      <c r="T982" s="1092">
        <v>287677069</v>
      </c>
      <c r="U982" s="1092">
        <f>O982-T982</f>
        <v>0</v>
      </c>
      <c r="V982" s="1062">
        <v>287677069</v>
      </c>
      <c r="W982" s="1063"/>
      <c r="X982" s="1033"/>
      <c r="Y982" s="108" t="s">
        <v>1467</v>
      </c>
      <c r="Z982" s="109">
        <v>135806502</v>
      </c>
      <c r="AA982" s="109">
        <v>0</v>
      </c>
      <c r="AB982" s="109">
        <f t="shared" si="70"/>
        <v>135806502</v>
      </c>
      <c r="AC982" s="97">
        <v>41947</v>
      </c>
      <c r="AD982" s="119">
        <v>135806502</v>
      </c>
      <c r="AE982" s="119" t="s">
        <v>164</v>
      </c>
      <c r="AF982" s="1043">
        <f>SUM(AD982:AD983)</f>
        <v>287676940</v>
      </c>
      <c r="AG982" s="1044"/>
      <c r="AH982" s="111">
        <f t="shared" si="69"/>
        <v>0</v>
      </c>
      <c r="AI982" s="1043">
        <f>O982-SUM(AD982:AD983)</f>
        <v>129</v>
      </c>
      <c r="AJ982" s="1063"/>
      <c r="AK982" s="1062">
        <f>T982-V982</f>
        <v>0</v>
      </c>
      <c r="AL982" s="1062">
        <f>V982-SUM(Z982:Z983)</f>
        <v>129</v>
      </c>
      <c r="AM982" s="1062">
        <f>AK982+AL982</f>
        <v>129</v>
      </c>
      <c r="AN982" s="1109"/>
      <c r="AO982" s="1104"/>
    </row>
    <row r="983" spans="1:43" ht="15" customHeight="1">
      <c r="A983" s="1032"/>
      <c r="B983" s="1070"/>
      <c r="C983" s="1012"/>
      <c r="D983" s="1012"/>
      <c r="E983" s="1073"/>
      <c r="F983" s="1073"/>
      <c r="G983" s="1012"/>
      <c r="H983" s="1012"/>
      <c r="I983" s="1012"/>
      <c r="J983" s="1012"/>
      <c r="K983" s="1012"/>
      <c r="L983" s="1012"/>
      <c r="M983" s="1288"/>
      <c r="N983" s="1067"/>
      <c r="O983" s="1064"/>
      <c r="P983" s="1064"/>
      <c r="Q983" s="1064"/>
      <c r="R983" s="1070"/>
      <c r="S983" s="1094"/>
      <c r="T983" s="1094"/>
      <c r="U983" s="1094"/>
      <c r="V983" s="1064"/>
      <c r="W983" s="1064"/>
      <c r="X983" s="1012"/>
      <c r="Y983" s="108" t="s">
        <v>1468</v>
      </c>
      <c r="Z983" s="109">
        <v>151870438</v>
      </c>
      <c r="AA983" s="109">
        <v>0</v>
      </c>
      <c r="AB983" s="109">
        <f t="shared" si="70"/>
        <v>151870438</v>
      </c>
      <c r="AC983" s="97">
        <v>42164</v>
      </c>
      <c r="AD983" s="119">
        <v>151870438</v>
      </c>
      <c r="AE983" s="119" t="s">
        <v>164</v>
      </c>
      <c r="AF983" s="1045"/>
      <c r="AG983" s="1045"/>
      <c r="AH983" s="111">
        <f t="shared" si="69"/>
        <v>0</v>
      </c>
      <c r="AI983" s="1045"/>
      <c r="AJ983" s="1064"/>
      <c r="AK983" s="1064"/>
      <c r="AL983" s="1064"/>
      <c r="AM983" s="1064"/>
      <c r="AN983" s="1110"/>
      <c r="AO983" s="1105"/>
    </row>
    <row r="984" spans="1:43" ht="15" customHeight="1">
      <c r="A984" s="1030" t="s">
        <v>1471</v>
      </c>
      <c r="B984" s="1068">
        <v>41332</v>
      </c>
      <c r="C984" s="1011" t="s">
        <v>11</v>
      </c>
      <c r="D984" s="1011" t="s">
        <v>1472</v>
      </c>
      <c r="E984" s="1071">
        <v>76308097</v>
      </c>
      <c r="F984" s="1071"/>
      <c r="G984" s="1011" t="s">
        <v>1473</v>
      </c>
      <c r="H984" s="1011" t="s">
        <v>71</v>
      </c>
      <c r="I984" s="1011" t="s">
        <v>1221</v>
      </c>
      <c r="J984" s="1011" t="s">
        <v>66</v>
      </c>
      <c r="K984" s="1011" t="s">
        <v>183</v>
      </c>
      <c r="L984" s="1011" t="s">
        <v>1478</v>
      </c>
      <c r="M984" s="1286">
        <v>253</v>
      </c>
      <c r="N984" s="1065" t="s">
        <v>7</v>
      </c>
      <c r="O984" s="1062">
        <v>45925680</v>
      </c>
      <c r="P984" s="1062">
        <f>O984+O986</f>
        <v>95925680</v>
      </c>
      <c r="Q984" s="1062">
        <f>P984+P988</f>
        <v>139776266</v>
      </c>
      <c r="R984" s="1068">
        <v>41165</v>
      </c>
      <c r="S984" s="1092">
        <f>T984+T986</f>
        <v>95925680</v>
      </c>
      <c r="T984" s="1062">
        <v>45925680</v>
      </c>
      <c r="U984" s="1062">
        <f>O984-T984</f>
        <v>0</v>
      </c>
      <c r="V984" s="1062">
        <v>45503172</v>
      </c>
      <c r="W984" s="1062">
        <f>V984+V986+V988</f>
        <v>138893767</v>
      </c>
      <c r="X984" s="1011" t="s">
        <v>1459</v>
      </c>
      <c r="Y984" s="1065" t="s">
        <v>1474</v>
      </c>
      <c r="Z984" s="109">
        <v>34043690.369999997</v>
      </c>
      <c r="AA984" s="109">
        <v>0</v>
      </c>
      <c r="AB984" s="109">
        <f t="shared" si="70"/>
        <v>34043690.369999997</v>
      </c>
      <c r="AC984" s="1068">
        <v>41626</v>
      </c>
      <c r="AD984" s="119">
        <v>34043690.369999997</v>
      </c>
      <c r="AE984" s="119" t="s">
        <v>137</v>
      </c>
      <c r="AF984" s="1043">
        <f>SUM(AD984:AD987)</f>
        <v>95043181</v>
      </c>
      <c r="AG984" s="1043">
        <f>AF984+AF988</f>
        <v>138881205.63999999</v>
      </c>
      <c r="AH984" s="111">
        <f t="shared" si="69"/>
        <v>0</v>
      </c>
      <c r="AI984" s="1043">
        <f>O984-AD985-AD986</f>
        <v>-2597695.2700000033</v>
      </c>
      <c r="AJ984" s="1062">
        <f>SUM(Z984:Z989)-SUM(AD984:AD989)</f>
        <v>0</v>
      </c>
      <c r="AK984" s="1062">
        <f>O984-V984</f>
        <v>422508</v>
      </c>
      <c r="AL984" s="1062">
        <f>SUM(V984:V987)-SUM(Z984:Z987)</f>
        <v>0</v>
      </c>
      <c r="AM984" s="1062">
        <f>AK984+AL984</f>
        <v>422508</v>
      </c>
      <c r="AN984" s="1108" t="s">
        <v>606</v>
      </c>
      <c r="AO984" s="1195" t="s">
        <v>1479</v>
      </c>
    </row>
    <row r="985" spans="1:43" ht="15" customHeight="1">
      <c r="A985" s="1031"/>
      <c r="B985" s="1069"/>
      <c r="C985" s="1033"/>
      <c r="D985" s="1033"/>
      <c r="E985" s="1072"/>
      <c r="F985" s="1072"/>
      <c r="G985" s="1033"/>
      <c r="H985" s="1033"/>
      <c r="I985" s="1033"/>
      <c r="J985" s="1033"/>
      <c r="K985" s="1033"/>
      <c r="L985" s="1033"/>
      <c r="M985" s="1287"/>
      <c r="N985" s="1067"/>
      <c r="O985" s="1064"/>
      <c r="P985" s="1063"/>
      <c r="Q985" s="1063"/>
      <c r="R985" s="1069"/>
      <c r="S985" s="1093"/>
      <c r="T985" s="1064"/>
      <c r="U985" s="1064"/>
      <c r="V985" s="1064"/>
      <c r="W985" s="1063"/>
      <c r="X985" s="1033"/>
      <c r="Y985" s="1067"/>
      <c r="Z985" s="109">
        <v>37063893.630000003</v>
      </c>
      <c r="AA985" s="109">
        <v>0</v>
      </c>
      <c r="AB985" s="109">
        <f t="shared" si="70"/>
        <v>37063893.630000003</v>
      </c>
      <c r="AC985" s="1070"/>
      <c r="AD985" s="119">
        <v>37063893.630000003</v>
      </c>
      <c r="AE985" s="119" t="s">
        <v>7</v>
      </c>
      <c r="AF985" s="1044"/>
      <c r="AG985" s="1044"/>
      <c r="AH985" s="111">
        <f t="shared" si="69"/>
        <v>0</v>
      </c>
      <c r="AI985" s="1045"/>
      <c r="AJ985" s="1063"/>
      <c r="AK985" s="1064"/>
      <c r="AL985" s="1063"/>
      <c r="AM985" s="1064"/>
      <c r="AN985" s="1109"/>
      <c r="AO985" s="1104"/>
    </row>
    <row r="986" spans="1:43" ht="15" customHeight="1">
      <c r="A986" s="1031"/>
      <c r="B986" s="1069"/>
      <c r="C986" s="1033"/>
      <c r="D986" s="1033"/>
      <c r="E986" s="1072"/>
      <c r="F986" s="1072"/>
      <c r="G986" s="1033"/>
      <c r="H986" s="1033"/>
      <c r="I986" s="1033"/>
      <c r="J986" s="1033"/>
      <c r="K986" s="1033"/>
      <c r="L986" s="1033"/>
      <c r="M986" s="1287"/>
      <c r="N986" s="1065" t="s">
        <v>137</v>
      </c>
      <c r="O986" s="1062">
        <v>50000000</v>
      </c>
      <c r="P986" s="1063"/>
      <c r="Q986" s="1063"/>
      <c r="R986" s="1069"/>
      <c r="S986" s="1093"/>
      <c r="T986" s="1062">
        <v>50000000</v>
      </c>
      <c r="U986" s="1062">
        <f>O986-T986</f>
        <v>0</v>
      </c>
      <c r="V986" s="1062">
        <v>49540009</v>
      </c>
      <c r="W986" s="1063"/>
      <c r="X986" s="1033"/>
      <c r="Y986" s="1065" t="s">
        <v>1475</v>
      </c>
      <c r="Z986" s="109">
        <v>11459481.640000001</v>
      </c>
      <c r="AA986" s="109">
        <v>0</v>
      </c>
      <c r="AB986" s="109">
        <f t="shared" si="70"/>
        <v>11459481.640000001</v>
      </c>
      <c r="AC986" s="1068">
        <v>41939</v>
      </c>
      <c r="AD986" s="119">
        <v>11459481.640000001</v>
      </c>
      <c r="AE986" s="119" t="s">
        <v>7</v>
      </c>
      <c r="AF986" s="1044"/>
      <c r="AG986" s="1044"/>
      <c r="AH986" s="111">
        <f t="shared" si="69"/>
        <v>0</v>
      </c>
      <c r="AI986" s="1043">
        <f>O986-AD984-AD987</f>
        <v>3480194.2700000033</v>
      </c>
      <c r="AJ986" s="1063"/>
      <c r="AK986" s="1062">
        <f>O986-V986</f>
        <v>459991</v>
      </c>
      <c r="AL986" s="1063"/>
      <c r="AM986" s="1062">
        <f>AK986+AL986</f>
        <v>459991</v>
      </c>
      <c r="AN986" s="1109"/>
      <c r="AO986" s="1104"/>
    </row>
    <row r="987" spans="1:43" ht="15" customHeight="1">
      <c r="A987" s="1031"/>
      <c r="B987" s="1069"/>
      <c r="C987" s="1033"/>
      <c r="D987" s="1033"/>
      <c r="E987" s="1072"/>
      <c r="F987" s="1072"/>
      <c r="G987" s="1033"/>
      <c r="H987" s="1033"/>
      <c r="I987" s="1033"/>
      <c r="J987" s="1012"/>
      <c r="K987" s="1033"/>
      <c r="L987" s="1033"/>
      <c r="M987" s="1288"/>
      <c r="N987" s="1067"/>
      <c r="O987" s="1064"/>
      <c r="P987" s="1064"/>
      <c r="Q987" s="1063"/>
      <c r="R987" s="1070"/>
      <c r="S987" s="1094"/>
      <c r="T987" s="1064"/>
      <c r="U987" s="1064"/>
      <c r="V987" s="1064"/>
      <c r="W987" s="1063"/>
      <c r="X987" s="1033"/>
      <c r="Y987" s="1067"/>
      <c r="Z987" s="109">
        <v>12476115.359999999</v>
      </c>
      <c r="AA987" s="109">
        <v>0</v>
      </c>
      <c r="AB987" s="109">
        <f t="shared" si="70"/>
        <v>12476115.359999999</v>
      </c>
      <c r="AC987" s="1070"/>
      <c r="AD987" s="119">
        <v>12476115.359999999</v>
      </c>
      <c r="AE987" s="119" t="s">
        <v>137</v>
      </c>
      <c r="AF987" s="1045"/>
      <c r="AG987" s="1044"/>
      <c r="AH987" s="111">
        <f t="shared" si="69"/>
        <v>0</v>
      </c>
      <c r="AI987" s="1045"/>
      <c r="AJ987" s="1063"/>
      <c r="AK987" s="1064"/>
      <c r="AL987" s="1064"/>
      <c r="AM987" s="1064"/>
      <c r="AN987" s="1109"/>
      <c r="AO987" s="1104"/>
    </row>
    <row r="988" spans="1:43" ht="15" customHeight="1">
      <c r="A988" s="1031"/>
      <c r="B988" s="1069"/>
      <c r="C988" s="1033"/>
      <c r="D988" s="1033"/>
      <c r="E988" s="1072"/>
      <c r="F988" s="1072"/>
      <c r="G988" s="1033"/>
      <c r="H988" s="1033"/>
      <c r="I988" s="1033"/>
      <c r="J988" s="1011" t="s">
        <v>67</v>
      </c>
      <c r="K988" s="1033"/>
      <c r="L988" s="1033"/>
      <c r="M988" s="1286">
        <v>3</v>
      </c>
      <c r="N988" s="1065" t="s">
        <v>131</v>
      </c>
      <c r="O988" s="1062">
        <v>43850586</v>
      </c>
      <c r="P988" s="1062">
        <f>O988</f>
        <v>43850586</v>
      </c>
      <c r="Q988" s="1063"/>
      <c r="R988" s="1068">
        <v>41795</v>
      </c>
      <c r="S988" s="1092">
        <f>T988</f>
        <v>43838024.640000001</v>
      </c>
      <c r="T988" s="1062">
        <v>43838024.640000001</v>
      </c>
      <c r="U988" s="1062">
        <f>O988-T988</f>
        <v>12561.359999999404</v>
      </c>
      <c r="V988" s="1062">
        <v>43850586</v>
      </c>
      <c r="W988" s="1063"/>
      <c r="X988" s="1033"/>
      <c r="Y988" s="108" t="s">
        <v>1476</v>
      </c>
      <c r="Z988" s="109">
        <v>14531838.640000001</v>
      </c>
      <c r="AA988" s="109">
        <v>0</v>
      </c>
      <c r="AB988" s="109">
        <f t="shared" si="70"/>
        <v>14531838.640000001</v>
      </c>
      <c r="AC988" s="97">
        <v>41887</v>
      </c>
      <c r="AD988" s="119">
        <v>14531838.640000001</v>
      </c>
      <c r="AE988" s="119" t="s">
        <v>131</v>
      </c>
      <c r="AF988" s="1043">
        <f>SUM(AD988:AD989)</f>
        <v>43838024.640000001</v>
      </c>
      <c r="AG988" s="1044"/>
      <c r="AH988" s="111">
        <f t="shared" si="69"/>
        <v>0</v>
      </c>
      <c r="AI988" s="1043">
        <f>T988-SUM(AD988:AD989)</f>
        <v>0</v>
      </c>
      <c r="AJ988" s="1063"/>
      <c r="AK988" s="1062">
        <f>O988-V988</f>
        <v>0</v>
      </c>
      <c r="AL988" s="1062">
        <f>V988-SUM(Z988:Z989)</f>
        <v>12561.359999999404</v>
      </c>
      <c r="AM988" s="1062">
        <f>AK988+AL988</f>
        <v>12561.359999999404</v>
      </c>
      <c r="AN988" s="1109"/>
      <c r="AO988" s="1104"/>
    </row>
    <row r="989" spans="1:43" ht="15" customHeight="1">
      <c r="A989" s="1032"/>
      <c r="B989" s="1070"/>
      <c r="C989" s="1012"/>
      <c r="D989" s="1012"/>
      <c r="E989" s="1073"/>
      <c r="F989" s="1073"/>
      <c r="G989" s="1012"/>
      <c r="H989" s="1012"/>
      <c r="I989" s="1012"/>
      <c r="J989" s="1012"/>
      <c r="K989" s="1012"/>
      <c r="L989" s="1012"/>
      <c r="M989" s="1288"/>
      <c r="N989" s="1067"/>
      <c r="O989" s="1064"/>
      <c r="P989" s="1064"/>
      <c r="Q989" s="1064"/>
      <c r="R989" s="1070"/>
      <c r="S989" s="1094"/>
      <c r="T989" s="1064"/>
      <c r="U989" s="1064"/>
      <c r="V989" s="1064"/>
      <c r="W989" s="1064"/>
      <c r="X989" s="1012"/>
      <c r="Y989" s="108" t="s">
        <v>1477</v>
      </c>
      <c r="Z989" s="109">
        <v>29306186</v>
      </c>
      <c r="AA989" s="109">
        <v>0</v>
      </c>
      <c r="AB989" s="109">
        <f t="shared" si="70"/>
        <v>29306186</v>
      </c>
      <c r="AC989" s="97">
        <v>41989</v>
      </c>
      <c r="AD989" s="119">
        <v>29306186</v>
      </c>
      <c r="AE989" s="119" t="s">
        <v>131</v>
      </c>
      <c r="AF989" s="1045"/>
      <c r="AG989" s="1045"/>
      <c r="AH989" s="111">
        <f t="shared" si="69"/>
        <v>0</v>
      </c>
      <c r="AI989" s="1045"/>
      <c r="AJ989" s="1064"/>
      <c r="AK989" s="1064"/>
      <c r="AL989" s="1064"/>
      <c r="AM989" s="1064"/>
      <c r="AN989" s="1110"/>
      <c r="AO989" s="1105"/>
    </row>
    <row r="990" spans="1:43" s="4" customFormat="1" ht="15" customHeight="1">
      <c r="A990" s="1030" t="s">
        <v>2143</v>
      </c>
      <c r="B990" s="1068">
        <v>41332</v>
      </c>
      <c r="C990" s="1011" t="s">
        <v>32</v>
      </c>
      <c r="D990" s="1011" t="s">
        <v>2142</v>
      </c>
      <c r="E990" s="1011" t="s">
        <v>2317</v>
      </c>
      <c r="F990" s="1097"/>
      <c r="G990" s="1011" t="s">
        <v>2141</v>
      </c>
      <c r="H990" s="1011" t="s">
        <v>71</v>
      </c>
      <c r="I990" s="1011" t="s">
        <v>1235</v>
      </c>
      <c r="J990" s="1011" t="s">
        <v>66</v>
      </c>
      <c r="K990" s="1219" t="s">
        <v>183</v>
      </c>
      <c r="L990" s="1219" t="s">
        <v>2140</v>
      </c>
      <c r="M990" s="1009">
        <v>231</v>
      </c>
      <c r="N990" s="1023" t="s">
        <v>7</v>
      </c>
      <c r="O990" s="1043">
        <v>462377540</v>
      </c>
      <c r="P990" s="1043">
        <v>462377540</v>
      </c>
      <c r="Q990" s="1043">
        <f>P990</f>
        <v>462377540</v>
      </c>
      <c r="R990" s="1120">
        <v>40899</v>
      </c>
      <c r="S990" s="1043">
        <f>T990</f>
        <v>462377540</v>
      </c>
      <c r="T990" s="1043">
        <v>462377540</v>
      </c>
      <c r="U990" s="1043">
        <f>P990-T990</f>
        <v>0</v>
      </c>
      <c r="V990" s="1043">
        <v>455759154</v>
      </c>
      <c r="W990" s="1043">
        <v>455759154</v>
      </c>
      <c r="X990" s="1023" t="s">
        <v>2139</v>
      </c>
      <c r="Y990" s="108" t="s">
        <v>2138</v>
      </c>
      <c r="Z990" s="109">
        <v>106034016</v>
      </c>
      <c r="AA990" s="109">
        <v>0</v>
      </c>
      <c r="AB990" s="109">
        <f t="shared" ref="AB990:AB995" si="71">Z990+AA990</f>
        <v>106034016</v>
      </c>
      <c r="AC990" s="97">
        <v>41619</v>
      </c>
      <c r="AD990" s="119">
        <v>106034016</v>
      </c>
      <c r="AE990" s="108" t="s">
        <v>7</v>
      </c>
      <c r="AF990" s="1043">
        <f>SUM(AD990:AD995)</f>
        <v>455759153.39999998</v>
      </c>
      <c r="AG990" s="1043">
        <f>AF990</f>
        <v>455759153.39999998</v>
      </c>
      <c r="AH990" s="111">
        <f t="shared" ref="AH990:AH995" si="72">AB990-AD990</f>
        <v>0</v>
      </c>
      <c r="AI990" s="1043">
        <f>P990-AF990</f>
        <v>6618386.6000000238</v>
      </c>
      <c r="AJ990" s="1043">
        <f>SUM(Z990:Z995)-SUM(AD990:AD995)</f>
        <v>0</v>
      </c>
      <c r="AK990" s="1043">
        <f>P990-V990</f>
        <v>6618386</v>
      </c>
      <c r="AL990" s="1043">
        <f>V990-SUM(Z990:Z995)</f>
        <v>0.60000002384185791</v>
      </c>
      <c r="AM990" s="1043">
        <f>AK990+AL990</f>
        <v>6618386.6000000238</v>
      </c>
      <c r="AN990" s="1184" t="s">
        <v>2137</v>
      </c>
      <c r="AO990" s="1023" t="s">
        <v>2136</v>
      </c>
      <c r="AQ990" s="934"/>
    </row>
    <row r="991" spans="1:43" s="4" customFormat="1" ht="15" customHeight="1">
      <c r="A991" s="1031"/>
      <c r="B991" s="1069"/>
      <c r="C991" s="1033"/>
      <c r="D991" s="1033"/>
      <c r="E991" s="1033"/>
      <c r="F991" s="1098"/>
      <c r="G991" s="1033"/>
      <c r="H991" s="1033"/>
      <c r="I991" s="1033"/>
      <c r="J991" s="1033"/>
      <c r="K991" s="1219"/>
      <c r="L991" s="1219"/>
      <c r="M991" s="1039"/>
      <c r="N991" s="1124"/>
      <c r="O991" s="1044"/>
      <c r="P991" s="1044"/>
      <c r="Q991" s="1044"/>
      <c r="R991" s="1121"/>
      <c r="S991" s="1044"/>
      <c r="T991" s="1044"/>
      <c r="U991" s="1044"/>
      <c r="V991" s="1044"/>
      <c r="W991" s="1044"/>
      <c r="X991" s="1124"/>
      <c r="Y991" s="108" t="s">
        <v>2135</v>
      </c>
      <c r="Z991" s="109">
        <v>49470583</v>
      </c>
      <c r="AA991" s="109">
        <v>0</v>
      </c>
      <c r="AB991" s="109">
        <f t="shared" si="71"/>
        <v>49470583</v>
      </c>
      <c r="AC991" s="97">
        <v>41628</v>
      </c>
      <c r="AD991" s="119">
        <v>49470583</v>
      </c>
      <c r="AE991" s="108" t="s">
        <v>7</v>
      </c>
      <c r="AF991" s="1044"/>
      <c r="AG991" s="1044"/>
      <c r="AH991" s="111">
        <f t="shared" si="72"/>
        <v>0</v>
      </c>
      <c r="AI991" s="1044"/>
      <c r="AJ991" s="1044"/>
      <c r="AK991" s="1044"/>
      <c r="AL991" s="1044"/>
      <c r="AM991" s="1044"/>
      <c r="AN991" s="1207"/>
      <c r="AO991" s="1124"/>
      <c r="AQ991" s="934"/>
    </row>
    <row r="992" spans="1:43" s="4" customFormat="1" ht="15" customHeight="1">
      <c r="A992" s="1031"/>
      <c r="B992" s="1069"/>
      <c r="C992" s="1033"/>
      <c r="D992" s="1033"/>
      <c r="E992" s="1033"/>
      <c r="F992" s="1098"/>
      <c r="G992" s="1033"/>
      <c r="H992" s="1033"/>
      <c r="I992" s="1033"/>
      <c r="J992" s="1033"/>
      <c r="K992" s="1219"/>
      <c r="L992" s="1219"/>
      <c r="M992" s="1039"/>
      <c r="N992" s="1124"/>
      <c r="O992" s="1044"/>
      <c r="P992" s="1044"/>
      <c r="Q992" s="1044"/>
      <c r="R992" s="1121"/>
      <c r="S992" s="1044"/>
      <c r="T992" s="1044"/>
      <c r="U992" s="1044"/>
      <c r="V992" s="1044"/>
      <c r="W992" s="1044"/>
      <c r="X992" s="1124"/>
      <c r="Y992" s="108" t="s">
        <v>2134</v>
      </c>
      <c r="Z992" s="109">
        <v>76718536</v>
      </c>
      <c r="AA992" s="109">
        <v>0</v>
      </c>
      <c r="AB992" s="109">
        <f t="shared" si="71"/>
        <v>76718536</v>
      </c>
      <c r="AC992" s="97">
        <v>41708</v>
      </c>
      <c r="AD992" s="119">
        <v>76718536</v>
      </c>
      <c r="AE992" s="108" t="s">
        <v>7</v>
      </c>
      <c r="AF992" s="1044"/>
      <c r="AG992" s="1044"/>
      <c r="AH992" s="111">
        <f t="shared" si="72"/>
        <v>0</v>
      </c>
      <c r="AI992" s="1044"/>
      <c r="AJ992" s="1044"/>
      <c r="AK992" s="1044"/>
      <c r="AL992" s="1044"/>
      <c r="AM992" s="1044"/>
      <c r="AN992" s="1207"/>
      <c r="AO992" s="1124"/>
      <c r="AQ992" s="934"/>
    </row>
    <row r="993" spans="1:43" s="4" customFormat="1" ht="15" customHeight="1">
      <c r="A993" s="1031"/>
      <c r="B993" s="1069"/>
      <c r="C993" s="1033"/>
      <c r="D993" s="1033"/>
      <c r="E993" s="1033"/>
      <c r="F993" s="1098"/>
      <c r="G993" s="1033"/>
      <c r="H993" s="1033"/>
      <c r="I993" s="1033"/>
      <c r="J993" s="1033"/>
      <c r="K993" s="1219"/>
      <c r="L993" s="1219"/>
      <c r="M993" s="1039"/>
      <c r="N993" s="1124"/>
      <c r="O993" s="1044"/>
      <c r="P993" s="1044"/>
      <c r="Q993" s="1044"/>
      <c r="R993" s="1121"/>
      <c r="S993" s="1044"/>
      <c r="T993" s="1044"/>
      <c r="U993" s="1044"/>
      <c r="V993" s="1044"/>
      <c r="W993" s="1044"/>
      <c r="X993" s="1124"/>
      <c r="Y993" s="108" t="s">
        <v>2133</v>
      </c>
      <c r="Z993" s="109">
        <v>123911160</v>
      </c>
      <c r="AA993" s="109">
        <v>0</v>
      </c>
      <c r="AB993" s="109">
        <f t="shared" si="71"/>
        <v>123911160</v>
      </c>
      <c r="AC993" s="97">
        <v>41793</v>
      </c>
      <c r="AD993" s="119">
        <v>123911160</v>
      </c>
      <c r="AE993" s="108" t="s">
        <v>7</v>
      </c>
      <c r="AF993" s="1044"/>
      <c r="AG993" s="1044"/>
      <c r="AH993" s="111">
        <f t="shared" si="72"/>
        <v>0</v>
      </c>
      <c r="AI993" s="1044"/>
      <c r="AJ993" s="1044"/>
      <c r="AK993" s="1044"/>
      <c r="AL993" s="1044"/>
      <c r="AM993" s="1044"/>
      <c r="AN993" s="1207"/>
      <c r="AO993" s="1124"/>
      <c r="AQ993" s="934"/>
    </row>
    <row r="994" spans="1:43" s="4" customFormat="1" ht="15" customHeight="1">
      <c r="A994" s="1031"/>
      <c r="B994" s="1069"/>
      <c r="C994" s="1033"/>
      <c r="D994" s="1033"/>
      <c r="E994" s="1033"/>
      <c r="F994" s="1098"/>
      <c r="G994" s="1033"/>
      <c r="H994" s="1033"/>
      <c r="I994" s="1033"/>
      <c r="J994" s="1033"/>
      <c r="K994" s="1219"/>
      <c r="L994" s="1219"/>
      <c r="M994" s="1039"/>
      <c r="N994" s="1124"/>
      <c r="O994" s="1044"/>
      <c r="P994" s="1044"/>
      <c r="Q994" s="1044"/>
      <c r="R994" s="1121"/>
      <c r="S994" s="1044"/>
      <c r="T994" s="1044"/>
      <c r="U994" s="1044"/>
      <c r="V994" s="1044"/>
      <c r="W994" s="1044"/>
      <c r="X994" s="1124"/>
      <c r="Y994" s="108" t="s">
        <v>2132</v>
      </c>
      <c r="Z994" s="109">
        <v>54045945</v>
      </c>
      <c r="AA994" s="109">
        <v>0</v>
      </c>
      <c r="AB994" s="109">
        <f t="shared" si="71"/>
        <v>54045945</v>
      </c>
      <c r="AC994" s="97">
        <v>41988</v>
      </c>
      <c r="AD994" s="119">
        <v>54045945</v>
      </c>
      <c r="AE994" s="108" t="s">
        <v>7</v>
      </c>
      <c r="AF994" s="1044"/>
      <c r="AG994" s="1044"/>
      <c r="AH994" s="111">
        <f t="shared" si="72"/>
        <v>0</v>
      </c>
      <c r="AI994" s="1044"/>
      <c r="AJ994" s="1044"/>
      <c r="AK994" s="1044"/>
      <c r="AL994" s="1044"/>
      <c r="AM994" s="1044"/>
      <c r="AN994" s="1207"/>
      <c r="AO994" s="1124"/>
      <c r="AQ994" s="934"/>
    </row>
    <row r="995" spans="1:43" s="4" customFormat="1" ht="15" customHeight="1">
      <c r="A995" s="1032"/>
      <c r="B995" s="1070"/>
      <c r="C995" s="1012"/>
      <c r="D995" s="1012"/>
      <c r="E995" s="1012"/>
      <c r="F995" s="1099"/>
      <c r="G995" s="1012"/>
      <c r="H995" s="1012"/>
      <c r="I995" s="1012"/>
      <c r="J995" s="1012"/>
      <c r="K995" s="1219"/>
      <c r="L995" s="1219"/>
      <c r="M995" s="1010"/>
      <c r="N995" s="1024"/>
      <c r="O995" s="1045"/>
      <c r="P995" s="1045"/>
      <c r="Q995" s="1045"/>
      <c r="R995" s="1160"/>
      <c r="S995" s="1045"/>
      <c r="T995" s="1045"/>
      <c r="U995" s="1045"/>
      <c r="V995" s="1045"/>
      <c r="W995" s="1045"/>
      <c r="X995" s="1024"/>
      <c r="Y995" s="108" t="s">
        <v>2131</v>
      </c>
      <c r="Z995" s="109">
        <v>45578913.399999999</v>
      </c>
      <c r="AA995" s="109">
        <v>0</v>
      </c>
      <c r="AB995" s="109">
        <f t="shared" si="71"/>
        <v>45578913.399999999</v>
      </c>
      <c r="AC995" s="97">
        <v>42790</v>
      </c>
      <c r="AD995" s="119">
        <v>45578913.399999999</v>
      </c>
      <c r="AE995" s="108" t="s">
        <v>7</v>
      </c>
      <c r="AF995" s="1045"/>
      <c r="AG995" s="1045"/>
      <c r="AH995" s="111">
        <f t="shared" si="72"/>
        <v>0</v>
      </c>
      <c r="AI995" s="1045"/>
      <c r="AJ995" s="1045"/>
      <c r="AK995" s="1045"/>
      <c r="AL995" s="1045"/>
      <c r="AM995" s="1045"/>
      <c r="AN995" s="1185"/>
      <c r="AO995" s="1024"/>
      <c r="AQ995" s="934"/>
    </row>
    <row r="996" spans="1:43" ht="15" customHeight="1">
      <c r="A996" s="1030" t="s">
        <v>1480</v>
      </c>
      <c r="B996" s="1068">
        <v>41332</v>
      </c>
      <c r="C996" s="1011" t="s">
        <v>15</v>
      </c>
      <c r="D996" s="1011" t="s">
        <v>1481</v>
      </c>
      <c r="E996" s="1071">
        <v>76305303</v>
      </c>
      <c r="F996" s="1071"/>
      <c r="G996" s="1011" t="s">
        <v>1482</v>
      </c>
      <c r="H996" s="1011" t="s">
        <v>71</v>
      </c>
      <c r="I996" s="1011" t="s">
        <v>1221</v>
      </c>
      <c r="J996" s="1011" t="s">
        <v>66</v>
      </c>
      <c r="K996" s="1011" t="s">
        <v>183</v>
      </c>
      <c r="L996" s="1011" t="s">
        <v>1484</v>
      </c>
      <c r="M996" s="1286">
        <v>251</v>
      </c>
      <c r="N996" s="1065" t="s">
        <v>137</v>
      </c>
      <c r="O996" s="1062">
        <v>82241467</v>
      </c>
      <c r="P996" s="1062">
        <f>O996</f>
        <v>82241467</v>
      </c>
      <c r="Q996" s="1062">
        <f>P996</f>
        <v>82241467</v>
      </c>
      <c r="R996" s="1068">
        <v>41165</v>
      </c>
      <c r="S996" s="1092">
        <f>T996</f>
        <v>81536567</v>
      </c>
      <c r="T996" s="1092">
        <v>81536567</v>
      </c>
      <c r="U996" s="1092">
        <f>O996-T996</f>
        <v>704900</v>
      </c>
      <c r="V996" s="1062">
        <v>81536567</v>
      </c>
      <c r="W996" s="1062">
        <v>81536567</v>
      </c>
      <c r="X996" s="1011" t="s">
        <v>1483</v>
      </c>
      <c r="Y996" s="108" t="s">
        <v>1485</v>
      </c>
      <c r="Z996" s="109">
        <v>61705679</v>
      </c>
      <c r="AA996" s="109">
        <v>0</v>
      </c>
      <c r="AB996" s="109">
        <f t="shared" si="70"/>
        <v>61705679</v>
      </c>
      <c r="AC996" s="97">
        <v>41604</v>
      </c>
      <c r="AD996" s="119">
        <v>61705679</v>
      </c>
      <c r="AE996" s="119" t="s">
        <v>137</v>
      </c>
      <c r="AF996" s="1043">
        <f>SUM(AD996:AD997)</f>
        <v>81536551</v>
      </c>
      <c r="AG996" s="1043">
        <f>AF996</f>
        <v>81536551</v>
      </c>
      <c r="AH996" s="111">
        <f t="shared" si="69"/>
        <v>0</v>
      </c>
      <c r="AI996" s="1043">
        <f>T996-SUM(AD996:AD997)</f>
        <v>16</v>
      </c>
      <c r="AJ996" s="1062">
        <f>SUM(Z996:Z997)-SUM(AD996:AD997)</f>
        <v>0</v>
      </c>
      <c r="AK996" s="1062">
        <f>T996-V996</f>
        <v>0</v>
      </c>
      <c r="AL996" s="1062">
        <f>V996-SUM(Z996:Z997)</f>
        <v>16</v>
      </c>
      <c r="AM996" s="1062">
        <f>AK996+AL996</f>
        <v>16</v>
      </c>
      <c r="AN996" s="1108" t="s">
        <v>606</v>
      </c>
      <c r="AO996" s="1108" t="s">
        <v>1487</v>
      </c>
    </row>
    <row r="997" spans="1:43" ht="15" customHeight="1">
      <c r="A997" s="1032"/>
      <c r="B997" s="1070"/>
      <c r="C997" s="1012"/>
      <c r="D997" s="1012"/>
      <c r="E997" s="1073"/>
      <c r="F997" s="1073"/>
      <c r="G997" s="1012"/>
      <c r="H997" s="1012"/>
      <c r="I997" s="1012"/>
      <c r="J997" s="1012"/>
      <c r="K997" s="1012"/>
      <c r="L997" s="1012"/>
      <c r="M997" s="1288"/>
      <c r="N997" s="1067"/>
      <c r="O997" s="1064"/>
      <c r="P997" s="1064"/>
      <c r="Q997" s="1064"/>
      <c r="R997" s="1070"/>
      <c r="S997" s="1094"/>
      <c r="T997" s="1094"/>
      <c r="U997" s="1094"/>
      <c r="V997" s="1064"/>
      <c r="W997" s="1064"/>
      <c r="X997" s="1012"/>
      <c r="Y997" s="108" t="s">
        <v>1486</v>
      </c>
      <c r="Z997" s="109">
        <v>19830872</v>
      </c>
      <c r="AA997" s="109">
        <v>0</v>
      </c>
      <c r="AB997" s="109">
        <f t="shared" si="70"/>
        <v>19830872</v>
      </c>
      <c r="AC997" s="97">
        <v>41807</v>
      </c>
      <c r="AD997" s="119">
        <v>19830872</v>
      </c>
      <c r="AE997" s="119" t="s">
        <v>137</v>
      </c>
      <c r="AF997" s="1045"/>
      <c r="AG997" s="1045"/>
      <c r="AH997" s="111">
        <f t="shared" si="69"/>
        <v>0</v>
      </c>
      <c r="AI997" s="1045"/>
      <c r="AJ997" s="1064"/>
      <c r="AK997" s="1064"/>
      <c r="AL997" s="1064"/>
      <c r="AM997" s="1064"/>
      <c r="AN997" s="1110"/>
      <c r="AO997" s="1110"/>
    </row>
    <row r="998" spans="1:43" ht="15" customHeight="1">
      <c r="A998" s="1015" t="s">
        <v>1517</v>
      </c>
      <c r="B998" s="1068">
        <v>41332</v>
      </c>
      <c r="C998" s="1011" t="s">
        <v>9</v>
      </c>
      <c r="D998" s="1011" t="s">
        <v>1518</v>
      </c>
      <c r="E998" s="1071">
        <v>900594488</v>
      </c>
      <c r="F998" s="1071">
        <v>3</v>
      </c>
      <c r="G998" s="1011" t="s">
        <v>1521</v>
      </c>
      <c r="H998" s="1011" t="s">
        <v>71</v>
      </c>
      <c r="I998" s="1011" t="s">
        <v>206</v>
      </c>
      <c r="J998" s="1011" t="s">
        <v>66</v>
      </c>
      <c r="K998" s="1011" t="s">
        <v>217</v>
      </c>
      <c r="L998" s="1011" t="s">
        <v>1523</v>
      </c>
      <c r="M998" s="1286">
        <v>263</v>
      </c>
      <c r="N998" s="1065" t="s">
        <v>7</v>
      </c>
      <c r="O998" s="1062">
        <v>533344668</v>
      </c>
      <c r="P998" s="1062">
        <f>O998</f>
        <v>533344668</v>
      </c>
      <c r="Q998" s="1062">
        <f>P998+P1002</f>
        <v>789486763</v>
      </c>
      <c r="R998" s="1068">
        <v>41227</v>
      </c>
      <c r="S998" s="1092">
        <f>T998</f>
        <v>526328149</v>
      </c>
      <c r="T998" s="1092">
        <v>526328149</v>
      </c>
      <c r="U998" s="1092">
        <f>O998-T998</f>
        <v>7016519</v>
      </c>
      <c r="V998" s="1062">
        <v>526328149</v>
      </c>
      <c r="W998" s="1062">
        <f>V998+V1002</f>
        <v>782470244</v>
      </c>
      <c r="X998" s="1011" t="s">
        <v>1522</v>
      </c>
      <c r="Y998" s="108" t="s">
        <v>1525</v>
      </c>
      <c r="Z998" s="109">
        <v>170625444</v>
      </c>
      <c r="AA998" s="109">
        <v>0</v>
      </c>
      <c r="AB998" s="109">
        <f t="shared" si="70"/>
        <v>170625444</v>
      </c>
      <c r="AC998" s="97">
        <v>41628</v>
      </c>
      <c r="AD998" s="119">
        <v>162094172</v>
      </c>
      <c r="AE998" s="119" t="s">
        <v>7</v>
      </c>
      <c r="AF998" s="1043">
        <f>SUM(AD998:AD1001)</f>
        <v>517796877</v>
      </c>
      <c r="AG998" s="1043">
        <f>AF998+AF1002</f>
        <v>773935838</v>
      </c>
      <c r="AH998" s="111">
        <f t="shared" si="69"/>
        <v>8531272</v>
      </c>
      <c r="AI998" s="1043">
        <f>T998-SUM(AD998:AD1001)</f>
        <v>8531272</v>
      </c>
      <c r="AJ998" s="1062">
        <f>SUM(Z998:Z1003)-SUM(AD998:AD1003)</f>
        <v>8531272</v>
      </c>
      <c r="AK998" s="1062">
        <f>T998-V998</f>
        <v>0</v>
      </c>
      <c r="AL998" s="1062">
        <f>V998-SUM(Z998:Z1001)</f>
        <v>0</v>
      </c>
      <c r="AM998" s="1062">
        <f>AK998+AL998</f>
        <v>0</v>
      </c>
      <c r="AN998" s="1108" t="s">
        <v>1524</v>
      </c>
      <c r="AO998" s="1103" t="s">
        <v>1531</v>
      </c>
      <c r="AP998" s="25" t="s">
        <v>2318</v>
      </c>
    </row>
    <row r="999" spans="1:43" ht="15" customHeight="1">
      <c r="A999" s="1050"/>
      <c r="B999" s="1069"/>
      <c r="C999" s="1033"/>
      <c r="D999" s="1033"/>
      <c r="E999" s="1072"/>
      <c r="F999" s="1072"/>
      <c r="G999" s="1033"/>
      <c r="H999" s="1033"/>
      <c r="I999" s="1033"/>
      <c r="J999" s="1033"/>
      <c r="K999" s="1033"/>
      <c r="L999" s="1033"/>
      <c r="M999" s="1287"/>
      <c r="N999" s="1066"/>
      <c r="O999" s="1063"/>
      <c r="P999" s="1063"/>
      <c r="Q999" s="1063"/>
      <c r="R999" s="1069"/>
      <c r="S999" s="1093"/>
      <c r="T999" s="1093"/>
      <c r="U999" s="1093"/>
      <c r="V999" s="1063"/>
      <c r="W999" s="1063"/>
      <c r="X999" s="1033"/>
      <c r="Y999" s="108" t="s">
        <v>1526</v>
      </c>
      <c r="Z999" s="109">
        <v>188469362</v>
      </c>
      <c r="AA999" s="109">
        <v>0</v>
      </c>
      <c r="AB999" s="109">
        <f t="shared" si="70"/>
        <v>188469362</v>
      </c>
      <c r="AC999" s="97">
        <v>41795</v>
      </c>
      <c r="AD999" s="119">
        <v>188469362</v>
      </c>
      <c r="AE999" s="119" t="s">
        <v>7</v>
      </c>
      <c r="AF999" s="1044"/>
      <c r="AG999" s="1044"/>
      <c r="AH999" s="111">
        <f t="shared" ref="AH999:AH1030" si="73">AB999-AD999</f>
        <v>0</v>
      </c>
      <c r="AI999" s="1044"/>
      <c r="AJ999" s="1063"/>
      <c r="AK999" s="1063"/>
      <c r="AL999" s="1063"/>
      <c r="AM999" s="1063"/>
      <c r="AN999" s="1109"/>
      <c r="AO999" s="1104"/>
    </row>
    <row r="1000" spans="1:43" ht="15" customHeight="1">
      <c r="A1000" s="1050"/>
      <c r="B1000" s="1069"/>
      <c r="C1000" s="1033"/>
      <c r="D1000" s="1033"/>
      <c r="E1000" s="1072"/>
      <c r="F1000" s="1072"/>
      <c r="G1000" s="1033"/>
      <c r="H1000" s="1033"/>
      <c r="I1000" s="1033"/>
      <c r="J1000" s="1033"/>
      <c r="K1000" s="1033"/>
      <c r="L1000" s="1033"/>
      <c r="M1000" s="1287"/>
      <c r="N1000" s="1066"/>
      <c r="O1000" s="1063"/>
      <c r="P1000" s="1063"/>
      <c r="Q1000" s="1063"/>
      <c r="R1000" s="1069"/>
      <c r="S1000" s="1093"/>
      <c r="T1000" s="1093"/>
      <c r="U1000" s="1093"/>
      <c r="V1000" s="1063"/>
      <c r="W1000" s="1063"/>
      <c r="X1000" s="1033"/>
      <c r="Y1000" s="108" t="s">
        <v>1527</v>
      </c>
      <c r="Z1000" s="109">
        <v>114493648</v>
      </c>
      <c r="AA1000" s="109">
        <v>0</v>
      </c>
      <c r="AB1000" s="109">
        <f t="shared" si="70"/>
        <v>114493648</v>
      </c>
      <c r="AC1000" s="97">
        <v>41963</v>
      </c>
      <c r="AD1000" s="200">
        <v>114493648</v>
      </c>
      <c r="AE1000" s="119" t="s">
        <v>7</v>
      </c>
      <c r="AF1000" s="1044"/>
      <c r="AG1000" s="1044"/>
      <c r="AH1000" s="111">
        <f t="shared" si="73"/>
        <v>0</v>
      </c>
      <c r="AI1000" s="1044"/>
      <c r="AJ1000" s="1063"/>
      <c r="AK1000" s="1063"/>
      <c r="AL1000" s="1063"/>
      <c r="AM1000" s="1063"/>
      <c r="AN1000" s="1109"/>
      <c r="AO1000" s="1104"/>
    </row>
    <row r="1001" spans="1:43" ht="15" customHeight="1">
      <c r="A1001" s="1050"/>
      <c r="B1001" s="1069"/>
      <c r="C1001" s="1033"/>
      <c r="D1001" s="1033"/>
      <c r="E1001" s="1072"/>
      <c r="F1001" s="1072"/>
      <c r="G1001" s="1033"/>
      <c r="H1001" s="1033"/>
      <c r="I1001" s="1033"/>
      <c r="J1001" s="1033"/>
      <c r="K1001" s="1033"/>
      <c r="L1001" s="1033"/>
      <c r="M1001" s="1287"/>
      <c r="N1001" s="1066"/>
      <c r="O1001" s="1063"/>
      <c r="P1001" s="1063"/>
      <c r="Q1001" s="1063"/>
      <c r="R1001" s="1069"/>
      <c r="S1001" s="1093"/>
      <c r="T1001" s="1093"/>
      <c r="U1001" s="1093">
        <f>O1001-T1001</f>
        <v>0</v>
      </c>
      <c r="V1001" s="1063"/>
      <c r="W1001" s="1063"/>
      <c r="X1001" s="1033"/>
      <c r="Y1001" s="108" t="s">
        <v>1528</v>
      </c>
      <c r="Z1001" s="109">
        <v>52739695</v>
      </c>
      <c r="AA1001" s="109">
        <v>0</v>
      </c>
      <c r="AB1001" s="109">
        <f t="shared" ref="AB1001:AB1032" si="74">Z1001+AA1001</f>
        <v>52739695</v>
      </c>
      <c r="AC1001" s="97">
        <v>42180</v>
      </c>
      <c r="AD1001" s="119">
        <v>52739695</v>
      </c>
      <c r="AE1001" s="119" t="s">
        <v>7</v>
      </c>
      <c r="AF1001" s="1044"/>
      <c r="AG1001" s="1044"/>
      <c r="AH1001" s="111">
        <f t="shared" si="73"/>
        <v>0</v>
      </c>
      <c r="AI1001" s="1044"/>
      <c r="AJ1001" s="1063"/>
      <c r="AK1001" s="1063"/>
      <c r="AL1001" s="1063"/>
      <c r="AM1001" s="1063"/>
      <c r="AN1001" s="1109"/>
      <c r="AO1001" s="1104"/>
    </row>
    <row r="1002" spans="1:43" ht="15" customHeight="1">
      <c r="A1002" s="1050"/>
      <c r="B1002" s="1069"/>
      <c r="C1002" s="1033"/>
      <c r="D1002" s="1033"/>
      <c r="E1002" s="1072"/>
      <c r="F1002" s="1072"/>
      <c r="G1002" s="1033"/>
      <c r="H1002" s="1033"/>
      <c r="I1002" s="1033"/>
      <c r="J1002" s="1011" t="s">
        <v>67</v>
      </c>
      <c r="K1002" s="1033"/>
      <c r="L1002" s="1033"/>
      <c r="M1002" s="1286">
        <v>14</v>
      </c>
      <c r="N1002" s="1065" t="s">
        <v>129</v>
      </c>
      <c r="O1002" s="1062">
        <v>256142095</v>
      </c>
      <c r="P1002" s="1062">
        <f>O1002</f>
        <v>256142095</v>
      </c>
      <c r="Q1002" s="1063"/>
      <c r="R1002" s="1068">
        <v>42069</v>
      </c>
      <c r="S1002" s="1092">
        <f>T1002</f>
        <v>256138961</v>
      </c>
      <c r="T1002" s="1092">
        <v>256138961</v>
      </c>
      <c r="U1002" s="1092">
        <f>O1002-T1002</f>
        <v>3134</v>
      </c>
      <c r="V1002" s="1062">
        <v>256142095</v>
      </c>
      <c r="W1002" s="1063"/>
      <c r="X1002" s="1033"/>
      <c r="Y1002" s="108" t="s">
        <v>1529</v>
      </c>
      <c r="Z1002" s="109">
        <v>175800731</v>
      </c>
      <c r="AA1002" s="109">
        <v>0</v>
      </c>
      <c r="AB1002" s="109">
        <f t="shared" si="74"/>
        <v>175800731</v>
      </c>
      <c r="AC1002" s="97">
        <v>42180</v>
      </c>
      <c r="AD1002" s="119">
        <v>175800731</v>
      </c>
      <c r="AE1002" s="119" t="s">
        <v>129</v>
      </c>
      <c r="AF1002" s="1043">
        <f>SUM(AD1002:AD1003)</f>
        <v>256138961</v>
      </c>
      <c r="AG1002" s="1044"/>
      <c r="AH1002" s="111">
        <f t="shared" si="73"/>
        <v>0</v>
      </c>
      <c r="AI1002" s="1043">
        <f>T1002-SUM(AD1002:AD1003)</f>
        <v>0</v>
      </c>
      <c r="AJ1002" s="1063"/>
      <c r="AK1002" s="1062">
        <f>T1002-V1002</f>
        <v>-3134</v>
      </c>
      <c r="AL1002" s="1062">
        <f>V1002-SUM(Z1002:Z1003)</f>
        <v>3134</v>
      </c>
      <c r="AM1002" s="1062">
        <f>AK1002+AL1002</f>
        <v>0</v>
      </c>
      <c r="AN1002" s="1109"/>
      <c r="AO1002" s="1104"/>
    </row>
    <row r="1003" spans="1:43" ht="15" customHeight="1">
      <c r="A1003" s="1016"/>
      <c r="B1003" s="1070"/>
      <c r="C1003" s="1012"/>
      <c r="D1003" s="1012"/>
      <c r="E1003" s="1073"/>
      <c r="F1003" s="1073"/>
      <c r="G1003" s="1012"/>
      <c r="H1003" s="1012"/>
      <c r="I1003" s="1012"/>
      <c r="J1003" s="1012"/>
      <c r="K1003" s="1012"/>
      <c r="L1003" s="1012"/>
      <c r="M1003" s="1288"/>
      <c r="N1003" s="1067"/>
      <c r="O1003" s="1064"/>
      <c r="P1003" s="1064"/>
      <c r="Q1003" s="1064"/>
      <c r="R1003" s="1070"/>
      <c r="S1003" s="1094"/>
      <c r="T1003" s="1094"/>
      <c r="U1003" s="1094"/>
      <c r="V1003" s="1064"/>
      <c r="W1003" s="1064"/>
      <c r="X1003" s="1012"/>
      <c r="Y1003" s="108" t="s">
        <v>1530</v>
      </c>
      <c r="Z1003" s="109">
        <v>80338230</v>
      </c>
      <c r="AA1003" s="109">
        <v>0</v>
      </c>
      <c r="AB1003" s="109">
        <f t="shared" si="74"/>
        <v>80338230</v>
      </c>
      <c r="AC1003" s="97">
        <v>42366</v>
      </c>
      <c r="AD1003" s="119">
        <v>80338230</v>
      </c>
      <c r="AE1003" s="119" t="s">
        <v>129</v>
      </c>
      <c r="AF1003" s="1045"/>
      <c r="AG1003" s="1045"/>
      <c r="AH1003" s="111">
        <f t="shared" si="73"/>
        <v>0</v>
      </c>
      <c r="AI1003" s="1045"/>
      <c r="AJ1003" s="1064"/>
      <c r="AK1003" s="1064"/>
      <c r="AL1003" s="1064"/>
      <c r="AM1003" s="1064"/>
      <c r="AN1003" s="1110"/>
      <c r="AO1003" s="1105"/>
    </row>
    <row r="1004" spans="1:43" ht="15" customHeight="1">
      <c r="A1004" s="1030" t="s">
        <v>1493</v>
      </c>
      <c r="B1004" s="1068">
        <v>41332</v>
      </c>
      <c r="C1004" s="1011" t="s">
        <v>24</v>
      </c>
      <c r="D1004" s="1011" t="s">
        <v>1494</v>
      </c>
      <c r="E1004" s="1071">
        <v>10536855</v>
      </c>
      <c r="F1004" s="1071"/>
      <c r="G1004" s="1011" t="s">
        <v>1495</v>
      </c>
      <c r="H1004" s="1011" t="s">
        <v>71</v>
      </c>
      <c r="I1004" s="1011" t="s">
        <v>1221</v>
      </c>
      <c r="J1004" s="1011" t="s">
        <v>66</v>
      </c>
      <c r="K1004" s="1011" t="s">
        <v>183</v>
      </c>
      <c r="L1004" s="1011" t="s">
        <v>1497</v>
      </c>
      <c r="M1004" s="1286">
        <v>259</v>
      </c>
      <c r="N1004" s="1065" t="s">
        <v>7</v>
      </c>
      <c r="O1004" s="1062">
        <v>163689980</v>
      </c>
      <c r="P1004" s="1062">
        <f>O1004</f>
        <v>163689980</v>
      </c>
      <c r="Q1004" s="1062">
        <f>P1004+P1006</f>
        <v>183326790</v>
      </c>
      <c r="R1004" s="1068">
        <v>41214</v>
      </c>
      <c r="S1004" s="1092">
        <f>T1004</f>
        <v>163689980</v>
      </c>
      <c r="T1004" s="1062">
        <v>163689980</v>
      </c>
      <c r="U1004" s="1062">
        <f>O1004-T1004</f>
        <v>0</v>
      </c>
      <c r="V1004" s="1062">
        <v>161970244</v>
      </c>
      <c r="W1004" s="1062">
        <f>V1004+V1006</f>
        <v>181607054</v>
      </c>
      <c r="X1004" s="1011" t="s">
        <v>1496</v>
      </c>
      <c r="Y1004" s="108" t="s">
        <v>1498</v>
      </c>
      <c r="Z1004" s="109">
        <v>143907842.30000001</v>
      </c>
      <c r="AA1004" s="109">
        <v>0</v>
      </c>
      <c r="AB1004" s="109">
        <f t="shared" si="74"/>
        <v>143907842.30000001</v>
      </c>
      <c r="AC1004" s="97">
        <v>41838</v>
      </c>
      <c r="AD1004" s="119">
        <v>143907842.30000001</v>
      </c>
      <c r="AE1004" s="119" t="s">
        <v>7</v>
      </c>
      <c r="AF1004" s="1043">
        <f>SUM(AD1004:AD1005)</f>
        <v>161970244</v>
      </c>
      <c r="AG1004" s="1043">
        <f>AF1004+AF1006</f>
        <v>181606966.84</v>
      </c>
      <c r="AH1004" s="111">
        <f t="shared" si="73"/>
        <v>0</v>
      </c>
      <c r="AI1004" s="1043">
        <f>O1004-SUM(AD1004:AD1005)</f>
        <v>1719736</v>
      </c>
      <c r="AJ1004" s="1062">
        <f>SUM(Z1004:Z1006)-SUM(AD1004:AD1006)</f>
        <v>0</v>
      </c>
      <c r="AK1004" s="1062">
        <f>P1004-V1004</f>
        <v>1719736</v>
      </c>
      <c r="AL1004" s="1062">
        <f>V1004-SUM(Z1004:Z1005)</f>
        <v>0</v>
      </c>
      <c r="AM1004" s="1062">
        <f>AK1004+AL1004</f>
        <v>1719736</v>
      </c>
      <c r="AN1004" s="1103" t="s">
        <v>606</v>
      </c>
      <c r="AO1004" s="1195" t="s">
        <v>1501</v>
      </c>
    </row>
    <row r="1005" spans="1:43" ht="15" customHeight="1">
      <c r="A1005" s="1031"/>
      <c r="B1005" s="1069"/>
      <c r="C1005" s="1033"/>
      <c r="D1005" s="1033"/>
      <c r="E1005" s="1072"/>
      <c r="F1005" s="1072"/>
      <c r="G1005" s="1033"/>
      <c r="H1005" s="1033"/>
      <c r="I1005" s="1033"/>
      <c r="J1005" s="1012"/>
      <c r="K1005" s="1033"/>
      <c r="L1005" s="1033"/>
      <c r="M1005" s="1288"/>
      <c r="N1005" s="1067"/>
      <c r="O1005" s="1064"/>
      <c r="P1005" s="1064"/>
      <c r="Q1005" s="1063"/>
      <c r="R1005" s="1070"/>
      <c r="S1005" s="1094"/>
      <c r="T1005" s="1064"/>
      <c r="U1005" s="1064"/>
      <c r="V1005" s="1064"/>
      <c r="W1005" s="1063"/>
      <c r="X1005" s="1033"/>
      <c r="Y1005" s="108" t="s">
        <v>1499</v>
      </c>
      <c r="Z1005" s="109">
        <v>18062401.699999999</v>
      </c>
      <c r="AA1005" s="109">
        <v>0</v>
      </c>
      <c r="AB1005" s="109">
        <f t="shared" si="74"/>
        <v>18062401.699999999</v>
      </c>
      <c r="AC1005" s="97">
        <v>42230</v>
      </c>
      <c r="AD1005" s="119">
        <v>18062401.699999999</v>
      </c>
      <c r="AE1005" s="119" t="s">
        <v>7</v>
      </c>
      <c r="AF1005" s="1045"/>
      <c r="AG1005" s="1044"/>
      <c r="AH1005" s="111">
        <f t="shared" si="73"/>
        <v>0</v>
      </c>
      <c r="AI1005" s="1045"/>
      <c r="AJ1005" s="1063"/>
      <c r="AK1005" s="1064"/>
      <c r="AL1005" s="1064"/>
      <c r="AM1005" s="1064"/>
      <c r="AN1005" s="1104"/>
      <c r="AO1005" s="1104"/>
    </row>
    <row r="1006" spans="1:43" ht="15" customHeight="1">
      <c r="A1006" s="1032"/>
      <c r="B1006" s="1070"/>
      <c r="C1006" s="1012"/>
      <c r="D1006" s="1012"/>
      <c r="E1006" s="1073"/>
      <c r="F1006" s="1073"/>
      <c r="G1006" s="1012"/>
      <c r="H1006" s="1012"/>
      <c r="I1006" s="1012"/>
      <c r="J1006" s="113" t="s">
        <v>67</v>
      </c>
      <c r="K1006" s="1012"/>
      <c r="L1006" s="1012"/>
      <c r="M1006" s="132">
        <v>10</v>
      </c>
      <c r="N1006" s="108" t="s">
        <v>147</v>
      </c>
      <c r="O1006" s="109">
        <v>19636810</v>
      </c>
      <c r="P1006" s="109">
        <f>O1006</f>
        <v>19636810</v>
      </c>
      <c r="Q1006" s="1064"/>
      <c r="R1006" s="97">
        <v>42043</v>
      </c>
      <c r="S1006" s="110">
        <f>T1006</f>
        <v>19636810</v>
      </c>
      <c r="T1006" s="109">
        <v>19636810</v>
      </c>
      <c r="U1006" s="109">
        <f>O1006-T1006</f>
        <v>0</v>
      </c>
      <c r="V1006" s="109">
        <v>19636810</v>
      </c>
      <c r="W1006" s="1064"/>
      <c r="X1006" s="1012"/>
      <c r="Y1006" s="108" t="s">
        <v>1500</v>
      </c>
      <c r="Z1006" s="109">
        <v>19636722.84</v>
      </c>
      <c r="AA1006" s="109">
        <v>0</v>
      </c>
      <c r="AB1006" s="109">
        <f t="shared" si="74"/>
        <v>19636722.84</v>
      </c>
      <c r="AC1006" s="97">
        <v>42230</v>
      </c>
      <c r="AD1006" s="119">
        <v>19636722.84</v>
      </c>
      <c r="AE1006" s="119" t="s">
        <v>147</v>
      </c>
      <c r="AF1006" s="111">
        <f>AD1006</f>
        <v>19636722.84</v>
      </c>
      <c r="AG1006" s="1045"/>
      <c r="AH1006" s="111">
        <f t="shared" si="73"/>
        <v>0</v>
      </c>
      <c r="AI1006" s="111">
        <f>O1006-AD1006</f>
        <v>87.160000000149012</v>
      </c>
      <c r="AJ1006" s="1064"/>
      <c r="AK1006" s="109">
        <f>P1006-V1006</f>
        <v>0</v>
      </c>
      <c r="AL1006" s="109">
        <f>V1006-Z1006</f>
        <v>87.160000000149012</v>
      </c>
      <c r="AM1006" s="109">
        <f>AK1006+AL1006</f>
        <v>87.160000000149012</v>
      </c>
      <c r="AN1006" s="1105"/>
      <c r="AO1006" s="1105"/>
    </row>
    <row r="1007" spans="1:43" ht="15" customHeight="1">
      <c r="A1007" s="1015" t="s">
        <v>1502</v>
      </c>
      <c r="B1007" s="1068">
        <v>41332</v>
      </c>
      <c r="C1007" s="1011" t="s">
        <v>45</v>
      </c>
      <c r="D1007" s="1011" t="s">
        <v>1503</v>
      </c>
      <c r="E1007" s="1071">
        <v>900577309</v>
      </c>
      <c r="F1007" s="1071">
        <v>1</v>
      </c>
      <c r="G1007" s="1011" t="s">
        <v>1595</v>
      </c>
      <c r="H1007" s="1011" t="s">
        <v>1504</v>
      </c>
      <c r="I1007" s="1011" t="s">
        <v>1235</v>
      </c>
      <c r="J1007" s="1011" t="s">
        <v>66</v>
      </c>
      <c r="K1007" s="1011" t="s">
        <v>183</v>
      </c>
      <c r="L1007" s="1011" t="s">
        <v>1514</v>
      </c>
      <c r="M1007" s="1286">
        <v>240</v>
      </c>
      <c r="N1007" s="1065" t="s">
        <v>7</v>
      </c>
      <c r="O1007" s="1062">
        <v>418021856</v>
      </c>
      <c r="P1007" s="1062">
        <f>O1007+O1012</f>
        <v>1300852789</v>
      </c>
      <c r="Q1007" s="1062">
        <f>P1007+P1017+P1027+P1032</f>
        <v>3547077145</v>
      </c>
      <c r="R1007" s="1068">
        <v>41080</v>
      </c>
      <c r="S1007" s="1092">
        <f>T1007+T1012</f>
        <v>1300852789</v>
      </c>
      <c r="T1007" s="1092">
        <v>418021856</v>
      </c>
      <c r="U1007" s="1092">
        <f>O1007-T1007</f>
        <v>0</v>
      </c>
      <c r="V1007" s="1062">
        <v>414676670.73000002</v>
      </c>
      <c r="W1007" s="1062">
        <f>V1007+V1012+V1017+V1022+V1027+V1032</f>
        <v>3524109108.9999995</v>
      </c>
      <c r="X1007" s="1011" t="s">
        <v>1505</v>
      </c>
      <c r="Y1007" s="1065" t="s">
        <v>1506</v>
      </c>
      <c r="Z1007" s="109">
        <v>200787608.46000001</v>
      </c>
      <c r="AA1007" s="109">
        <v>0</v>
      </c>
      <c r="AB1007" s="109">
        <f t="shared" si="74"/>
        <v>200787608.46000001</v>
      </c>
      <c r="AC1007" s="1068">
        <v>41572</v>
      </c>
      <c r="AD1007" s="119">
        <v>200787608.46000001</v>
      </c>
      <c r="AE1007" s="119" t="s">
        <v>137</v>
      </c>
      <c r="AF1007" s="1043">
        <f>SUM(AD1007:AD1016)</f>
        <v>1300835161.2600002</v>
      </c>
      <c r="AG1007" s="1043">
        <f>AF1007+AF1017+AF1027+AF1032</f>
        <v>3547038252.0100002</v>
      </c>
      <c r="AH1007" s="111">
        <f t="shared" si="73"/>
        <v>0</v>
      </c>
      <c r="AI1007" s="1043">
        <f>O1007-AD1008-AD1009-AD1011-AD1013-AD1015</f>
        <v>-223255156.90000001</v>
      </c>
      <c r="AJ1007" s="1062">
        <f>SUM(Z1007:Z1034)-SUM(AD1007:AD1034)</f>
        <v>0</v>
      </c>
      <c r="AK1007" s="1062">
        <f>O1007-V1007</f>
        <v>3345185.2699999809</v>
      </c>
      <c r="AL1007" s="1062">
        <f>(V1007+V1012)-SUM(Z1007:Z1016)</f>
        <v>-10392338.930000305</v>
      </c>
      <c r="AM1007" s="1062">
        <f>AK1007+AK1012+AL1007</f>
        <v>17627.739999651909</v>
      </c>
      <c r="AN1007" s="1108" t="s">
        <v>1515</v>
      </c>
      <c r="AO1007" s="1376" t="s">
        <v>1516</v>
      </c>
    </row>
    <row r="1008" spans="1:43" ht="15" customHeight="1">
      <c r="A1008" s="1050"/>
      <c r="B1008" s="1069"/>
      <c r="C1008" s="1033"/>
      <c r="D1008" s="1033"/>
      <c r="E1008" s="1072"/>
      <c r="F1008" s="1072"/>
      <c r="G1008" s="1033"/>
      <c r="H1008" s="1033"/>
      <c r="I1008" s="1033"/>
      <c r="J1008" s="1033"/>
      <c r="K1008" s="1033"/>
      <c r="L1008" s="1033"/>
      <c r="M1008" s="1287"/>
      <c r="N1008" s="1066"/>
      <c r="O1008" s="1063"/>
      <c r="P1008" s="1063"/>
      <c r="Q1008" s="1063"/>
      <c r="R1008" s="1069"/>
      <c r="S1008" s="1093"/>
      <c r="T1008" s="1093"/>
      <c r="U1008" s="1093"/>
      <c r="V1008" s="1063"/>
      <c r="W1008" s="1063"/>
      <c r="X1008" s="1033"/>
      <c r="Y1008" s="1067"/>
      <c r="Z1008" s="109">
        <v>424048429.94</v>
      </c>
      <c r="AA1008" s="109">
        <v>0</v>
      </c>
      <c r="AB1008" s="109">
        <f t="shared" si="74"/>
        <v>424048429.94</v>
      </c>
      <c r="AC1008" s="1070"/>
      <c r="AD1008" s="119">
        <v>424048429.94</v>
      </c>
      <c r="AE1008" s="119" t="s">
        <v>7</v>
      </c>
      <c r="AF1008" s="1044"/>
      <c r="AG1008" s="1044"/>
      <c r="AH1008" s="111">
        <f t="shared" si="73"/>
        <v>0</v>
      </c>
      <c r="AI1008" s="1044"/>
      <c r="AJ1008" s="1063"/>
      <c r="AK1008" s="1063"/>
      <c r="AL1008" s="1063"/>
      <c r="AM1008" s="1063"/>
      <c r="AN1008" s="1109"/>
      <c r="AO1008" s="1358"/>
    </row>
    <row r="1009" spans="1:41" ht="15" customHeight="1">
      <c r="A1009" s="1050"/>
      <c r="B1009" s="1069"/>
      <c r="C1009" s="1033"/>
      <c r="D1009" s="1033"/>
      <c r="E1009" s="1072"/>
      <c r="F1009" s="1072"/>
      <c r="G1009" s="1033"/>
      <c r="H1009" s="1033"/>
      <c r="I1009" s="1033"/>
      <c r="J1009" s="1033"/>
      <c r="K1009" s="1033"/>
      <c r="L1009" s="1033"/>
      <c r="M1009" s="1287"/>
      <c r="N1009" s="1066"/>
      <c r="O1009" s="1063"/>
      <c r="P1009" s="1063"/>
      <c r="Q1009" s="1063"/>
      <c r="R1009" s="1069"/>
      <c r="S1009" s="1093"/>
      <c r="T1009" s="1093"/>
      <c r="U1009" s="1093"/>
      <c r="V1009" s="1063"/>
      <c r="W1009" s="1063"/>
      <c r="X1009" s="1033"/>
      <c r="Y1009" s="1065" t="s">
        <v>1507</v>
      </c>
      <c r="Z1009" s="109">
        <v>129988610</v>
      </c>
      <c r="AA1009" s="109">
        <v>0</v>
      </c>
      <c r="AB1009" s="109">
        <f t="shared" si="74"/>
        <v>129988610</v>
      </c>
      <c r="AC1009" s="1068">
        <v>41771</v>
      </c>
      <c r="AD1009" s="119">
        <v>129988610</v>
      </c>
      <c r="AE1009" s="119" t="s">
        <v>7</v>
      </c>
      <c r="AF1009" s="1044"/>
      <c r="AG1009" s="1044"/>
      <c r="AH1009" s="111">
        <f t="shared" si="73"/>
        <v>0</v>
      </c>
      <c r="AI1009" s="1044"/>
      <c r="AJ1009" s="1063"/>
      <c r="AK1009" s="1063"/>
      <c r="AL1009" s="1063"/>
      <c r="AM1009" s="1063"/>
      <c r="AN1009" s="1109"/>
      <c r="AO1009" s="1358"/>
    </row>
    <row r="1010" spans="1:41" ht="15" customHeight="1">
      <c r="A1010" s="1050"/>
      <c r="B1010" s="1069"/>
      <c r="C1010" s="1033"/>
      <c r="D1010" s="1033"/>
      <c r="E1010" s="1072"/>
      <c r="F1010" s="1072"/>
      <c r="G1010" s="1033"/>
      <c r="H1010" s="1033"/>
      <c r="I1010" s="1033"/>
      <c r="J1010" s="1033"/>
      <c r="K1010" s="1033"/>
      <c r="L1010" s="1033"/>
      <c r="M1010" s="1287"/>
      <c r="N1010" s="1066"/>
      <c r="O1010" s="1063"/>
      <c r="P1010" s="1063"/>
      <c r="Q1010" s="1063"/>
      <c r="R1010" s="1069"/>
      <c r="S1010" s="1093"/>
      <c r="T1010" s="1093"/>
      <c r="U1010" s="1093"/>
      <c r="V1010" s="1063"/>
      <c r="W1010" s="1063"/>
      <c r="X1010" s="1033"/>
      <c r="Y1010" s="1067"/>
      <c r="Z1010" s="109">
        <v>274526233</v>
      </c>
      <c r="AA1010" s="109">
        <v>0</v>
      </c>
      <c r="AB1010" s="109">
        <f t="shared" si="74"/>
        <v>274526233</v>
      </c>
      <c r="AC1010" s="1070"/>
      <c r="AD1010" s="119">
        <v>274526233</v>
      </c>
      <c r="AE1010" s="119" t="s">
        <v>137</v>
      </c>
      <c r="AF1010" s="1044"/>
      <c r="AG1010" s="1044"/>
      <c r="AH1010" s="111">
        <f t="shared" si="73"/>
        <v>0</v>
      </c>
      <c r="AI1010" s="1044"/>
      <c r="AJ1010" s="1063"/>
      <c r="AK1010" s="1063"/>
      <c r="AL1010" s="1063"/>
      <c r="AM1010" s="1063"/>
      <c r="AN1010" s="1109"/>
      <c r="AO1010" s="1358"/>
    </row>
    <row r="1011" spans="1:41" ht="15" customHeight="1">
      <c r="A1011" s="1050"/>
      <c r="B1011" s="1069"/>
      <c r="C1011" s="1033"/>
      <c r="D1011" s="1033"/>
      <c r="E1011" s="1072"/>
      <c r="F1011" s="1072"/>
      <c r="G1011" s="1033"/>
      <c r="H1011" s="1033"/>
      <c r="I1011" s="1033"/>
      <c r="J1011" s="1033"/>
      <c r="K1011" s="1033"/>
      <c r="L1011" s="1033"/>
      <c r="M1011" s="1287"/>
      <c r="N1011" s="1067"/>
      <c r="O1011" s="1064"/>
      <c r="P1011" s="1063"/>
      <c r="Q1011" s="1063"/>
      <c r="R1011" s="1069"/>
      <c r="S1011" s="1093"/>
      <c r="T1011" s="1094"/>
      <c r="U1011" s="1094"/>
      <c r="V1011" s="1064"/>
      <c r="W1011" s="1063"/>
      <c r="X1011" s="1033"/>
      <c r="Y1011" s="1065" t="s">
        <v>1508</v>
      </c>
      <c r="Z1011" s="109">
        <v>34429930.609999999</v>
      </c>
      <c r="AA1011" s="109">
        <v>0</v>
      </c>
      <c r="AB1011" s="109">
        <f t="shared" si="74"/>
        <v>34429930.609999999</v>
      </c>
      <c r="AC1011" s="1068">
        <v>41985</v>
      </c>
      <c r="AD1011" s="119">
        <v>34429930.609999999</v>
      </c>
      <c r="AE1011" s="119" t="s">
        <v>7</v>
      </c>
      <c r="AF1011" s="1044"/>
      <c r="AG1011" s="1044"/>
      <c r="AH1011" s="111">
        <f t="shared" si="73"/>
        <v>0</v>
      </c>
      <c r="AI1011" s="1045"/>
      <c r="AJ1011" s="1063"/>
      <c r="AK1011" s="1064"/>
      <c r="AL1011" s="1063"/>
      <c r="AM1011" s="1063"/>
      <c r="AN1011" s="1109"/>
      <c r="AO1011" s="1358"/>
    </row>
    <row r="1012" spans="1:41" ht="15" customHeight="1">
      <c r="A1012" s="1050"/>
      <c r="B1012" s="1069"/>
      <c r="C1012" s="1033"/>
      <c r="D1012" s="1033"/>
      <c r="E1012" s="1072"/>
      <c r="F1012" s="1072"/>
      <c r="G1012" s="1033"/>
      <c r="H1012" s="1033"/>
      <c r="I1012" s="1033"/>
      <c r="J1012" s="1033"/>
      <c r="K1012" s="1033"/>
      <c r="L1012" s="1033"/>
      <c r="M1012" s="1287"/>
      <c r="N1012" s="1065" t="s">
        <v>137</v>
      </c>
      <c r="O1012" s="1062">
        <v>882830933</v>
      </c>
      <c r="P1012" s="1063"/>
      <c r="Q1012" s="1063"/>
      <c r="R1012" s="1069"/>
      <c r="S1012" s="1093"/>
      <c r="T1012" s="1092">
        <v>882830933</v>
      </c>
      <c r="U1012" s="1092">
        <f>O1012-T1012</f>
        <v>0</v>
      </c>
      <c r="V1012" s="1062">
        <v>875766151.60000002</v>
      </c>
      <c r="W1012" s="1063"/>
      <c r="X1012" s="1033"/>
      <c r="Y1012" s="1067"/>
      <c r="Z1012" s="109">
        <v>72713441.469999999</v>
      </c>
      <c r="AA1012" s="109">
        <v>0</v>
      </c>
      <c r="AB1012" s="109">
        <f t="shared" si="74"/>
        <v>72713441.469999999</v>
      </c>
      <c r="AC1012" s="1070"/>
      <c r="AD1012" s="119">
        <v>72713441.469999999</v>
      </c>
      <c r="AE1012" s="119" t="s">
        <v>137</v>
      </c>
      <c r="AF1012" s="1044"/>
      <c r="AG1012" s="1044"/>
      <c r="AH1012" s="111">
        <f t="shared" si="73"/>
        <v>0</v>
      </c>
      <c r="AI1012" s="1043">
        <f>O1012-AD1007-AD1010-AD1012-AD1014-AD1016</f>
        <v>223272784.63999996</v>
      </c>
      <c r="AJ1012" s="1063"/>
      <c r="AK1012" s="1062">
        <f>O1012-V1012</f>
        <v>7064781.3999999762</v>
      </c>
      <c r="AL1012" s="1063"/>
      <c r="AM1012" s="1063"/>
      <c r="AN1012" s="1109"/>
      <c r="AO1012" s="1358"/>
    </row>
    <row r="1013" spans="1:41" ht="15" customHeight="1">
      <c r="A1013" s="1050"/>
      <c r="B1013" s="1069"/>
      <c r="C1013" s="1033"/>
      <c r="D1013" s="1033"/>
      <c r="E1013" s="1072"/>
      <c r="F1013" s="1072"/>
      <c r="G1013" s="1033"/>
      <c r="H1013" s="1033"/>
      <c r="I1013" s="1033"/>
      <c r="J1013" s="1033"/>
      <c r="K1013" s="1033"/>
      <c r="L1013" s="1033"/>
      <c r="M1013" s="1287"/>
      <c r="N1013" s="1066"/>
      <c r="O1013" s="1063"/>
      <c r="P1013" s="1063"/>
      <c r="Q1013" s="1063"/>
      <c r="R1013" s="1069"/>
      <c r="S1013" s="1093"/>
      <c r="T1013" s="1093"/>
      <c r="U1013" s="1093"/>
      <c r="V1013" s="1063"/>
      <c r="W1013" s="1063"/>
      <c r="X1013" s="1033"/>
      <c r="Y1013" s="1065" t="s">
        <v>1511</v>
      </c>
      <c r="Z1013" s="109">
        <v>49470521.659999996</v>
      </c>
      <c r="AA1013" s="109">
        <v>0</v>
      </c>
      <c r="AB1013" s="109">
        <f t="shared" si="74"/>
        <v>49470521.659999996</v>
      </c>
      <c r="AC1013" s="1068">
        <v>42178</v>
      </c>
      <c r="AD1013" s="119">
        <v>49470521.659999996</v>
      </c>
      <c r="AE1013" s="119" t="s">
        <v>7</v>
      </c>
      <c r="AF1013" s="1044"/>
      <c r="AG1013" s="1044"/>
      <c r="AH1013" s="111">
        <f t="shared" si="73"/>
        <v>0</v>
      </c>
      <c r="AI1013" s="1044"/>
      <c r="AJ1013" s="1063"/>
      <c r="AK1013" s="1063"/>
      <c r="AL1013" s="1063"/>
      <c r="AM1013" s="1063"/>
      <c r="AN1013" s="1109"/>
      <c r="AO1013" s="1358"/>
    </row>
    <row r="1014" spans="1:41" ht="15" customHeight="1">
      <c r="A1014" s="1050"/>
      <c r="B1014" s="1069"/>
      <c r="C1014" s="1033"/>
      <c r="D1014" s="1033"/>
      <c r="E1014" s="1072"/>
      <c r="F1014" s="1072"/>
      <c r="G1014" s="1033"/>
      <c r="H1014" s="1033"/>
      <c r="I1014" s="1033"/>
      <c r="J1014" s="1033"/>
      <c r="K1014" s="1033"/>
      <c r="L1014" s="1033"/>
      <c r="M1014" s="1287"/>
      <c r="N1014" s="1066"/>
      <c r="O1014" s="1063"/>
      <c r="P1014" s="1063"/>
      <c r="Q1014" s="1063"/>
      <c r="R1014" s="1069"/>
      <c r="S1014" s="1093"/>
      <c r="T1014" s="1093"/>
      <c r="U1014" s="1093"/>
      <c r="V1014" s="1063"/>
      <c r="W1014" s="1063"/>
      <c r="X1014" s="1033"/>
      <c r="Y1014" s="1067"/>
      <c r="Z1014" s="109">
        <v>104478047.2</v>
      </c>
      <c r="AA1014" s="109">
        <v>0</v>
      </c>
      <c r="AB1014" s="109">
        <f t="shared" si="74"/>
        <v>104478047.2</v>
      </c>
      <c r="AC1014" s="1070"/>
      <c r="AD1014" s="119">
        <v>104478047.2</v>
      </c>
      <c r="AE1014" s="119" t="s">
        <v>137</v>
      </c>
      <c r="AF1014" s="1044"/>
      <c r="AG1014" s="1044"/>
      <c r="AH1014" s="111">
        <f t="shared" si="73"/>
        <v>0</v>
      </c>
      <c r="AI1014" s="1044"/>
      <c r="AJ1014" s="1063"/>
      <c r="AK1014" s="1063"/>
      <c r="AL1014" s="1063"/>
      <c r="AM1014" s="1063"/>
      <c r="AN1014" s="1109"/>
      <c r="AO1014" s="1358"/>
    </row>
    <row r="1015" spans="1:41" ht="15" customHeight="1">
      <c r="A1015" s="1050"/>
      <c r="B1015" s="1069"/>
      <c r="C1015" s="1033"/>
      <c r="D1015" s="1033"/>
      <c r="E1015" s="1072"/>
      <c r="F1015" s="1072"/>
      <c r="G1015" s="1033"/>
      <c r="H1015" s="1033"/>
      <c r="I1015" s="1033"/>
      <c r="J1015" s="1033"/>
      <c r="K1015" s="1033"/>
      <c r="L1015" s="1033"/>
      <c r="M1015" s="1287"/>
      <c r="N1015" s="1066"/>
      <c r="O1015" s="1063"/>
      <c r="P1015" s="1063"/>
      <c r="Q1015" s="1063"/>
      <c r="R1015" s="1069"/>
      <c r="S1015" s="1093"/>
      <c r="T1015" s="1093"/>
      <c r="U1015" s="1093"/>
      <c r="V1015" s="1063"/>
      <c r="W1015" s="1063"/>
      <c r="X1015" s="1033"/>
      <c r="Y1015" s="1065" t="s">
        <v>1513</v>
      </c>
      <c r="Z1015" s="109">
        <v>3339520.69</v>
      </c>
      <c r="AA1015" s="109">
        <v>0</v>
      </c>
      <c r="AB1015" s="109">
        <f t="shared" si="74"/>
        <v>3339520.69</v>
      </c>
      <c r="AC1015" s="1068">
        <v>42542</v>
      </c>
      <c r="AD1015" s="119">
        <v>3339520.69</v>
      </c>
      <c r="AE1015" s="119" t="s">
        <v>7</v>
      </c>
      <c r="AF1015" s="1044"/>
      <c r="AG1015" s="1044"/>
      <c r="AH1015" s="111">
        <f t="shared" si="73"/>
        <v>0</v>
      </c>
      <c r="AI1015" s="1044"/>
      <c r="AJ1015" s="1063"/>
      <c r="AK1015" s="1063"/>
      <c r="AL1015" s="1063"/>
      <c r="AM1015" s="1063"/>
      <c r="AN1015" s="1109"/>
      <c r="AO1015" s="1358"/>
    </row>
    <row r="1016" spans="1:41" ht="15" customHeight="1">
      <c r="A1016" s="1050"/>
      <c r="B1016" s="1069"/>
      <c r="C1016" s="1033"/>
      <c r="D1016" s="1033"/>
      <c r="E1016" s="1072"/>
      <c r="F1016" s="1072"/>
      <c r="G1016" s="1033"/>
      <c r="H1016" s="1033"/>
      <c r="I1016" s="1033"/>
      <c r="J1016" s="1033"/>
      <c r="K1016" s="1033"/>
      <c r="L1016" s="1033"/>
      <c r="M1016" s="1288"/>
      <c r="N1016" s="1067"/>
      <c r="O1016" s="1064"/>
      <c r="P1016" s="1064"/>
      <c r="Q1016" s="1063"/>
      <c r="R1016" s="1070"/>
      <c r="S1016" s="1094"/>
      <c r="T1016" s="1094"/>
      <c r="U1016" s="1094"/>
      <c r="V1016" s="1064"/>
      <c r="W1016" s="1063"/>
      <c r="X1016" s="1033"/>
      <c r="Y1016" s="1067"/>
      <c r="Z1016" s="109">
        <v>7052818.2300000004</v>
      </c>
      <c r="AA1016" s="109">
        <v>0</v>
      </c>
      <c r="AB1016" s="109">
        <f t="shared" si="74"/>
        <v>7052818.2300000004</v>
      </c>
      <c r="AC1016" s="1070"/>
      <c r="AD1016" s="119">
        <v>7052818.2300000004</v>
      </c>
      <c r="AE1016" s="119" t="s">
        <v>137</v>
      </c>
      <c r="AF1016" s="1045"/>
      <c r="AG1016" s="1044"/>
      <c r="AH1016" s="111">
        <f t="shared" si="73"/>
        <v>0</v>
      </c>
      <c r="AI1016" s="1045"/>
      <c r="AJ1016" s="1063"/>
      <c r="AK1016" s="1064"/>
      <c r="AL1016" s="1064"/>
      <c r="AM1016" s="1064"/>
      <c r="AN1016" s="1109"/>
      <c r="AO1016" s="1358"/>
    </row>
    <row r="1017" spans="1:41" ht="15" customHeight="1">
      <c r="A1017" s="1050"/>
      <c r="B1017" s="1069"/>
      <c r="C1017" s="1033"/>
      <c r="D1017" s="1033"/>
      <c r="E1017" s="1072"/>
      <c r="F1017" s="1072"/>
      <c r="G1017" s="1033"/>
      <c r="H1017" s="1033"/>
      <c r="I1017" s="1033"/>
      <c r="J1017" s="1033"/>
      <c r="K1017" s="1033"/>
      <c r="L1017" s="1033"/>
      <c r="M1017" s="1286">
        <v>239</v>
      </c>
      <c r="N1017" s="1065" t="s">
        <v>137</v>
      </c>
      <c r="O1017" s="1062">
        <v>584557085</v>
      </c>
      <c r="P1017" s="1062">
        <f>O1017+O1022</f>
        <v>1420131406</v>
      </c>
      <c r="Q1017" s="1063"/>
      <c r="R1017" s="1068">
        <v>41080</v>
      </c>
      <c r="S1017" s="1092">
        <f>T1017+T1022</f>
        <v>1420131406</v>
      </c>
      <c r="T1017" s="1092">
        <v>584557085</v>
      </c>
      <c r="U1017" s="1092">
        <f>O1017-T1017</f>
        <v>0</v>
      </c>
      <c r="V1017" s="1062">
        <v>579879215.35000002</v>
      </c>
      <c r="W1017" s="1063"/>
      <c r="X1017" s="1033"/>
      <c r="Y1017" s="1065" t="s">
        <v>1506</v>
      </c>
      <c r="Z1017" s="109">
        <v>280779144.49000001</v>
      </c>
      <c r="AA1017" s="109">
        <v>0</v>
      </c>
      <c r="AB1017" s="109">
        <f t="shared" si="74"/>
        <v>280779144.49000001</v>
      </c>
      <c r="AC1017" s="1068">
        <v>41572</v>
      </c>
      <c r="AD1017" s="119">
        <v>280779144.49000001</v>
      </c>
      <c r="AE1017" s="119" t="s">
        <v>137</v>
      </c>
      <c r="AF1017" s="1043">
        <f>SUM(AD1017:AD1026)</f>
        <v>1420112161.9099998</v>
      </c>
      <c r="AG1017" s="1044"/>
      <c r="AH1017" s="111">
        <f t="shared" si="73"/>
        <v>0</v>
      </c>
      <c r="AI1017" s="1043">
        <f>O1017-AD1017-AD1019-AD1021-AD1023-AD1025</f>
        <v>7921.289999990724</v>
      </c>
      <c r="AJ1017" s="1063"/>
      <c r="AK1017" s="1062">
        <f>O1017-V1017</f>
        <v>4677869.6499999762</v>
      </c>
      <c r="AL1017" s="1062">
        <f>(V1017+V1022)-SUM(Z1017:Z1026)</f>
        <v>-11345239.839999676</v>
      </c>
      <c r="AM1017" s="1062">
        <f>AK1017+AK1022+AL1017</f>
        <v>19244.090000271797</v>
      </c>
      <c r="AN1017" s="1109"/>
      <c r="AO1017" s="1358"/>
    </row>
    <row r="1018" spans="1:41" ht="15" customHeight="1">
      <c r="A1018" s="1050"/>
      <c r="B1018" s="1069"/>
      <c r="C1018" s="1033"/>
      <c r="D1018" s="1033"/>
      <c r="E1018" s="1072"/>
      <c r="F1018" s="1072"/>
      <c r="G1018" s="1033"/>
      <c r="H1018" s="1033"/>
      <c r="I1018" s="1033"/>
      <c r="J1018" s="1033"/>
      <c r="K1018" s="1033"/>
      <c r="L1018" s="1033"/>
      <c r="M1018" s="1287"/>
      <c r="N1018" s="1066"/>
      <c r="O1018" s="1063"/>
      <c r="P1018" s="1063"/>
      <c r="Q1018" s="1063"/>
      <c r="R1018" s="1069"/>
      <c r="S1018" s="1093"/>
      <c r="T1018" s="1093"/>
      <c r="U1018" s="1093"/>
      <c r="V1018" s="1063"/>
      <c r="W1018" s="1063"/>
      <c r="X1018" s="1033"/>
      <c r="Y1018" s="1067"/>
      <c r="Z1018" s="109">
        <v>401349755.27999997</v>
      </c>
      <c r="AA1018" s="109">
        <v>0</v>
      </c>
      <c r="AB1018" s="109">
        <f t="shared" si="74"/>
        <v>401349755.27999997</v>
      </c>
      <c r="AC1018" s="1070"/>
      <c r="AD1018" s="119">
        <v>401349755.27999997</v>
      </c>
      <c r="AE1018" s="119" t="s">
        <v>7</v>
      </c>
      <c r="AF1018" s="1044"/>
      <c r="AG1018" s="1044"/>
      <c r="AH1018" s="111">
        <f t="shared" si="73"/>
        <v>0</v>
      </c>
      <c r="AI1018" s="1044"/>
      <c r="AJ1018" s="1063"/>
      <c r="AK1018" s="1063"/>
      <c r="AL1018" s="1063"/>
      <c r="AM1018" s="1063"/>
      <c r="AN1018" s="1109"/>
      <c r="AO1018" s="1358"/>
    </row>
    <row r="1019" spans="1:41" ht="15" customHeight="1">
      <c r="A1019" s="1050"/>
      <c r="B1019" s="1069"/>
      <c r="C1019" s="1033"/>
      <c r="D1019" s="1033"/>
      <c r="E1019" s="1072"/>
      <c r="F1019" s="1072"/>
      <c r="G1019" s="1033"/>
      <c r="H1019" s="1033"/>
      <c r="I1019" s="1033"/>
      <c r="J1019" s="1033"/>
      <c r="K1019" s="1033"/>
      <c r="L1019" s="1033"/>
      <c r="M1019" s="1287"/>
      <c r="N1019" s="1066"/>
      <c r="O1019" s="1063"/>
      <c r="P1019" s="1063"/>
      <c r="Q1019" s="1063"/>
      <c r="R1019" s="1069"/>
      <c r="S1019" s="1093"/>
      <c r="T1019" s="1093"/>
      <c r="U1019" s="1093"/>
      <c r="V1019" s="1063"/>
      <c r="W1019" s="1063"/>
      <c r="X1019" s="1033"/>
      <c r="Y1019" s="1065" t="s">
        <v>1507</v>
      </c>
      <c r="Z1019" s="109">
        <v>181774616.97999999</v>
      </c>
      <c r="AA1019" s="109">
        <v>0</v>
      </c>
      <c r="AB1019" s="109">
        <f t="shared" si="74"/>
        <v>181774616.97999999</v>
      </c>
      <c r="AC1019" s="1068">
        <v>41771</v>
      </c>
      <c r="AD1019" s="119">
        <v>181774616.97999999</v>
      </c>
      <c r="AE1019" s="119" t="s">
        <v>137</v>
      </c>
      <c r="AF1019" s="1044"/>
      <c r="AG1019" s="1044"/>
      <c r="AH1019" s="111">
        <f t="shared" si="73"/>
        <v>0</v>
      </c>
      <c r="AI1019" s="1044"/>
      <c r="AJ1019" s="1063"/>
      <c r="AK1019" s="1063"/>
      <c r="AL1019" s="1063"/>
      <c r="AM1019" s="1063"/>
      <c r="AN1019" s="1109"/>
      <c r="AO1019" s="1358"/>
    </row>
    <row r="1020" spans="1:41" ht="15" customHeight="1">
      <c r="A1020" s="1050"/>
      <c r="B1020" s="1069"/>
      <c r="C1020" s="1033"/>
      <c r="D1020" s="1033"/>
      <c r="E1020" s="1072"/>
      <c r="F1020" s="1072"/>
      <c r="G1020" s="1033"/>
      <c r="H1020" s="1033"/>
      <c r="I1020" s="1033"/>
      <c r="J1020" s="1033"/>
      <c r="K1020" s="1033"/>
      <c r="L1020" s="1033"/>
      <c r="M1020" s="1287"/>
      <c r="N1020" s="1066"/>
      <c r="O1020" s="1063"/>
      <c r="P1020" s="1063"/>
      <c r="Q1020" s="1063"/>
      <c r="R1020" s="1069"/>
      <c r="S1020" s="1093"/>
      <c r="T1020" s="1093"/>
      <c r="U1020" s="1093"/>
      <c r="V1020" s="1063"/>
      <c r="W1020" s="1063"/>
      <c r="X1020" s="1033"/>
      <c r="Y1020" s="1067"/>
      <c r="Z1020" s="109">
        <v>259831256.94999999</v>
      </c>
      <c r="AA1020" s="109">
        <v>0</v>
      </c>
      <c r="AB1020" s="109">
        <f t="shared" si="74"/>
        <v>259831256.94999999</v>
      </c>
      <c r="AC1020" s="1070"/>
      <c r="AD1020" s="119">
        <v>259831256.94999999</v>
      </c>
      <c r="AE1020" s="119" t="s">
        <v>7</v>
      </c>
      <c r="AF1020" s="1044"/>
      <c r="AG1020" s="1044"/>
      <c r="AH1020" s="111">
        <f t="shared" si="73"/>
        <v>0</v>
      </c>
      <c r="AI1020" s="1044"/>
      <c r="AJ1020" s="1063"/>
      <c r="AK1020" s="1063"/>
      <c r="AL1020" s="1063"/>
      <c r="AM1020" s="1063"/>
      <c r="AN1020" s="1109"/>
      <c r="AO1020" s="1358"/>
    </row>
    <row r="1021" spans="1:41" ht="15" customHeight="1">
      <c r="A1021" s="1050"/>
      <c r="B1021" s="1069"/>
      <c r="C1021" s="1033"/>
      <c r="D1021" s="1033"/>
      <c r="E1021" s="1072"/>
      <c r="F1021" s="1072"/>
      <c r="G1021" s="1033"/>
      <c r="H1021" s="1033"/>
      <c r="I1021" s="1033"/>
      <c r="J1021" s="1033"/>
      <c r="K1021" s="1033"/>
      <c r="L1021" s="1033"/>
      <c r="M1021" s="1287"/>
      <c r="N1021" s="1066"/>
      <c r="O1021" s="1063"/>
      <c r="P1021" s="1063"/>
      <c r="Q1021" s="1063"/>
      <c r="R1021" s="1069"/>
      <c r="S1021" s="1093"/>
      <c r="T1021" s="1094"/>
      <c r="U1021" s="1094"/>
      <c r="V1021" s="1064"/>
      <c r="W1021" s="1063"/>
      <c r="X1021" s="1033"/>
      <c r="Y1021" s="1065" t="s">
        <v>1508</v>
      </c>
      <c r="Z1021" s="109">
        <v>48146429.619999997</v>
      </c>
      <c r="AA1021" s="109">
        <v>0</v>
      </c>
      <c r="AB1021" s="109">
        <f t="shared" si="74"/>
        <v>48146429.619999997</v>
      </c>
      <c r="AC1021" s="1068">
        <v>41985</v>
      </c>
      <c r="AD1021" s="119">
        <v>48146429.619999997</v>
      </c>
      <c r="AE1021" s="119" t="s">
        <v>137</v>
      </c>
      <c r="AF1021" s="1044"/>
      <c r="AG1021" s="1044"/>
      <c r="AH1021" s="111">
        <f t="shared" si="73"/>
        <v>0</v>
      </c>
      <c r="AI1021" s="1045"/>
      <c r="AJ1021" s="1063"/>
      <c r="AK1021" s="1064"/>
      <c r="AL1021" s="1063"/>
      <c r="AM1021" s="1063"/>
      <c r="AN1021" s="1109"/>
      <c r="AO1021" s="1358"/>
    </row>
    <row r="1022" spans="1:41" ht="15" customHeight="1">
      <c r="A1022" s="1050"/>
      <c r="B1022" s="1069"/>
      <c r="C1022" s="1033"/>
      <c r="D1022" s="1033"/>
      <c r="E1022" s="1072"/>
      <c r="F1022" s="1072"/>
      <c r="G1022" s="1033"/>
      <c r="H1022" s="1033"/>
      <c r="I1022" s="1033"/>
      <c r="J1022" s="1033"/>
      <c r="K1022" s="1033"/>
      <c r="L1022" s="1033"/>
      <c r="M1022" s="1287"/>
      <c r="N1022" s="1065" t="s">
        <v>7</v>
      </c>
      <c r="O1022" s="1062">
        <v>835574321</v>
      </c>
      <c r="P1022" s="1063"/>
      <c r="Q1022" s="1063"/>
      <c r="R1022" s="1069"/>
      <c r="S1022" s="1093"/>
      <c r="T1022" s="1092">
        <v>835574321</v>
      </c>
      <c r="U1022" s="1092">
        <f>O1022-T1022</f>
        <v>0</v>
      </c>
      <c r="V1022" s="1062">
        <v>828887706.72000003</v>
      </c>
      <c r="W1022" s="1063"/>
      <c r="X1022" s="1033"/>
      <c r="Y1022" s="1067"/>
      <c r="Z1022" s="109">
        <v>68821200.319999993</v>
      </c>
      <c r="AA1022" s="109">
        <v>0</v>
      </c>
      <c r="AB1022" s="109">
        <f t="shared" si="74"/>
        <v>68821200.319999993</v>
      </c>
      <c r="AC1022" s="1070"/>
      <c r="AD1022" s="119">
        <v>68821200.319999993</v>
      </c>
      <c r="AE1022" s="119" t="s">
        <v>7</v>
      </c>
      <c r="AF1022" s="1044"/>
      <c r="AG1022" s="1044"/>
      <c r="AH1022" s="111">
        <f t="shared" si="73"/>
        <v>0</v>
      </c>
      <c r="AI1022" s="1043">
        <f>O1022-AD1018-AD1020-AD1022-AD1024-AD1026</f>
        <v>11322.800000045449</v>
      </c>
      <c r="AJ1022" s="1063"/>
      <c r="AK1022" s="1062">
        <f>O1022-V1022</f>
        <v>6686614.2799999714</v>
      </c>
      <c r="AL1022" s="1063"/>
      <c r="AM1022" s="1063"/>
      <c r="AN1022" s="1109"/>
      <c r="AO1022" s="1358"/>
    </row>
    <row r="1023" spans="1:41" ht="15" customHeight="1">
      <c r="A1023" s="1050"/>
      <c r="B1023" s="1069"/>
      <c r="C1023" s="1033"/>
      <c r="D1023" s="1033"/>
      <c r="E1023" s="1072"/>
      <c r="F1023" s="1072"/>
      <c r="G1023" s="1033"/>
      <c r="H1023" s="1033"/>
      <c r="I1023" s="1033"/>
      <c r="J1023" s="1033"/>
      <c r="K1023" s="1033"/>
      <c r="L1023" s="1033"/>
      <c r="M1023" s="1287"/>
      <c r="N1023" s="1066"/>
      <c r="O1023" s="1063"/>
      <c r="P1023" s="1063"/>
      <c r="Q1023" s="1063"/>
      <c r="R1023" s="1069"/>
      <c r="S1023" s="1093"/>
      <c r="T1023" s="1093"/>
      <c r="U1023" s="1093"/>
      <c r="V1023" s="1063"/>
      <c r="W1023" s="1063"/>
      <c r="X1023" s="1033"/>
      <c r="Y1023" s="1065" t="s">
        <v>1510</v>
      </c>
      <c r="Z1023" s="109">
        <v>69179024.260000005</v>
      </c>
      <c r="AA1023" s="109">
        <v>0</v>
      </c>
      <c r="AB1023" s="109">
        <f t="shared" si="74"/>
        <v>69179024.260000005</v>
      </c>
      <c r="AC1023" s="1068">
        <v>42178</v>
      </c>
      <c r="AD1023" s="119">
        <v>69179024.260000005</v>
      </c>
      <c r="AE1023" s="119" t="s">
        <v>137</v>
      </c>
      <c r="AF1023" s="1044"/>
      <c r="AG1023" s="1044"/>
      <c r="AH1023" s="111">
        <f t="shared" si="73"/>
        <v>0</v>
      </c>
      <c r="AI1023" s="1044"/>
      <c r="AJ1023" s="1063"/>
      <c r="AK1023" s="1063"/>
      <c r="AL1023" s="1063"/>
      <c r="AM1023" s="1063"/>
      <c r="AN1023" s="1109"/>
      <c r="AO1023" s="1358"/>
    </row>
    <row r="1024" spans="1:41" ht="15" customHeight="1">
      <c r="A1024" s="1050"/>
      <c r="B1024" s="1069"/>
      <c r="C1024" s="1033"/>
      <c r="D1024" s="1033"/>
      <c r="E1024" s="1072"/>
      <c r="F1024" s="1072"/>
      <c r="G1024" s="1033"/>
      <c r="H1024" s="1033"/>
      <c r="I1024" s="1033"/>
      <c r="J1024" s="1033"/>
      <c r="K1024" s="1033"/>
      <c r="L1024" s="1033"/>
      <c r="M1024" s="1287"/>
      <c r="N1024" s="1066"/>
      <c r="O1024" s="1063"/>
      <c r="P1024" s="1063"/>
      <c r="Q1024" s="1063"/>
      <c r="R1024" s="1069"/>
      <c r="S1024" s="1093"/>
      <c r="T1024" s="1093"/>
      <c r="U1024" s="1093"/>
      <c r="V1024" s="1063"/>
      <c r="W1024" s="1063"/>
      <c r="X1024" s="1033"/>
      <c r="Y1024" s="1067"/>
      <c r="Z1024" s="109">
        <v>98885494.170000002</v>
      </c>
      <c r="AA1024" s="109">
        <v>0</v>
      </c>
      <c r="AB1024" s="109">
        <f t="shared" si="74"/>
        <v>98885494.170000002</v>
      </c>
      <c r="AC1024" s="1070"/>
      <c r="AD1024" s="119">
        <v>98885494.170000002</v>
      </c>
      <c r="AE1024" s="119" t="s">
        <v>7</v>
      </c>
      <c r="AF1024" s="1044"/>
      <c r="AG1024" s="1044"/>
      <c r="AH1024" s="111">
        <f t="shared" si="73"/>
        <v>0</v>
      </c>
      <c r="AI1024" s="1044"/>
      <c r="AJ1024" s="1063"/>
      <c r="AK1024" s="1063"/>
      <c r="AL1024" s="1063"/>
      <c r="AM1024" s="1063"/>
      <c r="AN1024" s="1109"/>
      <c r="AO1024" s="1358"/>
    </row>
    <row r="1025" spans="1:41" ht="15" customHeight="1">
      <c r="A1025" s="1050"/>
      <c r="B1025" s="1069"/>
      <c r="C1025" s="1033"/>
      <c r="D1025" s="1033"/>
      <c r="E1025" s="1072"/>
      <c r="F1025" s="1072"/>
      <c r="G1025" s="1033"/>
      <c r="H1025" s="1033"/>
      <c r="I1025" s="1033"/>
      <c r="J1025" s="1033"/>
      <c r="K1025" s="1033"/>
      <c r="L1025" s="1033"/>
      <c r="M1025" s="1287"/>
      <c r="N1025" s="1066"/>
      <c r="O1025" s="1063"/>
      <c r="P1025" s="1063"/>
      <c r="Q1025" s="1063"/>
      <c r="R1025" s="1069"/>
      <c r="S1025" s="1093"/>
      <c r="T1025" s="1093"/>
      <c r="U1025" s="1093"/>
      <c r="V1025" s="1063"/>
      <c r="W1025" s="1063"/>
      <c r="X1025" s="1033"/>
      <c r="Y1025" s="1065" t="s">
        <v>1513</v>
      </c>
      <c r="Z1025" s="109">
        <v>4669948.3600000003</v>
      </c>
      <c r="AA1025" s="109">
        <v>0</v>
      </c>
      <c r="AB1025" s="109">
        <f t="shared" si="74"/>
        <v>4669948.3600000003</v>
      </c>
      <c r="AC1025" s="1068">
        <v>42542</v>
      </c>
      <c r="AD1025" s="119">
        <v>4669948.3600000003</v>
      </c>
      <c r="AE1025" s="119" t="s">
        <v>137</v>
      </c>
      <c r="AF1025" s="1044"/>
      <c r="AG1025" s="1044"/>
      <c r="AH1025" s="111">
        <f t="shared" si="73"/>
        <v>0</v>
      </c>
      <c r="AI1025" s="1044"/>
      <c r="AJ1025" s="1063"/>
      <c r="AK1025" s="1063"/>
      <c r="AL1025" s="1063"/>
      <c r="AM1025" s="1063"/>
      <c r="AN1025" s="1109"/>
      <c r="AO1025" s="1358"/>
    </row>
    <row r="1026" spans="1:41" ht="15" customHeight="1">
      <c r="A1026" s="1050"/>
      <c r="B1026" s="1069"/>
      <c r="C1026" s="1033"/>
      <c r="D1026" s="1033"/>
      <c r="E1026" s="1072"/>
      <c r="F1026" s="1072"/>
      <c r="G1026" s="1033"/>
      <c r="H1026" s="1033"/>
      <c r="I1026" s="1033"/>
      <c r="J1026" s="1033"/>
      <c r="K1026" s="1033"/>
      <c r="L1026" s="1033"/>
      <c r="M1026" s="1288"/>
      <c r="N1026" s="1067"/>
      <c r="O1026" s="1064"/>
      <c r="P1026" s="1064"/>
      <c r="Q1026" s="1063"/>
      <c r="R1026" s="1070"/>
      <c r="S1026" s="1094"/>
      <c r="T1026" s="1094"/>
      <c r="U1026" s="1094"/>
      <c r="V1026" s="1064"/>
      <c r="W1026" s="1063"/>
      <c r="X1026" s="1033"/>
      <c r="Y1026" s="1067"/>
      <c r="Z1026" s="109">
        <v>6675291.4800000004</v>
      </c>
      <c r="AA1026" s="109">
        <v>0</v>
      </c>
      <c r="AB1026" s="109">
        <f t="shared" si="74"/>
        <v>6675291.4800000004</v>
      </c>
      <c r="AC1026" s="1070"/>
      <c r="AD1026" s="119">
        <v>6675291.4800000004</v>
      </c>
      <c r="AE1026" s="119" t="s">
        <v>7</v>
      </c>
      <c r="AF1026" s="1045"/>
      <c r="AG1026" s="1044"/>
      <c r="AH1026" s="111">
        <f t="shared" si="73"/>
        <v>0</v>
      </c>
      <c r="AI1026" s="1045"/>
      <c r="AJ1026" s="1063"/>
      <c r="AK1026" s="1064"/>
      <c r="AL1026" s="1064"/>
      <c r="AM1026" s="1064"/>
      <c r="AN1026" s="1109"/>
      <c r="AO1026" s="1358"/>
    </row>
    <row r="1027" spans="1:41" ht="15" customHeight="1">
      <c r="A1027" s="1050"/>
      <c r="B1027" s="1069"/>
      <c r="C1027" s="1033"/>
      <c r="D1027" s="1033"/>
      <c r="E1027" s="1072"/>
      <c r="F1027" s="1072"/>
      <c r="G1027" s="1033"/>
      <c r="H1027" s="1033"/>
      <c r="I1027" s="1033"/>
      <c r="J1027" s="1033"/>
      <c r="K1027" s="1033"/>
      <c r="L1027" s="1033"/>
      <c r="M1027" s="1286">
        <v>4</v>
      </c>
      <c r="N1027" s="1065" t="s">
        <v>152</v>
      </c>
      <c r="O1027" s="1062">
        <v>149153109</v>
      </c>
      <c r="P1027" s="1062">
        <f>O1027</f>
        <v>149153109</v>
      </c>
      <c r="Q1027" s="1063"/>
      <c r="R1027" s="1068">
        <v>41080</v>
      </c>
      <c r="S1027" s="1092">
        <f>T1027</f>
        <v>149153109</v>
      </c>
      <c r="T1027" s="1092">
        <v>149153109</v>
      </c>
      <c r="U1027" s="1092">
        <f>O1027-T1027</f>
        <v>0</v>
      </c>
      <c r="V1027" s="1062">
        <v>147959523.59999999</v>
      </c>
      <c r="W1027" s="1063"/>
      <c r="X1027" s="1033"/>
      <c r="Y1027" s="108" t="s">
        <v>1506</v>
      </c>
      <c r="Z1027" s="109">
        <v>71642416.829999998</v>
      </c>
      <c r="AA1027" s="109">
        <v>0</v>
      </c>
      <c r="AB1027" s="109">
        <f t="shared" si="74"/>
        <v>71642416.829999998</v>
      </c>
      <c r="AC1027" s="97">
        <v>41572</v>
      </c>
      <c r="AD1027" s="119">
        <v>71642416.829999998</v>
      </c>
      <c r="AE1027" s="119" t="s">
        <v>152</v>
      </c>
      <c r="AF1027" s="1043">
        <f>SUM(AD1027:AD1031)</f>
        <v>149151087.84000003</v>
      </c>
      <c r="AG1027" s="1044"/>
      <c r="AH1027" s="111">
        <f t="shared" si="73"/>
        <v>0</v>
      </c>
      <c r="AI1027" s="1043">
        <f>S1027-SUM(AD1027:AD1031)</f>
        <v>2021.1599999666214</v>
      </c>
      <c r="AJ1027" s="1063"/>
      <c r="AK1027" s="1062">
        <f>P1027-V1027</f>
        <v>1193585.400000006</v>
      </c>
      <c r="AL1027" s="1062">
        <f>V1027-SUM(Z1027:Z1031)</f>
        <v>-1191564.2400000393</v>
      </c>
      <c r="AM1027" s="1062">
        <f>AK1027+AL1027</f>
        <v>2021.1599999666214</v>
      </c>
      <c r="AN1027" s="1109"/>
      <c r="AO1027" s="1358"/>
    </row>
    <row r="1028" spans="1:41" ht="15" customHeight="1">
      <c r="A1028" s="1050"/>
      <c r="B1028" s="1069"/>
      <c r="C1028" s="1033"/>
      <c r="D1028" s="1033"/>
      <c r="E1028" s="1072"/>
      <c r="F1028" s="1072"/>
      <c r="G1028" s="1033"/>
      <c r="H1028" s="1033"/>
      <c r="I1028" s="1033"/>
      <c r="J1028" s="1033"/>
      <c r="K1028" s="1033"/>
      <c r="L1028" s="1033"/>
      <c r="M1028" s="1287"/>
      <c r="N1028" s="1066"/>
      <c r="O1028" s="1063"/>
      <c r="P1028" s="1063"/>
      <c r="Q1028" s="1063"/>
      <c r="R1028" s="1069"/>
      <c r="S1028" s="1093"/>
      <c r="T1028" s="1093"/>
      <c r="U1028" s="1093"/>
      <c r="V1028" s="1063"/>
      <c r="W1028" s="1063"/>
      <c r="X1028" s="1033"/>
      <c r="Y1028" s="25" t="s">
        <v>1507</v>
      </c>
      <c r="Z1028" s="109">
        <v>46380841.07</v>
      </c>
      <c r="AA1028" s="109">
        <v>0</v>
      </c>
      <c r="AB1028" s="109">
        <f t="shared" si="74"/>
        <v>46380841.07</v>
      </c>
      <c r="AC1028" s="97">
        <v>41771</v>
      </c>
      <c r="AD1028" s="119">
        <v>46380841.07</v>
      </c>
      <c r="AE1028" s="119" t="s">
        <v>152</v>
      </c>
      <c r="AF1028" s="1044"/>
      <c r="AG1028" s="1044"/>
      <c r="AH1028" s="111">
        <f t="shared" si="73"/>
        <v>0</v>
      </c>
      <c r="AI1028" s="1044"/>
      <c r="AJ1028" s="1063"/>
      <c r="AK1028" s="1063"/>
      <c r="AL1028" s="1063"/>
      <c r="AM1028" s="1063"/>
      <c r="AN1028" s="1109"/>
      <c r="AO1028" s="1358"/>
    </row>
    <row r="1029" spans="1:41" ht="15" customHeight="1">
      <c r="A1029" s="1050"/>
      <c r="B1029" s="1069"/>
      <c r="C1029" s="1033"/>
      <c r="D1029" s="1033"/>
      <c r="E1029" s="1072"/>
      <c r="F1029" s="1072"/>
      <c r="G1029" s="1033"/>
      <c r="H1029" s="1033"/>
      <c r="I1029" s="1033"/>
      <c r="J1029" s="1033"/>
      <c r="K1029" s="1033"/>
      <c r="L1029" s="1033"/>
      <c r="M1029" s="1287"/>
      <c r="N1029" s="1066"/>
      <c r="O1029" s="1063"/>
      <c r="P1029" s="1063"/>
      <c r="Q1029" s="1063"/>
      <c r="R1029" s="1069"/>
      <c r="S1029" s="1093"/>
      <c r="T1029" s="1093"/>
      <c r="U1029" s="1093"/>
      <c r="V1029" s="1063"/>
      <c r="W1029" s="1063"/>
      <c r="X1029" s="1033"/>
      <c r="Y1029" s="108" t="s">
        <v>1508</v>
      </c>
      <c r="Z1029" s="109">
        <v>12284838.98</v>
      </c>
      <c r="AA1029" s="109">
        <v>0</v>
      </c>
      <c r="AB1029" s="109">
        <f t="shared" si="74"/>
        <v>12284838.98</v>
      </c>
      <c r="AC1029" s="97">
        <v>41985</v>
      </c>
      <c r="AD1029" s="119">
        <v>12284838.98</v>
      </c>
      <c r="AE1029" s="119" t="s">
        <v>152</v>
      </c>
      <c r="AF1029" s="1044"/>
      <c r="AG1029" s="1044"/>
      <c r="AH1029" s="111">
        <f t="shared" si="73"/>
        <v>0</v>
      </c>
      <c r="AI1029" s="1044"/>
      <c r="AJ1029" s="1063"/>
      <c r="AK1029" s="1063"/>
      <c r="AL1029" s="1063"/>
      <c r="AM1029" s="1063"/>
      <c r="AN1029" s="1109"/>
      <c r="AO1029" s="1358"/>
    </row>
    <row r="1030" spans="1:41" ht="15" customHeight="1">
      <c r="A1030" s="1050"/>
      <c r="B1030" s="1069"/>
      <c r="C1030" s="1033"/>
      <c r="D1030" s="1033"/>
      <c r="E1030" s="1072"/>
      <c r="F1030" s="1072"/>
      <c r="G1030" s="1033"/>
      <c r="H1030" s="1033"/>
      <c r="I1030" s="1033"/>
      <c r="J1030" s="1033"/>
      <c r="K1030" s="1033"/>
      <c r="L1030" s="1033"/>
      <c r="M1030" s="1287"/>
      <c r="N1030" s="1066"/>
      <c r="O1030" s="1063"/>
      <c r="P1030" s="1063"/>
      <c r="Q1030" s="1063"/>
      <c r="R1030" s="1069"/>
      <c r="S1030" s="1093"/>
      <c r="T1030" s="1093"/>
      <c r="U1030" s="1093"/>
      <c r="V1030" s="1063"/>
      <c r="W1030" s="1063"/>
      <c r="X1030" s="1033"/>
      <c r="Y1030" s="108" t="s">
        <v>1510</v>
      </c>
      <c r="Z1030" s="109">
        <v>17651426.719999999</v>
      </c>
      <c r="AA1030" s="109">
        <v>0</v>
      </c>
      <c r="AB1030" s="109">
        <f t="shared" si="74"/>
        <v>17651426.719999999</v>
      </c>
      <c r="AC1030" s="97">
        <v>42178</v>
      </c>
      <c r="AD1030" s="119">
        <v>17651426.719999999</v>
      </c>
      <c r="AE1030" s="119" t="s">
        <v>152</v>
      </c>
      <c r="AF1030" s="1044"/>
      <c r="AG1030" s="1044"/>
      <c r="AH1030" s="111">
        <f t="shared" si="73"/>
        <v>0</v>
      </c>
      <c r="AI1030" s="1044"/>
      <c r="AJ1030" s="1063"/>
      <c r="AK1030" s="1063"/>
      <c r="AL1030" s="1063"/>
      <c r="AM1030" s="1063"/>
      <c r="AN1030" s="1109"/>
      <c r="AO1030" s="1358"/>
    </row>
    <row r="1031" spans="1:41" ht="15" customHeight="1">
      <c r="A1031" s="1050"/>
      <c r="B1031" s="1069"/>
      <c r="C1031" s="1033"/>
      <c r="D1031" s="1033"/>
      <c r="E1031" s="1072"/>
      <c r="F1031" s="1072"/>
      <c r="G1031" s="1033"/>
      <c r="H1031" s="1033"/>
      <c r="I1031" s="1033"/>
      <c r="J1031" s="1012"/>
      <c r="K1031" s="1033"/>
      <c r="L1031" s="1033"/>
      <c r="M1031" s="1287"/>
      <c r="N1031" s="1066"/>
      <c r="O1031" s="1063"/>
      <c r="P1031" s="1063"/>
      <c r="Q1031" s="1063"/>
      <c r="R1031" s="1069"/>
      <c r="S1031" s="1094"/>
      <c r="T1031" s="1094"/>
      <c r="U1031" s="1094"/>
      <c r="V1031" s="1064"/>
      <c r="W1031" s="1063"/>
      <c r="X1031" s="1033"/>
      <c r="Y1031" s="108" t="s">
        <v>1513</v>
      </c>
      <c r="Z1031" s="109">
        <v>1191564.24</v>
      </c>
      <c r="AA1031" s="109">
        <v>0</v>
      </c>
      <c r="AB1031" s="109">
        <f t="shared" si="74"/>
        <v>1191564.24</v>
      </c>
      <c r="AC1031" s="97">
        <v>42542</v>
      </c>
      <c r="AD1031" s="119">
        <v>1191564.24</v>
      </c>
      <c r="AE1031" s="119" t="s">
        <v>152</v>
      </c>
      <c r="AF1031" s="1045"/>
      <c r="AG1031" s="1044"/>
      <c r="AH1031" s="111">
        <f t="shared" ref="AH1031:AH1039" si="75">AB1031-AD1031</f>
        <v>0</v>
      </c>
      <c r="AI1031" s="1045"/>
      <c r="AJ1031" s="1063"/>
      <c r="AK1031" s="1064"/>
      <c r="AL1031" s="1064"/>
      <c r="AM1031" s="1064"/>
      <c r="AN1031" s="1109"/>
      <c r="AO1031" s="1358"/>
    </row>
    <row r="1032" spans="1:41" ht="15" customHeight="1">
      <c r="A1032" s="1050"/>
      <c r="B1032" s="1069"/>
      <c r="C1032" s="1033"/>
      <c r="D1032" s="1033"/>
      <c r="E1032" s="1072"/>
      <c r="F1032" s="1072"/>
      <c r="G1032" s="1033"/>
      <c r="H1032" s="1033"/>
      <c r="I1032" s="1033"/>
      <c r="J1032" s="1011" t="s">
        <v>67</v>
      </c>
      <c r="K1032" s="1033"/>
      <c r="L1032" s="1033"/>
      <c r="M1032" s="1286">
        <v>310</v>
      </c>
      <c r="N1032" s="1065" t="s">
        <v>137</v>
      </c>
      <c r="O1032" s="1062">
        <v>676939841</v>
      </c>
      <c r="P1032" s="1062">
        <v>676939841</v>
      </c>
      <c r="Q1032" s="1063"/>
      <c r="R1032" s="1068">
        <v>41955</v>
      </c>
      <c r="S1032" s="1062">
        <f>T1032</f>
        <v>676939841</v>
      </c>
      <c r="T1032" s="1062">
        <v>676939841</v>
      </c>
      <c r="U1032" s="1062">
        <f>O1032-T1032</f>
        <v>0</v>
      </c>
      <c r="V1032" s="1062">
        <v>676939841</v>
      </c>
      <c r="W1032" s="1063"/>
      <c r="X1032" s="1033"/>
      <c r="Y1032" s="108" t="s">
        <v>1513</v>
      </c>
      <c r="Z1032" s="109">
        <v>331767544</v>
      </c>
      <c r="AA1032" s="109">
        <v>0</v>
      </c>
      <c r="AB1032" s="109">
        <f t="shared" si="74"/>
        <v>331767544</v>
      </c>
      <c r="AC1032" s="97">
        <v>42542</v>
      </c>
      <c r="AD1032" s="119">
        <v>331767544</v>
      </c>
      <c r="AE1032" s="119" t="s">
        <v>137</v>
      </c>
      <c r="AF1032" s="1043">
        <f>SUM(AD1032:AD1034)</f>
        <v>676939841</v>
      </c>
      <c r="AG1032" s="1044"/>
      <c r="AH1032" s="111">
        <f t="shared" si="75"/>
        <v>0</v>
      </c>
      <c r="AI1032" s="1043">
        <f>O1032-SUM(AD1032:AD1034)</f>
        <v>0</v>
      </c>
      <c r="AJ1032" s="1063"/>
      <c r="AK1032" s="1062">
        <f>P1032-V1032</f>
        <v>0</v>
      </c>
      <c r="AL1032" s="1062">
        <f>V1032-SUM(Z1032:Z1034)</f>
        <v>0</v>
      </c>
      <c r="AM1032" s="1062">
        <f>AK1032+AL1032</f>
        <v>0</v>
      </c>
      <c r="AN1032" s="1109"/>
      <c r="AO1032" s="1358"/>
    </row>
    <row r="1033" spans="1:41" ht="15" customHeight="1">
      <c r="A1033" s="1050"/>
      <c r="B1033" s="1069"/>
      <c r="C1033" s="1033"/>
      <c r="D1033" s="1033"/>
      <c r="E1033" s="1072"/>
      <c r="F1033" s="1072"/>
      <c r="G1033" s="1033"/>
      <c r="H1033" s="1033"/>
      <c r="I1033" s="1033"/>
      <c r="J1033" s="1033"/>
      <c r="K1033" s="1033"/>
      <c r="L1033" s="1033"/>
      <c r="M1033" s="1287"/>
      <c r="N1033" s="1066"/>
      <c r="O1033" s="1063"/>
      <c r="P1033" s="1063"/>
      <c r="Q1033" s="1063"/>
      <c r="R1033" s="1069"/>
      <c r="S1033" s="1063"/>
      <c r="T1033" s="1063"/>
      <c r="U1033" s="1063"/>
      <c r="V1033" s="1063"/>
      <c r="W1033" s="1063"/>
      <c r="X1033" s="1033"/>
      <c r="Y1033" s="108" t="s">
        <v>1509</v>
      </c>
      <c r="Z1033" s="109">
        <v>175706218</v>
      </c>
      <c r="AA1033" s="109">
        <v>0</v>
      </c>
      <c r="AB1033" s="109">
        <f t="shared" ref="AB1033:AB1039" si="76">Z1033+AA1033</f>
        <v>175706218</v>
      </c>
      <c r="AC1033" s="97">
        <v>42178</v>
      </c>
      <c r="AD1033" s="119">
        <v>175706218</v>
      </c>
      <c r="AE1033" s="119" t="s">
        <v>137</v>
      </c>
      <c r="AF1033" s="1044"/>
      <c r="AG1033" s="1044"/>
      <c r="AH1033" s="111">
        <f t="shared" si="75"/>
        <v>0</v>
      </c>
      <c r="AI1033" s="1044"/>
      <c r="AJ1033" s="1063"/>
      <c r="AK1033" s="1063"/>
      <c r="AL1033" s="1063"/>
      <c r="AM1033" s="1063"/>
      <c r="AN1033" s="1109"/>
      <c r="AO1033" s="1358"/>
    </row>
    <row r="1034" spans="1:41" ht="15" customHeight="1">
      <c r="A1034" s="1016"/>
      <c r="B1034" s="1070"/>
      <c r="C1034" s="1012"/>
      <c r="D1034" s="1012"/>
      <c r="E1034" s="1073"/>
      <c r="F1034" s="1073"/>
      <c r="G1034" s="1012"/>
      <c r="H1034" s="1012"/>
      <c r="I1034" s="1012"/>
      <c r="J1034" s="1012"/>
      <c r="K1034" s="1012"/>
      <c r="L1034" s="1012"/>
      <c r="M1034" s="1288"/>
      <c r="N1034" s="1067"/>
      <c r="O1034" s="1064"/>
      <c r="P1034" s="1064"/>
      <c r="Q1034" s="1064"/>
      <c r="R1034" s="1070"/>
      <c r="S1034" s="1064"/>
      <c r="T1034" s="1064"/>
      <c r="U1034" s="1064"/>
      <c r="V1034" s="1064"/>
      <c r="W1034" s="1064"/>
      <c r="X1034" s="1012"/>
      <c r="Y1034" s="108" t="s">
        <v>1512</v>
      </c>
      <c r="Z1034" s="109">
        <v>169466079</v>
      </c>
      <c r="AA1034" s="109">
        <v>0</v>
      </c>
      <c r="AB1034" s="109">
        <f t="shared" si="76"/>
        <v>169466079</v>
      </c>
      <c r="AC1034" s="97">
        <v>42366</v>
      </c>
      <c r="AD1034" s="119">
        <v>169466079</v>
      </c>
      <c r="AE1034" s="119" t="s">
        <v>137</v>
      </c>
      <c r="AF1034" s="1045"/>
      <c r="AG1034" s="1045"/>
      <c r="AH1034" s="111">
        <f t="shared" si="75"/>
        <v>0</v>
      </c>
      <c r="AI1034" s="1045"/>
      <c r="AJ1034" s="1064"/>
      <c r="AK1034" s="1064"/>
      <c r="AL1034" s="1064"/>
      <c r="AM1034" s="1064"/>
      <c r="AN1034" s="1110"/>
      <c r="AO1034" s="1359"/>
    </row>
    <row r="1035" spans="1:41" ht="15" customHeight="1">
      <c r="A1035" s="1030" t="s">
        <v>1532</v>
      </c>
      <c r="B1035" s="1068">
        <v>41337</v>
      </c>
      <c r="C1035" s="1011" t="s">
        <v>24</v>
      </c>
      <c r="D1035" s="1011" t="s">
        <v>1533</v>
      </c>
      <c r="E1035" s="1071">
        <v>10482754</v>
      </c>
      <c r="F1035" s="1071"/>
      <c r="G1035" s="1011" t="s">
        <v>1534</v>
      </c>
      <c r="H1035" s="1011" t="s">
        <v>71</v>
      </c>
      <c r="I1035" s="1011" t="s">
        <v>1221</v>
      </c>
      <c r="J1035" s="1011" t="s">
        <v>66</v>
      </c>
      <c r="K1035" s="1011" t="s">
        <v>183</v>
      </c>
      <c r="L1035" s="1011" t="s">
        <v>1044</v>
      </c>
      <c r="M1035" s="1286">
        <v>257</v>
      </c>
      <c r="N1035" s="1065" t="s">
        <v>7</v>
      </c>
      <c r="O1035" s="1062">
        <v>64274591</v>
      </c>
      <c r="P1035" s="1062">
        <f>O1035</f>
        <v>64274591</v>
      </c>
      <c r="Q1035" s="1062">
        <f>P1035</f>
        <v>64274591</v>
      </c>
      <c r="R1035" s="1068">
        <v>41212</v>
      </c>
      <c r="S1035" s="1092">
        <f>T1035</f>
        <v>64274591</v>
      </c>
      <c r="T1035" s="1062">
        <v>64274591</v>
      </c>
      <c r="U1035" s="1062">
        <f>O1035-T1035</f>
        <v>0</v>
      </c>
      <c r="V1035" s="1062">
        <v>63903840</v>
      </c>
      <c r="W1035" s="1062">
        <f>V1035</f>
        <v>63903840</v>
      </c>
      <c r="X1035" s="1011" t="s">
        <v>1535</v>
      </c>
      <c r="Y1035" s="108" t="s">
        <v>1536</v>
      </c>
      <c r="Z1035" s="109">
        <v>51515340</v>
      </c>
      <c r="AA1035" s="109">
        <v>0</v>
      </c>
      <c r="AB1035" s="109">
        <f t="shared" si="76"/>
        <v>51515340</v>
      </c>
      <c r="AC1035" s="97">
        <v>41712</v>
      </c>
      <c r="AD1035" s="119">
        <v>51515340</v>
      </c>
      <c r="AE1035" s="119" t="s">
        <v>7</v>
      </c>
      <c r="AF1035" s="1043">
        <f>AD1035+AD1036</f>
        <v>63424630</v>
      </c>
      <c r="AG1035" s="1043">
        <f>AF1035</f>
        <v>63424630</v>
      </c>
      <c r="AH1035" s="111">
        <f t="shared" si="75"/>
        <v>0</v>
      </c>
      <c r="AI1035" s="1043">
        <f>O1035-AD1035-AD1036</f>
        <v>849961</v>
      </c>
      <c r="AJ1035" s="1062">
        <f>SUM(Z1035:Z1036)-SUM(AD1035:AD1036)</f>
        <v>0</v>
      </c>
      <c r="AK1035" s="1062">
        <f>P1035-V1035</f>
        <v>370751</v>
      </c>
      <c r="AL1035" s="1062">
        <f>V1035-SUM(Z1035:Z1036)</f>
        <v>479210</v>
      </c>
      <c r="AM1035" s="1062">
        <f>AK1035+AL1035</f>
        <v>849961</v>
      </c>
      <c r="AN1035" s="1108" t="s">
        <v>606</v>
      </c>
      <c r="AO1035" s="1103" t="s">
        <v>1538</v>
      </c>
    </row>
    <row r="1036" spans="1:41" ht="15" customHeight="1">
      <c r="A1036" s="1032"/>
      <c r="B1036" s="1070"/>
      <c r="C1036" s="1012"/>
      <c r="D1036" s="1012"/>
      <c r="E1036" s="1073"/>
      <c r="F1036" s="1073"/>
      <c r="G1036" s="1012"/>
      <c r="H1036" s="1012"/>
      <c r="I1036" s="1012"/>
      <c r="J1036" s="1012"/>
      <c r="K1036" s="1012"/>
      <c r="L1036" s="1012"/>
      <c r="M1036" s="1288"/>
      <c r="N1036" s="1067"/>
      <c r="O1036" s="1064"/>
      <c r="P1036" s="1064"/>
      <c r="Q1036" s="1064"/>
      <c r="R1036" s="1070"/>
      <c r="S1036" s="1094"/>
      <c r="T1036" s="1064"/>
      <c r="U1036" s="1064"/>
      <c r="V1036" s="1064"/>
      <c r="W1036" s="1064"/>
      <c r="X1036" s="1012"/>
      <c r="Y1036" s="108" t="s">
        <v>1537</v>
      </c>
      <c r="Z1036" s="109">
        <v>11909290</v>
      </c>
      <c r="AA1036" s="109">
        <v>0</v>
      </c>
      <c r="AB1036" s="109">
        <f t="shared" si="76"/>
        <v>11909290</v>
      </c>
      <c r="AC1036" s="97">
        <v>41759</v>
      </c>
      <c r="AD1036" s="119">
        <v>11909290</v>
      </c>
      <c r="AE1036" s="119" t="s">
        <v>7</v>
      </c>
      <c r="AF1036" s="1045"/>
      <c r="AG1036" s="1045"/>
      <c r="AH1036" s="111">
        <f t="shared" si="75"/>
        <v>0</v>
      </c>
      <c r="AI1036" s="1045"/>
      <c r="AJ1036" s="1064"/>
      <c r="AK1036" s="1064"/>
      <c r="AL1036" s="1064"/>
      <c r="AM1036" s="1064"/>
      <c r="AN1036" s="1110"/>
      <c r="AO1036" s="1105"/>
    </row>
    <row r="1037" spans="1:41" ht="15" customHeight="1">
      <c r="A1037" s="1030" t="s">
        <v>1539</v>
      </c>
      <c r="B1037" s="1068">
        <v>41344</v>
      </c>
      <c r="C1037" s="1011" t="s">
        <v>12</v>
      </c>
      <c r="D1037" s="1011" t="s">
        <v>1540</v>
      </c>
      <c r="E1037" s="1071">
        <v>19130521</v>
      </c>
      <c r="F1037" s="1071"/>
      <c r="G1037" s="1011" t="s">
        <v>1541</v>
      </c>
      <c r="H1037" s="1011" t="s">
        <v>71</v>
      </c>
      <c r="I1037" s="1011" t="s">
        <v>1235</v>
      </c>
      <c r="J1037" s="1011" t="s">
        <v>66</v>
      </c>
      <c r="K1037" s="1011" t="s">
        <v>183</v>
      </c>
      <c r="L1037" s="1011" t="s">
        <v>1543</v>
      </c>
      <c r="M1037" s="1286">
        <v>255</v>
      </c>
      <c r="N1037" s="1065" t="s">
        <v>7</v>
      </c>
      <c r="O1037" s="1062">
        <v>258333759</v>
      </c>
      <c r="P1037" s="1062">
        <f>O1037</f>
        <v>258333759</v>
      </c>
      <c r="Q1037" s="1062">
        <f>P1037</f>
        <v>258333759</v>
      </c>
      <c r="R1037" s="1068">
        <v>41186</v>
      </c>
      <c r="S1037" s="1092">
        <f>T1037</f>
        <v>258333759</v>
      </c>
      <c r="T1037" s="1092">
        <v>258333759</v>
      </c>
      <c r="U1037" s="1092">
        <f>O1037-T1037</f>
        <v>0</v>
      </c>
      <c r="V1037" s="1062">
        <v>255010855</v>
      </c>
      <c r="W1037" s="1062">
        <v>255010855</v>
      </c>
      <c r="X1037" s="1011" t="s">
        <v>1542</v>
      </c>
      <c r="Y1037" s="108" t="s">
        <v>1544</v>
      </c>
      <c r="Z1037" s="109">
        <v>201260423</v>
      </c>
      <c r="AA1037" s="109">
        <v>0</v>
      </c>
      <c r="AB1037" s="109">
        <f t="shared" si="76"/>
        <v>201260423</v>
      </c>
      <c r="AC1037" s="97">
        <v>41935</v>
      </c>
      <c r="AD1037" s="119">
        <v>201260423</v>
      </c>
      <c r="AE1037" s="119" t="s">
        <v>7</v>
      </c>
      <c r="AF1037" s="1043">
        <f>SUM(AD1037:AD1039)</f>
        <v>255006953</v>
      </c>
      <c r="AG1037" s="1043">
        <f>AF1037</f>
        <v>255006953</v>
      </c>
      <c r="AH1037" s="111">
        <f t="shared" si="75"/>
        <v>0</v>
      </c>
      <c r="AI1037" s="1043">
        <f>O1037-SUM(AD1037:AD1039)</f>
        <v>3326806</v>
      </c>
      <c r="AJ1037" s="1062">
        <f>SUM(Z1037:Z1039)-SUM(AD1037:AD1039)</f>
        <v>0</v>
      </c>
      <c r="AK1037" s="1062">
        <f>P1037-V1037</f>
        <v>3322904</v>
      </c>
      <c r="AL1037" s="1062">
        <f>V1037-SUM(Z1037:Z1039)</f>
        <v>3902</v>
      </c>
      <c r="AM1037" s="1062">
        <f>AK1037+AL1037</f>
        <v>3326806</v>
      </c>
      <c r="AN1037" s="1108" t="s">
        <v>606</v>
      </c>
      <c r="AO1037" s="1103" t="s">
        <v>1547</v>
      </c>
    </row>
    <row r="1038" spans="1:41" ht="15" customHeight="1">
      <c r="A1038" s="1031"/>
      <c r="B1038" s="1069"/>
      <c r="C1038" s="1033"/>
      <c r="D1038" s="1033"/>
      <c r="E1038" s="1072"/>
      <c r="F1038" s="1072"/>
      <c r="G1038" s="1033"/>
      <c r="H1038" s="1033"/>
      <c r="I1038" s="1033"/>
      <c r="J1038" s="1033"/>
      <c r="K1038" s="1033"/>
      <c r="L1038" s="1033"/>
      <c r="M1038" s="1287"/>
      <c r="N1038" s="1066"/>
      <c r="O1038" s="1063"/>
      <c r="P1038" s="1063"/>
      <c r="Q1038" s="1063"/>
      <c r="R1038" s="1069"/>
      <c r="S1038" s="1093"/>
      <c r="T1038" s="1093"/>
      <c r="U1038" s="1093"/>
      <c r="V1038" s="1063"/>
      <c r="W1038" s="1063"/>
      <c r="X1038" s="1033"/>
      <c r="Y1038" s="108" t="s">
        <v>1545</v>
      </c>
      <c r="Z1038" s="109">
        <v>28247924</v>
      </c>
      <c r="AA1038" s="109">
        <v>0</v>
      </c>
      <c r="AB1038" s="109">
        <f t="shared" si="76"/>
        <v>28247924</v>
      </c>
      <c r="AC1038" s="97">
        <v>42158</v>
      </c>
      <c r="AD1038" s="119">
        <v>28247924</v>
      </c>
      <c r="AE1038" s="119" t="s">
        <v>7</v>
      </c>
      <c r="AF1038" s="1044"/>
      <c r="AG1038" s="1044"/>
      <c r="AH1038" s="111">
        <f t="shared" si="75"/>
        <v>0</v>
      </c>
      <c r="AI1038" s="1044"/>
      <c r="AJ1038" s="1063"/>
      <c r="AK1038" s="1063"/>
      <c r="AL1038" s="1063"/>
      <c r="AM1038" s="1063"/>
      <c r="AN1038" s="1109"/>
      <c r="AO1038" s="1104"/>
    </row>
    <row r="1039" spans="1:41" ht="15" customHeight="1">
      <c r="A1039" s="1032"/>
      <c r="B1039" s="1070"/>
      <c r="C1039" s="1012"/>
      <c r="D1039" s="1012"/>
      <c r="E1039" s="1073"/>
      <c r="F1039" s="1073"/>
      <c r="G1039" s="1012"/>
      <c r="H1039" s="1012"/>
      <c r="I1039" s="1012"/>
      <c r="J1039" s="1012"/>
      <c r="K1039" s="1012"/>
      <c r="L1039" s="1012"/>
      <c r="M1039" s="1288"/>
      <c r="N1039" s="1067"/>
      <c r="O1039" s="1064"/>
      <c r="P1039" s="1064"/>
      <c r="Q1039" s="1064"/>
      <c r="R1039" s="1070"/>
      <c r="S1039" s="1094"/>
      <c r="T1039" s="1094"/>
      <c r="U1039" s="1094"/>
      <c r="V1039" s="1064"/>
      <c r="W1039" s="1064"/>
      <c r="X1039" s="1012"/>
      <c r="Y1039" s="108" t="s">
        <v>1546</v>
      </c>
      <c r="Z1039" s="109">
        <v>25498606</v>
      </c>
      <c r="AA1039" s="109">
        <v>0</v>
      </c>
      <c r="AB1039" s="109">
        <f t="shared" si="76"/>
        <v>25498606</v>
      </c>
      <c r="AC1039" s="97">
        <v>42551</v>
      </c>
      <c r="AD1039" s="119">
        <v>25498606</v>
      </c>
      <c r="AE1039" s="119" t="s">
        <v>7</v>
      </c>
      <c r="AF1039" s="1045"/>
      <c r="AG1039" s="1045"/>
      <c r="AH1039" s="111">
        <f t="shared" si="75"/>
        <v>0</v>
      </c>
      <c r="AI1039" s="1045"/>
      <c r="AJ1039" s="1064"/>
      <c r="AK1039" s="1064"/>
      <c r="AL1039" s="1064"/>
      <c r="AM1039" s="1064"/>
      <c r="AN1039" s="1110"/>
      <c r="AO1039" s="1105"/>
    </row>
    <row r="1040" spans="1:41" ht="15" customHeight="1">
      <c r="A1040" s="1075" t="s">
        <v>1557</v>
      </c>
      <c r="B1040" s="1171">
        <v>41403</v>
      </c>
      <c r="C1040" s="1076" t="s">
        <v>11</v>
      </c>
      <c r="D1040" s="1076" t="s">
        <v>1558</v>
      </c>
      <c r="E1040" s="1208">
        <v>900618452</v>
      </c>
      <c r="F1040" s="1208">
        <v>4</v>
      </c>
      <c r="G1040" s="1076" t="s">
        <v>1559</v>
      </c>
      <c r="H1040" s="1076" t="s">
        <v>70</v>
      </c>
      <c r="I1040" s="1076" t="s">
        <v>206</v>
      </c>
      <c r="J1040" s="1076" t="s">
        <v>66</v>
      </c>
      <c r="K1040" s="1076" t="s">
        <v>183</v>
      </c>
      <c r="L1040" s="1076" t="s">
        <v>1597</v>
      </c>
      <c r="M1040" s="1209">
        <v>254</v>
      </c>
      <c r="N1040" s="1123" t="s">
        <v>7</v>
      </c>
      <c r="O1040" s="1119">
        <v>6714798</v>
      </c>
      <c r="P1040" s="1119">
        <v>6714798</v>
      </c>
      <c r="Q1040" s="1119">
        <f>SUM(P1040:P1064)</f>
        <v>241500542</v>
      </c>
      <c r="R1040" s="1171">
        <v>41165</v>
      </c>
      <c r="S1040" s="1196">
        <f>T1040</f>
        <v>6714798</v>
      </c>
      <c r="T1040" s="1196">
        <v>6714798</v>
      </c>
      <c r="U1040" s="1196">
        <f>O1040-T1040</f>
        <v>0</v>
      </c>
      <c r="V1040" s="1084">
        <v>6709515.21</v>
      </c>
      <c r="W1040" s="1119">
        <f>187886505+V1061+V1062+V1064</f>
        <v>241352608</v>
      </c>
      <c r="X1040" s="1076" t="s">
        <v>1271</v>
      </c>
      <c r="Y1040" s="108" t="s">
        <v>1596</v>
      </c>
      <c r="Z1040" s="109">
        <v>0</v>
      </c>
      <c r="AA1040" s="109">
        <v>2683806.0840000003</v>
      </c>
      <c r="AB1040" s="109">
        <f t="shared" ref="AB1040:AB1064" si="77">Z1040+AA1040</f>
        <v>2683806.0840000003</v>
      </c>
      <c r="AC1040" s="97">
        <v>41464</v>
      </c>
      <c r="AD1040" s="119">
        <v>2683806.08</v>
      </c>
      <c r="AE1040" s="98" t="s">
        <v>7</v>
      </c>
      <c r="AF1040" s="1084">
        <f>SUM(AD1040:AD1042)</f>
        <v>6707382.0800000001</v>
      </c>
      <c r="AG1040" s="1084">
        <f>AF1040+AF1043+AF1048+AF1052+AF1057+AF1061+AF1062+AF1064</f>
        <v>241343771.99999997</v>
      </c>
      <c r="AH1040" s="111">
        <f t="shared" ref="AH1040:AH1064" si="78">AB1040-AD1040</f>
        <v>4.0000001899898052E-3</v>
      </c>
      <c r="AI1040" s="1084">
        <f>P1040-SUM(AD1040:AD1042)</f>
        <v>7415.9199999999255</v>
      </c>
      <c r="AJ1040" s="1119">
        <f>SUM(Z1040:Z1064)-SUM(AD1040:AD1064)</f>
        <v>0</v>
      </c>
      <c r="AK1040" s="1119">
        <f>P1040-V1040</f>
        <v>5282.7900000000373</v>
      </c>
      <c r="AL1040" s="1119">
        <f>V1040-SUM(Z1040:Z1042)-1422.08</f>
        <v>2133.1299999999628</v>
      </c>
      <c r="AM1040" s="1119">
        <f>AK1040+AL1040</f>
        <v>7415.92</v>
      </c>
      <c r="AN1040" s="1203" t="s">
        <v>606</v>
      </c>
      <c r="AO1040" s="1204" t="s">
        <v>1615</v>
      </c>
    </row>
    <row r="1041" spans="1:41" ht="15" customHeight="1">
      <c r="A1041" s="1075"/>
      <c r="B1041" s="1171"/>
      <c r="C1041" s="1076"/>
      <c r="D1041" s="1076"/>
      <c r="E1041" s="1208"/>
      <c r="F1041" s="1208"/>
      <c r="G1041" s="1076"/>
      <c r="H1041" s="1076"/>
      <c r="I1041" s="1076"/>
      <c r="J1041" s="1076"/>
      <c r="K1041" s="1076"/>
      <c r="L1041" s="1076"/>
      <c r="M1041" s="1209"/>
      <c r="N1041" s="1123"/>
      <c r="O1041" s="1119"/>
      <c r="P1041" s="1119"/>
      <c r="Q1041" s="1119"/>
      <c r="R1041" s="1171"/>
      <c r="S1041" s="1196"/>
      <c r="T1041" s="1196"/>
      <c r="U1041" s="1196"/>
      <c r="V1041" s="1084"/>
      <c r="W1041" s="1119"/>
      <c r="X1041" s="1076"/>
      <c r="Y1041" s="108" t="s">
        <v>1598</v>
      </c>
      <c r="Z1041" s="109">
        <v>5029470</v>
      </c>
      <c r="AA1041" s="109">
        <v>-2011788</v>
      </c>
      <c r="AB1041" s="109">
        <f t="shared" si="77"/>
        <v>3017682</v>
      </c>
      <c r="AC1041" s="97">
        <v>41626</v>
      </c>
      <c r="AD1041" s="119">
        <v>3017682</v>
      </c>
      <c r="AE1041" s="98" t="s">
        <v>7</v>
      </c>
      <c r="AF1041" s="1084"/>
      <c r="AG1041" s="1084"/>
      <c r="AH1041" s="111">
        <f t="shared" si="78"/>
        <v>0</v>
      </c>
      <c r="AI1041" s="1084"/>
      <c r="AJ1041" s="1119"/>
      <c r="AK1041" s="1119"/>
      <c r="AL1041" s="1119"/>
      <c r="AM1041" s="1119"/>
      <c r="AN1041" s="1203"/>
      <c r="AO1041" s="1204"/>
    </row>
    <row r="1042" spans="1:41" ht="15" customHeight="1">
      <c r="A1042" s="1075"/>
      <c r="B1042" s="1171"/>
      <c r="C1042" s="1076"/>
      <c r="D1042" s="1076"/>
      <c r="E1042" s="1208"/>
      <c r="F1042" s="1208"/>
      <c r="G1042" s="1076"/>
      <c r="H1042" s="1076"/>
      <c r="I1042" s="1076"/>
      <c r="J1042" s="1076"/>
      <c r="K1042" s="1076"/>
      <c r="L1042" s="1076"/>
      <c r="M1042" s="1209"/>
      <c r="N1042" s="1123"/>
      <c r="O1042" s="1119"/>
      <c r="P1042" s="1119"/>
      <c r="Q1042" s="1119"/>
      <c r="R1042" s="1171"/>
      <c r="S1042" s="1196"/>
      <c r="T1042" s="1196"/>
      <c r="U1042" s="1196"/>
      <c r="V1042" s="1084"/>
      <c r="W1042" s="1119"/>
      <c r="X1042" s="1076"/>
      <c r="Y1042" s="108" t="s">
        <v>1607</v>
      </c>
      <c r="Z1042" s="109">
        <v>1676490</v>
      </c>
      <c r="AA1042" s="109">
        <v>-670596</v>
      </c>
      <c r="AB1042" s="109">
        <f t="shared" si="77"/>
        <v>1005894</v>
      </c>
      <c r="AC1042" s="97">
        <v>42088</v>
      </c>
      <c r="AD1042" s="119">
        <v>1005894</v>
      </c>
      <c r="AE1042" s="98" t="s">
        <v>7</v>
      </c>
      <c r="AF1042" s="1084"/>
      <c r="AG1042" s="1084"/>
      <c r="AH1042" s="111">
        <f t="shared" si="78"/>
        <v>0</v>
      </c>
      <c r="AI1042" s="1084"/>
      <c r="AJ1042" s="1119"/>
      <c r="AK1042" s="1119"/>
      <c r="AL1042" s="1119"/>
      <c r="AM1042" s="1119"/>
      <c r="AN1042" s="1203"/>
      <c r="AO1042" s="1204"/>
    </row>
    <row r="1043" spans="1:41" ht="15" customHeight="1">
      <c r="A1043" s="1075"/>
      <c r="B1043" s="1171"/>
      <c r="C1043" s="1076" t="s">
        <v>32</v>
      </c>
      <c r="D1043" s="1076"/>
      <c r="E1043" s="1208"/>
      <c r="F1043" s="1208"/>
      <c r="G1043" s="1076"/>
      <c r="H1043" s="1076"/>
      <c r="I1043" s="1076"/>
      <c r="J1043" s="1076"/>
      <c r="K1043" s="1076"/>
      <c r="L1043" s="1076"/>
      <c r="M1043" s="1209">
        <v>232</v>
      </c>
      <c r="N1043" s="1123" t="s">
        <v>7</v>
      </c>
      <c r="O1043" s="1119">
        <v>31988162</v>
      </c>
      <c r="P1043" s="1119">
        <v>31988162</v>
      </c>
      <c r="Q1043" s="1119"/>
      <c r="R1043" s="1171">
        <v>40899</v>
      </c>
      <c r="S1043" s="1196">
        <f>T1043</f>
        <v>31988162</v>
      </c>
      <c r="T1043" s="1196">
        <v>31988162</v>
      </c>
      <c r="U1043" s="1196">
        <f>O1043-T1043</f>
        <v>0</v>
      </c>
      <c r="V1043" s="1084">
        <v>31962995.670000002</v>
      </c>
      <c r="W1043" s="1119"/>
      <c r="X1043" s="1076"/>
      <c r="Y1043" s="108" t="s">
        <v>1596</v>
      </c>
      <c r="Z1043" s="111">
        <v>0</v>
      </c>
      <c r="AA1043" s="109">
        <v>12785198.268000001</v>
      </c>
      <c r="AB1043" s="109">
        <f t="shared" si="77"/>
        <v>12785198.268000001</v>
      </c>
      <c r="AC1043" s="97">
        <v>41464</v>
      </c>
      <c r="AD1043" s="119">
        <v>12785198.27</v>
      </c>
      <c r="AE1043" s="98" t="s">
        <v>7</v>
      </c>
      <c r="AF1043" s="1084">
        <f>SUM(AD1043:AD1047)</f>
        <v>31962995.27</v>
      </c>
      <c r="AG1043" s="1084"/>
      <c r="AH1043" s="111">
        <f t="shared" si="78"/>
        <v>-1.999998465180397E-3</v>
      </c>
      <c r="AI1043" s="1084">
        <f>P1043-SUM(AD1043:AD1047)</f>
        <v>25166.730000000447</v>
      </c>
      <c r="AJ1043" s="1119"/>
      <c r="AK1043" s="1119">
        <f>P1043-V1043</f>
        <v>25166.329999998212</v>
      </c>
      <c r="AL1043" s="1119">
        <v>0</v>
      </c>
      <c r="AM1043" s="1119">
        <f>AK1043+AL1043</f>
        <v>25166.329999998212</v>
      </c>
      <c r="AN1043" s="1203"/>
      <c r="AO1043" s="1204"/>
    </row>
    <row r="1044" spans="1:41" ht="15" customHeight="1">
      <c r="A1044" s="1075"/>
      <c r="B1044" s="1171"/>
      <c r="C1044" s="1076"/>
      <c r="D1044" s="1076"/>
      <c r="E1044" s="1208"/>
      <c r="F1044" s="1208"/>
      <c r="G1044" s="1076"/>
      <c r="H1044" s="1076"/>
      <c r="I1044" s="1076"/>
      <c r="J1044" s="1076"/>
      <c r="K1044" s="1076"/>
      <c r="L1044" s="1076"/>
      <c r="M1044" s="1209"/>
      <c r="N1044" s="1123"/>
      <c r="O1044" s="1119"/>
      <c r="P1044" s="1119"/>
      <c r="Q1044" s="1119"/>
      <c r="R1044" s="1171"/>
      <c r="S1044" s="1196"/>
      <c r="T1044" s="1196"/>
      <c r="U1044" s="1196"/>
      <c r="V1044" s="1084"/>
      <c r="W1044" s="1119"/>
      <c r="X1044" s="1076"/>
      <c r="Y1044" s="108" t="s">
        <v>1599</v>
      </c>
      <c r="Z1044" s="109">
        <v>7354876</v>
      </c>
      <c r="AA1044" s="109">
        <v>-2941950</v>
      </c>
      <c r="AB1044" s="109">
        <f t="shared" si="77"/>
        <v>4412926</v>
      </c>
      <c r="AC1044" s="97">
        <v>41626</v>
      </c>
      <c r="AD1044" s="119">
        <v>4412926</v>
      </c>
      <c r="AE1044" s="98" t="s">
        <v>7</v>
      </c>
      <c r="AF1044" s="1084"/>
      <c r="AG1044" s="1084"/>
      <c r="AH1044" s="111">
        <f t="shared" si="78"/>
        <v>0</v>
      </c>
      <c r="AI1044" s="1084"/>
      <c r="AJ1044" s="1119"/>
      <c r="AK1044" s="1119"/>
      <c r="AL1044" s="1119"/>
      <c r="AM1044" s="1119"/>
      <c r="AN1044" s="1203"/>
      <c r="AO1044" s="1204"/>
    </row>
    <row r="1045" spans="1:41" ht="15" customHeight="1">
      <c r="A1045" s="1075"/>
      <c r="B1045" s="1171"/>
      <c r="C1045" s="1076"/>
      <c r="D1045" s="1076"/>
      <c r="E1045" s="1208"/>
      <c r="F1045" s="1208"/>
      <c r="G1045" s="1076"/>
      <c r="H1045" s="1076"/>
      <c r="I1045" s="1076"/>
      <c r="J1045" s="1076"/>
      <c r="K1045" s="1076"/>
      <c r="L1045" s="1076"/>
      <c r="M1045" s="1209"/>
      <c r="N1045" s="1123"/>
      <c r="O1045" s="1119"/>
      <c r="P1045" s="1119"/>
      <c r="Q1045" s="1119"/>
      <c r="R1045" s="1171"/>
      <c r="S1045" s="1196"/>
      <c r="T1045" s="1196"/>
      <c r="U1045" s="1196"/>
      <c r="V1045" s="1084"/>
      <c r="W1045" s="1119"/>
      <c r="X1045" s="1076"/>
      <c r="Y1045" s="108" t="s">
        <v>1601</v>
      </c>
      <c r="Z1045" s="109">
        <v>8633984</v>
      </c>
      <c r="AA1045" s="109">
        <v>-3453594</v>
      </c>
      <c r="AB1045" s="109">
        <f t="shared" si="77"/>
        <v>5180390</v>
      </c>
      <c r="AC1045" s="97">
        <v>41849</v>
      </c>
      <c r="AD1045" s="119">
        <v>5180390</v>
      </c>
      <c r="AE1045" s="98" t="s">
        <v>7</v>
      </c>
      <c r="AF1045" s="1084"/>
      <c r="AG1045" s="1084"/>
      <c r="AH1045" s="111">
        <f t="shared" si="78"/>
        <v>0</v>
      </c>
      <c r="AI1045" s="1084"/>
      <c r="AJ1045" s="1119"/>
      <c r="AK1045" s="1119"/>
      <c r="AL1045" s="1119"/>
      <c r="AM1045" s="1119"/>
      <c r="AN1045" s="1203"/>
      <c r="AO1045" s="1204"/>
    </row>
    <row r="1046" spans="1:41" ht="15" customHeight="1">
      <c r="A1046" s="1075"/>
      <c r="B1046" s="1171"/>
      <c r="C1046" s="1076"/>
      <c r="D1046" s="1076"/>
      <c r="E1046" s="1208"/>
      <c r="F1046" s="1208"/>
      <c r="G1046" s="1076"/>
      <c r="H1046" s="1076"/>
      <c r="I1046" s="1076"/>
      <c r="J1046" s="1076"/>
      <c r="K1046" s="1076"/>
      <c r="L1046" s="1076"/>
      <c r="M1046" s="1209"/>
      <c r="N1046" s="1123"/>
      <c r="O1046" s="1119"/>
      <c r="P1046" s="1119"/>
      <c r="Q1046" s="1119"/>
      <c r="R1046" s="1171"/>
      <c r="S1046" s="1196"/>
      <c r="T1046" s="1196"/>
      <c r="U1046" s="1196"/>
      <c r="V1046" s="1084"/>
      <c r="W1046" s="1119"/>
      <c r="X1046" s="1076"/>
      <c r="Y1046" s="108" t="s">
        <v>1605</v>
      </c>
      <c r="Z1046" s="109">
        <v>12791088</v>
      </c>
      <c r="AA1046" s="109">
        <v>-5116435</v>
      </c>
      <c r="AB1046" s="109">
        <f t="shared" si="77"/>
        <v>7674653</v>
      </c>
      <c r="AC1046" s="97">
        <v>42088</v>
      </c>
      <c r="AD1046" s="119">
        <v>7674653</v>
      </c>
      <c r="AE1046" s="98" t="s">
        <v>7</v>
      </c>
      <c r="AF1046" s="1084"/>
      <c r="AG1046" s="1084"/>
      <c r="AH1046" s="111">
        <f t="shared" si="78"/>
        <v>0</v>
      </c>
      <c r="AI1046" s="1084"/>
      <c r="AJ1046" s="1119"/>
      <c r="AK1046" s="1119"/>
      <c r="AL1046" s="1119"/>
      <c r="AM1046" s="1119"/>
      <c r="AN1046" s="1203"/>
      <c r="AO1046" s="1204"/>
    </row>
    <row r="1047" spans="1:41" ht="15" customHeight="1">
      <c r="A1047" s="1075"/>
      <c r="B1047" s="1171"/>
      <c r="C1047" s="1076"/>
      <c r="D1047" s="1076"/>
      <c r="E1047" s="1208"/>
      <c r="F1047" s="1208"/>
      <c r="G1047" s="1076"/>
      <c r="H1047" s="1076"/>
      <c r="I1047" s="1076"/>
      <c r="J1047" s="1076"/>
      <c r="K1047" s="1076"/>
      <c r="L1047" s="1076"/>
      <c r="M1047" s="1209"/>
      <c r="N1047" s="1123"/>
      <c r="O1047" s="1119"/>
      <c r="P1047" s="1119"/>
      <c r="Q1047" s="1119"/>
      <c r="R1047" s="1171"/>
      <c r="S1047" s="1196"/>
      <c r="T1047" s="1196"/>
      <c r="U1047" s="1196"/>
      <c r="V1047" s="1084"/>
      <c r="W1047" s="1119"/>
      <c r="X1047" s="1076"/>
      <c r="Y1047" s="108" t="s">
        <v>1613</v>
      </c>
      <c r="Z1047" s="109">
        <v>3188936</v>
      </c>
      <c r="AA1047" s="109">
        <v>-1279108</v>
      </c>
      <c r="AB1047" s="109">
        <f t="shared" si="77"/>
        <v>1909828</v>
      </c>
      <c r="AC1047" s="97">
        <v>42922</v>
      </c>
      <c r="AD1047" s="119">
        <v>1909828</v>
      </c>
      <c r="AE1047" s="98" t="s">
        <v>7</v>
      </c>
      <c r="AF1047" s="1084"/>
      <c r="AG1047" s="1084"/>
      <c r="AH1047" s="111">
        <f t="shared" si="78"/>
        <v>0</v>
      </c>
      <c r="AI1047" s="1084"/>
      <c r="AJ1047" s="1119"/>
      <c r="AK1047" s="1119"/>
      <c r="AL1047" s="1119"/>
      <c r="AM1047" s="1119"/>
      <c r="AN1047" s="1203"/>
      <c r="AO1047" s="1204"/>
    </row>
    <row r="1048" spans="1:41" ht="15" customHeight="1">
      <c r="A1048" s="1075"/>
      <c r="B1048" s="1171"/>
      <c r="C1048" s="1076" t="s">
        <v>24</v>
      </c>
      <c r="D1048" s="1076"/>
      <c r="E1048" s="1208"/>
      <c r="F1048" s="1208"/>
      <c r="G1048" s="1076"/>
      <c r="H1048" s="1076"/>
      <c r="I1048" s="1076"/>
      <c r="J1048" s="1076"/>
      <c r="K1048" s="1076"/>
      <c r="L1048" s="1076"/>
      <c r="M1048" s="1209">
        <v>260</v>
      </c>
      <c r="N1048" s="1123" t="s">
        <v>7</v>
      </c>
      <c r="O1048" s="1119">
        <v>11458298</v>
      </c>
      <c r="P1048" s="1119">
        <v>11458298</v>
      </c>
      <c r="Q1048" s="1119"/>
      <c r="R1048" s="1171">
        <v>41214</v>
      </c>
      <c r="S1048" s="1196">
        <f>T1048</f>
        <v>11458298</v>
      </c>
      <c r="T1048" s="1196">
        <v>11458298</v>
      </c>
      <c r="U1048" s="1196">
        <f>O1048-T1048</f>
        <v>0</v>
      </c>
      <c r="V1048" s="1084">
        <v>11449283.310000001</v>
      </c>
      <c r="W1048" s="1119"/>
      <c r="X1048" s="1076"/>
      <c r="Y1048" s="108" t="s">
        <v>1596</v>
      </c>
      <c r="Z1048" s="109">
        <v>0</v>
      </c>
      <c r="AA1048" s="109">
        <v>4579713.324</v>
      </c>
      <c r="AB1048" s="109">
        <f t="shared" si="77"/>
        <v>4579713.324</v>
      </c>
      <c r="AC1048" s="97">
        <v>41464</v>
      </c>
      <c r="AD1048" s="119">
        <v>4579713.32</v>
      </c>
      <c r="AE1048" s="98" t="s">
        <v>7</v>
      </c>
      <c r="AF1048" s="1084">
        <f>SUM(AD1048:AD1051)</f>
        <v>11442581.84</v>
      </c>
      <c r="AG1048" s="1084"/>
      <c r="AH1048" s="111">
        <f t="shared" si="78"/>
        <v>3.9999997243285179E-3</v>
      </c>
      <c r="AI1048" s="1084">
        <f>P1048-SUM(AD1048:AD1051)</f>
        <v>15716.160000000149</v>
      </c>
      <c r="AJ1048" s="1119"/>
      <c r="AK1048" s="1119">
        <f>P1048-V1048</f>
        <v>9014.6899999994785</v>
      </c>
      <c r="AL1048" s="1119">
        <f>V1048-SUM(Z1048:Z1051)-42637.13</f>
        <v>6701.4700000014927</v>
      </c>
      <c r="AM1048" s="1119">
        <f>AK1048+AL1048</f>
        <v>15716.160000000971</v>
      </c>
      <c r="AN1048" s="1203"/>
      <c r="AO1048" s="1204"/>
    </row>
    <row r="1049" spans="1:41" ht="15" customHeight="1">
      <c r="A1049" s="1075"/>
      <c r="B1049" s="1171"/>
      <c r="C1049" s="1076"/>
      <c r="D1049" s="1076"/>
      <c r="E1049" s="1208"/>
      <c r="F1049" s="1208"/>
      <c r="G1049" s="1076"/>
      <c r="H1049" s="1076"/>
      <c r="I1049" s="1076"/>
      <c r="J1049" s="1076"/>
      <c r="K1049" s="1076"/>
      <c r="L1049" s="1076"/>
      <c r="M1049" s="1209"/>
      <c r="N1049" s="1123"/>
      <c r="O1049" s="1119"/>
      <c r="P1049" s="1119"/>
      <c r="Q1049" s="1119"/>
      <c r="R1049" s="1171"/>
      <c r="S1049" s="1196"/>
      <c r="T1049" s="1196"/>
      <c r="U1049" s="1196"/>
      <c r="V1049" s="1084"/>
      <c r="W1049" s="1119"/>
      <c r="X1049" s="1076"/>
      <c r="Y1049" s="108" t="s">
        <v>1603</v>
      </c>
      <c r="Z1049" s="109">
        <v>3204313</v>
      </c>
      <c r="AA1049" s="109">
        <v>-1281725</v>
      </c>
      <c r="AB1049" s="109">
        <f t="shared" si="77"/>
        <v>1922588</v>
      </c>
      <c r="AC1049" s="97">
        <v>41849</v>
      </c>
      <c r="AD1049" s="119">
        <v>1922588</v>
      </c>
      <c r="AE1049" s="98" t="s">
        <v>7</v>
      </c>
      <c r="AF1049" s="1084"/>
      <c r="AG1049" s="1084"/>
      <c r="AH1049" s="111">
        <f t="shared" si="78"/>
        <v>0</v>
      </c>
      <c r="AI1049" s="1084"/>
      <c r="AJ1049" s="1119"/>
      <c r="AK1049" s="1119"/>
      <c r="AL1049" s="1119"/>
      <c r="AM1049" s="1119"/>
      <c r="AN1049" s="1203"/>
      <c r="AO1049" s="1204"/>
    </row>
    <row r="1050" spans="1:41" ht="15" customHeight="1">
      <c r="A1050" s="1075"/>
      <c r="B1050" s="1171"/>
      <c r="C1050" s="1076"/>
      <c r="D1050" s="1076"/>
      <c r="E1050" s="1208"/>
      <c r="F1050" s="1208"/>
      <c r="G1050" s="1076"/>
      <c r="H1050" s="1076"/>
      <c r="I1050" s="1076"/>
      <c r="J1050" s="1076"/>
      <c r="K1050" s="1076"/>
      <c r="L1050" s="1076"/>
      <c r="M1050" s="1209"/>
      <c r="N1050" s="1123"/>
      <c r="O1050" s="1119"/>
      <c r="P1050" s="1119"/>
      <c r="Q1050" s="1119"/>
      <c r="R1050" s="1171"/>
      <c r="S1050" s="1196"/>
      <c r="T1050" s="1196"/>
      <c r="U1050" s="1196"/>
      <c r="V1050" s="1084"/>
      <c r="W1050" s="1119"/>
      <c r="X1050" s="1076"/>
      <c r="Y1050" s="108" t="s">
        <v>1606</v>
      </c>
      <c r="Z1050" s="109">
        <v>2462862.86</v>
      </c>
      <c r="AA1050" s="109">
        <v>-985145.29</v>
      </c>
      <c r="AB1050" s="109">
        <f t="shared" si="77"/>
        <v>1477717.5699999998</v>
      </c>
      <c r="AC1050" s="97">
        <v>42088</v>
      </c>
      <c r="AD1050" s="119">
        <v>1477717.57</v>
      </c>
      <c r="AE1050" s="98" t="s">
        <v>7</v>
      </c>
      <c r="AF1050" s="1084"/>
      <c r="AG1050" s="1084"/>
      <c r="AH1050" s="111">
        <f t="shared" si="78"/>
        <v>0</v>
      </c>
      <c r="AI1050" s="1084"/>
      <c r="AJ1050" s="1119"/>
      <c r="AK1050" s="1119"/>
      <c r="AL1050" s="1119"/>
      <c r="AM1050" s="1119"/>
      <c r="AN1050" s="1203"/>
      <c r="AO1050" s="1204"/>
    </row>
    <row r="1051" spans="1:41" ht="15" customHeight="1">
      <c r="A1051" s="1075"/>
      <c r="B1051" s="1171"/>
      <c r="C1051" s="1076"/>
      <c r="D1051" s="1076"/>
      <c r="E1051" s="1208"/>
      <c r="F1051" s="1208"/>
      <c r="G1051" s="1076"/>
      <c r="H1051" s="1076"/>
      <c r="I1051" s="1076"/>
      <c r="J1051" s="1076"/>
      <c r="K1051" s="1076"/>
      <c r="L1051" s="1076"/>
      <c r="M1051" s="1209"/>
      <c r="N1051" s="1123"/>
      <c r="O1051" s="1119"/>
      <c r="P1051" s="1119"/>
      <c r="Q1051" s="1119"/>
      <c r="R1051" s="1171"/>
      <c r="S1051" s="1196"/>
      <c r="T1051" s="1196"/>
      <c r="U1051" s="1196"/>
      <c r="V1051" s="1084"/>
      <c r="W1051" s="1119"/>
      <c r="X1051" s="1076"/>
      <c r="Y1051" s="108" t="s">
        <v>1609</v>
      </c>
      <c r="Z1051" s="109">
        <v>5732768.8499999996</v>
      </c>
      <c r="AA1051" s="109">
        <v>-2270205.9</v>
      </c>
      <c r="AB1051" s="109">
        <f t="shared" si="77"/>
        <v>3462562.9499999997</v>
      </c>
      <c r="AC1051" s="97">
        <v>42473</v>
      </c>
      <c r="AD1051" s="119">
        <v>3462562.95</v>
      </c>
      <c r="AE1051" s="98" t="s">
        <v>7</v>
      </c>
      <c r="AF1051" s="1084"/>
      <c r="AG1051" s="1084"/>
      <c r="AH1051" s="111">
        <f t="shared" si="78"/>
        <v>0</v>
      </c>
      <c r="AI1051" s="1084"/>
      <c r="AJ1051" s="1119"/>
      <c r="AK1051" s="1119"/>
      <c r="AL1051" s="1119"/>
      <c r="AM1051" s="1119"/>
      <c r="AN1051" s="1203"/>
      <c r="AO1051" s="1204"/>
    </row>
    <row r="1052" spans="1:41" ht="15" customHeight="1">
      <c r="A1052" s="1075"/>
      <c r="B1052" s="1171"/>
      <c r="C1052" s="1076" t="s">
        <v>45</v>
      </c>
      <c r="D1052" s="1076"/>
      <c r="E1052" s="1208"/>
      <c r="F1052" s="1208"/>
      <c r="G1052" s="1076"/>
      <c r="H1052" s="1076"/>
      <c r="I1052" s="1076"/>
      <c r="J1052" s="1076"/>
      <c r="K1052" s="1076"/>
      <c r="L1052" s="1076"/>
      <c r="M1052" s="1209">
        <v>5</v>
      </c>
      <c r="N1052" s="1123" t="s">
        <v>152</v>
      </c>
      <c r="O1052" s="1119">
        <v>133373960</v>
      </c>
      <c r="P1052" s="1119">
        <v>133373960</v>
      </c>
      <c r="Q1052" s="1119"/>
      <c r="R1052" s="1171">
        <v>41080</v>
      </c>
      <c r="S1052" s="1196">
        <f>T1052</f>
        <v>133373960</v>
      </c>
      <c r="T1052" s="1196">
        <v>133373960</v>
      </c>
      <c r="U1052" s="1196">
        <f>O1052-T1052</f>
        <v>0</v>
      </c>
      <c r="V1052" s="1084">
        <v>133269029.52</v>
      </c>
      <c r="W1052" s="1119"/>
      <c r="X1052" s="1076"/>
      <c r="Y1052" s="108" t="s">
        <v>1596</v>
      </c>
      <c r="Z1052" s="109">
        <v>0</v>
      </c>
      <c r="AA1052" s="109">
        <v>53307611.807999998</v>
      </c>
      <c r="AB1052" s="109">
        <f t="shared" si="77"/>
        <v>53307611.807999998</v>
      </c>
      <c r="AC1052" s="97">
        <v>41464</v>
      </c>
      <c r="AD1052" s="119">
        <v>53307611.810000002</v>
      </c>
      <c r="AE1052" s="98" t="s">
        <v>152</v>
      </c>
      <c r="AF1052" s="1084">
        <f>SUM(AD1052:AD1056)</f>
        <v>133269029.52</v>
      </c>
      <c r="AG1052" s="1084"/>
      <c r="AH1052" s="111">
        <f t="shared" si="78"/>
        <v>-2.0000040531158447E-3</v>
      </c>
      <c r="AI1052" s="1084">
        <f>P1052-SUM(AD1052:AD1056)</f>
        <v>104930.48000000417</v>
      </c>
      <c r="AJ1052" s="1119"/>
      <c r="AK1052" s="1119">
        <f>P1052-V1052</f>
        <v>104930.48000000417</v>
      </c>
      <c r="AL1052" s="1119">
        <v>0</v>
      </c>
      <c r="AM1052" s="1119">
        <f>AK1052+AL1052</f>
        <v>104930.48000000417</v>
      </c>
      <c r="AN1052" s="1203"/>
      <c r="AO1052" s="1204"/>
    </row>
    <row r="1053" spans="1:41" ht="15" customHeight="1">
      <c r="A1053" s="1075"/>
      <c r="B1053" s="1171"/>
      <c r="C1053" s="1076"/>
      <c r="D1053" s="1076"/>
      <c r="E1053" s="1208"/>
      <c r="F1053" s="1208"/>
      <c r="G1053" s="1076"/>
      <c r="H1053" s="1076"/>
      <c r="I1053" s="1076"/>
      <c r="J1053" s="1076"/>
      <c r="K1053" s="1076"/>
      <c r="L1053" s="1076"/>
      <c r="M1053" s="1209"/>
      <c r="N1053" s="1123"/>
      <c r="O1053" s="1119"/>
      <c r="P1053" s="1119"/>
      <c r="Q1053" s="1119"/>
      <c r="R1053" s="1171"/>
      <c r="S1053" s="1196"/>
      <c r="T1053" s="1196"/>
      <c r="U1053" s="1196"/>
      <c r="V1053" s="1084"/>
      <c r="W1053" s="1119"/>
      <c r="X1053" s="1076"/>
      <c r="Y1053" s="108" t="s">
        <v>1600</v>
      </c>
      <c r="Z1053" s="109">
        <v>63987456</v>
      </c>
      <c r="AA1053" s="109">
        <v>-25594982</v>
      </c>
      <c r="AB1053" s="109">
        <f t="shared" si="77"/>
        <v>38392474</v>
      </c>
      <c r="AC1053" s="97">
        <v>41627</v>
      </c>
      <c r="AD1053" s="119">
        <v>38392474</v>
      </c>
      <c r="AE1053" s="98" t="s">
        <v>152</v>
      </c>
      <c r="AF1053" s="1084"/>
      <c r="AG1053" s="1084"/>
      <c r="AH1053" s="111">
        <f t="shared" si="78"/>
        <v>0</v>
      </c>
      <c r="AI1053" s="1084"/>
      <c r="AJ1053" s="1119"/>
      <c r="AK1053" s="1119"/>
      <c r="AL1053" s="1119"/>
      <c r="AM1053" s="1119"/>
      <c r="AN1053" s="1203"/>
      <c r="AO1053" s="1204"/>
    </row>
    <row r="1054" spans="1:41" ht="15" customHeight="1">
      <c r="A1054" s="1075"/>
      <c r="B1054" s="1171"/>
      <c r="C1054" s="1076"/>
      <c r="D1054" s="1076"/>
      <c r="E1054" s="1208"/>
      <c r="F1054" s="1208"/>
      <c r="G1054" s="1076"/>
      <c r="H1054" s="1076"/>
      <c r="I1054" s="1076"/>
      <c r="J1054" s="1076"/>
      <c r="K1054" s="1076"/>
      <c r="L1054" s="1076"/>
      <c r="M1054" s="1209"/>
      <c r="N1054" s="1123"/>
      <c r="O1054" s="1119"/>
      <c r="P1054" s="1119"/>
      <c r="Q1054" s="1119"/>
      <c r="R1054" s="1171"/>
      <c r="S1054" s="1196"/>
      <c r="T1054" s="1196"/>
      <c r="U1054" s="1196"/>
      <c r="V1054" s="1084"/>
      <c r="W1054" s="1119"/>
      <c r="X1054" s="1076"/>
      <c r="Y1054" s="108" t="s">
        <v>1602</v>
      </c>
      <c r="Z1054" s="109">
        <v>33326800</v>
      </c>
      <c r="AA1054" s="109">
        <v>-13330720</v>
      </c>
      <c r="AB1054" s="109">
        <f t="shared" si="77"/>
        <v>19996080</v>
      </c>
      <c r="AC1054" s="97">
        <v>41849</v>
      </c>
      <c r="AD1054" s="119">
        <v>19996080</v>
      </c>
      <c r="AE1054" s="98" t="s">
        <v>152</v>
      </c>
      <c r="AF1054" s="1084"/>
      <c r="AG1054" s="1084"/>
      <c r="AH1054" s="111">
        <f t="shared" si="78"/>
        <v>0</v>
      </c>
      <c r="AI1054" s="1084"/>
      <c r="AJ1054" s="1119"/>
      <c r="AK1054" s="1119"/>
      <c r="AL1054" s="1119"/>
      <c r="AM1054" s="1119"/>
      <c r="AN1054" s="1203"/>
      <c r="AO1054" s="1204"/>
    </row>
    <row r="1055" spans="1:41" ht="15" customHeight="1">
      <c r="A1055" s="1075"/>
      <c r="B1055" s="1171"/>
      <c r="C1055" s="1076"/>
      <c r="D1055" s="1076"/>
      <c r="E1055" s="1208"/>
      <c r="F1055" s="1208"/>
      <c r="G1055" s="1076"/>
      <c r="H1055" s="1076"/>
      <c r="I1055" s="1076"/>
      <c r="J1055" s="1076"/>
      <c r="K1055" s="1076"/>
      <c r="L1055" s="1076"/>
      <c r="M1055" s="1209"/>
      <c r="N1055" s="1123"/>
      <c r="O1055" s="1119"/>
      <c r="P1055" s="1119"/>
      <c r="Q1055" s="1119"/>
      <c r="R1055" s="1171"/>
      <c r="S1055" s="1196"/>
      <c r="T1055" s="1196"/>
      <c r="U1055" s="1196"/>
      <c r="V1055" s="1084"/>
      <c r="W1055" s="1119"/>
      <c r="X1055" s="1076"/>
      <c r="Y1055" s="108" t="s">
        <v>1604</v>
      </c>
      <c r="Z1055" s="109">
        <v>22662224</v>
      </c>
      <c r="AA1055" s="109">
        <v>-9064890</v>
      </c>
      <c r="AB1055" s="109">
        <f t="shared" si="77"/>
        <v>13597334</v>
      </c>
      <c r="AC1055" s="97">
        <v>42088</v>
      </c>
      <c r="AD1055" s="119">
        <v>13597334</v>
      </c>
      <c r="AE1055" s="98" t="s">
        <v>152</v>
      </c>
      <c r="AF1055" s="1084"/>
      <c r="AG1055" s="1084"/>
      <c r="AH1055" s="111">
        <f t="shared" si="78"/>
        <v>0</v>
      </c>
      <c r="AI1055" s="1084"/>
      <c r="AJ1055" s="1119"/>
      <c r="AK1055" s="1119"/>
      <c r="AL1055" s="1119"/>
      <c r="AM1055" s="1119"/>
      <c r="AN1055" s="1203"/>
      <c r="AO1055" s="1204"/>
    </row>
    <row r="1056" spans="1:41" ht="15" customHeight="1">
      <c r="A1056" s="1075"/>
      <c r="B1056" s="1171"/>
      <c r="C1056" s="1076"/>
      <c r="D1056" s="1076"/>
      <c r="E1056" s="1208"/>
      <c r="F1056" s="1208"/>
      <c r="G1056" s="1076"/>
      <c r="H1056" s="1076"/>
      <c r="I1056" s="1076"/>
      <c r="J1056" s="1076"/>
      <c r="K1056" s="1076"/>
      <c r="L1056" s="1076"/>
      <c r="M1056" s="1209"/>
      <c r="N1056" s="1123"/>
      <c r="O1056" s="1119"/>
      <c r="P1056" s="1119"/>
      <c r="Q1056" s="1119"/>
      <c r="R1056" s="1171"/>
      <c r="S1056" s="1196"/>
      <c r="T1056" s="1196"/>
      <c r="U1056" s="1196"/>
      <c r="V1056" s="1084"/>
      <c r="W1056" s="1119"/>
      <c r="X1056" s="1076"/>
      <c r="Y1056" s="108" t="s">
        <v>1610</v>
      </c>
      <c r="Z1056" s="109">
        <v>13330720</v>
      </c>
      <c r="AA1056" s="109">
        <v>-5355190.29</v>
      </c>
      <c r="AB1056" s="109">
        <f t="shared" si="77"/>
        <v>7975529.71</v>
      </c>
      <c r="AC1056" s="97">
        <v>42473</v>
      </c>
      <c r="AD1056" s="119">
        <v>7975529.71</v>
      </c>
      <c r="AE1056" s="98" t="s">
        <v>152</v>
      </c>
      <c r="AF1056" s="1084"/>
      <c r="AG1056" s="1084"/>
      <c r="AH1056" s="111">
        <f t="shared" si="78"/>
        <v>0</v>
      </c>
      <c r="AI1056" s="1084"/>
      <c r="AJ1056" s="1119"/>
      <c r="AK1056" s="1119"/>
      <c r="AL1056" s="1119"/>
      <c r="AM1056" s="1119"/>
      <c r="AN1056" s="1203"/>
      <c r="AO1056" s="1204"/>
    </row>
    <row r="1057" spans="1:43" ht="15" customHeight="1">
      <c r="A1057" s="1075"/>
      <c r="B1057" s="1171"/>
      <c r="C1057" s="1076" t="s">
        <v>24</v>
      </c>
      <c r="D1057" s="1076"/>
      <c r="E1057" s="1208"/>
      <c r="F1057" s="1208"/>
      <c r="G1057" s="1076"/>
      <c r="H1057" s="1076"/>
      <c r="I1057" s="1076"/>
      <c r="J1057" s="1076"/>
      <c r="K1057" s="1076"/>
      <c r="L1057" s="1076"/>
      <c r="M1057" s="1209">
        <v>258</v>
      </c>
      <c r="N1057" s="1123" t="s">
        <v>7</v>
      </c>
      <c r="O1057" s="1119">
        <v>4499221</v>
      </c>
      <c r="P1057" s="1119">
        <v>4499221</v>
      </c>
      <c r="Q1057" s="1119"/>
      <c r="R1057" s="1171">
        <v>41212</v>
      </c>
      <c r="S1057" s="1196">
        <f>T1057</f>
        <v>4499221</v>
      </c>
      <c r="T1057" s="1196">
        <v>4499221</v>
      </c>
      <c r="U1057" s="1196">
        <f>O1057-T1057</f>
        <v>0</v>
      </c>
      <c r="V1057" s="1084">
        <v>4495681.29</v>
      </c>
      <c r="W1057" s="1119"/>
      <c r="X1057" s="1076"/>
      <c r="Y1057" s="108" t="s">
        <v>1596</v>
      </c>
      <c r="Z1057" s="109">
        <v>0</v>
      </c>
      <c r="AA1057" s="109">
        <v>1798272.5160000001</v>
      </c>
      <c r="AB1057" s="109">
        <f t="shared" si="77"/>
        <v>1798272.5160000001</v>
      </c>
      <c r="AC1057" s="97">
        <v>41464</v>
      </c>
      <c r="AD1057" s="119">
        <v>1798272.52</v>
      </c>
      <c r="AE1057" s="98" t="s">
        <v>7</v>
      </c>
      <c r="AF1057" s="1084">
        <f>SUM(AD1057:AD1060)</f>
        <v>4495681.29</v>
      </c>
      <c r="AG1057" s="1084"/>
      <c r="AH1057" s="111">
        <f t="shared" si="78"/>
        <v>-3.9999999571591616E-3</v>
      </c>
      <c r="AI1057" s="1084">
        <f>P1057-SUM(AD1057:AD1060)</f>
        <v>3539.7099999999627</v>
      </c>
      <c r="AJ1057" s="1119"/>
      <c r="AK1057" s="1119">
        <f>P1057-V1057</f>
        <v>3539.7099999999627</v>
      </c>
      <c r="AL1057" s="1119">
        <f>V1057-SUM(Z1057:Z1060)</f>
        <v>0</v>
      </c>
      <c r="AM1057" s="1119">
        <f>AK1057+AL1057</f>
        <v>3539.7099999999627</v>
      </c>
      <c r="AN1057" s="1203"/>
      <c r="AO1057" s="1204"/>
    </row>
    <row r="1058" spans="1:43" ht="15" customHeight="1">
      <c r="A1058" s="1075"/>
      <c r="B1058" s="1171"/>
      <c r="C1058" s="1076"/>
      <c r="D1058" s="1076"/>
      <c r="E1058" s="1208"/>
      <c r="F1058" s="1208"/>
      <c r="G1058" s="1076"/>
      <c r="H1058" s="1076"/>
      <c r="I1058" s="1076"/>
      <c r="J1058" s="1076"/>
      <c r="K1058" s="1076"/>
      <c r="L1058" s="1076"/>
      <c r="M1058" s="1209"/>
      <c r="N1058" s="1123"/>
      <c r="O1058" s="1119"/>
      <c r="P1058" s="1119"/>
      <c r="Q1058" s="1119"/>
      <c r="R1058" s="1171"/>
      <c r="S1058" s="1196"/>
      <c r="T1058" s="1196"/>
      <c r="U1058" s="1196"/>
      <c r="V1058" s="1084"/>
      <c r="W1058" s="1119"/>
      <c r="X1058" s="1076"/>
      <c r="Y1058" s="108" t="s">
        <v>1603</v>
      </c>
      <c r="Z1058" s="109">
        <v>1258207</v>
      </c>
      <c r="AA1058" s="109">
        <v>-503283</v>
      </c>
      <c r="AB1058" s="109">
        <f t="shared" si="77"/>
        <v>754924</v>
      </c>
      <c r="AC1058" s="97">
        <v>41849</v>
      </c>
      <c r="AD1058" s="119">
        <v>754924</v>
      </c>
      <c r="AE1058" s="98" t="s">
        <v>7</v>
      </c>
      <c r="AF1058" s="1084"/>
      <c r="AG1058" s="1084"/>
      <c r="AH1058" s="111">
        <f t="shared" si="78"/>
        <v>0</v>
      </c>
      <c r="AI1058" s="1084"/>
      <c r="AJ1058" s="1119"/>
      <c r="AK1058" s="1119"/>
      <c r="AL1058" s="1119"/>
      <c r="AM1058" s="1119"/>
      <c r="AN1058" s="1203"/>
      <c r="AO1058" s="1204"/>
    </row>
    <row r="1059" spans="1:43" ht="15" customHeight="1">
      <c r="A1059" s="1075"/>
      <c r="B1059" s="1171"/>
      <c r="C1059" s="1076"/>
      <c r="D1059" s="1076"/>
      <c r="E1059" s="1208"/>
      <c r="F1059" s="1208"/>
      <c r="G1059" s="1076"/>
      <c r="H1059" s="1076"/>
      <c r="I1059" s="1076"/>
      <c r="J1059" s="1076"/>
      <c r="K1059" s="1076"/>
      <c r="L1059" s="1076"/>
      <c r="M1059" s="1209"/>
      <c r="N1059" s="1123"/>
      <c r="O1059" s="1119"/>
      <c r="P1059" s="1119"/>
      <c r="Q1059" s="1119"/>
      <c r="R1059" s="1171"/>
      <c r="S1059" s="1196"/>
      <c r="T1059" s="1196"/>
      <c r="U1059" s="1196"/>
      <c r="V1059" s="1084"/>
      <c r="W1059" s="1119"/>
      <c r="X1059" s="1076"/>
      <c r="Y1059" s="108" t="s">
        <v>1606</v>
      </c>
      <c r="Z1059" s="109">
        <v>967069.14</v>
      </c>
      <c r="AA1059" s="109">
        <v>-386827.71</v>
      </c>
      <c r="AB1059" s="109">
        <f t="shared" si="77"/>
        <v>580241.42999999993</v>
      </c>
      <c r="AC1059" s="97">
        <v>42088</v>
      </c>
      <c r="AD1059" s="119">
        <v>580241.43000000005</v>
      </c>
      <c r="AE1059" s="98" t="s">
        <v>7</v>
      </c>
      <c r="AF1059" s="1084"/>
      <c r="AG1059" s="1084"/>
      <c r="AH1059" s="111">
        <f t="shared" si="78"/>
        <v>0</v>
      </c>
      <c r="AI1059" s="1084"/>
      <c r="AJ1059" s="1119"/>
      <c r="AK1059" s="1119"/>
      <c r="AL1059" s="1119"/>
      <c r="AM1059" s="1119"/>
      <c r="AN1059" s="1203"/>
      <c r="AO1059" s="1204"/>
    </row>
    <row r="1060" spans="1:43" ht="15" customHeight="1">
      <c r="A1060" s="1075"/>
      <c r="B1060" s="1171"/>
      <c r="C1060" s="1076"/>
      <c r="D1060" s="1076"/>
      <c r="E1060" s="1208"/>
      <c r="F1060" s="1208"/>
      <c r="G1060" s="1076"/>
      <c r="H1060" s="1076"/>
      <c r="I1060" s="1076"/>
      <c r="J1060" s="1076"/>
      <c r="K1060" s="1076"/>
      <c r="L1060" s="1076"/>
      <c r="M1060" s="1209"/>
      <c r="N1060" s="1123"/>
      <c r="O1060" s="1119"/>
      <c r="P1060" s="1119"/>
      <c r="Q1060" s="1119"/>
      <c r="R1060" s="1171"/>
      <c r="S1060" s="1196"/>
      <c r="T1060" s="1196"/>
      <c r="U1060" s="1196"/>
      <c r="V1060" s="1084"/>
      <c r="W1060" s="1119"/>
      <c r="X1060" s="1076"/>
      <c r="Y1060" s="108" t="s">
        <v>1609</v>
      </c>
      <c r="Z1060" s="109">
        <v>2270405.15</v>
      </c>
      <c r="AA1060" s="109">
        <v>-908161.81</v>
      </c>
      <c r="AB1060" s="109">
        <f t="shared" si="77"/>
        <v>1362243.3399999999</v>
      </c>
      <c r="AC1060" s="97">
        <v>42473</v>
      </c>
      <c r="AD1060" s="119">
        <v>1362243.34</v>
      </c>
      <c r="AE1060" s="98" t="s">
        <v>7</v>
      </c>
      <c r="AF1060" s="1084"/>
      <c r="AG1060" s="1084"/>
      <c r="AH1060" s="111">
        <f t="shared" si="78"/>
        <v>0</v>
      </c>
      <c r="AI1060" s="1084"/>
      <c r="AJ1060" s="1119"/>
      <c r="AK1060" s="1119"/>
      <c r="AL1060" s="1119"/>
      <c r="AM1060" s="1119"/>
      <c r="AN1060" s="1203"/>
      <c r="AO1060" s="1204"/>
    </row>
    <row r="1061" spans="1:43" ht="15" customHeight="1">
      <c r="A1061" s="1075"/>
      <c r="B1061" s="1171"/>
      <c r="C1061" s="113" t="s">
        <v>11</v>
      </c>
      <c r="D1061" s="1076"/>
      <c r="E1061" s="1208"/>
      <c r="F1061" s="1208"/>
      <c r="G1061" s="1076"/>
      <c r="H1061" s="1076"/>
      <c r="I1061" s="1076"/>
      <c r="J1061" s="113" t="s">
        <v>67</v>
      </c>
      <c r="K1061" s="1076"/>
      <c r="L1061" s="1076"/>
      <c r="M1061" s="102">
        <v>4</v>
      </c>
      <c r="N1061" s="108" t="s">
        <v>131</v>
      </c>
      <c r="O1061" s="109">
        <v>3069541</v>
      </c>
      <c r="P1061" s="109">
        <v>3069541</v>
      </c>
      <c r="Q1061" s="1119"/>
      <c r="R1061" s="97">
        <v>41795</v>
      </c>
      <c r="S1061" s="110">
        <f>T1061</f>
        <v>3069541</v>
      </c>
      <c r="T1061" s="109">
        <v>3069541</v>
      </c>
      <c r="U1061" s="109">
        <f>O1061-T1061</f>
        <v>0</v>
      </c>
      <c r="V1061" s="111">
        <v>3069541</v>
      </c>
      <c r="W1061" s="1119"/>
      <c r="X1061" s="1076"/>
      <c r="Y1061" s="108" t="s">
        <v>1608</v>
      </c>
      <c r="Z1061" s="109">
        <v>3069541</v>
      </c>
      <c r="AA1061" s="109">
        <v>0</v>
      </c>
      <c r="AB1061" s="109">
        <f t="shared" si="77"/>
        <v>3069541</v>
      </c>
      <c r="AC1061" s="97">
        <v>42081</v>
      </c>
      <c r="AD1061" s="119">
        <v>3069541</v>
      </c>
      <c r="AE1061" s="98" t="s">
        <v>131</v>
      </c>
      <c r="AF1061" s="111">
        <f>AD1061</f>
        <v>3069541</v>
      </c>
      <c r="AG1061" s="1084"/>
      <c r="AH1061" s="111">
        <f t="shared" si="78"/>
        <v>0</v>
      </c>
      <c r="AI1061" s="111">
        <f>P1061-AD1061</f>
        <v>0</v>
      </c>
      <c r="AJ1061" s="1119"/>
      <c r="AK1061" s="109">
        <f>P1061-V1061</f>
        <v>0</v>
      </c>
      <c r="AL1061" s="109">
        <f>V1061-Z1061</f>
        <v>0</v>
      </c>
      <c r="AM1061" s="109">
        <f>AK1061+AL1061</f>
        <v>0</v>
      </c>
      <c r="AN1061" s="1203"/>
      <c r="AO1061" s="1204"/>
    </row>
    <row r="1062" spans="1:43" ht="15" customHeight="1">
      <c r="A1062" s="1075"/>
      <c r="B1062" s="1171"/>
      <c r="C1062" s="1076" t="s">
        <v>45</v>
      </c>
      <c r="D1062" s="1076"/>
      <c r="E1062" s="1208"/>
      <c r="F1062" s="1208"/>
      <c r="G1062" s="1076"/>
      <c r="H1062" s="1076"/>
      <c r="I1062" s="1076"/>
      <c r="J1062" s="1076" t="s">
        <v>171</v>
      </c>
      <c r="K1062" s="1076"/>
      <c r="L1062" s="1076"/>
      <c r="M1062" s="1209">
        <v>311</v>
      </c>
      <c r="N1062" s="1123" t="s">
        <v>137</v>
      </c>
      <c r="O1062" s="1119">
        <v>48926798</v>
      </c>
      <c r="P1062" s="1119">
        <v>48926798</v>
      </c>
      <c r="Q1062" s="1119"/>
      <c r="R1062" s="1171">
        <v>41955</v>
      </c>
      <c r="S1062" s="1196">
        <f>T1062</f>
        <v>48926798</v>
      </c>
      <c r="T1062" s="1119">
        <v>48926798</v>
      </c>
      <c r="U1062" s="1119">
        <f>O1062-T1062</f>
        <v>0</v>
      </c>
      <c r="V1062" s="1084">
        <v>48926798</v>
      </c>
      <c r="W1062" s="1119"/>
      <c r="X1062" s="1076"/>
      <c r="Y1062" s="108" t="s">
        <v>1611</v>
      </c>
      <c r="Z1062" s="109">
        <v>12231700</v>
      </c>
      <c r="AA1062" s="109">
        <v>0</v>
      </c>
      <c r="AB1062" s="109">
        <f t="shared" si="77"/>
        <v>12231700</v>
      </c>
      <c r="AC1062" s="97">
        <v>42366</v>
      </c>
      <c r="AD1062" s="119">
        <v>12231700</v>
      </c>
      <c r="AE1062" s="98" t="s">
        <v>137</v>
      </c>
      <c r="AF1062" s="1084">
        <f>AD1062+AD1063</f>
        <v>48926797</v>
      </c>
      <c r="AG1062" s="1084"/>
      <c r="AH1062" s="111">
        <f t="shared" si="78"/>
        <v>0</v>
      </c>
      <c r="AI1062" s="1084">
        <f>P1062-SUM(AD1062:AD1063)</f>
        <v>1</v>
      </c>
      <c r="AJ1062" s="1119"/>
      <c r="AK1062" s="1119">
        <f>P1062-V1062</f>
        <v>0</v>
      </c>
      <c r="AL1062" s="1119">
        <f>V1062-Z1062-Z1063</f>
        <v>1</v>
      </c>
      <c r="AM1062" s="1119">
        <f>AK1062+AL1062</f>
        <v>1</v>
      </c>
      <c r="AN1062" s="1203"/>
      <c r="AO1062" s="1204"/>
    </row>
    <row r="1063" spans="1:43" ht="15" customHeight="1">
      <c r="A1063" s="1075"/>
      <c r="B1063" s="1171"/>
      <c r="C1063" s="1076"/>
      <c r="D1063" s="1076"/>
      <c r="E1063" s="1208"/>
      <c r="F1063" s="1208"/>
      <c r="G1063" s="1076"/>
      <c r="H1063" s="1076"/>
      <c r="I1063" s="1076"/>
      <c r="J1063" s="1076"/>
      <c r="K1063" s="1076"/>
      <c r="L1063" s="1076"/>
      <c r="M1063" s="1209"/>
      <c r="N1063" s="1123"/>
      <c r="O1063" s="1119"/>
      <c r="P1063" s="1119"/>
      <c r="Q1063" s="1119"/>
      <c r="R1063" s="1171"/>
      <c r="S1063" s="1196"/>
      <c r="T1063" s="1119"/>
      <c r="U1063" s="1119"/>
      <c r="V1063" s="1084"/>
      <c r="W1063" s="1119"/>
      <c r="X1063" s="1076"/>
      <c r="Y1063" s="108" t="s">
        <v>1614</v>
      </c>
      <c r="Z1063" s="109">
        <v>36695097</v>
      </c>
      <c r="AA1063" s="109">
        <v>0</v>
      </c>
      <c r="AB1063" s="109">
        <f t="shared" si="77"/>
        <v>36695097</v>
      </c>
      <c r="AC1063" s="97">
        <v>42922</v>
      </c>
      <c r="AD1063" s="119">
        <v>36695097</v>
      </c>
      <c r="AE1063" s="98" t="s">
        <v>137</v>
      </c>
      <c r="AF1063" s="1084"/>
      <c r="AG1063" s="1084"/>
      <c r="AH1063" s="111">
        <f t="shared" si="78"/>
        <v>0</v>
      </c>
      <c r="AI1063" s="1084"/>
      <c r="AJ1063" s="1119"/>
      <c r="AK1063" s="1119"/>
      <c r="AL1063" s="1119"/>
      <c r="AM1063" s="1119"/>
      <c r="AN1063" s="1203"/>
      <c r="AO1063" s="1204"/>
    </row>
    <row r="1064" spans="1:43" ht="15" customHeight="1">
      <c r="A1064" s="1075"/>
      <c r="B1064" s="1171"/>
      <c r="C1064" s="113" t="s">
        <v>24</v>
      </c>
      <c r="D1064" s="1076"/>
      <c r="E1064" s="1208"/>
      <c r="F1064" s="1208"/>
      <c r="G1064" s="1076"/>
      <c r="H1064" s="1076"/>
      <c r="I1064" s="1076"/>
      <c r="J1064" s="113" t="s">
        <v>172</v>
      </c>
      <c r="K1064" s="1076"/>
      <c r="L1064" s="1076"/>
      <c r="M1064" s="108">
        <v>11</v>
      </c>
      <c r="N1064" s="108" t="s">
        <v>147</v>
      </c>
      <c r="O1064" s="109">
        <v>1469764</v>
      </c>
      <c r="P1064" s="109">
        <v>1469764</v>
      </c>
      <c r="Q1064" s="1119"/>
      <c r="R1064" s="97">
        <v>42044</v>
      </c>
      <c r="S1064" s="110">
        <f>T1064</f>
        <v>1469764</v>
      </c>
      <c r="T1064" s="109">
        <v>1469764</v>
      </c>
      <c r="U1064" s="109">
        <f>O1064-T1064</f>
        <v>0</v>
      </c>
      <c r="V1064" s="111">
        <v>1469764</v>
      </c>
      <c r="W1064" s="1119"/>
      <c r="X1064" s="1076"/>
      <c r="Y1064" s="108" t="s">
        <v>1612</v>
      </c>
      <c r="Z1064" s="109">
        <v>1469764</v>
      </c>
      <c r="AA1064" s="109">
        <v>0</v>
      </c>
      <c r="AB1064" s="109">
        <f t="shared" si="77"/>
        <v>1469764</v>
      </c>
      <c r="AC1064" s="97">
        <v>42366</v>
      </c>
      <c r="AD1064" s="119">
        <v>1469764</v>
      </c>
      <c r="AE1064" s="98" t="s">
        <v>147</v>
      </c>
      <c r="AF1064" s="111">
        <f>AD1064</f>
        <v>1469764</v>
      </c>
      <c r="AG1064" s="1084"/>
      <c r="AH1064" s="111">
        <f t="shared" si="78"/>
        <v>0</v>
      </c>
      <c r="AI1064" s="111">
        <f>P1064-AD1064</f>
        <v>0</v>
      </c>
      <c r="AJ1064" s="1119"/>
      <c r="AK1064" s="109">
        <f>P1064-V1064</f>
        <v>0</v>
      </c>
      <c r="AL1064" s="109">
        <f>V1064-Z1064</f>
        <v>0</v>
      </c>
      <c r="AM1064" s="109">
        <f>AK1064+AL1064</f>
        <v>0</v>
      </c>
      <c r="AN1064" s="1203"/>
      <c r="AO1064" s="1204"/>
    </row>
    <row r="1065" spans="1:43" ht="15" customHeight="1">
      <c r="A1065" s="1075" t="s">
        <v>1548</v>
      </c>
      <c r="B1065" s="1171">
        <v>41473</v>
      </c>
      <c r="C1065" s="1076" t="s">
        <v>1297</v>
      </c>
      <c r="D1065" s="1076" t="s">
        <v>1481</v>
      </c>
      <c r="E1065" s="1208">
        <v>76305303</v>
      </c>
      <c r="F1065" s="1208"/>
      <c r="G1065" s="1076" t="s">
        <v>1549</v>
      </c>
      <c r="H1065" s="1076" t="s">
        <v>71</v>
      </c>
      <c r="I1065" s="1076" t="s">
        <v>1221</v>
      </c>
      <c r="J1065" s="1076" t="s">
        <v>66</v>
      </c>
      <c r="K1065" s="1076" t="s">
        <v>183</v>
      </c>
      <c r="L1065" s="1076" t="s">
        <v>1555</v>
      </c>
      <c r="M1065" s="1245">
        <v>275</v>
      </c>
      <c r="N1065" s="1123" t="s">
        <v>7</v>
      </c>
      <c r="O1065" s="1119">
        <v>120451283</v>
      </c>
      <c r="P1065" s="1119">
        <v>120451283</v>
      </c>
      <c r="Q1065" s="1119">
        <f>P1065+P1067+P1069</f>
        <v>261987320</v>
      </c>
      <c r="R1065" s="1171">
        <v>41309</v>
      </c>
      <c r="S1065" s="1196">
        <f>T1065</f>
        <v>120451283</v>
      </c>
      <c r="T1065" s="1196">
        <v>120451283</v>
      </c>
      <c r="U1065" s="1196">
        <f>O1065-T1065</f>
        <v>0</v>
      </c>
      <c r="V1065" s="1119">
        <v>118828317</v>
      </c>
      <c r="W1065" s="1119">
        <f>V1065+V1067+V1069</f>
        <v>259231023</v>
      </c>
      <c r="X1065" s="1076" t="s">
        <v>1550</v>
      </c>
      <c r="Y1065" s="108" t="s">
        <v>1551</v>
      </c>
      <c r="Z1065" s="109">
        <v>106943202</v>
      </c>
      <c r="AA1065" s="109">
        <v>0</v>
      </c>
      <c r="AB1065" s="1002">
        <f t="shared" ref="AB1065:AB1073" si="79">Z1065+AA1065</f>
        <v>106943202</v>
      </c>
      <c r="AC1065" s="97">
        <v>41989</v>
      </c>
      <c r="AD1065" s="119">
        <v>106943202</v>
      </c>
      <c r="AE1065" s="119" t="s">
        <v>7</v>
      </c>
      <c r="AF1065" s="1084">
        <f>SUM(AD1065:AD1066)</f>
        <v>118677169</v>
      </c>
      <c r="AG1065" s="1084">
        <f>AF1065+AF1067+AF1069</f>
        <v>253137342</v>
      </c>
      <c r="AH1065" s="111">
        <f t="shared" ref="AH1065:AH1072" si="80">AB1065-AD1065</f>
        <v>0</v>
      </c>
      <c r="AI1065" s="1084">
        <f>O1065-AD1065-AD1066</f>
        <v>1774114</v>
      </c>
      <c r="AJ1065" s="1119">
        <f>SUM(Z1065:Z1069)-SUM(AD1065:AD1069)</f>
        <v>0</v>
      </c>
      <c r="AK1065" s="1119">
        <f>P1065-V1065</f>
        <v>1622966</v>
      </c>
      <c r="AL1065" s="1119">
        <f>V1065-SUM(Z1065:Z1066)</f>
        <v>151148</v>
      </c>
      <c r="AM1065" s="1119">
        <f>AK1065+AL1065</f>
        <v>1774114</v>
      </c>
      <c r="AN1065" s="1204" t="s">
        <v>1553</v>
      </c>
      <c r="AO1065" s="1204" t="s">
        <v>1556</v>
      </c>
    </row>
    <row r="1066" spans="1:43" ht="15" customHeight="1">
      <c r="A1066" s="1075"/>
      <c r="B1066" s="1171"/>
      <c r="C1066" s="1076"/>
      <c r="D1066" s="1076"/>
      <c r="E1066" s="1208"/>
      <c r="F1066" s="1208"/>
      <c r="G1066" s="1076"/>
      <c r="H1066" s="1076"/>
      <c r="I1066" s="1076"/>
      <c r="J1066" s="1076"/>
      <c r="K1066" s="1076"/>
      <c r="L1066" s="1076"/>
      <c r="M1066" s="1245"/>
      <c r="N1066" s="1123"/>
      <c r="O1066" s="1119"/>
      <c r="P1066" s="1119"/>
      <c r="Q1066" s="1119"/>
      <c r="R1066" s="1171"/>
      <c r="S1066" s="1196"/>
      <c r="T1066" s="1196"/>
      <c r="U1066" s="1196"/>
      <c r="V1066" s="1119"/>
      <c r="W1066" s="1119"/>
      <c r="X1066" s="1076"/>
      <c r="Y1066" s="108" t="s">
        <v>1554</v>
      </c>
      <c r="Z1066" s="109">
        <v>11733967</v>
      </c>
      <c r="AA1066" s="109">
        <v>0</v>
      </c>
      <c r="AB1066" s="109">
        <f t="shared" si="79"/>
        <v>11733967</v>
      </c>
      <c r="AC1066" s="97">
        <v>42983</v>
      </c>
      <c r="AD1066" s="119">
        <v>11733967</v>
      </c>
      <c r="AE1066" s="119" t="s">
        <v>7</v>
      </c>
      <c r="AF1066" s="1084"/>
      <c r="AG1066" s="1084"/>
      <c r="AH1066" s="111">
        <f t="shared" si="80"/>
        <v>0</v>
      </c>
      <c r="AI1066" s="1084"/>
      <c r="AJ1066" s="1119"/>
      <c r="AK1066" s="1119"/>
      <c r="AL1066" s="1119"/>
      <c r="AM1066" s="1119"/>
      <c r="AN1066" s="1204"/>
      <c r="AO1066" s="1204"/>
    </row>
    <row r="1067" spans="1:43" ht="15" customHeight="1">
      <c r="A1067" s="1075"/>
      <c r="B1067" s="1171"/>
      <c r="C1067" s="1076" t="s">
        <v>42</v>
      </c>
      <c r="D1067" s="1076"/>
      <c r="E1067" s="1208"/>
      <c r="F1067" s="1208"/>
      <c r="G1067" s="1076"/>
      <c r="H1067" s="1076"/>
      <c r="I1067" s="1076"/>
      <c r="J1067" s="1076"/>
      <c r="K1067" s="1076"/>
      <c r="L1067" s="1076"/>
      <c r="M1067" s="1245">
        <v>249</v>
      </c>
      <c r="N1067" s="1123" t="s">
        <v>137</v>
      </c>
      <c r="O1067" s="1119">
        <v>84112150</v>
      </c>
      <c r="P1067" s="1119">
        <v>84112150</v>
      </c>
      <c r="Q1067" s="1119"/>
      <c r="R1067" s="1171">
        <v>41165</v>
      </c>
      <c r="S1067" s="1196">
        <f>T1067</f>
        <v>84112150</v>
      </c>
      <c r="T1067" s="1196">
        <v>84112150</v>
      </c>
      <c r="U1067" s="1196">
        <f>O1067-T1067</f>
        <v>0</v>
      </c>
      <c r="V1067" s="1119">
        <v>82978819</v>
      </c>
      <c r="W1067" s="1119"/>
      <c r="X1067" s="1076"/>
      <c r="Y1067" s="108" t="s">
        <v>1552</v>
      </c>
      <c r="Z1067" s="109">
        <v>74679343</v>
      </c>
      <c r="AA1067" s="109">
        <v>0</v>
      </c>
      <c r="AB1067" s="109">
        <f t="shared" si="79"/>
        <v>74679343</v>
      </c>
      <c r="AC1067" s="97">
        <v>41989</v>
      </c>
      <c r="AD1067" s="119">
        <v>74679343</v>
      </c>
      <c r="AE1067" s="119" t="s">
        <v>137</v>
      </c>
      <c r="AF1067" s="1084">
        <f>SUM(AD1067:AD1068)</f>
        <v>82978819</v>
      </c>
      <c r="AG1067" s="1084"/>
      <c r="AH1067" s="111">
        <f t="shared" si="80"/>
        <v>0</v>
      </c>
      <c r="AI1067" s="1084">
        <f>O1067-AD1067-AD1068</f>
        <v>1133331</v>
      </c>
      <c r="AJ1067" s="1119"/>
      <c r="AK1067" s="1119">
        <f>P1067-V1067</f>
        <v>1133331</v>
      </c>
      <c r="AL1067" s="1119">
        <f>V1067-SUM(Z1067:Z1068)</f>
        <v>0</v>
      </c>
      <c r="AM1067" s="1119">
        <f>AK1067+AL1067</f>
        <v>1133331</v>
      </c>
      <c r="AN1067" s="1204"/>
      <c r="AO1067" s="1204"/>
    </row>
    <row r="1068" spans="1:43" ht="15" customHeight="1">
      <c r="A1068" s="1075"/>
      <c r="B1068" s="1171"/>
      <c r="C1068" s="1076"/>
      <c r="D1068" s="1076"/>
      <c r="E1068" s="1208"/>
      <c r="F1068" s="1208"/>
      <c r="G1068" s="1076"/>
      <c r="H1068" s="1076"/>
      <c r="I1068" s="1076"/>
      <c r="J1068" s="1076"/>
      <c r="K1068" s="1076"/>
      <c r="L1068" s="1076"/>
      <c r="M1068" s="1245"/>
      <c r="N1068" s="1123"/>
      <c r="O1068" s="1119"/>
      <c r="P1068" s="1119"/>
      <c r="Q1068" s="1119"/>
      <c r="R1068" s="1171"/>
      <c r="S1068" s="1196"/>
      <c r="T1068" s="1196"/>
      <c r="U1068" s="1196"/>
      <c r="V1068" s="1119"/>
      <c r="W1068" s="1119"/>
      <c r="X1068" s="1076"/>
      <c r="Y1068" s="108" t="s">
        <v>1554</v>
      </c>
      <c r="Z1068" s="109">
        <v>8299476</v>
      </c>
      <c r="AA1068" s="109">
        <v>0</v>
      </c>
      <c r="AB1068" s="1002">
        <f t="shared" si="79"/>
        <v>8299476</v>
      </c>
      <c r="AC1068" s="97">
        <v>42983</v>
      </c>
      <c r="AD1068" s="119">
        <v>8299476</v>
      </c>
      <c r="AE1068" s="119" t="s">
        <v>137</v>
      </c>
      <c r="AF1068" s="1084"/>
      <c r="AG1068" s="1084"/>
      <c r="AH1068" s="111">
        <f t="shared" si="80"/>
        <v>0</v>
      </c>
      <c r="AI1068" s="1084"/>
      <c r="AJ1068" s="1119"/>
      <c r="AK1068" s="1119"/>
      <c r="AL1068" s="1119"/>
      <c r="AM1068" s="1119"/>
      <c r="AN1068" s="1204"/>
      <c r="AO1068" s="1204"/>
    </row>
    <row r="1069" spans="1:43" ht="15" customHeight="1">
      <c r="A1069" s="1075"/>
      <c r="B1069" s="1171"/>
      <c r="C1069" s="113" t="s">
        <v>1297</v>
      </c>
      <c r="D1069" s="1076"/>
      <c r="E1069" s="1208"/>
      <c r="F1069" s="1208"/>
      <c r="G1069" s="1076"/>
      <c r="H1069" s="1076"/>
      <c r="I1069" s="1076"/>
      <c r="J1069" s="113" t="s">
        <v>67</v>
      </c>
      <c r="K1069" s="1076"/>
      <c r="L1069" s="1076"/>
      <c r="M1069" s="132">
        <v>7</v>
      </c>
      <c r="N1069" s="108" t="s">
        <v>144</v>
      </c>
      <c r="O1069" s="109">
        <v>57423887</v>
      </c>
      <c r="P1069" s="109">
        <v>57423887</v>
      </c>
      <c r="Q1069" s="1119"/>
      <c r="R1069" s="97">
        <v>42173</v>
      </c>
      <c r="S1069" s="110">
        <f>T1069</f>
        <v>57423887</v>
      </c>
      <c r="T1069" s="109">
        <v>57423887</v>
      </c>
      <c r="U1069" s="109">
        <f>O1069-T1069</f>
        <v>0</v>
      </c>
      <c r="V1069" s="109">
        <v>57423887</v>
      </c>
      <c r="W1069" s="1119"/>
      <c r="X1069" s="1076"/>
      <c r="Y1069" s="108" t="s">
        <v>1554</v>
      </c>
      <c r="Z1069" s="109">
        <v>51481354</v>
      </c>
      <c r="AA1069" s="109">
        <v>0</v>
      </c>
      <c r="AB1069" s="109">
        <f t="shared" si="79"/>
        <v>51481354</v>
      </c>
      <c r="AC1069" s="97">
        <v>42983</v>
      </c>
      <c r="AD1069" s="119">
        <v>51481354</v>
      </c>
      <c r="AE1069" s="119" t="s">
        <v>144</v>
      </c>
      <c r="AF1069" s="111">
        <f>AD1069</f>
        <v>51481354</v>
      </c>
      <c r="AG1069" s="1084"/>
      <c r="AH1069" s="111">
        <f t="shared" si="80"/>
        <v>0</v>
      </c>
      <c r="AI1069" s="111">
        <f>O1069-AD1069</f>
        <v>5942533</v>
      </c>
      <c r="AJ1069" s="1119"/>
      <c r="AK1069" s="109">
        <f>P1069-V1069</f>
        <v>0</v>
      </c>
      <c r="AL1069" s="109">
        <f>V1069-Z1069</f>
        <v>5942533</v>
      </c>
      <c r="AM1069" s="109">
        <f>AK1069+AL1069</f>
        <v>5942533</v>
      </c>
      <c r="AN1069" s="1204"/>
      <c r="AO1069" s="1204"/>
    </row>
    <row r="1070" spans="1:43" s="4" customFormat="1" ht="15" customHeight="1">
      <c r="A1070" s="1015" t="s">
        <v>1662</v>
      </c>
      <c r="B1070" s="1068">
        <v>41600</v>
      </c>
      <c r="C1070" s="1011" t="s">
        <v>46</v>
      </c>
      <c r="D1070" s="1011" t="s">
        <v>2153</v>
      </c>
      <c r="E1070" s="1011" t="s">
        <v>2152</v>
      </c>
      <c r="F1070" s="1011"/>
      <c r="G1070" s="1011" t="s">
        <v>2151</v>
      </c>
      <c r="H1070" s="1011" t="s">
        <v>71</v>
      </c>
      <c r="I1070" s="1011" t="s">
        <v>2150</v>
      </c>
      <c r="J1070" s="1011" t="s">
        <v>66</v>
      </c>
      <c r="K1070" s="1011" t="s">
        <v>50</v>
      </c>
      <c r="L1070" s="1011"/>
      <c r="M1070" s="1009">
        <v>273</v>
      </c>
      <c r="N1070" s="1065" t="s">
        <v>7</v>
      </c>
      <c r="O1070" s="1062">
        <v>2789231471</v>
      </c>
      <c r="P1070" s="1062">
        <f>O1070+O1075</f>
        <v>3119128922</v>
      </c>
      <c r="Q1070" s="1062">
        <f>P1070</f>
        <v>3119128922</v>
      </c>
      <c r="R1070" s="1068"/>
      <c r="S1070" s="1089"/>
      <c r="T1070" s="1062"/>
      <c r="U1070" s="1062"/>
      <c r="V1070" s="1119">
        <f>SUM(AD1070:AD1074)</f>
        <v>1783587551</v>
      </c>
      <c r="W1070" s="1063">
        <f>SUM(V1070:V1076)</f>
        <v>1908987851</v>
      </c>
      <c r="X1070" s="1011"/>
      <c r="Y1070" s="108" t="s">
        <v>2149</v>
      </c>
      <c r="Z1070" s="109">
        <v>458410686</v>
      </c>
      <c r="AA1070" s="109">
        <v>0</v>
      </c>
      <c r="AB1070" s="109">
        <f t="shared" si="79"/>
        <v>458410686</v>
      </c>
      <c r="AC1070" s="97">
        <v>41824</v>
      </c>
      <c r="AD1070" s="119">
        <v>458410686</v>
      </c>
      <c r="AE1070" s="98" t="s">
        <v>7</v>
      </c>
      <c r="AF1070" s="1210">
        <f>SUM(AD1070:AD1076)</f>
        <v>1908987547</v>
      </c>
      <c r="AG1070" s="1043">
        <f>SUM(AF1070:AF1076)</f>
        <v>1908987547</v>
      </c>
      <c r="AH1070" s="111">
        <f t="shared" si="80"/>
        <v>0</v>
      </c>
      <c r="AI1070" s="1043"/>
      <c r="AJ1070" s="1043"/>
      <c r="AK1070" s="1043"/>
      <c r="AL1070" s="1210"/>
      <c r="AM1070" s="1062"/>
      <c r="AN1070" s="1108"/>
      <c r="AO1070" s="1103" t="s">
        <v>2148</v>
      </c>
      <c r="AQ1070" s="934"/>
    </row>
    <row r="1071" spans="1:43" s="4" customFormat="1" ht="15" customHeight="1">
      <c r="A1071" s="1050"/>
      <c r="B1071" s="1069"/>
      <c r="C1071" s="1033"/>
      <c r="D1071" s="1033"/>
      <c r="E1071" s="1033"/>
      <c r="F1071" s="1033"/>
      <c r="G1071" s="1033"/>
      <c r="H1071" s="1033"/>
      <c r="I1071" s="1033"/>
      <c r="J1071" s="1033"/>
      <c r="K1071" s="1033"/>
      <c r="L1071" s="1033"/>
      <c r="M1071" s="1039"/>
      <c r="N1071" s="1066"/>
      <c r="O1071" s="1063"/>
      <c r="P1071" s="1063"/>
      <c r="Q1071" s="1063"/>
      <c r="R1071" s="1069"/>
      <c r="S1071" s="1090"/>
      <c r="T1071" s="1063"/>
      <c r="U1071" s="1063"/>
      <c r="V1071" s="1119"/>
      <c r="W1071" s="1063"/>
      <c r="X1071" s="1033"/>
      <c r="Y1071" s="108" t="s">
        <v>2147</v>
      </c>
      <c r="Z1071" s="109">
        <v>716136946</v>
      </c>
      <c r="AA1071" s="109">
        <v>0</v>
      </c>
      <c r="AB1071" s="109">
        <f t="shared" si="79"/>
        <v>716136946</v>
      </c>
      <c r="AC1071" s="97">
        <v>41843</v>
      </c>
      <c r="AD1071" s="119">
        <v>716136946</v>
      </c>
      <c r="AE1071" s="98" t="s">
        <v>7</v>
      </c>
      <c r="AF1071" s="1211"/>
      <c r="AG1071" s="1044"/>
      <c r="AH1071" s="111">
        <f t="shared" si="80"/>
        <v>0</v>
      </c>
      <c r="AI1071" s="1044"/>
      <c r="AJ1071" s="1044"/>
      <c r="AK1071" s="1044"/>
      <c r="AL1071" s="1211"/>
      <c r="AM1071" s="1063"/>
      <c r="AN1071" s="1109"/>
      <c r="AO1071" s="1104"/>
      <c r="AQ1071" s="934"/>
    </row>
    <row r="1072" spans="1:43" s="4" customFormat="1" ht="15" customHeight="1">
      <c r="A1072" s="1050"/>
      <c r="B1072" s="1069"/>
      <c r="C1072" s="1033"/>
      <c r="D1072" s="1033"/>
      <c r="E1072" s="1033"/>
      <c r="F1072" s="1033"/>
      <c r="G1072" s="1033"/>
      <c r="H1072" s="1033"/>
      <c r="I1072" s="1033"/>
      <c r="J1072" s="1033"/>
      <c r="K1072" s="1033"/>
      <c r="L1072" s="1033"/>
      <c r="M1072" s="1039"/>
      <c r="N1072" s="1066"/>
      <c r="O1072" s="1063"/>
      <c r="P1072" s="1063"/>
      <c r="Q1072" s="1063"/>
      <c r="R1072" s="1069"/>
      <c r="S1072" s="1090"/>
      <c r="T1072" s="1063"/>
      <c r="U1072" s="1063"/>
      <c r="V1072" s="1119"/>
      <c r="W1072" s="1063"/>
      <c r="X1072" s="1033"/>
      <c r="Y1072" s="108" t="s">
        <v>2146</v>
      </c>
      <c r="Z1072" s="109">
        <f>36031662+439381080+24874577</f>
        <v>500287319</v>
      </c>
      <c r="AA1072" s="109">
        <v>0</v>
      </c>
      <c r="AB1072" s="109">
        <f t="shared" si="79"/>
        <v>500287319</v>
      </c>
      <c r="AC1072" s="97">
        <v>41974</v>
      </c>
      <c r="AD1072" s="119">
        <v>500287319</v>
      </c>
      <c r="AE1072" s="98" t="s">
        <v>7</v>
      </c>
      <c r="AF1072" s="1211"/>
      <c r="AG1072" s="1044"/>
      <c r="AH1072" s="111">
        <f t="shared" si="80"/>
        <v>0</v>
      </c>
      <c r="AI1072" s="1044"/>
      <c r="AJ1072" s="1044"/>
      <c r="AK1072" s="1044"/>
      <c r="AL1072" s="1211"/>
      <c r="AM1072" s="1063"/>
      <c r="AN1072" s="1109"/>
      <c r="AO1072" s="1104"/>
      <c r="AQ1072" s="934"/>
    </row>
    <row r="1073" spans="1:43" s="4" customFormat="1" ht="15" customHeight="1">
      <c r="A1073" s="1050"/>
      <c r="B1073" s="1069"/>
      <c r="C1073" s="1033"/>
      <c r="D1073" s="1033"/>
      <c r="E1073" s="1033"/>
      <c r="F1073" s="1033"/>
      <c r="G1073" s="1033"/>
      <c r="H1073" s="1033"/>
      <c r="I1073" s="1033"/>
      <c r="J1073" s="1033"/>
      <c r="K1073" s="1033"/>
      <c r="L1073" s="1033"/>
      <c r="M1073" s="1039"/>
      <c r="N1073" s="1066"/>
      <c r="O1073" s="1063"/>
      <c r="P1073" s="1063"/>
      <c r="Q1073" s="1063"/>
      <c r="R1073" s="1069"/>
      <c r="S1073" s="1090"/>
      <c r="T1073" s="1063"/>
      <c r="U1073" s="1063"/>
      <c r="V1073" s="1119"/>
      <c r="W1073" s="1063"/>
      <c r="X1073" s="1033"/>
      <c r="Y1073" s="1065" t="s">
        <v>2145</v>
      </c>
      <c r="Z1073" s="1062">
        <v>108752600</v>
      </c>
      <c r="AA1073" s="1062">
        <v>0</v>
      </c>
      <c r="AB1073" s="1062">
        <f t="shared" si="79"/>
        <v>108752600</v>
      </c>
      <c r="AC1073" s="97">
        <v>42209</v>
      </c>
      <c r="AD1073" s="119">
        <v>43763166.509999998</v>
      </c>
      <c r="AE1073" s="98" t="s">
        <v>7</v>
      </c>
      <c r="AF1073" s="1211"/>
      <c r="AG1073" s="1044"/>
      <c r="AH1073" s="111">
        <v>0</v>
      </c>
      <c r="AI1073" s="1044"/>
      <c r="AJ1073" s="1044"/>
      <c r="AK1073" s="1044"/>
      <c r="AL1073" s="1211"/>
      <c r="AM1073" s="1063"/>
      <c r="AN1073" s="1109"/>
      <c r="AO1073" s="1104"/>
      <c r="AQ1073" s="934"/>
    </row>
    <row r="1074" spans="1:43" s="4" customFormat="1" ht="15" customHeight="1">
      <c r="A1074" s="1050"/>
      <c r="B1074" s="1069"/>
      <c r="C1074" s="1033"/>
      <c r="D1074" s="1033"/>
      <c r="E1074" s="1033"/>
      <c r="F1074" s="1033"/>
      <c r="G1074" s="1033"/>
      <c r="H1074" s="1033"/>
      <c r="I1074" s="1033"/>
      <c r="J1074" s="1033"/>
      <c r="K1074" s="1033"/>
      <c r="L1074" s="1033"/>
      <c r="M1074" s="1039"/>
      <c r="N1074" s="1066"/>
      <c r="O1074" s="1063"/>
      <c r="P1074" s="1063"/>
      <c r="Q1074" s="1063"/>
      <c r="R1074" s="1069"/>
      <c r="S1074" s="1090"/>
      <c r="T1074" s="1063"/>
      <c r="U1074" s="1063"/>
      <c r="V1074" s="1119"/>
      <c r="W1074" s="1063"/>
      <c r="X1074" s="1033"/>
      <c r="Y1074" s="1067"/>
      <c r="Z1074" s="1064"/>
      <c r="AA1074" s="1064"/>
      <c r="AB1074" s="1064"/>
      <c r="AC1074" s="97">
        <v>42209</v>
      </c>
      <c r="AD1074" s="119">
        <v>64989433.490000002</v>
      </c>
      <c r="AE1074" s="152" t="s">
        <v>137</v>
      </c>
      <c r="AF1074" s="1211"/>
      <c r="AG1074" s="1044"/>
      <c r="AH1074" s="111">
        <v>0</v>
      </c>
      <c r="AI1074" s="1044"/>
      <c r="AJ1074" s="1044"/>
      <c r="AK1074" s="1044"/>
      <c r="AL1074" s="1211"/>
      <c r="AM1074" s="1063"/>
      <c r="AN1074" s="1109"/>
      <c r="AO1074" s="1104"/>
      <c r="AQ1074" s="934"/>
    </row>
    <row r="1075" spans="1:43" s="4" customFormat="1" ht="15" customHeight="1">
      <c r="A1075" s="1050"/>
      <c r="B1075" s="1069"/>
      <c r="C1075" s="1033"/>
      <c r="D1075" s="1033"/>
      <c r="E1075" s="1033"/>
      <c r="F1075" s="1033"/>
      <c r="G1075" s="1033"/>
      <c r="H1075" s="1033"/>
      <c r="I1075" s="1033"/>
      <c r="J1075" s="1033"/>
      <c r="K1075" s="1033"/>
      <c r="L1075" s="1033"/>
      <c r="M1075" s="1039"/>
      <c r="N1075" s="1065" t="s">
        <v>137</v>
      </c>
      <c r="O1075" s="1062">
        <v>329897451</v>
      </c>
      <c r="P1075" s="1063"/>
      <c r="Q1075" s="1063"/>
      <c r="R1075" s="1069"/>
      <c r="S1075" s="1090"/>
      <c r="T1075" s="1063"/>
      <c r="U1075" s="1063"/>
      <c r="V1075" s="1119">
        <f>SUM(AD1075:AD1076)+304</f>
        <v>125400300</v>
      </c>
      <c r="W1075" s="1063"/>
      <c r="X1075" s="1033"/>
      <c r="Y1075" s="1065" t="s">
        <v>2144</v>
      </c>
      <c r="Z1075" s="1062">
        <v>125399996</v>
      </c>
      <c r="AA1075" s="1062">
        <v>0</v>
      </c>
      <c r="AB1075" s="1062">
        <f>Z1075+AA1075</f>
        <v>125399996</v>
      </c>
      <c r="AC1075" s="97">
        <v>42243</v>
      </c>
      <c r="AD1075" s="119">
        <v>50462250.149999999</v>
      </c>
      <c r="AE1075" s="98" t="s">
        <v>7</v>
      </c>
      <c r="AF1075" s="1211"/>
      <c r="AG1075" s="1044"/>
      <c r="AH1075" s="111">
        <v>0</v>
      </c>
      <c r="AI1075" s="1044"/>
      <c r="AJ1075" s="1044"/>
      <c r="AK1075" s="1044"/>
      <c r="AL1075" s="1211"/>
      <c r="AM1075" s="1063"/>
      <c r="AN1075" s="1109"/>
      <c r="AO1075" s="1104"/>
      <c r="AQ1075" s="934"/>
    </row>
    <row r="1076" spans="1:43" s="4" customFormat="1" ht="15" customHeight="1">
      <c r="A1076" s="1016"/>
      <c r="B1076" s="1070"/>
      <c r="C1076" s="1033"/>
      <c r="D1076" s="1033"/>
      <c r="E1076" s="1033"/>
      <c r="F1076" s="1012"/>
      <c r="G1076" s="1033"/>
      <c r="H1076" s="1033"/>
      <c r="I1076" s="1033"/>
      <c r="J1076" s="1033"/>
      <c r="K1076" s="1033"/>
      <c r="L1076" s="1033"/>
      <c r="M1076" s="1039"/>
      <c r="N1076" s="1066"/>
      <c r="O1076" s="1063"/>
      <c r="P1076" s="1064"/>
      <c r="Q1076" s="1064"/>
      <c r="R1076" s="1070"/>
      <c r="S1076" s="1091"/>
      <c r="T1076" s="1064"/>
      <c r="U1076" s="1064"/>
      <c r="V1076" s="1119"/>
      <c r="W1076" s="1064"/>
      <c r="X1076" s="1012"/>
      <c r="Y1076" s="1067"/>
      <c r="Z1076" s="1064"/>
      <c r="AA1076" s="1064"/>
      <c r="AB1076" s="1064"/>
      <c r="AC1076" s="97">
        <v>42243</v>
      </c>
      <c r="AD1076" s="119">
        <v>74937745.849999994</v>
      </c>
      <c r="AE1076" s="152" t="s">
        <v>137</v>
      </c>
      <c r="AF1076" s="1212"/>
      <c r="AG1076" s="1045"/>
      <c r="AH1076" s="111">
        <v>0</v>
      </c>
      <c r="AI1076" s="1045"/>
      <c r="AJ1076" s="1045"/>
      <c r="AK1076" s="1045"/>
      <c r="AL1076" s="1212"/>
      <c r="AM1076" s="1064"/>
      <c r="AN1076" s="1110"/>
      <c r="AO1076" s="1105"/>
      <c r="AQ1076" s="934"/>
    </row>
    <row r="1077" spans="1:43" s="4" customFormat="1" ht="15" customHeight="1">
      <c r="A1077" s="1225" t="s">
        <v>1662</v>
      </c>
      <c r="B1077" s="1171">
        <v>41478</v>
      </c>
      <c r="C1077" s="1149" t="s">
        <v>21</v>
      </c>
      <c r="D1077" s="1149" t="s">
        <v>1661</v>
      </c>
      <c r="E1077" s="1226">
        <v>900632869</v>
      </c>
      <c r="F1077" s="1226">
        <v>1</v>
      </c>
      <c r="G1077" s="1149" t="s">
        <v>1660</v>
      </c>
      <c r="H1077" s="1149" t="s">
        <v>70</v>
      </c>
      <c r="I1077" s="1149" t="str">
        <f>H1077</f>
        <v>Interventoría</v>
      </c>
      <c r="J1077" s="1149" t="s">
        <v>66</v>
      </c>
      <c r="K1077" s="1149" t="s">
        <v>49</v>
      </c>
      <c r="L1077" s="1149" t="s">
        <v>1659</v>
      </c>
      <c r="M1077" s="1209">
        <v>276</v>
      </c>
      <c r="N1077" s="1122" t="s">
        <v>7</v>
      </c>
      <c r="O1077" s="1149">
        <v>8431590</v>
      </c>
      <c r="P1077" s="1149">
        <v>8431590</v>
      </c>
      <c r="Q1077" s="1243">
        <f>SUM(O1077:O1102)</f>
        <v>288441255</v>
      </c>
      <c r="R1077" s="1171">
        <v>41309</v>
      </c>
      <c r="S1077" s="1242"/>
      <c r="T1077" s="1242"/>
      <c r="U1077" s="1242"/>
      <c r="V1077" s="1149">
        <v>8383534</v>
      </c>
      <c r="W1077" s="1149">
        <f>177892960+V1099+V1101+V1102</f>
        <v>214146079</v>
      </c>
      <c r="X1077" s="1149" t="s">
        <v>1658</v>
      </c>
      <c r="Y1077" s="108" t="s">
        <v>1657</v>
      </c>
      <c r="Z1077" s="109"/>
      <c r="AA1077" s="109">
        <f>AD1077</f>
        <v>3353413.6</v>
      </c>
      <c r="AB1077" s="109">
        <f t="shared" ref="AB1077:AB1097" si="81">SUM(Z1077:AA1077)</f>
        <v>3353413.6</v>
      </c>
      <c r="AC1077" s="97">
        <v>41554</v>
      </c>
      <c r="AD1077" s="147">
        <v>3353413.6</v>
      </c>
      <c r="AE1077" s="1122" t="s">
        <v>7</v>
      </c>
      <c r="AF1077" s="1084">
        <f>SUM(AD1077:AE1079)</f>
        <v>8118152.8000000007</v>
      </c>
      <c r="AG1077" s="1084">
        <f>SUM(AF1077:AF1102)</f>
        <v>191841352.60000002</v>
      </c>
      <c r="AH1077" s="111"/>
      <c r="AI1077" s="111"/>
      <c r="AJ1077" s="111"/>
      <c r="AK1077" s="111"/>
      <c r="AL1077" s="111"/>
      <c r="AM1077" s="111"/>
      <c r="AN1077" s="1149" t="s">
        <v>1656</v>
      </c>
      <c r="AO1077" s="1149" t="s">
        <v>1655</v>
      </c>
      <c r="AQ1077" s="934"/>
    </row>
    <row r="1078" spans="1:43" s="4" customFormat="1" ht="15" customHeight="1">
      <c r="A1078" s="1225"/>
      <c r="B1078" s="1171"/>
      <c r="C1078" s="1149"/>
      <c r="D1078" s="1149"/>
      <c r="E1078" s="1226"/>
      <c r="F1078" s="1226"/>
      <c r="G1078" s="1149"/>
      <c r="H1078" s="1149"/>
      <c r="I1078" s="1149"/>
      <c r="J1078" s="1149"/>
      <c r="K1078" s="1149"/>
      <c r="L1078" s="1149"/>
      <c r="M1078" s="1209"/>
      <c r="N1078" s="1122"/>
      <c r="O1078" s="1149"/>
      <c r="P1078" s="1149"/>
      <c r="Q1078" s="1243"/>
      <c r="R1078" s="1171"/>
      <c r="S1078" s="1242"/>
      <c r="T1078" s="1242"/>
      <c r="U1078" s="1242"/>
      <c r="V1078" s="1149"/>
      <c r="W1078" s="1149"/>
      <c r="X1078" s="1149"/>
      <c r="Y1078" s="108" t="s">
        <v>1645</v>
      </c>
      <c r="Z1078" s="129">
        <v>7941232</v>
      </c>
      <c r="AA1078" s="109">
        <v>-3176492.8</v>
      </c>
      <c r="AB1078" s="109">
        <f t="shared" si="81"/>
        <v>4764739.2</v>
      </c>
      <c r="AC1078" s="97">
        <v>41885</v>
      </c>
      <c r="AD1078" s="119">
        <v>4764739.2</v>
      </c>
      <c r="AE1078" s="1122"/>
      <c r="AF1078" s="1084"/>
      <c r="AG1078" s="1084"/>
      <c r="AH1078" s="111"/>
      <c r="AI1078" s="111"/>
      <c r="AJ1078" s="111"/>
      <c r="AK1078" s="111"/>
      <c r="AL1078" s="111"/>
      <c r="AM1078" s="111"/>
      <c r="AN1078" s="1149"/>
      <c r="AO1078" s="1149"/>
      <c r="AQ1078" s="934"/>
    </row>
    <row r="1079" spans="1:43" s="4" customFormat="1" ht="15" customHeight="1">
      <c r="A1079" s="1225"/>
      <c r="B1079" s="1171"/>
      <c r="C1079" s="1149"/>
      <c r="D1079" s="1149"/>
      <c r="E1079" s="1226"/>
      <c r="F1079" s="1226"/>
      <c r="G1079" s="1149"/>
      <c r="H1079" s="1149"/>
      <c r="I1079" s="1149"/>
      <c r="J1079" s="1149"/>
      <c r="K1079" s="1149"/>
      <c r="L1079" s="1149"/>
      <c r="M1079" s="1209"/>
      <c r="N1079" s="1122"/>
      <c r="O1079" s="1149"/>
      <c r="P1079" s="1149"/>
      <c r="Q1079" s="1243"/>
      <c r="R1079" s="1171"/>
      <c r="S1079" s="1242"/>
      <c r="T1079" s="1242"/>
      <c r="U1079" s="1242"/>
      <c r="V1079" s="1149"/>
      <c r="W1079" s="1149"/>
      <c r="X1079" s="1149"/>
      <c r="Y1079" s="108" t="s">
        <v>1641</v>
      </c>
      <c r="Z1079" s="129">
        <v>5281805</v>
      </c>
      <c r="AA1079" s="109">
        <v>-2112722</v>
      </c>
      <c r="AB1079" s="109">
        <f t="shared" si="81"/>
        <v>3169083</v>
      </c>
      <c r="AC1079" s="97"/>
      <c r="AD1079" s="119">
        <v>0</v>
      </c>
      <c r="AE1079" s="1122"/>
      <c r="AF1079" s="1084"/>
      <c r="AG1079" s="1084"/>
      <c r="AH1079" s="109"/>
      <c r="AI1079" s="111">
        <f>-AB1079</f>
        <v>-3169083</v>
      </c>
      <c r="AJ1079" s="111"/>
      <c r="AK1079" s="111"/>
      <c r="AL1079" s="111"/>
      <c r="AM1079" s="111"/>
      <c r="AN1079" s="1149"/>
      <c r="AO1079" s="1149" t="s">
        <v>2689</v>
      </c>
      <c r="AQ1079" s="934"/>
    </row>
    <row r="1080" spans="1:43" s="4" customFormat="1" ht="15" customHeight="1">
      <c r="A1080" s="1225"/>
      <c r="B1080" s="1171"/>
      <c r="C1080" s="1149" t="s">
        <v>47</v>
      </c>
      <c r="D1080" s="1149"/>
      <c r="E1080" s="1226"/>
      <c r="F1080" s="1226"/>
      <c r="G1080" s="1149"/>
      <c r="H1080" s="1149"/>
      <c r="I1080" s="1149"/>
      <c r="J1080" s="1149"/>
      <c r="K1080" s="1149"/>
      <c r="L1080" s="1149"/>
      <c r="M1080" s="1009">
        <v>278</v>
      </c>
      <c r="N1080" s="1021" t="s">
        <v>7</v>
      </c>
      <c r="O1080" s="1149">
        <v>13448739</v>
      </c>
      <c r="P1080" s="1149">
        <v>13448739</v>
      </c>
      <c r="Q1080" s="1243"/>
      <c r="R1080" s="1171"/>
      <c r="S1080" s="1244"/>
      <c r="T1080" s="1244"/>
      <c r="U1080" s="1244"/>
      <c r="V1080" s="1149">
        <v>13372088</v>
      </c>
      <c r="W1080" s="1149"/>
      <c r="X1080" s="1149"/>
      <c r="Y1080" s="108" t="s">
        <v>1653</v>
      </c>
      <c r="Z1080" s="109"/>
      <c r="AA1080" s="109">
        <f>AD1080</f>
        <v>5348538.2</v>
      </c>
      <c r="AB1080" s="109">
        <f t="shared" si="81"/>
        <v>5348538.2</v>
      </c>
      <c r="AC1080" s="97">
        <v>41554</v>
      </c>
      <c r="AD1080" s="147">
        <v>5348538.2</v>
      </c>
      <c r="AE1080" s="1021" t="s">
        <v>7</v>
      </c>
      <c r="AF1080" s="1043">
        <f>SUM(AD1080:AE1082)</f>
        <v>13372088</v>
      </c>
      <c r="AG1080" s="1084"/>
      <c r="AH1080" s="109"/>
      <c r="AI1080" s="111"/>
      <c r="AJ1080" s="111"/>
      <c r="AK1080" s="111"/>
      <c r="AL1080" s="111"/>
      <c r="AM1080" s="111"/>
      <c r="AN1080" s="1149"/>
      <c r="AO1080" s="1149"/>
      <c r="AQ1080" s="934"/>
    </row>
    <row r="1081" spans="1:43" s="4" customFormat="1" ht="15" customHeight="1">
      <c r="A1081" s="1225"/>
      <c r="B1081" s="1171"/>
      <c r="C1081" s="1149"/>
      <c r="D1081" s="1149"/>
      <c r="E1081" s="1226"/>
      <c r="F1081" s="1226"/>
      <c r="G1081" s="1149"/>
      <c r="H1081" s="1149"/>
      <c r="I1081" s="1149"/>
      <c r="J1081" s="1149"/>
      <c r="K1081" s="1149"/>
      <c r="L1081" s="1149"/>
      <c r="M1081" s="1039"/>
      <c r="N1081" s="1022"/>
      <c r="O1081" s="1149"/>
      <c r="P1081" s="1149"/>
      <c r="Q1081" s="1243"/>
      <c r="R1081" s="1171"/>
      <c r="S1081" s="1244"/>
      <c r="T1081" s="1244"/>
      <c r="U1081" s="1244"/>
      <c r="V1081" s="1149"/>
      <c r="W1081" s="1149"/>
      <c r="X1081" s="1149"/>
      <c r="Y1081" s="108" t="s">
        <v>1652</v>
      </c>
      <c r="Z1081" s="109"/>
      <c r="AA1081" s="109"/>
      <c r="AB1081" s="109">
        <f t="shared" si="81"/>
        <v>0</v>
      </c>
      <c r="AC1081" s="97">
        <v>41556</v>
      </c>
      <c r="AD1081" s="147">
        <v>297</v>
      </c>
      <c r="AE1081" s="1022"/>
      <c r="AF1081" s="1044"/>
      <c r="AG1081" s="1084"/>
      <c r="AH1081" s="109"/>
      <c r="AI1081" s="111"/>
      <c r="AJ1081" s="111"/>
      <c r="AK1081" s="111"/>
      <c r="AL1081" s="111"/>
      <c r="AM1081" s="111"/>
      <c r="AN1081" s="1149"/>
      <c r="AO1081" s="1149"/>
      <c r="AQ1081" s="934"/>
    </row>
    <row r="1082" spans="1:43" s="4" customFormat="1" ht="15" customHeight="1">
      <c r="A1082" s="1225"/>
      <c r="B1082" s="1171"/>
      <c r="C1082" s="664"/>
      <c r="D1082" s="1149"/>
      <c r="E1082" s="1226"/>
      <c r="F1082" s="1226"/>
      <c r="G1082" s="1149"/>
      <c r="H1082" s="1149"/>
      <c r="I1082" s="1149"/>
      <c r="J1082" s="1149"/>
      <c r="K1082" s="1149"/>
      <c r="L1082" s="1149"/>
      <c r="M1082" s="1010"/>
      <c r="N1082" s="1038"/>
      <c r="O1082" s="664"/>
      <c r="P1082" s="664"/>
      <c r="Q1082" s="1243"/>
      <c r="R1082" s="665"/>
      <c r="S1082" s="678"/>
      <c r="T1082" s="678"/>
      <c r="U1082" s="678"/>
      <c r="V1082" s="664"/>
      <c r="W1082" s="1149"/>
      <c r="X1082" s="1149"/>
      <c r="Y1082" s="650"/>
      <c r="Z1082" s="666">
        <v>13372088</v>
      </c>
      <c r="AA1082" s="666">
        <v>5348835.2</v>
      </c>
      <c r="AB1082" s="666">
        <v>8023252.7999999998</v>
      </c>
      <c r="AC1082" s="665"/>
      <c r="AD1082" s="672">
        <f>+AB1082</f>
        <v>8023252.7999999998</v>
      </c>
      <c r="AE1082" s="1038"/>
      <c r="AF1082" s="1045"/>
      <c r="AG1082" s="1084"/>
      <c r="AH1082" s="666"/>
      <c r="AI1082" s="648"/>
      <c r="AJ1082" s="648"/>
      <c r="AK1082" s="648"/>
      <c r="AL1082" s="648"/>
      <c r="AM1082" s="648"/>
      <c r="AN1082" s="1149"/>
      <c r="AO1082" s="1149"/>
      <c r="AQ1082" s="934"/>
    </row>
    <row r="1083" spans="1:43" s="4" customFormat="1" ht="15" customHeight="1">
      <c r="A1083" s="1225"/>
      <c r="B1083" s="1171"/>
      <c r="C1083" s="1149" t="s">
        <v>12</v>
      </c>
      <c r="D1083" s="1149"/>
      <c r="E1083" s="1226"/>
      <c r="F1083" s="1226"/>
      <c r="G1083" s="1149"/>
      <c r="H1083" s="1149"/>
      <c r="I1083" s="1149"/>
      <c r="J1083" s="1149"/>
      <c r="K1083" s="1149"/>
      <c r="L1083" s="1149"/>
      <c r="M1083" s="1209">
        <v>256</v>
      </c>
      <c r="N1083" s="1122" t="s">
        <v>7</v>
      </c>
      <c r="O1083" s="1149">
        <v>18083363</v>
      </c>
      <c r="P1083" s="1149">
        <v>18083363</v>
      </c>
      <c r="Q1083" s="1243"/>
      <c r="R1083" s="1171"/>
      <c r="S1083" s="1242"/>
      <c r="T1083" s="1242"/>
      <c r="U1083" s="1242"/>
      <c r="V1083" s="1149">
        <v>17980297</v>
      </c>
      <c r="W1083" s="1149"/>
      <c r="X1083" s="1149"/>
      <c r="Y1083" s="108" t="s">
        <v>1651</v>
      </c>
      <c r="Z1083" s="109"/>
      <c r="AA1083" s="109">
        <f>AD1083</f>
        <v>7192118.7999999998</v>
      </c>
      <c r="AB1083" s="109">
        <f t="shared" si="81"/>
        <v>7192118.7999999998</v>
      </c>
      <c r="AC1083" s="97">
        <v>41554</v>
      </c>
      <c r="AD1083" s="147">
        <v>7192118.7999999998</v>
      </c>
      <c r="AE1083" s="1122" t="s">
        <v>7</v>
      </c>
      <c r="AF1083" s="1084">
        <f>SUM(AD1083:AE1085)</f>
        <v>15602416</v>
      </c>
      <c r="AG1083" s="1084"/>
      <c r="AH1083" s="109"/>
      <c r="AI1083" s="111"/>
      <c r="AJ1083" s="111"/>
      <c r="AK1083" s="111"/>
      <c r="AL1083" s="111"/>
      <c r="AM1083" s="111"/>
      <c r="AN1083" s="1149"/>
      <c r="AO1083" s="1149"/>
      <c r="AQ1083" s="934"/>
    </row>
    <row r="1084" spans="1:43" s="4" customFormat="1" ht="15" customHeight="1">
      <c r="A1084" s="1225"/>
      <c r="B1084" s="1171"/>
      <c r="C1084" s="1149"/>
      <c r="D1084" s="1149"/>
      <c r="E1084" s="1226"/>
      <c r="F1084" s="1226"/>
      <c r="G1084" s="1149"/>
      <c r="H1084" s="1149"/>
      <c r="I1084" s="1149"/>
      <c r="J1084" s="1149"/>
      <c r="K1084" s="1149"/>
      <c r="L1084" s="1149"/>
      <c r="M1084" s="1209"/>
      <c r="N1084" s="1122"/>
      <c r="O1084" s="1149"/>
      <c r="P1084" s="1149"/>
      <c r="Q1084" s="1243"/>
      <c r="R1084" s="1171"/>
      <c r="S1084" s="1242"/>
      <c r="T1084" s="1242"/>
      <c r="U1084" s="1242"/>
      <c r="V1084" s="1149"/>
      <c r="W1084" s="1149"/>
      <c r="X1084" s="1149"/>
      <c r="Y1084" s="108" t="s">
        <v>1645</v>
      </c>
      <c r="Z1084" s="109">
        <v>11680968</v>
      </c>
      <c r="AA1084" s="109">
        <v>-4672387</v>
      </c>
      <c r="AB1084" s="109">
        <f t="shared" si="81"/>
        <v>7008581</v>
      </c>
      <c r="AC1084" s="97">
        <v>41885</v>
      </c>
      <c r="AD1084" s="119">
        <v>7008580.7999999998</v>
      </c>
      <c r="AE1084" s="1122"/>
      <c r="AF1084" s="1084"/>
      <c r="AG1084" s="1084"/>
      <c r="AH1084" s="109"/>
      <c r="AI1084" s="111"/>
      <c r="AJ1084" s="111"/>
      <c r="AK1084" s="111"/>
      <c r="AL1084" s="111"/>
      <c r="AM1084" s="111"/>
      <c r="AN1084" s="1149"/>
      <c r="AO1084" s="1149"/>
      <c r="AQ1084" s="934"/>
    </row>
    <row r="1085" spans="1:43" s="4" customFormat="1" ht="15" customHeight="1">
      <c r="A1085" s="1225"/>
      <c r="B1085" s="1171"/>
      <c r="C1085" s="1149"/>
      <c r="D1085" s="1149"/>
      <c r="E1085" s="1226"/>
      <c r="F1085" s="1226"/>
      <c r="G1085" s="1149"/>
      <c r="H1085" s="1149"/>
      <c r="I1085" s="1149"/>
      <c r="J1085" s="1149"/>
      <c r="K1085" s="1149"/>
      <c r="L1085" s="1149"/>
      <c r="M1085" s="1209"/>
      <c r="N1085" s="1122"/>
      <c r="O1085" s="1149"/>
      <c r="P1085" s="1149"/>
      <c r="Q1085" s="1243"/>
      <c r="R1085" s="1171"/>
      <c r="S1085" s="1242"/>
      <c r="T1085" s="1242"/>
      <c r="U1085" s="1242"/>
      <c r="V1085" s="1149"/>
      <c r="W1085" s="1149"/>
      <c r="X1085" s="1149"/>
      <c r="Y1085" s="108" t="s">
        <v>1641</v>
      </c>
      <c r="Z1085" s="109">
        <v>2336194</v>
      </c>
      <c r="AA1085" s="109">
        <v>-934477.6</v>
      </c>
      <c r="AB1085" s="109">
        <f t="shared" si="81"/>
        <v>1401716.4</v>
      </c>
      <c r="AC1085" s="97">
        <v>42047</v>
      </c>
      <c r="AD1085" s="119">
        <v>1401716.4</v>
      </c>
      <c r="AE1085" s="1122"/>
      <c r="AF1085" s="1084"/>
      <c r="AG1085" s="1084"/>
      <c r="AH1085" s="109"/>
      <c r="AI1085" s="111"/>
      <c r="AJ1085" s="111"/>
      <c r="AK1085" s="111"/>
      <c r="AL1085" s="111"/>
      <c r="AM1085" s="111"/>
      <c r="AN1085" s="1149"/>
      <c r="AO1085" s="1149"/>
      <c r="AQ1085" s="934"/>
    </row>
    <row r="1086" spans="1:43" s="4" customFormat="1" ht="15" customHeight="1">
      <c r="A1086" s="1225"/>
      <c r="B1086" s="1171"/>
      <c r="C1086" s="1149" t="s">
        <v>42</v>
      </c>
      <c r="D1086" s="1149"/>
      <c r="E1086" s="1226"/>
      <c r="F1086" s="1226"/>
      <c r="G1086" s="1149"/>
      <c r="H1086" s="1149"/>
      <c r="I1086" s="1149"/>
      <c r="J1086" s="1149"/>
      <c r="K1086" s="1149"/>
      <c r="L1086" s="1149"/>
      <c r="M1086" s="1209">
        <v>250</v>
      </c>
      <c r="N1086" s="1122" t="s">
        <v>137</v>
      </c>
      <c r="O1086" s="1149">
        <v>5887850</v>
      </c>
      <c r="P1086" s="1149">
        <v>5887850</v>
      </c>
      <c r="Q1086" s="1243"/>
      <c r="R1086" s="1171"/>
      <c r="S1086" s="1244"/>
      <c r="T1086" s="1244"/>
      <c r="U1086" s="1244"/>
      <c r="V1086" s="1149">
        <v>5854292</v>
      </c>
      <c r="W1086" s="1149"/>
      <c r="X1086" s="1149"/>
      <c r="Y1086" s="108" t="s">
        <v>1650</v>
      </c>
      <c r="Z1086" s="109"/>
      <c r="AA1086" s="109">
        <f>AD1086</f>
        <v>2341716.7999999998</v>
      </c>
      <c r="AB1086" s="109">
        <f t="shared" si="81"/>
        <v>2341716.7999999998</v>
      </c>
      <c r="AC1086" s="97">
        <v>41554</v>
      </c>
      <c r="AD1086" s="147">
        <v>2341716.7999999998</v>
      </c>
      <c r="AE1086" s="1122" t="s">
        <v>137</v>
      </c>
      <c r="AF1086" s="1084">
        <f>SUM(AD1086:AE1087)</f>
        <v>5510799.7999999998</v>
      </c>
      <c r="AG1086" s="1084"/>
      <c r="AH1086" s="109"/>
      <c r="AI1086" s="111"/>
      <c r="AJ1086" s="111"/>
      <c r="AK1086" s="111"/>
      <c r="AL1086" s="111"/>
      <c r="AM1086" s="111"/>
      <c r="AN1086" s="1149"/>
      <c r="AO1086" s="1149"/>
      <c r="AQ1086" s="934"/>
    </row>
    <row r="1087" spans="1:43" s="4" customFormat="1" ht="15" customHeight="1">
      <c r="A1087" s="1225"/>
      <c r="B1087" s="1171"/>
      <c r="C1087" s="1149"/>
      <c r="D1087" s="1149"/>
      <c r="E1087" s="1226"/>
      <c r="F1087" s="1226"/>
      <c r="G1087" s="1149"/>
      <c r="H1087" s="1149"/>
      <c r="I1087" s="1149"/>
      <c r="J1087" s="1149"/>
      <c r="K1087" s="1149"/>
      <c r="L1087" s="1149"/>
      <c r="M1087" s="1209"/>
      <c r="N1087" s="1122"/>
      <c r="O1087" s="1149"/>
      <c r="P1087" s="1149"/>
      <c r="Q1087" s="1243"/>
      <c r="R1087" s="1171"/>
      <c r="S1087" s="1244"/>
      <c r="T1087" s="1244"/>
      <c r="U1087" s="1244"/>
      <c r="V1087" s="1149"/>
      <c r="W1087" s="1149"/>
      <c r="X1087" s="1149"/>
      <c r="Y1087" s="108" t="s">
        <v>1649</v>
      </c>
      <c r="Z1087" s="109"/>
      <c r="AA1087" s="109"/>
      <c r="AB1087" s="109">
        <f t="shared" si="81"/>
        <v>0</v>
      </c>
      <c r="AC1087" s="97">
        <v>42047</v>
      </c>
      <c r="AD1087" s="119">
        <v>3169083</v>
      </c>
      <c r="AE1087" s="1122"/>
      <c r="AF1087" s="1084"/>
      <c r="AG1087" s="1084"/>
      <c r="AH1087" s="109"/>
      <c r="AI1087" s="111">
        <f>AD1087</f>
        <v>3169083</v>
      </c>
      <c r="AJ1087" s="111"/>
      <c r="AK1087" s="111"/>
      <c r="AL1087" s="111"/>
      <c r="AM1087" s="111"/>
      <c r="AN1087" s="1149"/>
      <c r="AO1087" s="1149"/>
      <c r="AQ1087" s="934"/>
    </row>
    <row r="1088" spans="1:43" s="4" customFormat="1" ht="15" customHeight="1">
      <c r="A1088" s="1225"/>
      <c r="B1088" s="1171"/>
      <c r="C1088" s="1149" t="s">
        <v>39</v>
      </c>
      <c r="D1088" s="1149"/>
      <c r="E1088" s="1226"/>
      <c r="F1088" s="1226"/>
      <c r="G1088" s="1149"/>
      <c r="H1088" s="1149"/>
      <c r="I1088" s="1149"/>
      <c r="J1088" s="1149"/>
      <c r="K1088" s="1149"/>
      <c r="L1088" s="1149"/>
      <c r="M1088" s="1209">
        <v>262</v>
      </c>
      <c r="N1088" s="1122" t="s">
        <v>137</v>
      </c>
      <c r="O1088" s="1149">
        <v>73275466</v>
      </c>
      <c r="P1088" s="1149">
        <v>73275466</v>
      </c>
      <c r="Q1088" s="1243"/>
      <c r="R1088" s="1171"/>
      <c r="S1088" s="1242"/>
      <c r="T1088" s="1242"/>
      <c r="U1088" s="1242"/>
      <c r="V1088" s="1149">
        <v>72857834</v>
      </c>
      <c r="W1088" s="1149"/>
      <c r="X1088" s="1149"/>
      <c r="Y1088" s="108" t="s">
        <v>1648</v>
      </c>
      <c r="Z1088" s="109"/>
      <c r="AA1088" s="109">
        <f>AD1088</f>
        <v>29143133.600000001</v>
      </c>
      <c r="AB1088" s="109">
        <f t="shared" si="81"/>
        <v>29143133.600000001</v>
      </c>
      <c r="AC1088" s="97">
        <v>41554</v>
      </c>
      <c r="AD1088" s="147">
        <v>29143133.600000001</v>
      </c>
      <c r="AE1088" s="1122" t="s">
        <v>137</v>
      </c>
      <c r="AF1088" s="1084">
        <f>SUM(AD1088:AE1091)</f>
        <v>72857834.000000015</v>
      </c>
      <c r="AG1088" s="1084"/>
      <c r="AH1088" s="111"/>
      <c r="AI1088" s="111"/>
      <c r="AJ1088" s="111"/>
      <c r="AK1088" s="111"/>
      <c r="AL1088" s="111"/>
      <c r="AM1088" s="111"/>
      <c r="AN1088" s="1149"/>
      <c r="AO1088" s="1149"/>
      <c r="AQ1088" s="934"/>
    </row>
    <row r="1089" spans="1:43" s="4" customFormat="1" ht="15" customHeight="1">
      <c r="A1089" s="1225"/>
      <c r="B1089" s="1171"/>
      <c r="C1089" s="1149"/>
      <c r="D1089" s="1149"/>
      <c r="E1089" s="1226"/>
      <c r="F1089" s="1226"/>
      <c r="G1089" s="1149"/>
      <c r="H1089" s="1149"/>
      <c r="I1089" s="1149"/>
      <c r="J1089" s="1149"/>
      <c r="K1089" s="1149"/>
      <c r="L1089" s="1149"/>
      <c r="M1089" s="1209"/>
      <c r="N1089" s="1122"/>
      <c r="O1089" s="1149"/>
      <c r="P1089" s="1149"/>
      <c r="Q1089" s="1243"/>
      <c r="R1089" s="1171"/>
      <c r="S1089" s="1242"/>
      <c r="T1089" s="1242"/>
      <c r="U1089" s="1242"/>
      <c r="V1089" s="1149"/>
      <c r="W1089" s="1149"/>
      <c r="X1089" s="1149"/>
      <c r="Y1089" s="108" t="s">
        <v>1645</v>
      </c>
      <c r="Z1089" s="109">
        <v>64842463</v>
      </c>
      <c r="AA1089" s="109">
        <v>-25936985.199999999</v>
      </c>
      <c r="AB1089" s="109">
        <f t="shared" si="81"/>
        <v>38905477.799999997</v>
      </c>
      <c r="AC1089" s="97">
        <v>41885</v>
      </c>
      <c r="AD1089" s="119">
        <v>38905477.799999997</v>
      </c>
      <c r="AE1089" s="1122"/>
      <c r="AF1089" s="1084"/>
      <c r="AG1089" s="1084"/>
      <c r="AH1089" s="111"/>
      <c r="AI1089" s="111"/>
      <c r="AJ1089" s="111"/>
      <c r="AK1089" s="111"/>
      <c r="AL1089" s="111"/>
      <c r="AM1089" s="111"/>
      <c r="AN1089" s="1149"/>
      <c r="AO1089" s="96"/>
      <c r="AQ1089" s="934"/>
    </row>
    <row r="1090" spans="1:43" s="4" customFormat="1" ht="15" customHeight="1">
      <c r="A1090" s="1225"/>
      <c r="B1090" s="1171"/>
      <c r="C1090" s="1149"/>
      <c r="D1090" s="1149"/>
      <c r="E1090" s="1226"/>
      <c r="F1090" s="1226"/>
      <c r="G1090" s="1149"/>
      <c r="H1090" s="1149"/>
      <c r="I1090" s="1149"/>
      <c r="J1090" s="1149"/>
      <c r="K1090" s="1149"/>
      <c r="L1090" s="1149"/>
      <c r="M1090" s="1209"/>
      <c r="N1090" s="1122"/>
      <c r="O1090" s="1149"/>
      <c r="P1090" s="1149"/>
      <c r="Q1090" s="1243"/>
      <c r="R1090" s="1171"/>
      <c r="S1090" s="1242"/>
      <c r="T1090" s="1242"/>
      <c r="U1090" s="1242"/>
      <c r="V1090" s="1149"/>
      <c r="W1090" s="1149"/>
      <c r="X1090" s="1149"/>
      <c r="Y1090" s="108" t="s">
        <v>1641</v>
      </c>
      <c r="Z1090" s="109">
        <v>8014237</v>
      </c>
      <c r="AA1090" s="109">
        <v>-3205694.8</v>
      </c>
      <c r="AB1090" s="109">
        <f t="shared" si="81"/>
        <v>4808542.2</v>
      </c>
      <c r="AC1090" s="97">
        <v>42047</v>
      </c>
      <c r="AD1090" s="119">
        <v>4808542.2</v>
      </c>
      <c r="AE1090" s="1122"/>
      <c r="AF1090" s="1084"/>
      <c r="AG1090" s="1084"/>
      <c r="AH1090" s="111"/>
      <c r="AI1090" s="111"/>
      <c r="AJ1090" s="111"/>
      <c r="AK1090" s="111"/>
      <c r="AL1090" s="111"/>
      <c r="AM1090" s="111"/>
      <c r="AN1090" s="1149"/>
      <c r="AO1090" s="96"/>
      <c r="AQ1090" s="934"/>
    </row>
    <row r="1091" spans="1:43" s="4" customFormat="1" ht="15" customHeight="1">
      <c r="A1091" s="1225"/>
      <c r="B1091" s="1171"/>
      <c r="C1091" s="1149"/>
      <c r="D1091" s="1149"/>
      <c r="E1091" s="1226"/>
      <c r="F1091" s="1226"/>
      <c r="G1091" s="1149"/>
      <c r="H1091" s="1149"/>
      <c r="I1091" s="1149"/>
      <c r="J1091" s="1149"/>
      <c r="K1091" s="1149"/>
      <c r="L1091" s="1149"/>
      <c r="M1091" s="1209"/>
      <c r="N1091" s="1122"/>
      <c r="O1091" s="1149"/>
      <c r="P1091" s="1149"/>
      <c r="Q1091" s="1243"/>
      <c r="R1091" s="1171"/>
      <c r="S1091" s="1242"/>
      <c r="T1091" s="1242"/>
      <c r="U1091" s="1242"/>
      <c r="V1091" s="1149"/>
      <c r="W1091" s="1149"/>
      <c r="X1091" s="1149"/>
      <c r="Y1091" s="108" t="s">
        <v>1647</v>
      </c>
      <c r="Z1091" s="109"/>
      <c r="AA1091" s="109"/>
      <c r="AB1091" s="109">
        <f t="shared" si="81"/>
        <v>0</v>
      </c>
      <c r="AC1091" s="97">
        <v>42990</v>
      </c>
      <c r="AD1091" s="119">
        <v>680.4</v>
      </c>
      <c r="AE1091" s="1122"/>
      <c r="AF1091" s="1084"/>
      <c r="AG1091" s="1084"/>
      <c r="AH1091" s="111"/>
      <c r="AI1091" s="111"/>
      <c r="AJ1091" s="111"/>
      <c r="AK1091" s="111"/>
      <c r="AL1091" s="111"/>
      <c r="AM1091" s="111"/>
      <c r="AN1091" s="1149"/>
      <c r="AO1091" s="96"/>
      <c r="AQ1091" s="934"/>
    </row>
    <row r="1092" spans="1:43" s="4" customFormat="1" ht="15" customHeight="1">
      <c r="A1092" s="1225"/>
      <c r="B1092" s="1171"/>
      <c r="C1092" s="1149" t="s">
        <v>15</v>
      </c>
      <c r="D1092" s="1149"/>
      <c r="E1092" s="1226"/>
      <c r="F1092" s="1226"/>
      <c r="G1092" s="1149"/>
      <c r="H1092" s="1149"/>
      <c r="I1092" s="1149"/>
      <c r="J1092" s="1149"/>
      <c r="K1092" s="1149"/>
      <c r="L1092" s="1149"/>
      <c r="M1092" s="1209">
        <v>252</v>
      </c>
      <c r="N1092" s="1122" t="s">
        <v>137</v>
      </c>
      <c r="O1092" s="1149">
        <v>5756903</v>
      </c>
      <c r="P1092" s="1149">
        <v>5756903</v>
      </c>
      <c r="Q1092" s="1243"/>
      <c r="R1092" s="1171"/>
      <c r="S1092" s="1242"/>
      <c r="T1092" s="1242"/>
      <c r="U1092" s="1242"/>
      <c r="V1092" s="1149">
        <v>5724092</v>
      </c>
      <c r="W1092" s="1149"/>
      <c r="X1092" s="1149"/>
      <c r="Y1092" s="108" t="s">
        <v>1646</v>
      </c>
      <c r="Z1092" s="109"/>
      <c r="AA1092" s="109">
        <f>AD1092</f>
        <v>2289636.7999999998</v>
      </c>
      <c r="AB1092" s="109">
        <f t="shared" si="81"/>
        <v>2289636.7999999998</v>
      </c>
      <c r="AC1092" s="97">
        <v>41554</v>
      </c>
      <c r="AD1092" s="147">
        <v>2289636.7999999998</v>
      </c>
      <c r="AE1092" s="1122" t="s">
        <v>137</v>
      </c>
      <c r="AF1092" s="1084">
        <f>SUM(AD1092:AE1094)</f>
        <v>5724092</v>
      </c>
      <c r="AG1092" s="1084"/>
      <c r="AH1092" s="111"/>
      <c r="AI1092" s="111"/>
      <c r="AJ1092" s="111"/>
      <c r="AK1092" s="111"/>
      <c r="AL1092" s="111"/>
      <c r="AM1092" s="111"/>
      <c r="AN1092" s="1149"/>
      <c r="AO1092" s="96"/>
      <c r="AQ1092" s="934"/>
    </row>
    <row r="1093" spans="1:43" s="4" customFormat="1" ht="15" customHeight="1">
      <c r="A1093" s="1225"/>
      <c r="B1093" s="1171"/>
      <c r="C1093" s="1149"/>
      <c r="D1093" s="1149"/>
      <c r="E1093" s="1226"/>
      <c r="F1093" s="1226"/>
      <c r="G1093" s="1149"/>
      <c r="H1093" s="1149"/>
      <c r="I1093" s="1149"/>
      <c r="J1093" s="1149"/>
      <c r="K1093" s="1149"/>
      <c r="L1093" s="1149"/>
      <c r="M1093" s="1209"/>
      <c r="N1093" s="1122"/>
      <c r="O1093" s="1149"/>
      <c r="P1093" s="1149"/>
      <c r="Q1093" s="1243"/>
      <c r="R1093" s="1171"/>
      <c r="S1093" s="1242"/>
      <c r="T1093" s="1242"/>
      <c r="U1093" s="1242"/>
      <c r="V1093" s="1149"/>
      <c r="W1093" s="1149"/>
      <c r="X1093" s="1149"/>
      <c r="Y1093" s="108" t="s">
        <v>1645</v>
      </c>
      <c r="Z1093" s="109">
        <v>5719960</v>
      </c>
      <c r="AA1093" s="109">
        <v>-2287984</v>
      </c>
      <c r="AB1093" s="109">
        <f t="shared" si="81"/>
        <v>3431976</v>
      </c>
      <c r="AC1093" s="97">
        <v>41885</v>
      </c>
      <c r="AD1093" s="119">
        <v>3431976</v>
      </c>
      <c r="AE1093" s="1122"/>
      <c r="AF1093" s="1084"/>
      <c r="AG1093" s="1084"/>
      <c r="AH1093" s="111"/>
      <c r="AI1093" s="111"/>
      <c r="AJ1093" s="111"/>
      <c r="AK1093" s="111"/>
      <c r="AL1093" s="111"/>
      <c r="AM1093" s="111"/>
      <c r="AN1093" s="1149"/>
      <c r="AO1093" s="96"/>
      <c r="AQ1093" s="934"/>
    </row>
    <row r="1094" spans="1:43" s="4" customFormat="1" ht="15" customHeight="1">
      <c r="A1094" s="1225"/>
      <c r="B1094" s="1171"/>
      <c r="C1094" s="1149"/>
      <c r="D1094" s="1149"/>
      <c r="E1094" s="1226"/>
      <c r="F1094" s="1226"/>
      <c r="G1094" s="1149"/>
      <c r="H1094" s="1149"/>
      <c r="I1094" s="1149"/>
      <c r="J1094" s="1149"/>
      <c r="K1094" s="1149"/>
      <c r="L1094" s="1149"/>
      <c r="M1094" s="1209"/>
      <c r="N1094" s="1122"/>
      <c r="O1094" s="1149"/>
      <c r="P1094" s="1149"/>
      <c r="Q1094" s="1243"/>
      <c r="R1094" s="1171"/>
      <c r="S1094" s="1242"/>
      <c r="T1094" s="1242"/>
      <c r="U1094" s="1242"/>
      <c r="V1094" s="1149"/>
      <c r="W1094" s="1149"/>
      <c r="X1094" s="1149"/>
      <c r="Y1094" s="108" t="s">
        <v>1644</v>
      </c>
      <c r="Z1094" s="109"/>
      <c r="AA1094" s="109"/>
      <c r="AB1094" s="109">
        <f t="shared" si="81"/>
        <v>0</v>
      </c>
      <c r="AC1094" s="97">
        <v>42990</v>
      </c>
      <c r="AD1094" s="119">
        <v>2479.1999999999998</v>
      </c>
      <c r="AE1094" s="1122"/>
      <c r="AF1094" s="1084"/>
      <c r="AG1094" s="1084"/>
      <c r="AH1094" s="111"/>
      <c r="AI1094" s="111"/>
      <c r="AJ1094" s="111"/>
      <c r="AK1094" s="111"/>
      <c r="AL1094" s="111"/>
      <c r="AM1094" s="111"/>
      <c r="AN1094" s="1149"/>
      <c r="AO1094" s="96"/>
      <c r="AQ1094" s="934"/>
    </row>
    <row r="1095" spans="1:43" s="4" customFormat="1" ht="15" customHeight="1">
      <c r="A1095" s="1225"/>
      <c r="B1095" s="1171"/>
      <c r="C1095" s="1149" t="s">
        <v>5</v>
      </c>
      <c r="D1095" s="1149"/>
      <c r="E1095" s="1226"/>
      <c r="F1095" s="1226"/>
      <c r="G1095" s="1149"/>
      <c r="H1095" s="1149"/>
      <c r="I1095" s="1149"/>
      <c r="J1095" s="1149"/>
      <c r="K1095" s="1149"/>
      <c r="L1095" s="1149"/>
      <c r="M1095" s="1209">
        <v>5</v>
      </c>
      <c r="N1095" s="1122" t="s">
        <v>150</v>
      </c>
      <c r="O1095" s="1149">
        <v>54028759</v>
      </c>
      <c r="P1095" s="1149">
        <v>54028759</v>
      </c>
      <c r="Q1095" s="1243"/>
      <c r="R1095" s="1171"/>
      <c r="S1095" s="1244"/>
      <c r="T1095" s="1244"/>
      <c r="U1095" s="1244"/>
      <c r="V1095" s="1149">
        <v>53720823</v>
      </c>
      <c r="W1095" s="1149"/>
      <c r="X1095" s="1149"/>
      <c r="Y1095" s="108" t="s">
        <v>1643</v>
      </c>
      <c r="Z1095" s="109"/>
      <c r="AA1095" s="109">
        <v>21478560</v>
      </c>
      <c r="AB1095" s="109">
        <f t="shared" si="81"/>
        <v>21478560</v>
      </c>
      <c r="AC1095" s="97">
        <v>41554</v>
      </c>
      <c r="AD1095" s="119">
        <v>21488329.199999999</v>
      </c>
      <c r="AE1095" s="1122" t="s">
        <v>150</v>
      </c>
      <c r="AF1095" s="1084">
        <f>SUM(AD1095:AE1098)</f>
        <v>49517850</v>
      </c>
      <c r="AG1095" s="1084"/>
      <c r="AH1095" s="111"/>
      <c r="AI1095" s="111"/>
      <c r="AJ1095" s="111"/>
      <c r="AK1095" s="111"/>
      <c r="AL1095" s="111"/>
      <c r="AM1095" s="111"/>
      <c r="AN1095" s="1149"/>
      <c r="AO1095" s="96"/>
      <c r="AQ1095" s="934"/>
    </row>
    <row r="1096" spans="1:43" s="4" customFormat="1" ht="15" customHeight="1">
      <c r="A1096" s="1225"/>
      <c r="B1096" s="1171"/>
      <c r="C1096" s="1149"/>
      <c r="D1096" s="1149"/>
      <c r="E1096" s="1226"/>
      <c r="F1096" s="1226"/>
      <c r="G1096" s="1149"/>
      <c r="H1096" s="1149"/>
      <c r="I1096" s="1149"/>
      <c r="J1096" s="1149"/>
      <c r="K1096" s="1149"/>
      <c r="L1096" s="1149"/>
      <c r="M1096" s="1209"/>
      <c r="N1096" s="1122"/>
      <c r="O1096" s="1149"/>
      <c r="P1096" s="1149"/>
      <c r="Q1096" s="1243"/>
      <c r="R1096" s="1171"/>
      <c r="S1096" s="1244"/>
      <c r="T1096" s="1244"/>
      <c r="U1096" s="1244"/>
      <c r="V1096" s="1149"/>
      <c r="W1096" s="1149"/>
      <c r="X1096" s="1149"/>
      <c r="Y1096" s="108" t="s">
        <v>1642</v>
      </c>
      <c r="Z1096" s="109">
        <v>18793740</v>
      </c>
      <c r="AA1096" s="109">
        <v>-7517496</v>
      </c>
      <c r="AB1096" s="109">
        <f t="shared" si="81"/>
        <v>11276244</v>
      </c>
      <c r="AC1096" s="97">
        <v>41885</v>
      </c>
      <c r="AD1096" s="119">
        <v>11276244</v>
      </c>
      <c r="AE1096" s="1122"/>
      <c r="AF1096" s="1084"/>
      <c r="AG1096" s="1084"/>
      <c r="AH1096" s="111"/>
      <c r="AI1096" s="111"/>
      <c r="AJ1096" s="111"/>
      <c r="AK1096" s="111"/>
      <c r="AL1096" s="111"/>
      <c r="AM1096" s="111"/>
      <c r="AN1096" s="1149"/>
      <c r="AO1096" s="96"/>
      <c r="AQ1096" s="934"/>
    </row>
    <row r="1097" spans="1:43" s="4" customFormat="1" ht="15" customHeight="1">
      <c r="A1097" s="1225"/>
      <c r="B1097" s="1171"/>
      <c r="C1097" s="1149"/>
      <c r="D1097" s="1149"/>
      <c r="E1097" s="1226"/>
      <c r="F1097" s="1226"/>
      <c r="G1097" s="1149"/>
      <c r="H1097" s="1149"/>
      <c r="I1097" s="1149"/>
      <c r="J1097" s="1149"/>
      <c r="K1097" s="1149"/>
      <c r="L1097" s="1149"/>
      <c r="M1097" s="1209"/>
      <c r="N1097" s="1122"/>
      <c r="O1097" s="1149"/>
      <c r="P1097" s="1149"/>
      <c r="Q1097" s="1243"/>
      <c r="R1097" s="1171"/>
      <c r="S1097" s="1244"/>
      <c r="T1097" s="1244"/>
      <c r="U1097" s="1244"/>
      <c r="V1097" s="1149"/>
      <c r="W1097" s="1149"/>
      <c r="X1097" s="1149"/>
      <c r="Y1097" s="108" t="s">
        <v>1641</v>
      </c>
      <c r="Z1097" s="109">
        <v>8054460</v>
      </c>
      <c r="AA1097" s="109">
        <v>-3221784</v>
      </c>
      <c r="AB1097" s="109">
        <f t="shared" si="81"/>
        <v>4832676</v>
      </c>
      <c r="AC1097" s="97">
        <v>42047</v>
      </c>
      <c r="AD1097" s="119">
        <v>4832676</v>
      </c>
      <c r="AE1097" s="1122"/>
      <c r="AF1097" s="1084"/>
      <c r="AG1097" s="1084"/>
      <c r="AH1097" s="111"/>
      <c r="AI1097" s="111"/>
      <c r="AJ1097" s="111"/>
      <c r="AK1097" s="111"/>
      <c r="AL1097" s="111"/>
      <c r="AM1097" s="111"/>
      <c r="AN1097" s="1149"/>
      <c r="AO1097" s="96"/>
      <c r="AQ1097" s="934"/>
    </row>
    <row r="1098" spans="1:43" s="4" customFormat="1" ht="15" customHeight="1">
      <c r="A1098" s="1225"/>
      <c r="B1098" s="1171"/>
      <c r="C1098" s="1149"/>
      <c r="D1098" s="1149"/>
      <c r="E1098" s="1226"/>
      <c r="F1098" s="1226"/>
      <c r="G1098" s="1149"/>
      <c r="H1098" s="1149"/>
      <c r="I1098" s="1149"/>
      <c r="J1098" s="1149"/>
      <c r="K1098" s="1149"/>
      <c r="L1098" s="1149"/>
      <c r="M1098" s="1209"/>
      <c r="N1098" s="1122"/>
      <c r="O1098" s="1149"/>
      <c r="P1098" s="1149"/>
      <c r="Q1098" s="1243"/>
      <c r="R1098" s="1171"/>
      <c r="S1098" s="1244"/>
      <c r="T1098" s="1244"/>
      <c r="U1098" s="1244"/>
      <c r="V1098" s="1149"/>
      <c r="W1098" s="1149"/>
      <c r="X1098" s="1149"/>
      <c r="Y1098" s="108" t="s">
        <v>1640</v>
      </c>
      <c r="Z1098" s="109"/>
      <c r="AA1098" s="109"/>
      <c r="AB1098" s="109"/>
      <c r="AC1098" s="97">
        <v>42990</v>
      </c>
      <c r="AD1098" s="119">
        <v>11920600.800000001</v>
      </c>
      <c r="AE1098" s="1122"/>
      <c r="AF1098" s="1084"/>
      <c r="AG1098" s="1084"/>
      <c r="AH1098" s="111"/>
      <c r="AI1098" s="111"/>
      <c r="AJ1098" s="111"/>
      <c r="AK1098" s="111"/>
      <c r="AL1098" s="111"/>
      <c r="AM1098" s="111"/>
      <c r="AN1098" s="1149"/>
      <c r="AO1098" s="96"/>
      <c r="AQ1098" s="934"/>
    </row>
    <row r="1099" spans="1:43" s="4" customFormat="1" ht="15" customHeight="1">
      <c r="A1099" s="1225"/>
      <c r="B1099" s="1171"/>
      <c r="C1099" s="1149" t="s">
        <v>39</v>
      </c>
      <c r="D1099" s="1149"/>
      <c r="E1099" s="1226"/>
      <c r="F1099" s="1226"/>
      <c r="G1099" s="1149"/>
      <c r="H1099" s="1149"/>
      <c r="I1099" s="1149"/>
      <c r="J1099" s="1149" t="s">
        <v>67</v>
      </c>
      <c r="K1099" s="1149"/>
      <c r="L1099" s="1149"/>
      <c r="M1099" s="1209">
        <v>6</v>
      </c>
      <c r="N1099" s="1122" t="s">
        <v>164</v>
      </c>
      <c r="O1099" s="1149">
        <v>90795881</v>
      </c>
      <c r="P1099" s="1149">
        <v>90795881</v>
      </c>
      <c r="Q1099" s="1243"/>
      <c r="R1099" s="1171"/>
      <c r="S1099" s="1242"/>
      <c r="T1099" s="1242"/>
      <c r="U1099" s="1242"/>
      <c r="V1099" s="1149">
        <v>17520415</v>
      </c>
      <c r="W1099" s="1149"/>
      <c r="X1099" s="1149"/>
      <c r="Y1099" s="108" t="s">
        <v>1639</v>
      </c>
      <c r="Z1099" s="109">
        <v>10199938</v>
      </c>
      <c r="AA1099" s="109"/>
      <c r="AB1099" s="109">
        <f>SUM(Z1099:AA1099)</f>
        <v>10199938</v>
      </c>
      <c r="AC1099" s="97">
        <v>42047</v>
      </c>
      <c r="AD1099" s="119">
        <v>10199938</v>
      </c>
      <c r="AE1099" s="1122" t="s">
        <v>164</v>
      </c>
      <c r="AF1099" s="1084">
        <f>SUM(AD1099:AD1100)</f>
        <v>17520415</v>
      </c>
      <c r="AG1099" s="1084"/>
      <c r="AH1099" s="111"/>
      <c r="AI1099" s="111"/>
      <c r="AJ1099" s="111"/>
      <c r="AK1099" s="111"/>
      <c r="AL1099" s="111"/>
      <c r="AM1099" s="111"/>
      <c r="AN1099" s="1149"/>
      <c r="AO1099" s="96"/>
      <c r="AQ1099" s="934"/>
    </row>
    <row r="1100" spans="1:43" s="4" customFormat="1" ht="15" customHeight="1">
      <c r="A1100" s="1225"/>
      <c r="B1100" s="1171"/>
      <c r="C1100" s="1149"/>
      <c r="D1100" s="1149"/>
      <c r="E1100" s="1226"/>
      <c r="F1100" s="1226"/>
      <c r="G1100" s="1149"/>
      <c r="H1100" s="1149"/>
      <c r="I1100" s="1149"/>
      <c r="J1100" s="1149"/>
      <c r="K1100" s="1149"/>
      <c r="L1100" s="1149"/>
      <c r="M1100" s="1209"/>
      <c r="N1100" s="1122"/>
      <c r="O1100" s="1149"/>
      <c r="P1100" s="1149"/>
      <c r="Q1100" s="1243"/>
      <c r="R1100" s="1171"/>
      <c r="S1100" s="1242"/>
      <c r="T1100" s="1242"/>
      <c r="U1100" s="1242"/>
      <c r="V1100" s="1149"/>
      <c r="W1100" s="1149"/>
      <c r="X1100" s="1149"/>
      <c r="Y1100" s="108" t="s">
        <v>1638</v>
      </c>
      <c r="Z1100" s="109"/>
      <c r="AA1100" s="109"/>
      <c r="AB1100" s="109"/>
      <c r="AC1100" s="97">
        <v>42990</v>
      </c>
      <c r="AD1100" s="119">
        <v>7320477</v>
      </c>
      <c r="AE1100" s="1122"/>
      <c r="AF1100" s="1084"/>
      <c r="AG1100" s="1084"/>
      <c r="AH1100" s="111"/>
      <c r="AI1100" s="111"/>
      <c r="AJ1100" s="111"/>
      <c r="AK1100" s="111"/>
      <c r="AL1100" s="111"/>
      <c r="AM1100" s="111"/>
      <c r="AN1100" s="1149"/>
      <c r="AO1100" s="96"/>
      <c r="AQ1100" s="934"/>
    </row>
    <row r="1101" spans="1:43" s="4" customFormat="1" ht="15" customHeight="1">
      <c r="A1101" s="1225"/>
      <c r="B1101" s="1171"/>
      <c r="C1101" s="96" t="s">
        <v>5</v>
      </c>
      <c r="D1101" s="1149"/>
      <c r="E1101" s="1226"/>
      <c r="F1101" s="1226"/>
      <c r="G1101" s="1149"/>
      <c r="H1101" s="1149"/>
      <c r="I1101" s="1149"/>
      <c r="J1101" s="96" t="s">
        <v>171</v>
      </c>
      <c r="K1101" s="1149"/>
      <c r="L1101" s="1149"/>
      <c r="M1101" s="102">
        <v>9</v>
      </c>
      <c r="N1101" s="98" t="s">
        <v>150</v>
      </c>
      <c r="O1101" s="96">
        <v>14713032</v>
      </c>
      <c r="P1101" s="96">
        <v>14713032</v>
      </c>
      <c r="Q1101" s="1243"/>
      <c r="R1101" s="97"/>
      <c r="S1101" s="116"/>
      <c r="T1101" s="117"/>
      <c r="U1101" s="117"/>
      <c r="V1101" s="96">
        <f>O1101</f>
        <v>14713032</v>
      </c>
      <c r="W1101" s="1149"/>
      <c r="X1101" s="1149"/>
      <c r="Y1101" s="108"/>
      <c r="Z1101" s="109"/>
      <c r="AA1101" s="109"/>
      <c r="AB1101" s="109"/>
      <c r="AC1101" s="97"/>
      <c r="AD1101" s="119"/>
      <c r="AE1101" s="98" t="s">
        <v>150</v>
      </c>
      <c r="AF1101" s="111">
        <f>AD1101</f>
        <v>0</v>
      </c>
      <c r="AG1101" s="1084"/>
      <c r="AH1101" s="111"/>
      <c r="AI1101" s="111"/>
      <c r="AJ1101" s="111"/>
      <c r="AK1101" s="111"/>
      <c r="AL1101" s="111"/>
      <c r="AM1101" s="111"/>
      <c r="AN1101" s="1149"/>
      <c r="AO1101" s="96"/>
      <c r="AQ1101" s="934"/>
    </row>
    <row r="1102" spans="1:43" s="4" customFormat="1" ht="15" customHeight="1">
      <c r="A1102" s="1225"/>
      <c r="B1102" s="1171"/>
      <c r="C1102" s="96" t="s">
        <v>21</v>
      </c>
      <c r="D1102" s="1149"/>
      <c r="E1102" s="1226"/>
      <c r="F1102" s="1226"/>
      <c r="G1102" s="1149"/>
      <c r="H1102" s="1149"/>
      <c r="I1102" s="1149"/>
      <c r="J1102" s="96" t="s">
        <v>172</v>
      </c>
      <c r="K1102" s="1149"/>
      <c r="L1102" s="1149"/>
      <c r="M1102" s="102">
        <v>8</v>
      </c>
      <c r="N1102" s="98" t="s">
        <v>144</v>
      </c>
      <c r="O1102" s="96">
        <v>4019672</v>
      </c>
      <c r="P1102" s="96">
        <v>4019672</v>
      </c>
      <c r="Q1102" s="1243"/>
      <c r="R1102" s="97"/>
      <c r="S1102" s="116"/>
      <c r="T1102" s="117"/>
      <c r="U1102" s="117"/>
      <c r="V1102" s="96">
        <v>4019672</v>
      </c>
      <c r="W1102" s="1149"/>
      <c r="X1102" s="1149"/>
      <c r="Y1102" s="108" t="s">
        <v>1637</v>
      </c>
      <c r="Z1102" s="109"/>
      <c r="AA1102" s="109"/>
      <c r="AB1102" s="109"/>
      <c r="AC1102" s="97">
        <v>42990</v>
      </c>
      <c r="AD1102" s="119">
        <v>3617705</v>
      </c>
      <c r="AE1102" s="98" t="s">
        <v>144</v>
      </c>
      <c r="AF1102" s="111">
        <f>AD1102</f>
        <v>3617705</v>
      </c>
      <c r="AG1102" s="1084"/>
      <c r="AH1102" s="111"/>
      <c r="AI1102" s="111"/>
      <c r="AJ1102" s="111"/>
      <c r="AK1102" s="111"/>
      <c r="AL1102" s="111"/>
      <c r="AM1102" s="111"/>
      <c r="AN1102" s="1149"/>
      <c r="AO1102" s="96"/>
      <c r="AQ1102" s="934"/>
    </row>
    <row r="1103" spans="1:43" ht="15" customHeight="1">
      <c r="A1103" s="1214" t="s">
        <v>1626</v>
      </c>
      <c r="B1103" s="1171">
        <v>41478</v>
      </c>
      <c r="C1103" s="1076" t="s">
        <v>9</v>
      </c>
      <c r="D1103" s="1076" t="s">
        <v>1627</v>
      </c>
      <c r="E1103" s="1208">
        <v>16627434</v>
      </c>
      <c r="F1103" s="1208">
        <v>3</v>
      </c>
      <c r="G1103" s="1076" t="s">
        <v>1628</v>
      </c>
      <c r="H1103" s="1076" t="s">
        <v>71</v>
      </c>
      <c r="I1103" s="1076" t="s">
        <v>1221</v>
      </c>
      <c r="J1103" s="1076" t="s">
        <v>66</v>
      </c>
      <c r="K1103" s="1076" t="s">
        <v>183</v>
      </c>
      <c r="L1103" s="1076" t="s">
        <v>1635</v>
      </c>
      <c r="M1103" s="1209">
        <v>271</v>
      </c>
      <c r="N1103" s="1123" t="s">
        <v>7</v>
      </c>
      <c r="O1103" s="1119">
        <v>313196209</v>
      </c>
      <c r="P1103" s="1119">
        <f>O1103+O1109</f>
        <v>332184962</v>
      </c>
      <c r="Q1103" s="1119">
        <f>P1103+P1113+P1118</f>
        <v>1301723353</v>
      </c>
      <c r="R1103" s="1171">
        <v>41239</v>
      </c>
      <c r="S1103" s="1196">
        <f>Q1103</f>
        <v>1301723353</v>
      </c>
      <c r="T1103" s="1196">
        <v>313196209</v>
      </c>
      <c r="U1103" s="1196">
        <f>O1103-T1103</f>
        <v>0</v>
      </c>
      <c r="V1103" s="1084">
        <v>310864962</v>
      </c>
      <c r="W1103" s="1119">
        <f>873794155+V1118</f>
        <v>1301723353</v>
      </c>
      <c r="X1103" s="1076" t="s">
        <v>1550</v>
      </c>
      <c r="Y1103" s="1123" t="s">
        <v>1629</v>
      </c>
      <c r="Z1103" s="109">
        <v>5177943.8</v>
      </c>
      <c r="AA1103" s="109">
        <v>0</v>
      </c>
      <c r="AB1103" s="109">
        <f>Z1103+AA1103</f>
        <v>5177943.8</v>
      </c>
      <c r="AC1103" s="1171">
        <v>41632</v>
      </c>
      <c r="AD1103" s="57">
        <v>5177943.8</v>
      </c>
      <c r="AE1103" s="98" t="s">
        <v>137</v>
      </c>
      <c r="AF1103" s="1084">
        <f>SUM(AD1103:AD1112)</f>
        <v>332184962.00000006</v>
      </c>
      <c r="AG1103" s="1084">
        <f>AF1103+AF1113+AF1118</f>
        <v>1301723353.02</v>
      </c>
      <c r="AH1103" s="111">
        <f>AB1103-AD1103</f>
        <v>0</v>
      </c>
      <c r="AI1103" s="1084">
        <f>O1103-AD1104-AD1106-AD1107-AD1108-AD1110-AD1112</f>
        <v>-5315774.9500000142</v>
      </c>
      <c r="AJ1103" s="1119">
        <f>SUM(Z1103:Z1120)-SUM(AD1103:AD1120)</f>
        <v>0</v>
      </c>
      <c r="AK1103" s="1119">
        <f>O1103-V1103</f>
        <v>2331247</v>
      </c>
      <c r="AL1103" s="1119">
        <f>(V1103+V1109)-SUM(Z1103:Z1112)</f>
        <v>-2472588.0000000596</v>
      </c>
      <c r="AM1103" s="1119">
        <f>AK1103+AK1109+AL1103</f>
        <v>-5.9604644775390625E-8</v>
      </c>
      <c r="AN1103" s="1203" t="s">
        <v>523</v>
      </c>
      <c r="AO1103" s="1204" t="s">
        <v>1636</v>
      </c>
    </row>
    <row r="1104" spans="1:43" ht="15" customHeight="1">
      <c r="A1104" s="1214"/>
      <c r="B1104" s="1171"/>
      <c r="C1104" s="1076"/>
      <c r="D1104" s="1076"/>
      <c r="E1104" s="1208"/>
      <c r="F1104" s="1208"/>
      <c r="G1104" s="1076"/>
      <c r="H1104" s="1076"/>
      <c r="I1104" s="1076"/>
      <c r="J1104" s="1076"/>
      <c r="K1104" s="1076"/>
      <c r="L1104" s="1076"/>
      <c r="M1104" s="1209"/>
      <c r="N1104" s="1123"/>
      <c r="O1104" s="1119"/>
      <c r="P1104" s="1119"/>
      <c r="Q1104" s="1119"/>
      <c r="R1104" s="1171"/>
      <c r="S1104" s="1196"/>
      <c r="T1104" s="1196"/>
      <c r="U1104" s="1196"/>
      <c r="V1104" s="1084"/>
      <c r="W1104" s="1119"/>
      <c r="X1104" s="1076"/>
      <c r="Y1104" s="1123"/>
      <c r="Z1104" s="109">
        <v>85403837.109999999</v>
      </c>
      <c r="AA1104" s="109">
        <v>0</v>
      </c>
      <c r="AB1104" s="109">
        <f t="shared" ref="AB1104:AB1112" si="82">Z1104+AA1104</f>
        <v>85403837.109999999</v>
      </c>
      <c r="AC1104" s="1171"/>
      <c r="AD1104" s="119">
        <v>85403837.109999999</v>
      </c>
      <c r="AE1104" s="98" t="s">
        <v>7</v>
      </c>
      <c r="AF1104" s="1084"/>
      <c r="AG1104" s="1084"/>
      <c r="AH1104" s="111">
        <f t="shared" ref="AH1104:AH1112" si="83">AB1104-AD1104</f>
        <v>0</v>
      </c>
      <c r="AI1104" s="1084"/>
      <c r="AJ1104" s="1119"/>
      <c r="AK1104" s="1119"/>
      <c r="AL1104" s="1119"/>
      <c r="AM1104" s="1119"/>
      <c r="AN1104" s="1203"/>
      <c r="AO1104" s="1204"/>
    </row>
    <row r="1105" spans="1:41" ht="15" customHeight="1">
      <c r="A1105" s="1214"/>
      <c r="B1105" s="1171"/>
      <c r="C1105" s="1076"/>
      <c r="D1105" s="1076"/>
      <c r="E1105" s="1208"/>
      <c r="F1105" s="1208"/>
      <c r="G1105" s="1076"/>
      <c r="H1105" s="1076"/>
      <c r="I1105" s="1076"/>
      <c r="J1105" s="1076"/>
      <c r="K1105" s="1076"/>
      <c r="L1105" s="1076"/>
      <c r="M1105" s="1209"/>
      <c r="N1105" s="1123"/>
      <c r="O1105" s="1119"/>
      <c r="P1105" s="1119"/>
      <c r="Q1105" s="1119"/>
      <c r="R1105" s="1171"/>
      <c r="S1105" s="1196"/>
      <c r="T1105" s="1196"/>
      <c r="U1105" s="1196"/>
      <c r="V1105" s="1084"/>
      <c r="W1105" s="1119"/>
      <c r="X1105" s="1076"/>
      <c r="Y1105" s="1123" t="s">
        <v>1630</v>
      </c>
      <c r="Z1105" s="109">
        <v>6468870.1799999997</v>
      </c>
      <c r="AA1105" s="109">
        <v>0</v>
      </c>
      <c r="AB1105" s="109">
        <f t="shared" si="82"/>
        <v>6468870.1799999997</v>
      </c>
      <c r="AC1105" s="1171">
        <v>41705</v>
      </c>
      <c r="AD1105" s="119">
        <v>6468870.1799999997</v>
      </c>
      <c r="AE1105" s="98" t="s">
        <v>137</v>
      </c>
      <c r="AF1105" s="1084"/>
      <c r="AG1105" s="1084"/>
      <c r="AH1105" s="111">
        <f t="shared" si="83"/>
        <v>0</v>
      </c>
      <c r="AI1105" s="1084"/>
      <c r="AJ1105" s="1119"/>
      <c r="AK1105" s="1119"/>
      <c r="AL1105" s="1119"/>
      <c r="AM1105" s="1119"/>
      <c r="AN1105" s="1203"/>
      <c r="AO1105" s="1204"/>
    </row>
    <row r="1106" spans="1:41" ht="15" customHeight="1">
      <c r="A1106" s="1214"/>
      <c r="B1106" s="1171"/>
      <c r="C1106" s="1076"/>
      <c r="D1106" s="1076"/>
      <c r="E1106" s="1208"/>
      <c r="F1106" s="1208"/>
      <c r="G1106" s="1076"/>
      <c r="H1106" s="1076"/>
      <c r="I1106" s="1076"/>
      <c r="J1106" s="1076"/>
      <c r="K1106" s="1076"/>
      <c r="L1106" s="1076"/>
      <c r="M1106" s="1209"/>
      <c r="N1106" s="1123"/>
      <c r="O1106" s="1119"/>
      <c r="P1106" s="1119"/>
      <c r="Q1106" s="1119"/>
      <c r="R1106" s="1171"/>
      <c r="S1106" s="1196"/>
      <c r="T1106" s="1196"/>
      <c r="U1106" s="1196"/>
      <c r="V1106" s="1084"/>
      <c r="W1106" s="1119"/>
      <c r="X1106" s="1076"/>
      <c r="Y1106" s="1123"/>
      <c r="Z1106" s="109">
        <v>106696085.63</v>
      </c>
      <c r="AA1106" s="109">
        <v>0</v>
      </c>
      <c r="AB1106" s="109">
        <f t="shared" si="82"/>
        <v>106696085.63</v>
      </c>
      <c r="AC1106" s="1171"/>
      <c r="AD1106" s="119">
        <v>106696085.63</v>
      </c>
      <c r="AE1106" s="98" t="s">
        <v>7</v>
      </c>
      <c r="AF1106" s="1084"/>
      <c r="AG1106" s="1084"/>
      <c r="AH1106" s="111">
        <f t="shared" si="83"/>
        <v>0</v>
      </c>
      <c r="AI1106" s="1084"/>
      <c r="AJ1106" s="1119"/>
      <c r="AK1106" s="1119"/>
      <c r="AL1106" s="1119"/>
      <c r="AM1106" s="1119"/>
      <c r="AN1106" s="1203"/>
      <c r="AO1106" s="1204"/>
    </row>
    <row r="1107" spans="1:41" ht="15" customHeight="1">
      <c r="A1107" s="1214"/>
      <c r="B1107" s="1171"/>
      <c r="C1107" s="1076"/>
      <c r="D1107" s="1076"/>
      <c r="E1107" s="1208"/>
      <c r="F1107" s="1208"/>
      <c r="G1107" s="1076"/>
      <c r="H1107" s="1076"/>
      <c r="I1107" s="1076"/>
      <c r="J1107" s="1076"/>
      <c r="K1107" s="1076"/>
      <c r="L1107" s="1076"/>
      <c r="M1107" s="1209"/>
      <c r="N1107" s="1123"/>
      <c r="O1107" s="1119"/>
      <c r="P1107" s="1119"/>
      <c r="Q1107" s="1119"/>
      <c r="R1107" s="1171"/>
      <c r="S1107" s="1196"/>
      <c r="T1107" s="1196"/>
      <c r="U1107" s="1196"/>
      <c r="V1107" s="1084"/>
      <c r="W1107" s="1119"/>
      <c r="X1107" s="1076"/>
      <c r="Y1107" s="1123" t="s">
        <v>1631</v>
      </c>
      <c r="Z1107" s="109">
        <v>5315774.95</v>
      </c>
      <c r="AA1107" s="109">
        <v>0</v>
      </c>
      <c r="AB1107" s="109">
        <f t="shared" si="82"/>
        <v>5315774.95</v>
      </c>
      <c r="AC1107" s="1171">
        <v>41802</v>
      </c>
      <c r="AD1107" s="119">
        <v>5315774.95</v>
      </c>
      <c r="AE1107" s="98" t="s">
        <v>7</v>
      </c>
      <c r="AF1107" s="1084"/>
      <c r="AG1107" s="1084"/>
      <c r="AH1107" s="111">
        <f t="shared" si="83"/>
        <v>0</v>
      </c>
      <c r="AI1107" s="1084"/>
      <c r="AJ1107" s="1119"/>
      <c r="AK1107" s="1119"/>
      <c r="AL1107" s="1119"/>
      <c r="AM1107" s="1119"/>
      <c r="AN1107" s="1203"/>
      <c r="AO1107" s="1204"/>
    </row>
    <row r="1108" spans="1:41" ht="15" customHeight="1">
      <c r="A1108" s="1214"/>
      <c r="B1108" s="1171"/>
      <c r="C1108" s="1076"/>
      <c r="D1108" s="1076"/>
      <c r="E1108" s="1208"/>
      <c r="F1108" s="1208"/>
      <c r="G1108" s="1076"/>
      <c r="H1108" s="1076"/>
      <c r="I1108" s="1076"/>
      <c r="J1108" s="1076"/>
      <c r="K1108" s="1076"/>
      <c r="L1108" s="1076"/>
      <c r="M1108" s="1209"/>
      <c r="N1108" s="1123"/>
      <c r="O1108" s="1119"/>
      <c r="P1108" s="1119"/>
      <c r="Q1108" s="1119"/>
      <c r="R1108" s="1171"/>
      <c r="S1108" s="1196"/>
      <c r="T1108" s="1196"/>
      <c r="U1108" s="1196"/>
      <c r="V1108" s="1084"/>
      <c r="W1108" s="1119"/>
      <c r="X1108" s="1076"/>
      <c r="Y1108" s="1123"/>
      <c r="Z1108" s="109">
        <v>87677193.060000002</v>
      </c>
      <c r="AA1108" s="109">
        <v>0</v>
      </c>
      <c r="AB1108" s="109">
        <f t="shared" si="82"/>
        <v>87677193.060000002</v>
      </c>
      <c r="AC1108" s="1171"/>
      <c r="AD1108" s="119">
        <v>87677193.060000002</v>
      </c>
      <c r="AE1108" s="98" t="s">
        <v>7</v>
      </c>
      <c r="AF1108" s="1084"/>
      <c r="AG1108" s="1084"/>
      <c r="AH1108" s="111">
        <f t="shared" si="83"/>
        <v>0</v>
      </c>
      <c r="AI1108" s="1084"/>
      <c r="AJ1108" s="1119"/>
      <c r="AK1108" s="1119"/>
      <c r="AL1108" s="1119"/>
      <c r="AM1108" s="1119"/>
      <c r="AN1108" s="1203"/>
      <c r="AO1108" s="1204"/>
    </row>
    <row r="1109" spans="1:41" ht="15" customHeight="1">
      <c r="A1109" s="1214"/>
      <c r="B1109" s="1171"/>
      <c r="C1109" s="1076"/>
      <c r="D1109" s="1076"/>
      <c r="E1109" s="1208"/>
      <c r="F1109" s="1208"/>
      <c r="G1109" s="1076"/>
      <c r="H1109" s="1076"/>
      <c r="I1109" s="1076"/>
      <c r="J1109" s="1076"/>
      <c r="K1109" s="1076"/>
      <c r="L1109" s="1076"/>
      <c r="M1109" s="1209"/>
      <c r="N1109" s="1123" t="s">
        <v>137</v>
      </c>
      <c r="O1109" s="1119">
        <v>18988753</v>
      </c>
      <c r="P1109" s="1119"/>
      <c r="Q1109" s="1119"/>
      <c r="R1109" s="1171"/>
      <c r="S1109" s="1196"/>
      <c r="T1109" s="1196">
        <v>18988753</v>
      </c>
      <c r="U1109" s="1196">
        <f>O1109-T1109</f>
        <v>0</v>
      </c>
      <c r="V1109" s="1084">
        <v>18847412</v>
      </c>
      <c r="W1109" s="1119"/>
      <c r="X1109" s="1076"/>
      <c r="Y1109" s="1123" t="s">
        <v>1632</v>
      </c>
      <c r="Z1109" s="109">
        <v>1884823.06</v>
      </c>
      <c r="AA1109" s="109">
        <v>0</v>
      </c>
      <c r="AB1109" s="109">
        <f t="shared" si="82"/>
        <v>1884823.06</v>
      </c>
      <c r="AC1109" s="1171">
        <v>42619</v>
      </c>
      <c r="AD1109" s="119">
        <v>1884823.06</v>
      </c>
      <c r="AE1109" s="98" t="s">
        <v>137</v>
      </c>
      <c r="AF1109" s="1084"/>
      <c r="AG1109" s="1084"/>
      <c r="AH1109" s="111">
        <f t="shared" si="83"/>
        <v>0</v>
      </c>
      <c r="AI1109" s="1084">
        <f>O1109-AD1103-AD1105-AD1109-AD1111</f>
        <v>5315774.9499999993</v>
      </c>
      <c r="AJ1109" s="1119"/>
      <c r="AK1109" s="1119">
        <f>O1109-V1109</f>
        <v>141341</v>
      </c>
      <c r="AL1109" s="1119"/>
      <c r="AM1109" s="1119"/>
      <c r="AN1109" s="1203"/>
      <c r="AO1109" s="1204"/>
    </row>
    <row r="1110" spans="1:41" ht="15" customHeight="1">
      <c r="A1110" s="1214"/>
      <c r="B1110" s="1171"/>
      <c r="C1110" s="1076"/>
      <c r="D1110" s="1076"/>
      <c r="E1110" s="1208"/>
      <c r="F1110" s="1208"/>
      <c r="G1110" s="1076"/>
      <c r="H1110" s="1076"/>
      <c r="I1110" s="1076"/>
      <c r="J1110" s="1076"/>
      <c r="K1110" s="1076"/>
      <c r="L1110" s="1076"/>
      <c r="M1110" s="1209"/>
      <c r="N1110" s="1123"/>
      <c r="O1110" s="1119"/>
      <c r="P1110" s="1119"/>
      <c r="Q1110" s="1119"/>
      <c r="R1110" s="1171"/>
      <c r="S1110" s="1196"/>
      <c r="T1110" s="1196"/>
      <c r="U1110" s="1196"/>
      <c r="V1110" s="1084"/>
      <c r="W1110" s="1119"/>
      <c r="X1110" s="1076"/>
      <c r="Y1110" s="1123"/>
      <c r="Z1110" s="109">
        <v>31087846.539999999</v>
      </c>
      <c r="AA1110" s="109">
        <v>0</v>
      </c>
      <c r="AB1110" s="109">
        <f t="shared" si="82"/>
        <v>31087846.539999999</v>
      </c>
      <c r="AC1110" s="1171"/>
      <c r="AD1110" s="119">
        <v>31087846.539999999</v>
      </c>
      <c r="AE1110" s="98" t="s">
        <v>7</v>
      </c>
      <c r="AF1110" s="1084"/>
      <c r="AG1110" s="1084"/>
      <c r="AH1110" s="111">
        <f t="shared" si="83"/>
        <v>0</v>
      </c>
      <c r="AI1110" s="1084"/>
      <c r="AJ1110" s="1119"/>
      <c r="AK1110" s="1119"/>
      <c r="AL1110" s="1119"/>
      <c r="AM1110" s="1119"/>
      <c r="AN1110" s="1203"/>
      <c r="AO1110" s="1204"/>
    </row>
    <row r="1111" spans="1:41" ht="15" customHeight="1">
      <c r="A1111" s="1214"/>
      <c r="B1111" s="1171"/>
      <c r="C1111" s="1076"/>
      <c r="D1111" s="1076"/>
      <c r="E1111" s="1208"/>
      <c r="F1111" s="1208"/>
      <c r="G1111" s="1076"/>
      <c r="H1111" s="1076"/>
      <c r="I1111" s="1076"/>
      <c r="J1111" s="1076"/>
      <c r="K1111" s="1076"/>
      <c r="L1111" s="1076"/>
      <c r="M1111" s="1209"/>
      <c r="N1111" s="1123"/>
      <c r="O1111" s="1119"/>
      <c r="P1111" s="1119"/>
      <c r="Q1111" s="1119"/>
      <c r="R1111" s="1171"/>
      <c r="S1111" s="1196"/>
      <c r="T1111" s="1196"/>
      <c r="U1111" s="1196"/>
      <c r="V1111" s="1084"/>
      <c r="W1111" s="1119"/>
      <c r="X1111" s="1076"/>
      <c r="Y1111" s="1123" t="s">
        <v>1633</v>
      </c>
      <c r="Z1111" s="109">
        <v>141341.01</v>
      </c>
      <c r="AA1111" s="109">
        <v>0</v>
      </c>
      <c r="AB1111" s="109">
        <f t="shared" si="82"/>
        <v>141341.01</v>
      </c>
      <c r="AC1111" s="1171">
        <v>42634</v>
      </c>
      <c r="AD1111" s="119">
        <v>141341.01</v>
      </c>
      <c r="AE1111" s="98" t="s">
        <v>137</v>
      </c>
      <c r="AF1111" s="1084"/>
      <c r="AG1111" s="1084"/>
      <c r="AH1111" s="111">
        <f t="shared" si="83"/>
        <v>0</v>
      </c>
      <c r="AI1111" s="1084"/>
      <c r="AJ1111" s="1119"/>
      <c r="AK1111" s="1119"/>
      <c r="AL1111" s="1119"/>
      <c r="AM1111" s="1119"/>
      <c r="AN1111" s="1203"/>
      <c r="AO1111" s="1204"/>
    </row>
    <row r="1112" spans="1:41" ht="15" customHeight="1">
      <c r="A1112" s="1214"/>
      <c r="B1112" s="1171"/>
      <c r="C1112" s="1076"/>
      <c r="D1112" s="1076"/>
      <c r="E1112" s="1208"/>
      <c r="F1112" s="1208"/>
      <c r="G1112" s="1076"/>
      <c r="H1112" s="1076"/>
      <c r="I1112" s="1076"/>
      <c r="J1112" s="1076"/>
      <c r="K1112" s="1076"/>
      <c r="L1112" s="1076"/>
      <c r="M1112" s="1209"/>
      <c r="N1112" s="1123"/>
      <c r="O1112" s="1119"/>
      <c r="P1112" s="1119"/>
      <c r="Q1112" s="1119"/>
      <c r="R1112" s="1171"/>
      <c r="S1112" s="1196"/>
      <c r="T1112" s="1196"/>
      <c r="U1112" s="1196"/>
      <c r="V1112" s="1084"/>
      <c r="W1112" s="1119"/>
      <c r="X1112" s="1076"/>
      <c r="Y1112" s="1123"/>
      <c r="Z1112" s="109">
        <v>2331246.66</v>
      </c>
      <c r="AA1112" s="109">
        <v>0</v>
      </c>
      <c r="AB1112" s="109">
        <f t="shared" si="82"/>
        <v>2331246.66</v>
      </c>
      <c r="AC1112" s="1171"/>
      <c r="AD1112" s="119">
        <v>2331246.66</v>
      </c>
      <c r="AE1112" s="98" t="s">
        <v>7</v>
      </c>
      <c r="AF1112" s="1084"/>
      <c r="AG1112" s="1084"/>
      <c r="AH1112" s="111">
        <f t="shared" si="83"/>
        <v>0</v>
      </c>
      <c r="AI1112" s="1084"/>
      <c r="AJ1112" s="1119"/>
      <c r="AK1112" s="1119"/>
      <c r="AL1112" s="1119"/>
      <c r="AM1112" s="1119"/>
      <c r="AN1112" s="1203"/>
      <c r="AO1112" s="1204"/>
    </row>
    <row r="1113" spans="1:41" ht="15" customHeight="1">
      <c r="A1113" s="1214"/>
      <c r="B1113" s="1171"/>
      <c r="C1113" s="1076"/>
      <c r="D1113" s="1076"/>
      <c r="E1113" s="1208"/>
      <c r="F1113" s="1208"/>
      <c r="G1113" s="1076"/>
      <c r="H1113" s="1076"/>
      <c r="I1113" s="1076"/>
      <c r="J1113" s="1076"/>
      <c r="K1113" s="1076"/>
      <c r="L1113" s="1076"/>
      <c r="M1113" s="1209">
        <v>7</v>
      </c>
      <c r="N1113" s="1123" t="s">
        <v>129</v>
      </c>
      <c r="O1113" s="1119">
        <v>548161973</v>
      </c>
      <c r="P1113" s="1119">
        <v>548161973</v>
      </c>
      <c r="Q1113" s="1119"/>
      <c r="R1113" s="1171">
        <v>41239</v>
      </c>
      <c r="S1113" s="1196">
        <f>T1113</f>
        <v>548161973</v>
      </c>
      <c r="T1113" s="1196">
        <v>548161973</v>
      </c>
      <c r="U1113" s="1196">
        <f>O1113-T1113</f>
        <v>0</v>
      </c>
      <c r="V1113" s="1084">
        <v>544081781</v>
      </c>
      <c r="W1113" s="1119"/>
      <c r="X1113" s="1076"/>
      <c r="Y1113" s="108" t="s">
        <v>1629</v>
      </c>
      <c r="Z1113" s="109">
        <v>149475423.09</v>
      </c>
      <c r="AA1113" s="109">
        <v>0</v>
      </c>
      <c r="AB1113" s="109">
        <f t="shared" ref="AB1113:AB1128" si="84">Z1113+AA1113</f>
        <v>149475423.09</v>
      </c>
      <c r="AC1113" s="97">
        <v>41632</v>
      </c>
      <c r="AD1113" s="119">
        <v>149475423.09</v>
      </c>
      <c r="AE1113" s="98" t="s">
        <v>129</v>
      </c>
      <c r="AF1113" s="1084">
        <f>SUM(AD1113:AD1117)</f>
        <v>548161973</v>
      </c>
      <c r="AG1113" s="1084"/>
      <c r="AH1113" s="111">
        <f>AB1113-AD1113</f>
        <v>0</v>
      </c>
      <c r="AI1113" s="1084">
        <f>O1113-SUM(AD1113:AD1117)</f>
        <v>0</v>
      </c>
      <c r="AJ1113" s="1119"/>
      <c r="AK1113" s="1119">
        <f>O1113-V1113</f>
        <v>4080192</v>
      </c>
      <c r="AL1113" s="1119">
        <f>V1113-SUM(Z1113:Z1117)</f>
        <v>-4080192</v>
      </c>
      <c r="AM1113" s="1119">
        <f>AK1113+AL1113</f>
        <v>0</v>
      </c>
      <c r="AN1113" s="1203"/>
      <c r="AO1113" s="1204"/>
    </row>
    <row r="1114" spans="1:41" ht="15" customHeight="1">
      <c r="A1114" s="1214"/>
      <c r="B1114" s="1171"/>
      <c r="C1114" s="1076"/>
      <c r="D1114" s="1076"/>
      <c r="E1114" s="1208"/>
      <c r="F1114" s="1208"/>
      <c r="G1114" s="1076"/>
      <c r="H1114" s="1076"/>
      <c r="I1114" s="1076"/>
      <c r="J1114" s="1076"/>
      <c r="K1114" s="1076"/>
      <c r="L1114" s="1076"/>
      <c r="M1114" s="1209"/>
      <c r="N1114" s="1123"/>
      <c r="O1114" s="1119"/>
      <c r="P1114" s="1119"/>
      <c r="Q1114" s="1119"/>
      <c r="R1114" s="1171"/>
      <c r="S1114" s="1196"/>
      <c r="T1114" s="1196"/>
      <c r="U1114" s="1196"/>
      <c r="V1114" s="1084"/>
      <c r="W1114" s="1119"/>
      <c r="X1114" s="1076"/>
      <c r="Y1114" s="108" t="s">
        <v>1630</v>
      </c>
      <c r="Z1114" s="109">
        <v>186741522.19</v>
      </c>
      <c r="AA1114" s="109">
        <v>0</v>
      </c>
      <c r="AB1114" s="109">
        <f t="shared" si="84"/>
        <v>186741522.19</v>
      </c>
      <c r="AC1114" s="97">
        <v>41705</v>
      </c>
      <c r="AD1114" s="119">
        <v>186741522.19</v>
      </c>
      <c r="AE1114" s="98" t="s">
        <v>129</v>
      </c>
      <c r="AF1114" s="1084"/>
      <c r="AG1114" s="1084"/>
      <c r="AH1114" s="111">
        <f t="shared" ref="AH1114:AH1120" si="85">AB1114-AD1114</f>
        <v>0</v>
      </c>
      <c r="AI1114" s="1084"/>
      <c r="AJ1114" s="1119"/>
      <c r="AK1114" s="1119"/>
      <c r="AL1114" s="1119"/>
      <c r="AM1114" s="1119"/>
      <c r="AN1114" s="1203"/>
      <c r="AO1114" s="1204"/>
    </row>
    <row r="1115" spans="1:41" ht="15" customHeight="1">
      <c r="A1115" s="1214"/>
      <c r="B1115" s="1171"/>
      <c r="C1115" s="1076"/>
      <c r="D1115" s="1076"/>
      <c r="E1115" s="1208"/>
      <c r="F1115" s="1208"/>
      <c r="G1115" s="1076"/>
      <c r="H1115" s="1076"/>
      <c r="I1115" s="1076"/>
      <c r="J1115" s="1076"/>
      <c r="K1115" s="1076"/>
      <c r="L1115" s="1076"/>
      <c r="M1115" s="1209"/>
      <c r="N1115" s="1123"/>
      <c r="O1115" s="1119"/>
      <c r="P1115" s="1119"/>
      <c r="Q1115" s="1119"/>
      <c r="R1115" s="1171"/>
      <c r="S1115" s="1196"/>
      <c r="T1115" s="1196"/>
      <c r="U1115" s="1196"/>
      <c r="V1115" s="1084"/>
      <c r="W1115" s="1119"/>
      <c r="X1115" s="1076"/>
      <c r="Y1115" s="108" t="s">
        <v>1631</v>
      </c>
      <c r="Z1115" s="109">
        <v>153454293.99000001</v>
      </c>
      <c r="AA1115" s="109">
        <v>0</v>
      </c>
      <c r="AB1115" s="109">
        <f t="shared" si="84"/>
        <v>153454293.99000001</v>
      </c>
      <c r="AC1115" s="97">
        <v>41802</v>
      </c>
      <c r="AD1115" s="119">
        <v>153454293.99000001</v>
      </c>
      <c r="AE1115" s="98" t="s">
        <v>129</v>
      </c>
      <c r="AF1115" s="1084"/>
      <c r="AG1115" s="1084"/>
      <c r="AH1115" s="111">
        <f t="shared" si="85"/>
        <v>0</v>
      </c>
      <c r="AI1115" s="1084"/>
      <c r="AJ1115" s="1119"/>
      <c r="AK1115" s="1119"/>
      <c r="AL1115" s="1119"/>
      <c r="AM1115" s="1119"/>
      <c r="AN1115" s="1203"/>
      <c r="AO1115" s="1204"/>
    </row>
    <row r="1116" spans="1:41" ht="15" customHeight="1">
      <c r="A1116" s="1214"/>
      <c r="B1116" s="1171"/>
      <c r="C1116" s="1076"/>
      <c r="D1116" s="1076"/>
      <c r="E1116" s="1208"/>
      <c r="F1116" s="1208"/>
      <c r="G1116" s="1076"/>
      <c r="H1116" s="1076"/>
      <c r="I1116" s="1076"/>
      <c r="J1116" s="1076"/>
      <c r="K1116" s="1076"/>
      <c r="L1116" s="1076"/>
      <c r="M1116" s="1209"/>
      <c r="N1116" s="1123"/>
      <c r="O1116" s="1119"/>
      <c r="P1116" s="1119"/>
      <c r="Q1116" s="1119"/>
      <c r="R1116" s="1171"/>
      <c r="S1116" s="1196"/>
      <c r="T1116" s="1196"/>
      <c r="U1116" s="1196"/>
      <c r="V1116" s="1084"/>
      <c r="W1116" s="1119"/>
      <c r="X1116" s="1076"/>
      <c r="Y1116" s="108" t="s">
        <v>1632</v>
      </c>
      <c r="Z1116" s="109">
        <v>54410541.399999999</v>
      </c>
      <c r="AA1116" s="109">
        <v>0</v>
      </c>
      <c r="AB1116" s="109">
        <f t="shared" si="84"/>
        <v>54410541.399999999</v>
      </c>
      <c r="AC1116" s="97">
        <v>42619</v>
      </c>
      <c r="AD1116" s="119">
        <v>54410541.399999999</v>
      </c>
      <c r="AE1116" s="98" t="s">
        <v>129</v>
      </c>
      <c r="AF1116" s="1084"/>
      <c r="AG1116" s="1084"/>
      <c r="AH1116" s="111">
        <f t="shared" si="85"/>
        <v>0</v>
      </c>
      <c r="AI1116" s="1084"/>
      <c r="AJ1116" s="1119"/>
      <c r="AK1116" s="1119"/>
      <c r="AL1116" s="1119"/>
      <c r="AM1116" s="1119"/>
      <c r="AN1116" s="1203"/>
      <c r="AO1116" s="1204"/>
    </row>
    <row r="1117" spans="1:41" ht="15" customHeight="1">
      <c r="A1117" s="1214"/>
      <c r="B1117" s="1171"/>
      <c r="C1117" s="1076"/>
      <c r="D1117" s="1076"/>
      <c r="E1117" s="1208"/>
      <c r="F1117" s="1208"/>
      <c r="G1117" s="1076"/>
      <c r="H1117" s="1076"/>
      <c r="I1117" s="1076"/>
      <c r="J1117" s="1076"/>
      <c r="K1117" s="1076"/>
      <c r="L1117" s="1076"/>
      <c r="M1117" s="1209"/>
      <c r="N1117" s="1123"/>
      <c r="O1117" s="1119"/>
      <c r="P1117" s="1119"/>
      <c r="Q1117" s="1119"/>
      <c r="R1117" s="1171"/>
      <c r="S1117" s="1196"/>
      <c r="T1117" s="1196"/>
      <c r="U1117" s="1196"/>
      <c r="V1117" s="1084"/>
      <c r="W1117" s="1119"/>
      <c r="X1117" s="1076"/>
      <c r="Y1117" s="108" t="s">
        <v>1633</v>
      </c>
      <c r="Z1117" s="109">
        <v>4080192.33</v>
      </c>
      <c r="AA1117" s="109">
        <v>0</v>
      </c>
      <c r="AB1117" s="109">
        <f t="shared" si="84"/>
        <v>4080192.33</v>
      </c>
      <c r="AC1117" s="97">
        <v>42634</v>
      </c>
      <c r="AD1117" s="119">
        <v>4080192.33</v>
      </c>
      <c r="AE1117" s="98" t="s">
        <v>129</v>
      </c>
      <c r="AF1117" s="1084"/>
      <c r="AG1117" s="1084"/>
      <c r="AH1117" s="111">
        <f t="shared" si="85"/>
        <v>0</v>
      </c>
      <c r="AI1117" s="1084"/>
      <c r="AJ1117" s="1119"/>
      <c r="AK1117" s="1119"/>
      <c r="AL1117" s="1119"/>
      <c r="AM1117" s="1119"/>
      <c r="AN1117" s="1203"/>
      <c r="AO1117" s="1204"/>
    </row>
    <row r="1118" spans="1:41" ht="15" customHeight="1">
      <c r="A1118" s="1214"/>
      <c r="B1118" s="1171"/>
      <c r="C1118" s="1076"/>
      <c r="D1118" s="1076"/>
      <c r="E1118" s="1208"/>
      <c r="F1118" s="1208"/>
      <c r="G1118" s="1076"/>
      <c r="H1118" s="1076"/>
      <c r="I1118" s="1076"/>
      <c r="J1118" s="1076" t="s">
        <v>67</v>
      </c>
      <c r="K1118" s="1076"/>
      <c r="L1118" s="1076"/>
      <c r="M1118" s="1209">
        <v>20</v>
      </c>
      <c r="N1118" s="1123" t="s">
        <v>129</v>
      </c>
      <c r="O1118" s="1119">
        <v>421376418</v>
      </c>
      <c r="P1118" s="1119">
        <v>421376418</v>
      </c>
      <c r="Q1118" s="1119"/>
      <c r="R1118" s="1171">
        <v>42236</v>
      </c>
      <c r="S1118" s="1196">
        <f>T1118</f>
        <v>421376418</v>
      </c>
      <c r="T1118" s="1196">
        <v>421376418</v>
      </c>
      <c r="U1118" s="1196">
        <f>O1118-T1118</f>
        <v>0</v>
      </c>
      <c r="V1118" s="1084">
        <v>427929198</v>
      </c>
      <c r="W1118" s="1119"/>
      <c r="X1118" s="1076"/>
      <c r="Y1118" s="108" t="s">
        <v>1633</v>
      </c>
      <c r="Z1118" s="109">
        <v>169443135</v>
      </c>
      <c r="AA1118" s="109">
        <v>0</v>
      </c>
      <c r="AB1118" s="109">
        <f t="shared" si="84"/>
        <v>169443135</v>
      </c>
      <c r="AC1118" s="97">
        <v>42634</v>
      </c>
      <c r="AD1118" s="119">
        <v>169443135</v>
      </c>
      <c r="AE1118" s="98" t="s">
        <v>129</v>
      </c>
      <c r="AF1118" s="1084">
        <f>SUM(AD1118:AD1120)</f>
        <v>421376418.01999998</v>
      </c>
      <c r="AG1118" s="1084"/>
      <c r="AH1118" s="111">
        <f t="shared" si="85"/>
        <v>0</v>
      </c>
      <c r="AI1118" s="1084">
        <f>O1118-SUM(AD1118:AD1120)</f>
        <v>-1.9999980926513672E-2</v>
      </c>
      <c r="AJ1118" s="1119"/>
      <c r="AK1118" s="1119">
        <f>O1118-V1118</f>
        <v>-6552780</v>
      </c>
      <c r="AL1118" s="1119">
        <f>V1118-SUM(Z1118:Z1120)</f>
        <v>6552779.9800000191</v>
      </c>
      <c r="AM1118" s="1119">
        <f>AK1118+AL1118</f>
        <v>-1.9999980926513672E-2</v>
      </c>
      <c r="AN1118" s="1203"/>
      <c r="AO1118" s="1204"/>
    </row>
    <row r="1119" spans="1:41" ht="15" customHeight="1">
      <c r="A1119" s="1214"/>
      <c r="B1119" s="1171"/>
      <c r="C1119" s="1076"/>
      <c r="D1119" s="1076"/>
      <c r="E1119" s="1208"/>
      <c r="F1119" s="1208"/>
      <c r="G1119" s="1076"/>
      <c r="H1119" s="1076"/>
      <c r="I1119" s="1076"/>
      <c r="J1119" s="1076"/>
      <c r="K1119" s="1076"/>
      <c r="L1119" s="1076"/>
      <c r="M1119" s="1209"/>
      <c r="N1119" s="1123"/>
      <c r="O1119" s="1119"/>
      <c r="P1119" s="1119"/>
      <c r="Q1119" s="1119"/>
      <c r="R1119" s="1171"/>
      <c r="S1119" s="1196"/>
      <c r="T1119" s="1196"/>
      <c r="U1119" s="1196"/>
      <c r="V1119" s="1084"/>
      <c r="W1119" s="1119"/>
      <c r="X1119" s="1076"/>
      <c r="Y1119" s="1123" t="s">
        <v>1634</v>
      </c>
      <c r="Z1119" s="109">
        <v>226739953.19</v>
      </c>
      <c r="AA1119" s="109">
        <v>0</v>
      </c>
      <c r="AB1119" s="109">
        <f t="shared" si="84"/>
        <v>226739953.19</v>
      </c>
      <c r="AC1119" s="97">
        <v>42906</v>
      </c>
      <c r="AD1119" s="119">
        <v>226739953.19</v>
      </c>
      <c r="AE1119" s="98" t="s">
        <v>129</v>
      </c>
      <c r="AF1119" s="1084"/>
      <c r="AG1119" s="1084"/>
      <c r="AH1119" s="111">
        <f t="shared" si="85"/>
        <v>0</v>
      </c>
      <c r="AI1119" s="1084"/>
      <c r="AJ1119" s="1119"/>
      <c r="AK1119" s="1119"/>
      <c r="AL1119" s="1119"/>
      <c r="AM1119" s="1119"/>
      <c r="AN1119" s="1203"/>
      <c r="AO1119" s="1204"/>
    </row>
    <row r="1120" spans="1:41" ht="15" customHeight="1">
      <c r="A1120" s="1214"/>
      <c r="B1120" s="1171"/>
      <c r="C1120" s="1076"/>
      <c r="D1120" s="1076"/>
      <c r="E1120" s="1208"/>
      <c r="F1120" s="1208"/>
      <c r="G1120" s="1076"/>
      <c r="H1120" s="1076"/>
      <c r="I1120" s="1076"/>
      <c r="J1120" s="1076"/>
      <c r="K1120" s="1076"/>
      <c r="L1120" s="1076"/>
      <c r="M1120" s="1209"/>
      <c r="N1120" s="1123"/>
      <c r="O1120" s="1119"/>
      <c r="P1120" s="1119"/>
      <c r="Q1120" s="1119"/>
      <c r="R1120" s="1171"/>
      <c r="S1120" s="1196"/>
      <c r="T1120" s="1196"/>
      <c r="U1120" s="1196"/>
      <c r="V1120" s="1084"/>
      <c r="W1120" s="1119"/>
      <c r="X1120" s="1076"/>
      <c r="Y1120" s="1123"/>
      <c r="Z1120" s="109">
        <v>25193329.829999998</v>
      </c>
      <c r="AA1120" s="109">
        <v>0</v>
      </c>
      <c r="AB1120" s="109">
        <f t="shared" si="84"/>
        <v>25193329.829999998</v>
      </c>
      <c r="AC1120" s="97">
        <v>42916</v>
      </c>
      <c r="AD1120" s="119">
        <v>25193329.829999998</v>
      </c>
      <c r="AE1120" s="98" t="s">
        <v>129</v>
      </c>
      <c r="AF1120" s="1084"/>
      <c r="AG1120" s="1084"/>
      <c r="AH1120" s="111">
        <f t="shared" si="85"/>
        <v>0</v>
      </c>
      <c r="AI1120" s="1084"/>
      <c r="AJ1120" s="1119"/>
      <c r="AK1120" s="1119"/>
      <c r="AL1120" s="1119"/>
      <c r="AM1120" s="1119"/>
      <c r="AN1120" s="1203"/>
      <c r="AO1120" s="1204"/>
    </row>
    <row r="1121" spans="1:41" ht="15" customHeight="1">
      <c r="A1121" s="1214" t="s">
        <v>1616</v>
      </c>
      <c r="B1121" s="1171">
        <v>41590</v>
      </c>
      <c r="C1121" s="1076" t="s">
        <v>5</v>
      </c>
      <c r="D1121" s="1076" t="s">
        <v>1617</v>
      </c>
      <c r="E1121" s="1208">
        <v>10537006</v>
      </c>
      <c r="F1121" s="1208">
        <v>6</v>
      </c>
      <c r="G1121" s="1076" t="s">
        <v>2849</v>
      </c>
      <c r="H1121" s="1076" t="s">
        <v>71</v>
      </c>
      <c r="I1121" s="1076" t="s">
        <v>1221</v>
      </c>
      <c r="J1121" s="1076" t="s">
        <v>66</v>
      </c>
      <c r="K1121" s="1076" t="s">
        <v>217</v>
      </c>
      <c r="L1121" s="1076" t="s">
        <v>1624</v>
      </c>
      <c r="M1121" s="1209">
        <v>290</v>
      </c>
      <c r="N1121" s="1123" t="s">
        <v>7</v>
      </c>
      <c r="O1121" s="1119">
        <v>558579220</v>
      </c>
      <c r="P1121" s="1119">
        <v>558579220</v>
      </c>
      <c r="Q1121" s="1119">
        <f>P1121+P1124+P1127</f>
        <v>854013803</v>
      </c>
      <c r="R1121" s="1171">
        <v>41533</v>
      </c>
      <c r="S1121" s="1119">
        <f>T1121</f>
        <v>558579220</v>
      </c>
      <c r="T1121" s="1119">
        <v>558579220</v>
      </c>
      <c r="U1121" s="1119">
        <f>O1121-T1121</f>
        <v>0</v>
      </c>
      <c r="V1121" s="1084">
        <v>554229928</v>
      </c>
      <c r="W1121" s="1119">
        <v>848755219</v>
      </c>
      <c r="X1121" s="1076" t="s">
        <v>1620</v>
      </c>
      <c r="Y1121" s="108" t="s">
        <v>1621</v>
      </c>
      <c r="Z1121" s="109">
        <v>0</v>
      </c>
      <c r="AA1121" s="109">
        <v>277114963.92000002</v>
      </c>
      <c r="AB1121" s="109">
        <f t="shared" si="84"/>
        <v>277114963.92000002</v>
      </c>
      <c r="AC1121" s="97">
        <v>41691</v>
      </c>
      <c r="AD1121" s="119">
        <v>277114964</v>
      </c>
      <c r="AE1121" s="98" t="s">
        <v>7</v>
      </c>
      <c r="AF1121" s="1084">
        <f>SUM(AD1121:AD1123)</f>
        <v>391674846.13999999</v>
      </c>
      <c r="AG1121" s="1084">
        <f>AF1121+AF1124+AF1127</f>
        <v>682359868.13999999</v>
      </c>
      <c r="AH1121" s="111">
        <f t="shared" ref="AH1121:AH1128" si="86">AB1121-AD1121</f>
        <v>-7.9999983310699463E-2</v>
      </c>
      <c r="AI1121" s="1084">
        <f>O1121-SUM(AD1121:AD1123)</f>
        <v>166904373.86000001</v>
      </c>
      <c r="AJ1121" s="1119">
        <f>SUM(Z1121:Z1127)-SUM(AD1121:AD1127)</f>
        <v>162555081.86000001</v>
      </c>
      <c r="AK1121" s="1119">
        <f>P1121-V1121</f>
        <v>4349292</v>
      </c>
      <c r="AL1121" s="1119">
        <f>V1121-SUM(Z1121:Z1123)</f>
        <v>0.99000000953674316</v>
      </c>
      <c r="AM1121" s="1119"/>
      <c r="AN1121" s="1203"/>
      <c r="AO1121" s="1237" t="s">
        <v>1625</v>
      </c>
    </row>
    <row r="1122" spans="1:41" ht="15" customHeight="1">
      <c r="A1122" s="1214"/>
      <c r="B1122" s="1171"/>
      <c r="C1122" s="1076"/>
      <c r="D1122" s="1076"/>
      <c r="E1122" s="1208"/>
      <c r="F1122" s="1208"/>
      <c r="G1122" s="1076"/>
      <c r="H1122" s="1076"/>
      <c r="I1122" s="1076"/>
      <c r="J1122" s="1076"/>
      <c r="K1122" s="1076"/>
      <c r="L1122" s="1076"/>
      <c r="M1122" s="1209"/>
      <c r="N1122" s="1123"/>
      <c r="O1122" s="1119"/>
      <c r="P1122" s="1119"/>
      <c r="Q1122" s="1119"/>
      <c r="R1122" s="1171"/>
      <c r="S1122" s="1119"/>
      <c r="T1122" s="1119"/>
      <c r="U1122" s="1119"/>
      <c r="V1122" s="1084"/>
      <c r="W1122" s="1119"/>
      <c r="X1122" s="1076"/>
      <c r="Y1122" s="108" t="s">
        <v>1622</v>
      </c>
      <c r="Z1122" s="109">
        <v>229119765.11000001</v>
      </c>
      <c r="AA1122" s="109">
        <v>-114559882.97</v>
      </c>
      <c r="AB1122" s="109">
        <f t="shared" si="84"/>
        <v>114559882.14000002</v>
      </c>
      <c r="AC1122" s="97">
        <v>41988</v>
      </c>
      <c r="AD1122" s="119">
        <v>114559882.14</v>
      </c>
      <c r="AE1122" s="98" t="s">
        <v>7</v>
      </c>
      <c r="AF1122" s="1084"/>
      <c r="AG1122" s="1084"/>
      <c r="AH1122" s="111">
        <f t="shared" si="86"/>
        <v>0</v>
      </c>
      <c r="AI1122" s="1084"/>
      <c r="AJ1122" s="1119"/>
      <c r="AK1122" s="1119"/>
      <c r="AL1122" s="1119"/>
      <c r="AM1122" s="1119"/>
      <c r="AN1122" s="1203"/>
      <c r="AO1122" s="1204"/>
    </row>
    <row r="1123" spans="1:41" ht="15" customHeight="1">
      <c r="A1123" s="1214"/>
      <c r="B1123" s="1171"/>
      <c r="C1123" s="1076"/>
      <c r="D1123" s="1076"/>
      <c r="E1123" s="1208"/>
      <c r="F1123" s="1208"/>
      <c r="G1123" s="1076"/>
      <c r="H1123" s="1076"/>
      <c r="I1123" s="1076"/>
      <c r="J1123" s="1076"/>
      <c r="K1123" s="1076"/>
      <c r="L1123" s="1076"/>
      <c r="M1123" s="1209"/>
      <c r="N1123" s="1123"/>
      <c r="O1123" s="1119"/>
      <c r="P1123" s="1119"/>
      <c r="Q1123" s="1119"/>
      <c r="R1123" s="1171"/>
      <c r="S1123" s="1119"/>
      <c r="T1123" s="1119"/>
      <c r="U1123" s="1119"/>
      <c r="V1123" s="1084"/>
      <c r="W1123" s="1119"/>
      <c r="X1123" s="1076"/>
      <c r="Y1123" s="108" t="s">
        <v>1623</v>
      </c>
      <c r="Z1123" s="109">
        <v>325110161.89999998</v>
      </c>
      <c r="AA1123" s="109">
        <v>-162555080.94999999</v>
      </c>
      <c r="AB1123" s="109">
        <f t="shared" si="84"/>
        <v>162555080.94999999</v>
      </c>
      <c r="AC1123" s="97"/>
      <c r="AD1123"/>
      <c r="AE1123" s="98"/>
      <c r="AF1123" s="1084"/>
      <c r="AG1123" s="1084"/>
      <c r="AH1123" s="111">
        <f t="shared" si="86"/>
        <v>162555080.94999999</v>
      </c>
      <c r="AI1123" s="1084"/>
      <c r="AJ1123" s="1119"/>
      <c r="AK1123" s="1119"/>
      <c r="AL1123" s="1119"/>
      <c r="AM1123" s="1119"/>
      <c r="AN1123" s="1203"/>
      <c r="AO1123" s="1204"/>
    </row>
    <row r="1124" spans="1:41" ht="15" customHeight="1">
      <c r="A1124" s="1214"/>
      <c r="B1124" s="1171"/>
      <c r="C1124" s="1076"/>
      <c r="D1124" s="1076"/>
      <c r="E1124" s="1208"/>
      <c r="F1124" s="1208"/>
      <c r="G1124" s="1076"/>
      <c r="H1124" s="1076"/>
      <c r="I1124" s="1076"/>
      <c r="J1124" s="1076"/>
      <c r="K1124" s="1076"/>
      <c r="L1124" s="1076"/>
      <c r="M1124" s="1209">
        <v>4</v>
      </c>
      <c r="N1124" s="1123" t="s">
        <v>150</v>
      </c>
      <c r="O1124" s="1119">
        <v>116780272</v>
      </c>
      <c r="P1124" s="1119">
        <v>116780272</v>
      </c>
      <c r="Q1124" s="1119"/>
      <c r="R1124" s="1171">
        <v>41533</v>
      </c>
      <c r="S1124" s="1196">
        <f>T1124</f>
        <v>116780272</v>
      </c>
      <c r="T1124" s="1196">
        <v>116780272</v>
      </c>
      <c r="U1124" s="1196">
        <f>O1124-T1124</f>
        <v>0</v>
      </c>
      <c r="V1124" s="1084">
        <v>115870980</v>
      </c>
      <c r="W1124" s="1119"/>
      <c r="X1124" s="1076"/>
      <c r="Y1124" s="108" t="s">
        <v>1621</v>
      </c>
      <c r="Z1124" s="109">
        <v>0</v>
      </c>
      <c r="AA1124" s="109">
        <v>57935490.090000004</v>
      </c>
      <c r="AB1124" s="109">
        <f t="shared" si="84"/>
        <v>57935490.090000004</v>
      </c>
      <c r="AC1124" s="97">
        <v>41691</v>
      </c>
      <c r="AD1124" s="119">
        <v>57935490</v>
      </c>
      <c r="AE1124" s="98" t="s">
        <v>150</v>
      </c>
      <c r="AF1124" s="1084">
        <f>SUM(AD1124:AD1126)</f>
        <v>115870980</v>
      </c>
      <c r="AG1124" s="1084"/>
      <c r="AH1124" s="111">
        <f t="shared" si="86"/>
        <v>9.0000003576278687E-2</v>
      </c>
      <c r="AI1124" s="1084">
        <f>O1124-SUM(AD1124:AD1126)</f>
        <v>909292</v>
      </c>
      <c r="AJ1124" s="1119"/>
      <c r="AK1124" s="1119">
        <f>P1124-V1124</f>
        <v>909292</v>
      </c>
      <c r="AL1124" s="1119">
        <f>V1124-SUM(Z1124:Z1126)</f>
        <v>-1.000000536441803E-2</v>
      </c>
      <c r="AM1124" s="1119"/>
      <c r="AN1124" s="1203"/>
      <c r="AO1124" s="1204"/>
    </row>
    <row r="1125" spans="1:41" ht="15" customHeight="1">
      <c r="A1125" s="1214"/>
      <c r="B1125" s="1171"/>
      <c r="C1125" s="1076"/>
      <c r="D1125" s="1076"/>
      <c r="E1125" s="1208"/>
      <c r="F1125" s="1208"/>
      <c r="G1125" s="1076"/>
      <c r="H1125" s="1076"/>
      <c r="I1125" s="1076"/>
      <c r="J1125" s="1076"/>
      <c r="K1125" s="1076"/>
      <c r="L1125" s="1076"/>
      <c r="M1125" s="1209"/>
      <c r="N1125" s="1123"/>
      <c r="O1125" s="1119"/>
      <c r="P1125" s="1119"/>
      <c r="Q1125" s="1119"/>
      <c r="R1125" s="1171"/>
      <c r="S1125" s="1196"/>
      <c r="T1125" s="1196"/>
      <c r="U1125" s="1196"/>
      <c r="V1125" s="1084"/>
      <c r="W1125" s="1119"/>
      <c r="X1125" s="1076"/>
      <c r="Y1125" s="108" t="s">
        <v>1622</v>
      </c>
      <c r="Z1125" s="109">
        <v>47901295.890000001</v>
      </c>
      <c r="AA1125" s="109">
        <v>-23950648.030000001</v>
      </c>
      <c r="AB1125" s="109">
        <f t="shared" si="84"/>
        <v>23950647.859999999</v>
      </c>
      <c r="AC1125" s="97">
        <v>41988</v>
      </c>
      <c r="AD1125" s="119">
        <v>23950647.859999999</v>
      </c>
      <c r="AE1125" s="98" t="s">
        <v>150</v>
      </c>
      <c r="AF1125" s="1084"/>
      <c r="AG1125" s="1084"/>
      <c r="AH1125" s="111">
        <f t="shared" si="86"/>
        <v>0</v>
      </c>
      <c r="AI1125" s="1084"/>
      <c r="AJ1125" s="1119"/>
      <c r="AK1125" s="1119"/>
      <c r="AL1125" s="1119"/>
      <c r="AM1125" s="1119"/>
      <c r="AN1125" s="1203"/>
      <c r="AO1125" s="1204"/>
    </row>
    <row r="1126" spans="1:41" ht="15" customHeight="1">
      <c r="A1126" s="1214"/>
      <c r="B1126" s="1171"/>
      <c r="C1126" s="1076"/>
      <c r="D1126" s="1076"/>
      <c r="E1126" s="1208"/>
      <c r="F1126" s="1208"/>
      <c r="G1126" s="1076"/>
      <c r="H1126" s="1076"/>
      <c r="I1126" s="1076"/>
      <c r="J1126" s="1076"/>
      <c r="K1126" s="1076"/>
      <c r="L1126" s="1076"/>
      <c r="M1126" s="1209"/>
      <c r="N1126" s="1123"/>
      <c r="O1126" s="1119"/>
      <c r="P1126" s="1119"/>
      <c r="Q1126" s="1119"/>
      <c r="R1126" s="1171"/>
      <c r="S1126" s="1196"/>
      <c r="T1126" s="1196"/>
      <c r="U1126" s="1196"/>
      <c r="V1126" s="1084"/>
      <c r="W1126" s="1119"/>
      <c r="X1126" s="1076"/>
      <c r="Y1126" s="108" t="s">
        <v>1623</v>
      </c>
      <c r="Z1126" s="109">
        <v>67969684.120000005</v>
      </c>
      <c r="AA1126" s="109">
        <v>-33984842.060000002</v>
      </c>
      <c r="AB1126" s="109">
        <f t="shared" si="84"/>
        <v>33984842.060000002</v>
      </c>
      <c r="AC1126" s="97">
        <v>43096</v>
      </c>
      <c r="AD1126" s="672">
        <v>33984842.140000001</v>
      </c>
      <c r="AE1126" s="655" t="s">
        <v>150</v>
      </c>
      <c r="AF1126" s="1084"/>
      <c r="AG1126" s="1084"/>
      <c r="AH1126" s="111">
        <f t="shared" si="86"/>
        <v>-7.9999998211860657E-2</v>
      </c>
      <c r="AI1126" s="1084"/>
      <c r="AJ1126" s="1119"/>
      <c r="AK1126" s="1119"/>
      <c r="AL1126" s="1119"/>
      <c r="AM1126" s="1119"/>
      <c r="AN1126" s="1203"/>
      <c r="AO1126" s="1204"/>
    </row>
    <row r="1127" spans="1:41" ht="15" customHeight="1">
      <c r="A1127" s="1214"/>
      <c r="B1127" s="1171"/>
      <c r="C1127" s="1076"/>
      <c r="D1127" s="1076"/>
      <c r="E1127" s="1208"/>
      <c r="F1127" s="1208"/>
      <c r="G1127" s="1076"/>
      <c r="H1127" s="1076"/>
      <c r="I1127" s="1076"/>
      <c r="J1127" s="113" t="s">
        <v>67</v>
      </c>
      <c r="K1127" s="1076"/>
      <c r="L1127" s="1076"/>
      <c r="M1127" s="102">
        <v>8</v>
      </c>
      <c r="N1127" s="108" t="s">
        <v>150</v>
      </c>
      <c r="O1127" s="109">
        <v>178654311</v>
      </c>
      <c r="P1127" s="109">
        <v>178654311</v>
      </c>
      <c r="Q1127" s="1119"/>
      <c r="R1127" s="97">
        <v>42048</v>
      </c>
      <c r="S1127" s="110">
        <f>T1127</f>
        <v>178654311</v>
      </c>
      <c r="T1127" s="110">
        <v>178654311</v>
      </c>
      <c r="U1127" s="109">
        <f>O1127-T1127</f>
        <v>0</v>
      </c>
      <c r="V1127" s="111">
        <v>178654311</v>
      </c>
      <c r="W1127" s="1119"/>
      <c r="X1127" s="1076"/>
      <c r="Y1127" s="108" t="s">
        <v>1623</v>
      </c>
      <c r="Z1127" s="109">
        <v>174814042.98000002</v>
      </c>
      <c r="AA1127" s="109">
        <v>0</v>
      </c>
      <c r="AB1127" s="109">
        <f t="shared" si="84"/>
        <v>174814042.98000002</v>
      </c>
      <c r="AC1127" s="665">
        <v>43096</v>
      </c>
      <c r="AD1127" s="119">
        <v>174814042</v>
      </c>
      <c r="AE1127" s="655" t="s">
        <v>150</v>
      </c>
      <c r="AF1127" s="111">
        <f>AD1127</f>
        <v>174814042</v>
      </c>
      <c r="AG1127" s="1084"/>
      <c r="AH1127" s="111">
        <f t="shared" si="86"/>
        <v>0.98000001907348633</v>
      </c>
      <c r="AI1127" s="111">
        <f>O1127-AD1127</f>
        <v>3840269</v>
      </c>
      <c r="AJ1127" s="1119"/>
      <c r="AK1127" s="109">
        <f>P1127-V1127</f>
        <v>0</v>
      </c>
      <c r="AL1127" s="109">
        <f>V1127-Z1127</f>
        <v>3840268.0199999809</v>
      </c>
      <c r="AM1127" s="109"/>
      <c r="AN1127" s="1203"/>
      <c r="AO1127" s="1204"/>
    </row>
    <row r="1128" spans="1:41" ht="15" customHeight="1">
      <c r="A1128" s="1075" t="s">
        <v>1663</v>
      </c>
      <c r="B1128" s="1171">
        <v>41528</v>
      </c>
      <c r="C1128" s="1076" t="s">
        <v>9</v>
      </c>
      <c r="D1128" s="1076" t="s">
        <v>1040</v>
      </c>
      <c r="E1128" s="1208">
        <v>10541182</v>
      </c>
      <c r="F1128" s="1208"/>
      <c r="G1128" s="1076" t="s">
        <v>1664</v>
      </c>
      <c r="H1128" s="1076" t="s">
        <v>70</v>
      </c>
      <c r="I1128" s="1076" t="s">
        <v>206</v>
      </c>
      <c r="J1128" s="1076" t="s">
        <v>66</v>
      </c>
      <c r="K1128" s="1076" t="s">
        <v>49</v>
      </c>
      <c r="L1128" s="1076" t="s">
        <v>1665</v>
      </c>
      <c r="M1128" s="1209">
        <v>264</v>
      </c>
      <c r="N1128" s="1123" t="s">
        <v>7</v>
      </c>
      <c r="O1128" s="1119">
        <v>32021416</v>
      </c>
      <c r="P1128" s="1119">
        <v>32021416</v>
      </c>
      <c r="Q1128" s="1119">
        <f>P1128+P1136+P1144+P1147</f>
        <v>133601418</v>
      </c>
      <c r="R1128" s="1171">
        <v>41227</v>
      </c>
      <c r="S1128" s="1196">
        <f>T1128</f>
        <v>32021416</v>
      </c>
      <c r="T1128" s="1196">
        <v>32021416</v>
      </c>
      <c r="U1128" s="1196">
        <f>O1128-T1128</f>
        <v>0</v>
      </c>
      <c r="V1128" s="1084">
        <v>31872971.600000001</v>
      </c>
      <c r="W1128" s="1119">
        <f>87420906+V1144+V1147</f>
        <v>133194266</v>
      </c>
      <c r="X1128" s="1076" t="s">
        <v>1271</v>
      </c>
      <c r="Y1128" s="108" t="s">
        <v>1667</v>
      </c>
      <c r="Z1128" s="109">
        <v>0</v>
      </c>
      <c r="AA1128" s="109">
        <v>12749188.640000001</v>
      </c>
      <c r="AB1128" s="109">
        <f t="shared" si="84"/>
        <v>12749188.640000001</v>
      </c>
      <c r="AC1128" s="97">
        <v>41564</v>
      </c>
      <c r="AD1128" s="119">
        <v>12749188.49</v>
      </c>
      <c r="AE1128" s="98" t="s">
        <v>7</v>
      </c>
      <c r="AF1128" s="1084">
        <f>SUM(AD1128:AD1135)</f>
        <v>31872971.600000001</v>
      </c>
      <c r="AG1128" s="1084">
        <f>AF1128+AF1136+AF1144+AF1147</f>
        <v>133194265.94000001</v>
      </c>
      <c r="AH1128" s="111">
        <f t="shared" si="86"/>
        <v>0.15000000037252903</v>
      </c>
      <c r="AI1128" s="1084">
        <f>O1128-SUM(AD1128:AD1135)</f>
        <v>148444.39999999851</v>
      </c>
      <c r="AJ1128" s="1119"/>
      <c r="AK1128" s="1119">
        <f>P1128-V1128</f>
        <v>148444.39999999851</v>
      </c>
      <c r="AL1128" s="1119"/>
      <c r="AM1128" s="1119"/>
      <c r="AN1128" s="1203" t="s">
        <v>1676</v>
      </c>
      <c r="AO1128" s="1204" t="s">
        <v>1666</v>
      </c>
    </row>
    <row r="1129" spans="1:41" ht="15" customHeight="1">
      <c r="A1129" s="1075"/>
      <c r="B1129" s="1171"/>
      <c r="C1129" s="1076"/>
      <c r="D1129" s="1076"/>
      <c r="E1129" s="1208"/>
      <c r="F1129" s="1208"/>
      <c r="G1129" s="1076"/>
      <c r="H1129" s="1076"/>
      <c r="I1129" s="1076"/>
      <c r="J1129" s="1076"/>
      <c r="K1129" s="1076"/>
      <c r="L1129" s="1076"/>
      <c r="M1129" s="1209"/>
      <c r="N1129" s="1123"/>
      <c r="O1129" s="1119"/>
      <c r="P1129" s="1119"/>
      <c r="Q1129" s="1119"/>
      <c r="R1129" s="1171"/>
      <c r="S1129" s="1196"/>
      <c r="T1129" s="1196"/>
      <c r="U1129" s="1196"/>
      <c r="V1129" s="1084"/>
      <c r="W1129" s="1119"/>
      <c r="X1129" s="1076"/>
      <c r="Y1129" s="108" t="s">
        <v>1668</v>
      </c>
      <c r="Z1129" s="109">
        <v>9183216.7200000007</v>
      </c>
      <c r="AA1129" s="109">
        <v>-3673286.54</v>
      </c>
      <c r="AB1129" s="109">
        <f t="shared" ref="AB1129:AB1147" si="87">Z1129+AA1129</f>
        <v>5509930.1800000006</v>
      </c>
      <c r="AC1129" s="97">
        <v>41631</v>
      </c>
      <c r="AD1129" s="119">
        <v>5509930.1799999997</v>
      </c>
      <c r="AE1129" s="98" t="s">
        <v>7</v>
      </c>
      <c r="AF1129" s="1084"/>
      <c r="AG1129" s="1084"/>
      <c r="AH1129" s="111">
        <f t="shared" ref="AH1129:AH1135" si="88">AB1129-AD1129</f>
        <v>0</v>
      </c>
      <c r="AI1129" s="1084"/>
      <c r="AJ1129" s="1119"/>
      <c r="AK1129" s="1119"/>
      <c r="AL1129" s="1119"/>
      <c r="AM1129" s="1119"/>
      <c r="AN1129" s="1203"/>
      <c r="AO1129" s="1204"/>
    </row>
    <row r="1130" spans="1:41" ht="15" customHeight="1">
      <c r="A1130" s="1075"/>
      <c r="B1130" s="1171"/>
      <c r="C1130" s="1076"/>
      <c r="D1130" s="1076"/>
      <c r="E1130" s="1208"/>
      <c r="F1130" s="1208"/>
      <c r="G1130" s="1076"/>
      <c r="H1130" s="1076"/>
      <c r="I1130" s="1076"/>
      <c r="J1130" s="1076"/>
      <c r="K1130" s="1076"/>
      <c r="L1130" s="1076"/>
      <c r="M1130" s="1209"/>
      <c r="N1130" s="1123"/>
      <c r="O1130" s="1119"/>
      <c r="P1130" s="1119"/>
      <c r="Q1130" s="1119"/>
      <c r="R1130" s="1171"/>
      <c r="S1130" s="1196"/>
      <c r="T1130" s="1196"/>
      <c r="U1130" s="1196"/>
      <c r="V1130" s="1084"/>
      <c r="W1130" s="1119"/>
      <c r="X1130" s="1076"/>
      <c r="Y1130" s="108" t="s">
        <v>1669</v>
      </c>
      <c r="Z1130" s="109">
        <v>6909712.3300000001</v>
      </c>
      <c r="AA1130" s="109">
        <v>-2763884.93</v>
      </c>
      <c r="AB1130" s="109">
        <f t="shared" si="87"/>
        <v>4145827.4</v>
      </c>
      <c r="AC1130" s="97">
        <v>41726</v>
      </c>
      <c r="AD1130" s="119">
        <v>4145827.4</v>
      </c>
      <c r="AE1130" s="98" t="s">
        <v>7</v>
      </c>
      <c r="AF1130" s="1084"/>
      <c r="AG1130" s="1084"/>
      <c r="AH1130" s="111">
        <f t="shared" si="88"/>
        <v>0</v>
      </c>
      <c r="AI1130" s="1084"/>
      <c r="AJ1130" s="1119"/>
      <c r="AK1130" s="1119"/>
      <c r="AL1130" s="1119"/>
      <c r="AM1130" s="1119"/>
      <c r="AN1130" s="1203"/>
      <c r="AO1130" s="1204"/>
    </row>
    <row r="1131" spans="1:41" ht="15" customHeight="1">
      <c r="A1131" s="1075"/>
      <c r="B1131" s="1171"/>
      <c r="C1131" s="1076"/>
      <c r="D1131" s="1076"/>
      <c r="E1131" s="1208"/>
      <c r="F1131" s="1208"/>
      <c r="G1131" s="1076"/>
      <c r="H1131" s="1076"/>
      <c r="I1131" s="1076"/>
      <c r="J1131" s="1076"/>
      <c r="K1131" s="1076"/>
      <c r="L1131" s="1076"/>
      <c r="M1131" s="1209"/>
      <c r="N1131" s="1123"/>
      <c r="O1131" s="1119"/>
      <c r="P1131" s="1119"/>
      <c r="Q1131" s="1119"/>
      <c r="R1131" s="1171"/>
      <c r="S1131" s="1196"/>
      <c r="T1131" s="1196"/>
      <c r="U1131" s="1196"/>
      <c r="V1131" s="1084"/>
      <c r="W1131" s="1119"/>
      <c r="X1131" s="1076"/>
      <c r="Y1131" s="108" t="s">
        <v>1670</v>
      </c>
      <c r="Z1131" s="109">
        <v>10051681.939999999</v>
      </c>
      <c r="AA1131" s="109">
        <v>-4020672.78</v>
      </c>
      <c r="AB1131" s="109">
        <f t="shared" si="87"/>
        <v>6031009.1600000001</v>
      </c>
      <c r="AC1131" s="97">
        <v>41793</v>
      </c>
      <c r="AD1131" s="119">
        <v>6031009.1600000001</v>
      </c>
      <c r="AE1131" s="98" t="s">
        <v>7</v>
      </c>
      <c r="AF1131" s="1084"/>
      <c r="AG1131" s="1084"/>
      <c r="AH1131" s="111">
        <f t="shared" si="88"/>
        <v>0</v>
      </c>
      <c r="AI1131" s="1084"/>
      <c r="AJ1131" s="1119"/>
      <c r="AK1131" s="1119"/>
      <c r="AL1131" s="1119"/>
      <c r="AM1131" s="1119"/>
      <c r="AN1131" s="1203"/>
      <c r="AO1131" s="1204"/>
    </row>
    <row r="1132" spans="1:41" ht="15" customHeight="1">
      <c r="A1132" s="1075"/>
      <c r="B1132" s="1171"/>
      <c r="C1132" s="1076"/>
      <c r="D1132" s="1076"/>
      <c r="E1132" s="1208"/>
      <c r="F1132" s="1208"/>
      <c r="G1132" s="1076"/>
      <c r="H1132" s="1076"/>
      <c r="I1132" s="1076"/>
      <c r="J1132" s="1076"/>
      <c r="K1132" s="1076"/>
      <c r="L1132" s="1076"/>
      <c r="M1132" s="1209"/>
      <c r="N1132" s="1123"/>
      <c r="O1132" s="1119"/>
      <c r="P1132" s="1119"/>
      <c r="Q1132" s="1119"/>
      <c r="R1132" s="1171"/>
      <c r="S1132" s="1196"/>
      <c r="T1132" s="1196"/>
      <c r="U1132" s="1196"/>
      <c r="V1132" s="1084"/>
      <c r="W1132" s="1119"/>
      <c r="X1132" s="1076"/>
      <c r="Y1132" s="108" t="s">
        <v>1674</v>
      </c>
      <c r="Z1132" s="109">
        <v>2541063.4300000002</v>
      </c>
      <c r="AA1132" s="109">
        <v>-1016425.38</v>
      </c>
      <c r="AB1132" s="109">
        <f t="shared" si="87"/>
        <v>1524638.0500000003</v>
      </c>
      <c r="AC1132" s="97">
        <v>41976</v>
      </c>
      <c r="AD1132" s="119">
        <v>1524638.05</v>
      </c>
      <c r="AE1132" s="98" t="s">
        <v>7</v>
      </c>
      <c r="AF1132" s="1084"/>
      <c r="AG1132" s="1084"/>
      <c r="AH1132" s="111">
        <f t="shared" si="88"/>
        <v>0</v>
      </c>
      <c r="AI1132" s="1084"/>
      <c r="AJ1132" s="1119"/>
      <c r="AK1132" s="1119"/>
      <c r="AL1132" s="1119"/>
      <c r="AM1132" s="1119"/>
      <c r="AN1132" s="1203"/>
      <c r="AO1132" s="1204"/>
    </row>
    <row r="1133" spans="1:41" ht="15" customHeight="1">
      <c r="A1133" s="1075"/>
      <c r="B1133" s="1171"/>
      <c r="C1133" s="1076"/>
      <c r="D1133" s="1076"/>
      <c r="E1133" s="1208"/>
      <c r="F1133" s="1208"/>
      <c r="G1133" s="1076"/>
      <c r="H1133" s="1076"/>
      <c r="I1133" s="1076"/>
      <c r="J1133" s="1076"/>
      <c r="K1133" s="1076"/>
      <c r="L1133" s="1076"/>
      <c r="M1133" s="1209"/>
      <c r="N1133" s="1123"/>
      <c r="O1133" s="1119"/>
      <c r="P1133" s="1119"/>
      <c r="Q1133" s="1119"/>
      <c r="R1133" s="1171"/>
      <c r="S1133" s="1196"/>
      <c r="T1133" s="1196"/>
      <c r="U1133" s="1196"/>
      <c r="V1133" s="1084"/>
      <c r="W1133" s="1119"/>
      <c r="X1133" s="1076"/>
      <c r="Y1133" s="108" t="s">
        <v>1671</v>
      </c>
      <c r="Z1133" s="109">
        <v>1912378.32</v>
      </c>
      <c r="AA1133" s="109">
        <v>-462011.53</v>
      </c>
      <c r="AB1133" s="109">
        <f t="shared" si="87"/>
        <v>1450366.79</v>
      </c>
      <c r="AC1133" s="97">
        <v>42256</v>
      </c>
      <c r="AD1133" s="119">
        <v>1450366.79</v>
      </c>
      <c r="AE1133" s="98" t="s">
        <v>7</v>
      </c>
      <c r="AF1133" s="1084"/>
      <c r="AG1133" s="1084"/>
      <c r="AH1133" s="111">
        <f t="shared" si="88"/>
        <v>0</v>
      </c>
      <c r="AI1133" s="1084"/>
      <c r="AJ1133" s="1119"/>
      <c r="AK1133" s="1119"/>
      <c r="AL1133" s="1119"/>
      <c r="AM1133" s="1119"/>
      <c r="AN1133" s="1203"/>
      <c r="AO1133" s="1204"/>
    </row>
    <row r="1134" spans="1:41" ht="15" customHeight="1">
      <c r="A1134" s="1075"/>
      <c r="B1134" s="1171"/>
      <c r="C1134" s="1076"/>
      <c r="D1134" s="1076"/>
      <c r="E1134" s="1208"/>
      <c r="F1134" s="1208"/>
      <c r="G1134" s="1076"/>
      <c r="H1134" s="1076"/>
      <c r="I1134" s="1076"/>
      <c r="J1134" s="1076"/>
      <c r="K1134" s="1076"/>
      <c r="L1134" s="1076"/>
      <c r="M1134" s="1209"/>
      <c r="N1134" s="1123"/>
      <c r="O1134" s="1119"/>
      <c r="P1134" s="1119"/>
      <c r="Q1134" s="1119"/>
      <c r="R1134" s="1171"/>
      <c r="S1134" s="1196"/>
      <c r="T1134" s="1196"/>
      <c r="U1134" s="1196"/>
      <c r="V1134" s="1084"/>
      <c r="W1134" s="1119"/>
      <c r="X1134" s="1076"/>
      <c r="Y1134" s="108" t="s">
        <v>1675</v>
      </c>
      <c r="Z1134" s="109"/>
      <c r="AA1134" s="109"/>
      <c r="AB1134" s="109">
        <f t="shared" si="87"/>
        <v>0</v>
      </c>
      <c r="AC1134" s="97">
        <v>42774</v>
      </c>
      <c r="AD1134" s="119">
        <v>462011.53</v>
      </c>
      <c r="AE1134" s="98" t="s">
        <v>7</v>
      </c>
      <c r="AF1134" s="1084"/>
      <c r="AG1134" s="1084"/>
      <c r="AH1134" s="111">
        <f t="shared" si="88"/>
        <v>-462011.53</v>
      </c>
      <c r="AI1134" s="1084"/>
      <c r="AJ1134" s="1119"/>
      <c r="AK1134" s="1119"/>
      <c r="AL1134" s="1119"/>
      <c r="AM1134" s="1119"/>
      <c r="AN1134" s="1203"/>
      <c r="AO1134" s="1204"/>
    </row>
    <row r="1135" spans="1:41" ht="15" customHeight="1">
      <c r="A1135" s="1075"/>
      <c r="B1135" s="1171"/>
      <c r="C1135" s="1076"/>
      <c r="D1135" s="1076"/>
      <c r="E1135" s="1208"/>
      <c r="F1135" s="1208"/>
      <c r="G1135" s="1076"/>
      <c r="H1135" s="1076"/>
      <c r="I1135" s="1076"/>
      <c r="J1135" s="1076"/>
      <c r="K1135" s="1076"/>
      <c r="L1135" s="1076"/>
      <c r="M1135" s="1209"/>
      <c r="N1135" s="1123"/>
      <c r="O1135" s="1119"/>
      <c r="P1135" s="1119"/>
      <c r="Q1135" s="1119"/>
      <c r="R1135" s="1171"/>
      <c r="S1135" s="1196"/>
      <c r="T1135" s="1196"/>
      <c r="U1135" s="1196"/>
      <c r="V1135" s="1084"/>
      <c r="W1135" s="1119"/>
      <c r="X1135" s="1076"/>
      <c r="Y1135" s="108"/>
      <c r="Z1135" s="109"/>
      <c r="AA1135" s="109"/>
      <c r="AB1135" s="109">
        <f t="shared" si="87"/>
        <v>0</v>
      </c>
      <c r="AC1135" s="97"/>
      <c r="AD1135" s="119"/>
      <c r="AE1135" s="98"/>
      <c r="AF1135" s="1084"/>
      <c r="AG1135" s="1084"/>
      <c r="AH1135" s="111">
        <f t="shared" si="88"/>
        <v>0</v>
      </c>
      <c r="AI1135" s="1084"/>
      <c r="AJ1135" s="1119"/>
      <c r="AK1135" s="1119"/>
      <c r="AL1135" s="1119"/>
      <c r="AM1135" s="1119"/>
      <c r="AN1135" s="1203"/>
      <c r="AO1135" s="1204"/>
    </row>
    <row r="1136" spans="1:41" ht="15" customHeight="1">
      <c r="A1136" s="1075"/>
      <c r="B1136" s="1171"/>
      <c r="C1136" s="1076"/>
      <c r="D1136" s="1076"/>
      <c r="E1136" s="1208"/>
      <c r="F1136" s="1208"/>
      <c r="G1136" s="1076"/>
      <c r="H1136" s="1076"/>
      <c r="I1136" s="1076"/>
      <c r="J1136" s="1076"/>
      <c r="K1136" s="1076"/>
      <c r="L1136" s="1076"/>
      <c r="M1136" s="1209">
        <v>272</v>
      </c>
      <c r="N1136" s="1123" t="s">
        <v>137</v>
      </c>
      <c r="O1136" s="1119">
        <v>55806642</v>
      </c>
      <c r="P1136" s="1119">
        <v>55806642</v>
      </c>
      <c r="Q1136" s="1119"/>
      <c r="R1136" s="1171">
        <v>41239</v>
      </c>
      <c r="S1136" s="1119">
        <f>T1136</f>
        <v>55806642</v>
      </c>
      <c r="T1136" s="1119">
        <v>55806642</v>
      </c>
      <c r="U1136" s="1119">
        <f>O1136-T1136</f>
        <v>0</v>
      </c>
      <c r="V1136" s="1084">
        <v>55547934.399999999</v>
      </c>
      <c r="W1136" s="1119"/>
      <c r="X1136" s="1076"/>
      <c r="Y1136" s="108" t="s">
        <v>1667</v>
      </c>
      <c r="Z1136" s="109">
        <v>0</v>
      </c>
      <c r="AA1136" s="109">
        <v>22219173.760000002</v>
      </c>
      <c r="AB1136" s="109">
        <f t="shared" si="87"/>
        <v>22219173.760000002</v>
      </c>
      <c r="AC1136" s="97">
        <v>41564</v>
      </c>
      <c r="AD1136" s="119">
        <v>22219173.510000002</v>
      </c>
      <c r="AE1136" s="98" t="s">
        <v>137</v>
      </c>
      <c r="AF1136" s="1084">
        <f>SUM(AD1136:AD1143)</f>
        <v>55547934.400000013</v>
      </c>
      <c r="AG1136" s="1084"/>
      <c r="AH1136" s="111">
        <f>AB1136-AD1136</f>
        <v>0.25</v>
      </c>
      <c r="AI1136" s="1084">
        <f>O1136-SUM(AD1136:AD1143)</f>
        <v>258707.59999998659</v>
      </c>
      <c r="AJ1136" s="1119"/>
      <c r="AK1136" s="1119">
        <f>P1136-V1136</f>
        <v>258707.60000000149</v>
      </c>
      <c r="AL1136" s="1119"/>
      <c r="AM1136" s="1119"/>
      <c r="AN1136" s="1203"/>
      <c r="AO1136" s="1204"/>
    </row>
    <row r="1137" spans="1:43" ht="15" customHeight="1">
      <c r="A1137" s="1075"/>
      <c r="B1137" s="1171"/>
      <c r="C1137" s="1076"/>
      <c r="D1137" s="1076"/>
      <c r="E1137" s="1208"/>
      <c r="F1137" s="1208"/>
      <c r="G1137" s="1076"/>
      <c r="H1137" s="1076"/>
      <c r="I1137" s="1076"/>
      <c r="J1137" s="1076"/>
      <c r="K1137" s="1076"/>
      <c r="L1137" s="1076"/>
      <c r="M1137" s="1209"/>
      <c r="N1137" s="1123"/>
      <c r="O1137" s="1119"/>
      <c r="P1137" s="1119"/>
      <c r="Q1137" s="1119"/>
      <c r="R1137" s="1171"/>
      <c r="S1137" s="1119"/>
      <c r="T1137" s="1119"/>
      <c r="U1137" s="1119"/>
      <c r="V1137" s="1084"/>
      <c r="W1137" s="1119"/>
      <c r="X1137" s="1076"/>
      <c r="Y1137" s="108" t="s">
        <v>1668</v>
      </c>
      <c r="Z1137" s="109">
        <v>16004429.279999999</v>
      </c>
      <c r="AA1137" s="109">
        <v>-6401771.46</v>
      </c>
      <c r="AB1137" s="109">
        <f t="shared" si="87"/>
        <v>9602657.8200000003</v>
      </c>
      <c r="AC1137" s="97">
        <v>41631</v>
      </c>
      <c r="AD1137" s="119">
        <v>9602657.8200000003</v>
      </c>
      <c r="AE1137" s="98" t="s">
        <v>137</v>
      </c>
      <c r="AF1137" s="1084"/>
      <c r="AG1137" s="1084"/>
      <c r="AH1137" s="111">
        <f t="shared" ref="AH1137:AH1143" si="89">AB1137-AD1137</f>
        <v>0</v>
      </c>
      <c r="AI1137" s="1084"/>
      <c r="AJ1137" s="1119"/>
      <c r="AK1137" s="1119"/>
      <c r="AL1137" s="1119"/>
      <c r="AM1137" s="1119"/>
      <c r="AN1137" s="1203"/>
      <c r="AO1137" s="1204"/>
    </row>
    <row r="1138" spans="1:43" ht="15" customHeight="1">
      <c r="A1138" s="1075"/>
      <c r="B1138" s="1171"/>
      <c r="C1138" s="1076"/>
      <c r="D1138" s="1076"/>
      <c r="E1138" s="1208"/>
      <c r="F1138" s="1208"/>
      <c r="G1138" s="1076"/>
      <c r="H1138" s="1076"/>
      <c r="I1138" s="1076"/>
      <c r="J1138" s="1076"/>
      <c r="K1138" s="1076"/>
      <c r="L1138" s="1076"/>
      <c r="M1138" s="1209"/>
      <c r="N1138" s="1123"/>
      <c r="O1138" s="1119"/>
      <c r="P1138" s="1119"/>
      <c r="Q1138" s="1119"/>
      <c r="R1138" s="1171"/>
      <c r="S1138" s="1119"/>
      <c r="T1138" s="1119"/>
      <c r="U1138" s="1119"/>
      <c r="V1138" s="1084"/>
      <c r="W1138" s="1119"/>
      <c r="X1138" s="1076"/>
      <c r="Y1138" s="108" t="s">
        <v>1669</v>
      </c>
      <c r="Z1138" s="109">
        <v>12042185.85</v>
      </c>
      <c r="AA1138" s="109">
        <v>-4816874.34</v>
      </c>
      <c r="AB1138" s="109">
        <f t="shared" si="87"/>
        <v>7225311.5099999998</v>
      </c>
      <c r="AC1138" s="97">
        <v>41726</v>
      </c>
      <c r="AD1138" s="119">
        <v>7225311.5099999998</v>
      </c>
      <c r="AE1138" s="98" t="s">
        <v>137</v>
      </c>
      <c r="AF1138" s="1084"/>
      <c r="AG1138" s="1084"/>
      <c r="AH1138" s="111">
        <f t="shared" si="89"/>
        <v>0</v>
      </c>
      <c r="AI1138" s="1084"/>
      <c r="AJ1138" s="1119"/>
      <c r="AK1138" s="1119"/>
      <c r="AL1138" s="1119"/>
      <c r="AM1138" s="1119"/>
      <c r="AN1138" s="1203"/>
      <c r="AO1138" s="1204"/>
    </row>
    <row r="1139" spans="1:43" ht="15" customHeight="1">
      <c r="A1139" s="1075"/>
      <c r="B1139" s="1171"/>
      <c r="C1139" s="1076"/>
      <c r="D1139" s="1076"/>
      <c r="E1139" s="1208"/>
      <c r="F1139" s="1208"/>
      <c r="G1139" s="1076"/>
      <c r="H1139" s="1076"/>
      <c r="I1139" s="1076"/>
      <c r="J1139" s="1076"/>
      <c r="K1139" s="1076"/>
      <c r="L1139" s="1076"/>
      <c r="M1139" s="1209"/>
      <c r="N1139" s="1123"/>
      <c r="O1139" s="1119"/>
      <c r="P1139" s="1119"/>
      <c r="Q1139" s="1119"/>
      <c r="R1139" s="1171"/>
      <c r="S1139" s="1119"/>
      <c r="T1139" s="1119"/>
      <c r="U1139" s="1119"/>
      <c r="V1139" s="1084"/>
      <c r="W1139" s="1119"/>
      <c r="X1139" s="1076"/>
      <c r="Y1139" s="108" t="s">
        <v>1670</v>
      </c>
      <c r="Z1139" s="109">
        <v>17517982.829999998</v>
      </c>
      <c r="AA1139" s="109">
        <v>-7007193.1299999999</v>
      </c>
      <c r="AB1139" s="109">
        <f t="shared" si="87"/>
        <v>10510789.699999999</v>
      </c>
      <c r="AC1139" s="97">
        <v>41793</v>
      </c>
      <c r="AD1139" s="119">
        <v>10510789.699999999</v>
      </c>
      <c r="AE1139" s="98" t="s">
        <v>137</v>
      </c>
      <c r="AF1139" s="1084"/>
      <c r="AG1139" s="1084"/>
      <c r="AH1139" s="111">
        <f t="shared" si="89"/>
        <v>0</v>
      </c>
      <c r="AI1139" s="1084"/>
      <c r="AJ1139" s="1119"/>
      <c r="AK1139" s="1119"/>
      <c r="AL1139" s="1119"/>
      <c r="AM1139" s="1119"/>
      <c r="AN1139" s="1203"/>
      <c r="AO1139" s="1204"/>
    </row>
    <row r="1140" spans="1:43" ht="15" customHeight="1">
      <c r="A1140" s="1075"/>
      <c r="B1140" s="1171"/>
      <c r="C1140" s="1076"/>
      <c r="D1140" s="1076"/>
      <c r="E1140" s="1208"/>
      <c r="F1140" s="1208"/>
      <c r="G1140" s="1076"/>
      <c r="H1140" s="1076"/>
      <c r="I1140" s="1076"/>
      <c r="J1140" s="1076"/>
      <c r="K1140" s="1076"/>
      <c r="L1140" s="1076"/>
      <c r="M1140" s="1209"/>
      <c r="N1140" s="1123"/>
      <c r="O1140" s="1119"/>
      <c r="P1140" s="1119"/>
      <c r="Q1140" s="1119"/>
      <c r="R1140" s="1171"/>
      <c r="S1140" s="1119"/>
      <c r="T1140" s="1119"/>
      <c r="U1140" s="1119"/>
      <c r="V1140" s="1084"/>
      <c r="W1140" s="1119"/>
      <c r="X1140" s="1076"/>
      <c r="Y1140" s="108" t="s">
        <v>1674</v>
      </c>
      <c r="Z1140" s="109">
        <v>4428542.95</v>
      </c>
      <c r="AA1140" s="109">
        <v>-1771417.17</v>
      </c>
      <c r="AB1140" s="109">
        <f t="shared" si="87"/>
        <v>2657125.7800000003</v>
      </c>
      <c r="AC1140" s="97">
        <v>41976</v>
      </c>
      <c r="AD1140" s="119">
        <v>2657125.7799999998</v>
      </c>
      <c r="AE1140" s="98" t="s">
        <v>137</v>
      </c>
      <c r="AF1140" s="1084"/>
      <c r="AG1140" s="1084"/>
      <c r="AH1140" s="111">
        <f t="shared" si="89"/>
        <v>0</v>
      </c>
      <c r="AI1140" s="1084"/>
      <c r="AJ1140" s="1119"/>
      <c r="AK1140" s="1119"/>
      <c r="AL1140" s="1119"/>
      <c r="AM1140" s="1119"/>
      <c r="AN1140" s="1203"/>
      <c r="AO1140" s="1204"/>
    </row>
    <row r="1141" spans="1:43" ht="15" customHeight="1">
      <c r="A1141" s="1075"/>
      <c r="B1141" s="1171"/>
      <c r="C1141" s="1076"/>
      <c r="D1141" s="1076"/>
      <c r="E1141" s="1208"/>
      <c r="F1141" s="1208"/>
      <c r="G1141" s="1076"/>
      <c r="H1141" s="1076"/>
      <c r="I1141" s="1076"/>
      <c r="J1141" s="1076"/>
      <c r="K1141" s="1076"/>
      <c r="L1141" s="1076"/>
      <c r="M1141" s="1209"/>
      <c r="N1141" s="1123"/>
      <c r="O1141" s="1119"/>
      <c r="P1141" s="1119"/>
      <c r="Q1141" s="1119"/>
      <c r="R1141" s="1171"/>
      <c r="S1141" s="1119"/>
      <c r="T1141" s="1119"/>
      <c r="U1141" s="1119"/>
      <c r="V1141" s="1084"/>
      <c r="W1141" s="1119"/>
      <c r="X1141" s="1076"/>
      <c r="Y1141" s="108" t="s">
        <v>1671</v>
      </c>
      <c r="Z1141" s="109">
        <v>1255624.58</v>
      </c>
      <c r="AA1141" s="109">
        <v>-805189.63</v>
      </c>
      <c r="AB1141" s="109">
        <f t="shared" si="87"/>
        <v>450434.95000000007</v>
      </c>
      <c r="AC1141" s="97">
        <v>42256</v>
      </c>
      <c r="AD1141" s="119">
        <v>450434.95</v>
      </c>
      <c r="AE1141" s="98" t="s">
        <v>137</v>
      </c>
      <c r="AF1141" s="1084"/>
      <c r="AG1141" s="1084"/>
      <c r="AH1141" s="111">
        <f t="shared" si="89"/>
        <v>0</v>
      </c>
      <c r="AI1141" s="1084"/>
      <c r="AJ1141" s="1119"/>
      <c r="AK1141" s="1119"/>
      <c r="AL1141" s="1119"/>
      <c r="AM1141" s="1119"/>
      <c r="AN1141" s="1203"/>
      <c r="AO1141" s="1204"/>
    </row>
    <row r="1142" spans="1:43" ht="15" customHeight="1">
      <c r="A1142" s="1075"/>
      <c r="B1142" s="1171"/>
      <c r="C1142" s="1076"/>
      <c r="D1142" s="1076"/>
      <c r="E1142" s="1208"/>
      <c r="F1142" s="1208"/>
      <c r="G1142" s="1076"/>
      <c r="H1142" s="1076"/>
      <c r="I1142" s="1076"/>
      <c r="J1142" s="1076"/>
      <c r="K1142" s="1076"/>
      <c r="L1142" s="1076"/>
      <c r="M1142" s="1209"/>
      <c r="N1142" s="1123"/>
      <c r="O1142" s="1119"/>
      <c r="P1142" s="1119"/>
      <c r="Q1142" s="1119"/>
      <c r="R1142" s="1171"/>
      <c r="S1142" s="1119"/>
      <c r="T1142" s="1119"/>
      <c r="U1142" s="1119"/>
      <c r="V1142" s="1084"/>
      <c r="W1142" s="1119"/>
      <c r="X1142" s="1076"/>
      <c r="Y1142" s="108" t="s">
        <v>1675</v>
      </c>
      <c r="Z1142" s="109"/>
      <c r="AA1142" s="109"/>
      <c r="AB1142" s="109">
        <f t="shared" si="87"/>
        <v>0</v>
      </c>
      <c r="AC1142" s="97">
        <v>42774</v>
      </c>
      <c r="AD1142" s="119">
        <v>2882441.13</v>
      </c>
      <c r="AE1142" s="98" t="s">
        <v>137</v>
      </c>
      <c r="AF1142" s="1084"/>
      <c r="AG1142" s="1084"/>
      <c r="AH1142" s="111">
        <f t="shared" si="89"/>
        <v>-2882441.13</v>
      </c>
      <c r="AI1142" s="1084"/>
      <c r="AJ1142" s="1119"/>
      <c r="AK1142" s="1119"/>
      <c r="AL1142" s="1119"/>
      <c r="AM1142" s="1119"/>
      <c r="AN1142" s="1203"/>
      <c r="AO1142" s="1204"/>
    </row>
    <row r="1143" spans="1:43" ht="15" customHeight="1">
      <c r="A1143" s="1075"/>
      <c r="B1143" s="1171"/>
      <c r="C1143" s="1076"/>
      <c r="D1143" s="1076"/>
      <c r="E1143" s="1208"/>
      <c r="F1143" s="1208"/>
      <c r="G1143" s="1076"/>
      <c r="H1143" s="1076"/>
      <c r="I1143" s="1076"/>
      <c r="J1143" s="1076"/>
      <c r="K1143" s="1076"/>
      <c r="L1143" s="1076"/>
      <c r="M1143" s="1209"/>
      <c r="N1143" s="1123"/>
      <c r="O1143" s="1119"/>
      <c r="P1143" s="1119"/>
      <c r="Q1143" s="1119"/>
      <c r="R1143" s="1171"/>
      <c r="S1143" s="1119"/>
      <c r="T1143" s="1119"/>
      <c r="U1143" s="1119"/>
      <c r="V1143" s="1084"/>
      <c r="W1143" s="1119"/>
      <c r="X1143" s="1076"/>
      <c r="Y1143" s="108"/>
      <c r="Z1143" s="109"/>
      <c r="AA1143" s="109"/>
      <c r="AB1143" s="109">
        <f t="shared" si="87"/>
        <v>0</v>
      </c>
      <c r="AC1143" s="97"/>
      <c r="AD1143" s="119"/>
      <c r="AE1143" s="98"/>
      <c r="AF1143" s="1084"/>
      <c r="AG1143" s="1084"/>
      <c r="AH1143" s="111">
        <f t="shared" si="89"/>
        <v>0</v>
      </c>
      <c r="AI1143" s="1084"/>
      <c r="AJ1143" s="1119"/>
      <c r="AK1143" s="1119"/>
      <c r="AL1143" s="1119"/>
      <c r="AM1143" s="1119"/>
      <c r="AN1143" s="1203"/>
      <c r="AO1143" s="1204"/>
    </row>
    <row r="1144" spans="1:43" ht="15" customHeight="1">
      <c r="A1144" s="1075"/>
      <c r="B1144" s="1171"/>
      <c r="C1144" s="1076"/>
      <c r="D1144" s="1076"/>
      <c r="E1144" s="1208"/>
      <c r="F1144" s="1208"/>
      <c r="G1144" s="1076"/>
      <c r="H1144" s="1076"/>
      <c r="I1144" s="1076"/>
      <c r="J1144" s="1076" t="s">
        <v>67</v>
      </c>
      <c r="K1144" s="1076"/>
      <c r="L1144" s="1076"/>
      <c r="M1144" s="1209">
        <v>15</v>
      </c>
      <c r="N1144" s="1123" t="s">
        <v>129</v>
      </c>
      <c r="O1144" s="1119">
        <v>16220453</v>
      </c>
      <c r="P1144" s="1119">
        <v>16220453</v>
      </c>
      <c r="Q1144" s="1119"/>
      <c r="R1144" s="1171">
        <v>42069</v>
      </c>
      <c r="S1144" s="1196">
        <f>T1144</f>
        <v>16220453</v>
      </c>
      <c r="T1144" s="1196">
        <v>16220453</v>
      </c>
      <c r="U1144" s="1196">
        <f>O1144-T1144</f>
        <v>0</v>
      </c>
      <c r="V1144" s="1084">
        <v>16220453</v>
      </c>
      <c r="W1144" s="1119"/>
      <c r="X1144" s="1076"/>
      <c r="Y1144" s="108" t="s">
        <v>1672</v>
      </c>
      <c r="Z1144" s="109">
        <v>11088421.99</v>
      </c>
      <c r="AA1144" s="109">
        <v>0</v>
      </c>
      <c r="AB1144" s="109">
        <f t="shared" si="87"/>
        <v>11088421.99</v>
      </c>
      <c r="AC1144" s="97">
        <v>42256</v>
      </c>
      <c r="AD1144" s="119">
        <v>11088421.99</v>
      </c>
      <c r="AE1144" s="98" t="s">
        <v>129</v>
      </c>
      <c r="AF1144" s="1084">
        <f>SUM(AD1144:AD1146)</f>
        <v>16220452.939999999</v>
      </c>
      <c r="AG1144" s="1084"/>
      <c r="AH1144" s="111">
        <f>AB1144-AD1144</f>
        <v>0</v>
      </c>
      <c r="AI1144" s="1084">
        <f>O1144-SUM(AD1144:AD1146)</f>
        <v>6.0000000521540642E-2</v>
      </c>
      <c r="AJ1144" s="1119"/>
      <c r="AK1144" s="1119">
        <f>P1144-V1144</f>
        <v>0</v>
      </c>
      <c r="AL1144" s="1119"/>
      <c r="AM1144" s="1119"/>
      <c r="AN1144" s="1203"/>
      <c r="AO1144" s="1204"/>
    </row>
    <row r="1145" spans="1:43" ht="15" customHeight="1">
      <c r="A1145" s="1075"/>
      <c r="B1145" s="1171"/>
      <c r="C1145" s="1076"/>
      <c r="D1145" s="1076"/>
      <c r="E1145" s="1208"/>
      <c r="F1145" s="1208"/>
      <c r="G1145" s="1076"/>
      <c r="H1145" s="1076"/>
      <c r="I1145" s="1076"/>
      <c r="J1145" s="1076"/>
      <c r="K1145" s="1076"/>
      <c r="L1145" s="1076"/>
      <c r="M1145" s="1209"/>
      <c r="N1145" s="1123"/>
      <c r="O1145" s="1119"/>
      <c r="P1145" s="1119"/>
      <c r="Q1145" s="1119"/>
      <c r="R1145" s="1171"/>
      <c r="S1145" s="1196"/>
      <c r="T1145" s="1196"/>
      <c r="U1145" s="1196"/>
      <c r="V1145" s="1084"/>
      <c r="W1145" s="1119"/>
      <c r="X1145" s="1076"/>
      <c r="Y1145" s="108" t="s">
        <v>1673</v>
      </c>
      <c r="Z1145" s="109">
        <v>4435204.0599999996</v>
      </c>
      <c r="AA1145" s="109">
        <v>0</v>
      </c>
      <c r="AB1145" s="109">
        <f t="shared" si="87"/>
        <v>4435204.0599999996</v>
      </c>
      <c r="AC1145" s="97">
        <v>42366</v>
      </c>
      <c r="AD1145" s="119">
        <v>4435204</v>
      </c>
      <c r="AE1145" s="1021" t="s">
        <v>129</v>
      </c>
      <c r="AF1145" s="1084"/>
      <c r="AG1145" s="1084"/>
      <c r="AH1145" s="111">
        <f>AB1145-AD1145</f>
        <v>5.9999999590218067E-2</v>
      </c>
      <c r="AI1145" s="1084"/>
      <c r="AJ1145" s="1119"/>
      <c r="AK1145" s="1119"/>
      <c r="AL1145" s="1119"/>
      <c r="AM1145" s="1119"/>
      <c r="AN1145" s="1203"/>
      <c r="AO1145" s="1204"/>
    </row>
    <row r="1146" spans="1:43" ht="15" customHeight="1">
      <c r="A1146" s="1075"/>
      <c r="B1146" s="1171"/>
      <c r="C1146" s="1076"/>
      <c r="D1146" s="1076"/>
      <c r="E1146" s="1208"/>
      <c r="F1146" s="1208"/>
      <c r="G1146" s="1076"/>
      <c r="H1146" s="1076"/>
      <c r="I1146" s="1076"/>
      <c r="J1146" s="1076"/>
      <c r="K1146" s="1076"/>
      <c r="L1146" s="1076"/>
      <c r="M1146" s="1209"/>
      <c r="N1146" s="1123"/>
      <c r="O1146" s="1119"/>
      <c r="P1146" s="1119"/>
      <c r="Q1146" s="1119"/>
      <c r="R1146" s="1171"/>
      <c r="S1146" s="1196"/>
      <c r="T1146" s="1196"/>
      <c r="U1146" s="1196"/>
      <c r="V1146" s="1084"/>
      <c r="W1146" s="1119"/>
      <c r="X1146" s="1076"/>
      <c r="Y1146" s="108"/>
      <c r="Z1146" s="109">
        <v>696826.95</v>
      </c>
      <c r="AA1146" s="109">
        <v>0</v>
      </c>
      <c r="AB1146" s="109">
        <v>696826.95</v>
      </c>
      <c r="AC1146" s="697">
        <v>43095</v>
      </c>
      <c r="AD1146" s="119">
        <f>+AB1146</f>
        <v>696826.95</v>
      </c>
      <c r="AE1146" s="1038"/>
      <c r="AF1146" s="1084"/>
      <c r="AG1146" s="1084"/>
      <c r="AH1146" s="111">
        <f>AB1146-AD1146</f>
        <v>0</v>
      </c>
      <c r="AI1146" s="1084"/>
      <c r="AJ1146" s="1119"/>
      <c r="AK1146" s="1119"/>
      <c r="AL1146" s="1119"/>
      <c r="AM1146" s="1119"/>
      <c r="AN1146" s="1203"/>
      <c r="AO1146" s="1204"/>
    </row>
    <row r="1147" spans="1:43" ht="15" customHeight="1">
      <c r="A1147" s="1075"/>
      <c r="B1147" s="1171"/>
      <c r="C1147" s="1076"/>
      <c r="D1147" s="1076"/>
      <c r="E1147" s="1208"/>
      <c r="F1147" s="1208"/>
      <c r="G1147" s="1076"/>
      <c r="H1147" s="1076"/>
      <c r="I1147" s="1076"/>
      <c r="J1147" s="1076" t="s">
        <v>171</v>
      </c>
      <c r="K1147" s="1076"/>
      <c r="L1147" s="1076"/>
      <c r="M1147" s="1209">
        <v>21</v>
      </c>
      <c r="N1147" s="1123" t="s">
        <v>129</v>
      </c>
      <c r="O1147" s="1119">
        <v>29552907</v>
      </c>
      <c r="P1147" s="1119">
        <v>29552907</v>
      </c>
      <c r="Q1147" s="1119"/>
      <c r="R1147" s="1171">
        <v>42236</v>
      </c>
      <c r="S1147" s="1119">
        <f>T1147</f>
        <v>29552907</v>
      </c>
      <c r="T1147" s="1119">
        <v>29552907</v>
      </c>
      <c r="U1147" s="1119">
        <f>O1147-T1147</f>
        <v>0</v>
      </c>
      <c r="V1147" s="1084">
        <v>29552907</v>
      </c>
      <c r="W1147" s="1119"/>
      <c r="X1147" s="1076"/>
      <c r="Y1147" s="108"/>
      <c r="Z1147" s="109">
        <v>11148175</v>
      </c>
      <c r="AA1147" s="109">
        <v>0</v>
      </c>
      <c r="AB1147" s="109">
        <f t="shared" si="87"/>
        <v>11148175</v>
      </c>
      <c r="AC1147" s="97">
        <v>42817</v>
      </c>
      <c r="AD1147" s="119">
        <v>11148175</v>
      </c>
      <c r="AE1147" s="1021" t="s">
        <v>129</v>
      </c>
      <c r="AF1147" s="1084">
        <f>SUM(AD1147:AD1148)</f>
        <v>29552907</v>
      </c>
      <c r="AG1147" s="1084"/>
      <c r="AH1147" s="111">
        <f>AB1147-AD1147</f>
        <v>0</v>
      </c>
      <c r="AI1147" s="1084">
        <f>O1147-AD1147-AD1148</f>
        <v>0</v>
      </c>
      <c r="AJ1147" s="1119"/>
      <c r="AK1147" s="1119">
        <f>P1147-V1147</f>
        <v>0</v>
      </c>
      <c r="AL1147" s="1119"/>
      <c r="AM1147" s="1119"/>
      <c r="AN1147" s="1203"/>
      <c r="AO1147" s="1204"/>
    </row>
    <row r="1148" spans="1:43" ht="15" customHeight="1">
      <c r="A1148" s="1075"/>
      <c r="B1148" s="1171"/>
      <c r="C1148" s="1076"/>
      <c r="D1148" s="1076"/>
      <c r="E1148" s="1208"/>
      <c r="F1148" s="1208"/>
      <c r="G1148" s="1076"/>
      <c r="H1148" s="1076"/>
      <c r="I1148" s="1076"/>
      <c r="J1148" s="1076"/>
      <c r="K1148" s="1076"/>
      <c r="L1148" s="1076"/>
      <c r="M1148" s="1209"/>
      <c r="N1148" s="1123"/>
      <c r="O1148" s="1119"/>
      <c r="P1148" s="1119"/>
      <c r="Q1148" s="1119"/>
      <c r="R1148" s="1171"/>
      <c r="S1148" s="1119"/>
      <c r="T1148" s="1119"/>
      <c r="U1148" s="1119"/>
      <c r="V1148" s="1084"/>
      <c r="W1148" s="1119"/>
      <c r="X1148" s="1076"/>
      <c r="Y1148" s="108"/>
      <c r="Z1148" s="109">
        <v>18404732</v>
      </c>
      <c r="AA1148" s="109">
        <v>0</v>
      </c>
      <c r="AB1148" s="109">
        <v>18404732</v>
      </c>
      <c r="AC1148" s="97">
        <v>43095</v>
      </c>
      <c r="AD1148" s="119">
        <f>+AB1148</f>
        <v>18404732</v>
      </c>
      <c r="AE1148" s="1038"/>
      <c r="AF1148" s="1084"/>
      <c r="AG1148" s="1084"/>
      <c r="AH1148" s="111">
        <f>AB1148-AD1148</f>
        <v>0</v>
      </c>
      <c r="AI1148" s="1084"/>
      <c r="AJ1148" s="1119"/>
      <c r="AK1148" s="1119"/>
      <c r="AL1148" s="1119"/>
      <c r="AM1148" s="1119"/>
      <c r="AN1148" s="1203"/>
      <c r="AO1148" s="1204"/>
    </row>
    <row r="1149" spans="1:43" s="4" customFormat="1" ht="15" customHeight="1">
      <c r="A1149" s="1170" t="s">
        <v>1680</v>
      </c>
      <c r="B1149" s="1171">
        <v>41576</v>
      </c>
      <c r="C1149" s="1149" t="s">
        <v>47</v>
      </c>
      <c r="D1149" s="1149" t="s">
        <v>1679</v>
      </c>
      <c r="E1149" s="1241">
        <v>900670956</v>
      </c>
      <c r="F1149" s="1241"/>
      <c r="G1149" s="1149" t="s">
        <v>1678</v>
      </c>
      <c r="H1149" s="1149" t="s">
        <v>71</v>
      </c>
      <c r="I1149" s="1149" t="s">
        <v>1221</v>
      </c>
      <c r="J1149" s="1149" t="s">
        <v>66</v>
      </c>
      <c r="K1149" s="1149" t="s">
        <v>183</v>
      </c>
      <c r="L1149" s="1149" t="s">
        <v>1677</v>
      </c>
      <c r="M1149" s="1209">
        <v>277</v>
      </c>
      <c r="N1149" s="1122" t="s">
        <v>7</v>
      </c>
      <c r="O1149" s="1149">
        <v>192124850</v>
      </c>
      <c r="P1149" s="1149">
        <v>192124850</v>
      </c>
      <c r="Q1149" s="1149">
        <v>192124850</v>
      </c>
      <c r="R1149" s="1171">
        <v>41310</v>
      </c>
      <c r="S1149" s="1242"/>
      <c r="T1149" s="1242"/>
      <c r="U1149" s="1242"/>
      <c r="V1149" s="1149">
        <f>W1149</f>
        <v>190449007</v>
      </c>
      <c r="W1149" s="1149">
        <v>190449007</v>
      </c>
      <c r="X1149" s="1149"/>
      <c r="Y1149" s="108" t="s">
        <v>1682</v>
      </c>
      <c r="Z1149" s="103">
        <v>147710367</v>
      </c>
      <c r="AA1149" s="103">
        <v>0</v>
      </c>
      <c r="AB1149" s="103">
        <f>Z1149+AA1149</f>
        <v>147710367</v>
      </c>
      <c r="AC1149" s="97">
        <v>42200</v>
      </c>
      <c r="AD1149" s="98">
        <v>147710367</v>
      </c>
      <c r="AE1149" s="1122" t="s">
        <v>7</v>
      </c>
      <c r="AF1149" s="1149">
        <f>SUM(AD1149:AD1150)</f>
        <v>190448592</v>
      </c>
      <c r="AG1149" s="1149">
        <f>+AF1149</f>
        <v>190448592</v>
      </c>
      <c r="AH1149" s="1149">
        <v>0</v>
      </c>
      <c r="AI1149" s="1149">
        <v>0</v>
      </c>
      <c r="AJ1149" s="1149">
        <v>0</v>
      </c>
      <c r="AK1149" s="1149">
        <f>O1149-W1149</f>
        <v>1675843</v>
      </c>
      <c r="AL1149" s="1149">
        <f>W1149-AD1149-AD1150</f>
        <v>415</v>
      </c>
      <c r="AM1149" s="1149">
        <f>AK1149+AL1149</f>
        <v>1676258</v>
      </c>
      <c r="AN1149" s="1149"/>
      <c r="AO1149" s="1149" t="s">
        <v>1681</v>
      </c>
      <c r="AQ1149" s="934"/>
    </row>
    <row r="1150" spans="1:43" s="4" customFormat="1" ht="15" customHeight="1">
      <c r="A1150" s="1170"/>
      <c r="B1150" s="1171"/>
      <c r="C1150" s="1149"/>
      <c r="D1150" s="1149"/>
      <c r="E1150" s="1241"/>
      <c r="F1150" s="1241"/>
      <c r="G1150" s="1149"/>
      <c r="H1150" s="1149"/>
      <c r="I1150" s="1149"/>
      <c r="J1150" s="1149"/>
      <c r="K1150" s="1149"/>
      <c r="L1150" s="1149"/>
      <c r="M1150" s="1209"/>
      <c r="N1150" s="1122"/>
      <c r="O1150" s="1149"/>
      <c r="P1150" s="1149"/>
      <c r="Q1150" s="1149"/>
      <c r="R1150" s="1171"/>
      <c r="S1150" s="1242"/>
      <c r="T1150" s="1242"/>
      <c r="U1150" s="1242"/>
      <c r="V1150" s="1149"/>
      <c r="W1150" s="1149"/>
      <c r="X1150" s="1149"/>
      <c r="Y1150" s="108" t="s">
        <v>1683</v>
      </c>
      <c r="Z1150" s="103">
        <v>42738225</v>
      </c>
      <c r="AA1150" s="103">
        <v>0</v>
      </c>
      <c r="AB1150" s="103">
        <f>Z1150+AA1150</f>
        <v>42738225</v>
      </c>
      <c r="AC1150" s="97">
        <v>42615</v>
      </c>
      <c r="AD1150" s="98">
        <v>42738225</v>
      </c>
      <c r="AE1150" s="1122"/>
      <c r="AF1150" s="1149"/>
      <c r="AG1150" s="1149"/>
      <c r="AH1150" s="1149"/>
      <c r="AI1150" s="1149"/>
      <c r="AJ1150" s="1149"/>
      <c r="AK1150" s="1149"/>
      <c r="AL1150" s="1149"/>
      <c r="AM1150" s="1149"/>
      <c r="AN1150" s="1149"/>
      <c r="AO1150" s="1149"/>
      <c r="AQ1150" s="934"/>
    </row>
    <row r="1151" spans="1:43" s="203" customFormat="1" ht="15" customHeight="1">
      <c r="A1151" s="1075" t="s">
        <v>1698</v>
      </c>
      <c r="B1151" s="1199">
        <v>41592</v>
      </c>
      <c r="C1151" s="1075" t="s">
        <v>37</v>
      </c>
      <c r="D1151" s="1075" t="s">
        <v>1699</v>
      </c>
      <c r="E1151" s="1238">
        <v>900671733</v>
      </c>
      <c r="F1151" s="1238">
        <v>3</v>
      </c>
      <c r="G1151" s="1075" t="s">
        <v>1700</v>
      </c>
      <c r="H1151" s="1075" t="s">
        <v>71</v>
      </c>
      <c r="I1151" s="1075" t="s">
        <v>1221</v>
      </c>
      <c r="J1151" s="1075" t="s">
        <v>66</v>
      </c>
      <c r="K1151" s="1075" t="s">
        <v>49</v>
      </c>
      <c r="L1151" s="1075" t="s">
        <v>1703</v>
      </c>
      <c r="M1151" s="1239">
        <v>288</v>
      </c>
      <c r="N1151" s="1206" t="s">
        <v>137</v>
      </c>
      <c r="O1151" s="1198">
        <v>564649341</v>
      </c>
      <c r="P1151" s="1198">
        <f>O1151+O1157</f>
        <v>2190887838</v>
      </c>
      <c r="Q1151" s="1198">
        <f>P1151+P1164+P1170+P1173</f>
        <v>3708336908</v>
      </c>
      <c r="R1151" s="1199">
        <v>41522</v>
      </c>
      <c r="S1151" s="1240">
        <f>T1151+T1157</f>
        <v>2190887838</v>
      </c>
      <c r="T1151" s="1198">
        <v>564649341</v>
      </c>
      <c r="U1151" s="1198">
        <f>O1151-T1151</f>
        <v>0</v>
      </c>
      <c r="V1151" s="1198">
        <v>556428823.98000002</v>
      </c>
      <c r="W1151" s="1198">
        <f>2472301814.65+1199510028+36525065.35</f>
        <v>3708336908</v>
      </c>
      <c r="X1151" s="1075" t="s">
        <v>1701</v>
      </c>
      <c r="Y1151" s="1206" t="s">
        <v>1705</v>
      </c>
      <c r="Z1151" s="198">
        <v>157769107.96000001</v>
      </c>
      <c r="AA1151" s="198">
        <v>0</v>
      </c>
      <c r="AB1151" s="198">
        <f>Z1151+AA1151</f>
        <v>157769107.96000001</v>
      </c>
      <c r="AC1151" s="1199">
        <v>41961</v>
      </c>
      <c r="AD1151" s="200">
        <v>157769107.96000001</v>
      </c>
      <c r="AE1151" s="201" t="s">
        <v>137</v>
      </c>
      <c r="AF1151" s="1197">
        <f>SUM(AD1151:AD1163)</f>
        <v>2158991527.3799996</v>
      </c>
      <c r="AG1151" s="1197">
        <f>AF1151+AF1164+AF1170+AF1173</f>
        <v>3289963512.3399997</v>
      </c>
      <c r="AH1151" s="202">
        <f>AB1151-AD1151</f>
        <v>0</v>
      </c>
      <c r="AI1151" s="1197"/>
      <c r="AJ1151" s="1198"/>
      <c r="AK1151" s="1198"/>
      <c r="AL1151" s="1198"/>
      <c r="AM1151" s="1198"/>
      <c r="AN1151" s="1200" t="s">
        <v>1704</v>
      </c>
      <c r="AO1151" s="1201" t="s">
        <v>1711</v>
      </c>
      <c r="AQ1151" s="934"/>
    </row>
    <row r="1152" spans="1:43" s="203" customFormat="1" ht="15" customHeight="1">
      <c r="A1152" s="1075"/>
      <c r="B1152" s="1199"/>
      <c r="C1152" s="1075"/>
      <c r="D1152" s="1075"/>
      <c r="E1152" s="1238"/>
      <c r="F1152" s="1238"/>
      <c r="G1152" s="1075"/>
      <c r="H1152" s="1075"/>
      <c r="I1152" s="1075"/>
      <c r="J1152" s="1075"/>
      <c r="K1152" s="1075"/>
      <c r="L1152" s="1075"/>
      <c r="M1152" s="1239"/>
      <c r="N1152" s="1206"/>
      <c r="O1152" s="1198"/>
      <c r="P1152" s="1198"/>
      <c r="Q1152" s="1198"/>
      <c r="R1152" s="1199"/>
      <c r="S1152" s="1240"/>
      <c r="T1152" s="1198"/>
      <c r="U1152" s="1198"/>
      <c r="V1152" s="1198"/>
      <c r="W1152" s="1198"/>
      <c r="X1152" s="1075"/>
      <c r="Y1152" s="1206"/>
      <c r="Z1152" s="198">
        <v>454388552.99000001</v>
      </c>
      <c r="AA1152" s="198">
        <v>0</v>
      </c>
      <c r="AB1152" s="198">
        <f t="shared" ref="AB1152:AB1163" si="90">Z1152+AA1152</f>
        <v>454388552.99000001</v>
      </c>
      <c r="AC1152" s="1199"/>
      <c r="AD1152" s="200">
        <v>454388552.99000001</v>
      </c>
      <c r="AE1152" s="201" t="s">
        <v>7</v>
      </c>
      <c r="AF1152" s="1197"/>
      <c r="AG1152" s="1197"/>
      <c r="AH1152" s="202">
        <f t="shared" ref="AH1152:AH1163" si="91">AB1152-AD1152</f>
        <v>0</v>
      </c>
      <c r="AI1152" s="1197"/>
      <c r="AJ1152" s="1198"/>
      <c r="AK1152" s="1198"/>
      <c r="AL1152" s="1198"/>
      <c r="AM1152" s="1198"/>
      <c r="AN1152" s="1200"/>
      <c r="AO1152" s="1202"/>
      <c r="AQ1152" s="934"/>
    </row>
    <row r="1153" spans="1:43" s="203" customFormat="1" ht="15" customHeight="1">
      <c r="A1153" s="1075"/>
      <c r="B1153" s="1199"/>
      <c r="C1153" s="1075"/>
      <c r="D1153" s="1075"/>
      <c r="E1153" s="1238"/>
      <c r="F1153" s="1238"/>
      <c r="G1153" s="1075"/>
      <c r="H1153" s="1075"/>
      <c r="I1153" s="1075"/>
      <c r="J1153" s="1075"/>
      <c r="K1153" s="1075"/>
      <c r="L1153" s="1075"/>
      <c r="M1153" s="1239"/>
      <c r="N1153" s="1206"/>
      <c r="O1153" s="1198"/>
      <c r="P1153" s="1198"/>
      <c r="Q1153" s="1198"/>
      <c r="R1153" s="1199"/>
      <c r="S1153" s="1240"/>
      <c r="T1153" s="1198"/>
      <c r="U1153" s="1198"/>
      <c r="V1153" s="1198"/>
      <c r="W1153" s="1198"/>
      <c r="X1153" s="1075"/>
      <c r="Y1153" s="1206" t="s">
        <v>1706</v>
      </c>
      <c r="Z1153" s="198">
        <v>78015709.75</v>
      </c>
      <c r="AA1153" s="198">
        <v>0</v>
      </c>
      <c r="AB1153" s="198">
        <f t="shared" si="90"/>
        <v>78015709.75</v>
      </c>
      <c r="AC1153" s="1199">
        <v>42026</v>
      </c>
      <c r="AD1153" s="200">
        <v>78015709.75</v>
      </c>
      <c r="AE1153" s="201" t="s">
        <v>137</v>
      </c>
      <c r="AF1153" s="1197"/>
      <c r="AG1153" s="1197"/>
      <c r="AH1153" s="202">
        <f t="shared" si="91"/>
        <v>0</v>
      </c>
      <c r="AI1153" s="1197"/>
      <c r="AJ1153" s="1198"/>
      <c r="AK1153" s="1198"/>
      <c r="AL1153" s="1198"/>
      <c r="AM1153" s="1198"/>
      <c r="AN1153" s="1200"/>
      <c r="AO1153" s="1202"/>
      <c r="AQ1153" s="934"/>
    </row>
    <row r="1154" spans="1:43" s="203" customFormat="1" ht="15" customHeight="1">
      <c r="A1154" s="1075"/>
      <c r="B1154" s="1199"/>
      <c r="C1154" s="1075"/>
      <c r="D1154" s="1075"/>
      <c r="E1154" s="1238"/>
      <c r="F1154" s="1238"/>
      <c r="G1154" s="1075"/>
      <c r="H1154" s="1075"/>
      <c r="I1154" s="1075"/>
      <c r="J1154" s="1075"/>
      <c r="K1154" s="1075"/>
      <c r="L1154" s="1075"/>
      <c r="M1154" s="1239"/>
      <c r="N1154" s="1206"/>
      <c r="O1154" s="1198"/>
      <c r="P1154" s="1198"/>
      <c r="Q1154" s="1198"/>
      <c r="R1154" s="1199"/>
      <c r="S1154" s="1240"/>
      <c r="T1154" s="1198"/>
      <c r="U1154" s="1198"/>
      <c r="V1154" s="1198"/>
      <c r="W1154" s="1198"/>
      <c r="X1154" s="1075"/>
      <c r="Y1154" s="1206"/>
      <c r="Z1154" s="198">
        <v>224691930.66</v>
      </c>
      <c r="AA1154" s="198">
        <v>0</v>
      </c>
      <c r="AB1154" s="198">
        <f t="shared" si="90"/>
        <v>224691930.66</v>
      </c>
      <c r="AC1154" s="1199"/>
      <c r="AD1154" s="200">
        <v>224691930.66</v>
      </c>
      <c r="AE1154" s="201" t="s">
        <v>7</v>
      </c>
      <c r="AF1154" s="1197"/>
      <c r="AG1154" s="1197"/>
      <c r="AH1154" s="202">
        <f t="shared" si="91"/>
        <v>0</v>
      </c>
      <c r="AI1154" s="1197"/>
      <c r="AJ1154" s="1198"/>
      <c r="AK1154" s="1198"/>
      <c r="AL1154" s="1198"/>
      <c r="AM1154" s="1198"/>
      <c r="AN1154" s="1200"/>
      <c r="AO1154" s="1202"/>
      <c r="AQ1154" s="934"/>
    </row>
    <row r="1155" spans="1:43" s="203" customFormat="1" ht="15" customHeight="1">
      <c r="A1155" s="1075"/>
      <c r="B1155" s="1199"/>
      <c r="C1155" s="1075"/>
      <c r="D1155" s="1075"/>
      <c r="E1155" s="1238"/>
      <c r="F1155" s="1238"/>
      <c r="G1155" s="1075"/>
      <c r="H1155" s="1075"/>
      <c r="I1155" s="1075"/>
      <c r="J1155" s="1075"/>
      <c r="K1155" s="1075"/>
      <c r="L1155" s="1075"/>
      <c r="M1155" s="1239"/>
      <c r="N1155" s="1206"/>
      <c r="O1155" s="1198"/>
      <c r="P1155" s="1198"/>
      <c r="Q1155" s="1198"/>
      <c r="R1155" s="1199"/>
      <c r="S1155" s="1240"/>
      <c r="T1155" s="1198"/>
      <c r="U1155" s="1198"/>
      <c r="V1155" s="1198"/>
      <c r="W1155" s="1198"/>
      <c r="X1155" s="1075"/>
      <c r="Y1155" s="1206" t="s">
        <v>1707</v>
      </c>
      <c r="Z1155" s="198">
        <v>135723777.19</v>
      </c>
      <c r="AA1155" s="198">
        <v>0</v>
      </c>
      <c r="AB1155" s="198">
        <f t="shared" si="90"/>
        <v>135723777.19</v>
      </c>
      <c r="AC1155" s="1199">
        <v>42342</v>
      </c>
      <c r="AD1155" s="200">
        <v>135723777.19</v>
      </c>
      <c r="AE1155" s="201" t="s">
        <v>137</v>
      </c>
      <c r="AF1155" s="1197"/>
      <c r="AG1155" s="1197"/>
      <c r="AH1155" s="202">
        <f t="shared" si="91"/>
        <v>0</v>
      </c>
      <c r="AI1155" s="1197"/>
      <c r="AJ1155" s="1198"/>
      <c r="AK1155" s="1198"/>
      <c r="AL1155" s="1198"/>
      <c r="AM1155" s="1198"/>
      <c r="AN1155" s="1200"/>
      <c r="AO1155" s="1202"/>
      <c r="AQ1155" s="934"/>
    </row>
    <row r="1156" spans="1:43" s="203" customFormat="1" ht="15" customHeight="1">
      <c r="A1156" s="1075"/>
      <c r="B1156" s="1199"/>
      <c r="C1156" s="1075"/>
      <c r="D1156" s="1075"/>
      <c r="E1156" s="1238"/>
      <c r="F1156" s="1238"/>
      <c r="G1156" s="1075"/>
      <c r="H1156" s="1075"/>
      <c r="I1156" s="1075"/>
      <c r="J1156" s="1075"/>
      <c r="K1156" s="1075"/>
      <c r="L1156" s="1075"/>
      <c r="M1156" s="1239"/>
      <c r="N1156" s="1206"/>
      <c r="O1156" s="1198"/>
      <c r="P1156" s="1198"/>
      <c r="Q1156" s="1198"/>
      <c r="R1156" s="1199"/>
      <c r="S1156" s="1240"/>
      <c r="T1156" s="1198"/>
      <c r="U1156" s="1198"/>
      <c r="V1156" s="1198"/>
      <c r="W1156" s="1198"/>
      <c r="X1156" s="1075"/>
      <c r="Y1156" s="1206"/>
      <c r="Z1156" s="198">
        <v>390896110.89999998</v>
      </c>
      <c r="AA1156" s="198">
        <v>0</v>
      </c>
      <c r="AB1156" s="198">
        <f t="shared" si="90"/>
        <v>390896110.89999998</v>
      </c>
      <c r="AC1156" s="1199"/>
      <c r="AD1156" s="200">
        <v>390896110.89999998</v>
      </c>
      <c r="AE1156" s="201" t="s">
        <v>7</v>
      </c>
      <c r="AF1156" s="1197"/>
      <c r="AG1156" s="1197"/>
      <c r="AH1156" s="202">
        <f t="shared" si="91"/>
        <v>0</v>
      </c>
      <c r="AI1156" s="1197"/>
      <c r="AJ1156" s="1198"/>
      <c r="AK1156" s="1198"/>
      <c r="AL1156" s="1198"/>
      <c r="AM1156" s="1198"/>
      <c r="AN1156" s="1200"/>
      <c r="AO1156" s="1202"/>
      <c r="AQ1156" s="934"/>
    </row>
    <row r="1157" spans="1:43" s="203" customFormat="1" ht="15" customHeight="1">
      <c r="A1157" s="1075"/>
      <c r="B1157" s="1199"/>
      <c r="C1157" s="1075"/>
      <c r="D1157" s="1075"/>
      <c r="E1157" s="1238"/>
      <c r="F1157" s="1238"/>
      <c r="G1157" s="1075"/>
      <c r="H1157" s="1075"/>
      <c r="I1157" s="1075"/>
      <c r="J1157" s="1075"/>
      <c r="K1157" s="1075"/>
      <c r="L1157" s="1075"/>
      <c r="M1157" s="1239"/>
      <c r="N1157" s="1206" t="s">
        <v>7</v>
      </c>
      <c r="O1157" s="1198">
        <v>1626238497</v>
      </c>
      <c r="P1157" s="1198"/>
      <c r="Q1157" s="1198"/>
      <c r="R1157" s="1199"/>
      <c r="S1157" s="1240"/>
      <c r="T1157" s="1198">
        <v>1626238497</v>
      </c>
      <c r="U1157" s="1198">
        <f>O1157-T1157</f>
        <v>0</v>
      </c>
      <c r="V1157" s="1198">
        <v>1602562703.4000001</v>
      </c>
      <c r="W1157" s="1198"/>
      <c r="X1157" s="1075"/>
      <c r="Y1157" s="1206" t="s">
        <v>1708</v>
      </c>
      <c r="Z1157" s="198">
        <v>97399436.519999996</v>
      </c>
      <c r="AA1157" s="198">
        <v>0</v>
      </c>
      <c r="AB1157" s="198">
        <f t="shared" si="90"/>
        <v>97399436.519999996</v>
      </c>
      <c r="AC1157" s="1136">
        <v>42367</v>
      </c>
      <c r="AD1157" s="200">
        <v>97399436.519999996</v>
      </c>
      <c r="AE1157" s="201" t="s">
        <v>137</v>
      </c>
      <c r="AF1157" s="1197"/>
      <c r="AG1157" s="1197"/>
      <c r="AH1157" s="202">
        <f t="shared" si="91"/>
        <v>0</v>
      </c>
      <c r="AI1157" s="1197"/>
      <c r="AJ1157" s="1198"/>
      <c r="AK1157" s="1198"/>
      <c r="AL1157" s="1198"/>
      <c r="AM1157" s="1198"/>
      <c r="AN1157" s="1200"/>
      <c r="AO1157" s="1202"/>
      <c r="AQ1157" s="934"/>
    </row>
    <row r="1158" spans="1:43" s="203" customFormat="1" ht="15" customHeight="1">
      <c r="A1158" s="1075"/>
      <c r="B1158" s="1199"/>
      <c r="C1158" s="1075"/>
      <c r="D1158" s="1075"/>
      <c r="E1158" s="1238"/>
      <c r="F1158" s="1238"/>
      <c r="G1158" s="1075"/>
      <c r="H1158" s="1075"/>
      <c r="I1158" s="1075"/>
      <c r="J1158" s="1075"/>
      <c r="K1158" s="1075"/>
      <c r="L1158" s="1075"/>
      <c r="M1158" s="1239"/>
      <c r="N1158" s="1206"/>
      <c r="O1158" s="1198"/>
      <c r="P1158" s="1198"/>
      <c r="Q1158" s="1198"/>
      <c r="R1158" s="1199"/>
      <c r="S1158" s="1240"/>
      <c r="T1158" s="1198"/>
      <c r="U1158" s="1198"/>
      <c r="V1158" s="1198"/>
      <c r="W1158" s="1198"/>
      <c r="X1158" s="1075"/>
      <c r="Y1158" s="1206"/>
      <c r="Z1158" s="198">
        <v>280518725.07999998</v>
      </c>
      <c r="AA1158" s="198">
        <v>0</v>
      </c>
      <c r="AB1158" s="198">
        <f t="shared" si="90"/>
        <v>280518725.07999998</v>
      </c>
      <c r="AC1158" s="1205"/>
      <c r="AD1158" s="200">
        <v>280518725.07999998</v>
      </c>
      <c r="AE1158" s="201" t="s">
        <v>7</v>
      </c>
      <c r="AF1158" s="1197"/>
      <c r="AG1158" s="1197"/>
      <c r="AH1158" s="202">
        <f t="shared" si="91"/>
        <v>0</v>
      </c>
      <c r="AI1158" s="1197"/>
      <c r="AJ1158" s="1198"/>
      <c r="AK1158" s="1198"/>
      <c r="AL1158" s="1198"/>
      <c r="AM1158" s="1198"/>
      <c r="AN1158" s="1200"/>
      <c r="AO1158" s="1202"/>
      <c r="AQ1158" s="934"/>
    </row>
    <row r="1159" spans="1:43" s="203" customFormat="1" ht="15" customHeight="1">
      <c r="A1159" s="1075"/>
      <c r="B1159" s="1199"/>
      <c r="C1159" s="1075"/>
      <c r="D1159" s="1075"/>
      <c r="E1159" s="1238"/>
      <c r="F1159" s="1238"/>
      <c r="G1159" s="1075"/>
      <c r="H1159" s="1075"/>
      <c r="I1159" s="1075"/>
      <c r="J1159" s="1075"/>
      <c r="K1159" s="1075"/>
      <c r="L1159" s="1075"/>
      <c r="M1159" s="1239"/>
      <c r="N1159" s="1206"/>
      <c r="O1159" s="1198"/>
      <c r="P1159" s="1198"/>
      <c r="Q1159" s="1198"/>
      <c r="R1159" s="1199"/>
      <c r="S1159" s="1240"/>
      <c r="T1159" s="1198"/>
      <c r="U1159" s="1198"/>
      <c r="V1159" s="1198"/>
      <c r="W1159" s="1198"/>
      <c r="X1159" s="1075"/>
      <c r="Y1159" s="497"/>
      <c r="Z1159" s="499"/>
      <c r="AA1159" s="499"/>
      <c r="AB1159" s="499"/>
      <c r="AC1159" s="498"/>
      <c r="AD1159" s="200"/>
      <c r="AE1159" s="201"/>
      <c r="AF1159" s="1197"/>
      <c r="AG1159" s="1197"/>
      <c r="AH1159" s="500"/>
      <c r="AI1159" s="1197"/>
      <c r="AJ1159" s="1198"/>
      <c r="AK1159" s="1198"/>
      <c r="AL1159" s="1198"/>
      <c r="AM1159" s="1198"/>
      <c r="AN1159" s="1200"/>
      <c r="AO1159" s="1202"/>
      <c r="AQ1159" s="934"/>
    </row>
    <row r="1160" spans="1:43" s="203" customFormat="1" ht="15" customHeight="1">
      <c r="A1160" s="1075"/>
      <c r="B1160" s="1199"/>
      <c r="C1160" s="1075"/>
      <c r="D1160" s="1075"/>
      <c r="E1160" s="1238"/>
      <c r="F1160" s="1238"/>
      <c r="G1160" s="1075"/>
      <c r="H1160" s="1075"/>
      <c r="I1160" s="1075"/>
      <c r="J1160" s="1075"/>
      <c r="K1160" s="1075"/>
      <c r="L1160" s="1075"/>
      <c r="M1160" s="1239"/>
      <c r="N1160" s="1206"/>
      <c r="O1160" s="1198"/>
      <c r="P1160" s="1198"/>
      <c r="Q1160" s="1198"/>
      <c r="R1160" s="1199"/>
      <c r="S1160" s="1240"/>
      <c r="T1160" s="1198"/>
      <c r="U1160" s="1198"/>
      <c r="V1160" s="1198"/>
      <c r="W1160" s="1198"/>
      <c r="X1160" s="1075"/>
      <c r="Y1160" s="1206" t="s">
        <v>1709</v>
      </c>
      <c r="Z1160" s="198">
        <v>87520792.560000002</v>
      </c>
      <c r="AA1160" s="198">
        <v>0</v>
      </c>
      <c r="AB1160" s="198">
        <f t="shared" si="90"/>
        <v>87520792.560000002</v>
      </c>
      <c r="AC1160" s="1136">
        <v>42732</v>
      </c>
      <c r="AD1160" s="200">
        <v>87520792.560000002</v>
      </c>
      <c r="AE1160" s="201" t="s">
        <v>137</v>
      </c>
      <c r="AF1160" s="1197"/>
      <c r="AG1160" s="1197"/>
      <c r="AH1160" s="202">
        <f t="shared" si="91"/>
        <v>0</v>
      </c>
      <c r="AI1160" s="1197"/>
      <c r="AJ1160" s="1198"/>
      <c r="AK1160" s="1198"/>
      <c r="AL1160" s="1198"/>
      <c r="AM1160" s="1198"/>
      <c r="AN1160" s="1200"/>
      <c r="AO1160" s="1202"/>
      <c r="AQ1160" s="934"/>
    </row>
    <row r="1161" spans="1:43" s="203" customFormat="1" ht="15" customHeight="1">
      <c r="A1161" s="1075"/>
      <c r="B1161" s="1199"/>
      <c r="C1161" s="1075"/>
      <c r="D1161" s="1075"/>
      <c r="E1161" s="1238"/>
      <c r="F1161" s="1238"/>
      <c r="G1161" s="1075"/>
      <c r="H1161" s="1075"/>
      <c r="I1161" s="1075"/>
      <c r="J1161" s="1075"/>
      <c r="K1161" s="1075"/>
      <c r="L1161" s="1075"/>
      <c r="M1161" s="1239"/>
      <c r="N1161" s="1206"/>
      <c r="O1161" s="1198"/>
      <c r="P1161" s="1198"/>
      <c r="Q1161" s="1198"/>
      <c r="R1161" s="1199"/>
      <c r="S1161" s="1240"/>
      <c r="T1161" s="1198"/>
      <c r="U1161" s="1198"/>
      <c r="V1161" s="1198"/>
      <c r="W1161" s="1198"/>
      <c r="X1161" s="1075"/>
      <c r="Y1161" s="1206"/>
      <c r="Z1161" s="198">
        <v>252067383.77000001</v>
      </c>
      <c r="AA1161" s="198">
        <v>0</v>
      </c>
      <c r="AB1161" s="198">
        <f t="shared" si="90"/>
        <v>252067383.77000001</v>
      </c>
      <c r="AC1161" s="1205"/>
      <c r="AD1161" s="200">
        <v>252067383.77000001</v>
      </c>
      <c r="AE1161" s="201" t="s">
        <v>7</v>
      </c>
      <c r="AF1161" s="1197"/>
      <c r="AG1161" s="1197"/>
      <c r="AH1161" s="202"/>
      <c r="AI1161" s="1197"/>
      <c r="AJ1161" s="1198"/>
      <c r="AK1161" s="1198"/>
      <c r="AL1161" s="1198"/>
      <c r="AM1161" s="1198"/>
      <c r="AN1161" s="1200"/>
      <c r="AO1161" s="1202"/>
      <c r="AQ1161" s="934"/>
    </row>
    <row r="1162" spans="1:43" s="203" customFormat="1" ht="15" customHeight="1">
      <c r="A1162" s="1075"/>
      <c r="B1162" s="1199"/>
      <c r="C1162" s="1075"/>
      <c r="D1162" s="1075"/>
      <c r="E1162" s="1238"/>
      <c r="F1162" s="1238"/>
      <c r="G1162" s="1075"/>
      <c r="H1162" s="1075"/>
      <c r="I1162" s="1075"/>
      <c r="J1162" s="1075"/>
      <c r="K1162" s="1075"/>
      <c r="L1162" s="1075"/>
      <c r="M1162" s="1239"/>
      <c r="N1162" s="1206"/>
      <c r="O1162" s="1198"/>
      <c r="P1162" s="1198"/>
      <c r="Q1162" s="1198"/>
      <c r="R1162" s="1199"/>
      <c r="S1162" s="1240"/>
      <c r="T1162" s="1198"/>
      <c r="U1162" s="1198"/>
      <c r="V1162" s="1198"/>
      <c r="W1162" s="1198"/>
      <c r="X1162" s="1075"/>
      <c r="Y1162" s="1206"/>
      <c r="Z1162" s="198"/>
      <c r="AA1162" s="198">
        <v>0</v>
      </c>
      <c r="AB1162" s="198">
        <f t="shared" si="90"/>
        <v>0</v>
      </c>
      <c r="AC1162" s="1199"/>
      <c r="AD1162" s="200"/>
      <c r="AE1162" s="201"/>
      <c r="AF1162" s="1197"/>
      <c r="AG1162" s="1197"/>
      <c r="AH1162" s="202"/>
      <c r="AI1162" s="1197"/>
      <c r="AJ1162" s="1198"/>
      <c r="AK1162" s="1198"/>
      <c r="AL1162" s="1198"/>
      <c r="AM1162" s="1198"/>
      <c r="AN1162" s="1200"/>
      <c r="AO1162" s="1202"/>
      <c r="AQ1162" s="934"/>
    </row>
    <row r="1163" spans="1:43" s="203" customFormat="1" ht="15" customHeight="1">
      <c r="A1163" s="1075"/>
      <c r="B1163" s="1199"/>
      <c r="C1163" s="1075"/>
      <c r="D1163" s="1075"/>
      <c r="E1163" s="1238"/>
      <c r="F1163" s="1238"/>
      <c r="G1163" s="1075"/>
      <c r="H1163" s="1075"/>
      <c r="I1163" s="1075"/>
      <c r="J1163" s="1075"/>
      <c r="K1163" s="1075"/>
      <c r="L1163" s="1075"/>
      <c r="M1163" s="1239"/>
      <c r="N1163" s="1206"/>
      <c r="O1163" s="1198"/>
      <c r="P1163" s="1198"/>
      <c r="Q1163" s="1198"/>
      <c r="R1163" s="1199"/>
      <c r="S1163" s="1240"/>
      <c r="T1163" s="1198"/>
      <c r="U1163" s="1198"/>
      <c r="V1163" s="1198"/>
      <c r="W1163" s="1198"/>
      <c r="X1163" s="1075"/>
      <c r="Y1163" s="1206"/>
      <c r="Z1163" s="198"/>
      <c r="AA1163" s="198">
        <v>0</v>
      </c>
      <c r="AB1163" s="198">
        <f t="shared" si="90"/>
        <v>0</v>
      </c>
      <c r="AC1163" s="1199"/>
      <c r="AD1163" s="200"/>
      <c r="AE1163" s="201"/>
      <c r="AF1163" s="1197"/>
      <c r="AG1163" s="1197"/>
      <c r="AH1163" s="202">
        <f t="shared" si="91"/>
        <v>0</v>
      </c>
      <c r="AI1163" s="1197"/>
      <c r="AJ1163" s="1198"/>
      <c r="AK1163" s="1198"/>
      <c r="AL1163" s="1198"/>
      <c r="AM1163" s="1198"/>
      <c r="AN1163" s="1200"/>
      <c r="AO1163" s="1202"/>
      <c r="AQ1163" s="934"/>
    </row>
    <row r="1164" spans="1:43" s="203" customFormat="1" ht="15" customHeight="1">
      <c r="A1164" s="1075"/>
      <c r="B1164" s="1199"/>
      <c r="C1164" s="1075"/>
      <c r="D1164" s="1075"/>
      <c r="E1164" s="1238"/>
      <c r="F1164" s="1238"/>
      <c r="G1164" s="1075"/>
      <c r="H1164" s="1075"/>
      <c r="I1164" s="1075"/>
      <c r="J1164" s="1075"/>
      <c r="K1164" s="1075"/>
      <c r="L1164" s="1075"/>
      <c r="M1164" s="1239">
        <v>3</v>
      </c>
      <c r="N1164" s="1206" t="s">
        <v>162</v>
      </c>
      <c r="O1164" s="1198">
        <v>317939042</v>
      </c>
      <c r="P1164" s="1198">
        <v>317939042</v>
      </c>
      <c r="Q1164" s="1198"/>
      <c r="R1164" s="1199">
        <v>41522</v>
      </c>
      <c r="S1164" s="1240">
        <f>T1164</f>
        <v>317939042</v>
      </c>
      <c r="T1164" s="1240">
        <v>317939042</v>
      </c>
      <c r="U1164" s="1240">
        <f>O1164-T1164</f>
        <v>0</v>
      </c>
      <c r="V1164" s="1240">
        <v>317939042</v>
      </c>
      <c r="W1164" s="1198"/>
      <c r="X1164" s="1075"/>
      <c r="Y1164" s="197" t="s">
        <v>1705</v>
      </c>
      <c r="Z1164" s="198">
        <v>88835593</v>
      </c>
      <c r="AA1164" s="198">
        <v>0</v>
      </c>
      <c r="AB1164" s="198">
        <f t="shared" ref="AB1164:AB1176" si="92">Z1164+AA1164</f>
        <v>88835593</v>
      </c>
      <c r="AC1164" s="199">
        <v>41961</v>
      </c>
      <c r="AD1164" s="200">
        <v>88835593</v>
      </c>
      <c r="AE1164" s="201" t="s">
        <v>162</v>
      </c>
      <c r="AF1164" s="1197">
        <f>SUM(AD1164:AD1169)</f>
        <v>317939042.00000006</v>
      </c>
      <c r="AG1164" s="1197"/>
      <c r="AH1164" s="202">
        <f>AB1164-AD1164</f>
        <v>0</v>
      </c>
      <c r="AI1164" s="1197"/>
      <c r="AJ1164" s="1198"/>
      <c r="AK1164" s="1198"/>
      <c r="AL1164" s="1198"/>
      <c r="AM1164" s="1198"/>
      <c r="AN1164" s="1200"/>
      <c r="AO1164" s="1202"/>
      <c r="AQ1164" s="934"/>
    </row>
    <row r="1165" spans="1:43" s="203" customFormat="1" ht="15" customHeight="1">
      <c r="A1165" s="1075"/>
      <c r="B1165" s="1199"/>
      <c r="C1165" s="1075"/>
      <c r="D1165" s="1075"/>
      <c r="E1165" s="1238"/>
      <c r="F1165" s="1238"/>
      <c r="G1165" s="1075"/>
      <c r="H1165" s="1075"/>
      <c r="I1165" s="1075"/>
      <c r="J1165" s="1075"/>
      <c r="K1165" s="1075"/>
      <c r="L1165" s="1075"/>
      <c r="M1165" s="1239"/>
      <c r="N1165" s="1206"/>
      <c r="O1165" s="1198"/>
      <c r="P1165" s="1198"/>
      <c r="Q1165" s="1198"/>
      <c r="R1165" s="1199"/>
      <c r="S1165" s="1240"/>
      <c r="T1165" s="1240"/>
      <c r="U1165" s="1240"/>
      <c r="V1165" s="1240"/>
      <c r="W1165" s="1198"/>
      <c r="X1165" s="1075"/>
      <c r="Y1165" s="197" t="s">
        <v>1706</v>
      </c>
      <c r="Z1165" s="198">
        <v>43928573.399999999</v>
      </c>
      <c r="AA1165" s="198">
        <v>0</v>
      </c>
      <c r="AB1165" s="198">
        <f t="shared" si="92"/>
        <v>43928573.399999999</v>
      </c>
      <c r="AC1165" s="199">
        <v>42026</v>
      </c>
      <c r="AD1165" s="200">
        <v>43928573.399999999</v>
      </c>
      <c r="AE1165" s="201" t="s">
        <v>162</v>
      </c>
      <c r="AF1165" s="1197"/>
      <c r="AG1165" s="1197"/>
      <c r="AH1165" s="202">
        <f t="shared" ref="AH1165:AH1175" si="93">AB1165-AD1165</f>
        <v>0</v>
      </c>
      <c r="AI1165" s="1197"/>
      <c r="AJ1165" s="1198"/>
      <c r="AK1165" s="1198"/>
      <c r="AL1165" s="1198"/>
      <c r="AM1165" s="1198"/>
      <c r="AN1165" s="1200"/>
      <c r="AO1165" s="1202"/>
      <c r="AQ1165" s="934"/>
    </row>
    <row r="1166" spans="1:43" s="203" customFormat="1" ht="15" customHeight="1">
      <c r="A1166" s="1075"/>
      <c r="B1166" s="1199"/>
      <c r="C1166" s="1075"/>
      <c r="D1166" s="1075"/>
      <c r="E1166" s="1238"/>
      <c r="F1166" s="1238"/>
      <c r="G1166" s="1075"/>
      <c r="H1166" s="1075"/>
      <c r="I1166" s="1075"/>
      <c r="J1166" s="1075"/>
      <c r="K1166" s="1075"/>
      <c r="L1166" s="1075"/>
      <c r="M1166" s="1239"/>
      <c r="N1166" s="1206"/>
      <c r="O1166" s="1198"/>
      <c r="P1166" s="1198"/>
      <c r="Q1166" s="1198"/>
      <c r="R1166" s="1199"/>
      <c r="S1166" s="1240"/>
      <c r="T1166" s="1240"/>
      <c r="U1166" s="1240"/>
      <c r="V1166" s="1240"/>
      <c r="W1166" s="1198"/>
      <c r="X1166" s="1075"/>
      <c r="Y1166" s="197" t="s">
        <v>1707</v>
      </c>
      <c r="Z1166" s="198">
        <v>76422452.950000003</v>
      </c>
      <c r="AA1166" s="198">
        <v>0</v>
      </c>
      <c r="AB1166" s="198">
        <f t="shared" si="92"/>
        <v>76422452.950000003</v>
      </c>
      <c r="AC1166" s="199">
        <v>42342</v>
      </c>
      <c r="AD1166" s="200">
        <v>76422452.950000003</v>
      </c>
      <c r="AE1166" s="201" t="s">
        <v>162</v>
      </c>
      <c r="AF1166" s="1197"/>
      <c r="AG1166" s="1197"/>
      <c r="AH1166" s="202">
        <f t="shared" si="93"/>
        <v>0</v>
      </c>
      <c r="AI1166" s="1197"/>
      <c r="AJ1166" s="1198"/>
      <c r="AK1166" s="1198"/>
      <c r="AL1166" s="1198"/>
      <c r="AM1166" s="1198"/>
      <c r="AN1166" s="1200"/>
      <c r="AO1166" s="1202"/>
      <c r="AQ1166" s="934"/>
    </row>
    <row r="1167" spans="1:43" s="203" customFormat="1" ht="15" customHeight="1">
      <c r="A1167" s="1075"/>
      <c r="B1167" s="1199"/>
      <c r="C1167" s="1075"/>
      <c r="D1167" s="1075"/>
      <c r="E1167" s="1238"/>
      <c r="F1167" s="1238"/>
      <c r="G1167" s="1075"/>
      <c r="H1167" s="1075"/>
      <c r="I1167" s="1075"/>
      <c r="J1167" s="1075"/>
      <c r="K1167" s="1075"/>
      <c r="L1167" s="1075"/>
      <c r="M1167" s="1239"/>
      <c r="N1167" s="1206"/>
      <c r="O1167" s="1198"/>
      <c r="P1167" s="1198"/>
      <c r="Q1167" s="1198"/>
      <c r="R1167" s="1199"/>
      <c r="S1167" s="1240"/>
      <c r="T1167" s="1240"/>
      <c r="U1167" s="1240"/>
      <c r="V1167" s="1240"/>
      <c r="W1167" s="1198"/>
      <c r="X1167" s="1075"/>
      <c r="Y1167" s="197" t="s">
        <v>1708</v>
      </c>
      <c r="Z1167" s="198">
        <v>54843034.939999998</v>
      </c>
      <c r="AA1167" s="198">
        <v>0</v>
      </c>
      <c r="AB1167" s="198">
        <f t="shared" si="92"/>
        <v>54843034.939999998</v>
      </c>
      <c r="AC1167" s="199">
        <v>42367</v>
      </c>
      <c r="AD1167" s="200">
        <v>54843034.939999998</v>
      </c>
      <c r="AE1167" s="201" t="s">
        <v>162</v>
      </c>
      <c r="AF1167" s="1197"/>
      <c r="AG1167" s="1197"/>
      <c r="AH1167" s="202">
        <f t="shared" si="93"/>
        <v>0</v>
      </c>
      <c r="AI1167" s="1197"/>
      <c r="AJ1167" s="1198"/>
      <c r="AK1167" s="1198"/>
      <c r="AL1167" s="1198"/>
      <c r="AM1167" s="1198"/>
      <c r="AN1167" s="1200"/>
      <c r="AO1167" s="1202"/>
      <c r="AQ1167" s="934"/>
    </row>
    <row r="1168" spans="1:43" s="203" customFormat="1" ht="15" customHeight="1">
      <c r="A1168" s="1075"/>
      <c r="B1168" s="1199"/>
      <c r="C1168" s="1075"/>
      <c r="D1168" s="1075"/>
      <c r="E1168" s="1238"/>
      <c r="F1168" s="1238"/>
      <c r="G1168" s="1075"/>
      <c r="H1168" s="1075"/>
      <c r="I1168" s="1075"/>
      <c r="J1168" s="1075"/>
      <c r="K1168" s="1075"/>
      <c r="L1168" s="1075"/>
      <c r="M1168" s="1239"/>
      <c r="N1168" s="1206"/>
      <c r="O1168" s="1198"/>
      <c r="P1168" s="1198"/>
      <c r="Q1168" s="1198"/>
      <c r="R1168" s="1199"/>
      <c r="S1168" s="1240"/>
      <c r="T1168" s="1240"/>
      <c r="U1168" s="1240"/>
      <c r="V1168" s="1240"/>
      <c r="W1168" s="1198"/>
      <c r="X1168" s="1075"/>
      <c r="Y1168" s="197" t="s">
        <v>1709</v>
      </c>
      <c r="Z1168" s="198">
        <v>49280632.979999997</v>
      </c>
      <c r="AA1168" s="198">
        <v>0</v>
      </c>
      <c r="AB1168" s="198">
        <f t="shared" si="92"/>
        <v>49280632.979999997</v>
      </c>
      <c r="AC1168" s="199">
        <v>42732</v>
      </c>
      <c r="AD1168" s="200">
        <v>49280632.979999997</v>
      </c>
      <c r="AE1168" s="201" t="s">
        <v>162</v>
      </c>
      <c r="AF1168" s="1197"/>
      <c r="AG1168" s="1197"/>
      <c r="AH1168" s="202">
        <f t="shared" si="93"/>
        <v>0</v>
      </c>
      <c r="AI1168" s="1197"/>
      <c r="AJ1168" s="1198"/>
      <c r="AK1168" s="1198"/>
      <c r="AL1168" s="1198"/>
      <c r="AM1168" s="1198"/>
      <c r="AN1168" s="1200"/>
      <c r="AO1168" s="1202"/>
      <c r="AQ1168" s="934"/>
    </row>
    <row r="1169" spans="1:43" s="203" customFormat="1" ht="15" customHeight="1">
      <c r="A1169" s="1075"/>
      <c r="B1169" s="1199"/>
      <c r="C1169" s="1075"/>
      <c r="D1169" s="1075"/>
      <c r="E1169" s="1238"/>
      <c r="F1169" s="1238"/>
      <c r="G1169" s="1075"/>
      <c r="H1169" s="1075"/>
      <c r="I1169" s="1075"/>
      <c r="J1169" s="1075"/>
      <c r="K1169" s="1075"/>
      <c r="L1169" s="1075"/>
      <c r="M1169" s="1239"/>
      <c r="N1169" s="1206"/>
      <c r="O1169" s="1198"/>
      <c r="P1169" s="1198"/>
      <c r="Q1169" s="1198"/>
      <c r="R1169" s="1199"/>
      <c r="S1169" s="1240"/>
      <c r="T1169" s="1240"/>
      <c r="U1169" s="1240"/>
      <c r="V1169" s="1240"/>
      <c r="W1169" s="1198"/>
      <c r="X1169" s="1075"/>
      <c r="Y1169" s="197" t="s">
        <v>1710</v>
      </c>
      <c r="Z1169" s="198">
        <v>4628754.7300000004</v>
      </c>
      <c r="AA1169" s="198">
        <v>0</v>
      </c>
      <c r="AB1169" s="198">
        <f t="shared" si="92"/>
        <v>4628754.7300000004</v>
      </c>
      <c r="AC1169" s="199">
        <v>43005</v>
      </c>
      <c r="AD1169" s="200">
        <v>4628754.7300000004</v>
      </c>
      <c r="AE1169" s="201" t="s">
        <v>162</v>
      </c>
      <c r="AF1169" s="1197"/>
      <c r="AG1169" s="1197"/>
      <c r="AH1169" s="202">
        <f t="shared" si="93"/>
        <v>0</v>
      </c>
      <c r="AI1169" s="1197"/>
      <c r="AJ1169" s="1198"/>
      <c r="AK1169" s="1198"/>
      <c r="AL1169" s="1198"/>
      <c r="AM1169" s="1198"/>
      <c r="AN1169" s="1200"/>
      <c r="AO1169" s="1202"/>
      <c r="AQ1169" s="934"/>
    </row>
    <row r="1170" spans="1:43" s="203" customFormat="1" ht="15" customHeight="1">
      <c r="A1170" s="1075"/>
      <c r="B1170" s="1199"/>
      <c r="C1170" s="1075"/>
      <c r="D1170" s="1075"/>
      <c r="E1170" s="1238"/>
      <c r="F1170" s="1238"/>
      <c r="G1170" s="1075"/>
      <c r="H1170" s="1075"/>
      <c r="I1170" s="1075"/>
      <c r="J1170" s="1075" t="s">
        <v>67</v>
      </c>
      <c r="K1170" s="1075"/>
      <c r="L1170" s="1075"/>
      <c r="M1170" s="1239">
        <v>341</v>
      </c>
      <c r="N1170" s="1206" t="s">
        <v>137</v>
      </c>
      <c r="O1170" s="1198">
        <v>549510028</v>
      </c>
      <c r="P1170" s="1198">
        <v>549510028</v>
      </c>
      <c r="Q1170" s="1198"/>
      <c r="R1170" s="1199">
        <v>42611</v>
      </c>
      <c r="S1170" s="1240">
        <f>T1170</f>
        <v>549510028</v>
      </c>
      <c r="T1170" s="1240">
        <v>549510028</v>
      </c>
      <c r="U1170" s="1240">
        <f>O1170-T1170</f>
        <v>0</v>
      </c>
      <c r="V1170" s="1240">
        <v>549510028</v>
      </c>
      <c r="W1170" s="1198"/>
      <c r="X1170" s="1075"/>
      <c r="Y1170" s="197" t="s">
        <v>1709</v>
      </c>
      <c r="Z1170" s="198">
        <v>100000000</v>
      </c>
      <c r="AA1170" s="198">
        <v>0</v>
      </c>
      <c r="AB1170" s="198">
        <f t="shared" si="92"/>
        <v>100000000</v>
      </c>
      <c r="AC1170" s="199">
        <v>42732</v>
      </c>
      <c r="AD1170" s="200">
        <v>100000000</v>
      </c>
      <c r="AE1170" s="201" t="s">
        <v>137</v>
      </c>
      <c r="AF1170" s="1197">
        <f>SUM(AD1170:AD1172)</f>
        <v>310752673.96000004</v>
      </c>
      <c r="AG1170" s="1197"/>
      <c r="AH1170" s="202">
        <f t="shared" si="93"/>
        <v>0</v>
      </c>
      <c r="AI1170" s="1197"/>
      <c r="AJ1170" s="1198"/>
      <c r="AK1170" s="1198"/>
      <c r="AL1170" s="1198"/>
      <c r="AM1170" s="1198"/>
      <c r="AN1170" s="1200"/>
      <c r="AO1170" s="1202"/>
      <c r="AQ1170" s="934"/>
    </row>
    <row r="1171" spans="1:43" s="203" customFormat="1" ht="15" customHeight="1">
      <c r="A1171" s="1075"/>
      <c r="B1171" s="1199"/>
      <c r="C1171" s="1075"/>
      <c r="D1171" s="1075"/>
      <c r="E1171" s="1238"/>
      <c r="F1171" s="1238"/>
      <c r="G1171" s="1075"/>
      <c r="H1171" s="1075"/>
      <c r="I1171" s="1075"/>
      <c r="J1171" s="1075"/>
      <c r="K1171" s="1075"/>
      <c r="L1171" s="1075"/>
      <c r="M1171" s="1239"/>
      <c r="N1171" s="1206"/>
      <c r="O1171" s="1198"/>
      <c r="P1171" s="1198"/>
      <c r="Q1171" s="1198"/>
      <c r="R1171" s="1199"/>
      <c r="S1171" s="1240"/>
      <c r="T1171" s="1240"/>
      <c r="U1171" s="1240"/>
      <c r="V1171" s="1240"/>
      <c r="W1171" s="1198"/>
      <c r="X1171" s="1075"/>
      <c r="Y1171" s="197" t="s">
        <v>1710</v>
      </c>
      <c r="Z1171" s="198">
        <v>210752673.96000001</v>
      </c>
      <c r="AA1171" s="198">
        <v>0</v>
      </c>
      <c r="AB1171" s="198">
        <f t="shared" si="92"/>
        <v>210752673.96000001</v>
      </c>
      <c r="AC1171" s="199">
        <v>43005</v>
      </c>
      <c r="AD1171" s="200">
        <v>210752673.96000001</v>
      </c>
      <c r="AE1171" s="201" t="s">
        <v>137</v>
      </c>
      <c r="AF1171" s="1197"/>
      <c r="AG1171" s="1197"/>
      <c r="AH1171" s="202">
        <f t="shared" si="93"/>
        <v>0</v>
      </c>
      <c r="AI1171" s="1197"/>
      <c r="AJ1171" s="1198"/>
      <c r="AK1171" s="1198"/>
      <c r="AL1171" s="1198"/>
      <c r="AM1171" s="1198"/>
      <c r="AN1171" s="1200"/>
      <c r="AO1171" s="1202"/>
      <c r="AQ1171" s="934"/>
    </row>
    <row r="1172" spans="1:43" s="203" customFormat="1" ht="15" customHeight="1">
      <c r="A1172" s="1075"/>
      <c r="B1172" s="1199"/>
      <c r="C1172" s="1075"/>
      <c r="D1172" s="1075"/>
      <c r="E1172" s="1238"/>
      <c r="F1172" s="1238"/>
      <c r="G1172" s="1075"/>
      <c r="H1172" s="1075"/>
      <c r="I1172" s="1075"/>
      <c r="J1172" s="1075"/>
      <c r="K1172" s="1075"/>
      <c r="L1172" s="1075"/>
      <c r="M1172" s="1239"/>
      <c r="N1172" s="1206"/>
      <c r="O1172" s="1198"/>
      <c r="P1172" s="1198"/>
      <c r="Q1172" s="1198"/>
      <c r="R1172" s="1199"/>
      <c r="S1172" s="1240"/>
      <c r="T1172" s="1240"/>
      <c r="U1172" s="1240"/>
      <c r="V1172" s="1240"/>
      <c r="W1172" s="1198"/>
      <c r="X1172" s="1075"/>
      <c r="Y1172" s="197"/>
      <c r="Z1172" s="198"/>
      <c r="AA1172" s="198">
        <v>0</v>
      </c>
      <c r="AB1172" s="198">
        <f t="shared" si="92"/>
        <v>0</v>
      </c>
      <c r="AC1172" s="199"/>
      <c r="AD1172" s="200"/>
      <c r="AE1172" s="201"/>
      <c r="AF1172" s="1197"/>
      <c r="AG1172" s="1197"/>
      <c r="AH1172" s="202">
        <f t="shared" si="93"/>
        <v>0</v>
      </c>
      <c r="AI1172" s="1197"/>
      <c r="AJ1172" s="1198"/>
      <c r="AK1172" s="1198"/>
      <c r="AL1172" s="1198"/>
      <c r="AM1172" s="1198"/>
      <c r="AN1172" s="1200"/>
      <c r="AO1172" s="1202"/>
      <c r="AQ1172" s="934"/>
    </row>
    <row r="1173" spans="1:43" s="203" customFormat="1" ht="15" customHeight="1">
      <c r="A1173" s="1075"/>
      <c r="B1173" s="1199"/>
      <c r="C1173" s="1075"/>
      <c r="D1173" s="1075"/>
      <c r="E1173" s="1238"/>
      <c r="F1173" s="1238"/>
      <c r="G1173" s="1075"/>
      <c r="H1173" s="1075"/>
      <c r="I1173" s="1075"/>
      <c r="J1173" s="1075"/>
      <c r="K1173" s="1075"/>
      <c r="L1173" s="1075"/>
      <c r="M1173" s="1239">
        <v>12</v>
      </c>
      <c r="N1173" s="1206" t="s">
        <v>162</v>
      </c>
      <c r="O1173" s="1198">
        <v>650000000</v>
      </c>
      <c r="P1173" s="1198">
        <v>650000000</v>
      </c>
      <c r="Q1173" s="1198"/>
      <c r="R1173" s="1199">
        <v>42611</v>
      </c>
      <c r="S1173" s="1198">
        <f>T1173</f>
        <v>650000000</v>
      </c>
      <c r="T1173" s="1198">
        <v>650000000</v>
      </c>
      <c r="U1173" s="1198">
        <f>O1173-T1173</f>
        <v>0</v>
      </c>
      <c r="V1173" s="1198">
        <f>T1173</f>
        <v>650000000</v>
      </c>
      <c r="W1173" s="1198"/>
      <c r="X1173" s="1075"/>
      <c r="Y1173" s="197" t="s">
        <v>1709</v>
      </c>
      <c r="Z1173" s="198">
        <v>292318451.69</v>
      </c>
      <c r="AA1173" s="198">
        <v>0</v>
      </c>
      <c r="AB1173" s="198">
        <f t="shared" si="92"/>
        <v>292318451.69</v>
      </c>
      <c r="AC1173" s="199">
        <v>42732</v>
      </c>
      <c r="AD1173" s="200">
        <v>292318451.69</v>
      </c>
      <c r="AE1173" s="201" t="s">
        <v>162</v>
      </c>
      <c r="AF1173" s="1197">
        <f>SUM(AD1173:AD1175)</f>
        <v>502280269</v>
      </c>
      <c r="AG1173" s="1197"/>
      <c r="AH1173" s="202">
        <f t="shared" si="93"/>
        <v>0</v>
      </c>
      <c r="AI1173" s="1197"/>
      <c r="AJ1173" s="1198"/>
      <c r="AK1173" s="1198"/>
      <c r="AL1173" s="1198"/>
      <c r="AM1173" s="1198"/>
      <c r="AN1173" s="1200"/>
      <c r="AO1173" s="1202"/>
      <c r="AQ1173" s="934"/>
    </row>
    <row r="1174" spans="1:43" s="203" customFormat="1" ht="15" customHeight="1">
      <c r="A1174" s="1075"/>
      <c r="B1174" s="1199"/>
      <c r="C1174" s="1075"/>
      <c r="D1174" s="1075"/>
      <c r="E1174" s="1238"/>
      <c r="F1174" s="1238"/>
      <c r="G1174" s="1075"/>
      <c r="H1174" s="1075"/>
      <c r="I1174" s="1075"/>
      <c r="J1174" s="1075"/>
      <c r="K1174" s="1075"/>
      <c r="L1174" s="1075"/>
      <c r="M1174" s="1239"/>
      <c r="N1174" s="1206"/>
      <c r="O1174" s="1198"/>
      <c r="P1174" s="1198"/>
      <c r="Q1174" s="1198"/>
      <c r="R1174" s="1199"/>
      <c r="S1174" s="1198"/>
      <c r="T1174" s="1198"/>
      <c r="U1174" s="1198"/>
      <c r="V1174" s="1198"/>
      <c r="W1174" s="1198"/>
      <c r="X1174" s="1075"/>
      <c r="Y1174" s="197" t="s">
        <v>1710</v>
      </c>
      <c r="Z1174" s="198">
        <v>209961817.31</v>
      </c>
      <c r="AA1174" s="198">
        <v>0</v>
      </c>
      <c r="AB1174" s="198">
        <f t="shared" si="92"/>
        <v>209961817.31</v>
      </c>
      <c r="AC1174" s="199">
        <v>43005</v>
      </c>
      <c r="AD1174" s="200">
        <v>209961817.31</v>
      </c>
      <c r="AE1174" s="201" t="s">
        <v>162</v>
      </c>
      <c r="AF1174" s="1197"/>
      <c r="AG1174" s="1197"/>
      <c r="AH1174" s="202">
        <f t="shared" si="93"/>
        <v>0</v>
      </c>
      <c r="AI1174" s="1197"/>
      <c r="AJ1174" s="1198"/>
      <c r="AK1174" s="1198"/>
      <c r="AL1174" s="1198"/>
      <c r="AM1174" s="1198"/>
      <c r="AN1174" s="1200"/>
      <c r="AO1174" s="1202"/>
      <c r="AQ1174" s="934"/>
    </row>
    <row r="1175" spans="1:43" s="203" customFormat="1" ht="15" customHeight="1">
      <c r="A1175" s="1075"/>
      <c r="B1175" s="1199"/>
      <c r="C1175" s="1075"/>
      <c r="D1175" s="1075"/>
      <c r="E1175" s="1238"/>
      <c r="F1175" s="1238"/>
      <c r="G1175" s="1075"/>
      <c r="H1175" s="1075"/>
      <c r="I1175" s="1075"/>
      <c r="J1175" s="1075"/>
      <c r="K1175" s="1075"/>
      <c r="L1175" s="1075"/>
      <c r="M1175" s="1239"/>
      <c r="N1175" s="1206"/>
      <c r="O1175" s="1198"/>
      <c r="P1175" s="1198"/>
      <c r="Q1175" s="1198"/>
      <c r="R1175" s="1199"/>
      <c r="S1175" s="1198"/>
      <c r="T1175" s="1198"/>
      <c r="U1175" s="1198"/>
      <c r="V1175" s="1198"/>
      <c r="W1175" s="1198"/>
      <c r="X1175" s="1075"/>
      <c r="Y1175" s="197"/>
      <c r="Z1175" s="198"/>
      <c r="AA1175" s="198">
        <v>0</v>
      </c>
      <c r="AB1175" s="198">
        <f t="shared" si="92"/>
        <v>0</v>
      </c>
      <c r="AC1175" s="199"/>
      <c r="AD1175" s="200"/>
      <c r="AE1175" s="201"/>
      <c r="AF1175" s="1197"/>
      <c r="AG1175" s="1197"/>
      <c r="AH1175" s="202">
        <f t="shared" si="93"/>
        <v>0</v>
      </c>
      <c r="AI1175" s="1197"/>
      <c r="AJ1175" s="1198"/>
      <c r="AK1175" s="1198"/>
      <c r="AL1175" s="1198"/>
      <c r="AM1175" s="1198"/>
      <c r="AN1175" s="1200"/>
      <c r="AO1175" s="1202"/>
      <c r="AQ1175" s="934"/>
    </row>
    <row r="1176" spans="1:43" ht="15" customHeight="1">
      <c r="A1176" s="1075" t="s">
        <v>1684</v>
      </c>
      <c r="B1176" s="1171">
        <v>41603</v>
      </c>
      <c r="C1176" s="1076" t="s">
        <v>24</v>
      </c>
      <c r="D1176" s="1076" t="s">
        <v>1685</v>
      </c>
      <c r="E1176" s="1208">
        <v>900660841</v>
      </c>
      <c r="F1176" s="1208">
        <v>3</v>
      </c>
      <c r="G1176" s="1076" t="s">
        <v>1686</v>
      </c>
      <c r="H1176" s="1076" t="s">
        <v>71</v>
      </c>
      <c r="I1176" s="1076" t="s">
        <v>1221</v>
      </c>
      <c r="J1176" s="1076" t="s">
        <v>66</v>
      </c>
      <c r="K1176" s="1076" t="s">
        <v>50</v>
      </c>
      <c r="L1176" s="1076" t="s">
        <v>1695</v>
      </c>
      <c r="M1176" s="1209">
        <v>283</v>
      </c>
      <c r="N1176" s="1123" t="s">
        <v>7</v>
      </c>
      <c r="O1176" s="1119">
        <v>1060540121</v>
      </c>
      <c r="P1176" s="1119">
        <f>O1176+O1181</f>
        <v>1060540121</v>
      </c>
      <c r="Q1176" s="1119">
        <f>P1176+P1184+P1188</f>
        <v>4617420117</v>
      </c>
      <c r="R1176" s="1171">
        <v>41449</v>
      </c>
      <c r="S1176" s="1196">
        <f>T1176+T1181</f>
        <v>1060540121</v>
      </c>
      <c r="T1176" s="1196">
        <v>1060540121</v>
      </c>
      <c r="U1176" s="1196">
        <f>O1176-T1176</f>
        <v>0</v>
      </c>
      <c r="V1176" s="1084">
        <v>1048502322.5</v>
      </c>
      <c r="W1176" s="1119">
        <f>V1176+V1180+V1184+V1188</f>
        <v>5645082978</v>
      </c>
      <c r="X1176" s="1076" t="s">
        <v>1687</v>
      </c>
      <c r="Y1176" s="1123" t="s">
        <v>1688</v>
      </c>
      <c r="Z1176" s="109">
        <v>354402897.62</v>
      </c>
      <c r="AA1176" s="109">
        <v>0</v>
      </c>
      <c r="AB1176" s="109">
        <f t="shared" si="92"/>
        <v>354402897.62</v>
      </c>
      <c r="AC1176" s="1171">
        <v>41864</v>
      </c>
      <c r="AD1176" s="119">
        <v>354402897.62</v>
      </c>
      <c r="AE1176" s="98" t="s">
        <v>7</v>
      </c>
      <c r="AF1176" s="1084">
        <f>SUM(AD1176:AD1183)</f>
        <v>2107559302.5400002</v>
      </c>
      <c r="AG1176" s="1084">
        <f>AF1176+AF1184+AF1188</f>
        <v>5069523127.8000002</v>
      </c>
      <c r="AH1176" s="111">
        <f>AB1176-AD1176</f>
        <v>0</v>
      </c>
      <c r="AI1176" s="1084">
        <f>O1176-AD1176-AD1178-AD1180-AD1182</f>
        <v>12037798.49999997</v>
      </c>
      <c r="AJ1176" s="1119">
        <f>SUM(Z1176:Z1190)-SUM(AD1176:AD1190)</f>
        <v>575450359</v>
      </c>
      <c r="AK1176" s="1119">
        <f>O1176-V1176</f>
        <v>12037798.5</v>
      </c>
      <c r="AL1176" s="1119">
        <f>(V1176+V1180)-SUM(Z1176:Z1183)</f>
        <v>0</v>
      </c>
      <c r="AM1176" s="1119"/>
      <c r="AN1176" s="1203" t="s">
        <v>1696</v>
      </c>
      <c r="AO1176" s="1204" t="s">
        <v>1697</v>
      </c>
    </row>
    <row r="1177" spans="1:43" ht="15" customHeight="1">
      <c r="A1177" s="1075"/>
      <c r="B1177" s="1171"/>
      <c r="C1177" s="1076"/>
      <c r="D1177" s="1076"/>
      <c r="E1177" s="1208"/>
      <c r="F1177" s="1208"/>
      <c r="G1177" s="1076"/>
      <c r="H1177" s="1076"/>
      <c r="I1177" s="1076"/>
      <c r="J1177" s="1076"/>
      <c r="K1177" s="1076"/>
      <c r="L1177" s="1076"/>
      <c r="M1177" s="1209"/>
      <c r="N1177" s="1123"/>
      <c r="O1177" s="1119"/>
      <c r="P1177" s="1119"/>
      <c r="Q1177" s="1119"/>
      <c r="R1177" s="1171"/>
      <c r="S1177" s="1196"/>
      <c r="T1177" s="1196"/>
      <c r="U1177" s="1196"/>
      <c r="V1177" s="1084"/>
      <c r="W1177" s="1119"/>
      <c r="X1177" s="1076"/>
      <c r="Y1177" s="1123"/>
      <c r="Z1177" s="109">
        <v>357970463.61000001</v>
      </c>
      <c r="AA1177" s="109">
        <v>0</v>
      </c>
      <c r="AB1177" s="109">
        <f t="shared" ref="AB1177:AB1183" si="94">Z1177+AA1177</f>
        <v>357970463.61000001</v>
      </c>
      <c r="AC1177" s="1171"/>
      <c r="AD1177" s="119">
        <v>357970463.61000001</v>
      </c>
      <c r="AE1177" s="98" t="s">
        <v>137</v>
      </c>
      <c r="AF1177" s="1084"/>
      <c r="AG1177" s="1084"/>
      <c r="AH1177" s="111">
        <f t="shared" ref="AH1177:AH1183" si="95">AB1177-AD1177</f>
        <v>0</v>
      </c>
      <c r="AI1177" s="1084"/>
      <c r="AJ1177" s="1119"/>
      <c r="AK1177" s="1119"/>
      <c r="AL1177" s="1119"/>
      <c r="AM1177" s="1119"/>
      <c r="AN1177" s="1203"/>
      <c r="AO1177" s="1204"/>
    </row>
    <row r="1178" spans="1:43" ht="15" customHeight="1">
      <c r="A1178" s="1075"/>
      <c r="B1178" s="1171"/>
      <c r="C1178" s="1076"/>
      <c r="D1178" s="1076"/>
      <c r="E1178" s="1208"/>
      <c r="F1178" s="1208"/>
      <c r="G1178" s="1076"/>
      <c r="H1178" s="1076"/>
      <c r="I1178" s="1076"/>
      <c r="J1178" s="1076"/>
      <c r="K1178" s="1076"/>
      <c r="L1178" s="1076"/>
      <c r="M1178" s="1209"/>
      <c r="N1178" s="1123"/>
      <c r="O1178" s="1119"/>
      <c r="P1178" s="1119"/>
      <c r="Q1178" s="1119"/>
      <c r="R1178" s="1171"/>
      <c r="S1178" s="1196"/>
      <c r="T1178" s="1196"/>
      <c r="U1178" s="1196"/>
      <c r="V1178" s="1084"/>
      <c r="W1178" s="1119"/>
      <c r="X1178" s="1076"/>
      <c r="Y1178" s="1123" t="s">
        <v>1689</v>
      </c>
      <c r="Z1178" s="109">
        <v>342086080.35000002</v>
      </c>
      <c r="AA1178" s="109">
        <v>0</v>
      </c>
      <c r="AB1178" s="109">
        <f t="shared" si="94"/>
        <v>342086080.35000002</v>
      </c>
      <c r="AC1178" s="1171">
        <v>41982</v>
      </c>
      <c r="AD1178" s="119">
        <v>342086080.35000002</v>
      </c>
      <c r="AE1178" s="98" t="s">
        <v>7</v>
      </c>
      <c r="AF1178" s="1084"/>
      <c r="AG1178" s="1084"/>
      <c r="AH1178" s="111">
        <f t="shared" si="95"/>
        <v>0</v>
      </c>
      <c r="AI1178" s="1084"/>
      <c r="AJ1178" s="1119"/>
      <c r="AK1178" s="1119"/>
      <c r="AL1178" s="1119"/>
      <c r="AM1178" s="1119"/>
      <c r="AN1178" s="1203"/>
      <c r="AO1178" s="1204"/>
    </row>
    <row r="1179" spans="1:43" ht="15" customHeight="1">
      <c r="A1179" s="1075"/>
      <c r="B1179" s="1171"/>
      <c r="C1179" s="1076"/>
      <c r="D1179" s="1076"/>
      <c r="E1179" s="1208"/>
      <c r="F1179" s="1208"/>
      <c r="G1179" s="1076"/>
      <c r="H1179" s="1076"/>
      <c r="I1179" s="1076"/>
      <c r="J1179" s="1076"/>
      <c r="K1179" s="1076"/>
      <c r="L1179" s="1076"/>
      <c r="M1179" s="1209"/>
      <c r="N1179" s="1123"/>
      <c r="O1179" s="1119"/>
      <c r="P1179" s="1119"/>
      <c r="Q1179" s="1119"/>
      <c r="R1179" s="1171"/>
      <c r="S1179" s="1196"/>
      <c r="T1179" s="1196"/>
      <c r="U1179" s="1196"/>
      <c r="V1179" s="1084"/>
      <c r="W1179" s="1119"/>
      <c r="X1179" s="1076"/>
      <c r="Y1179" s="1123"/>
      <c r="Z1179" s="109">
        <v>345529660.16000003</v>
      </c>
      <c r="AA1179" s="109">
        <v>0</v>
      </c>
      <c r="AB1179" s="109">
        <f t="shared" si="94"/>
        <v>345529660.16000003</v>
      </c>
      <c r="AC1179" s="1171"/>
      <c r="AD1179" s="119">
        <v>345529660.16000003</v>
      </c>
      <c r="AE1179" s="98" t="s">
        <v>137</v>
      </c>
      <c r="AF1179" s="1084"/>
      <c r="AG1179" s="1084"/>
      <c r="AH1179" s="111">
        <f t="shared" si="95"/>
        <v>0</v>
      </c>
      <c r="AI1179" s="1084"/>
      <c r="AJ1179" s="1119"/>
      <c r="AK1179" s="1119"/>
      <c r="AL1179" s="1119"/>
      <c r="AM1179" s="1119"/>
      <c r="AN1179" s="1203"/>
      <c r="AO1179" s="1204"/>
    </row>
    <row r="1180" spans="1:43" ht="15" customHeight="1">
      <c r="A1180" s="1075"/>
      <c r="B1180" s="1171"/>
      <c r="C1180" s="1076"/>
      <c r="D1180" s="1076"/>
      <c r="E1180" s="1208"/>
      <c r="F1180" s="1208"/>
      <c r="G1180" s="1076"/>
      <c r="H1180" s="1076"/>
      <c r="I1180" s="1076"/>
      <c r="J1180" s="1076"/>
      <c r="K1180" s="1076"/>
      <c r="L1180" s="1076"/>
      <c r="M1180" s="1209"/>
      <c r="N1180" s="1123" t="s">
        <v>137</v>
      </c>
      <c r="O1180" s="1119">
        <v>1071215956</v>
      </c>
      <c r="P1180" s="1119"/>
      <c r="Q1180" s="1119"/>
      <c r="R1180" s="1171"/>
      <c r="S1180" s="1196"/>
      <c r="T1180" s="1119">
        <v>1071215956</v>
      </c>
      <c r="U1180" s="1119">
        <f>O1180-T1180</f>
        <v>0</v>
      </c>
      <c r="V1180" s="1084">
        <v>1059056980.04</v>
      </c>
      <c r="W1180" s="1119"/>
      <c r="X1180" s="1076"/>
      <c r="Y1180" s="1123" t="s">
        <v>1690</v>
      </c>
      <c r="Z1180" s="109">
        <v>247043901.65000001</v>
      </c>
      <c r="AA1180" s="109">
        <v>0</v>
      </c>
      <c r="AB1180" s="109">
        <f t="shared" si="94"/>
        <v>247043901.65000001</v>
      </c>
      <c r="AC1180" s="1171">
        <v>42108</v>
      </c>
      <c r="AD1180" s="119">
        <v>247043901.65000001</v>
      </c>
      <c r="AE1180" s="98" t="s">
        <v>7</v>
      </c>
      <c r="AF1180" s="1084"/>
      <c r="AG1180" s="1084"/>
      <c r="AH1180" s="111">
        <f t="shared" si="95"/>
        <v>0</v>
      </c>
      <c r="AI1180" s="1084">
        <f>O1180-AD1177-AD1179-AD1181-AD1183</f>
        <v>12158975.959999964</v>
      </c>
      <c r="AJ1180" s="1119"/>
      <c r="AK1180" s="1119">
        <f>O1180-V1180</f>
        <v>12158975.960000038</v>
      </c>
      <c r="AL1180" s="1119"/>
      <c r="AM1180" s="1119"/>
      <c r="AN1180" s="1203"/>
      <c r="AO1180" s="1204"/>
    </row>
    <row r="1181" spans="1:43" ht="15" customHeight="1">
      <c r="A1181" s="1075"/>
      <c r="B1181" s="1171"/>
      <c r="C1181" s="1076"/>
      <c r="D1181" s="1076"/>
      <c r="E1181" s="1208"/>
      <c r="F1181" s="1208"/>
      <c r="G1181" s="1076"/>
      <c r="H1181" s="1076"/>
      <c r="I1181" s="1076"/>
      <c r="J1181" s="1076"/>
      <c r="K1181" s="1076"/>
      <c r="L1181" s="1076"/>
      <c r="M1181" s="1209"/>
      <c r="N1181" s="1123"/>
      <c r="O1181" s="1119"/>
      <c r="P1181" s="1119"/>
      <c r="Q1181" s="1119"/>
      <c r="R1181" s="1171"/>
      <c r="S1181" s="1196"/>
      <c r="T1181" s="1119"/>
      <c r="U1181" s="1119"/>
      <c r="V1181" s="1084"/>
      <c r="W1181" s="1119"/>
      <c r="X1181" s="1076"/>
      <c r="Y1181" s="1123"/>
      <c r="Z1181" s="109">
        <v>249530747.63</v>
      </c>
      <c r="AA1181" s="109">
        <v>0</v>
      </c>
      <c r="AB1181" s="109">
        <f t="shared" si="94"/>
        <v>249530747.63</v>
      </c>
      <c r="AC1181" s="1171"/>
      <c r="AD1181" s="119">
        <v>249530747.63</v>
      </c>
      <c r="AE1181" s="98" t="s">
        <v>137</v>
      </c>
      <c r="AF1181" s="1084"/>
      <c r="AG1181" s="1084"/>
      <c r="AH1181" s="111">
        <f t="shared" si="95"/>
        <v>0</v>
      </c>
      <c r="AI1181" s="1084"/>
      <c r="AJ1181" s="1119"/>
      <c r="AK1181" s="1119"/>
      <c r="AL1181" s="1119"/>
      <c r="AM1181" s="1119"/>
      <c r="AN1181" s="1203"/>
      <c r="AO1181" s="1204"/>
    </row>
    <row r="1182" spans="1:43" ht="15" customHeight="1">
      <c r="A1182" s="1075"/>
      <c r="B1182" s="1171"/>
      <c r="C1182" s="1076"/>
      <c r="D1182" s="1076"/>
      <c r="E1182" s="1208"/>
      <c r="F1182" s="1208"/>
      <c r="G1182" s="1076"/>
      <c r="H1182" s="1076"/>
      <c r="I1182" s="1076"/>
      <c r="J1182" s="1076"/>
      <c r="K1182" s="1076"/>
      <c r="L1182" s="1076"/>
      <c r="M1182" s="1209"/>
      <c r="N1182" s="1123"/>
      <c r="O1182" s="1119"/>
      <c r="P1182" s="1119"/>
      <c r="Q1182" s="1119"/>
      <c r="R1182" s="1171"/>
      <c r="S1182" s="1196"/>
      <c r="T1182" s="1119"/>
      <c r="U1182" s="1119"/>
      <c r="V1182" s="1084"/>
      <c r="W1182" s="1119"/>
      <c r="X1182" s="1076"/>
      <c r="Y1182" s="1123" t="s">
        <v>1691</v>
      </c>
      <c r="Z1182" s="109">
        <v>104969442.88</v>
      </c>
      <c r="AA1182" s="109">
        <v>0</v>
      </c>
      <c r="AB1182" s="109">
        <f t="shared" si="94"/>
        <v>104969442.88</v>
      </c>
      <c r="AC1182" s="1171">
        <v>42243</v>
      </c>
      <c r="AD1182" s="119">
        <v>104969442.88</v>
      </c>
      <c r="AE1182" s="98" t="s">
        <v>7</v>
      </c>
      <c r="AF1182" s="1084"/>
      <c r="AG1182" s="1084"/>
      <c r="AH1182" s="111">
        <f t="shared" si="95"/>
        <v>0</v>
      </c>
      <c r="AI1182" s="1084"/>
      <c r="AJ1182" s="1119"/>
      <c r="AK1182" s="1119"/>
      <c r="AL1182" s="1119"/>
      <c r="AM1182" s="1119"/>
      <c r="AN1182" s="1203"/>
      <c r="AO1182" s="1204"/>
    </row>
    <row r="1183" spans="1:43" ht="15" customHeight="1">
      <c r="A1183" s="1075"/>
      <c r="B1183" s="1171"/>
      <c r="C1183" s="1076"/>
      <c r="D1183" s="1076"/>
      <c r="E1183" s="1208"/>
      <c r="F1183" s="1208"/>
      <c r="G1183" s="1076"/>
      <c r="H1183" s="1076"/>
      <c r="I1183" s="1076"/>
      <c r="J1183" s="1076"/>
      <c r="K1183" s="1076"/>
      <c r="L1183" s="1076"/>
      <c r="M1183" s="1209"/>
      <c r="N1183" s="1123"/>
      <c r="O1183" s="1119"/>
      <c r="P1183" s="1119"/>
      <c r="Q1183" s="1119"/>
      <c r="R1183" s="1171"/>
      <c r="S1183" s="1196"/>
      <c r="T1183" s="1119"/>
      <c r="U1183" s="1119"/>
      <c r="V1183" s="1084"/>
      <c r="W1183" s="1119"/>
      <c r="X1183" s="1076"/>
      <c r="Y1183" s="1123"/>
      <c r="Z1183" s="109">
        <v>106026108.64</v>
      </c>
      <c r="AA1183" s="109">
        <v>0</v>
      </c>
      <c r="AB1183" s="109">
        <f t="shared" si="94"/>
        <v>106026108.64</v>
      </c>
      <c r="AC1183" s="1171"/>
      <c r="AD1183" s="119">
        <v>106026108.64</v>
      </c>
      <c r="AE1183" s="98" t="s">
        <v>137</v>
      </c>
      <c r="AF1183" s="1084"/>
      <c r="AG1183" s="1084"/>
      <c r="AH1183" s="111">
        <f t="shared" si="95"/>
        <v>0</v>
      </c>
      <c r="AI1183" s="1084"/>
      <c r="AJ1183" s="1119"/>
      <c r="AK1183" s="1119"/>
      <c r="AL1183" s="1119"/>
      <c r="AM1183" s="1119"/>
      <c r="AN1183" s="1203"/>
      <c r="AO1183" s="1204"/>
    </row>
    <row r="1184" spans="1:43" ht="15" customHeight="1">
      <c r="A1184" s="1075"/>
      <c r="B1184" s="1171"/>
      <c r="C1184" s="1076"/>
      <c r="D1184" s="1076"/>
      <c r="E1184" s="1208"/>
      <c r="F1184" s="1208"/>
      <c r="G1184" s="1076"/>
      <c r="H1184" s="1076"/>
      <c r="I1184" s="1076"/>
      <c r="J1184" s="1076"/>
      <c r="K1184" s="1076"/>
      <c r="L1184" s="1076"/>
      <c r="M1184" s="1209">
        <v>2</v>
      </c>
      <c r="N1184" s="1123" t="s">
        <v>147</v>
      </c>
      <c r="O1184" s="1119">
        <v>1705308036</v>
      </c>
      <c r="P1184" s="1119">
        <v>1705308036</v>
      </c>
      <c r="Q1184" s="1119"/>
      <c r="R1184" s="1171">
        <v>41449</v>
      </c>
      <c r="S1184" s="1196">
        <f>T1184</f>
        <v>1705308036</v>
      </c>
      <c r="T1184" s="1196">
        <v>1705308036</v>
      </c>
      <c r="U1184" s="1196">
        <f>O1184-T1184</f>
        <v>0</v>
      </c>
      <c r="V1184" s="1084">
        <v>1685951715.46</v>
      </c>
      <c r="W1184" s="1119"/>
      <c r="X1184" s="1076"/>
      <c r="Y1184" s="108" t="s">
        <v>1688</v>
      </c>
      <c r="Z1184" s="109">
        <v>569866332.57000005</v>
      </c>
      <c r="AA1184" s="109">
        <v>0</v>
      </c>
      <c r="AB1184" s="109">
        <f>Z1184+AA1184</f>
        <v>569866332.57000005</v>
      </c>
      <c r="AC1184" s="97">
        <v>41864</v>
      </c>
      <c r="AD1184" s="119">
        <v>569866332.57000005</v>
      </c>
      <c r="AE1184" s="98" t="s">
        <v>147</v>
      </c>
      <c r="AF1184" s="1084">
        <f>SUM(AD1184:AD1187)</f>
        <v>1685951715.46</v>
      </c>
      <c r="AG1184" s="1084"/>
      <c r="AH1184" s="111">
        <f t="shared" ref="AH1184:AH1203" si="96">AB1184-AD1184</f>
        <v>0</v>
      </c>
      <c r="AI1184" s="1084">
        <f>O1184-SUM(AD1184:AD1187)</f>
        <v>19356320.539999962</v>
      </c>
      <c r="AJ1184" s="1119"/>
      <c r="AK1184" s="1119">
        <f>P1184-V1184</f>
        <v>19356320.539999962</v>
      </c>
      <c r="AL1184" s="1119">
        <f>V1184-SUM(Z1184:Z1187)</f>
        <v>0</v>
      </c>
      <c r="AM1184" s="1119"/>
      <c r="AN1184" s="1203"/>
      <c r="AO1184" s="1204"/>
    </row>
    <row r="1185" spans="1:41" ht="15" customHeight="1">
      <c r="A1185" s="1075"/>
      <c r="B1185" s="1171"/>
      <c r="C1185" s="1076"/>
      <c r="D1185" s="1076"/>
      <c r="E1185" s="1208"/>
      <c r="F1185" s="1208"/>
      <c r="G1185" s="1076"/>
      <c r="H1185" s="1076"/>
      <c r="I1185" s="1076"/>
      <c r="J1185" s="1076"/>
      <c r="K1185" s="1076"/>
      <c r="L1185" s="1076"/>
      <c r="M1185" s="1209"/>
      <c r="N1185" s="1123"/>
      <c r="O1185" s="1119"/>
      <c r="P1185" s="1119"/>
      <c r="Q1185" s="1119"/>
      <c r="R1185" s="1171"/>
      <c r="S1185" s="1196"/>
      <c r="T1185" s="1196"/>
      <c r="U1185" s="1196"/>
      <c r="V1185" s="1084"/>
      <c r="W1185" s="1119"/>
      <c r="X1185" s="1076"/>
      <c r="Y1185" s="108" t="s">
        <v>1689</v>
      </c>
      <c r="Z1185" s="109">
        <v>550061360.49000001</v>
      </c>
      <c r="AA1185" s="109">
        <v>0</v>
      </c>
      <c r="AB1185" s="109">
        <f t="shared" ref="AB1185:AB1190" si="97">Z1185+AA1185</f>
        <v>550061360.49000001</v>
      </c>
      <c r="AC1185" s="97">
        <v>41982</v>
      </c>
      <c r="AD1185" s="119">
        <v>550061360.49000001</v>
      </c>
      <c r="AE1185" s="98" t="s">
        <v>147</v>
      </c>
      <c r="AF1185" s="1084"/>
      <c r="AG1185" s="1084"/>
      <c r="AH1185" s="111">
        <f t="shared" si="96"/>
        <v>0</v>
      </c>
      <c r="AI1185" s="1084"/>
      <c r="AJ1185" s="1119"/>
      <c r="AK1185" s="1119"/>
      <c r="AL1185" s="1119"/>
      <c r="AM1185" s="1119"/>
      <c r="AN1185" s="1203"/>
      <c r="AO1185" s="1204"/>
    </row>
    <row r="1186" spans="1:41" ht="15" customHeight="1">
      <c r="A1186" s="1075"/>
      <c r="B1186" s="1171"/>
      <c r="C1186" s="1076"/>
      <c r="D1186" s="1076"/>
      <c r="E1186" s="1208"/>
      <c r="F1186" s="1208"/>
      <c r="G1186" s="1076"/>
      <c r="H1186" s="1076"/>
      <c r="I1186" s="1076"/>
      <c r="J1186" s="1076"/>
      <c r="K1186" s="1076"/>
      <c r="L1186" s="1076"/>
      <c r="M1186" s="1209"/>
      <c r="N1186" s="1123"/>
      <c r="O1186" s="1119"/>
      <c r="P1186" s="1119"/>
      <c r="Q1186" s="1119"/>
      <c r="R1186" s="1171"/>
      <c r="S1186" s="1196"/>
      <c r="T1186" s="1196"/>
      <c r="U1186" s="1196"/>
      <c r="V1186" s="1084"/>
      <c r="W1186" s="1119"/>
      <c r="X1186" s="1076"/>
      <c r="Y1186" s="108" t="s">
        <v>1690</v>
      </c>
      <c r="Z1186" s="109">
        <v>397237164.72000003</v>
      </c>
      <c r="AA1186" s="109">
        <v>0</v>
      </c>
      <c r="AB1186" s="109">
        <f t="shared" si="97"/>
        <v>397237164.72000003</v>
      </c>
      <c r="AC1186" s="97">
        <v>42108</v>
      </c>
      <c r="AD1186" s="119">
        <v>397237164.72000003</v>
      </c>
      <c r="AE1186" s="98" t="s">
        <v>147</v>
      </c>
      <c r="AF1186" s="1084"/>
      <c r="AG1186" s="1084"/>
      <c r="AH1186" s="111">
        <f t="shared" si="96"/>
        <v>0</v>
      </c>
      <c r="AI1186" s="1084"/>
      <c r="AJ1186" s="1119"/>
      <c r="AK1186" s="1119"/>
      <c r="AL1186" s="1119"/>
      <c r="AM1186" s="1119"/>
      <c r="AN1186" s="1203"/>
      <c r="AO1186" s="1204"/>
    </row>
    <row r="1187" spans="1:41" ht="15" customHeight="1">
      <c r="A1187" s="1075"/>
      <c r="B1187" s="1171"/>
      <c r="C1187" s="1076"/>
      <c r="D1187" s="1076"/>
      <c r="E1187" s="1208"/>
      <c r="F1187" s="1208"/>
      <c r="G1187" s="1076"/>
      <c r="H1187" s="1076"/>
      <c r="I1187" s="1076"/>
      <c r="J1187" s="1076"/>
      <c r="K1187" s="1076"/>
      <c r="L1187" s="1076"/>
      <c r="M1187" s="1209"/>
      <c r="N1187" s="1123"/>
      <c r="O1187" s="1119"/>
      <c r="P1187" s="1119"/>
      <c r="Q1187" s="1119"/>
      <c r="R1187" s="1171"/>
      <c r="S1187" s="1196"/>
      <c r="T1187" s="1196"/>
      <c r="U1187" s="1196"/>
      <c r="V1187" s="1084"/>
      <c r="W1187" s="1119"/>
      <c r="X1187" s="1076"/>
      <c r="Y1187" s="108" t="s">
        <v>1691</v>
      </c>
      <c r="Z1187" s="109">
        <v>168786857.68000001</v>
      </c>
      <c r="AA1187" s="109">
        <v>0</v>
      </c>
      <c r="AB1187" s="109">
        <f t="shared" si="97"/>
        <v>168786857.68000001</v>
      </c>
      <c r="AC1187" s="97">
        <v>42243</v>
      </c>
      <c r="AD1187" s="119">
        <v>168786857.68000001</v>
      </c>
      <c r="AE1187" s="98" t="s">
        <v>147</v>
      </c>
      <c r="AF1187" s="1084"/>
      <c r="AG1187" s="1084"/>
      <c r="AH1187" s="111">
        <f t="shared" si="96"/>
        <v>0</v>
      </c>
      <c r="AI1187" s="1084"/>
      <c r="AJ1187" s="1119"/>
      <c r="AK1187" s="1119"/>
      <c r="AL1187" s="1119"/>
      <c r="AM1187" s="1119"/>
      <c r="AN1187" s="1203"/>
      <c r="AO1187" s="1204"/>
    </row>
    <row r="1188" spans="1:41" ht="15" customHeight="1">
      <c r="A1188" s="1075"/>
      <c r="B1188" s="1171"/>
      <c r="C1188" s="1076"/>
      <c r="D1188" s="1076"/>
      <c r="E1188" s="1208"/>
      <c r="F1188" s="1208"/>
      <c r="G1188" s="1076"/>
      <c r="H1188" s="1076"/>
      <c r="I1188" s="1076"/>
      <c r="J1188" s="1076" t="s">
        <v>67</v>
      </c>
      <c r="K1188" s="1076"/>
      <c r="L1188" s="1076"/>
      <c r="M1188" s="1209">
        <v>317</v>
      </c>
      <c r="N1188" s="1123" t="s">
        <v>137</v>
      </c>
      <c r="O1188" s="1119">
        <v>1851571960</v>
      </c>
      <c r="P1188" s="1119">
        <v>1851571960</v>
      </c>
      <c r="Q1188" s="1119"/>
      <c r="R1188" s="1171">
        <v>42130</v>
      </c>
      <c r="S1188" s="1196">
        <f>T1188</f>
        <v>1851571960</v>
      </c>
      <c r="T1188" s="1196">
        <v>1851571960</v>
      </c>
      <c r="U1188" s="1196">
        <f>O1188-T1188</f>
        <v>0</v>
      </c>
      <c r="V1188" s="1084">
        <v>1851571960</v>
      </c>
      <c r="W1188" s="1119"/>
      <c r="X1188" s="1076"/>
      <c r="Y1188" s="108" t="s">
        <v>1692</v>
      </c>
      <c r="Z1188" s="109">
        <v>509387198.80000001</v>
      </c>
      <c r="AA1188" s="109">
        <v>0</v>
      </c>
      <c r="AB1188" s="109">
        <f t="shared" si="97"/>
        <v>509387198.80000001</v>
      </c>
      <c r="AC1188" s="97">
        <v>42243</v>
      </c>
      <c r="AD1188" s="119">
        <v>509387198.80000001</v>
      </c>
      <c r="AE1188" s="98" t="s">
        <v>137</v>
      </c>
      <c r="AF1188" s="1084">
        <f>SUM(AD1188:AD1190)</f>
        <v>1276012109.8</v>
      </c>
      <c r="AG1188" s="1084"/>
      <c r="AH1188" s="111">
        <f t="shared" si="96"/>
        <v>0</v>
      </c>
      <c r="AI1188" s="1084">
        <f>O1188-SUM(AD1188:AD1190)</f>
        <v>575559850.20000005</v>
      </c>
      <c r="AJ1188" s="1119"/>
      <c r="AK1188" s="1119">
        <f>P1188-V1188</f>
        <v>0</v>
      </c>
      <c r="AL1188" s="1119">
        <f>V1188-SUM(Z1188:Z1190)</f>
        <v>109491.20000004768</v>
      </c>
      <c r="AM1188" s="1119"/>
      <c r="AN1188" s="1203"/>
      <c r="AO1188" s="1204"/>
    </row>
    <row r="1189" spans="1:41" ht="15" customHeight="1">
      <c r="A1189" s="1075"/>
      <c r="B1189" s="1171"/>
      <c r="C1189" s="1076"/>
      <c r="D1189" s="1076"/>
      <c r="E1189" s="1208"/>
      <c r="F1189" s="1208"/>
      <c r="G1189" s="1076"/>
      <c r="H1189" s="1076"/>
      <c r="I1189" s="1076"/>
      <c r="J1189" s="1076"/>
      <c r="K1189" s="1076"/>
      <c r="L1189" s="1076"/>
      <c r="M1189" s="1209"/>
      <c r="N1189" s="1123"/>
      <c r="O1189" s="1119"/>
      <c r="P1189" s="1119"/>
      <c r="Q1189" s="1119"/>
      <c r="R1189" s="1171"/>
      <c r="S1189" s="1196"/>
      <c r="T1189" s="1196"/>
      <c r="U1189" s="1196"/>
      <c r="V1189" s="1084"/>
      <c r="W1189" s="1119"/>
      <c r="X1189" s="1076"/>
      <c r="Y1189" s="108" t="s">
        <v>1693</v>
      </c>
      <c r="Z1189" s="109">
        <v>766624911</v>
      </c>
      <c r="AA1189" s="109">
        <v>0</v>
      </c>
      <c r="AB1189" s="109">
        <f t="shared" si="97"/>
        <v>766624911</v>
      </c>
      <c r="AC1189" s="97">
        <v>42332</v>
      </c>
      <c r="AD1189" s="119">
        <v>766624911</v>
      </c>
      <c r="AE1189" s="98" t="s">
        <v>137</v>
      </c>
      <c r="AF1189" s="1084"/>
      <c r="AG1189" s="1084"/>
      <c r="AH1189" s="111">
        <f t="shared" si="96"/>
        <v>0</v>
      </c>
      <c r="AI1189" s="1084"/>
      <c r="AJ1189" s="1119"/>
      <c r="AK1189" s="1119"/>
      <c r="AL1189" s="1119"/>
      <c r="AM1189" s="1119"/>
      <c r="AN1189" s="1203"/>
      <c r="AO1189" s="1204"/>
    </row>
    <row r="1190" spans="1:41" ht="15" customHeight="1">
      <c r="A1190" s="1075"/>
      <c r="B1190" s="1171"/>
      <c r="C1190" s="1076"/>
      <c r="D1190" s="1076"/>
      <c r="E1190" s="1208"/>
      <c r="F1190" s="1208"/>
      <c r="G1190" s="1076"/>
      <c r="H1190" s="1076"/>
      <c r="I1190" s="1076"/>
      <c r="J1190" s="1076"/>
      <c r="K1190" s="1076"/>
      <c r="L1190" s="1076"/>
      <c r="M1190" s="1209"/>
      <c r="N1190" s="1123"/>
      <c r="O1190" s="1119"/>
      <c r="P1190" s="1119"/>
      <c r="Q1190" s="1119"/>
      <c r="R1190" s="1171"/>
      <c r="S1190" s="1196"/>
      <c r="T1190" s="1196"/>
      <c r="U1190" s="1196"/>
      <c r="V1190" s="1084"/>
      <c r="W1190" s="1119"/>
      <c r="X1190" s="1076"/>
      <c r="Y1190" s="108" t="s">
        <v>1694</v>
      </c>
      <c r="Z1190" s="109">
        <v>575450359</v>
      </c>
      <c r="AA1190" s="109">
        <v>0</v>
      </c>
      <c r="AB1190" s="109">
        <f t="shared" si="97"/>
        <v>575450359</v>
      </c>
      <c r="AC1190" s="97"/>
      <c r="AD1190" s="119"/>
      <c r="AE1190" s="98"/>
      <c r="AF1190" s="1084"/>
      <c r="AG1190" s="1084"/>
      <c r="AH1190" s="111">
        <f t="shared" si="96"/>
        <v>575450359</v>
      </c>
      <c r="AI1190" s="1084"/>
      <c r="AJ1190" s="1119"/>
      <c r="AK1190" s="1119"/>
      <c r="AL1190" s="1119"/>
      <c r="AM1190" s="1119"/>
      <c r="AN1190" s="1203"/>
      <c r="AO1190" s="1204"/>
    </row>
    <row r="1191" spans="1:41" ht="15" customHeight="1">
      <c r="A1191" s="1214" t="s">
        <v>1712</v>
      </c>
      <c r="B1191" s="1171">
        <v>41635</v>
      </c>
      <c r="C1191" s="1076" t="s">
        <v>29</v>
      </c>
      <c r="D1191" s="1076" t="s">
        <v>1713</v>
      </c>
      <c r="E1191" s="1208">
        <v>10534582</v>
      </c>
      <c r="F1191" s="1208">
        <v>3</v>
      </c>
      <c r="G1191" s="1076" t="s">
        <v>1714</v>
      </c>
      <c r="H1191" s="1076" t="s">
        <v>71</v>
      </c>
      <c r="I1191" s="1076" t="s">
        <v>1221</v>
      </c>
      <c r="J1191" s="1076" t="s">
        <v>66</v>
      </c>
      <c r="K1191" s="1076" t="s">
        <v>183</v>
      </c>
      <c r="L1191" s="1076" t="s">
        <v>1718</v>
      </c>
      <c r="M1191" s="1209">
        <v>296</v>
      </c>
      <c r="N1191" s="1123" t="s">
        <v>7</v>
      </c>
      <c r="O1191" s="1119">
        <v>130416795</v>
      </c>
      <c r="P1191" s="1119">
        <v>130416795</v>
      </c>
      <c r="Q1191" s="1119">
        <v>130416795</v>
      </c>
      <c r="R1191" s="1171">
        <v>41598</v>
      </c>
      <c r="S1191" s="1196">
        <f>T1191</f>
        <v>129113450.16</v>
      </c>
      <c r="T1191" s="1196">
        <v>129113450.16</v>
      </c>
      <c r="U1191" s="1196">
        <f>P1191-T1191</f>
        <v>1303344.8400000036</v>
      </c>
      <c r="V1191" s="1084">
        <v>129113450.16</v>
      </c>
      <c r="W1191" s="1119">
        <v>129113450.16</v>
      </c>
      <c r="X1191" s="1076" t="s">
        <v>1715</v>
      </c>
      <c r="Y1191" s="108" t="s">
        <v>1716</v>
      </c>
      <c r="Z1191" s="109">
        <v>116549544</v>
      </c>
      <c r="AA1191" s="109">
        <v>0</v>
      </c>
      <c r="AB1191" s="109">
        <f>Z1191+AA1191</f>
        <v>116549544</v>
      </c>
      <c r="AC1191" s="97">
        <v>41901</v>
      </c>
      <c r="AD1191" s="119">
        <v>116549544</v>
      </c>
      <c r="AE1191" s="98" t="s">
        <v>7</v>
      </c>
      <c r="AF1191" s="1084">
        <f>SUM(AD1191:AD1192)</f>
        <v>129113450.16</v>
      </c>
      <c r="AG1191" s="1084">
        <f>AF1191</f>
        <v>129113450.16</v>
      </c>
      <c r="AH1191" s="111">
        <f t="shared" si="96"/>
        <v>0</v>
      </c>
      <c r="AI1191" s="1084">
        <f>T1191-AD1191-AD1192</f>
        <v>0</v>
      </c>
      <c r="AJ1191" s="1119">
        <f>SUM(Z1191:Z1192)-SUM(AD1191:AD1192)</f>
        <v>0</v>
      </c>
      <c r="AK1191" s="1119">
        <f>T1191-V1191</f>
        <v>0</v>
      </c>
      <c r="AL1191" s="1119">
        <f>V1191-SUM(Z1191:Z1192)</f>
        <v>0</v>
      </c>
      <c r="AM1191" s="1119">
        <f>AK1191+AL1191</f>
        <v>0</v>
      </c>
      <c r="AN1191" s="1203" t="s">
        <v>606</v>
      </c>
      <c r="AO1191" s="1204" t="s">
        <v>1719</v>
      </c>
    </row>
    <row r="1192" spans="1:41" ht="15" customHeight="1">
      <c r="A1192" s="1214"/>
      <c r="B1192" s="1171"/>
      <c r="C1192" s="1076"/>
      <c r="D1192" s="1076"/>
      <c r="E1192" s="1208"/>
      <c r="F1192" s="1208"/>
      <c r="G1192" s="1076"/>
      <c r="H1192" s="1076"/>
      <c r="I1192" s="1076"/>
      <c r="J1192" s="1076"/>
      <c r="K1192" s="1076"/>
      <c r="L1192" s="1076"/>
      <c r="M1192" s="1209"/>
      <c r="N1192" s="1123"/>
      <c r="O1192" s="1119"/>
      <c r="P1192" s="1119"/>
      <c r="Q1192" s="1119"/>
      <c r="R1192" s="1171"/>
      <c r="S1192" s="1196"/>
      <c r="T1192" s="1196"/>
      <c r="U1192" s="1196"/>
      <c r="V1192" s="1084"/>
      <c r="W1192" s="1119"/>
      <c r="X1192" s="1076"/>
      <c r="Y1192" s="108" t="s">
        <v>1717</v>
      </c>
      <c r="Z1192" s="109">
        <v>12563906.16</v>
      </c>
      <c r="AA1192" s="109">
        <v>0</v>
      </c>
      <c r="AB1192" s="109">
        <f>Z1192+AA1192</f>
        <v>12563906.16</v>
      </c>
      <c r="AC1192" s="97">
        <v>41984</v>
      </c>
      <c r="AD1192" s="119">
        <v>12563906.16</v>
      </c>
      <c r="AE1192" s="98" t="s">
        <v>7</v>
      </c>
      <c r="AF1192" s="1084"/>
      <c r="AG1192" s="1084"/>
      <c r="AH1192" s="111">
        <f t="shared" si="96"/>
        <v>0</v>
      </c>
      <c r="AI1192" s="1084"/>
      <c r="AJ1192" s="1119"/>
      <c r="AK1192" s="1119"/>
      <c r="AL1192" s="1119"/>
      <c r="AM1192" s="1119"/>
      <c r="AN1192" s="1203"/>
      <c r="AO1192" s="1204"/>
    </row>
    <row r="1193" spans="1:41" ht="15" customHeight="1">
      <c r="A1193" s="1214" t="s">
        <v>1758</v>
      </c>
      <c r="B1193" s="1171">
        <v>41635</v>
      </c>
      <c r="C1193" s="1076" t="s">
        <v>37</v>
      </c>
      <c r="D1193" s="1076" t="s">
        <v>1760</v>
      </c>
      <c r="E1193" s="1208">
        <v>900685181</v>
      </c>
      <c r="F1193" s="1208">
        <v>9</v>
      </c>
      <c r="G1193" s="1076" t="s">
        <v>1759</v>
      </c>
      <c r="H1193" s="1076" t="s">
        <v>70</v>
      </c>
      <c r="I1193" s="1076" t="s">
        <v>206</v>
      </c>
      <c r="J1193" s="1076" t="s">
        <v>66</v>
      </c>
      <c r="K1193" s="1076" t="s">
        <v>49</v>
      </c>
      <c r="L1193" s="1076" t="s">
        <v>1761</v>
      </c>
      <c r="M1193" s="1209">
        <v>4</v>
      </c>
      <c r="N1193" s="1123" t="s">
        <v>162</v>
      </c>
      <c r="O1193" s="1119">
        <v>136092428</v>
      </c>
      <c r="P1193" s="1119">
        <v>136092428</v>
      </c>
      <c r="Q1193" s="1119">
        <f>P1193+P1198+P1202</f>
        <v>173486418</v>
      </c>
      <c r="R1193" s="1171">
        <v>41522</v>
      </c>
      <c r="S1193" s="1196">
        <f>T1193</f>
        <v>136092428</v>
      </c>
      <c r="T1193" s="1196">
        <v>136092428</v>
      </c>
      <c r="U1193" s="1196">
        <f>O1193-T1193</f>
        <v>0</v>
      </c>
      <c r="V1193" s="1084">
        <v>136040933</v>
      </c>
      <c r="W1193" s="1119">
        <f>147333920+V1202</f>
        <v>173434923</v>
      </c>
      <c r="X1193" s="1076" t="s">
        <v>1271</v>
      </c>
      <c r="Y1193" s="108" t="s">
        <v>1762</v>
      </c>
      <c r="Z1193" s="109">
        <v>0</v>
      </c>
      <c r="AA1193" s="109">
        <v>54413363.329999998</v>
      </c>
      <c r="AB1193" s="109">
        <f>Z1193+AA1193</f>
        <v>54413363.329999998</v>
      </c>
      <c r="AC1193" s="97">
        <v>41745</v>
      </c>
      <c r="AD1193" s="119">
        <v>54413363.329999998</v>
      </c>
      <c r="AE1193" s="98" t="s">
        <v>162</v>
      </c>
      <c r="AF1193" s="1084">
        <f>SUM(AD1193:AD1197)</f>
        <v>136040933.15000001</v>
      </c>
      <c r="AG1193" s="1084">
        <f>AF1193+AF1198+AF1202</f>
        <v>155686241.15000001</v>
      </c>
      <c r="AH1193" s="111">
        <f t="shared" si="96"/>
        <v>0</v>
      </c>
      <c r="AI1193" s="1084">
        <f>P1193-SUM(AD1193:AD1197)</f>
        <v>51494.84999999404</v>
      </c>
      <c r="AJ1193" s="1119">
        <f>SUM(Z1193:Z1203)-SUM(AD1193:AD1203)</f>
        <v>-0.14999997615814209</v>
      </c>
      <c r="AK1193" s="1119">
        <f>P1193-V1193</f>
        <v>51495</v>
      </c>
      <c r="AL1193" s="1119">
        <f>V1193-SUM(Z1193:Z1197)</f>
        <v>0</v>
      </c>
      <c r="AM1193" s="1119"/>
      <c r="AN1193" s="1203"/>
      <c r="AO1193" s="1204" t="s">
        <v>1767</v>
      </c>
    </row>
    <row r="1194" spans="1:41" ht="15" customHeight="1">
      <c r="A1194" s="1214"/>
      <c r="B1194" s="1171"/>
      <c r="C1194" s="1076"/>
      <c r="D1194" s="1076"/>
      <c r="E1194" s="1208"/>
      <c r="F1194" s="1208"/>
      <c r="G1194" s="1076"/>
      <c r="H1194" s="1076"/>
      <c r="I1194" s="1076"/>
      <c r="J1194" s="1076"/>
      <c r="K1194" s="1076"/>
      <c r="L1194" s="1076"/>
      <c r="M1194" s="1209"/>
      <c r="N1194" s="1123"/>
      <c r="O1194" s="1119"/>
      <c r="P1194" s="1119"/>
      <c r="Q1194" s="1119"/>
      <c r="R1194" s="1171"/>
      <c r="S1194" s="1196"/>
      <c r="T1194" s="1196"/>
      <c r="U1194" s="1196"/>
      <c r="V1194" s="1084"/>
      <c r="W1194" s="1119"/>
      <c r="X1194" s="1076"/>
      <c r="Y1194" s="108" t="s">
        <v>1763</v>
      </c>
      <c r="Z1194" s="109">
        <v>57134031.130000003</v>
      </c>
      <c r="AA1194" s="109">
        <v>-22854876.23</v>
      </c>
      <c r="AB1194" s="109">
        <f t="shared" ref="AB1194:AB1203" si="98">Z1194+AA1194</f>
        <v>34279154.900000006</v>
      </c>
      <c r="AC1194" s="97">
        <v>41992</v>
      </c>
      <c r="AD1194" s="119">
        <v>34279154.899999999</v>
      </c>
      <c r="AE1194" s="98" t="s">
        <v>162</v>
      </c>
      <c r="AF1194" s="1084"/>
      <c r="AG1194" s="1084"/>
      <c r="AH1194" s="111">
        <f t="shared" si="96"/>
        <v>0</v>
      </c>
      <c r="AI1194" s="1084"/>
      <c r="AJ1194" s="1119"/>
      <c r="AK1194" s="1119"/>
      <c r="AL1194" s="1119"/>
      <c r="AM1194" s="1119"/>
      <c r="AN1194" s="1203"/>
      <c r="AO1194" s="1204"/>
    </row>
    <row r="1195" spans="1:41" ht="15" customHeight="1">
      <c r="A1195" s="1214"/>
      <c r="B1195" s="1171"/>
      <c r="C1195" s="1076"/>
      <c r="D1195" s="1076"/>
      <c r="E1195" s="1208"/>
      <c r="F1195" s="1208"/>
      <c r="G1195" s="1076"/>
      <c r="H1195" s="1076"/>
      <c r="I1195" s="1076"/>
      <c r="J1195" s="1076"/>
      <c r="K1195" s="1076"/>
      <c r="L1195" s="1076"/>
      <c r="M1195" s="1209"/>
      <c r="N1195" s="1123"/>
      <c r="O1195" s="1119"/>
      <c r="P1195" s="1119"/>
      <c r="Q1195" s="1119"/>
      <c r="R1195" s="1171"/>
      <c r="S1195" s="1196"/>
      <c r="T1195" s="1196"/>
      <c r="U1195" s="1196"/>
      <c r="V1195" s="1084"/>
      <c r="W1195" s="1119"/>
      <c r="X1195" s="1076"/>
      <c r="Y1195" s="108" t="s">
        <v>1764</v>
      </c>
      <c r="Z1195" s="109">
        <v>57137193.340000004</v>
      </c>
      <c r="AA1195" s="109">
        <v>-22854877.149999999</v>
      </c>
      <c r="AB1195" s="109">
        <f>Z1195+AA1195</f>
        <v>34282316.190000005</v>
      </c>
      <c r="AC1195" s="97">
        <v>42366</v>
      </c>
      <c r="AD1195" s="119">
        <v>34282316.340000004</v>
      </c>
      <c r="AE1195" s="98" t="s">
        <v>162</v>
      </c>
      <c r="AF1195" s="1084"/>
      <c r="AG1195" s="1084"/>
      <c r="AH1195" s="111">
        <f t="shared" si="96"/>
        <v>-0.14999999850988388</v>
      </c>
      <c r="AI1195" s="1084"/>
      <c r="AJ1195" s="1119"/>
      <c r="AK1195" s="1119"/>
      <c r="AL1195" s="1119"/>
      <c r="AM1195" s="1119"/>
      <c r="AN1195" s="1203"/>
      <c r="AO1195" s="1204"/>
    </row>
    <row r="1196" spans="1:41" ht="15" customHeight="1">
      <c r="A1196" s="1214"/>
      <c r="B1196" s="1171"/>
      <c r="C1196" s="1076"/>
      <c r="D1196" s="1076"/>
      <c r="E1196" s="1208"/>
      <c r="F1196" s="1208"/>
      <c r="G1196" s="1076"/>
      <c r="H1196" s="1076"/>
      <c r="I1196" s="1076"/>
      <c r="J1196" s="1076"/>
      <c r="K1196" s="1076"/>
      <c r="L1196" s="1076"/>
      <c r="M1196" s="1209"/>
      <c r="N1196" s="1123"/>
      <c r="O1196" s="1119"/>
      <c r="P1196" s="1119"/>
      <c r="Q1196" s="1119"/>
      <c r="R1196" s="1171"/>
      <c r="S1196" s="1196"/>
      <c r="T1196" s="1196"/>
      <c r="U1196" s="1196"/>
      <c r="V1196" s="1084"/>
      <c r="W1196" s="1119"/>
      <c r="X1196" s="1076"/>
      <c r="Y1196" s="108" t="s">
        <v>1765</v>
      </c>
      <c r="Z1196" s="109">
        <v>21769708.530000001</v>
      </c>
      <c r="AA1196" s="109">
        <v>-8703609.9499999993</v>
      </c>
      <c r="AB1196" s="109">
        <f t="shared" si="98"/>
        <v>13066098.580000002</v>
      </c>
      <c r="AC1196" s="97">
        <v>42933</v>
      </c>
      <c r="AD1196" s="119">
        <v>13066098.58</v>
      </c>
      <c r="AE1196" s="98" t="s">
        <v>162</v>
      </c>
      <c r="AF1196" s="1084"/>
      <c r="AG1196" s="1084"/>
      <c r="AH1196" s="111">
        <f t="shared" si="96"/>
        <v>0</v>
      </c>
      <c r="AI1196" s="1084"/>
      <c r="AJ1196" s="1119"/>
      <c r="AK1196" s="1119"/>
      <c r="AL1196" s="1119"/>
      <c r="AM1196" s="1119"/>
      <c r="AN1196" s="1203"/>
      <c r="AO1196" s="1204"/>
    </row>
    <row r="1197" spans="1:41" ht="15" customHeight="1">
      <c r="A1197" s="1214"/>
      <c r="B1197" s="1171"/>
      <c r="C1197" s="1076"/>
      <c r="D1197" s="1076"/>
      <c r="E1197" s="1208"/>
      <c r="F1197" s="1208"/>
      <c r="G1197" s="1076"/>
      <c r="H1197" s="1076"/>
      <c r="I1197" s="1076"/>
      <c r="J1197" s="1076"/>
      <c r="K1197" s="1076"/>
      <c r="L1197" s="1076"/>
      <c r="M1197" s="1209"/>
      <c r="N1197" s="1123"/>
      <c r="O1197" s="1119"/>
      <c r="P1197" s="1119"/>
      <c r="Q1197" s="1119"/>
      <c r="R1197" s="1171"/>
      <c r="S1197" s="1196"/>
      <c r="T1197" s="1196"/>
      <c r="U1197" s="1196"/>
      <c r="V1197" s="1084"/>
      <c r="W1197" s="1119"/>
      <c r="X1197" s="1076"/>
      <c r="Y1197" s="108"/>
      <c r="Z1197" s="109"/>
      <c r="AA1197" s="109">
        <v>0</v>
      </c>
      <c r="AB1197" s="109">
        <f t="shared" si="98"/>
        <v>0</v>
      </c>
      <c r="AC1197" s="97"/>
      <c r="AD1197" s="119"/>
      <c r="AE1197" s="98"/>
      <c r="AF1197" s="1084"/>
      <c r="AG1197" s="1084"/>
      <c r="AH1197" s="111">
        <f t="shared" si="96"/>
        <v>0</v>
      </c>
      <c r="AI1197" s="1084"/>
      <c r="AJ1197" s="1119"/>
      <c r="AK1197" s="1119"/>
      <c r="AL1197" s="1119"/>
      <c r="AM1197" s="1119"/>
      <c r="AN1197" s="1203"/>
      <c r="AO1197" s="1204"/>
    </row>
    <row r="1198" spans="1:41" ht="15" customHeight="1">
      <c r="A1198" s="1214"/>
      <c r="B1198" s="1171"/>
      <c r="C1198" s="1076"/>
      <c r="D1198" s="1076"/>
      <c r="E1198" s="1208"/>
      <c r="F1198" s="1208"/>
      <c r="G1198" s="1076"/>
      <c r="H1198" s="1076"/>
      <c r="I1198" s="1076"/>
      <c r="J1198" s="1076"/>
      <c r="K1198" s="1076"/>
      <c r="L1198" s="1076"/>
      <c r="M1198" s="1209">
        <v>289</v>
      </c>
      <c r="N1198" s="1123" t="s">
        <v>7</v>
      </c>
      <c r="O1198" s="1119">
        <v>11292987</v>
      </c>
      <c r="P1198" s="1119">
        <v>11292987</v>
      </c>
      <c r="Q1198" s="1119"/>
      <c r="R1198" s="1171">
        <v>41522</v>
      </c>
      <c r="S1198" s="1196">
        <f>T1198</f>
        <v>11292987</v>
      </c>
      <c r="T1198" s="1119">
        <v>11292987</v>
      </c>
      <c r="U1198" s="1119">
        <f>O1198-T1198</f>
        <v>0</v>
      </c>
      <c r="V1198" s="1084">
        <v>11292987</v>
      </c>
      <c r="W1198" s="1119"/>
      <c r="X1198" s="1076"/>
      <c r="Y1198" s="108" t="s">
        <v>1762</v>
      </c>
      <c r="Z1198" s="109">
        <v>0</v>
      </c>
      <c r="AA1198" s="109">
        <v>4520204.67</v>
      </c>
      <c r="AB1198" s="109">
        <f t="shared" si="98"/>
        <v>4520204.67</v>
      </c>
      <c r="AC1198" s="97">
        <v>41745</v>
      </c>
      <c r="AD1198" s="119">
        <v>4520204.67</v>
      </c>
      <c r="AE1198" s="98" t="s">
        <v>7</v>
      </c>
      <c r="AF1198" s="1084">
        <f>SUM(AD1198:AD1201)</f>
        <v>11292987</v>
      </c>
      <c r="AG1198" s="1084"/>
      <c r="AH1198" s="111">
        <f t="shared" si="96"/>
        <v>0</v>
      </c>
      <c r="AI1198" s="1084">
        <f>P1198-SUM(AD1198:AD1201)</f>
        <v>0</v>
      </c>
      <c r="AJ1198" s="1119"/>
      <c r="AK1198" s="1119">
        <f>P1198-V1198</f>
        <v>0</v>
      </c>
      <c r="AL1198" s="1119">
        <f>V1198-SUM(Z1198:Z1201)</f>
        <v>0</v>
      </c>
      <c r="AM1198" s="1119"/>
      <c r="AN1198" s="1203"/>
      <c r="AO1198" s="1204"/>
    </row>
    <row r="1199" spans="1:41" ht="15" customHeight="1">
      <c r="A1199" s="1214"/>
      <c r="B1199" s="1171"/>
      <c r="C1199" s="1076"/>
      <c r="D1199" s="1076"/>
      <c r="E1199" s="1208"/>
      <c r="F1199" s="1208"/>
      <c r="G1199" s="1076"/>
      <c r="H1199" s="1076"/>
      <c r="I1199" s="1076"/>
      <c r="J1199" s="1076"/>
      <c r="K1199" s="1076"/>
      <c r="L1199" s="1076"/>
      <c r="M1199" s="1209"/>
      <c r="N1199" s="1123"/>
      <c r="O1199" s="1119"/>
      <c r="P1199" s="1119"/>
      <c r="Q1199" s="1119"/>
      <c r="R1199" s="1171"/>
      <c r="S1199" s="1196"/>
      <c r="T1199" s="1119"/>
      <c r="U1199" s="1119"/>
      <c r="V1199" s="1084"/>
      <c r="W1199" s="1119"/>
      <c r="X1199" s="1076"/>
      <c r="Y1199" s="108" t="s">
        <v>1763</v>
      </c>
      <c r="Z1199" s="109">
        <v>4746214.87</v>
      </c>
      <c r="AA1199" s="109">
        <v>-1897221.77</v>
      </c>
      <c r="AB1199" s="109">
        <f t="shared" si="98"/>
        <v>2848993.1</v>
      </c>
      <c r="AC1199" s="97">
        <v>41992</v>
      </c>
      <c r="AD1199" s="119">
        <v>2848993.1</v>
      </c>
      <c r="AE1199" s="98" t="s">
        <v>7</v>
      </c>
      <c r="AF1199" s="1084"/>
      <c r="AG1199" s="1084"/>
      <c r="AH1199" s="111">
        <f t="shared" si="96"/>
        <v>0</v>
      </c>
      <c r="AI1199" s="1084"/>
      <c r="AJ1199" s="1119"/>
      <c r="AK1199" s="1119"/>
      <c r="AL1199" s="1119"/>
      <c r="AM1199" s="1119"/>
      <c r="AN1199" s="1203"/>
      <c r="AO1199" s="1204"/>
    </row>
    <row r="1200" spans="1:41" ht="15" customHeight="1">
      <c r="A1200" s="1214"/>
      <c r="B1200" s="1171"/>
      <c r="C1200" s="1076"/>
      <c r="D1200" s="1076"/>
      <c r="E1200" s="1208"/>
      <c r="F1200" s="1208"/>
      <c r="G1200" s="1076"/>
      <c r="H1200" s="1076"/>
      <c r="I1200" s="1076"/>
      <c r="J1200" s="1076"/>
      <c r="K1200" s="1076"/>
      <c r="L1200" s="1076"/>
      <c r="M1200" s="1209"/>
      <c r="N1200" s="1123"/>
      <c r="O1200" s="1119"/>
      <c r="P1200" s="1119"/>
      <c r="Q1200" s="1119"/>
      <c r="R1200" s="1171"/>
      <c r="S1200" s="1196"/>
      <c r="T1200" s="1119"/>
      <c r="U1200" s="1119"/>
      <c r="V1200" s="1084"/>
      <c r="W1200" s="1119"/>
      <c r="X1200" s="1076"/>
      <c r="Y1200" s="108" t="s">
        <v>1764</v>
      </c>
      <c r="Z1200" s="109">
        <v>4743054.66</v>
      </c>
      <c r="AA1200" s="109">
        <v>-1897221.85</v>
      </c>
      <c r="AB1200" s="109">
        <f t="shared" si="98"/>
        <v>2845832.81</v>
      </c>
      <c r="AC1200" s="97">
        <v>42366</v>
      </c>
      <c r="AD1200" s="119">
        <v>2845832.81</v>
      </c>
      <c r="AE1200" s="98" t="s">
        <v>7</v>
      </c>
      <c r="AF1200" s="1084"/>
      <c r="AG1200" s="1084"/>
      <c r="AH1200" s="111">
        <f t="shared" si="96"/>
        <v>0</v>
      </c>
      <c r="AI1200" s="1084"/>
      <c r="AJ1200" s="1119"/>
      <c r="AK1200" s="1119"/>
      <c r="AL1200" s="1119"/>
      <c r="AM1200" s="1119"/>
      <c r="AN1200" s="1203"/>
      <c r="AO1200" s="1204"/>
    </row>
    <row r="1201" spans="1:43" ht="15" customHeight="1">
      <c r="A1201" s="1214"/>
      <c r="B1201" s="1171"/>
      <c r="C1201" s="1076"/>
      <c r="D1201" s="1076"/>
      <c r="E1201" s="1208"/>
      <c r="F1201" s="1208"/>
      <c r="G1201" s="1076"/>
      <c r="H1201" s="1076"/>
      <c r="I1201" s="1076"/>
      <c r="J1201" s="1076"/>
      <c r="K1201" s="1076"/>
      <c r="L1201" s="1076"/>
      <c r="M1201" s="1209"/>
      <c r="N1201" s="1123"/>
      <c r="O1201" s="1119"/>
      <c r="P1201" s="1119"/>
      <c r="Q1201" s="1119"/>
      <c r="R1201" s="1171"/>
      <c r="S1201" s="1196"/>
      <c r="T1201" s="1119"/>
      <c r="U1201" s="1119"/>
      <c r="V1201" s="1084"/>
      <c r="W1201" s="1119"/>
      <c r="X1201" s="1076"/>
      <c r="Y1201" s="108" t="s">
        <v>1765</v>
      </c>
      <c r="Z1201" s="109">
        <v>1803717.47</v>
      </c>
      <c r="AA1201" s="109">
        <v>-725761.05</v>
      </c>
      <c r="AB1201" s="109">
        <f t="shared" si="98"/>
        <v>1077956.42</v>
      </c>
      <c r="AC1201" s="97">
        <v>42933</v>
      </c>
      <c r="AD1201" s="119">
        <v>1077956.42</v>
      </c>
      <c r="AE1201" s="98" t="s">
        <v>7</v>
      </c>
      <c r="AF1201" s="1084"/>
      <c r="AG1201" s="1084"/>
      <c r="AH1201" s="111">
        <f t="shared" si="96"/>
        <v>0</v>
      </c>
      <c r="AI1201" s="1084"/>
      <c r="AJ1201" s="1119"/>
      <c r="AK1201" s="1119"/>
      <c r="AL1201" s="1119"/>
      <c r="AM1201" s="1119"/>
      <c r="AN1201" s="1203"/>
      <c r="AO1201" s="1204"/>
    </row>
    <row r="1202" spans="1:43" ht="15" customHeight="1">
      <c r="A1202" s="1214"/>
      <c r="B1202" s="1171"/>
      <c r="C1202" s="1076"/>
      <c r="D1202" s="1076"/>
      <c r="E1202" s="1208"/>
      <c r="F1202" s="1208"/>
      <c r="G1202" s="1076"/>
      <c r="H1202" s="1076"/>
      <c r="I1202" s="1076"/>
      <c r="J1202" s="1076" t="s">
        <v>67</v>
      </c>
      <c r="K1202" s="1076"/>
      <c r="L1202" s="1076"/>
      <c r="M1202" s="1209">
        <v>342</v>
      </c>
      <c r="N1202" s="1123" t="s">
        <v>137</v>
      </c>
      <c r="O1202" s="1119">
        <v>26101003</v>
      </c>
      <c r="P1202" s="1119">
        <v>26101003</v>
      </c>
      <c r="Q1202" s="1119"/>
      <c r="R1202" s="1171">
        <v>42611</v>
      </c>
      <c r="S1202" s="1196">
        <f>T1202</f>
        <v>26101003</v>
      </c>
      <c r="T1202" s="1196">
        <v>26101003</v>
      </c>
      <c r="U1202" s="1196">
        <f>O1202-T1202</f>
        <v>0</v>
      </c>
      <c r="V1202" s="1084">
        <v>26101003</v>
      </c>
      <c r="W1202" s="1119"/>
      <c r="X1202" s="1076"/>
      <c r="Y1202" s="108" t="s">
        <v>1766</v>
      </c>
      <c r="Z1202" s="109">
        <v>8352321</v>
      </c>
      <c r="AA1202" s="109">
        <v>0</v>
      </c>
      <c r="AB1202" s="109">
        <f t="shared" si="98"/>
        <v>8352321</v>
      </c>
      <c r="AC1202" s="97">
        <v>42933</v>
      </c>
      <c r="AD1202" s="119">
        <v>8352321</v>
      </c>
      <c r="AE1202" s="98" t="s">
        <v>137</v>
      </c>
      <c r="AF1202" s="1084">
        <f>AD1202+AD1203</f>
        <v>8352321</v>
      </c>
      <c r="AG1202" s="1084"/>
      <c r="AH1202" s="111">
        <f t="shared" si="96"/>
        <v>0</v>
      </c>
      <c r="AI1202" s="1084">
        <f>P1202-AD1202-AD1203</f>
        <v>17748682</v>
      </c>
      <c r="AJ1202" s="1119"/>
      <c r="AK1202" s="1119">
        <f>P1202-V1202</f>
        <v>0</v>
      </c>
      <c r="AL1202" s="1119">
        <f>V1202-SUM(Z1202:Z1203)</f>
        <v>17748682</v>
      </c>
      <c r="AM1202" s="1119"/>
      <c r="AN1202" s="1203"/>
      <c r="AO1202" s="1204"/>
    </row>
    <row r="1203" spans="1:43" ht="15" customHeight="1">
      <c r="A1203" s="1214"/>
      <c r="B1203" s="1171"/>
      <c r="C1203" s="1076"/>
      <c r="D1203" s="1076"/>
      <c r="E1203" s="1208"/>
      <c r="F1203" s="1208"/>
      <c r="G1203" s="1076"/>
      <c r="H1203" s="1076"/>
      <c r="I1203" s="1076"/>
      <c r="J1203" s="1076"/>
      <c r="K1203" s="1076"/>
      <c r="L1203" s="1076"/>
      <c r="M1203" s="1209"/>
      <c r="N1203" s="1123"/>
      <c r="O1203" s="1119"/>
      <c r="P1203" s="1119"/>
      <c r="Q1203" s="1119"/>
      <c r="R1203" s="1171"/>
      <c r="S1203" s="1196"/>
      <c r="T1203" s="1196"/>
      <c r="U1203" s="1196"/>
      <c r="V1203" s="1084"/>
      <c r="W1203" s="1119"/>
      <c r="X1203" s="1076"/>
      <c r="Y1203" s="108"/>
      <c r="Z1203" s="109"/>
      <c r="AA1203" s="109"/>
      <c r="AB1203" s="109">
        <f t="shared" si="98"/>
        <v>0</v>
      </c>
      <c r="AC1203" s="97"/>
      <c r="AD1203" s="119"/>
      <c r="AE1203" s="98"/>
      <c r="AF1203" s="1084"/>
      <c r="AG1203" s="1084"/>
      <c r="AH1203" s="111">
        <f t="shared" si="96"/>
        <v>0</v>
      </c>
      <c r="AI1203" s="1084"/>
      <c r="AJ1203" s="1119"/>
      <c r="AK1203" s="1119"/>
      <c r="AL1203" s="1119"/>
      <c r="AM1203" s="1119"/>
      <c r="AN1203" s="1203"/>
      <c r="AO1203" s="1204"/>
    </row>
    <row r="1204" spans="1:43" s="4" customFormat="1" ht="15" customHeight="1">
      <c r="A1204" s="1214" t="s">
        <v>2158</v>
      </c>
      <c r="B1204" s="1171">
        <v>41635</v>
      </c>
      <c r="C1204" s="1011" t="s">
        <v>34</v>
      </c>
      <c r="D1204" s="1011" t="s">
        <v>2157</v>
      </c>
      <c r="E1204" s="1011">
        <v>10753700</v>
      </c>
      <c r="F1204" s="1011"/>
      <c r="G1204" s="1011" t="s">
        <v>2156</v>
      </c>
      <c r="H1204" s="1011" t="s">
        <v>71</v>
      </c>
      <c r="I1204" s="1011" t="s">
        <v>2036</v>
      </c>
      <c r="J1204" s="1011" t="s">
        <v>66</v>
      </c>
      <c r="K1204" s="1011" t="s">
        <v>48</v>
      </c>
      <c r="L1204" s="1011" t="s">
        <v>2155</v>
      </c>
      <c r="M1204" s="1009">
        <v>291</v>
      </c>
      <c r="N1204" s="1065" t="s">
        <v>7</v>
      </c>
      <c r="O1204" s="1062">
        <v>249876522</v>
      </c>
      <c r="P1204" s="1062">
        <v>249876522</v>
      </c>
      <c r="Q1204" s="1062">
        <f>P1204+P1206+P1208</f>
        <v>479313848</v>
      </c>
      <c r="R1204" s="1068">
        <v>41533</v>
      </c>
      <c r="S1204" s="1089">
        <f>T1204</f>
        <v>249876522</v>
      </c>
      <c r="T1204" s="1062">
        <v>249876522</v>
      </c>
      <c r="U1204" s="1089">
        <f>P1204-T1204</f>
        <v>0</v>
      </c>
      <c r="V1204" s="1062">
        <v>354508261</v>
      </c>
      <c r="W1204" s="1062">
        <f>V1204+V1208</f>
        <v>472245337</v>
      </c>
      <c r="X1204" s="1011"/>
      <c r="Y1204" s="108"/>
      <c r="Z1204" s="109"/>
      <c r="AA1204" s="109"/>
      <c r="AB1204" s="109"/>
      <c r="AC1204" s="97"/>
      <c r="AD1204" s="119">
        <v>0</v>
      </c>
      <c r="AE1204" s="1065" t="s">
        <v>7</v>
      </c>
      <c r="AF1204" s="1043">
        <f>AD1204+AD1205</f>
        <v>0</v>
      </c>
      <c r="AG1204" s="111"/>
      <c r="AH1204" s="111">
        <f t="shared" ref="AH1204:AH1210" si="99">AB1204-AD1204</f>
        <v>0</v>
      </c>
      <c r="AI1204" s="1043">
        <f>P1204-AF1204</f>
        <v>249876522</v>
      </c>
      <c r="AJ1204" s="1062"/>
      <c r="AK1204" s="1062"/>
      <c r="AL1204" s="1062"/>
      <c r="AM1204" s="1062"/>
      <c r="AN1204" s="1108"/>
      <c r="AO1204" s="1103" t="s">
        <v>2154</v>
      </c>
      <c r="AQ1204" s="934"/>
    </row>
    <row r="1205" spans="1:43" s="4" customFormat="1" ht="15" customHeight="1">
      <c r="A1205" s="1214"/>
      <c r="B1205" s="1171"/>
      <c r="C1205" s="1033"/>
      <c r="D1205" s="1033"/>
      <c r="E1205" s="1033"/>
      <c r="F1205" s="1033"/>
      <c r="G1205" s="1033"/>
      <c r="H1205" s="1033"/>
      <c r="I1205" s="1033"/>
      <c r="J1205" s="1033"/>
      <c r="K1205" s="1033"/>
      <c r="L1205" s="1033"/>
      <c r="M1205" s="1039"/>
      <c r="N1205" s="1066"/>
      <c r="O1205" s="1064"/>
      <c r="P1205" s="1064"/>
      <c r="Q1205" s="1063"/>
      <c r="R1205" s="1070"/>
      <c r="S1205" s="1091"/>
      <c r="T1205" s="1064"/>
      <c r="U1205" s="1091"/>
      <c r="V1205" s="1063"/>
      <c r="W1205" s="1063"/>
      <c r="X1205" s="1033"/>
      <c r="Y1205" s="108"/>
      <c r="Z1205" s="109"/>
      <c r="AA1205" s="109"/>
      <c r="AB1205" s="109"/>
      <c r="AC1205" s="97"/>
      <c r="AD1205" s="119">
        <v>0</v>
      </c>
      <c r="AE1205" s="1066"/>
      <c r="AF1205" s="1045"/>
      <c r="AG1205" s="111"/>
      <c r="AH1205" s="111">
        <f t="shared" si="99"/>
        <v>0</v>
      </c>
      <c r="AI1205" s="1045"/>
      <c r="AJ1205" s="1063"/>
      <c r="AK1205" s="1064"/>
      <c r="AL1205" s="1064"/>
      <c r="AM1205" s="1064"/>
      <c r="AN1205" s="1109"/>
      <c r="AO1205" s="1104"/>
      <c r="AQ1205" s="934"/>
    </row>
    <row r="1206" spans="1:43" s="4" customFormat="1" ht="15" customHeight="1">
      <c r="A1206" s="1214"/>
      <c r="B1206" s="1171"/>
      <c r="C1206" s="1033"/>
      <c r="D1206" s="1033"/>
      <c r="E1206" s="1033"/>
      <c r="F1206" s="1033"/>
      <c r="G1206" s="1033"/>
      <c r="H1206" s="1033"/>
      <c r="I1206" s="1033"/>
      <c r="J1206" s="1033"/>
      <c r="K1206" s="1033"/>
      <c r="L1206" s="1033"/>
      <c r="M1206" s="1009">
        <v>3</v>
      </c>
      <c r="N1206" s="1065" t="s">
        <v>159</v>
      </c>
      <c r="O1206" s="1062">
        <v>111700250</v>
      </c>
      <c r="P1206" s="1062">
        <v>111700250</v>
      </c>
      <c r="Q1206" s="1063"/>
      <c r="R1206" s="1068">
        <v>41536</v>
      </c>
      <c r="S1206" s="1062">
        <f>T1206</f>
        <v>111700250</v>
      </c>
      <c r="T1206" s="1062">
        <v>111700250</v>
      </c>
      <c r="U1206" s="1062">
        <f>P1206-T1206</f>
        <v>0</v>
      </c>
      <c r="V1206" s="1063"/>
      <c r="W1206" s="1063"/>
      <c r="X1206" s="1033"/>
      <c r="Y1206" s="108"/>
      <c r="Z1206" s="109"/>
      <c r="AA1206" s="109"/>
      <c r="AB1206" s="109"/>
      <c r="AC1206" s="97"/>
      <c r="AD1206" s="119">
        <v>0</v>
      </c>
      <c r="AE1206" s="1065" t="s">
        <v>159</v>
      </c>
      <c r="AF1206" s="1043">
        <f>AD1206+AD1207</f>
        <v>0</v>
      </c>
      <c r="AG1206" s="111"/>
      <c r="AH1206" s="111">
        <f t="shared" si="99"/>
        <v>0</v>
      </c>
      <c r="AI1206" s="1043">
        <f>P1206-AF1206</f>
        <v>111700250</v>
      </c>
      <c r="AJ1206" s="1063"/>
      <c r="AK1206" s="1062"/>
      <c r="AL1206" s="1062"/>
      <c r="AM1206" s="1062"/>
      <c r="AN1206" s="1109"/>
      <c r="AO1206" s="1104"/>
      <c r="AQ1206" s="934"/>
    </row>
    <row r="1207" spans="1:43" s="4" customFormat="1" ht="15" customHeight="1">
      <c r="A1207" s="1214"/>
      <c r="B1207" s="1171"/>
      <c r="C1207" s="1033"/>
      <c r="D1207" s="1033"/>
      <c r="E1207" s="1033"/>
      <c r="F1207" s="1033"/>
      <c r="G1207" s="1033"/>
      <c r="H1207" s="1033"/>
      <c r="I1207" s="1033"/>
      <c r="J1207" s="1033"/>
      <c r="K1207" s="1033"/>
      <c r="L1207" s="1033"/>
      <c r="M1207" s="1010"/>
      <c r="N1207" s="1066"/>
      <c r="O1207" s="1064"/>
      <c r="P1207" s="1064"/>
      <c r="Q1207" s="1063"/>
      <c r="R1207" s="1070"/>
      <c r="S1207" s="1064"/>
      <c r="T1207" s="1064"/>
      <c r="U1207" s="1064"/>
      <c r="V1207" s="1064"/>
      <c r="W1207" s="1063"/>
      <c r="X1207" s="1033"/>
      <c r="Y1207" s="108"/>
      <c r="Z1207" s="109"/>
      <c r="AA1207" s="109"/>
      <c r="AB1207" s="109"/>
      <c r="AC1207" s="97"/>
      <c r="AD1207" s="119">
        <v>0</v>
      </c>
      <c r="AE1207" s="1066"/>
      <c r="AF1207" s="1045"/>
      <c r="AG1207" s="111"/>
      <c r="AH1207" s="111">
        <f t="shared" si="99"/>
        <v>0</v>
      </c>
      <c r="AI1207" s="1045"/>
      <c r="AJ1207" s="1063"/>
      <c r="AK1207" s="1064"/>
      <c r="AL1207" s="1064"/>
      <c r="AM1207" s="1064"/>
      <c r="AN1207" s="1109"/>
      <c r="AO1207" s="1104"/>
      <c r="AQ1207" s="934"/>
    </row>
    <row r="1208" spans="1:43" s="4" customFormat="1" ht="15" customHeight="1">
      <c r="A1208" s="1214"/>
      <c r="B1208" s="1171"/>
      <c r="C1208" s="1033"/>
      <c r="D1208" s="1033"/>
      <c r="E1208" s="1033"/>
      <c r="F1208" s="1033"/>
      <c r="G1208" s="1033"/>
      <c r="H1208" s="1033"/>
      <c r="I1208" s="1033"/>
      <c r="J1208" s="1011" t="s">
        <v>67</v>
      </c>
      <c r="K1208" s="1033"/>
      <c r="L1208" s="1033"/>
      <c r="M1208" s="1009">
        <v>2646</v>
      </c>
      <c r="N1208" s="1065" t="s">
        <v>159</v>
      </c>
      <c r="O1208" s="1062">
        <v>117737076</v>
      </c>
      <c r="P1208" s="1062">
        <v>117737076</v>
      </c>
      <c r="Q1208" s="1063"/>
      <c r="R1208" s="1068">
        <v>42860</v>
      </c>
      <c r="S1208" s="1089">
        <f>T1208</f>
        <v>117737076</v>
      </c>
      <c r="T1208" s="1062">
        <v>117737076</v>
      </c>
      <c r="U1208" s="1089">
        <f>P1208-T1208</f>
        <v>0</v>
      </c>
      <c r="V1208" s="1062">
        <f>O1208</f>
        <v>117737076</v>
      </c>
      <c r="W1208" s="1063"/>
      <c r="X1208" s="1033"/>
      <c r="Y1208" s="108"/>
      <c r="Z1208" s="109"/>
      <c r="AA1208" s="109"/>
      <c r="AB1208" s="109"/>
      <c r="AC1208" s="97"/>
      <c r="AD1208" s="119">
        <v>0</v>
      </c>
      <c r="AE1208" s="1065" t="s">
        <v>159</v>
      </c>
      <c r="AF1208" s="1043">
        <f>AD1208+AD1209</f>
        <v>0</v>
      </c>
      <c r="AG1208" s="111"/>
      <c r="AH1208" s="111">
        <f t="shared" si="99"/>
        <v>0</v>
      </c>
      <c r="AI1208" s="1043">
        <f>P1208-AF1208</f>
        <v>117737076</v>
      </c>
      <c r="AJ1208" s="1063"/>
      <c r="AK1208" s="1062"/>
      <c r="AL1208" s="1062"/>
      <c r="AM1208" s="1062"/>
      <c r="AN1208" s="1109"/>
      <c r="AO1208" s="1104"/>
      <c r="AQ1208" s="934"/>
    </row>
    <row r="1209" spans="1:43" s="4" customFormat="1" ht="15" customHeight="1">
      <c r="A1209" s="1214"/>
      <c r="B1209" s="1171"/>
      <c r="C1209" s="1012"/>
      <c r="D1209" s="1012"/>
      <c r="E1209" s="1012"/>
      <c r="F1209" s="1012"/>
      <c r="G1209" s="1012"/>
      <c r="H1209" s="1012"/>
      <c r="I1209" s="1012"/>
      <c r="J1209" s="1033"/>
      <c r="K1209" s="1012"/>
      <c r="L1209" s="1012"/>
      <c r="M1209" s="1010"/>
      <c r="N1209" s="1066"/>
      <c r="O1209" s="1064"/>
      <c r="P1209" s="1064"/>
      <c r="Q1209" s="1064"/>
      <c r="R1209" s="1070"/>
      <c r="S1209" s="1091"/>
      <c r="T1209" s="1064"/>
      <c r="U1209" s="1091"/>
      <c r="V1209" s="1064"/>
      <c r="W1209" s="1064"/>
      <c r="X1209" s="1012"/>
      <c r="Y1209" s="108"/>
      <c r="Z1209" s="109"/>
      <c r="AA1209" s="109"/>
      <c r="AB1209" s="109"/>
      <c r="AC1209" s="97"/>
      <c r="AD1209" s="119">
        <v>0</v>
      </c>
      <c r="AE1209" s="1066"/>
      <c r="AF1209" s="1045"/>
      <c r="AG1209" s="111"/>
      <c r="AH1209" s="111">
        <f t="shared" si="99"/>
        <v>0</v>
      </c>
      <c r="AI1209" s="1045"/>
      <c r="AJ1209" s="1064"/>
      <c r="AK1209" s="1064"/>
      <c r="AL1209" s="1064"/>
      <c r="AM1209" s="1064"/>
      <c r="AN1209" s="1110"/>
      <c r="AO1209" s="1105"/>
      <c r="AQ1209" s="934"/>
    </row>
    <row r="1210" spans="1:43" ht="15" customHeight="1">
      <c r="A1210" s="1214" t="s">
        <v>1720</v>
      </c>
      <c r="B1210" s="1171">
        <v>41639</v>
      </c>
      <c r="C1210" s="1076" t="s">
        <v>24</v>
      </c>
      <c r="D1210" s="1076" t="s">
        <v>1721</v>
      </c>
      <c r="E1210" s="1208">
        <v>860503545</v>
      </c>
      <c r="F1210" s="1208">
        <v>1</v>
      </c>
      <c r="G1210" s="1076" t="s">
        <v>1722</v>
      </c>
      <c r="H1210" s="1076" t="s">
        <v>70</v>
      </c>
      <c r="I1210" s="1076" t="s">
        <v>206</v>
      </c>
      <c r="J1210" s="1076" t="s">
        <v>66</v>
      </c>
      <c r="K1210" s="1076" t="s">
        <v>49</v>
      </c>
      <c r="L1210" s="1076" t="s">
        <v>1723</v>
      </c>
      <c r="M1210" s="1209">
        <v>284</v>
      </c>
      <c r="N1210" s="1123" t="s">
        <v>137</v>
      </c>
      <c r="O1210" s="1119">
        <v>170540486</v>
      </c>
      <c r="P1210" s="1119">
        <v>170540486</v>
      </c>
      <c r="Q1210" s="1119">
        <f>P1210+P1216+P1222</f>
        <v>353962767</v>
      </c>
      <c r="R1210" s="1171">
        <v>41449</v>
      </c>
      <c r="S1210" s="1196">
        <f>T1210</f>
        <v>170540486</v>
      </c>
      <c r="T1210" s="1196">
        <v>170540486</v>
      </c>
      <c r="U1210" s="1196">
        <f>O1210-T1210</f>
        <v>0</v>
      </c>
      <c r="V1210" s="1084">
        <v>170534367</v>
      </c>
      <c r="W1210" s="1119">
        <f>238744240+V1222</f>
        <v>353954200</v>
      </c>
      <c r="X1210" s="1076" t="s">
        <v>1271</v>
      </c>
      <c r="Y1210" s="108" t="s">
        <v>1724</v>
      </c>
      <c r="Z1210" s="109">
        <v>0</v>
      </c>
      <c r="AA1210" s="109">
        <v>68213747</v>
      </c>
      <c r="AB1210" s="109">
        <f t="shared" ref="AB1210:AB1222" si="100">Z1210+AA1210</f>
        <v>68213747</v>
      </c>
      <c r="AC1210" s="97">
        <v>41855</v>
      </c>
      <c r="AD1210" s="119">
        <v>68213747</v>
      </c>
      <c r="AE1210" s="98" t="s">
        <v>137</v>
      </c>
      <c r="AF1210" s="1084">
        <f>SUM(AD1210:AD1215)</f>
        <v>163706170.63</v>
      </c>
      <c r="AG1210" s="1084">
        <f>AF1210+AF1216+AF1222</f>
        <v>317846611.13999999</v>
      </c>
      <c r="AH1210" s="111">
        <f t="shared" si="99"/>
        <v>0</v>
      </c>
      <c r="AI1210" s="1084">
        <f>O1210-SUM(AD1210:AD1215)</f>
        <v>6834315.3700000048</v>
      </c>
      <c r="AJ1210" s="1119">
        <f>SUM(Z1210:Z1224)-SUM(AD1210:AD1224)</f>
        <v>36096248.980000019</v>
      </c>
      <c r="AK1210" s="1119">
        <f>P1210-V1210</f>
        <v>6119</v>
      </c>
      <c r="AL1210" s="1119">
        <f>V1210-SUM(Z1210:Z1215)</f>
        <v>0</v>
      </c>
      <c r="AM1210" s="1119"/>
      <c r="AN1210" s="1203"/>
      <c r="AO1210" s="1204" t="s">
        <v>1666</v>
      </c>
    </row>
    <row r="1211" spans="1:43" ht="15" customHeight="1">
      <c r="A1211" s="1214"/>
      <c r="B1211" s="1171"/>
      <c r="C1211" s="1076"/>
      <c r="D1211" s="1076"/>
      <c r="E1211" s="1208"/>
      <c r="F1211" s="1208"/>
      <c r="G1211" s="1076"/>
      <c r="H1211" s="1076"/>
      <c r="I1211" s="1076"/>
      <c r="J1211" s="1076"/>
      <c r="K1211" s="1076"/>
      <c r="L1211" s="1076"/>
      <c r="M1211" s="1209"/>
      <c r="N1211" s="1123"/>
      <c r="O1211" s="1119"/>
      <c r="P1211" s="1119"/>
      <c r="Q1211" s="1119"/>
      <c r="R1211" s="1171"/>
      <c r="S1211" s="1196"/>
      <c r="T1211" s="1196"/>
      <c r="U1211" s="1196"/>
      <c r="V1211" s="1084"/>
      <c r="W1211" s="1119"/>
      <c r="X1211" s="1076"/>
      <c r="Y1211" s="108" t="s">
        <v>1725</v>
      </c>
      <c r="Z1211" s="109">
        <v>57640615.920000002</v>
      </c>
      <c r="AA1211" s="109">
        <v>-23056246.370000001</v>
      </c>
      <c r="AB1211" s="109">
        <f t="shared" si="100"/>
        <v>34584369.549999997</v>
      </c>
      <c r="AC1211" s="97">
        <v>41904</v>
      </c>
      <c r="AD1211" s="119">
        <v>34584369.549999997</v>
      </c>
      <c r="AE1211" s="98" t="s">
        <v>137</v>
      </c>
      <c r="AF1211" s="1084"/>
      <c r="AG1211" s="1084"/>
      <c r="AH1211" s="111">
        <f t="shared" ref="AH1211:AH1216" si="101">AB1211-AD1211</f>
        <v>0</v>
      </c>
      <c r="AI1211" s="1084"/>
      <c r="AJ1211" s="1119"/>
      <c r="AK1211" s="1119"/>
      <c r="AL1211" s="1119"/>
      <c r="AM1211" s="1119"/>
      <c r="AN1211" s="1203"/>
      <c r="AO1211" s="1204"/>
    </row>
    <row r="1212" spans="1:43" ht="15" customHeight="1">
      <c r="A1212" s="1214"/>
      <c r="B1212" s="1171"/>
      <c r="C1212" s="1076"/>
      <c r="D1212" s="1076"/>
      <c r="E1212" s="1208"/>
      <c r="F1212" s="1208"/>
      <c r="G1212" s="1076"/>
      <c r="H1212" s="1076"/>
      <c r="I1212" s="1076"/>
      <c r="J1212" s="1076"/>
      <c r="K1212" s="1076"/>
      <c r="L1212" s="1076"/>
      <c r="M1212" s="1209"/>
      <c r="N1212" s="1123"/>
      <c r="O1212" s="1119"/>
      <c r="P1212" s="1119"/>
      <c r="Q1212" s="1119"/>
      <c r="R1212" s="1171"/>
      <c r="S1212" s="1196"/>
      <c r="T1212" s="1196"/>
      <c r="U1212" s="1196"/>
      <c r="V1212" s="1084"/>
      <c r="W1212" s="1119"/>
      <c r="X1212" s="1076"/>
      <c r="Y1212" s="108" t="s">
        <v>1726</v>
      </c>
      <c r="Z1212" s="109">
        <v>55645363.460000001</v>
      </c>
      <c r="AA1212" s="109">
        <v>-22258145.379999999</v>
      </c>
      <c r="AB1212" s="109">
        <f t="shared" si="100"/>
        <v>33387218.080000002</v>
      </c>
      <c r="AC1212" s="97">
        <v>42089</v>
      </c>
      <c r="AD1212" s="119">
        <v>33387218.079999998</v>
      </c>
      <c r="AE1212" s="98" t="s">
        <v>137</v>
      </c>
      <c r="AF1212" s="1084"/>
      <c r="AG1212" s="1084"/>
      <c r="AH1212" s="111">
        <f t="shared" si="101"/>
        <v>0</v>
      </c>
      <c r="AI1212" s="1084"/>
      <c r="AJ1212" s="1119"/>
      <c r="AK1212" s="1119"/>
      <c r="AL1212" s="1119"/>
      <c r="AM1212" s="1119"/>
      <c r="AN1212" s="1203"/>
      <c r="AO1212" s="1204"/>
    </row>
    <row r="1213" spans="1:43" ht="15" customHeight="1">
      <c r="A1213" s="1214"/>
      <c r="B1213" s="1171"/>
      <c r="C1213" s="1076"/>
      <c r="D1213" s="1076"/>
      <c r="E1213" s="1208"/>
      <c r="F1213" s="1208"/>
      <c r="G1213" s="1076"/>
      <c r="H1213" s="1076"/>
      <c r="I1213" s="1076"/>
      <c r="J1213" s="1076"/>
      <c r="K1213" s="1076"/>
      <c r="L1213" s="1076"/>
      <c r="M1213" s="1209"/>
      <c r="N1213" s="1123"/>
      <c r="O1213" s="1119"/>
      <c r="P1213" s="1119"/>
      <c r="Q1213" s="1119"/>
      <c r="R1213" s="1171"/>
      <c r="S1213" s="1196"/>
      <c r="T1213" s="1196"/>
      <c r="U1213" s="1196"/>
      <c r="V1213" s="1084"/>
      <c r="W1213" s="1119"/>
      <c r="X1213" s="1076"/>
      <c r="Y1213" s="108" t="s">
        <v>1727</v>
      </c>
      <c r="Z1213" s="109">
        <v>40177896.189999998</v>
      </c>
      <c r="AA1213" s="109">
        <v>-16071158.619999999</v>
      </c>
      <c r="AB1213" s="109">
        <f t="shared" si="100"/>
        <v>24106737.57</v>
      </c>
      <c r="AC1213" s="97">
        <v>42121</v>
      </c>
      <c r="AD1213" s="119">
        <v>24106737.57</v>
      </c>
      <c r="AE1213" s="98" t="s">
        <v>137</v>
      </c>
      <c r="AF1213" s="1084"/>
      <c r="AG1213" s="1084"/>
      <c r="AH1213" s="111">
        <f t="shared" si="101"/>
        <v>0</v>
      </c>
      <c r="AI1213" s="1084"/>
      <c r="AJ1213" s="1119"/>
      <c r="AK1213" s="1119"/>
      <c r="AL1213" s="1119"/>
      <c r="AM1213" s="1119"/>
      <c r="AN1213" s="1203"/>
      <c r="AO1213" s="1204"/>
    </row>
    <row r="1214" spans="1:43" ht="15" customHeight="1">
      <c r="A1214" s="1214"/>
      <c r="B1214" s="1171"/>
      <c r="C1214" s="1076"/>
      <c r="D1214" s="1076"/>
      <c r="E1214" s="1208"/>
      <c r="F1214" s="1208"/>
      <c r="G1214" s="1076"/>
      <c r="H1214" s="1076"/>
      <c r="I1214" s="1076"/>
      <c r="J1214" s="1076"/>
      <c r="K1214" s="1076"/>
      <c r="L1214" s="1076"/>
      <c r="M1214" s="1209"/>
      <c r="N1214" s="1123"/>
      <c r="O1214" s="1119"/>
      <c r="P1214" s="1119"/>
      <c r="Q1214" s="1119"/>
      <c r="R1214" s="1171"/>
      <c r="S1214" s="1196"/>
      <c r="T1214" s="1196"/>
      <c r="U1214" s="1196"/>
      <c r="V1214" s="1084"/>
      <c r="W1214" s="1119"/>
      <c r="X1214" s="1076"/>
      <c r="Y1214" s="108" t="s">
        <v>1728</v>
      </c>
      <c r="Z1214" s="109">
        <v>10242294.76</v>
      </c>
      <c r="AA1214" s="109">
        <v>-6828196.3300000001</v>
      </c>
      <c r="AB1214" s="109">
        <f t="shared" si="100"/>
        <v>3414098.4299999997</v>
      </c>
      <c r="AC1214" s="97">
        <v>42299</v>
      </c>
      <c r="AD1214" s="119">
        <v>3414098.43</v>
      </c>
      <c r="AE1214" s="98" t="s">
        <v>137</v>
      </c>
      <c r="AF1214" s="1084"/>
      <c r="AG1214" s="1084"/>
      <c r="AH1214" s="111">
        <f t="shared" si="101"/>
        <v>0</v>
      </c>
      <c r="AI1214" s="1084"/>
      <c r="AJ1214" s="1119"/>
      <c r="AK1214" s="1119"/>
      <c r="AL1214" s="1119"/>
      <c r="AM1214" s="1119"/>
      <c r="AN1214" s="1203"/>
      <c r="AO1214" s="1204"/>
    </row>
    <row r="1215" spans="1:43" ht="15" customHeight="1">
      <c r="A1215" s="1214"/>
      <c r="B1215" s="1171"/>
      <c r="C1215" s="1076"/>
      <c r="D1215" s="1076"/>
      <c r="E1215" s="1208"/>
      <c r="F1215" s="1208"/>
      <c r="G1215" s="1076"/>
      <c r="H1215" s="1076"/>
      <c r="I1215" s="1076"/>
      <c r="J1215" s="1076"/>
      <c r="K1215" s="1076"/>
      <c r="L1215" s="1076"/>
      <c r="M1215" s="1209"/>
      <c r="N1215" s="1123"/>
      <c r="O1215" s="1119"/>
      <c r="P1215" s="1119"/>
      <c r="Q1215" s="1119"/>
      <c r="R1215" s="1171"/>
      <c r="S1215" s="1196"/>
      <c r="T1215" s="1196"/>
      <c r="U1215" s="1196"/>
      <c r="V1215" s="1084"/>
      <c r="W1215" s="1119"/>
      <c r="X1215" s="1076"/>
      <c r="Y1215" s="108" t="s">
        <v>1731</v>
      </c>
      <c r="Z1215" s="109">
        <v>6828196.6700000167</v>
      </c>
      <c r="AA1215" s="109"/>
      <c r="AB1215" s="109">
        <f t="shared" si="100"/>
        <v>6828196.6700000167</v>
      </c>
      <c r="AC1215" s="97"/>
      <c r="AD1215" s="119"/>
      <c r="AE1215" s="98"/>
      <c r="AF1215" s="1084"/>
      <c r="AG1215" s="1084"/>
      <c r="AH1215" s="111">
        <f t="shared" si="101"/>
        <v>6828196.6700000167</v>
      </c>
      <c r="AI1215" s="1084"/>
      <c r="AJ1215" s="1119"/>
      <c r="AK1215" s="1119"/>
      <c r="AL1215" s="1119"/>
      <c r="AM1215" s="1119"/>
      <c r="AN1215" s="1203"/>
      <c r="AO1215" s="1204"/>
    </row>
    <row r="1216" spans="1:43" ht="15" customHeight="1">
      <c r="A1216" s="1214"/>
      <c r="B1216" s="1171"/>
      <c r="C1216" s="1076"/>
      <c r="D1216" s="1076"/>
      <c r="E1216" s="1208"/>
      <c r="F1216" s="1208"/>
      <c r="G1216" s="1076"/>
      <c r="H1216" s="1076"/>
      <c r="I1216" s="1076"/>
      <c r="J1216" s="1076"/>
      <c r="K1216" s="1076"/>
      <c r="L1216" s="1076"/>
      <c r="M1216" s="1209">
        <v>285</v>
      </c>
      <c r="N1216" s="1123" t="s">
        <v>137</v>
      </c>
      <c r="O1216" s="1119">
        <v>68212321</v>
      </c>
      <c r="P1216" s="1119">
        <v>68212321</v>
      </c>
      <c r="Q1216" s="1119"/>
      <c r="R1216" s="1171">
        <v>41449</v>
      </c>
      <c r="S1216" s="1119">
        <f>T1216</f>
        <v>68212321</v>
      </c>
      <c r="T1216" s="1119">
        <v>68212321</v>
      </c>
      <c r="U1216" s="1119">
        <f>O1216-T1216</f>
        <v>0</v>
      </c>
      <c r="V1216" s="1084">
        <v>68209873</v>
      </c>
      <c r="W1216" s="1119"/>
      <c r="X1216" s="1076"/>
      <c r="Y1216" s="108" t="s">
        <v>1724</v>
      </c>
      <c r="Z1216" s="109">
        <v>0</v>
      </c>
      <c r="AA1216" s="109">
        <v>27283949</v>
      </c>
      <c r="AB1216" s="109">
        <f t="shared" si="100"/>
        <v>27283949</v>
      </c>
      <c r="AC1216" s="97">
        <v>41855</v>
      </c>
      <c r="AD1216" s="119">
        <v>27283949</v>
      </c>
      <c r="AE1216" s="98" t="s">
        <v>137</v>
      </c>
      <c r="AF1216" s="1084">
        <f>SUM(AD1216:AD1221)</f>
        <v>65478749.509999998</v>
      </c>
      <c r="AG1216" s="1084"/>
      <c r="AH1216" s="111">
        <f t="shared" si="101"/>
        <v>0</v>
      </c>
      <c r="AI1216" s="1084">
        <f>O1216-SUM(AD1216:AD1221)</f>
        <v>2733571.4900000021</v>
      </c>
      <c r="AJ1216" s="1119"/>
      <c r="AK1216" s="1119">
        <f>P1216-V1216</f>
        <v>2448</v>
      </c>
      <c r="AL1216" s="1119">
        <f>V1216-SUM(Z1216:Z1221)</f>
        <v>0</v>
      </c>
      <c r="AM1216" s="1119"/>
      <c r="AN1216" s="1203"/>
      <c r="AO1216" s="1204"/>
    </row>
    <row r="1217" spans="1:41" ht="15" customHeight="1">
      <c r="A1217" s="1214"/>
      <c r="B1217" s="1171"/>
      <c r="C1217" s="1076"/>
      <c r="D1217" s="1076"/>
      <c r="E1217" s="1208"/>
      <c r="F1217" s="1208"/>
      <c r="G1217" s="1076"/>
      <c r="H1217" s="1076"/>
      <c r="I1217" s="1076"/>
      <c r="J1217" s="1076"/>
      <c r="K1217" s="1076"/>
      <c r="L1217" s="1076"/>
      <c r="M1217" s="1209"/>
      <c r="N1217" s="1123"/>
      <c r="O1217" s="1119"/>
      <c r="P1217" s="1119"/>
      <c r="Q1217" s="1119"/>
      <c r="R1217" s="1171"/>
      <c r="S1217" s="1119"/>
      <c r="T1217" s="1119"/>
      <c r="U1217" s="1119"/>
      <c r="V1217" s="1084"/>
      <c r="W1217" s="1119"/>
      <c r="X1217" s="1076"/>
      <c r="Y1217" s="108" t="s">
        <v>1725</v>
      </c>
      <c r="Z1217" s="109">
        <v>23054937.199999999</v>
      </c>
      <c r="AA1217" s="109">
        <v>-9221974.8800000008</v>
      </c>
      <c r="AB1217" s="109">
        <f t="shared" si="100"/>
        <v>13832962.319999998</v>
      </c>
      <c r="AC1217" s="97">
        <v>41904</v>
      </c>
      <c r="AD1217" s="119">
        <v>13832962.32</v>
      </c>
      <c r="AE1217" s="98" t="s">
        <v>137</v>
      </c>
      <c r="AF1217" s="1084"/>
      <c r="AG1217" s="1084"/>
      <c r="AH1217" s="111">
        <f t="shared" ref="AH1217:AH1243" si="102">AB1217-AD1217</f>
        <v>0</v>
      </c>
      <c r="AI1217" s="1084"/>
      <c r="AJ1217" s="1119"/>
      <c r="AK1217" s="1119"/>
      <c r="AL1217" s="1119"/>
      <c r="AM1217" s="1119"/>
      <c r="AN1217" s="1203"/>
      <c r="AO1217" s="1204"/>
    </row>
    <row r="1218" spans="1:41" ht="15" customHeight="1">
      <c r="A1218" s="1214"/>
      <c r="B1218" s="1171"/>
      <c r="C1218" s="1076"/>
      <c r="D1218" s="1076"/>
      <c r="E1218" s="1208"/>
      <c r="F1218" s="1208"/>
      <c r="G1218" s="1076"/>
      <c r="H1218" s="1076"/>
      <c r="I1218" s="1076"/>
      <c r="J1218" s="1076"/>
      <c r="K1218" s="1076"/>
      <c r="L1218" s="1076"/>
      <c r="M1218" s="1209"/>
      <c r="N1218" s="1123"/>
      <c r="O1218" s="1119"/>
      <c r="P1218" s="1119"/>
      <c r="Q1218" s="1119"/>
      <c r="R1218" s="1171"/>
      <c r="S1218" s="1119"/>
      <c r="T1218" s="1119"/>
      <c r="U1218" s="1119"/>
      <c r="V1218" s="1084"/>
      <c r="W1218" s="1119"/>
      <c r="X1218" s="1076"/>
      <c r="Y1218" s="108" t="s">
        <v>1726</v>
      </c>
      <c r="Z1218" s="109">
        <v>22256881.539999999</v>
      </c>
      <c r="AA1218" s="109">
        <v>-8902752.6199999992</v>
      </c>
      <c r="AB1218" s="109">
        <f t="shared" si="100"/>
        <v>13354128.92</v>
      </c>
      <c r="AC1218" s="97">
        <v>42089</v>
      </c>
      <c r="AD1218" s="119">
        <v>13354128.92</v>
      </c>
      <c r="AE1218" s="98" t="s">
        <v>137</v>
      </c>
      <c r="AF1218" s="1084"/>
      <c r="AG1218" s="1084"/>
      <c r="AH1218" s="111">
        <f t="shared" si="102"/>
        <v>0</v>
      </c>
      <c r="AI1218" s="1084"/>
      <c r="AJ1218" s="1119"/>
      <c r="AK1218" s="1119"/>
      <c r="AL1218" s="1119"/>
      <c r="AM1218" s="1119"/>
      <c r="AN1218" s="1203"/>
      <c r="AO1218" s="1204"/>
    </row>
    <row r="1219" spans="1:41" ht="15" customHeight="1">
      <c r="A1219" s="1214"/>
      <c r="B1219" s="1171"/>
      <c r="C1219" s="1076"/>
      <c r="D1219" s="1076"/>
      <c r="E1219" s="1208"/>
      <c r="F1219" s="1208"/>
      <c r="G1219" s="1076"/>
      <c r="H1219" s="1076"/>
      <c r="I1219" s="1076"/>
      <c r="J1219" s="1076"/>
      <c r="K1219" s="1076"/>
      <c r="L1219" s="1076"/>
      <c r="M1219" s="1209"/>
      <c r="N1219" s="1123"/>
      <c r="O1219" s="1119"/>
      <c r="P1219" s="1119"/>
      <c r="Q1219" s="1119"/>
      <c r="R1219" s="1171"/>
      <c r="S1219" s="1119"/>
      <c r="T1219" s="1119"/>
      <c r="U1219" s="1119"/>
      <c r="V1219" s="1084"/>
      <c r="W1219" s="1119"/>
      <c r="X1219" s="1076"/>
      <c r="Y1219" s="108" t="s">
        <v>1727</v>
      </c>
      <c r="Z1219" s="109">
        <v>16070245.810000001</v>
      </c>
      <c r="AA1219" s="109">
        <v>-6428098.3600000003</v>
      </c>
      <c r="AB1219" s="109">
        <f t="shared" si="100"/>
        <v>9642147.4499999993</v>
      </c>
      <c r="AC1219" s="97">
        <v>42121</v>
      </c>
      <c r="AD1219" s="119">
        <v>9642147.4499999993</v>
      </c>
      <c r="AE1219" s="98" t="s">
        <v>137</v>
      </c>
      <c r="AF1219" s="1084"/>
      <c r="AG1219" s="1084"/>
      <c r="AH1219" s="111">
        <f t="shared" si="102"/>
        <v>0</v>
      </c>
      <c r="AI1219" s="1084"/>
      <c r="AJ1219" s="1119"/>
      <c r="AK1219" s="1119"/>
      <c r="AL1219" s="1119"/>
      <c r="AM1219" s="1119"/>
      <c r="AN1219" s="1203"/>
      <c r="AO1219" s="1204"/>
    </row>
    <row r="1220" spans="1:41" ht="15" customHeight="1">
      <c r="A1220" s="1214"/>
      <c r="B1220" s="1171"/>
      <c r="C1220" s="1076"/>
      <c r="D1220" s="1076"/>
      <c r="E1220" s="1208"/>
      <c r="F1220" s="1208"/>
      <c r="G1220" s="1076"/>
      <c r="H1220" s="1076"/>
      <c r="I1220" s="1076"/>
      <c r="J1220" s="1076"/>
      <c r="K1220" s="1076"/>
      <c r="L1220" s="1076"/>
      <c r="M1220" s="1209"/>
      <c r="N1220" s="1123"/>
      <c r="O1220" s="1119"/>
      <c r="P1220" s="1119"/>
      <c r="Q1220" s="1119"/>
      <c r="R1220" s="1171"/>
      <c r="S1220" s="1119"/>
      <c r="T1220" s="1119"/>
      <c r="U1220" s="1119"/>
      <c r="V1220" s="1084"/>
      <c r="W1220" s="1119"/>
      <c r="X1220" s="1076"/>
      <c r="Y1220" s="108" t="s">
        <v>1728</v>
      </c>
      <c r="Z1220" s="109">
        <v>4096685.24</v>
      </c>
      <c r="AA1220" s="109">
        <v>-2731123.42</v>
      </c>
      <c r="AB1220" s="109">
        <f t="shared" si="100"/>
        <v>1365561.8200000003</v>
      </c>
      <c r="AC1220" s="97">
        <v>42299</v>
      </c>
      <c r="AD1220" s="119">
        <v>1365561.82</v>
      </c>
      <c r="AE1220" s="98" t="s">
        <v>137</v>
      </c>
      <c r="AF1220" s="1084"/>
      <c r="AG1220" s="1084"/>
      <c r="AH1220" s="111">
        <f t="shared" si="102"/>
        <v>0</v>
      </c>
      <c r="AI1220" s="1084"/>
      <c r="AJ1220" s="1119"/>
      <c r="AK1220" s="1119"/>
      <c r="AL1220" s="1119"/>
      <c r="AM1220" s="1119"/>
      <c r="AN1220" s="1203"/>
      <c r="AO1220" s="1204"/>
    </row>
    <row r="1221" spans="1:41" ht="15" customHeight="1">
      <c r="A1221" s="1214"/>
      <c r="B1221" s="1171"/>
      <c r="C1221" s="1076"/>
      <c r="D1221" s="1076"/>
      <c r="E1221" s="1208"/>
      <c r="F1221" s="1208"/>
      <c r="G1221" s="1076"/>
      <c r="H1221" s="1076"/>
      <c r="I1221" s="1076"/>
      <c r="J1221" s="1076"/>
      <c r="K1221" s="1076"/>
      <c r="L1221" s="1076"/>
      <c r="M1221" s="1209"/>
      <c r="N1221" s="1123"/>
      <c r="O1221" s="1119"/>
      <c r="P1221" s="1119"/>
      <c r="Q1221" s="1119"/>
      <c r="R1221" s="1171"/>
      <c r="S1221" s="1119"/>
      <c r="T1221" s="1119"/>
      <c r="U1221" s="1119"/>
      <c r="V1221" s="1084"/>
      <c r="W1221" s="1119"/>
      <c r="X1221" s="1076"/>
      <c r="Y1221" s="108" t="s">
        <v>1731</v>
      </c>
      <c r="Z1221" s="109">
        <v>2731123.2100000009</v>
      </c>
      <c r="AA1221" s="109"/>
      <c r="AB1221" s="109">
        <f t="shared" si="100"/>
        <v>2731123.2100000009</v>
      </c>
      <c r="AC1221" s="97"/>
      <c r="AD1221" s="119"/>
      <c r="AE1221" s="98"/>
      <c r="AF1221" s="1084"/>
      <c r="AG1221" s="1084"/>
      <c r="AH1221" s="111">
        <f t="shared" si="102"/>
        <v>2731123.2100000009</v>
      </c>
      <c r="AI1221" s="1084"/>
      <c r="AJ1221" s="1119"/>
      <c r="AK1221" s="1119"/>
      <c r="AL1221" s="1119"/>
      <c r="AM1221" s="1119"/>
      <c r="AN1221" s="1203"/>
      <c r="AO1221" s="1204"/>
    </row>
    <row r="1222" spans="1:41" ht="15" customHeight="1">
      <c r="A1222" s="1214"/>
      <c r="B1222" s="1171"/>
      <c r="C1222" s="1076"/>
      <c r="D1222" s="1076"/>
      <c r="E1222" s="1208"/>
      <c r="F1222" s="1208"/>
      <c r="G1222" s="1076"/>
      <c r="H1222" s="1076"/>
      <c r="I1222" s="1076"/>
      <c r="J1222" s="1076" t="s">
        <v>67</v>
      </c>
      <c r="K1222" s="1076"/>
      <c r="L1222" s="1076"/>
      <c r="M1222" s="1209">
        <v>318</v>
      </c>
      <c r="N1222" s="1123" t="s">
        <v>137</v>
      </c>
      <c r="O1222" s="1119">
        <v>115209960</v>
      </c>
      <c r="P1222" s="1119">
        <v>115209960</v>
      </c>
      <c r="Q1222" s="1119"/>
      <c r="R1222" s="1171">
        <v>42130</v>
      </c>
      <c r="S1222" s="1196">
        <f>T1222</f>
        <v>115209960</v>
      </c>
      <c r="T1222" s="1196">
        <v>115209960</v>
      </c>
      <c r="U1222" s="1196">
        <f>O1222-T1222</f>
        <v>0</v>
      </c>
      <c r="V1222" s="1084">
        <v>115209960</v>
      </c>
      <c r="W1222" s="1119"/>
      <c r="X1222" s="1076"/>
      <c r="Y1222" s="108" t="s">
        <v>1729</v>
      </c>
      <c r="Z1222" s="109">
        <v>40594711</v>
      </c>
      <c r="AA1222" s="109">
        <v>0</v>
      </c>
      <c r="AB1222" s="109">
        <f t="shared" si="100"/>
        <v>40594711</v>
      </c>
      <c r="AC1222" s="97">
        <v>42299</v>
      </c>
      <c r="AD1222" s="119">
        <v>40594711</v>
      </c>
      <c r="AE1222" s="98" t="s">
        <v>137</v>
      </c>
      <c r="AF1222" s="1084">
        <f>SUM(AD1222:AD1224)</f>
        <v>88661691</v>
      </c>
      <c r="AG1222" s="1084"/>
      <c r="AH1222" s="111">
        <f t="shared" si="102"/>
        <v>0</v>
      </c>
      <c r="AI1222" s="1084">
        <f>O1222-SUM(AD1222:AD1224)</f>
        <v>26548269</v>
      </c>
      <c r="AJ1222" s="1119"/>
      <c r="AK1222" s="1119">
        <f>P1222-V1222</f>
        <v>0</v>
      </c>
      <c r="AL1222" s="1119">
        <f>V1222-SUM(Z1222:Z1224)</f>
        <v>11339.879999995232</v>
      </c>
      <c r="AM1222" s="1119"/>
      <c r="AN1222" s="1203"/>
      <c r="AO1222" s="1204"/>
    </row>
    <row r="1223" spans="1:41" ht="15" customHeight="1">
      <c r="A1223" s="1214"/>
      <c r="B1223" s="1171"/>
      <c r="C1223" s="1076"/>
      <c r="D1223" s="1076"/>
      <c r="E1223" s="1208"/>
      <c r="F1223" s="1208"/>
      <c r="G1223" s="1076"/>
      <c r="H1223" s="1076"/>
      <c r="I1223" s="1076"/>
      <c r="J1223" s="1076"/>
      <c r="K1223" s="1076"/>
      <c r="L1223" s="1076"/>
      <c r="M1223" s="1209"/>
      <c r="N1223" s="1123"/>
      <c r="O1223" s="1119"/>
      <c r="P1223" s="1119"/>
      <c r="Q1223" s="1119"/>
      <c r="R1223" s="1171"/>
      <c r="S1223" s="1196"/>
      <c r="T1223" s="1196"/>
      <c r="U1223" s="1196"/>
      <c r="V1223" s="1084"/>
      <c r="W1223" s="1119"/>
      <c r="X1223" s="1076"/>
      <c r="Y1223" s="108" t="s">
        <v>1730</v>
      </c>
      <c r="Z1223" s="109">
        <v>48066980</v>
      </c>
      <c r="AA1223" s="109">
        <v>0</v>
      </c>
      <c r="AB1223" s="109">
        <f t="shared" ref="AB1223:AB1241" si="103">Z1223+AA1223</f>
        <v>48066980</v>
      </c>
      <c r="AC1223" s="97">
        <v>42340</v>
      </c>
      <c r="AD1223" s="119">
        <v>48066980</v>
      </c>
      <c r="AE1223" s="98" t="s">
        <v>137</v>
      </c>
      <c r="AF1223" s="1084"/>
      <c r="AG1223" s="1084"/>
      <c r="AH1223" s="111">
        <f t="shared" si="102"/>
        <v>0</v>
      </c>
      <c r="AI1223" s="1084"/>
      <c r="AJ1223" s="1119"/>
      <c r="AK1223" s="1119"/>
      <c r="AL1223" s="1119"/>
      <c r="AM1223" s="1119"/>
      <c r="AN1223" s="1203"/>
      <c r="AO1223" s="1204"/>
    </row>
    <row r="1224" spans="1:41" ht="15" customHeight="1">
      <c r="A1224" s="1214"/>
      <c r="B1224" s="1171"/>
      <c r="C1224" s="1076"/>
      <c r="D1224" s="1076"/>
      <c r="E1224" s="1208"/>
      <c r="F1224" s="1208"/>
      <c r="G1224" s="1076"/>
      <c r="H1224" s="1076"/>
      <c r="I1224" s="1076"/>
      <c r="J1224" s="1076"/>
      <c r="K1224" s="1076"/>
      <c r="L1224" s="1076"/>
      <c r="M1224" s="1209"/>
      <c r="N1224" s="1123"/>
      <c r="O1224" s="1119"/>
      <c r="P1224" s="1119"/>
      <c r="Q1224" s="1119"/>
      <c r="R1224" s="1171"/>
      <c r="S1224" s="1196"/>
      <c r="T1224" s="1196"/>
      <c r="U1224" s="1196"/>
      <c r="V1224" s="1084"/>
      <c r="W1224" s="1119"/>
      <c r="X1224" s="1076"/>
      <c r="Y1224" s="108" t="s">
        <v>1731</v>
      </c>
      <c r="Z1224" s="109">
        <v>26536929.120000001</v>
      </c>
      <c r="AA1224" s="109"/>
      <c r="AB1224" s="109">
        <f t="shared" si="103"/>
        <v>26536929.120000001</v>
      </c>
      <c r="AC1224" s="97"/>
      <c r="AD1224" s="119"/>
      <c r="AE1224" s="98"/>
      <c r="AF1224" s="1084"/>
      <c r="AG1224" s="1084"/>
      <c r="AH1224" s="111">
        <f t="shared" si="102"/>
        <v>26536929.120000001</v>
      </c>
      <c r="AI1224" s="1084"/>
      <c r="AJ1224" s="1119"/>
      <c r="AK1224" s="1119"/>
      <c r="AL1224" s="1119"/>
      <c r="AM1224" s="1119"/>
      <c r="AN1224" s="1203"/>
      <c r="AO1224" s="1204"/>
    </row>
    <row r="1225" spans="1:41" ht="15" customHeight="1">
      <c r="A1225" s="1004" t="s">
        <v>2319</v>
      </c>
      <c r="B1225" s="97">
        <v>41365</v>
      </c>
      <c r="C1225" s="113"/>
      <c r="D1225" s="113" t="s">
        <v>1733</v>
      </c>
      <c r="E1225" s="114">
        <v>8300610</v>
      </c>
      <c r="F1225" s="114"/>
      <c r="G1225" s="113" t="s">
        <v>2871</v>
      </c>
      <c r="H1225" s="113" t="s">
        <v>72</v>
      </c>
      <c r="I1225" s="113" t="s">
        <v>206</v>
      </c>
      <c r="J1225" s="113" t="s">
        <v>489</v>
      </c>
      <c r="K1225" s="113" t="s">
        <v>183</v>
      </c>
      <c r="L1225" s="113" t="s">
        <v>1734</v>
      </c>
      <c r="M1225" s="102">
        <v>269</v>
      </c>
      <c r="N1225" s="108" t="s">
        <v>7</v>
      </c>
      <c r="O1225" s="109">
        <v>111000000</v>
      </c>
      <c r="P1225" s="109">
        <v>111000000</v>
      </c>
      <c r="Q1225" s="109">
        <v>111000000</v>
      </c>
      <c r="R1225" s="97">
        <v>41234</v>
      </c>
      <c r="S1225" s="110">
        <v>111000000</v>
      </c>
      <c r="T1225" s="110">
        <v>111000000</v>
      </c>
      <c r="U1225" s="110">
        <f>O1225-T1225</f>
        <v>0</v>
      </c>
      <c r="V1225" s="111">
        <v>15995000</v>
      </c>
      <c r="W1225" s="109">
        <v>15995000</v>
      </c>
      <c r="X1225" s="113"/>
      <c r="Y1225" s="108" t="s">
        <v>1735</v>
      </c>
      <c r="Z1225" s="109">
        <v>15995000</v>
      </c>
      <c r="AA1225" s="109">
        <v>0</v>
      </c>
      <c r="AB1225" s="109">
        <f t="shared" si="103"/>
        <v>15995000</v>
      </c>
      <c r="AC1225" s="97">
        <v>41495</v>
      </c>
      <c r="AD1225" s="119">
        <v>15995000</v>
      </c>
      <c r="AE1225" s="98" t="s">
        <v>7</v>
      </c>
      <c r="AF1225" s="111">
        <f>AD1225</f>
        <v>15995000</v>
      </c>
      <c r="AG1225" s="111">
        <f>AF1225</f>
        <v>15995000</v>
      </c>
      <c r="AH1225" s="111">
        <f t="shared" si="102"/>
        <v>0</v>
      </c>
      <c r="AI1225" s="111">
        <f>O1225-AD1225</f>
        <v>95005000</v>
      </c>
      <c r="AJ1225" s="109">
        <f>Z1225-AD1225</f>
        <v>0</v>
      </c>
      <c r="AK1225" s="109">
        <f>P1225-V1225</f>
        <v>95005000</v>
      </c>
      <c r="AL1225" s="109">
        <f>V1225-Z1225</f>
        <v>0</v>
      </c>
      <c r="AM1225" s="109">
        <f>AK1225+AL1225</f>
        <v>95005000</v>
      </c>
      <c r="AN1225" s="112" t="s">
        <v>606</v>
      </c>
      <c r="AO1225" s="115" t="s">
        <v>1736</v>
      </c>
    </row>
    <row r="1226" spans="1:41" ht="15" customHeight="1">
      <c r="A1226" s="1030" t="s">
        <v>2703</v>
      </c>
      <c r="B1226" s="665"/>
      <c r="C1226" s="647"/>
      <c r="D1226" s="1011" t="s">
        <v>2705</v>
      </c>
      <c r="E1226" s="1034" t="s">
        <v>2706</v>
      </c>
      <c r="F1226" s="671"/>
      <c r="G1226" s="1011" t="s">
        <v>2710</v>
      </c>
      <c r="H1226" s="647"/>
      <c r="I1226" s="647"/>
      <c r="J1226" s="647"/>
      <c r="K1226" s="647"/>
      <c r="L1226" s="647"/>
      <c r="M1226" s="667">
        <v>4</v>
      </c>
      <c r="N1226" s="650" t="s">
        <v>2704</v>
      </c>
      <c r="O1226" s="666">
        <v>174186473</v>
      </c>
      <c r="P1226" s="666"/>
      <c r="Q1226" s="666"/>
      <c r="R1226" s="665">
        <v>41598</v>
      </c>
      <c r="S1226" s="668"/>
      <c r="T1226" s="668"/>
      <c r="U1226" s="668"/>
      <c r="V1226" s="648">
        <v>172255815.62</v>
      </c>
      <c r="W1226" s="666"/>
      <c r="X1226" s="647"/>
      <c r="Y1226" s="650" t="s">
        <v>2707</v>
      </c>
      <c r="Z1226" s="666">
        <f t="shared" ref="Z1226:Z1227" si="104">+AD1226</f>
        <v>75003789.840000004</v>
      </c>
      <c r="AA1226" s="666"/>
      <c r="AB1226" s="666"/>
      <c r="AC1226" s="665">
        <v>41940</v>
      </c>
      <c r="AD1226" s="672">
        <v>75003789.840000004</v>
      </c>
      <c r="AE1226" s="924" t="s">
        <v>2704</v>
      </c>
      <c r="AF1226" s="648"/>
      <c r="AG1226" s="648"/>
      <c r="AH1226" s="648"/>
      <c r="AI1226" s="648"/>
      <c r="AJ1226" s="666"/>
      <c r="AK1226" s="666"/>
      <c r="AL1226" s="666"/>
      <c r="AM1226" s="666"/>
      <c r="AN1226" s="669"/>
      <c r="AO1226" s="677"/>
    </row>
    <row r="1227" spans="1:41" ht="15" customHeight="1">
      <c r="A1227" s="1031"/>
      <c r="B1227" s="665"/>
      <c r="C1227" s="647"/>
      <c r="D1227" s="1033"/>
      <c r="E1227" s="1035"/>
      <c r="F1227" s="671"/>
      <c r="G1227" s="1033"/>
      <c r="H1227" s="647"/>
      <c r="I1227" s="647"/>
      <c r="J1227" s="647"/>
      <c r="K1227" s="647"/>
      <c r="L1227" s="647"/>
      <c r="M1227" s="667"/>
      <c r="N1227" s="650"/>
      <c r="O1227" s="666"/>
      <c r="P1227" s="666"/>
      <c r="Q1227" s="666"/>
      <c r="R1227" s="665"/>
      <c r="S1227" s="668"/>
      <c r="T1227" s="668"/>
      <c r="U1227" s="668"/>
      <c r="V1227" s="648"/>
      <c r="W1227" s="666"/>
      <c r="X1227" s="647"/>
      <c r="Y1227" s="650" t="s">
        <v>2708</v>
      </c>
      <c r="Z1227" s="666">
        <f t="shared" si="104"/>
        <v>76869701.739999995</v>
      </c>
      <c r="AA1227" s="666"/>
      <c r="AB1227" s="666"/>
      <c r="AC1227" s="665">
        <v>42062</v>
      </c>
      <c r="AD1227" s="672">
        <v>76869701.739999995</v>
      </c>
      <c r="AE1227" s="924"/>
      <c r="AF1227" s="648"/>
      <c r="AG1227" s="648"/>
      <c r="AH1227" s="648"/>
      <c r="AI1227" s="648"/>
      <c r="AJ1227" s="666"/>
      <c r="AK1227" s="666"/>
      <c r="AL1227" s="666"/>
      <c r="AM1227" s="666"/>
      <c r="AN1227" s="669"/>
      <c r="AO1227" s="677"/>
    </row>
    <row r="1228" spans="1:41" ht="15" customHeight="1">
      <c r="A1228" s="1031"/>
      <c r="B1228" s="665"/>
      <c r="C1228" s="647"/>
      <c r="D1228" s="1033"/>
      <c r="E1228" s="1036"/>
      <c r="F1228" s="671"/>
      <c r="G1228" s="1033"/>
      <c r="H1228" s="647"/>
      <c r="I1228" s="647"/>
      <c r="J1228" s="647"/>
      <c r="K1228" s="647"/>
      <c r="L1228" s="647"/>
      <c r="M1228" s="667"/>
      <c r="N1228" s="650"/>
      <c r="O1228" s="666"/>
      <c r="P1228" s="666"/>
      <c r="Q1228" s="666"/>
      <c r="R1228" s="665"/>
      <c r="S1228" s="668"/>
      <c r="T1228" s="668"/>
      <c r="U1228" s="668"/>
      <c r="V1228" s="648"/>
      <c r="W1228" s="666"/>
      <c r="X1228" s="647"/>
      <c r="Y1228" s="650" t="s">
        <v>2709</v>
      </c>
      <c r="Z1228" s="666">
        <f>+AD1228</f>
        <v>20382324.039999999</v>
      </c>
      <c r="AA1228" s="666"/>
      <c r="AB1228" s="666"/>
      <c r="AC1228" s="665">
        <v>43095</v>
      </c>
      <c r="AD1228" s="672">
        <v>20382324.039999999</v>
      </c>
      <c r="AE1228" s="924"/>
      <c r="AF1228" s="648"/>
      <c r="AG1228" s="648"/>
      <c r="AH1228" s="648"/>
      <c r="AI1228" s="648"/>
      <c r="AJ1228" s="666"/>
      <c r="AK1228" s="666"/>
      <c r="AL1228" s="666"/>
      <c r="AM1228" s="666"/>
      <c r="AN1228" s="669"/>
      <c r="AO1228" s="677"/>
    </row>
    <row r="1229" spans="1:41" ht="15" customHeight="1">
      <c r="A1229" s="1031"/>
      <c r="B1229" s="665"/>
      <c r="C1229" s="647"/>
      <c r="D1229" s="1033"/>
      <c r="E1229" s="1036"/>
      <c r="F1229" s="671"/>
      <c r="G1229" s="1033"/>
      <c r="H1229" s="647"/>
      <c r="I1229" s="647"/>
      <c r="J1229" s="647"/>
      <c r="K1229" s="647"/>
      <c r="L1229" s="647"/>
      <c r="M1229" s="667">
        <v>13</v>
      </c>
      <c r="N1229" s="650" t="s">
        <v>2704</v>
      </c>
      <c r="O1229" s="666">
        <v>122166178</v>
      </c>
      <c r="P1229" s="666"/>
      <c r="Q1229" s="666"/>
      <c r="R1229" s="665"/>
      <c r="S1229" s="668"/>
      <c r="T1229" s="668"/>
      <c r="U1229" s="668"/>
      <c r="V1229" s="648">
        <f>+O1229</f>
        <v>122166178</v>
      </c>
      <c r="W1229" s="666"/>
      <c r="X1229" s="647"/>
      <c r="Y1229" s="650"/>
      <c r="Z1229" s="666">
        <f t="shared" ref="Z1229:Z1232" si="105">+AD1229</f>
        <v>63777781</v>
      </c>
      <c r="AA1229" s="666"/>
      <c r="AB1229" s="666">
        <f>+AD1229</f>
        <v>63777781</v>
      </c>
      <c r="AC1229" s="665">
        <v>43095</v>
      </c>
      <c r="AD1229" s="672">
        <f>+'[1]ORDEN DE PAGO TRAMITADAS '!$V$135</f>
        <v>63777781</v>
      </c>
      <c r="AE1229" s="924" t="s">
        <v>2704</v>
      </c>
      <c r="AF1229" s="648"/>
      <c r="AG1229" s="648"/>
      <c r="AH1229" s="648"/>
      <c r="AI1229" s="648"/>
      <c r="AJ1229" s="666"/>
      <c r="AK1229" s="666"/>
      <c r="AL1229" s="666"/>
      <c r="AM1229" s="666"/>
      <c r="AN1229" s="669"/>
      <c r="AO1229" s="677"/>
    </row>
    <row r="1230" spans="1:41" ht="15" customHeight="1">
      <c r="A1230" s="1031"/>
      <c r="B1230" s="665"/>
      <c r="C1230" s="647"/>
      <c r="D1230" s="1033"/>
      <c r="E1230" s="1036"/>
      <c r="F1230" s="671"/>
      <c r="G1230" s="1033"/>
      <c r="H1230" s="647"/>
      <c r="I1230" s="647"/>
      <c r="J1230" s="647"/>
      <c r="K1230" s="647"/>
      <c r="L1230" s="647"/>
      <c r="M1230" s="667">
        <v>295</v>
      </c>
      <c r="N1230" s="650" t="s">
        <v>7</v>
      </c>
      <c r="O1230" s="666">
        <v>224417670</v>
      </c>
      <c r="P1230" s="666"/>
      <c r="Q1230" s="666"/>
      <c r="R1230" s="665"/>
      <c r="S1230" s="668"/>
      <c r="T1230" s="668"/>
      <c r="U1230" s="668"/>
      <c r="V1230" s="648">
        <v>221930257.38</v>
      </c>
      <c r="W1230" s="666"/>
      <c r="X1230" s="647"/>
      <c r="Y1230" s="650" t="s">
        <v>2712</v>
      </c>
      <c r="Z1230" s="666">
        <f t="shared" si="105"/>
        <v>96633082.159999996</v>
      </c>
      <c r="AA1230" s="666"/>
      <c r="AB1230" s="666">
        <f t="shared" ref="AB1230:AB1232" si="106">+AD1230</f>
        <v>96633082.159999996</v>
      </c>
      <c r="AC1230" s="665">
        <v>41940</v>
      </c>
      <c r="AD1230" s="672">
        <v>96633082.159999996</v>
      </c>
      <c r="AE1230" s="924" t="s">
        <v>7</v>
      </c>
      <c r="AF1230" s="648"/>
      <c r="AG1230" s="648"/>
      <c r="AH1230" s="648"/>
      <c r="AI1230" s="648"/>
      <c r="AJ1230" s="666"/>
      <c r="AK1230" s="666"/>
      <c r="AL1230" s="666"/>
      <c r="AM1230" s="666"/>
      <c r="AN1230" s="669"/>
      <c r="AO1230" s="677"/>
    </row>
    <row r="1231" spans="1:41" ht="15" customHeight="1">
      <c r="A1231" s="1031"/>
      <c r="B1231" s="665"/>
      <c r="C1231" s="647"/>
      <c r="D1231" s="1033"/>
      <c r="E1231" s="1036"/>
      <c r="F1231" s="671"/>
      <c r="G1231" s="1033"/>
      <c r="H1231" s="647"/>
      <c r="I1231" s="647"/>
      <c r="J1231" s="647"/>
      <c r="K1231" s="647"/>
      <c r="L1231" s="647"/>
      <c r="M1231" s="667"/>
      <c r="N1231" s="650"/>
      <c r="O1231" s="666"/>
      <c r="P1231" s="666"/>
      <c r="Q1231" s="666"/>
      <c r="R1231" s="665"/>
      <c r="S1231" s="668"/>
      <c r="T1231" s="668"/>
      <c r="U1231" s="668"/>
      <c r="V1231" s="648"/>
      <c r="W1231" s="666"/>
      <c r="X1231" s="647"/>
      <c r="Y1231" s="650" t="s">
        <v>2713</v>
      </c>
      <c r="Z1231" s="666">
        <f t="shared" si="105"/>
        <v>99037078.260000005</v>
      </c>
      <c r="AA1231" s="666"/>
      <c r="AB1231" s="666">
        <f t="shared" si="106"/>
        <v>99037078.260000005</v>
      </c>
      <c r="AC1231" s="665">
        <v>42062</v>
      </c>
      <c r="AD1231" s="672">
        <v>99037078.260000005</v>
      </c>
      <c r="AE1231" s="655"/>
      <c r="AF1231" s="648"/>
      <c r="AG1231" s="648"/>
      <c r="AH1231" s="648"/>
      <c r="AI1231" s="648"/>
      <c r="AJ1231" s="666"/>
      <c r="AK1231" s="666"/>
      <c r="AL1231" s="666"/>
      <c r="AM1231" s="666"/>
      <c r="AN1231" s="669"/>
      <c r="AO1231" s="677"/>
    </row>
    <row r="1232" spans="1:41" ht="15" customHeight="1">
      <c r="A1232" s="1032"/>
      <c r="B1232" s="665"/>
      <c r="C1232" s="647"/>
      <c r="D1232" s="1012"/>
      <c r="E1232" s="1037"/>
      <c r="F1232" s="671"/>
      <c r="G1232" s="1012"/>
      <c r="H1232" s="647"/>
      <c r="I1232" s="647"/>
      <c r="J1232" s="647"/>
      <c r="K1232" s="647"/>
      <c r="L1232" s="647"/>
      <c r="M1232" s="667"/>
      <c r="N1232" s="650"/>
      <c r="O1232" s="666"/>
      <c r="P1232" s="666"/>
      <c r="Q1232" s="666"/>
      <c r="R1232" s="665"/>
      <c r="S1232" s="668"/>
      <c r="T1232" s="668"/>
      <c r="U1232" s="668"/>
      <c r="V1232" s="648"/>
      <c r="W1232" s="666"/>
      <c r="X1232" s="647"/>
      <c r="Y1232" s="650" t="s">
        <v>2711</v>
      </c>
      <c r="Z1232" s="666">
        <f t="shared" si="105"/>
        <v>26260096.960000001</v>
      </c>
      <c r="AA1232" s="666"/>
      <c r="AB1232" s="666">
        <f t="shared" si="106"/>
        <v>26260096.960000001</v>
      </c>
      <c r="AC1232" s="665">
        <v>43095</v>
      </c>
      <c r="AD1232" s="672">
        <v>26260096.960000001</v>
      </c>
      <c r="AE1232" s="655"/>
      <c r="AF1232" s="648"/>
      <c r="AG1232" s="648"/>
      <c r="AH1232" s="648"/>
      <c r="AI1232" s="648"/>
      <c r="AJ1232" s="666"/>
      <c r="AK1232" s="666"/>
      <c r="AL1232" s="666"/>
      <c r="AM1232" s="666"/>
      <c r="AN1232" s="669"/>
      <c r="AO1232" s="677"/>
    </row>
    <row r="1233" spans="1:41" ht="15" customHeight="1">
      <c r="A1233" s="1004" t="s">
        <v>1746</v>
      </c>
      <c r="B1233" s="97">
        <v>41695</v>
      </c>
      <c r="C1233" s="113" t="s">
        <v>29</v>
      </c>
      <c r="D1233" s="113" t="s">
        <v>1747</v>
      </c>
      <c r="E1233" s="114">
        <v>98572671</v>
      </c>
      <c r="F1233" s="114">
        <v>2</v>
      </c>
      <c r="G1233" s="113" t="s">
        <v>1748</v>
      </c>
      <c r="H1233" s="113" t="s">
        <v>70</v>
      </c>
      <c r="I1233" s="113" t="s">
        <v>206</v>
      </c>
      <c r="J1233" s="113" t="s">
        <v>66</v>
      </c>
      <c r="K1233" s="113" t="s">
        <v>183</v>
      </c>
      <c r="L1233" s="113" t="s">
        <v>954</v>
      </c>
      <c r="M1233" s="102">
        <v>297</v>
      </c>
      <c r="N1233" s="108" t="s">
        <v>7</v>
      </c>
      <c r="O1233" s="109">
        <v>9129176</v>
      </c>
      <c r="P1233" s="109">
        <v>9129176</v>
      </c>
      <c r="Q1233" s="109">
        <v>9129176</v>
      </c>
      <c r="R1233" s="97">
        <v>41598</v>
      </c>
      <c r="S1233" s="110">
        <f>T1233</f>
        <v>9129176</v>
      </c>
      <c r="T1233" s="110">
        <v>9129176</v>
      </c>
      <c r="U1233" s="110">
        <f>O1233-T1233</f>
        <v>0</v>
      </c>
      <c r="V1233" s="111">
        <v>8672717</v>
      </c>
      <c r="W1233" s="109">
        <v>8672717</v>
      </c>
      <c r="X1233" s="113"/>
      <c r="Y1233" s="108" t="s">
        <v>1749</v>
      </c>
      <c r="Z1233" s="109">
        <v>8672717</v>
      </c>
      <c r="AA1233" s="109">
        <v>0</v>
      </c>
      <c r="AB1233" s="109">
        <f t="shared" si="103"/>
        <v>8672717</v>
      </c>
      <c r="AC1233" s="97">
        <v>41990</v>
      </c>
      <c r="AD1233" s="119">
        <v>8672717</v>
      </c>
      <c r="AE1233" s="98" t="s">
        <v>7</v>
      </c>
      <c r="AF1233" s="111">
        <f>AD1233</f>
        <v>8672717</v>
      </c>
      <c r="AG1233" s="111">
        <f>AF1233</f>
        <v>8672717</v>
      </c>
      <c r="AH1233" s="111">
        <f t="shared" si="102"/>
        <v>0</v>
      </c>
      <c r="AI1233" s="111">
        <f>O1233-AD1233</f>
        <v>456459</v>
      </c>
      <c r="AJ1233" s="109">
        <f>Z1233-AD1233</f>
        <v>0</v>
      </c>
      <c r="AK1233" s="109">
        <f>P1233-V1233</f>
        <v>456459</v>
      </c>
      <c r="AL1233" s="109">
        <f>V1233-Z1233</f>
        <v>0</v>
      </c>
      <c r="AM1233" s="109">
        <f>AK1233+AL1233</f>
        <v>456459</v>
      </c>
      <c r="AN1233" s="112" t="s">
        <v>606</v>
      </c>
      <c r="AO1233" s="115" t="s">
        <v>1750</v>
      </c>
    </row>
    <row r="1234" spans="1:41" ht="15" customHeight="1">
      <c r="A1234" s="1075" t="s">
        <v>1751</v>
      </c>
      <c r="B1234" s="1171">
        <v>41733</v>
      </c>
      <c r="C1234" s="1076" t="s">
        <v>34</v>
      </c>
      <c r="D1234" s="1076" t="s">
        <v>1753</v>
      </c>
      <c r="E1234" s="1208">
        <v>76027866</v>
      </c>
      <c r="F1234" s="1208"/>
      <c r="G1234" s="1076" t="s">
        <v>1752</v>
      </c>
      <c r="H1234" s="1076" t="s">
        <v>70</v>
      </c>
      <c r="I1234" s="1076" t="s">
        <v>206</v>
      </c>
      <c r="J1234" s="1076" t="s">
        <v>66</v>
      </c>
      <c r="K1234" s="1076" t="s">
        <v>48</v>
      </c>
      <c r="L1234" s="1076" t="s">
        <v>1756</v>
      </c>
      <c r="M1234" s="1209">
        <v>292</v>
      </c>
      <c r="N1234" s="1123" t="s">
        <v>7</v>
      </c>
      <c r="O1234" s="1119">
        <v>28926142</v>
      </c>
      <c r="P1234" s="1119">
        <v>28926142</v>
      </c>
      <c r="Q1234" s="1119">
        <f>28926142+P1236</f>
        <v>38910589</v>
      </c>
      <c r="R1234" s="1171">
        <v>41533</v>
      </c>
      <c r="S1234" s="1196">
        <f>T1234</f>
        <v>28926142</v>
      </c>
      <c r="T1234" s="1196">
        <v>28926142</v>
      </c>
      <c r="U1234" s="1196">
        <f>O1234-T1234</f>
        <v>0</v>
      </c>
      <c r="V1234" s="1084">
        <v>28926142</v>
      </c>
      <c r="W1234" s="1119">
        <f>28926142+V1236</f>
        <v>38910589</v>
      </c>
      <c r="X1234" s="1076" t="s">
        <v>1754</v>
      </c>
      <c r="Y1234" s="108"/>
      <c r="Z1234" s="109"/>
      <c r="AA1234" s="109"/>
      <c r="AB1234" s="109">
        <f t="shared" si="103"/>
        <v>0</v>
      </c>
      <c r="AC1234" s="97"/>
      <c r="AD1234" s="119"/>
      <c r="AE1234" s="1123" t="s">
        <v>7</v>
      </c>
      <c r="AF1234" s="111"/>
      <c r="AG1234" s="111"/>
      <c r="AH1234" s="111">
        <f t="shared" si="102"/>
        <v>0</v>
      </c>
      <c r="AI1234" s="1084">
        <f>P1234-SUM(AD1234:AD1235)</f>
        <v>28926142</v>
      </c>
      <c r="AJ1234" s="1119">
        <f>SUM(Z1234:Z1237)-SUM(AD1234:AD1237)</f>
        <v>0</v>
      </c>
      <c r="AK1234" s="1119">
        <f>P1234-V1234</f>
        <v>0</v>
      </c>
      <c r="AL1234" s="1119">
        <f>V1234-SUM(Z1234:Z1235)</f>
        <v>28926142</v>
      </c>
      <c r="AM1234" s="1119"/>
      <c r="AN1234" s="1203"/>
      <c r="AO1234" s="1237" t="s">
        <v>1755</v>
      </c>
    </row>
    <row r="1235" spans="1:41" ht="15" customHeight="1">
      <c r="A1235" s="1075"/>
      <c r="B1235" s="1171"/>
      <c r="C1235" s="1076"/>
      <c r="D1235" s="1076"/>
      <c r="E1235" s="1208"/>
      <c r="F1235" s="1208"/>
      <c r="G1235" s="1076"/>
      <c r="H1235" s="1076"/>
      <c r="I1235" s="1076"/>
      <c r="J1235" s="1076"/>
      <c r="K1235" s="1076"/>
      <c r="L1235" s="1076"/>
      <c r="M1235" s="1209"/>
      <c r="N1235" s="1123"/>
      <c r="O1235" s="1119"/>
      <c r="P1235" s="1119"/>
      <c r="Q1235" s="1119"/>
      <c r="R1235" s="1171"/>
      <c r="S1235" s="1196"/>
      <c r="T1235" s="1196"/>
      <c r="U1235" s="1196"/>
      <c r="V1235" s="1084"/>
      <c r="W1235" s="1119"/>
      <c r="X1235" s="1076"/>
      <c r="Y1235" s="108"/>
      <c r="Z1235" s="109"/>
      <c r="AA1235" s="109"/>
      <c r="AB1235" s="109">
        <f t="shared" si="103"/>
        <v>0</v>
      </c>
      <c r="AC1235" s="97"/>
      <c r="AD1235" s="119"/>
      <c r="AE1235" s="1123"/>
      <c r="AF1235" s="111"/>
      <c r="AG1235" s="111"/>
      <c r="AH1235" s="111">
        <f t="shared" si="102"/>
        <v>0</v>
      </c>
      <c r="AI1235" s="1084"/>
      <c r="AJ1235" s="1119"/>
      <c r="AK1235" s="1119"/>
      <c r="AL1235" s="1119"/>
      <c r="AM1235" s="1119"/>
      <c r="AN1235" s="1203"/>
      <c r="AO1235" s="1204"/>
    </row>
    <row r="1236" spans="1:41" ht="15" customHeight="1">
      <c r="A1236" s="1075"/>
      <c r="B1236" s="1171"/>
      <c r="C1236" s="1076"/>
      <c r="D1236" s="1076"/>
      <c r="E1236" s="1208"/>
      <c r="F1236" s="1208"/>
      <c r="G1236" s="1076"/>
      <c r="H1236" s="1076"/>
      <c r="I1236" s="1076"/>
      <c r="J1236" s="1076" t="s">
        <v>67</v>
      </c>
      <c r="K1236" s="1076"/>
      <c r="L1236" s="1076"/>
      <c r="M1236" s="1209">
        <v>2647</v>
      </c>
      <c r="N1236" s="1123" t="s">
        <v>159</v>
      </c>
      <c r="O1236" s="1119">
        <v>9984447</v>
      </c>
      <c r="P1236" s="1119">
        <v>9984447</v>
      </c>
      <c r="Q1236" s="1119"/>
      <c r="R1236" s="1171">
        <v>42860</v>
      </c>
      <c r="S1236" s="1196">
        <f>T1236</f>
        <v>9984447</v>
      </c>
      <c r="T1236" s="1119">
        <v>9984447</v>
      </c>
      <c r="U1236" s="1119">
        <f>O1236-T1236</f>
        <v>0</v>
      </c>
      <c r="V1236" s="1084">
        <v>9984447</v>
      </c>
      <c r="W1236" s="1119"/>
      <c r="X1236" s="1076"/>
      <c r="Y1236" s="108"/>
      <c r="Z1236" s="109"/>
      <c r="AA1236" s="109"/>
      <c r="AB1236" s="109">
        <f t="shared" si="103"/>
        <v>0</v>
      </c>
      <c r="AC1236" s="97"/>
      <c r="AD1236" s="119"/>
      <c r="AE1236" s="1123" t="s">
        <v>159</v>
      </c>
      <c r="AF1236" s="111"/>
      <c r="AG1236" s="111"/>
      <c r="AH1236" s="111">
        <f t="shared" si="102"/>
        <v>0</v>
      </c>
      <c r="AI1236" s="1084">
        <f>P1236-SUM(AD1236:AD1237)</f>
        <v>9984447</v>
      </c>
      <c r="AJ1236" s="1119"/>
      <c r="AK1236" s="1119">
        <f>P1236-V1236</f>
        <v>0</v>
      </c>
      <c r="AL1236" s="1119">
        <f>V1236-SUM(Z1236:Z1237)</f>
        <v>9984447</v>
      </c>
      <c r="AM1236" s="1119"/>
      <c r="AN1236" s="1203"/>
      <c r="AO1236" s="1204"/>
    </row>
    <row r="1237" spans="1:41" ht="15" customHeight="1">
      <c r="A1237" s="1075"/>
      <c r="B1237" s="1171"/>
      <c r="C1237" s="1076"/>
      <c r="D1237" s="1076"/>
      <c r="E1237" s="1208"/>
      <c r="F1237" s="1208"/>
      <c r="G1237" s="1076"/>
      <c r="H1237" s="1076"/>
      <c r="I1237" s="1076"/>
      <c r="J1237" s="1076"/>
      <c r="K1237" s="1076"/>
      <c r="L1237" s="1076"/>
      <c r="M1237" s="1209"/>
      <c r="N1237" s="1123"/>
      <c r="O1237" s="1119"/>
      <c r="P1237" s="1119"/>
      <c r="Q1237" s="1119"/>
      <c r="R1237" s="1171"/>
      <c r="S1237" s="1196"/>
      <c r="T1237" s="1119"/>
      <c r="U1237" s="1119"/>
      <c r="V1237" s="1084"/>
      <c r="W1237" s="1119"/>
      <c r="X1237" s="1076"/>
      <c r="Y1237" s="108"/>
      <c r="Z1237" s="109"/>
      <c r="AA1237" s="109"/>
      <c r="AB1237" s="109">
        <f t="shared" si="103"/>
        <v>0</v>
      </c>
      <c r="AC1237" s="97"/>
      <c r="AD1237" s="119"/>
      <c r="AE1237" s="1123"/>
      <c r="AF1237" s="111"/>
      <c r="AG1237" s="111"/>
      <c r="AH1237" s="111">
        <f t="shared" si="102"/>
        <v>0</v>
      </c>
      <c r="AI1237" s="1084"/>
      <c r="AJ1237" s="1119"/>
      <c r="AK1237" s="1119"/>
      <c r="AL1237" s="1119"/>
      <c r="AM1237" s="1119"/>
      <c r="AN1237" s="1203"/>
      <c r="AO1237" s="1204"/>
    </row>
    <row r="1238" spans="1:41" ht="15" customHeight="1">
      <c r="A1238" s="1075" t="s">
        <v>1737</v>
      </c>
      <c r="B1238" s="1171">
        <v>41738</v>
      </c>
      <c r="C1238" s="1076" t="s">
        <v>41</v>
      </c>
      <c r="D1238" s="1076" t="s">
        <v>1040</v>
      </c>
      <c r="E1238" s="1208">
        <v>10541182</v>
      </c>
      <c r="F1238" s="1208"/>
      <c r="G1238" s="1076" t="s">
        <v>1738</v>
      </c>
      <c r="H1238" s="1076" t="s">
        <v>70</v>
      </c>
      <c r="I1238" s="1076" t="s">
        <v>206</v>
      </c>
      <c r="J1238" s="1076" t="s">
        <v>66</v>
      </c>
      <c r="K1238" s="1076" t="s">
        <v>49</v>
      </c>
      <c r="L1238" s="1076" t="s">
        <v>1740</v>
      </c>
      <c r="M1238" s="1209">
        <v>5</v>
      </c>
      <c r="N1238" s="1123" t="s">
        <v>166</v>
      </c>
      <c r="O1238" s="1119">
        <v>31888331</v>
      </c>
      <c r="P1238" s="1119">
        <v>31888331</v>
      </c>
      <c r="Q1238" s="1119">
        <f>P1238+P1243</f>
        <v>41661626</v>
      </c>
      <c r="R1238" s="1171">
        <v>41598</v>
      </c>
      <c r="S1238" s="1196">
        <f>T1238</f>
        <v>31888331</v>
      </c>
      <c r="T1238" s="1196">
        <v>31888331</v>
      </c>
      <c r="U1238" s="1196">
        <f>O1238-T1238</f>
        <v>0</v>
      </c>
      <c r="V1238" s="1084">
        <v>31848682</v>
      </c>
      <c r="W1238" s="1119">
        <f>31848682+V1243</f>
        <v>41621977</v>
      </c>
      <c r="X1238" s="1076" t="s">
        <v>1739</v>
      </c>
      <c r="Y1238" s="108" t="s">
        <v>1741</v>
      </c>
      <c r="Z1238" s="109">
        <v>0</v>
      </c>
      <c r="AA1238" s="109">
        <v>3184868.2</v>
      </c>
      <c r="AB1238" s="109">
        <f t="shared" si="103"/>
        <v>3184868.2</v>
      </c>
      <c r="AC1238" s="97">
        <v>41796</v>
      </c>
      <c r="AD1238" s="119">
        <v>3184868.2</v>
      </c>
      <c r="AE1238" s="1123" t="s">
        <v>166</v>
      </c>
      <c r="AF1238" s="1084">
        <f>SUM(AD1238:AD1242)</f>
        <v>31848682</v>
      </c>
      <c r="AG1238" s="1084">
        <f>AF1238+AF1243</f>
        <v>36735330</v>
      </c>
      <c r="AH1238" s="111">
        <f t="shared" si="102"/>
        <v>0</v>
      </c>
      <c r="AI1238" s="1084">
        <f>P1238-SUM(AG1238:AG1242)</f>
        <v>-4846999</v>
      </c>
      <c r="AJ1238" s="1119">
        <f>SUM(Z1238:Z1243)-SUM(AD1238:AD1243)</f>
        <v>0</v>
      </c>
      <c r="AK1238" s="1119">
        <f>P1238-V1238</f>
        <v>39649</v>
      </c>
      <c r="AL1238" s="1119">
        <f>V1238-SUM(Z1238:Z1242)+AJ1238</f>
        <v>0</v>
      </c>
      <c r="AM1238" s="1119"/>
      <c r="AN1238" s="1203" t="s">
        <v>1216</v>
      </c>
      <c r="AO1238" s="1204" t="s">
        <v>1745</v>
      </c>
    </row>
    <row r="1239" spans="1:41" ht="15" customHeight="1">
      <c r="A1239" s="1075"/>
      <c r="B1239" s="1171"/>
      <c r="C1239" s="1076"/>
      <c r="D1239" s="1076"/>
      <c r="E1239" s="1208"/>
      <c r="F1239" s="1208"/>
      <c r="G1239" s="1076"/>
      <c r="H1239" s="1076"/>
      <c r="I1239" s="1076"/>
      <c r="J1239" s="1076"/>
      <c r="K1239" s="1076"/>
      <c r="L1239" s="1076"/>
      <c r="M1239" s="1209"/>
      <c r="N1239" s="1123"/>
      <c r="O1239" s="1119"/>
      <c r="P1239" s="1119"/>
      <c r="Q1239" s="1119"/>
      <c r="R1239" s="1171"/>
      <c r="S1239" s="1196"/>
      <c r="T1239" s="1196"/>
      <c r="U1239" s="1196"/>
      <c r="V1239" s="1084"/>
      <c r="W1239" s="1119"/>
      <c r="X1239" s="1076"/>
      <c r="Y1239" s="108" t="s">
        <v>1742</v>
      </c>
      <c r="Z1239" s="109">
        <v>13694933</v>
      </c>
      <c r="AA1239" s="109">
        <v>-1369493</v>
      </c>
      <c r="AB1239" s="109">
        <f t="shared" si="103"/>
        <v>12325440</v>
      </c>
      <c r="AC1239" s="97">
        <v>41934</v>
      </c>
      <c r="AD1239" s="200">
        <v>12325440</v>
      </c>
      <c r="AE1239" s="1123"/>
      <c r="AF1239" s="1084"/>
      <c r="AG1239" s="1084"/>
      <c r="AH1239" s="111">
        <f t="shared" si="102"/>
        <v>0</v>
      </c>
      <c r="AI1239" s="1084"/>
      <c r="AJ1239" s="1119"/>
      <c r="AK1239" s="1119"/>
      <c r="AL1239" s="1119"/>
      <c r="AM1239" s="1119"/>
      <c r="AN1239" s="1203"/>
      <c r="AO1239" s="1204"/>
    </row>
    <row r="1240" spans="1:41" ht="15" customHeight="1">
      <c r="A1240" s="1075"/>
      <c r="B1240" s="1171"/>
      <c r="C1240" s="1076"/>
      <c r="D1240" s="1076"/>
      <c r="E1240" s="1208"/>
      <c r="F1240" s="1208"/>
      <c r="G1240" s="1076"/>
      <c r="H1240" s="1076"/>
      <c r="I1240" s="1076"/>
      <c r="J1240" s="1076"/>
      <c r="K1240" s="1076"/>
      <c r="L1240" s="1076"/>
      <c r="M1240" s="1209"/>
      <c r="N1240" s="1123"/>
      <c r="O1240" s="1119"/>
      <c r="P1240" s="1119"/>
      <c r="Q1240" s="1119"/>
      <c r="R1240" s="1171"/>
      <c r="S1240" s="1196"/>
      <c r="T1240" s="1196"/>
      <c r="U1240" s="1196"/>
      <c r="V1240" s="1084"/>
      <c r="W1240" s="1119"/>
      <c r="X1240" s="1076"/>
      <c r="Y1240" s="108" t="s">
        <v>1743</v>
      </c>
      <c r="Z1240" s="109">
        <v>8280657</v>
      </c>
      <c r="AA1240" s="109">
        <v>-828066</v>
      </c>
      <c r="AB1240" s="109">
        <f t="shared" si="103"/>
        <v>7452591</v>
      </c>
      <c r="AC1240" s="97">
        <v>42038</v>
      </c>
      <c r="AD1240" s="119">
        <v>7452591</v>
      </c>
      <c r="AE1240" s="1123"/>
      <c r="AF1240" s="1084"/>
      <c r="AG1240" s="1084"/>
      <c r="AH1240" s="111">
        <f t="shared" si="102"/>
        <v>0</v>
      </c>
      <c r="AI1240" s="1084"/>
      <c r="AJ1240" s="1119"/>
      <c r="AK1240" s="1119"/>
      <c r="AL1240" s="1119"/>
      <c r="AM1240" s="1119"/>
      <c r="AN1240" s="1203"/>
      <c r="AO1240" s="1204"/>
    </row>
    <row r="1241" spans="1:41" ht="15" customHeight="1">
      <c r="A1241" s="1075"/>
      <c r="B1241" s="1171"/>
      <c r="C1241" s="1076"/>
      <c r="D1241" s="1076"/>
      <c r="E1241" s="1208"/>
      <c r="F1241" s="1208"/>
      <c r="G1241" s="1076"/>
      <c r="H1241" s="1076"/>
      <c r="I1241" s="1076"/>
      <c r="J1241" s="1076"/>
      <c r="K1241" s="1076"/>
      <c r="L1241" s="1076"/>
      <c r="M1241" s="1209"/>
      <c r="N1241" s="1123"/>
      <c r="O1241" s="1119"/>
      <c r="P1241" s="1119"/>
      <c r="Q1241" s="1119"/>
      <c r="R1241" s="1171"/>
      <c r="S1241" s="1196"/>
      <c r="T1241" s="1196"/>
      <c r="U1241" s="1196"/>
      <c r="V1241" s="1084"/>
      <c r="W1241" s="1119"/>
      <c r="X1241" s="1076"/>
      <c r="Y1241" s="108" t="s">
        <v>1744</v>
      </c>
      <c r="Z1241" s="109">
        <v>6051250</v>
      </c>
      <c r="AA1241" s="109">
        <v>-605125</v>
      </c>
      <c r="AB1241" s="109">
        <f t="shared" si="103"/>
        <v>5446125</v>
      </c>
      <c r="AC1241" s="97">
        <v>42157</v>
      </c>
      <c r="AD1241" s="119">
        <v>5446125</v>
      </c>
      <c r="AE1241" s="1123"/>
      <c r="AF1241" s="1084"/>
      <c r="AG1241" s="1084"/>
      <c r="AH1241" s="111">
        <f t="shared" si="102"/>
        <v>0</v>
      </c>
      <c r="AI1241" s="1084"/>
      <c r="AJ1241" s="1119"/>
      <c r="AK1241" s="1119"/>
      <c r="AL1241" s="1119"/>
      <c r="AM1241" s="1119"/>
      <c r="AN1241" s="1203"/>
      <c r="AO1241" s="1204"/>
    </row>
    <row r="1242" spans="1:41" ht="15" customHeight="1">
      <c r="A1242" s="1075"/>
      <c r="B1242" s="1171"/>
      <c r="C1242" s="1076"/>
      <c r="D1242" s="1076"/>
      <c r="E1242" s="1208"/>
      <c r="F1242" s="1208"/>
      <c r="G1242" s="1076"/>
      <c r="H1242" s="1076"/>
      <c r="I1242" s="1076"/>
      <c r="J1242" s="1076"/>
      <c r="K1242" s="1076"/>
      <c r="L1242" s="1076"/>
      <c r="M1242" s="1209"/>
      <c r="N1242" s="1123"/>
      <c r="O1242" s="1119"/>
      <c r="P1242" s="1119"/>
      <c r="Q1242" s="1119"/>
      <c r="R1242" s="1171"/>
      <c r="S1242" s="1196"/>
      <c r="T1242" s="1196"/>
      <c r="U1242" s="1196"/>
      <c r="V1242" s="1084"/>
      <c r="W1242" s="1119"/>
      <c r="X1242" s="1076"/>
      <c r="Y1242" s="696" t="s">
        <v>2716</v>
      </c>
      <c r="Z1242" s="109">
        <v>3821842</v>
      </c>
      <c r="AA1242" s="109">
        <v>-382184.2</v>
      </c>
      <c r="AB1242" s="109">
        <v>3439657.8</v>
      </c>
      <c r="AC1242" s="97">
        <v>43096</v>
      </c>
      <c r="AD1242" s="119">
        <f>+AB1242</f>
        <v>3439657.8</v>
      </c>
      <c r="AE1242" s="1123"/>
      <c r="AF1242" s="1084"/>
      <c r="AG1242" s="1084"/>
      <c r="AH1242" s="111">
        <f t="shared" si="102"/>
        <v>0</v>
      </c>
      <c r="AI1242" s="1084"/>
      <c r="AJ1242" s="1119"/>
      <c r="AK1242" s="1119"/>
      <c r="AL1242" s="1119"/>
      <c r="AM1242" s="1119"/>
      <c r="AN1242" s="1203"/>
      <c r="AO1242" s="1204"/>
    </row>
    <row r="1243" spans="1:41" ht="15" customHeight="1">
      <c r="A1243" s="1075"/>
      <c r="B1243" s="1171"/>
      <c r="C1243" s="1076"/>
      <c r="D1243" s="1076"/>
      <c r="E1243" s="1208"/>
      <c r="F1243" s="1208"/>
      <c r="G1243" s="1076"/>
      <c r="H1243" s="1076"/>
      <c r="I1243" s="1076"/>
      <c r="J1243" s="113" t="s">
        <v>67</v>
      </c>
      <c r="K1243" s="1076"/>
      <c r="L1243" s="1076"/>
      <c r="M1243" s="102">
        <v>14</v>
      </c>
      <c r="N1243" s="108" t="s">
        <v>166</v>
      </c>
      <c r="O1243" s="109">
        <v>9773295</v>
      </c>
      <c r="P1243" s="109">
        <v>9773295</v>
      </c>
      <c r="Q1243" s="1119"/>
      <c r="R1243" s="97">
        <v>42325</v>
      </c>
      <c r="S1243" s="110">
        <f>T1243</f>
        <v>9773295</v>
      </c>
      <c r="T1243" s="109">
        <v>9773295</v>
      </c>
      <c r="U1243" s="109">
        <f>O1243-T1243</f>
        <v>0</v>
      </c>
      <c r="V1243" s="111">
        <v>9773295</v>
      </c>
      <c r="W1243" s="1119"/>
      <c r="X1243" s="1076"/>
      <c r="Y1243" s="696" t="s">
        <v>2716</v>
      </c>
      <c r="Z1243" s="109">
        <v>4886648</v>
      </c>
      <c r="AA1243" s="109">
        <v>0</v>
      </c>
      <c r="AB1243" s="109">
        <v>4886648</v>
      </c>
      <c r="AC1243" s="697">
        <v>43096</v>
      </c>
      <c r="AD1243" s="698">
        <f>+AB1243</f>
        <v>4886648</v>
      </c>
      <c r="AE1243" s="696" t="s">
        <v>166</v>
      </c>
      <c r="AF1243" s="111">
        <f>AD1243</f>
        <v>4886648</v>
      </c>
      <c r="AG1243" s="1084"/>
      <c r="AH1243" s="111">
        <f t="shared" si="102"/>
        <v>0</v>
      </c>
      <c r="AI1243" s="111">
        <f>O1243-AD1243</f>
        <v>4886647</v>
      </c>
      <c r="AJ1243" s="1119"/>
      <c r="AK1243" s="109">
        <f>P1243-V1243</f>
        <v>0</v>
      </c>
      <c r="AL1243" s="109">
        <f>V1243-Z1243</f>
        <v>4886647</v>
      </c>
      <c r="AM1243" s="109"/>
      <c r="AN1243" s="1203"/>
      <c r="AO1243" s="1204"/>
    </row>
    <row r="1244" spans="1:41" ht="15" customHeight="1">
      <c r="A1244" s="1214" t="s">
        <v>1768</v>
      </c>
      <c r="B1244" s="1171">
        <v>41743</v>
      </c>
      <c r="C1244" s="1076" t="s">
        <v>10</v>
      </c>
      <c r="D1244" s="1076" t="s">
        <v>1770</v>
      </c>
      <c r="E1244" s="1208">
        <v>900718859</v>
      </c>
      <c r="F1244" s="1208">
        <v>7</v>
      </c>
      <c r="G1244" s="1076" t="s">
        <v>1769</v>
      </c>
      <c r="H1244" s="1076" t="s">
        <v>70</v>
      </c>
      <c r="I1244" s="1076" t="s">
        <v>206</v>
      </c>
      <c r="J1244" s="1076" t="s">
        <v>66</v>
      </c>
      <c r="K1244" s="1076" t="s">
        <v>49</v>
      </c>
      <c r="L1244" s="1076" t="s">
        <v>1772</v>
      </c>
      <c r="M1244" s="1209">
        <v>294</v>
      </c>
      <c r="N1244" s="1123" t="s">
        <v>7</v>
      </c>
      <c r="O1244" s="1119">
        <v>200064922</v>
      </c>
      <c r="P1244" s="1119">
        <v>200064922</v>
      </c>
      <c r="Q1244" s="1119">
        <v>200064922</v>
      </c>
      <c r="R1244" s="1171">
        <v>41546</v>
      </c>
      <c r="S1244" s="1196">
        <f>T1244</f>
        <v>200064922</v>
      </c>
      <c r="T1244" s="1196">
        <v>200064922</v>
      </c>
      <c r="U1244" s="1196">
        <f>O1244-T1244</f>
        <v>0</v>
      </c>
      <c r="V1244" s="1084">
        <v>200061488</v>
      </c>
      <c r="W1244" s="1119">
        <v>200061488</v>
      </c>
      <c r="X1244" s="1076" t="s">
        <v>1771</v>
      </c>
      <c r="Y1244" s="108" t="s">
        <v>1773</v>
      </c>
      <c r="Z1244" s="109">
        <v>0</v>
      </c>
      <c r="AA1244" s="109">
        <v>20006148</v>
      </c>
      <c r="AB1244" s="109">
        <f>Z1244+AA1244</f>
        <v>20006148</v>
      </c>
      <c r="AC1244" s="97">
        <v>41901</v>
      </c>
      <c r="AD1244" s="119">
        <v>20006148.800000001</v>
      </c>
      <c r="AE1244" s="98" t="s">
        <v>7</v>
      </c>
      <c r="AF1244" s="1084">
        <f>SUM(AD1244:AD1250)</f>
        <v>181515677.38000003</v>
      </c>
      <c r="AG1244" s="1084">
        <f>AF1244</f>
        <v>181515677.38000003</v>
      </c>
      <c r="AH1244" s="111">
        <f>AB1244-AD1244</f>
        <v>-0.80000000074505806</v>
      </c>
      <c r="AI1244" s="1084">
        <f>O1244-SUM(AD1244:AD1250)</f>
        <v>18549244.619999975</v>
      </c>
      <c r="AJ1244" s="1119">
        <f>SUM(Z1244:Z1250)-SUM(AD1244:AD1250)</f>
        <v>-2460665.6200000048</v>
      </c>
      <c r="AK1244" s="1119">
        <f>P1244-V1244</f>
        <v>3434</v>
      </c>
      <c r="AL1244" s="1119">
        <f>V1244-SUM(Z1244:Z1250)+AJ1244</f>
        <v>18545810.619999975</v>
      </c>
      <c r="AM1244" s="1119"/>
      <c r="AN1244" s="1203"/>
      <c r="AO1244" s="1204" t="s">
        <v>1767</v>
      </c>
    </row>
    <row r="1245" spans="1:41" ht="15" customHeight="1">
      <c r="A1245" s="1214"/>
      <c r="B1245" s="1171"/>
      <c r="C1245" s="1076"/>
      <c r="D1245" s="1076"/>
      <c r="E1245" s="1208"/>
      <c r="F1245" s="1208"/>
      <c r="G1245" s="1076"/>
      <c r="H1245" s="1076"/>
      <c r="I1245" s="1076"/>
      <c r="J1245" s="1076"/>
      <c r="K1245" s="1076"/>
      <c r="L1245" s="1076"/>
      <c r="M1245" s="1209"/>
      <c r="N1245" s="1123"/>
      <c r="O1245" s="1119"/>
      <c r="P1245" s="1119"/>
      <c r="Q1245" s="1119"/>
      <c r="R1245" s="1171"/>
      <c r="S1245" s="1196"/>
      <c r="T1245" s="1196"/>
      <c r="U1245" s="1196"/>
      <c r="V1245" s="1084"/>
      <c r="W1245" s="1119"/>
      <c r="X1245" s="1076"/>
      <c r="Y1245" s="108" t="s">
        <v>1774</v>
      </c>
      <c r="Z1245" s="109">
        <v>46014122.240000002</v>
      </c>
      <c r="AA1245" s="109">
        <v>-4601394.22</v>
      </c>
      <c r="AB1245" s="109">
        <f t="shared" ref="AB1245:AB1250" si="107">Z1245+AA1245</f>
        <v>41412728.020000003</v>
      </c>
      <c r="AC1245" s="97">
        <v>41984</v>
      </c>
      <c r="AD1245" s="119">
        <v>41412728.020000003</v>
      </c>
      <c r="AE1245" s="98" t="s">
        <v>7</v>
      </c>
      <c r="AF1245" s="1084"/>
      <c r="AG1245" s="1084"/>
      <c r="AH1245" s="111">
        <f t="shared" ref="AH1245:AH1250" si="108">AB1245-AD1245</f>
        <v>0</v>
      </c>
      <c r="AI1245" s="1084"/>
      <c r="AJ1245" s="1119"/>
      <c r="AK1245" s="1119"/>
      <c r="AL1245" s="1119"/>
      <c r="AM1245" s="1119"/>
      <c r="AN1245" s="1203"/>
      <c r="AO1245" s="1204"/>
    </row>
    <row r="1246" spans="1:41" ht="15" customHeight="1">
      <c r="A1246" s="1214"/>
      <c r="B1246" s="1171"/>
      <c r="C1246" s="1076"/>
      <c r="D1246" s="1076"/>
      <c r="E1246" s="1208"/>
      <c r="F1246" s="1208"/>
      <c r="G1246" s="1076"/>
      <c r="H1246" s="1076"/>
      <c r="I1246" s="1076"/>
      <c r="J1246" s="1076"/>
      <c r="K1246" s="1076"/>
      <c r="L1246" s="1076"/>
      <c r="M1246" s="1209"/>
      <c r="N1246" s="1123"/>
      <c r="O1246" s="1119"/>
      <c r="P1246" s="1119"/>
      <c r="Q1246" s="1119"/>
      <c r="R1246" s="1171"/>
      <c r="S1246" s="1196"/>
      <c r="T1246" s="1196"/>
      <c r="U1246" s="1196"/>
      <c r="V1246" s="1084"/>
      <c r="W1246" s="1119"/>
      <c r="X1246" s="1076"/>
      <c r="Y1246" s="108" t="s">
        <v>1775</v>
      </c>
      <c r="Z1246" s="109">
        <v>53016294.32</v>
      </c>
      <c r="AA1246" s="109">
        <v>-5301629.43</v>
      </c>
      <c r="AB1246" s="109">
        <f t="shared" si="107"/>
        <v>47714664.890000001</v>
      </c>
      <c r="AC1246" s="97">
        <v>42136</v>
      </c>
      <c r="AD1246" s="119">
        <v>47714664.890000001</v>
      </c>
      <c r="AE1246" s="98" t="s">
        <v>7</v>
      </c>
      <c r="AF1246" s="1084"/>
      <c r="AG1246" s="1084"/>
      <c r="AH1246" s="111">
        <f t="shared" si="108"/>
        <v>0</v>
      </c>
      <c r="AI1246" s="1084"/>
      <c r="AJ1246" s="1119"/>
      <c r="AK1246" s="1119"/>
      <c r="AL1246" s="1119"/>
      <c r="AM1246" s="1119"/>
      <c r="AN1246" s="1203"/>
      <c r="AO1246" s="1204"/>
    </row>
    <row r="1247" spans="1:41" ht="15" customHeight="1">
      <c r="A1247" s="1214"/>
      <c r="B1247" s="1171"/>
      <c r="C1247" s="1076"/>
      <c r="D1247" s="1076"/>
      <c r="E1247" s="1208"/>
      <c r="F1247" s="1208"/>
      <c r="G1247" s="1076"/>
      <c r="H1247" s="1076"/>
      <c r="I1247" s="1076"/>
      <c r="J1247" s="1076"/>
      <c r="K1247" s="1076"/>
      <c r="L1247" s="1076"/>
      <c r="M1247" s="1209"/>
      <c r="N1247" s="1123"/>
      <c r="O1247" s="1119"/>
      <c r="P1247" s="1119"/>
      <c r="Q1247" s="1119"/>
      <c r="R1247" s="1171"/>
      <c r="S1247" s="1196"/>
      <c r="T1247" s="1196"/>
      <c r="U1247" s="1196"/>
      <c r="V1247" s="1084"/>
      <c r="W1247" s="1119"/>
      <c r="X1247" s="1076"/>
      <c r="Y1247" s="108" t="s">
        <v>1776</v>
      </c>
      <c r="Z1247" s="109">
        <v>32009838.079999998</v>
      </c>
      <c r="AA1247" s="109">
        <v>-3200983.81</v>
      </c>
      <c r="AB1247" s="109">
        <f t="shared" si="107"/>
        <v>28808854.27</v>
      </c>
      <c r="AC1247" s="97">
        <v>42282</v>
      </c>
      <c r="AD1247" s="119">
        <v>28808854.27</v>
      </c>
      <c r="AE1247" s="98" t="s">
        <v>7</v>
      </c>
      <c r="AF1247" s="1084"/>
      <c r="AG1247" s="1084"/>
      <c r="AH1247" s="111">
        <f t="shared" si="108"/>
        <v>0</v>
      </c>
      <c r="AI1247" s="1084"/>
      <c r="AJ1247" s="1119"/>
      <c r="AK1247" s="1119"/>
      <c r="AL1247" s="1119"/>
      <c r="AM1247" s="1119"/>
      <c r="AN1247" s="1203"/>
      <c r="AO1247" s="1204"/>
    </row>
    <row r="1248" spans="1:41" ht="15" customHeight="1">
      <c r="A1248" s="1214"/>
      <c r="B1248" s="1171"/>
      <c r="C1248" s="1076"/>
      <c r="D1248" s="1076"/>
      <c r="E1248" s="1208"/>
      <c r="F1248" s="1208"/>
      <c r="G1248" s="1076"/>
      <c r="H1248" s="1076"/>
      <c r="I1248" s="1076"/>
      <c r="J1248" s="1076"/>
      <c r="K1248" s="1076"/>
      <c r="L1248" s="1076"/>
      <c r="M1248" s="1209"/>
      <c r="N1248" s="1123"/>
      <c r="O1248" s="1119"/>
      <c r="P1248" s="1119"/>
      <c r="Q1248" s="1119"/>
      <c r="R1248" s="1171"/>
      <c r="S1248" s="1196"/>
      <c r="T1248" s="1196"/>
      <c r="U1248" s="1196"/>
      <c r="V1248" s="1084"/>
      <c r="W1248" s="1119"/>
      <c r="X1248" s="1076"/>
      <c r="Y1248" s="108" t="s">
        <v>1777</v>
      </c>
      <c r="Z1248" s="109">
        <v>14004304.16</v>
      </c>
      <c r="AA1248" s="109">
        <v>-1400430.42</v>
      </c>
      <c r="AB1248" s="109">
        <f t="shared" si="107"/>
        <v>12603873.74</v>
      </c>
      <c r="AC1248" s="97">
        <v>42290</v>
      </c>
      <c r="AD1248" s="119">
        <v>12603873.74</v>
      </c>
      <c r="AE1248" s="98" t="s">
        <v>7</v>
      </c>
      <c r="AF1248" s="1084"/>
      <c r="AG1248" s="1084"/>
      <c r="AH1248" s="111">
        <f t="shared" si="108"/>
        <v>0</v>
      </c>
      <c r="AI1248" s="1084"/>
      <c r="AJ1248" s="1119"/>
      <c r="AK1248" s="1119"/>
      <c r="AL1248" s="1119"/>
      <c r="AM1248" s="1119"/>
      <c r="AN1248" s="1203"/>
      <c r="AO1248" s="1204"/>
    </row>
    <row r="1249" spans="1:43" ht="15" customHeight="1">
      <c r="A1249" s="1214"/>
      <c r="B1249" s="1171"/>
      <c r="C1249" s="1076"/>
      <c r="D1249" s="1076"/>
      <c r="E1249" s="1208"/>
      <c r="F1249" s="1208"/>
      <c r="G1249" s="1076"/>
      <c r="H1249" s="1076"/>
      <c r="I1249" s="1076"/>
      <c r="J1249" s="1076"/>
      <c r="K1249" s="1076"/>
      <c r="L1249" s="1076"/>
      <c r="M1249" s="1209"/>
      <c r="N1249" s="1123"/>
      <c r="O1249" s="1119"/>
      <c r="P1249" s="1119"/>
      <c r="Q1249" s="1119"/>
      <c r="R1249" s="1171"/>
      <c r="S1249" s="1196"/>
      <c r="T1249" s="1196"/>
      <c r="U1249" s="1196"/>
      <c r="V1249" s="1084"/>
      <c r="W1249" s="1119"/>
      <c r="X1249" s="1076"/>
      <c r="Y1249" s="108" t="s">
        <v>1778</v>
      </c>
      <c r="Z1249" s="109">
        <v>34010452.960000001</v>
      </c>
      <c r="AA1249" s="109">
        <v>-3041045.3</v>
      </c>
      <c r="AB1249" s="109">
        <f t="shared" si="107"/>
        <v>30969407.66</v>
      </c>
      <c r="AC1249" s="97">
        <v>42439</v>
      </c>
      <c r="AD1249" s="119">
        <v>30969407.66</v>
      </c>
      <c r="AE1249" s="98" t="s">
        <v>7</v>
      </c>
      <c r="AF1249" s="1084"/>
      <c r="AG1249" s="1084"/>
      <c r="AH1249" s="111">
        <f t="shared" si="108"/>
        <v>0</v>
      </c>
      <c r="AI1249" s="1084"/>
      <c r="AJ1249" s="1119"/>
      <c r="AK1249" s="1119"/>
      <c r="AL1249" s="1119"/>
      <c r="AM1249" s="1119"/>
      <c r="AN1249" s="1203"/>
      <c r="AO1249" s="1204"/>
    </row>
    <row r="1250" spans="1:43" ht="15" customHeight="1">
      <c r="A1250" s="1214"/>
      <c r="B1250" s="1171"/>
      <c r="C1250" s="1076"/>
      <c r="D1250" s="1076"/>
      <c r="E1250" s="1208"/>
      <c r="F1250" s="1208"/>
      <c r="G1250" s="1076"/>
      <c r="H1250" s="1076"/>
      <c r="I1250" s="1076"/>
      <c r="J1250" s="1076"/>
      <c r="K1250" s="1076"/>
      <c r="L1250" s="1076"/>
      <c r="M1250" s="1209"/>
      <c r="N1250" s="1123"/>
      <c r="O1250" s="1119"/>
      <c r="P1250" s="1119"/>
      <c r="Q1250" s="1119"/>
      <c r="R1250" s="1171"/>
      <c r="S1250" s="1196"/>
      <c r="T1250" s="1196"/>
      <c r="U1250" s="1196"/>
      <c r="V1250" s="1084"/>
      <c r="W1250" s="1119"/>
      <c r="X1250" s="1076"/>
      <c r="Y1250" s="108"/>
      <c r="Z1250" s="109"/>
      <c r="AA1250" s="109"/>
      <c r="AB1250" s="109">
        <f t="shared" si="107"/>
        <v>0</v>
      </c>
      <c r="AC1250" s="97"/>
      <c r="AD1250" s="119"/>
      <c r="AE1250" s="98"/>
      <c r="AF1250" s="1084"/>
      <c r="AG1250" s="1084"/>
      <c r="AH1250" s="111">
        <f t="shared" si="108"/>
        <v>0</v>
      </c>
      <c r="AI1250" s="1084"/>
      <c r="AJ1250" s="1119"/>
      <c r="AK1250" s="1119"/>
      <c r="AL1250" s="1119"/>
      <c r="AM1250" s="1119"/>
      <c r="AN1250" s="1203"/>
      <c r="AO1250" s="1204"/>
    </row>
    <row r="1251" spans="1:43" s="4" customFormat="1" ht="15" customHeight="1">
      <c r="A1251" s="1005" t="s">
        <v>1781</v>
      </c>
      <c r="B1251" s="97">
        <v>41782</v>
      </c>
      <c r="C1251" s="96" t="s">
        <v>11</v>
      </c>
      <c r="D1251" s="96" t="s">
        <v>1780</v>
      </c>
      <c r="E1251" s="154">
        <v>900729848</v>
      </c>
      <c r="F1251" s="154">
        <v>3</v>
      </c>
      <c r="G1251" s="96" t="s">
        <v>1779</v>
      </c>
      <c r="H1251" s="96" t="s">
        <v>70</v>
      </c>
      <c r="I1251" s="96" t="s">
        <v>206</v>
      </c>
      <c r="J1251" s="96" t="s">
        <v>66</v>
      </c>
      <c r="K1251" s="96" t="s">
        <v>48</v>
      </c>
      <c r="L1251" s="96" t="s">
        <v>1783</v>
      </c>
      <c r="M1251" s="102">
        <v>301</v>
      </c>
      <c r="N1251" s="96" t="s">
        <v>137</v>
      </c>
      <c r="O1251" s="96">
        <v>172789634</v>
      </c>
      <c r="P1251" s="96">
        <v>172789634</v>
      </c>
      <c r="Q1251" s="96">
        <v>172789634</v>
      </c>
      <c r="R1251" s="97">
        <v>41705</v>
      </c>
      <c r="S1251" s="116">
        <f>T1251</f>
        <v>172789634</v>
      </c>
      <c r="T1251" s="117">
        <v>172789634</v>
      </c>
      <c r="U1251" s="117">
        <f>O1251-T1251</f>
        <v>0</v>
      </c>
      <c r="V1251" s="62">
        <v>172789621.19999999</v>
      </c>
      <c r="W1251" s="62">
        <v>172789621.19999999</v>
      </c>
      <c r="X1251" s="96"/>
      <c r="Y1251" s="108"/>
      <c r="Z1251" s="103"/>
      <c r="AA1251" s="103"/>
      <c r="AB1251" s="103"/>
      <c r="AC1251" s="97"/>
      <c r="AD1251" s="98">
        <v>0</v>
      </c>
      <c r="AE1251" s="930" t="s">
        <v>137</v>
      </c>
      <c r="AF1251" s="96"/>
      <c r="AG1251" s="96"/>
      <c r="AH1251" s="96"/>
      <c r="AI1251" s="96"/>
      <c r="AJ1251" s="96"/>
      <c r="AK1251" s="96">
        <f>P1251-V1251</f>
        <v>12.800000011920929</v>
      </c>
      <c r="AL1251" s="96"/>
      <c r="AM1251" s="96"/>
      <c r="AN1251" s="96"/>
      <c r="AO1251" s="96" t="s">
        <v>1782</v>
      </c>
      <c r="AQ1251" s="934"/>
    </row>
    <row r="1252" spans="1:43" ht="15" customHeight="1">
      <c r="A1252" s="1214" t="s">
        <v>1784</v>
      </c>
      <c r="B1252" s="1171">
        <v>41815</v>
      </c>
      <c r="C1252" s="1076" t="s">
        <v>36</v>
      </c>
      <c r="D1252" s="1076" t="s">
        <v>1787</v>
      </c>
      <c r="E1252" s="1208">
        <v>890329571</v>
      </c>
      <c r="F1252" s="1208">
        <v>7</v>
      </c>
      <c r="G1252" s="1076" t="s">
        <v>2778</v>
      </c>
      <c r="H1252" s="1076" t="s">
        <v>72</v>
      </c>
      <c r="I1252" s="1076" t="s">
        <v>206</v>
      </c>
      <c r="J1252" s="1076" t="s">
        <v>489</v>
      </c>
      <c r="K1252" s="1076" t="s">
        <v>49</v>
      </c>
      <c r="L1252" s="1076" t="s">
        <v>1788</v>
      </c>
      <c r="M1252" s="1209">
        <v>267</v>
      </c>
      <c r="N1252" s="1123" t="s">
        <v>7</v>
      </c>
      <c r="O1252" s="1119">
        <v>400000000</v>
      </c>
      <c r="P1252" s="1119">
        <v>400000000</v>
      </c>
      <c r="Q1252" s="1119">
        <v>400000000</v>
      </c>
      <c r="R1252" s="1171">
        <v>41234</v>
      </c>
      <c r="S1252" s="1196">
        <f>T1252</f>
        <v>400000000</v>
      </c>
      <c r="T1252" s="1196">
        <v>400000000</v>
      </c>
      <c r="U1252" s="1196">
        <f>O1252-T1252</f>
        <v>0</v>
      </c>
      <c r="V1252" s="1084">
        <v>399998961</v>
      </c>
      <c r="W1252" s="1119">
        <v>399998961</v>
      </c>
      <c r="X1252" s="1076" t="s">
        <v>1786</v>
      </c>
      <c r="Y1252" s="108" t="s">
        <v>1789</v>
      </c>
      <c r="Z1252" s="109">
        <v>0</v>
      </c>
      <c r="AA1252" s="109">
        <v>39999896.100000001</v>
      </c>
      <c r="AB1252" s="109">
        <f>Z1252+AA1252</f>
        <v>39999896.100000001</v>
      </c>
      <c r="AC1252" s="97">
        <v>41982</v>
      </c>
      <c r="AD1252" s="119">
        <v>39999896</v>
      </c>
      <c r="AE1252" s="98" t="s">
        <v>7</v>
      </c>
      <c r="AF1252" s="1084">
        <f>SUM(AD1252:AD1255)</f>
        <v>115959699</v>
      </c>
      <c r="AG1252" s="1084">
        <f>AF1252</f>
        <v>115959699</v>
      </c>
      <c r="AH1252" s="111">
        <f>AB1252-AD1252</f>
        <v>0.10000000149011612</v>
      </c>
      <c r="AI1252" s="1084">
        <f>O1252-SUM(AD1252:AD1255)</f>
        <v>284040301</v>
      </c>
      <c r="AJ1252" s="1119">
        <f>SUM(Z1252:Z1255)-SUM(AD1252:AD1255)</f>
        <v>-31559918</v>
      </c>
      <c r="AK1252" s="1119">
        <f>P1252-V1252</f>
        <v>1039</v>
      </c>
      <c r="AL1252" s="1119">
        <f>V1252-SUM(Z1252:Z1255)+AJ1252</f>
        <v>284039262</v>
      </c>
      <c r="AM1252" s="1119"/>
      <c r="AN1252" s="1203" t="s">
        <v>1696</v>
      </c>
      <c r="AO1252" s="1204" t="s">
        <v>1666</v>
      </c>
    </row>
    <row r="1253" spans="1:43" ht="15" customHeight="1">
      <c r="A1253" s="1214"/>
      <c r="B1253" s="1171"/>
      <c r="C1253" s="1076"/>
      <c r="D1253" s="1076"/>
      <c r="E1253" s="1208"/>
      <c r="F1253" s="1208"/>
      <c r="G1253" s="1076"/>
      <c r="H1253" s="1076"/>
      <c r="I1253" s="1076"/>
      <c r="J1253" s="1076"/>
      <c r="K1253" s="1076"/>
      <c r="L1253" s="1076"/>
      <c r="M1253" s="1209"/>
      <c r="N1253" s="1123"/>
      <c r="O1253" s="1119"/>
      <c r="P1253" s="1119"/>
      <c r="Q1253" s="1119"/>
      <c r="R1253" s="1171"/>
      <c r="S1253" s="1196"/>
      <c r="T1253" s="1196"/>
      <c r="U1253" s="1196"/>
      <c r="V1253" s="1084"/>
      <c r="W1253" s="1119"/>
      <c r="X1253" s="1076"/>
      <c r="Y1253" s="108" t="s">
        <v>1790</v>
      </c>
      <c r="Z1253" s="109">
        <v>84399781</v>
      </c>
      <c r="AA1253" s="109">
        <v>-8439978</v>
      </c>
      <c r="AB1253" s="109">
        <f>Z1253+AA1253</f>
        <v>75959803</v>
      </c>
      <c r="AC1253" s="97">
        <v>42173</v>
      </c>
      <c r="AD1253" s="119">
        <v>75959803</v>
      </c>
      <c r="AE1253" s="98" t="s">
        <v>7</v>
      </c>
      <c r="AF1253" s="1084"/>
      <c r="AG1253" s="1084"/>
      <c r="AH1253" s="111">
        <f>AB1253-AD1253</f>
        <v>0</v>
      </c>
      <c r="AI1253" s="1084"/>
      <c r="AJ1253" s="1119"/>
      <c r="AK1253" s="1119"/>
      <c r="AL1253" s="1119"/>
      <c r="AM1253" s="1119"/>
      <c r="AN1253" s="1203"/>
      <c r="AO1253" s="1204"/>
    </row>
    <row r="1254" spans="1:43" ht="15" customHeight="1">
      <c r="A1254" s="1214"/>
      <c r="B1254" s="1171"/>
      <c r="C1254" s="1076"/>
      <c r="D1254" s="1076"/>
      <c r="E1254" s="1208"/>
      <c r="F1254" s="1208"/>
      <c r="G1254" s="1076"/>
      <c r="H1254" s="1076"/>
      <c r="I1254" s="1076"/>
      <c r="J1254" s="1076"/>
      <c r="K1254" s="1076"/>
      <c r="L1254" s="1076"/>
      <c r="M1254" s="1209"/>
      <c r="N1254" s="1123"/>
      <c r="O1254" s="1119"/>
      <c r="P1254" s="1119"/>
      <c r="Q1254" s="1119"/>
      <c r="R1254" s="1171"/>
      <c r="S1254" s="1196"/>
      <c r="T1254" s="1196"/>
      <c r="U1254" s="1196"/>
      <c r="V1254" s="1084"/>
      <c r="W1254" s="1119"/>
      <c r="X1254" s="1076"/>
      <c r="Y1254" s="108"/>
      <c r="Z1254" s="109"/>
      <c r="AA1254" s="109"/>
      <c r="AB1254" s="109">
        <f>Z1254+AA1254</f>
        <v>0</v>
      </c>
      <c r="AC1254" s="97"/>
      <c r="AD1254" s="119"/>
      <c r="AE1254" s="98"/>
      <c r="AF1254" s="1084"/>
      <c r="AG1254" s="1084"/>
      <c r="AH1254" s="111">
        <f>AB1254-AD1254</f>
        <v>0</v>
      </c>
      <c r="AI1254" s="1084"/>
      <c r="AJ1254" s="1119"/>
      <c r="AK1254" s="1119"/>
      <c r="AL1254" s="1119"/>
      <c r="AM1254" s="1119"/>
      <c r="AN1254" s="1203"/>
      <c r="AO1254" s="1204"/>
    </row>
    <row r="1255" spans="1:43" ht="15" customHeight="1">
      <c r="A1255" s="1214"/>
      <c r="B1255" s="1171"/>
      <c r="C1255" s="1076"/>
      <c r="D1255" s="1076"/>
      <c r="E1255" s="1208"/>
      <c r="F1255" s="1208"/>
      <c r="G1255" s="1076"/>
      <c r="H1255" s="1076"/>
      <c r="I1255" s="1076"/>
      <c r="J1255" s="1076"/>
      <c r="K1255" s="1076"/>
      <c r="L1255" s="1076"/>
      <c r="M1255" s="1209"/>
      <c r="N1255" s="1123"/>
      <c r="O1255" s="1119"/>
      <c r="P1255" s="1119"/>
      <c r="Q1255" s="1119"/>
      <c r="R1255" s="1171"/>
      <c r="S1255" s="1196"/>
      <c r="T1255" s="1196"/>
      <c r="U1255" s="1196"/>
      <c r="V1255" s="1084"/>
      <c r="W1255" s="1119"/>
      <c r="X1255" s="1076"/>
      <c r="Y1255" s="108"/>
      <c r="Z1255" s="109"/>
      <c r="AA1255" s="109"/>
      <c r="AB1255" s="109">
        <f>Z1255+AA1255</f>
        <v>0</v>
      </c>
      <c r="AC1255" s="97"/>
      <c r="AD1255" s="119"/>
      <c r="AE1255" s="98"/>
      <c r="AF1255" s="1084"/>
      <c r="AG1255" s="1084"/>
      <c r="AH1255" s="111">
        <f>AB1255-AD1255</f>
        <v>0</v>
      </c>
      <c r="AI1255" s="1084"/>
      <c r="AJ1255" s="1119"/>
      <c r="AK1255" s="1119"/>
      <c r="AL1255" s="1119"/>
      <c r="AM1255" s="1119"/>
      <c r="AN1255" s="1203"/>
      <c r="AO1255" s="1204"/>
    </row>
    <row r="1256" spans="1:43" s="4" customFormat="1" ht="15" customHeight="1">
      <c r="A1256" s="1015" t="s">
        <v>2172</v>
      </c>
      <c r="B1256" s="1068">
        <v>41723</v>
      </c>
      <c r="C1256" s="1011" t="s">
        <v>46</v>
      </c>
      <c r="D1256" s="1011" t="s">
        <v>2171</v>
      </c>
      <c r="E1256" s="1011" t="s">
        <v>2170</v>
      </c>
      <c r="F1256" s="1011"/>
      <c r="G1256" s="1011" t="s">
        <v>2169</v>
      </c>
      <c r="H1256" s="1011" t="s">
        <v>71</v>
      </c>
      <c r="I1256" s="1011" t="s">
        <v>1235</v>
      </c>
      <c r="J1256" s="1011" t="s">
        <v>66</v>
      </c>
      <c r="K1256" s="1011" t="s">
        <v>48</v>
      </c>
      <c r="L1256" s="1011"/>
      <c r="M1256" s="1009">
        <v>273</v>
      </c>
      <c r="N1256" s="1065" t="s">
        <v>137</v>
      </c>
      <c r="O1256" s="1062">
        <v>469824812</v>
      </c>
      <c r="P1256" s="1062">
        <f>O1256+O1261</f>
        <v>5028116773</v>
      </c>
      <c r="Q1256" s="1062">
        <f>P1256+P1266</f>
        <v>6505975000</v>
      </c>
      <c r="R1256" s="1068">
        <v>41277</v>
      </c>
      <c r="S1256" s="1089">
        <f>T1256+T1261</f>
        <v>5028116773</v>
      </c>
      <c r="T1256" s="1062">
        <v>469824812</v>
      </c>
      <c r="U1256" s="1062">
        <f>O1256-T1256</f>
        <v>0</v>
      </c>
      <c r="V1256" s="1062">
        <v>321044130</v>
      </c>
      <c r="W1256" s="1062">
        <f>V1256+V1261+V1266</f>
        <v>4382858750</v>
      </c>
      <c r="X1256" s="1011" t="s">
        <v>2168</v>
      </c>
      <c r="Y1256" s="1065" t="s">
        <v>2167</v>
      </c>
      <c r="Z1256" s="111">
        <v>0</v>
      </c>
      <c r="AA1256" s="111">
        <f>V1256*40%</f>
        <v>128417652</v>
      </c>
      <c r="AB1256" s="111">
        <f t="shared" ref="AB1256:AD1274" si="109">Z1256+AA1256</f>
        <v>128417652</v>
      </c>
      <c r="AC1256" s="1120">
        <v>41906</v>
      </c>
      <c r="AD1256" s="119">
        <v>128417652</v>
      </c>
      <c r="AE1256" s="108" t="s">
        <v>137</v>
      </c>
      <c r="AF1256" s="1043">
        <f>SUM(AD1256:AD1265)</f>
        <v>3017505590</v>
      </c>
      <c r="AG1256" s="1043">
        <f>SUM(AF1256:AF1268)</f>
        <v>4371216292.1999998</v>
      </c>
      <c r="AH1256" s="111">
        <f t="shared" ref="AH1256:AH1274" si="110">AB1256-AD1256</f>
        <v>0</v>
      </c>
      <c r="AI1256" s="1043">
        <f>V1256-AD1256-AD1258-AD1260-AD1262-AD1264</f>
        <v>0</v>
      </c>
      <c r="AJ1256" s="1062">
        <f>SUM(Z1256:Z1268)-SUM(AD1256:AD1268)</f>
        <v>0</v>
      </c>
      <c r="AK1256" s="1062"/>
      <c r="AL1256" s="1062"/>
      <c r="AM1256" s="1062"/>
      <c r="AN1256" s="1103" t="s">
        <v>2166</v>
      </c>
      <c r="AO1256" s="1103" t="s">
        <v>2165</v>
      </c>
      <c r="AQ1256" s="934"/>
    </row>
    <row r="1257" spans="1:43" s="4" customFormat="1" ht="15" customHeight="1">
      <c r="A1257" s="1050"/>
      <c r="B1257" s="1069"/>
      <c r="C1257" s="1033"/>
      <c r="D1257" s="1033"/>
      <c r="E1257" s="1033"/>
      <c r="F1257" s="1033"/>
      <c r="G1257" s="1033"/>
      <c r="H1257" s="1033"/>
      <c r="I1257" s="1033"/>
      <c r="J1257" s="1033"/>
      <c r="K1257" s="1033"/>
      <c r="L1257" s="1033"/>
      <c r="M1257" s="1039"/>
      <c r="N1257" s="1066"/>
      <c r="O1257" s="1063"/>
      <c r="P1257" s="1063"/>
      <c r="Q1257" s="1063"/>
      <c r="R1257" s="1069"/>
      <c r="S1257" s="1090"/>
      <c r="T1257" s="1063"/>
      <c r="U1257" s="1063"/>
      <c r="V1257" s="1063"/>
      <c r="W1257" s="1063"/>
      <c r="X1257" s="1033"/>
      <c r="Y1257" s="1067"/>
      <c r="Z1257" s="111">
        <v>0</v>
      </c>
      <c r="AA1257" s="111">
        <f>V1261*40%</f>
        <v>1078584584</v>
      </c>
      <c r="AB1257" s="111">
        <f t="shared" si="109"/>
        <v>1078584584</v>
      </c>
      <c r="AC1257" s="1160"/>
      <c r="AD1257" s="119">
        <v>1078584584</v>
      </c>
      <c r="AE1257" s="108" t="s">
        <v>7</v>
      </c>
      <c r="AF1257" s="1044"/>
      <c r="AG1257" s="1044"/>
      <c r="AH1257" s="111">
        <f t="shared" si="110"/>
        <v>0</v>
      </c>
      <c r="AI1257" s="1044"/>
      <c r="AJ1257" s="1063"/>
      <c r="AK1257" s="1063"/>
      <c r="AL1257" s="1063"/>
      <c r="AM1257" s="1063"/>
      <c r="AN1257" s="1104"/>
      <c r="AO1257" s="1104"/>
      <c r="AQ1257" s="934"/>
    </row>
    <row r="1258" spans="1:43" s="4" customFormat="1" ht="15" customHeight="1">
      <c r="A1258" s="1050"/>
      <c r="B1258" s="1069"/>
      <c r="C1258" s="1033"/>
      <c r="D1258" s="1033"/>
      <c r="E1258" s="1033"/>
      <c r="F1258" s="1033"/>
      <c r="G1258" s="1033"/>
      <c r="H1258" s="1033"/>
      <c r="I1258" s="1033"/>
      <c r="J1258" s="1033"/>
      <c r="K1258" s="1033"/>
      <c r="L1258" s="1033"/>
      <c r="M1258" s="1039"/>
      <c r="N1258" s="1066"/>
      <c r="O1258" s="1063"/>
      <c r="P1258" s="1063"/>
      <c r="Q1258" s="1063"/>
      <c r="R1258" s="1069"/>
      <c r="S1258" s="1090"/>
      <c r="T1258" s="1063"/>
      <c r="U1258" s="1063"/>
      <c r="V1258" s="1063"/>
      <c r="W1258" s="1063"/>
      <c r="X1258" s="1033"/>
      <c r="Y1258" s="1065" t="s">
        <v>2164</v>
      </c>
      <c r="Z1258" s="111">
        <v>154990024.09999999</v>
      </c>
      <c r="AA1258" s="111">
        <v>-61996009.600000001</v>
      </c>
      <c r="AB1258" s="111">
        <f t="shared" si="109"/>
        <v>92994014.5</v>
      </c>
      <c r="AC1258" s="1120">
        <v>42191</v>
      </c>
      <c r="AD1258" s="119">
        <v>92994014.5</v>
      </c>
      <c r="AE1258" s="108" t="s">
        <v>137</v>
      </c>
      <c r="AF1258" s="1044"/>
      <c r="AG1258" s="1044"/>
      <c r="AH1258" s="111">
        <f t="shared" si="110"/>
        <v>0</v>
      </c>
      <c r="AI1258" s="1044"/>
      <c r="AJ1258" s="1063"/>
      <c r="AK1258" s="1063"/>
      <c r="AL1258" s="1063"/>
      <c r="AM1258" s="1063"/>
      <c r="AN1258" s="1104"/>
      <c r="AO1258" s="1104"/>
      <c r="AQ1258" s="934"/>
    </row>
    <row r="1259" spans="1:43" s="4" customFormat="1" ht="15" customHeight="1">
      <c r="A1259" s="1050"/>
      <c r="B1259" s="1069"/>
      <c r="C1259" s="1033"/>
      <c r="D1259" s="1033"/>
      <c r="E1259" s="1033"/>
      <c r="F1259" s="1033"/>
      <c r="G1259" s="1033"/>
      <c r="H1259" s="1033"/>
      <c r="I1259" s="1033"/>
      <c r="J1259" s="1033"/>
      <c r="K1259" s="1033"/>
      <c r="L1259" s="1033"/>
      <c r="M1259" s="1039"/>
      <c r="N1259" s="1066"/>
      <c r="O1259" s="1063"/>
      <c r="P1259" s="1063"/>
      <c r="Q1259" s="1063"/>
      <c r="R1259" s="1069"/>
      <c r="S1259" s="1090"/>
      <c r="T1259" s="1063"/>
      <c r="U1259" s="1063"/>
      <c r="V1259" s="1063"/>
      <c r="W1259" s="1063"/>
      <c r="X1259" s="1033"/>
      <c r="Y1259" s="1067"/>
      <c r="Z1259" s="111">
        <v>1301766916.9000001</v>
      </c>
      <c r="AA1259" s="111">
        <v>-520706766.39999998</v>
      </c>
      <c r="AB1259" s="111">
        <f t="shared" si="109"/>
        <v>781060150.50000012</v>
      </c>
      <c r="AC1259" s="1160"/>
      <c r="AD1259" s="119">
        <v>781060150.5</v>
      </c>
      <c r="AE1259" s="108" t="s">
        <v>7</v>
      </c>
      <c r="AF1259" s="1044"/>
      <c r="AG1259" s="1044"/>
      <c r="AH1259" s="111">
        <f t="shared" si="110"/>
        <v>0</v>
      </c>
      <c r="AI1259" s="1044"/>
      <c r="AJ1259" s="1063"/>
      <c r="AK1259" s="1063"/>
      <c r="AL1259" s="1063"/>
      <c r="AM1259" s="1063"/>
      <c r="AN1259" s="1104"/>
      <c r="AO1259" s="1104"/>
      <c r="AQ1259" s="934"/>
    </row>
    <row r="1260" spans="1:43" s="4" customFormat="1" ht="15" customHeight="1">
      <c r="A1260" s="1050"/>
      <c r="B1260" s="1069"/>
      <c r="C1260" s="1033"/>
      <c r="D1260" s="1033"/>
      <c r="E1260" s="1033"/>
      <c r="F1260" s="1033"/>
      <c r="G1260" s="1033"/>
      <c r="H1260" s="1033"/>
      <c r="I1260" s="1033"/>
      <c r="J1260" s="1033"/>
      <c r="K1260" s="1033"/>
      <c r="L1260" s="1033"/>
      <c r="M1260" s="1039"/>
      <c r="N1260" s="1066"/>
      <c r="O1260" s="1063"/>
      <c r="P1260" s="1063"/>
      <c r="Q1260" s="1063"/>
      <c r="R1260" s="1069"/>
      <c r="S1260" s="1090"/>
      <c r="T1260" s="1064"/>
      <c r="U1260" s="1064"/>
      <c r="V1260" s="1063"/>
      <c r="W1260" s="1063"/>
      <c r="X1260" s="1033"/>
      <c r="Y1260" s="1065" t="s">
        <v>2163</v>
      </c>
      <c r="Z1260" s="111">
        <v>87176240.709999993</v>
      </c>
      <c r="AA1260" s="111">
        <v>-34870496.399999999</v>
      </c>
      <c r="AB1260" s="111">
        <f t="shared" si="109"/>
        <v>52305744.309999995</v>
      </c>
      <c r="AC1260" s="1120">
        <v>42367</v>
      </c>
      <c r="AD1260" s="119">
        <v>52305744.310000002</v>
      </c>
      <c r="AE1260" s="108" t="s">
        <v>137</v>
      </c>
      <c r="AF1260" s="1044"/>
      <c r="AG1260" s="1044"/>
      <c r="AH1260" s="111">
        <f t="shared" si="110"/>
        <v>0</v>
      </c>
      <c r="AI1260" s="1045"/>
      <c r="AJ1260" s="1063"/>
      <c r="AK1260" s="1064"/>
      <c r="AL1260" s="1063"/>
      <c r="AM1260" s="1063"/>
      <c r="AN1260" s="1104"/>
      <c r="AO1260" s="1104"/>
      <c r="AQ1260" s="934"/>
    </row>
    <row r="1261" spans="1:43" s="4" customFormat="1" ht="15" customHeight="1">
      <c r="A1261" s="1050"/>
      <c r="B1261" s="1069"/>
      <c r="C1261" s="1033"/>
      <c r="D1261" s="1033"/>
      <c r="E1261" s="1033"/>
      <c r="F1261" s="1033"/>
      <c r="G1261" s="1033"/>
      <c r="H1261" s="1033"/>
      <c r="I1261" s="1033"/>
      <c r="J1261" s="1033"/>
      <c r="K1261" s="1033"/>
      <c r="L1261" s="1033"/>
      <c r="M1261" s="1039"/>
      <c r="N1261" s="1065" t="s">
        <v>7</v>
      </c>
      <c r="O1261" s="1062">
        <v>4558291961</v>
      </c>
      <c r="P1261" s="1063"/>
      <c r="Q1261" s="1063"/>
      <c r="R1261" s="1069"/>
      <c r="S1261" s="1090"/>
      <c r="T1261" s="1062">
        <v>4558291961</v>
      </c>
      <c r="U1261" s="1062">
        <f>O1261-T1261</f>
        <v>0</v>
      </c>
      <c r="V1261" s="1062">
        <v>2696461460</v>
      </c>
      <c r="W1261" s="1063"/>
      <c r="X1261" s="1033"/>
      <c r="Y1261" s="1067"/>
      <c r="Z1261" s="111">
        <v>732196451.49000001</v>
      </c>
      <c r="AA1261" s="111">
        <v>-292878580.60000002</v>
      </c>
      <c r="AB1261" s="111">
        <f t="shared" si="109"/>
        <v>439317870.88999999</v>
      </c>
      <c r="AC1261" s="1160"/>
      <c r="AD1261" s="119">
        <v>439317870.88999999</v>
      </c>
      <c r="AE1261" s="108" t="s">
        <v>7</v>
      </c>
      <c r="AF1261" s="1044"/>
      <c r="AG1261" s="1044"/>
      <c r="AH1261" s="111">
        <f t="shared" si="110"/>
        <v>0</v>
      </c>
      <c r="AI1261" s="1043">
        <f>V1261-AD1257-AD1259-AD1261-AD1263-AD1265</f>
        <v>0</v>
      </c>
      <c r="AJ1261" s="1063"/>
      <c r="AK1261" s="1062"/>
      <c r="AL1261" s="1063"/>
      <c r="AM1261" s="1063"/>
      <c r="AN1261" s="1104"/>
      <c r="AO1261" s="1104"/>
      <c r="AQ1261" s="934"/>
    </row>
    <row r="1262" spans="1:43" s="4" customFormat="1" ht="15" customHeight="1">
      <c r="A1262" s="1050"/>
      <c r="B1262" s="1069"/>
      <c r="C1262" s="1033"/>
      <c r="D1262" s="1033"/>
      <c r="E1262" s="1033"/>
      <c r="F1262" s="1033"/>
      <c r="G1262" s="1033"/>
      <c r="H1262" s="1033"/>
      <c r="I1262" s="1033"/>
      <c r="J1262" s="1033"/>
      <c r="K1262" s="1033"/>
      <c r="L1262" s="1033"/>
      <c r="M1262" s="1039"/>
      <c r="N1262" s="1066"/>
      <c r="O1262" s="1063"/>
      <c r="P1262" s="1063"/>
      <c r="Q1262" s="1063"/>
      <c r="R1262" s="1069"/>
      <c r="S1262" s="1090"/>
      <c r="T1262" s="1063"/>
      <c r="U1262" s="1063"/>
      <c r="V1262" s="1063"/>
      <c r="W1262" s="1063"/>
      <c r="X1262" s="1033"/>
      <c r="Y1262" s="1065" t="s">
        <v>2162</v>
      </c>
      <c r="Z1262" s="111">
        <v>46755080</v>
      </c>
      <c r="AA1262" s="111">
        <v>-18702032</v>
      </c>
      <c r="AB1262" s="111">
        <f t="shared" si="109"/>
        <v>28053048</v>
      </c>
      <c r="AC1262" s="1120">
        <v>42793</v>
      </c>
      <c r="AD1262" s="119">
        <v>28053048</v>
      </c>
      <c r="AE1262" s="108" t="s">
        <v>137</v>
      </c>
      <c r="AF1262" s="1044"/>
      <c r="AG1262" s="1044"/>
      <c r="AH1262" s="111">
        <f t="shared" si="110"/>
        <v>0</v>
      </c>
      <c r="AI1262" s="1044"/>
      <c r="AJ1262" s="1063"/>
      <c r="AK1262" s="1063"/>
      <c r="AL1262" s="1063"/>
      <c r="AM1262" s="1063"/>
      <c r="AN1262" s="1104"/>
      <c r="AO1262" s="1104"/>
      <c r="AQ1262" s="934"/>
    </row>
    <row r="1263" spans="1:43" s="4" customFormat="1" ht="15" customHeight="1">
      <c r="A1263" s="1050"/>
      <c r="B1263" s="1069"/>
      <c r="C1263" s="1033"/>
      <c r="D1263" s="1033"/>
      <c r="E1263" s="1033"/>
      <c r="F1263" s="1033"/>
      <c r="G1263" s="1033"/>
      <c r="H1263" s="1033"/>
      <c r="I1263" s="1033"/>
      <c r="J1263" s="1033"/>
      <c r="K1263" s="1033"/>
      <c r="L1263" s="1033"/>
      <c r="M1263" s="1039"/>
      <c r="N1263" s="1066"/>
      <c r="O1263" s="1063"/>
      <c r="P1263" s="1063"/>
      <c r="Q1263" s="1063"/>
      <c r="R1263" s="1069"/>
      <c r="S1263" s="1090"/>
      <c r="T1263" s="1063"/>
      <c r="U1263" s="1063"/>
      <c r="V1263" s="1063"/>
      <c r="W1263" s="1063"/>
      <c r="X1263" s="1033"/>
      <c r="Y1263" s="1067"/>
      <c r="Z1263" s="111">
        <v>420795720</v>
      </c>
      <c r="AA1263" s="111">
        <v>-168318288</v>
      </c>
      <c r="AB1263" s="111">
        <f t="shared" si="109"/>
        <v>252477432</v>
      </c>
      <c r="AC1263" s="1160"/>
      <c r="AD1263" s="119">
        <v>252477432</v>
      </c>
      <c r="AE1263" s="108" t="s">
        <v>7</v>
      </c>
      <c r="AF1263" s="1044"/>
      <c r="AG1263" s="1044"/>
      <c r="AH1263" s="111">
        <f t="shared" si="110"/>
        <v>0</v>
      </c>
      <c r="AI1263" s="1044"/>
      <c r="AJ1263" s="1063"/>
      <c r="AK1263" s="1063"/>
      <c r="AL1263" s="1063"/>
      <c r="AM1263" s="1063"/>
      <c r="AN1263" s="1104"/>
      <c r="AO1263" s="1104"/>
      <c r="AQ1263" s="934"/>
    </row>
    <row r="1264" spans="1:43" s="4" customFormat="1" ht="15" customHeight="1">
      <c r="A1264" s="1050"/>
      <c r="B1264" s="1069"/>
      <c r="C1264" s="1033"/>
      <c r="D1264" s="1033"/>
      <c r="E1264" s="1033"/>
      <c r="F1264" s="1033"/>
      <c r="G1264" s="1033"/>
      <c r="H1264" s="1033"/>
      <c r="I1264" s="1033"/>
      <c r="J1264" s="1033"/>
      <c r="K1264" s="1033"/>
      <c r="L1264" s="1033"/>
      <c r="M1264" s="1039"/>
      <c r="N1264" s="1066"/>
      <c r="O1264" s="1063"/>
      <c r="P1264" s="1063"/>
      <c r="Q1264" s="1063"/>
      <c r="R1264" s="1069"/>
      <c r="S1264" s="1090"/>
      <c r="T1264" s="1063"/>
      <c r="U1264" s="1063"/>
      <c r="V1264" s="1063"/>
      <c r="W1264" s="1063"/>
      <c r="X1264" s="1033"/>
      <c r="Y1264" s="1065" t="s">
        <v>2161</v>
      </c>
      <c r="Z1264" s="111">
        <v>32122785.190000001</v>
      </c>
      <c r="AA1264" s="111">
        <v>-12849114</v>
      </c>
      <c r="AB1264" s="111">
        <f t="shared" si="109"/>
        <v>19273671.190000001</v>
      </c>
      <c r="AC1264" s="1120">
        <v>42842</v>
      </c>
      <c r="AD1264" s="119">
        <v>19273671.190000001</v>
      </c>
      <c r="AE1264" s="108" t="s">
        <v>137</v>
      </c>
      <c r="AF1264" s="1044"/>
      <c r="AG1264" s="1044"/>
      <c r="AH1264" s="111">
        <f t="shared" si="110"/>
        <v>0</v>
      </c>
      <c r="AI1264" s="1044"/>
      <c r="AJ1264" s="1063"/>
      <c r="AK1264" s="1063"/>
      <c r="AL1264" s="1063"/>
      <c r="AM1264" s="1063"/>
      <c r="AN1264" s="1104"/>
      <c r="AO1264" s="1104"/>
      <c r="AQ1264" s="934"/>
    </row>
    <row r="1265" spans="1:43" s="4" customFormat="1" ht="15" customHeight="1">
      <c r="A1265" s="1050"/>
      <c r="B1265" s="1069"/>
      <c r="C1265" s="1033"/>
      <c r="D1265" s="1033"/>
      <c r="E1265" s="1033"/>
      <c r="F1265" s="1033"/>
      <c r="G1265" s="1033"/>
      <c r="H1265" s="1033"/>
      <c r="I1265" s="1033"/>
      <c r="J1265" s="1033"/>
      <c r="K1265" s="1033"/>
      <c r="L1265" s="1033"/>
      <c r="M1265" s="1010"/>
      <c r="N1265" s="1067"/>
      <c r="O1265" s="1064"/>
      <c r="P1265" s="1064"/>
      <c r="Q1265" s="1063"/>
      <c r="R1265" s="1070"/>
      <c r="S1265" s="1091"/>
      <c r="T1265" s="1064"/>
      <c r="U1265" s="1064"/>
      <c r="V1265" s="1064"/>
      <c r="W1265" s="1063"/>
      <c r="X1265" s="1033"/>
      <c r="Y1265" s="1067"/>
      <c r="Z1265" s="111">
        <v>241702371.61000001</v>
      </c>
      <c r="AA1265" s="111">
        <v>-96680949</v>
      </c>
      <c r="AB1265" s="111">
        <f t="shared" si="109"/>
        <v>145021422.61000001</v>
      </c>
      <c r="AC1265" s="1160"/>
      <c r="AD1265" s="513">
        <f t="shared" si="109"/>
        <v>145021422.61000001</v>
      </c>
      <c r="AE1265" s="108" t="s">
        <v>7</v>
      </c>
      <c r="AF1265" s="1045"/>
      <c r="AG1265" s="1044"/>
      <c r="AH1265" s="111">
        <f t="shared" si="110"/>
        <v>0</v>
      </c>
      <c r="AI1265" s="1045"/>
      <c r="AJ1265" s="1063"/>
      <c r="AK1265" s="1064"/>
      <c r="AL1265" s="1064"/>
      <c r="AM1265" s="1064"/>
      <c r="AN1265" s="1104"/>
      <c r="AO1265" s="1104"/>
      <c r="AQ1265" s="934"/>
    </row>
    <row r="1266" spans="1:43" s="4" customFormat="1" ht="15" customHeight="1">
      <c r="A1266" s="1050"/>
      <c r="B1266" s="1069"/>
      <c r="C1266" s="1033"/>
      <c r="D1266" s="1033"/>
      <c r="E1266" s="1033"/>
      <c r="F1266" s="1033"/>
      <c r="G1266" s="1033"/>
      <c r="H1266" s="1033"/>
      <c r="I1266" s="1033"/>
      <c r="J1266" s="1033"/>
      <c r="K1266" s="1033"/>
      <c r="L1266" s="1033"/>
      <c r="M1266" s="1009">
        <v>6</v>
      </c>
      <c r="N1266" s="1065" t="s">
        <v>155</v>
      </c>
      <c r="O1266" s="1062">
        <v>1477858227</v>
      </c>
      <c r="P1266" s="1062">
        <v>1477858227</v>
      </c>
      <c r="Q1266" s="1063"/>
      <c r="R1266" s="1068">
        <v>42366</v>
      </c>
      <c r="S1266" s="1089">
        <f>T1266</f>
        <v>1477858227</v>
      </c>
      <c r="T1266" s="1089">
        <v>1477858227</v>
      </c>
      <c r="U1266" s="1089">
        <f>O1266-T1266</f>
        <v>0</v>
      </c>
      <c r="V1266" s="1062">
        <v>1365353160</v>
      </c>
      <c r="W1266" s="1063"/>
      <c r="X1266" s="1033"/>
      <c r="Y1266" s="108" t="s">
        <v>2161</v>
      </c>
      <c r="Z1266" s="109">
        <v>336377319.19999999</v>
      </c>
      <c r="AA1266" s="109">
        <v>0</v>
      </c>
      <c r="AB1266" s="524">
        <f t="shared" si="109"/>
        <v>336377319.19999999</v>
      </c>
      <c r="AC1266" s="97">
        <v>42842</v>
      </c>
      <c r="AD1266" s="119">
        <v>336377319.19999999</v>
      </c>
      <c r="AE1266" s="1065" t="s">
        <v>155</v>
      </c>
      <c r="AF1266" s="1043">
        <f>SUM(AD1266:AD1268)</f>
        <v>1353710702.2</v>
      </c>
      <c r="AG1266" s="1044"/>
      <c r="AH1266" s="111">
        <f t="shared" si="110"/>
        <v>0</v>
      </c>
      <c r="AI1266" s="1043">
        <f>V1266-AF1266</f>
        <v>11642457.799999952</v>
      </c>
      <c r="AJ1266" s="1063"/>
      <c r="AK1266" s="1062"/>
      <c r="AL1266" s="1062"/>
      <c r="AM1266" s="1062"/>
      <c r="AN1266" s="1104"/>
      <c r="AO1266" s="1104"/>
      <c r="AQ1266" s="934"/>
    </row>
    <row r="1267" spans="1:43" s="4" customFormat="1" ht="15" customHeight="1">
      <c r="A1267" s="1050"/>
      <c r="B1267" s="1069"/>
      <c r="C1267" s="1033"/>
      <c r="D1267" s="1033"/>
      <c r="E1267" s="1033"/>
      <c r="F1267" s="1033"/>
      <c r="G1267" s="1033"/>
      <c r="H1267" s="1033"/>
      <c r="I1267" s="1033"/>
      <c r="J1267" s="1033"/>
      <c r="K1267" s="1033"/>
      <c r="L1267" s="1033"/>
      <c r="M1267" s="1039"/>
      <c r="N1267" s="1066"/>
      <c r="O1267" s="1063"/>
      <c r="P1267" s="1063"/>
      <c r="Q1267" s="1063"/>
      <c r="R1267" s="1069"/>
      <c r="S1267" s="1090"/>
      <c r="T1267" s="1090"/>
      <c r="U1267" s="1090"/>
      <c r="V1267" s="1063"/>
      <c r="W1267" s="1063"/>
      <c r="X1267" s="1033"/>
      <c r="Y1267" s="108" t="s">
        <v>2160</v>
      </c>
      <c r="Z1267" s="109">
        <v>411691289</v>
      </c>
      <c r="AA1267" s="109">
        <v>0</v>
      </c>
      <c r="AB1267" s="111">
        <f t="shared" si="109"/>
        <v>411691289</v>
      </c>
      <c r="AC1267" s="97">
        <v>42978</v>
      </c>
      <c r="AD1267" s="119">
        <v>411691289</v>
      </c>
      <c r="AE1267" s="1066"/>
      <c r="AF1267" s="1044"/>
      <c r="AG1267" s="1044"/>
      <c r="AH1267" s="111">
        <f t="shared" si="110"/>
        <v>0</v>
      </c>
      <c r="AI1267" s="1044"/>
      <c r="AJ1267" s="1063"/>
      <c r="AK1267" s="1063"/>
      <c r="AL1267" s="1063"/>
      <c r="AM1267" s="1063"/>
      <c r="AN1267" s="1104"/>
      <c r="AO1267" s="1104"/>
      <c r="AQ1267" s="934"/>
    </row>
    <row r="1268" spans="1:43" s="4" customFormat="1" ht="15" customHeight="1">
      <c r="A1268" s="1016"/>
      <c r="B1268" s="1070"/>
      <c r="C1268" s="1012"/>
      <c r="D1268" s="1012"/>
      <c r="E1268" s="1012"/>
      <c r="F1268" s="1012"/>
      <c r="G1268" s="1012"/>
      <c r="H1268" s="1012"/>
      <c r="I1268" s="1012"/>
      <c r="J1268" s="1012"/>
      <c r="K1268" s="1012"/>
      <c r="L1268" s="1012"/>
      <c r="M1268" s="1039"/>
      <c r="N1268" s="1066"/>
      <c r="O1268" s="1064"/>
      <c r="P1268" s="1064"/>
      <c r="Q1268" s="1064"/>
      <c r="R1268" s="1070"/>
      <c r="S1268" s="1091"/>
      <c r="T1268" s="1091"/>
      <c r="U1268" s="1091"/>
      <c r="V1268" s="1063"/>
      <c r="W1268" s="1063"/>
      <c r="X1268" s="1033"/>
      <c r="Y1268" s="108" t="s">
        <v>2159</v>
      </c>
      <c r="Z1268" s="109">
        <v>605642094</v>
      </c>
      <c r="AA1268" s="109">
        <v>0</v>
      </c>
      <c r="AB1268" s="111">
        <f t="shared" si="109"/>
        <v>605642094</v>
      </c>
      <c r="AC1268" s="97">
        <v>43096</v>
      </c>
      <c r="AD1268" s="119">
        <v>605642094</v>
      </c>
      <c r="AE1268" s="1066"/>
      <c r="AF1268" s="1045"/>
      <c r="AG1268" s="1045"/>
      <c r="AH1268" s="111">
        <f t="shared" si="110"/>
        <v>0</v>
      </c>
      <c r="AI1268" s="1045"/>
      <c r="AJ1268" s="1064"/>
      <c r="AK1268" s="1064"/>
      <c r="AL1268" s="1064"/>
      <c r="AM1268" s="1064"/>
      <c r="AN1268" s="1105"/>
      <c r="AO1268" s="1105"/>
      <c r="AQ1268" s="934"/>
    </row>
    <row r="1269" spans="1:43" ht="15" customHeight="1">
      <c r="A1269" s="1015" t="s">
        <v>2182</v>
      </c>
      <c r="B1269" s="1068">
        <v>41773</v>
      </c>
      <c r="C1269" s="1011" t="s">
        <v>46</v>
      </c>
      <c r="D1269" s="1011" t="s">
        <v>2181</v>
      </c>
      <c r="E1269" s="1071">
        <v>900730400</v>
      </c>
      <c r="F1269" s="1071">
        <v>1</v>
      </c>
      <c r="G1269" s="1011" t="s">
        <v>2180</v>
      </c>
      <c r="H1269" s="1011" t="s">
        <v>70</v>
      </c>
      <c r="I1269" s="1011" t="s">
        <v>206</v>
      </c>
      <c r="J1269" s="1076" t="s">
        <v>66</v>
      </c>
      <c r="K1269" s="1011" t="s">
        <v>50</v>
      </c>
      <c r="L1269" s="1011"/>
      <c r="M1269" s="1009">
        <v>274</v>
      </c>
      <c r="N1269" s="1065" t="s">
        <v>7</v>
      </c>
      <c r="O1269" s="1062">
        <v>214195920</v>
      </c>
      <c r="P1269" s="1062">
        <v>214195920</v>
      </c>
      <c r="Q1269" s="1062">
        <f>P1269+P1271+P1272</f>
        <v>1813602565</v>
      </c>
      <c r="R1269" s="1068">
        <v>41277</v>
      </c>
      <c r="S1269" s="1092"/>
      <c r="T1269" s="1092"/>
      <c r="U1269" s="1092"/>
      <c r="V1269" s="1043">
        <v>211071744</v>
      </c>
      <c r="W1269" s="1062">
        <f>V1269+V1271+V1272</f>
        <v>299018304</v>
      </c>
      <c r="X1269" s="1011" t="s">
        <v>2179</v>
      </c>
      <c r="Y1269" s="108" t="s">
        <v>2178</v>
      </c>
      <c r="Z1269" s="109">
        <v>0</v>
      </c>
      <c r="AA1269" s="109">
        <v>84428697.599999994</v>
      </c>
      <c r="AB1269" s="109">
        <f t="shared" si="109"/>
        <v>84428697.599999994</v>
      </c>
      <c r="AC1269" s="97">
        <v>41992</v>
      </c>
      <c r="AD1269" s="119">
        <v>84428697.599999994</v>
      </c>
      <c r="AE1269" s="98" t="s">
        <v>7</v>
      </c>
      <c r="AF1269" s="1043">
        <f>SUM(AD1269:AD1270)</f>
        <v>211071744</v>
      </c>
      <c r="AG1269" s="1043">
        <f>AF1269+AF1271+AF1272</f>
        <v>299018304</v>
      </c>
      <c r="AH1269" s="111">
        <f t="shared" si="110"/>
        <v>0</v>
      </c>
      <c r="AI1269" s="1043">
        <f>P1269-AF1269</f>
        <v>3124176</v>
      </c>
      <c r="AJ1269" s="1062">
        <f>SUM(Z1269:Z1273)-SUM(AD1269:AD1273)</f>
        <v>0</v>
      </c>
      <c r="AK1269" s="1062">
        <f>P1269-V1269</f>
        <v>3124176</v>
      </c>
      <c r="AL1269" s="1062">
        <f>V1269-Z1270</f>
        <v>0</v>
      </c>
      <c r="AM1269" s="1062">
        <f>AK1269+AL1269</f>
        <v>3124176</v>
      </c>
      <c r="AN1269" s="1108" t="s">
        <v>2177</v>
      </c>
      <c r="AO1269" s="1103" t="s">
        <v>2176</v>
      </c>
    </row>
    <row r="1270" spans="1:43" ht="15" customHeight="1">
      <c r="A1270" s="1050"/>
      <c r="B1270" s="1069"/>
      <c r="C1270" s="1033"/>
      <c r="D1270" s="1033"/>
      <c r="E1270" s="1072"/>
      <c r="F1270" s="1072"/>
      <c r="G1270" s="1033"/>
      <c r="H1270" s="1033"/>
      <c r="I1270" s="1033"/>
      <c r="J1270" s="1076"/>
      <c r="K1270" s="1033"/>
      <c r="L1270" s="1033"/>
      <c r="M1270" s="1039"/>
      <c r="N1270" s="1066"/>
      <c r="O1270" s="1063"/>
      <c r="P1270" s="1063"/>
      <c r="Q1270" s="1063"/>
      <c r="R1270" s="1069"/>
      <c r="S1270" s="1093"/>
      <c r="T1270" s="1093"/>
      <c r="U1270" s="1093"/>
      <c r="V1270" s="1044"/>
      <c r="W1270" s="1063"/>
      <c r="X1270" s="1033"/>
      <c r="Y1270" s="108" t="s">
        <v>2175</v>
      </c>
      <c r="Z1270" s="109">
        <v>211071744</v>
      </c>
      <c r="AA1270" s="109">
        <v>-84428697.599999994</v>
      </c>
      <c r="AB1270" s="109">
        <f t="shared" si="109"/>
        <v>126643046.40000001</v>
      </c>
      <c r="AC1270" s="97">
        <v>42349</v>
      </c>
      <c r="AD1270" s="119">
        <v>126643046.40000001</v>
      </c>
      <c r="AE1270" s="98" t="s">
        <v>7</v>
      </c>
      <c r="AF1270" s="1044"/>
      <c r="AG1270" s="1044"/>
      <c r="AH1270" s="111">
        <f t="shared" si="110"/>
        <v>0</v>
      </c>
      <c r="AI1270" s="1045"/>
      <c r="AJ1270" s="1063"/>
      <c r="AK1270" s="1063"/>
      <c r="AL1270" s="1063"/>
      <c r="AM1270" s="1063"/>
      <c r="AN1270" s="1109"/>
      <c r="AO1270" s="1104"/>
    </row>
    <row r="1271" spans="1:43" ht="15" customHeight="1">
      <c r="A1271" s="1050"/>
      <c r="B1271" s="1069"/>
      <c r="C1271" s="1033"/>
      <c r="D1271" s="1033"/>
      <c r="E1271" s="1072"/>
      <c r="F1271" s="1072"/>
      <c r="G1271" s="1033"/>
      <c r="H1271" s="1033"/>
      <c r="I1271" s="1033"/>
      <c r="J1271" s="113" t="s">
        <v>67</v>
      </c>
      <c r="K1271" s="1033"/>
      <c r="L1271" s="1033"/>
      <c r="M1271" s="90">
        <v>6</v>
      </c>
      <c r="N1271" s="94" t="s">
        <v>155</v>
      </c>
      <c r="O1271" s="85">
        <v>1477858227</v>
      </c>
      <c r="P1271" s="85">
        <v>1477858227</v>
      </c>
      <c r="Q1271" s="1063"/>
      <c r="R1271" s="91">
        <v>42366</v>
      </c>
      <c r="S1271" s="110"/>
      <c r="T1271" s="109"/>
      <c r="U1271" s="109"/>
      <c r="V1271" s="111">
        <v>841308</v>
      </c>
      <c r="W1271" s="1063"/>
      <c r="X1271" s="1033"/>
      <c r="Y1271" s="108" t="s">
        <v>2174</v>
      </c>
      <c r="Z1271" s="109">
        <v>841308</v>
      </c>
      <c r="AA1271" s="109">
        <v>0</v>
      </c>
      <c r="AB1271" s="109">
        <f t="shared" si="109"/>
        <v>841308</v>
      </c>
      <c r="AC1271" s="97">
        <v>42886</v>
      </c>
      <c r="AD1271" s="119">
        <v>841308</v>
      </c>
      <c r="AE1271" s="98" t="s">
        <v>155</v>
      </c>
      <c r="AF1271" s="111">
        <f>AD1271</f>
        <v>841308</v>
      </c>
      <c r="AG1271" s="1044"/>
      <c r="AH1271" s="111">
        <f t="shared" si="110"/>
        <v>0</v>
      </c>
      <c r="AI1271" s="111">
        <f>V1271-AF1271</f>
        <v>0</v>
      </c>
      <c r="AJ1271" s="1063"/>
      <c r="AK1271" s="109">
        <v>0</v>
      </c>
      <c r="AL1271" s="109">
        <f>V1271-Z1271</f>
        <v>0</v>
      </c>
      <c r="AM1271" s="109">
        <f>AK1271+AL1271</f>
        <v>0</v>
      </c>
      <c r="AN1271" s="1109"/>
      <c r="AO1271" s="1104"/>
    </row>
    <row r="1272" spans="1:43" ht="15" customHeight="1">
      <c r="A1272" s="1050"/>
      <c r="B1272" s="1069"/>
      <c r="C1272" s="1033"/>
      <c r="D1272" s="1033"/>
      <c r="E1272" s="1072"/>
      <c r="F1272" s="1072"/>
      <c r="G1272" s="1033"/>
      <c r="H1272" s="1033"/>
      <c r="I1272" s="1033"/>
      <c r="J1272" s="1011" t="s">
        <v>171</v>
      </c>
      <c r="K1272" s="1033"/>
      <c r="L1272" s="1033"/>
      <c r="M1272" s="1167">
        <v>7</v>
      </c>
      <c r="N1272" s="1065" t="s">
        <v>155</v>
      </c>
      <c r="O1272" s="1062">
        <v>121548418</v>
      </c>
      <c r="P1272" s="1062">
        <v>121548418</v>
      </c>
      <c r="Q1272" s="1063"/>
      <c r="R1272" s="1068">
        <v>42366</v>
      </c>
      <c r="S1272" s="1062"/>
      <c r="T1272" s="1062"/>
      <c r="U1272" s="1062"/>
      <c r="V1272" s="1043">
        <v>87105252</v>
      </c>
      <c r="W1272" s="1063"/>
      <c r="X1272" s="1033"/>
      <c r="Y1272" s="108" t="s">
        <v>2174</v>
      </c>
      <c r="Z1272" s="109">
        <v>51926628</v>
      </c>
      <c r="AA1272" s="109">
        <v>0</v>
      </c>
      <c r="AB1272" s="109">
        <f t="shared" si="109"/>
        <v>51926628</v>
      </c>
      <c r="AC1272" s="1068">
        <v>42886</v>
      </c>
      <c r="AD1272" s="119">
        <v>51926628</v>
      </c>
      <c r="AE1272" s="98" t="s">
        <v>155</v>
      </c>
      <c r="AF1272" s="1043">
        <f>SUM(AD1272:AD1273)</f>
        <v>87105252</v>
      </c>
      <c r="AG1272" s="1044"/>
      <c r="AH1272" s="111">
        <f t="shared" si="110"/>
        <v>0</v>
      </c>
      <c r="AI1272" s="1043">
        <f>V1272-AF1272</f>
        <v>0</v>
      </c>
      <c r="AJ1272" s="1063"/>
      <c r="AK1272" s="1062">
        <v>0</v>
      </c>
      <c r="AL1272" s="1062">
        <f>V1272-Z1272-Z1273</f>
        <v>0</v>
      </c>
      <c r="AM1272" s="1062">
        <f>AK1272+AL1272</f>
        <v>0</v>
      </c>
      <c r="AN1272" s="1109"/>
      <c r="AO1272" s="1104"/>
    </row>
    <row r="1273" spans="1:43" ht="15" customHeight="1">
      <c r="A1273" s="1016"/>
      <c r="B1273" s="1070"/>
      <c r="C1273" s="1012"/>
      <c r="D1273" s="1012"/>
      <c r="E1273" s="1073"/>
      <c r="F1273" s="1073"/>
      <c r="G1273" s="1012"/>
      <c r="H1273" s="1012"/>
      <c r="I1273" s="1012"/>
      <c r="J1273" s="1012"/>
      <c r="K1273" s="1012"/>
      <c r="L1273" s="1012"/>
      <c r="M1273" s="1169"/>
      <c r="N1273" s="1067"/>
      <c r="O1273" s="1064"/>
      <c r="P1273" s="1064"/>
      <c r="Q1273" s="1064"/>
      <c r="R1273" s="1070"/>
      <c r="S1273" s="1064"/>
      <c r="T1273" s="1064"/>
      <c r="U1273" s="1064"/>
      <c r="V1273" s="1045"/>
      <c r="W1273" s="1064"/>
      <c r="X1273" s="1012"/>
      <c r="Y1273" s="108" t="s">
        <v>2173</v>
      </c>
      <c r="Z1273" s="109">
        <v>35178624</v>
      </c>
      <c r="AA1273" s="109">
        <v>0</v>
      </c>
      <c r="AB1273" s="109">
        <f t="shared" si="109"/>
        <v>35178624</v>
      </c>
      <c r="AC1273" s="1070"/>
      <c r="AD1273" s="119">
        <v>35178624</v>
      </c>
      <c r="AE1273" s="98" t="s">
        <v>155</v>
      </c>
      <c r="AF1273" s="1045"/>
      <c r="AG1273" s="1045"/>
      <c r="AH1273" s="111">
        <f t="shared" si="110"/>
        <v>0</v>
      </c>
      <c r="AI1273" s="1045"/>
      <c r="AJ1273" s="1064"/>
      <c r="AK1273" s="1064"/>
      <c r="AL1273" s="1064"/>
      <c r="AM1273" s="1064"/>
      <c r="AN1273" s="1110"/>
      <c r="AO1273" s="1105"/>
    </row>
    <row r="1274" spans="1:43" ht="15" customHeight="1">
      <c r="A1274" s="1214" t="s">
        <v>1791</v>
      </c>
      <c r="B1274" s="1171">
        <v>41827</v>
      </c>
      <c r="C1274" s="1076" t="s">
        <v>10</v>
      </c>
      <c r="D1274" s="1076" t="s">
        <v>1792</v>
      </c>
      <c r="E1274" s="1208">
        <v>16243259</v>
      </c>
      <c r="F1274" s="1208">
        <v>1</v>
      </c>
      <c r="G1274" s="1076" t="s">
        <v>1793</v>
      </c>
      <c r="H1274" s="1076" t="s">
        <v>71</v>
      </c>
      <c r="I1274" s="1076" t="s">
        <v>1221</v>
      </c>
      <c r="J1274" s="1076" t="s">
        <v>489</v>
      </c>
      <c r="K1274" s="1076" t="s">
        <v>49</v>
      </c>
      <c r="L1274" s="1076" t="s">
        <v>1772</v>
      </c>
      <c r="M1274" s="1209">
        <v>293</v>
      </c>
      <c r="N1274" s="1123" t="s">
        <v>137</v>
      </c>
      <c r="O1274" s="1119">
        <v>1100000000</v>
      </c>
      <c r="P1274" s="1119">
        <f>O1274+O1281</f>
        <v>1999935078</v>
      </c>
      <c r="Q1274" s="1119">
        <f>P1274+P1288</f>
        <v>3076113020</v>
      </c>
      <c r="R1274" s="1171">
        <v>41543</v>
      </c>
      <c r="S1274" s="1196">
        <f>T1274+T1281</f>
        <v>1999935078</v>
      </c>
      <c r="T1274" s="1196">
        <v>1100000000</v>
      </c>
      <c r="U1274" s="1196">
        <f>O1274-T1274</f>
        <v>0</v>
      </c>
      <c r="V1274" s="1084">
        <v>1087898038.3199999</v>
      </c>
      <c r="W1274" s="1119">
        <v>3042270291</v>
      </c>
      <c r="X1274" s="1076" t="s">
        <v>1794</v>
      </c>
      <c r="Y1274" s="1123" t="s">
        <v>1795</v>
      </c>
      <c r="Z1274" s="109">
        <v>0</v>
      </c>
      <c r="AA1274" s="109">
        <v>267010256.09</v>
      </c>
      <c r="AB1274" s="109">
        <f t="shared" si="109"/>
        <v>267010256.09</v>
      </c>
      <c r="AC1274" s="1171">
        <v>41976</v>
      </c>
      <c r="AD1274" s="119">
        <v>267010256.09</v>
      </c>
      <c r="AE1274" s="98" t="s">
        <v>7</v>
      </c>
      <c r="AF1274" s="1084">
        <f>SUM(AD1274:AD1287)</f>
        <v>1833020464.4299996</v>
      </c>
      <c r="AG1274" s="1084">
        <f>AF1274+AF1288</f>
        <v>2819380578.1899996</v>
      </c>
      <c r="AH1274" s="111">
        <f t="shared" si="110"/>
        <v>0</v>
      </c>
      <c r="AI1274" s="1084">
        <f>O1274-AD1275-AD1277-AD1279-AD1281-AD1283-AD1285</f>
        <v>91806017.580000028</v>
      </c>
      <c r="AJ1274" s="1119"/>
      <c r="AK1274" s="1119">
        <f>O1274-V1274</f>
        <v>12101961.680000067</v>
      </c>
      <c r="AL1274" s="1119">
        <f>(V1274+V1281)-SUM(Z1274:Z1287)+AJ1274</f>
        <v>207016800.45571423</v>
      </c>
      <c r="AM1274" s="1119"/>
      <c r="AN1274" s="1203" t="s">
        <v>1800</v>
      </c>
      <c r="AO1274" s="1204" t="s">
        <v>1767</v>
      </c>
    </row>
    <row r="1275" spans="1:43" ht="15" customHeight="1">
      <c r="A1275" s="1214"/>
      <c r="B1275" s="1171"/>
      <c r="C1275" s="1076"/>
      <c r="D1275" s="1076"/>
      <c r="E1275" s="1208"/>
      <c r="F1275" s="1208"/>
      <c r="G1275" s="1076"/>
      <c r="H1275" s="1076"/>
      <c r="I1275" s="1076"/>
      <c r="J1275" s="1076"/>
      <c r="K1275" s="1076"/>
      <c r="L1275" s="1076"/>
      <c r="M1275" s="1209"/>
      <c r="N1275" s="1123"/>
      <c r="O1275" s="1119"/>
      <c r="P1275" s="1119"/>
      <c r="Q1275" s="1119"/>
      <c r="R1275" s="1171"/>
      <c r="S1275" s="1196"/>
      <c r="T1275" s="1196"/>
      <c r="U1275" s="1196"/>
      <c r="V1275" s="1084"/>
      <c r="W1275" s="1119"/>
      <c r="X1275" s="1076"/>
      <c r="Y1275" s="1123"/>
      <c r="Z1275" s="109">
        <v>0</v>
      </c>
      <c r="AA1275" s="109">
        <v>326369411.38999999</v>
      </c>
      <c r="AB1275" s="109">
        <f t="shared" ref="AB1275:AB1287" si="111">Z1275+AA1275</f>
        <v>326369411.38999999</v>
      </c>
      <c r="AC1275" s="1171"/>
      <c r="AD1275" s="119">
        <v>326369411.38999999</v>
      </c>
      <c r="AE1275" s="98" t="s">
        <v>137</v>
      </c>
      <c r="AF1275" s="1084"/>
      <c r="AG1275" s="1084"/>
      <c r="AH1275" s="111">
        <f t="shared" ref="AH1275:AH1287" si="112">AB1275-AD1275</f>
        <v>0</v>
      </c>
      <c r="AI1275" s="1084"/>
      <c r="AJ1275" s="1119"/>
      <c r="AK1275" s="1119"/>
      <c r="AL1275" s="1119"/>
      <c r="AM1275" s="1119"/>
      <c r="AN1275" s="1203"/>
      <c r="AO1275" s="1204"/>
    </row>
    <row r="1276" spans="1:43" ht="15" customHeight="1">
      <c r="A1276" s="1214"/>
      <c r="B1276" s="1171"/>
      <c r="C1276" s="1076"/>
      <c r="D1276" s="1076"/>
      <c r="E1276" s="1208"/>
      <c r="F1276" s="1208"/>
      <c r="G1276" s="1076"/>
      <c r="H1276" s="1076"/>
      <c r="I1276" s="1076"/>
      <c r="J1276" s="1076"/>
      <c r="K1276" s="1076"/>
      <c r="L1276" s="1076"/>
      <c r="M1276" s="1209"/>
      <c r="N1276" s="1123"/>
      <c r="O1276" s="1119"/>
      <c r="P1276" s="1119"/>
      <c r="Q1276" s="1119"/>
      <c r="R1276" s="1171"/>
      <c r="S1276" s="1196"/>
      <c r="T1276" s="1196"/>
      <c r="U1276" s="1196"/>
      <c r="V1276" s="1084"/>
      <c r="W1276" s="1119"/>
      <c r="X1276" s="1076"/>
      <c r="Y1276" s="1123" t="s">
        <v>1796</v>
      </c>
      <c r="Z1276" s="109">
        <v>208587001.06999999</v>
      </c>
      <c r="AA1276" s="109">
        <v>-62576100.420000002</v>
      </c>
      <c r="AB1276" s="109">
        <f t="shared" si="111"/>
        <v>146010900.64999998</v>
      </c>
      <c r="AC1276" s="1171">
        <v>42027</v>
      </c>
      <c r="AD1276" s="119">
        <v>146010900.65000001</v>
      </c>
      <c r="AE1276" s="98" t="s">
        <v>7</v>
      </c>
      <c r="AF1276" s="1084"/>
      <c r="AG1276" s="1084"/>
      <c r="AH1276" s="111">
        <f t="shared" si="112"/>
        <v>0</v>
      </c>
      <c r="AI1276" s="1084"/>
      <c r="AJ1276" s="1119"/>
      <c r="AK1276" s="1119"/>
      <c r="AL1276" s="1119"/>
      <c r="AM1276" s="1119"/>
      <c r="AN1276" s="1203"/>
      <c r="AO1276" s="1204"/>
    </row>
    <row r="1277" spans="1:43" ht="15" customHeight="1">
      <c r="A1277" s="1214"/>
      <c r="B1277" s="1171"/>
      <c r="C1277" s="1076"/>
      <c r="D1277" s="1076"/>
      <c r="E1277" s="1208"/>
      <c r="F1277" s="1208"/>
      <c r="G1277" s="1076"/>
      <c r="H1277" s="1076"/>
      <c r="I1277" s="1076"/>
      <c r="J1277" s="1076"/>
      <c r="K1277" s="1076"/>
      <c r="L1277" s="1076"/>
      <c r="M1277" s="1209"/>
      <c r="N1277" s="1123"/>
      <c r="O1277" s="1119"/>
      <c r="P1277" s="1119"/>
      <c r="Q1277" s="1119"/>
      <c r="R1277" s="1171"/>
      <c r="S1277" s="1196"/>
      <c r="T1277" s="1196"/>
      <c r="U1277" s="1196"/>
      <c r="V1277" s="1084"/>
      <c r="W1277" s="1119"/>
      <c r="X1277" s="1076"/>
      <c r="Y1277" s="1123"/>
      <c r="Z1277" s="109">
        <v>254958059.52000001</v>
      </c>
      <c r="AA1277" s="109">
        <v>-76487417.980000004</v>
      </c>
      <c r="AB1277" s="109">
        <f t="shared" si="111"/>
        <v>178470641.54000002</v>
      </c>
      <c r="AC1277" s="1171"/>
      <c r="AD1277" s="119">
        <v>178470641.53999999</v>
      </c>
      <c r="AE1277" s="98" t="s">
        <v>137</v>
      </c>
      <c r="AF1277" s="1084"/>
      <c r="AG1277" s="1084"/>
      <c r="AH1277" s="111">
        <f t="shared" si="112"/>
        <v>0</v>
      </c>
      <c r="AI1277" s="1084"/>
      <c r="AJ1277" s="1119"/>
      <c r="AK1277" s="1119"/>
      <c r="AL1277" s="1119"/>
      <c r="AM1277" s="1119"/>
      <c r="AN1277" s="1203"/>
      <c r="AO1277" s="1204"/>
    </row>
    <row r="1278" spans="1:43" ht="15" customHeight="1">
      <c r="A1278" s="1214"/>
      <c r="B1278" s="1171"/>
      <c r="C1278" s="1076"/>
      <c r="D1278" s="1076"/>
      <c r="E1278" s="1208"/>
      <c r="F1278" s="1208"/>
      <c r="G1278" s="1076"/>
      <c r="H1278" s="1076"/>
      <c r="I1278" s="1076"/>
      <c r="J1278" s="1076"/>
      <c r="K1278" s="1076"/>
      <c r="L1278" s="1076"/>
      <c r="M1278" s="1209"/>
      <c r="N1278" s="1123"/>
      <c r="O1278" s="1119"/>
      <c r="P1278" s="1119"/>
      <c r="Q1278" s="1119"/>
      <c r="R1278" s="1171"/>
      <c r="S1278" s="1196"/>
      <c r="T1278" s="1196"/>
      <c r="U1278" s="1196"/>
      <c r="V1278" s="1084"/>
      <c r="W1278" s="1119"/>
      <c r="X1278" s="1076"/>
      <c r="Y1278" s="1123" t="s">
        <v>1797</v>
      </c>
      <c r="Z1278" s="109">
        <v>239906576.02000001</v>
      </c>
      <c r="AA1278" s="109">
        <v>-71971972.950000003</v>
      </c>
      <c r="AB1278" s="109">
        <f t="shared" si="111"/>
        <v>167934603.06999999</v>
      </c>
      <c r="AC1278" s="1171">
        <v>42135</v>
      </c>
      <c r="AD1278" s="119">
        <v>167934603.06999999</v>
      </c>
      <c r="AE1278" s="98" t="s">
        <v>7</v>
      </c>
      <c r="AF1278" s="1084"/>
      <c r="AG1278" s="1084"/>
      <c r="AH1278" s="111">
        <f t="shared" si="112"/>
        <v>0</v>
      </c>
      <c r="AI1278" s="1084"/>
      <c r="AJ1278" s="1119"/>
      <c r="AK1278" s="1119"/>
      <c r="AL1278" s="1119"/>
      <c r="AM1278" s="1119"/>
      <c r="AN1278" s="1203"/>
      <c r="AO1278" s="1204"/>
    </row>
    <row r="1279" spans="1:43" ht="15" customHeight="1">
      <c r="A1279" s="1214"/>
      <c r="B1279" s="1171"/>
      <c r="C1279" s="1076"/>
      <c r="D1279" s="1076"/>
      <c r="E1279" s="1208"/>
      <c r="F1279" s="1208"/>
      <c r="G1279" s="1076"/>
      <c r="H1279" s="1076"/>
      <c r="I1279" s="1076"/>
      <c r="J1279" s="1076"/>
      <c r="K1279" s="1076"/>
      <c r="L1279" s="1076"/>
      <c r="M1279" s="1209"/>
      <c r="N1279" s="1123"/>
      <c r="O1279" s="1119"/>
      <c r="P1279" s="1119"/>
      <c r="Q1279" s="1119"/>
      <c r="R1279" s="1171"/>
      <c r="S1279" s="1196"/>
      <c r="T1279" s="1196"/>
      <c r="U1279" s="1196"/>
      <c r="V1279" s="1084"/>
      <c r="W1279" s="1119"/>
      <c r="X1279" s="1076"/>
      <c r="Y1279" s="1123"/>
      <c r="Z1279" s="109">
        <v>293240301.51999998</v>
      </c>
      <c r="AA1279" s="109">
        <v>-87972090.640000001</v>
      </c>
      <c r="AB1279" s="109">
        <f t="shared" si="111"/>
        <v>205268210.88</v>
      </c>
      <c r="AC1279" s="1171"/>
      <c r="AD1279" s="119">
        <v>205268210.88</v>
      </c>
      <c r="AE1279" s="98" t="s">
        <v>137</v>
      </c>
      <c r="AF1279" s="1084"/>
      <c r="AG1279" s="1084"/>
      <c r="AH1279" s="111">
        <f t="shared" si="112"/>
        <v>0</v>
      </c>
      <c r="AI1279" s="1084"/>
      <c r="AJ1279" s="1119"/>
      <c r="AK1279" s="1119"/>
      <c r="AL1279" s="1119"/>
      <c r="AM1279" s="1119"/>
      <c r="AN1279" s="1203"/>
      <c r="AO1279" s="1204"/>
    </row>
    <row r="1280" spans="1:43" ht="15" customHeight="1">
      <c r="A1280" s="1214"/>
      <c r="B1280" s="1171"/>
      <c r="C1280" s="1076"/>
      <c r="D1280" s="1076"/>
      <c r="E1280" s="1208"/>
      <c r="F1280" s="1208"/>
      <c r="G1280" s="1076"/>
      <c r="H1280" s="1076"/>
      <c r="I1280" s="1076"/>
      <c r="J1280" s="1076"/>
      <c r="K1280" s="1076"/>
      <c r="L1280" s="1076"/>
      <c r="M1280" s="1209"/>
      <c r="N1280" s="1123"/>
      <c r="O1280" s="1119"/>
      <c r="P1280" s="1119"/>
      <c r="Q1280" s="1119"/>
      <c r="R1280" s="1171"/>
      <c r="S1280" s="1196"/>
      <c r="T1280" s="1196"/>
      <c r="U1280" s="1196"/>
      <c r="V1280" s="1084"/>
      <c r="W1280" s="1119"/>
      <c r="X1280" s="1076"/>
      <c r="Y1280" s="1123" t="s">
        <v>1798</v>
      </c>
      <c r="Z1280" s="109">
        <v>143310067.33000001</v>
      </c>
      <c r="AA1280" s="109">
        <v>-42993020.259999998</v>
      </c>
      <c r="AB1280" s="109">
        <f t="shared" si="111"/>
        <v>100317047.07000002</v>
      </c>
      <c r="AC1280" s="1171">
        <v>42214</v>
      </c>
      <c r="AD1280" s="119">
        <v>100317047.06999999</v>
      </c>
      <c r="AE1280" s="98" t="s">
        <v>7</v>
      </c>
      <c r="AF1280" s="1084"/>
      <c r="AG1280" s="1084"/>
      <c r="AH1280" s="111">
        <f t="shared" si="112"/>
        <v>0</v>
      </c>
      <c r="AI1280" s="1084"/>
      <c r="AJ1280" s="1119"/>
      <c r="AK1280" s="1119"/>
      <c r="AL1280" s="1119"/>
      <c r="AM1280" s="1119"/>
      <c r="AN1280" s="1203"/>
      <c r="AO1280" s="1204"/>
    </row>
    <row r="1281" spans="1:43" ht="15" customHeight="1">
      <c r="A1281" s="1214"/>
      <c r="B1281" s="1171"/>
      <c r="C1281" s="1076"/>
      <c r="D1281" s="1076"/>
      <c r="E1281" s="1208"/>
      <c r="F1281" s="1208"/>
      <c r="G1281" s="1076"/>
      <c r="H1281" s="1076"/>
      <c r="I1281" s="1076"/>
      <c r="J1281" s="1076"/>
      <c r="K1281" s="1076"/>
      <c r="L1281" s="1076"/>
      <c r="M1281" s="1209"/>
      <c r="N1281" s="1123" t="s">
        <v>7</v>
      </c>
      <c r="O1281" s="1119">
        <v>899935078</v>
      </c>
      <c r="P1281" s="1119"/>
      <c r="Q1281" s="1119"/>
      <c r="R1281" s="1171"/>
      <c r="S1281" s="1196"/>
      <c r="T1281" s="1196">
        <v>899935078</v>
      </c>
      <c r="U1281" s="1196">
        <f>O1281-T1281</f>
        <v>0</v>
      </c>
      <c r="V1281" s="1084">
        <v>890034187.24000001</v>
      </c>
      <c r="W1281" s="1119"/>
      <c r="X1281" s="1076"/>
      <c r="Y1281" s="1123"/>
      <c r="Z1281" s="109">
        <v>175169384.90000001</v>
      </c>
      <c r="AA1281" s="109">
        <v>-52550815.539999999</v>
      </c>
      <c r="AB1281" s="109">
        <f t="shared" si="111"/>
        <v>122618569.36000001</v>
      </c>
      <c r="AC1281" s="1171"/>
      <c r="AD1281" s="119">
        <v>122618569.36</v>
      </c>
      <c r="AE1281" s="98" t="s">
        <v>137</v>
      </c>
      <c r="AF1281" s="1084"/>
      <c r="AG1281" s="1084"/>
      <c r="AH1281" s="111">
        <f t="shared" si="112"/>
        <v>0</v>
      </c>
      <c r="AI1281" s="1084">
        <f>O1281-AD1274-AD1276-AD1278-AD1280-AD1282-AD1284</f>
        <v>75108595.989999995</v>
      </c>
      <c r="AJ1281" s="1119"/>
      <c r="AK1281" s="1119">
        <f>O1281-V1281</f>
        <v>9900890.7599999905</v>
      </c>
      <c r="AL1281" s="1119"/>
      <c r="AM1281" s="1119"/>
      <c r="AN1281" s="1203"/>
      <c r="AO1281" s="1204"/>
    </row>
    <row r="1282" spans="1:43" ht="15" customHeight="1">
      <c r="A1282" s="1214"/>
      <c r="B1282" s="1171"/>
      <c r="C1282" s="1076"/>
      <c r="D1282" s="1076"/>
      <c r="E1282" s="1208"/>
      <c r="F1282" s="1208"/>
      <c r="G1282" s="1076"/>
      <c r="H1282" s="1076"/>
      <c r="I1282" s="1076"/>
      <c r="J1282" s="1076"/>
      <c r="K1282" s="1076"/>
      <c r="L1282" s="1076"/>
      <c r="M1282" s="1209"/>
      <c r="N1282" s="1123"/>
      <c r="O1282" s="1119"/>
      <c r="P1282" s="1119"/>
      <c r="Q1282" s="1119"/>
      <c r="R1282" s="1171"/>
      <c r="S1282" s="1196"/>
      <c r="T1282" s="1196"/>
      <c r="U1282" s="1196"/>
      <c r="V1282" s="1084"/>
      <c r="W1282" s="1119"/>
      <c r="X1282" s="1076"/>
      <c r="Y1282" s="1123" t="s">
        <v>1799</v>
      </c>
      <c r="Z1282" s="109">
        <v>64205205.090000004</v>
      </c>
      <c r="AA1282" s="109">
        <v>-19261561.5</v>
      </c>
      <c r="AB1282" s="109">
        <f t="shared" si="111"/>
        <v>44943643.590000004</v>
      </c>
      <c r="AC1282" s="1171">
        <v>42293</v>
      </c>
      <c r="AD1282" s="119">
        <v>44943643.590000004</v>
      </c>
      <c r="AE1282" s="98" t="s">
        <v>7</v>
      </c>
      <c r="AF1282" s="1084"/>
      <c r="AG1282" s="1084"/>
      <c r="AH1282" s="111">
        <f t="shared" si="112"/>
        <v>0</v>
      </c>
      <c r="AI1282" s="1084"/>
      <c r="AJ1282" s="1119"/>
      <c r="AK1282" s="1119"/>
      <c r="AL1282" s="1119"/>
      <c r="AM1282" s="1119"/>
      <c r="AN1282" s="1203"/>
      <c r="AO1282" s="1204"/>
    </row>
    <row r="1283" spans="1:43" ht="15" customHeight="1">
      <c r="A1283" s="1214"/>
      <c r="B1283" s="1171"/>
      <c r="C1283" s="1076"/>
      <c r="D1283" s="1076"/>
      <c r="E1283" s="1208"/>
      <c r="F1283" s="1208"/>
      <c r="G1283" s="1076"/>
      <c r="H1283" s="1076"/>
      <c r="I1283" s="1076"/>
      <c r="J1283" s="1076"/>
      <c r="K1283" s="1076"/>
      <c r="L1283" s="1076"/>
      <c r="M1283" s="1209"/>
      <c r="N1283" s="1123"/>
      <c r="O1283" s="1119"/>
      <c r="P1283" s="1119"/>
      <c r="Q1283" s="1119"/>
      <c r="R1283" s="1171"/>
      <c r="S1283" s="1196"/>
      <c r="T1283" s="1196"/>
      <c r="U1283" s="1196"/>
      <c r="V1283" s="1084"/>
      <c r="W1283" s="1119"/>
      <c r="X1283" s="1076"/>
      <c r="Y1283" s="1123"/>
      <c r="Z1283" s="109">
        <v>78478689.540000007</v>
      </c>
      <c r="AA1283" s="109">
        <v>-23543606.829999998</v>
      </c>
      <c r="AB1283" s="109">
        <f t="shared" si="111"/>
        <v>54935082.710000008</v>
      </c>
      <c r="AC1283" s="1171"/>
      <c r="AD1283" s="119">
        <v>54935082.710000001</v>
      </c>
      <c r="AE1283" s="98" t="s">
        <v>137</v>
      </c>
      <c r="AF1283" s="1084"/>
      <c r="AG1283" s="1084"/>
      <c r="AH1283" s="111">
        <f t="shared" si="112"/>
        <v>0</v>
      </c>
      <c r="AI1283" s="1084"/>
      <c r="AJ1283" s="1119"/>
      <c r="AK1283" s="1119"/>
      <c r="AL1283" s="1119"/>
      <c r="AM1283" s="1119"/>
      <c r="AN1283" s="1203"/>
      <c r="AO1283" s="1204"/>
    </row>
    <row r="1284" spans="1:43" ht="15" customHeight="1">
      <c r="A1284" s="1214"/>
      <c r="B1284" s="1171"/>
      <c r="C1284" s="1076"/>
      <c r="D1284" s="1076"/>
      <c r="E1284" s="1208"/>
      <c r="F1284" s="1208"/>
      <c r="G1284" s="1076"/>
      <c r="H1284" s="1076"/>
      <c r="I1284" s="1076"/>
      <c r="J1284" s="1076"/>
      <c r="K1284" s="1076"/>
      <c r="L1284" s="1076"/>
      <c r="M1284" s="1209"/>
      <c r="N1284" s="1123"/>
      <c r="O1284" s="1119"/>
      <c r="P1284" s="1119"/>
      <c r="Q1284" s="1119"/>
      <c r="R1284" s="1171"/>
      <c r="S1284" s="1196"/>
      <c r="T1284" s="1196"/>
      <c r="U1284" s="1196"/>
      <c r="V1284" s="1084"/>
      <c r="W1284" s="1119"/>
      <c r="X1284" s="1076"/>
      <c r="Y1284" s="1123"/>
      <c r="Z1284" s="109">
        <v>140871473.62857142</v>
      </c>
      <c r="AA1284" s="109">
        <v>-42261442.088571399</v>
      </c>
      <c r="AB1284" s="109">
        <f t="shared" si="111"/>
        <v>98610031.540000021</v>
      </c>
      <c r="AC1284" s="1171">
        <v>42446</v>
      </c>
      <c r="AD1284" s="119">
        <v>98610031.540000007</v>
      </c>
      <c r="AE1284" s="98" t="s">
        <v>7</v>
      </c>
      <c r="AF1284" s="1084"/>
      <c r="AG1284" s="1084"/>
      <c r="AH1284" s="111">
        <f t="shared" si="112"/>
        <v>0</v>
      </c>
      <c r="AI1284" s="1084"/>
      <c r="AJ1284" s="1119"/>
      <c r="AK1284" s="1119"/>
      <c r="AL1284" s="1119"/>
      <c r="AM1284" s="1119"/>
      <c r="AN1284" s="1203"/>
      <c r="AO1284" s="1204"/>
    </row>
    <row r="1285" spans="1:43" ht="15" customHeight="1">
      <c r="A1285" s="1214"/>
      <c r="B1285" s="1171"/>
      <c r="C1285" s="1076"/>
      <c r="D1285" s="1076"/>
      <c r="E1285" s="1208"/>
      <c r="F1285" s="1208"/>
      <c r="G1285" s="1076"/>
      <c r="H1285" s="1076"/>
      <c r="I1285" s="1076"/>
      <c r="J1285" s="1076"/>
      <c r="K1285" s="1076"/>
      <c r="L1285" s="1076"/>
      <c r="M1285" s="1209"/>
      <c r="N1285" s="1123"/>
      <c r="O1285" s="1119"/>
      <c r="P1285" s="1119"/>
      <c r="Q1285" s="1119"/>
      <c r="R1285" s="1171"/>
      <c r="S1285" s="1196"/>
      <c r="T1285" s="1196"/>
      <c r="U1285" s="1196"/>
      <c r="V1285" s="1084"/>
      <c r="W1285" s="1119"/>
      <c r="X1285" s="1076"/>
      <c r="Y1285" s="1123"/>
      <c r="Z1285" s="109">
        <v>172188666.48571429</v>
      </c>
      <c r="AA1285" s="109">
        <v>-51656599.945714302</v>
      </c>
      <c r="AB1285" s="109">
        <f t="shared" si="111"/>
        <v>120532066.53999999</v>
      </c>
      <c r="AC1285" s="1171"/>
      <c r="AD1285" s="119">
        <v>120532066.54000001</v>
      </c>
      <c r="AE1285" s="98" t="s">
        <v>137</v>
      </c>
      <c r="AF1285" s="1084"/>
      <c r="AG1285" s="1084"/>
      <c r="AH1285" s="111">
        <f t="shared" si="112"/>
        <v>0</v>
      </c>
      <c r="AI1285" s="1084"/>
      <c r="AJ1285" s="1119"/>
      <c r="AK1285" s="1119"/>
      <c r="AL1285" s="1119"/>
      <c r="AM1285" s="1119"/>
      <c r="AN1285" s="1203"/>
      <c r="AO1285" s="1204"/>
    </row>
    <row r="1286" spans="1:43" ht="15" customHeight="1">
      <c r="A1286" s="1214"/>
      <c r="B1286" s="1171"/>
      <c r="C1286" s="1076"/>
      <c r="D1286" s="1076"/>
      <c r="E1286" s="1208"/>
      <c r="F1286" s="1208"/>
      <c r="G1286" s="1076"/>
      <c r="H1286" s="1076"/>
      <c r="I1286" s="1076"/>
      <c r="J1286" s="1076"/>
      <c r="K1286" s="1076"/>
      <c r="L1286" s="1076"/>
      <c r="M1286" s="1209"/>
      <c r="N1286" s="1123"/>
      <c r="O1286" s="1119"/>
      <c r="P1286" s="1119"/>
      <c r="Q1286" s="1119"/>
      <c r="R1286" s="1171"/>
      <c r="S1286" s="1196"/>
      <c r="T1286" s="1196"/>
      <c r="U1286" s="1196"/>
      <c r="V1286" s="1084"/>
      <c r="W1286" s="1119"/>
      <c r="X1286" s="1076"/>
      <c r="Y1286" s="1123"/>
      <c r="Z1286" s="109"/>
      <c r="AA1286" s="109"/>
      <c r="AB1286" s="109">
        <f t="shared" si="111"/>
        <v>0</v>
      </c>
      <c r="AC1286" s="1171"/>
      <c r="AD1286" s="119"/>
      <c r="AE1286" s="98"/>
      <c r="AF1286" s="1084"/>
      <c r="AG1286" s="1084"/>
      <c r="AH1286" s="111">
        <f t="shared" si="112"/>
        <v>0</v>
      </c>
      <c r="AI1286" s="1084"/>
      <c r="AJ1286" s="1119"/>
      <c r="AK1286" s="1119"/>
      <c r="AL1286" s="1119"/>
      <c r="AM1286" s="1119"/>
      <c r="AN1286" s="1203"/>
      <c r="AO1286" s="1204"/>
    </row>
    <row r="1287" spans="1:43" ht="15" customHeight="1">
      <c r="A1287" s="1214"/>
      <c r="B1287" s="1171"/>
      <c r="C1287" s="1076"/>
      <c r="D1287" s="1076"/>
      <c r="E1287" s="1208"/>
      <c r="F1287" s="1208"/>
      <c r="G1287" s="1076"/>
      <c r="H1287" s="1076"/>
      <c r="I1287" s="1076"/>
      <c r="J1287" s="1076"/>
      <c r="K1287" s="1076"/>
      <c r="L1287" s="1076"/>
      <c r="M1287" s="1209"/>
      <c r="N1287" s="1123"/>
      <c r="O1287" s="1119"/>
      <c r="P1287" s="1119"/>
      <c r="Q1287" s="1119"/>
      <c r="R1287" s="1171"/>
      <c r="S1287" s="1196"/>
      <c r="T1287" s="1196"/>
      <c r="U1287" s="1196"/>
      <c r="V1287" s="1084"/>
      <c r="W1287" s="1119"/>
      <c r="X1287" s="1076"/>
      <c r="Y1287" s="1123"/>
      <c r="Z1287" s="109"/>
      <c r="AA1287" s="109"/>
      <c r="AB1287" s="109">
        <f t="shared" si="111"/>
        <v>0</v>
      </c>
      <c r="AC1287" s="1171"/>
      <c r="AD1287" s="119"/>
      <c r="AE1287" s="98"/>
      <c r="AF1287" s="1084"/>
      <c r="AG1287" s="1084"/>
      <c r="AH1287" s="111">
        <f t="shared" si="112"/>
        <v>0</v>
      </c>
      <c r="AI1287" s="1084"/>
      <c r="AJ1287" s="1119"/>
      <c r="AK1287" s="1119"/>
      <c r="AL1287" s="1119"/>
      <c r="AM1287" s="1119"/>
      <c r="AN1287" s="1203"/>
      <c r="AO1287" s="1204"/>
    </row>
    <row r="1288" spans="1:43" ht="15" customHeight="1">
      <c r="A1288" s="1214"/>
      <c r="B1288" s="1171"/>
      <c r="C1288" s="1076"/>
      <c r="D1288" s="1076"/>
      <c r="E1288" s="1208"/>
      <c r="F1288" s="1208"/>
      <c r="G1288" s="1076"/>
      <c r="H1288" s="1076"/>
      <c r="I1288" s="1076"/>
      <c r="J1288" s="1076"/>
      <c r="K1288" s="1076"/>
      <c r="L1288" s="1076"/>
      <c r="M1288" s="1209">
        <v>2</v>
      </c>
      <c r="N1288" s="1123" t="s">
        <v>130</v>
      </c>
      <c r="O1288" s="1119">
        <v>1076177942</v>
      </c>
      <c r="P1288" s="1119">
        <v>1076177942</v>
      </c>
      <c r="Q1288" s="1119"/>
      <c r="R1288" s="1171">
        <v>41543</v>
      </c>
      <c r="S1288" s="1196">
        <f>T1288</f>
        <v>1076177942</v>
      </c>
      <c r="T1288" s="1196">
        <v>1076177942</v>
      </c>
      <c r="U1288" s="1119">
        <f>O1288-T1288</f>
        <v>0</v>
      </c>
      <c r="V1288" s="1084">
        <v>1064338065.4400001</v>
      </c>
      <c r="W1288" s="1119"/>
      <c r="X1288" s="1076"/>
      <c r="Y1288" s="108" t="s">
        <v>1795</v>
      </c>
      <c r="Z1288" s="109">
        <v>0</v>
      </c>
      <c r="AA1288" s="109">
        <v>319301419.51999998</v>
      </c>
      <c r="AB1288" s="109">
        <f>Z1288+AA1288</f>
        <v>319301419.51999998</v>
      </c>
      <c r="AC1288" s="97">
        <v>41976</v>
      </c>
      <c r="AD1288" s="119">
        <v>319301419.51999998</v>
      </c>
      <c r="AE1288" s="98" t="s">
        <v>130</v>
      </c>
      <c r="AF1288" s="1084">
        <f>SUM(AD1288:AD1294)</f>
        <v>986360113.75999987</v>
      </c>
      <c r="AG1288" s="1084"/>
      <c r="AH1288" s="111">
        <f>AB1288-AD1288</f>
        <v>0</v>
      </c>
      <c r="AI1288" s="1084">
        <f>O1288-SUM(AD1288:AD1294)</f>
        <v>89817828.240000129</v>
      </c>
      <c r="AJ1288" s="1119"/>
      <c r="AK1288" s="1119">
        <f>P1288-V1288</f>
        <v>11839876.559999943</v>
      </c>
      <c r="AL1288" s="1119">
        <f>V1288-SUM(Z1288:Z1294)</f>
        <v>111397073.20000005</v>
      </c>
      <c r="AM1288" s="1119"/>
      <c r="AN1288" s="1203"/>
      <c r="AO1288" s="1204"/>
    </row>
    <row r="1289" spans="1:43" ht="15" customHeight="1">
      <c r="A1289" s="1214"/>
      <c r="B1289" s="1171"/>
      <c r="C1289" s="1076"/>
      <c r="D1289" s="1076"/>
      <c r="E1289" s="1208"/>
      <c r="F1289" s="1208"/>
      <c r="G1289" s="1076"/>
      <c r="H1289" s="1076"/>
      <c r="I1289" s="1076"/>
      <c r="J1289" s="1076"/>
      <c r="K1289" s="1076"/>
      <c r="L1289" s="1076"/>
      <c r="M1289" s="1209"/>
      <c r="N1289" s="1123"/>
      <c r="O1289" s="1119"/>
      <c r="P1289" s="1119"/>
      <c r="Q1289" s="1119"/>
      <c r="R1289" s="1171"/>
      <c r="S1289" s="1196"/>
      <c r="T1289" s="1196"/>
      <c r="U1289" s="1119"/>
      <c r="V1289" s="1084"/>
      <c r="W1289" s="1119"/>
      <c r="X1289" s="1076"/>
      <c r="Y1289" s="108" t="s">
        <v>1796</v>
      </c>
      <c r="Z1289" s="109">
        <v>249436581.61000001</v>
      </c>
      <c r="AA1289" s="109">
        <v>-74830974.599999994</v>
      </c>
      <c r="AB1289" s="109">
        <f t="shared" ref="AB1289:AB1294" si="113">Z1289+AA1289</f>
        <v>174605607.01000002</v>
      </c>
      <c r="AC1289" s="97">
        <v>42027</v>
      </c>
      <c r="AD1289" s="119">
        <v>174605607.00999999</v>
      </c>
      <c r="AE1289" s="98" t="s">
        <v>130</v>
      </c>
      <c r="AF1289" s="1084"/>
      <c r="AG1289" s="1084"/>
      <c r="AH1289" s="111">
        <f t="shared" ref="AH1289:AH1294" si="114">AB1289-AD1289</f>
        <v>0</v>
      </c>
      <c r="AI1289" s="1084"/>
      <c r="AJ1289" s="1119"/>
      <c r="AK1289" s="1119"/>
      <c r="AL1289" s="1119"/>
      <c r="AM1289" s="1119"/>
      <c r="AN1289" s="1203"/>
      <c r="AO1289" s="1204"/>
    </row>
    <row r="1290" spans="1:43" ht="15" customHeight="1">
      <c r="A1290" s="1214"/>
      <c r="B1290" s="1171"/>
      <c r="C1290" s="1076"/>
      <c r="D1290" s="1076"/>
      <c r="E1290" s="1208"/>
      <c r="F1290" s="1208"/>
      <c r="G1290" s="1076"/>
      <c r="H1290" s="1076"/>
      <c r="I1290" s="1076"/>
      <c r="J1290" s="1076"/>
      <c r="K1290" s="1076"/>
      <c r="L1290" s="1076"/>
      <c r="M1290" s="1209"/>
      <c r="N1290" s="1123"/>
      <c r="O1290" s="1119"/>
      <c r="P1290" s="1119"/>
      <c r="Q1290" s="1119"/>
      <c r="R1290" s="1171"/>
      <c r="S1290" s="1196"/>
      <c r="T1290" s="1196"/>
      <c r="U1290" s="1119"/>
      <c r="V1290" s="1084"/>
      <c r="W1290" s="1119"/>
      <c r="X1290" s="1076"/>
      <c r="Y1290" s="108" t="s">
        <v>1797</v>
      </c>
      <c r="Z1290" s="109">
        <v>286889767.45999998</v>
      </c>
      <c r="AA1290" s="109">
        <v>-86066930.409999996</v>
      </c>
      <c r="AB1290" s="109">
        <f t="shared" si="113"/>
        <v>200822837.04999998</v>
      </c>
      <c r="AC1290" s="97">
        <v>42135</v>
      </c>
      <c r="AD1290" s="119">
        <v>200822837.05000001</v>
      </c>
      <c r="AE1290" s="98" t="s">
        <v>130</v>
      </c>
      <c r="AF1290" s="1084"/>
      <c r="AG1290" s="1084"/>
      <c r="AH1290" s="111">
        <f t="shared" si="114"/>
        <v>0</v>
      </c>
      <c r="AI1290" s="1084"/>
      <c r="AJ1290" s="1119"/>
      <c r="AK1290" s="1119"/>
      <c r="AL1290" s="1119"/>
      <c r="AM1290" s="1119"/>
      <c r="AN1290" s="1203"/>
      <c r="AO1290" s="1204"/>
    </row>
    <row r="1291" spans="1:43" ht="15" customHeight="1">
      <c r="A1291" s="1214"/>
      <c r="B1291" s="1171"/>
      <c r="C1291" s="1076"/>
      <c r="D1291" s="1076"/>
      <c r="E1291" s="1208"/>
      <c r="F1291" s="1208"/>
      <c r="G1291" s="1076"/>
      <c r="H1291" s="1076"/>
      <c r="I1291" s="1076"/>
      <c r="J1291" s="1076"/>
      <c r="K1291" s="1076"/>
      <c r="L1291" s="1076"/>
      <c r="M1291" s="1209"/>
      <c r="N1291" s="1123"/>
      <c r="O1291" s="1119"/>
      <c r="P1291" s="1119"/>
      <c r="Q1291" s="1119"/>
      <c r="R1291" s="1171"/>
      <c r="S1291" s="1196"/>
      <c r="T1291" s="1196"/>
      <c r="U1291" s="1119"/>
      <c r="V1291" s="1084"/>
      <c r="W1291" s="1119"/>
      <c r="X1291" s="1076"/>
      <c r="Y1291" s="108" t="s">
        <v>1798</v>
      </c>
      <c r="Z1291" s="109">
        <v>171375843.77000001</v>
      </c>
      <c r="AA1291" s="109">
        <v>-51412753.200000003</v>
      </c>
      <c r="AB1291" s="109">
        <f t="shared" si="113"/>
        <v>119963090.57000001</v>
      </c>
      <c r="AC1291" s="97">
        <v>42214</v>
      </c>
      <c r="AD1291" s="119">
        <v>119963090.56999999</v>
      </c>
      <c r="AE1291" s="98" t="s">
        <v>130</v>
      </c>
      <c r="AF1291" s="1084"/>
      <c r="AG1291" s="1084"/>
      <c r="AH1291" s="111">
        <f t="shared" si="114"/>
        <v>0</v>
      </c>
      <c r="AI1291" s="1084"/>
      <c r="AJ1291" s="1119"/>
      <c r="AK1291" s="1119"/>
      <c r="AL1291" s="1119"/>
      <c r="AM1291" s="1119"/>
      <c r="AN1291" s="1203"/>
      <c r="AO1291" s="1204"/>
    </row>
    <row r="1292" spans="1:43" ht="15" customHeight="1">
      <c r="A1292" s="1214"/>
      <c r="B1292" s="1171"/>
      <c r="C1292" s="1076"/>
      <c r="D1292" s="1076"/>
      <c r="E1292" s="1208"/>
      <c r="F1292" s="1208"/>
      <c r="G1292" s="1076"/>
      <c r="H1292" s="1076"/>
      <c r="I1292" s="1076"/>
      <c r="J1292" s="1076"/>
      <c r="K1292" s="1076"/>
      <c r="L1292" s="1076"/>
      <c r="M1292" s="1209"/>
      <c r="N1292" s="1123"/>
      <c r="O1292" s="1119"/>
      <c r="P1292" s="1119"/>
      <c r="Q1292" s="1119"/>
      <c r="R1292" s="1171"/>
      <c r="S1292" s="1196"/>
      <c r="T1292" s="1196"/>
      <c r="U1292" s="1119"/>
      <c r="V1292" s="1084"/>
      <c r="W1292" s="1119"/>
      <c r="X1292" s="1076"/>
      <c r="Y1292" s="108" t="s">
        <v>1799</v>
      </c>
      <c r="Z1292" s="109">
        <v>76779122.370000005</v>
      </c>
      <c r="AA1292" s="109">
        <v>-23033736.68</v>
      </c>
      <c r="AB1292" s="109">
        <f t="shared" si="113"/>
        <v>53745385.690000005</v>
      </c>
      <c r="AC1292" s="97">
        <v>42293</v>
      </c>
      <c r="AD1292" s="119">
        <v>53745385.689999998</v>
      </c>
      <c r="AE1292" s="98" t="s">
        <v>130</v>
      </c>
      <c r="AF1292" s="1084"/>
      <c r="AG1292" s="1084"/>
      <c r="AH1292" s="111">
        <f t="shared" si="114"/>
        <v>0</v>
      </c>
      <c r="AI1292" s="1084"/>
      <c r="AJ1292" s="1119"/>
      <c r="AK1292" s="1119"/>
      <c r="AL1292" s="1119"/>
      <c r="AM1292" s="1119"/>
      <c r="AN1292" s="1203"/>
      <c r="AO1292" s="1204"/>
    </row>
    <row r="1293" spans="1:43" ht="15" customHeight="1">
      <c r="A1293" s="1214"/>
      <c r="B1293" s="1171"/>
      <c r="C1293" s="1076"/>
      <c r="D1293" s="1076"/>
      <c r="E1293" s="1208"/>
      <c r="F1293" s="1208"/>
      <c r="G1293" s="1076"/>
      <c r="H1293" s="1076"/>
      <c r="I1293" s="1076"/>
      <c r="J1293" s="1076"/>
      <c r="K1293" s="1076"/>
      <c r="L1293" s="1076"/>
      <c r="M1293" s="1209"/>
      <c r="N1293" s="1123"/>
      <c r="O1293" s="1119"/>
      <c r="P1293" s="1119"/>
      <c r="Q1293" s="1119"/>
      <c r="R1293" s="1171"/>
      <c r="S1293" s="1196"/>
      <c r="T1293" s="1196"/>
      <c r="U1293" s="1119"/>
      <c r="V1293" s="1084"/>
      <c r="W1293" s="1119"/>
      <c r="X1293" s="1076"/>
      <c r="Y1293" s="108"/>
      <c r="Z1293" s="109">
        <v>168459677.03</v>
      </c>
      <c r="AA1293" s="109">
        <v>-50537903.108571403</v>
      </c>
      <c r="AB1293" s="109">
        <f t="shared" si="113"/>
        <v>117921773.92142859</v>
      </c>
      <c r="AC1293" s="97">
        <v>42446</v>
      </c>
      <c r="AD1293" s="119">
        <v>117921773.92</v>
      </c>
      <c r="AE1293" s="98" t="s">
        <v>130</v>
      </c>
      <c r="AF1293" s="1084"/>
      <c r="AG1293" s="1084"/>
      <c r="AH1293" s="111">
        <f t="shared" si="114"/>
        <v>1.4285892248153687E-3</v>
      </c>
      <c r="AI1293" s="1084"/>
      <c r="AJ1293" s="1119"/>
      <c r="AK1293" s="1119"/>
      <c r="AL1293" s="1119"/>
      <c r="AM1293" s="1119"/>
      <c r="AN1293" s="1203"/>
      <c r="AO1293" s="1204"/>
    </row>
    <row r="1294" spans="1:43" ht="15" customHeight="1">
      <c r="A1294" s="1214"/>
      <c r="B1294" s="1171"/>
      <c r="C1294" s="1076"/>
      <c r="D1294" s="1076"/>
      <c r="E1294" s="1208"/>
      <c r="F1294" s="1208"/>
      <c r="G1294" s="1076"/>
      <c r="H1294" s="1076"/>
      <c r="I1294" s="1076"/>
      <c r="J1294" s="1076"/>
      <c r="K1294" s="1076"/>
      <c r="L1294" s="1076"/>
      <c r="M1294" s="1209"/>
      <c r="N1294" s="1123"/>
      <c r="O1294" s="1119"/>
      <c r="P1294" s="1119"/>
      <c r="Q1294" s="1119"/>
      <c r="R1294" s="1171"/>
      <c r="S1294" s="1196"/>
      <c r="T1294" s="1196"/>
      <c r="U1294" s="1119"/>
      <c r="V1294" s="1084"/>
      <c r="W1294" s="1119"/>
      <c r="X1294" s="1076"/>
      <c r="Y1294" s="108"/>
      <c r="Z1294" s="109"/>
      <c r="AA1294" s="109"/>
      <c r="AB1294" s="109">
        <f t="shared" si="113"/>
        <v>0</v>
      </c>
      <c r="AC1294" s="97"/>
      <c r="AD1294" s="119"/>
      <c r="AE1294" s="98"/>
      <c r="AF1294" s="1084"/>
      <c r="AG1294" s="1084"/>
      <c r="AH1294" s="111">
        <f t="shared" si="114"/>
        <v>0</v>
      </c>
      <c r="AI1294" s="1084"/>
      <c r="AJ1294" s="1119"/>
      <c r="AK1294" s="1119"/>
      <c r="AL1294" s="1119"/>
      <c r="AM1294" s="1119"/>
      <c r="AN1294" s="1203"/>
      <c r="AO1294" s="1204"/>
    </row>
    <row r="1295" spans="1:43" s="4" customFormat="1" ht="15" customHeight="1">
      <c r="A1295" s="1170" t="s">
        <v>1808</v>
      </c>
      <c r="B1295" s="1213">
        <v>41834</v>
      </c>
      <c r="C1295" s="1149" t="s">
        <v>11</v>
      </c>
      <c r="D1295" s="1149" t="s">
        <v>1801</v>
      </c>
      <c r="E1295" s="1226">
        <v>900316215</v>
      </c>
      <c r="F1295" s="1226">
        <v>9</v>
      </c>
      <c r="G1295" s="1149" t="s">
        <v>1802</v>
      </c>
      <c r="H1295" s="1149" t="s">
        <v>71</v>
      </c>
      <c r="I1295" s="1149" t="s">
        <v>1221</v>
      </c>
      <c r="J1295" s="1149" t="s">
        <v>66</v>
      </c>
      <c r="K1295" s="1149" t="s">
        <v>48</v>
      </c>
      <c r="L1295" s="1149"/>
      <c r="M1295" s="1156">
        <v>300</v>
      </c>
      <c r="N1295" s="1122" t="s">
        <v>7</v>
      </c>
      <c r="O1295" s="1149">
        <v>1626280611</v>
      </c>
      <c r="P1295" s="1149">
        <f>O1295</f>
        <v>1626280611</v>
      </c>
      <c r="Q1295" s="1149">
        <f>P1295+P1298</f>
        <v>2589569935</v>
      </c>
      <c r="R1295" s="1171">
        <v>41705</v>
      </c>
      <c r="S1295" s="116"/>
      <c r="T1295" s="117"/>
      <c r="U1295" s="117"/>
      <c r="V1295" s="1233">
        <v>1625961427.74</v>
      </c>
      <c r="W1295" s="1149">
        <v>2589061691</v>
      </c>
      <c r="X1295" s="1204" t="s">
        <v>1803</v>
      </c>
      <c r="Y1295" s="108" t="s">
        <v>1804</v>
      </c>
      <c r="Z1295" s="103"/>
      <c r="AA1295" s="103"/>
      <c r="AB1295" s="103"/>
      <c r="AC1295" s="97">
        <v>41974</v>
      </c>
      <c r="AD1295" s="63">
        <v>487788428.13</v>
      </c>
      <c r="AE1295" s="1122" t="s">
        <v>7</v>
      </c>
      <c r="AF1295" s="96"/>
      <c r="AG1295" s="96"/>
      <c r="AH1295" s="96"/>
      <c r="AI1295" s="96"/>
      <c r="AJ1295" s="96"/>
      <c r="AK1295" s="96"/>
      <c r="AL1295" s="96" t="s">
        <v>1809</v>
      </c>
      <c r="AM1295" s="96"/>
      <c r="AN1295" s="1023"/>
      <c r="AO1295" s="1021" t="s">
        <v>1755</v>
      </c>
      <c r="AQ1295" s="934"/>
    </row>
    <row r="1296" spans="1:43" s="4" customFormat="1" ht="15" customHeight="1">
      <c r="A1296" s="1170"/>
      <c r="B1296" s="1213"/>
      <c r="C1296" s="1149"/>
      <c r="D1296" s="1149"/>
      <c r="E1296" s="1226"/>
      <c r="F1296" s="1226"/>
      <c r="G1296" s="1149"/>
      <c r="H1296" s="1149"/>
      <c r="I1296" s="1149"/>
      <c r="J1296" s="1149"/>
      <c r="K1296" s="1149"/>
      <c r="L1296" s="1149"/>
      <c r="M1296" s="1156"/>
      <c r="N1296" s="1122"/>
      <c r="O1296" s="1149"/>
      <c r="P1296" s="1149"/>
      <c r="Q1296" s="1149"/>
      <c r="R1296" s="1171"/>
      <c r="S1296" s="116"/>
      <c r="T1296" s="117"/>
      <c r="U1296" s="117"/>
      <c r="V1296" s="1233"/>
      <c r="W1296" s="1149"/>
      <c r="X1296" s="1204"/>
      <c r="Y1296" s="108" t="s">
        <v>1805</v>
      </c>
      <c r="Z1296" s="103"/>
      <c r="AA1296" s="103"/>
      <c r="AB1296" s="103"/>
      <c r="AC1296" s="97">
        <v>42296</v>
      </c>
      <c r="AD1296" s="63">
        <v>612993191.38</v>
      </c>
      <c r="AE1296" s="1122"/>
      <c r="AF1296" s="96"/>
      <c r="AG1296" s="96"/>
      <c r="AH1296" s="96"/>
      <c r="AI1296" s="96"/>
      <c r="AJ1296" s="96"/>
      <c r="AK1296" s="96"/>
      <c r="AL1296" s="96"/>
      <c r="AM1296" s="96"/>
      <c r="AN1296" s="1124"/>
      <c r="AO1296" s="1124"/>
      <c r="AQ1296" s="934"/>
    </row>
    <row r="1297" spans="1:43" s="4" customFormat="1" ht="15" customHeight="1">
      <c r="A1297" s="1170"/>
      <c r="B1297" s="1213"/>
      <c r="C1297" s="1149"/>
      <c r="D1297" s="1149"/>
      <c r="E1297" s="1226"/>
      <c r="F1297" s="1226"/>
      <c r="G1297" s="1149"/>
      <c r="H1297" s="1149"/>
      <c r="I1297" s="1149"/>
      <c r="J1297" s="1149"/>
      <c r="K1297" s="1149"/>
      <c r="L1297" s="1149"/>
      <c r="M1297" s="1156"/>
      <c r="N1297" s="1122"/>
      <c r="O1297" s="1149"/>
      <c r="P1297" s="1149"/>
      <c r="Q1297" s="1149"/>
      <c r="R1297" s="1171"/>
      <c r="S1297" s="116"/>
      <c r="T1297" s="117"/>
      <c r="U1297" s="117"/>
      <c r="V1297" s="1233"/>
      <c r="W1297" s="1149"/>
      <c r="X1297" s="1204"/>
      <c r="Y1297" s="108" t="s">
        <v>1806</v>
      </c>
      <c r="Z1297" s="103"/>
      <c r="AA1297" s="103"/>
      <c r="AB1297" s="103"/>
      <c r="AC1297" s="97">
        <v>42671</v>
      </c>
      <c r="AD1297" s="63">
        <v>290082230.33999997</v>
      </c>
      <c r="AE1297" s="1122"/>
      <c r="AF1297" s="96"/>
      <c r="AG1297" s="96"/>
      <c r="AH1297" s="96"/>
      <c r="AI1297" s="96"/>
      <c r="AJ1297" s="96"/>
      <c r="AK1297" s="96"/>
      <c r="AL1297" s="96"/>
      <c r="AM1297" s="96"/>
      <c r="AN1297" s="1124"/>
      <c r="AO1297" s="1124"/>
      <c r="AQ1297" s="934"/>
    </row>
    <row r="1298" spans="1:43" s="4" customFormat="1" ht="15" customHeight="1">
      <c r="A1298" s="1170"/>
      <c r="B1298" s="1213"/>
      <c r="C1298" s="1149"/>
      <c r="D1298" s="1149"/>
      <c r="E1298" s="1226"/>
      <c r="F1298" s="1226"/>
      <c r="G1298" s="1149"/>
      <c r="H1298" s="1149"/>
      <c r="I1298" s="1149"/>
      <c r="J1298" s="1149"/>
      <c r="K1298" s="1149"/>
      <c r="L1298" s="1149"/>
      <c r="M1298" s="1156">
        <v>2</v>
      </c>
      <c r="N1298" s="1122" t="s">
        <v>131</v>
      </c>
      <c r="O1298" s="1149">
        <v>963289324</v>
      </c>
      <c r="P1298" s="1149">
        <v>963289324</v>
      </c>
      <c r="Q1298" s="1149"/>
      <c r="R1298" s="1171">
        <v>41705</v>
      </c>
      <c r="S1298" s="116"/>
      <c r="T1298" s="117"/>
      <c r="U1298" s="117"/>
      <c r="V1298" s="1233">
        <v>963100263.25999999</v>
      </c>
      <c r="W1298" s="1149"/>
      <c r="X1298" s="1204"/>
      <c r="Y1298" s="108" t="s">
        <v>1804</v>
      </c>
      <c r="Z1298" s="103"/>
      <c r="AA1298" s="103"/>
      <c r="AB1298" s="103"/>
      <c r="AC1298" s="97">
        <v>41974</v>
      </c>
      <c r="AD1298" s="63">
        <v>288930078.87</v>
      </c>
      <c r="AE1298" s="1122" t="s">
        <v>131</v>
      </c>
      <c r="AF1298" s="96"/>
      <c r="AG1298" s="96"/>
      <c r="AH1298" s="96"/>
      <c r="AI1298" s="96"/>
      <c r="AJ1298" s="96"/>
      <c r="AK1298" s="96"/>
      <c r="AL1298" s="96"/>
      <c r="AM1298" s="96"/>
      <c r="AN1298" s="1124"/>
      <c r="AO1298" s="1124"/>
      <c r="AQ1298" s="934"/>
    </row>
    <row r="1299" spans="1:43" s="4" customFormat="1" ht="15" customHeight="1">
      <c r="A1299" s="1170"/>
      <c r="B1299" s="1213"/>
      <c r="C1299" s="1149"/>
      <c r="D1299" s="1149"/>
      <c r="E1299" s="1226"/>
      <c r="F1299" s="1226"/>
      <c r="G1299" s="1149"/>
      <c r="H1299" s="1149"/>
      <c r="I1299" s="1149"/>
      <c r="J1299" s="1149"/>
      <c r="K1299" s="1149"/>
      <c r="L1299" s="1149"/>
      <c r="M1299" s="1156"/>
      <c r="N1299" s="1122"/>
      <c r="O1299" s="1149"/>
      <c r="P1299" s="1149"/>
      <c r="Q1299" s="1149"/>
      <c r="R1299" s="1171"/>
      <c r="S1299" s="116"/>
      <c r="T1299" s="117"/>
      <c r="U1299" s="117"/>
      <c r="V1299" s="1233"/>
      <c r="W1299" s="1149"/>
      <c r="X1299" s="1204"/>
      <c r="Y1299" s="108" t="s">
        <v>1805</v>
      </c>
      <c r="Z1299" s="103"/>
      <c r="AA1299" s="103"/>
      <c r="AB1299" s="103"/>
      <c r="AC1299" s="97">
        <v>42296</v>
      </c>
      <c r="AD1299" s="63">
        <v>363092195.12</v>
      </c>
      <c r="AE1299" s="1122"/>
      <c r="AF1299" s="96"/>
      <c r="AG1299" s="96"/>
      <c r="AH1299" s="96"/>
      <c r="AI1299" s="96"/>
      <c r="AJ1299" s="96"/>
      <c r="AK1299" s="96"/>
      <c r="AL1299" s="96"/>
      <c r="AM1299" s="96"/>
      <c r="AN1299" s="1124"/>
      <c r="AO1299" s="1124"/>
      <c r="AQ1299" s="934"/>
    </row>
    <row r="1300" spans="1:43" s="4" customFormat="1" ht="15" customHeight="1">
      <c r="A1300" s="1170"/>
      <c r="B1300" s="1213"/>
      <c r="C1300" s="1149"/>
      <c r="D1300" s="1149"/>
      <c r="E1300" s="1226"/>
      <c r="F1300" s="1226"/>
      <c r="G1300" s="1149"/>
      <c r="H1300" s="1149"/>
      <c r="I1300" s="1149"/>
      <c r="J1300" s="1149"/>
      <c r="K1300" s="1149"/>
      <c r="L1300" s="1149"/>
      <c r="M1300" s="1156"/>
      <c r="N1300" s="1122"/>
      <c r="O1300" s="1149"/>
      <c r="P1300" s="1149"/>
      <c r="Q1300" s="1149"/>
      <c r="R1300" s="1171"/>
      <c r="S1300" s="116"/>
      <c r="T1300" s="117"/>
      <c r="U1300" s="117"/>
      <c r="V1300" s="1233"/>
      <c r="W1300" s="1149"/>
      <c r="X1300" s="1204"/>
      <c r="Y1300" s="108" t="s">
        <v>1807</v>
      </c>
      <c r="Z1300" s="103"/>
      <c r="AA1300" s="103"/>
      <c r="AB1300" s="103"/>
      <c r="AC1300" s="97">
        <v>42671</v>
      </c>
      <c r="AD1300" s="63">
        <v>193388153.56</v>
      </c>
      <c r="AE1300" s="1122"/>
      <c r="AF1300" s="96"/>
      <c r="AG1300" s="96"/>
      <c r="AH1300" s="96"/>
      <c r="AI1300" s="96"/>
      <c r="AJ1300" s="96"/>
      <c r="AK1300" s="96"/>
      <c r="AL1300" s="96"/>
      <c r="AM1300" s="96"/>
      <c r="AN1300" s="1024"/>
      <c r="AO1300" s="1024"/>
      <c r="AQ1300" s="934"/>
    </row>
    <row r="1301" spans="1:43" ht="15" customHeight="1">
      <c r="A1301" s="1030" t="s">
        <v>2190</v>
      </c>
      <c r="B1301" s="1068">
        <v>41829</v>
      </c>
      <c r="C1301" s="1011" t="s">
        <v>31</v>
      </c>
      <c r="D1301" s="1011" t="s">
        <v>1040</v>
      </c>
      <c r="E1301" s="1071">
        <v>10541182</v>
      </c>
      <c r="F1301" s="1071"/>
      <c r="G1301" s="1011" t="s">
        <v>2189</v>
      </c>
      <c r="H1301" s="1011" t="s">
        <v>70</v>
      </c>
      <c r="I1301" s="1011" t="s">
        <v>206</v>
      </c>
      <c r="J1301" s="1011" t="s">
        <v>66</v>
      </c>
      <c r="K1301" s="1011" t="s">
        <v>49</v>
      </c>
      <c r="L1301" s="1011" t="s">
        <v>1819</v>
      </c>
      <c r="M1301" s="1009">
        <v>9</v>
      </c>
      <c r="N1301" s="1065" t="s">
        <v>157</v>
      </c>
      <c r="O1301" s="1062">
        <v>166787899</v>
      </c>
      <c r="P1301" s="1062">
        <v>166787899</v>
      </c>
      <c r="Q1301" s="1062">
        <v>166787899</v>
      </c>
      <c r="R1301" s="1068"/>
      <c r="S1301" s="1092">
        <f>T1301</f>
        <v>166787899</v>
      </c>
      <c r="T1301" s="1092">
        <v>166787899</v>
      </c>
      <c r="U1301" s="1092">
        <f>P1301-T1301</f>
        <v>0</v>
      </c>
      <c r="V1301" s="1043">
        <v>166719260</v>
      </c>
      <c r="W1301" s="1043">
        <v>166719260</v>
      </c>
      <c r="X1301" s="1011" t="s">
        <v>2188</v>
      </c>
      <c r="Y1301" s="108" t="s">
        <v>2187</v>
      </c>
      <c r="Z1301" s="109">
        <v>0</v>
      </c>
      <c r="AA1301" s="109">
        <v>16671926</v>
      </c>
      <c r="AB1301" s="109">
        <f>Z1301+AA1301</f>
        <v>16671926</v>
      </c>
      <c r="AC1301" s="97">
        <v>41991</v>
      </c>
      <c r="AD1301" s="119">
        <v>16671926</v>
      </c>
      <c r="AE1301" s="98" t="s">
        <v>157</v>
      </c>
      <c r="AF1301" s="1043">
        <f>SUM(AD1301:AD1304)</f>
        <v>149433807.13</v>
      </c>
      <c r="AG1301" s="1043">
        <f>AF1301</f>
        <v>149433807.13</v>
      </c>
      <c r="AH1301" s="111">
        <f>AB1301-AD1301</f>
        <v>0</v>
      </c>
      <c r="AI1301" s="1043">
        <f>P1301-AF1301</f>
        <v>17354091.870000005</v>
      </c>
      <c r="AJ1301" s="1062">
        <f>SUM(Z1301:Z1304)-SUM(AD1301:AD1304)</f>
        <v>-1920605.8799999952</v>
      </c>
      <c r="AK1301" s="1062">
        <f>P1301-V1301</f>
        <v>68639</v>
      </c>
      <c r="AL1301" s="1062">
        <f>V1301-SUM(Z1301:Z1304)+AJ1301</f>
        <v>17285452.870000005</v>
      </c>
      <c r="AM1301" s="1062"/>
      <c r="AN1301" s="1108" t="s">
        <v>2186</v>
      </c>
      <c r="AO1301" s="1103" t="s">
        <v>2185</v>
      </c>
    </row>
    <row r="1302" spans="1:43" ht="15" customHeight="1">
      <c r="A1302" s="1031"/>
      <c r="B1302" s="1069"/>
      <c r="C1302" s="1033"/>
      <c r="D1302" s="1033"/>
      <c r="E1302" s="1072"/>
      <c r="F1302" s="1072"/>
      <c r="G1302" s="1033"/>
      <c r="H1302" s="1033"/>
      <c r="I1302" s="1033"/>
      <c r="J1302" s="1033"/>
      <c r="K1302" s="1033"/>
      <c r="L1302" s="1033"/>
      <c r="M1302" s="1039"/>
      <c r="N1302" s="1066"/>
      <c r="O1302" s="1063"/>
      <c r="P1302" s="1063"/>
      <c r="Q1302" s="1063"/>
      <c r="R1302" s="1069"/>
      <c r="S1302" s="1093"/>
      <c r="T1302" s="1093"/>
      <c r="U1302" s="1093"/>
      <c r="V1302" s="1044"/>
      <c r="W1302" s="1044"/>
      <c r="X1302" s="1033"/>
      <c r="Y1302" s="108" t="s">
        <v>2184</v>
      </c>
      <c r="Z1302" s="109">
        <v>94979962.420000002</v>
      </c>
      <c r="AA1302" s="109">
        <v>-9497996.2399999909</v>
      </c>
      <c r="AB1302" s="109">
        <f>Z1302+AA1302</f>
        <v>85481966.180000007</v>
      </c>
      <c r="AC1302" s="97">
        <v>42180</v>
      </c>
      <c r="AD1302" s="119">
        <v>85481966.180000007</v>
      </c>
      <c r="AE1302" s="98" t="s">
        <v>157</v>
      </c>
      <c r="AF1302" s="1044"/>
      <c r="AG1302" s="1044"/>
      <c r="AH1302" s="111">
        <f>AB1302-AD1302</f>
        <v>0</v>
      </c>
      <c r="AI1302" s="1044"/>
      <c r="AJ1302" s="1063"/>
      <c r="AK1302" s="1063"/>
      <c r="AL1302" s="1063"/>
      <c r="AM1302" s="1063"/>
      <c r="AN1302" s="1109"/>
      <c r="AO1302" s="1104"/>
    </row>
    <row r="1303" spans="1:43" ht="15" customHeight="1">
      <c r="A1303" s="1031"/>
      <c r="B1303" s="1069"/>
      <c r="C1303" s="1033"/>
      <c r="D1303" s="1033"/>
      <c r="E1303" s="1072"/>
      <c r="F1303" s="1072"/>
      <c r="G1303" s="1033"/>
      <c r="H1303" s="1033"/>
      <c r="I1303" s="1033"/>
      <c r="J1303" s="1033"/>
      <c r="K1303" s="1033"/>
      <c r="L1303" s="1033"/>
      <c r="M1303" s="1039"/>
      <c r="N1303" s="1066"/>
      <c r="O1303" s="1063"/>
      <c r="P1303" s="1063"/>
      <c r="Q1303" s="1063"/>
      <c r="R1303" s="1069"/>
      <c r="S1303" s="1093"/>
      <c r="T1303" s="1093"/>
      <c r="U1303" s="1093"/>
      <c r="V1303" s="1044"/>
      <c r="W1303" s="1044"/>
      <c r="X1303" s="1033"/>
      <c r="Y1303" s="108" t="s">
        <v>2183</v>
      </c>
      <c r="Z1303" s="109">
        <v>52533238.829999998</v>
      </c>
      <c r="AA1303" s="109">
        <v>-5253323.88</v>
      </c>
      <c r="AB1303" s="109">
        <f>Z1303+AA1303</f>
        <v>47279914.949999996</v>
      </c>
      <c r="AC1303" s="97">
        <v>42303</v>
      </c>
      <c r="AD1303" s="119">
        <v>47279914.950000003</v>
      </c>
      <c r="AE1303" s="98" t="s">
        <v>157</v>
      </c>
      <c r="AF1303" s="1044"/>
      <c r="AG1303" s="1044"/>
      <c r="AH1303" s="111">
        <f>AB1303-AD1303</f>
        <v>0</v>
      </c>
      <c r="AI1303" s="1044"/>
      <c r="AJ1303" s="1063"/>
      <c r="AK1303" s="1063"/>
      <c r="AL1303" s="1063"/>
      <c r="AM1303" s="1063"/>
      <c r="AN1303" s="1109"/>
      <c r="AO1303" s="1104"/>
    </row>
    <row r="1304" spans="1:43" ht="15" customHeight="1">
      <c r="A1304" s="1031"/>
      <c r="B1304" s="1070"/>
      <c r="C1304" s="1012"/>
      <c r="D1304" s="1012"/>
      <c r="E1304" s="1073"/>
      <c r="F1304" s="1073"/>
      <c r="G1304" s="1012"/>
      <c r="H1304" s="1012"/>
      <c r="I1304" s="1012"/>
      <c r="J1304" s="1012"/>
      <c r="K1304" s="1012"/>
      <c r="L1304" s="1012"/>
      <c r="M1304" s="1010"/>
      <c r="N1304" s="1067"/>
      <c r="O1304" s="1064"/>
      <c r="P1304" s="1064"/>
      <c r="Q1304" s="1064"/>
      <c r="R1304" s="1070"/>
      <c r="S1304" s="1094"/>
      <c r="T1304" s="1094"/>
      <c r="U1304" s="1094"/>
      <c r="V1304" s="1045"/>
      <c r="W1304" s="1045"/>
      <c r="X1304" s="1012"/>
      <c r="Y1304" s="108"/>
      <c r="Z1304" s="109"/>
      <c r="AA1304" s="109"/>
      <c r="AB1304" s="109">
        <f>Z1304+AA1304</f>
        <v>0</v>
      </c>
      <c r="AC1304" s="97"/>
      <c r="AD1304" s="119"/>
      <c r="AE1304" s="98"/>
      <c r="AF1304" s="1045"/>
      <c r="AG1304" s="1045"/>
      <c r="AH1304" s="111">
        <f>AB1304-AD1304</f>
        <v>0</v>
      </c>
      <c r="AI1304" s="1045"/>
      <c r="AJ1304" s="1064"/>
      <c r="AK1304" s="1064"/>
      <c r="AL1304" s="1064"/>
      <c r="AM1304" s="1064"/>
      <c r="AN1304" s="1110"/>
      <c r="AO1304" s="1105"/>
    </row>
    <row r="1305" spans="1:43" ht="15" customHeight="1">
      <c r="A1305" s="1031"/>
      <c r="B1305" s="737"/>
      <c r="C1305" s="721"/>
      <c r="D1305" s="721"/>
      <c r="E1305" s="755"/>
      <c r="F1305" s="755"/>
      <c r="G1305" s="721"/>
      <c r="H1305" s="721"/>
      <c r="I1305" s="721"/>
      <c r="J1305" s="721"/>
      <c r="K1305" s="721"/>
      <c r="L1305" s="721"/>
      <c r="M1305" s="1009">
        <v>4464</v>
      </c>
      <c r="N1305" s="1065" t="s">
        <v>137</v>
      </c>
      <c r="O1305" s="724">
        <v>57782021</v>
      </c>
      <c r="P1305" s="724"/>
      <c r="Q1305" s="724"/>
      <c r="R1305" s="737">
        <v>43082</v>
      </c>
      <c r="S1305" s="750"/>
      <c r="T1305" s="750"/>
      <c r="U1305" s="750"/>
      <c r="V1305" s="718">
        <f>+O1305</f>
        <v>57782021</v>
      </c>
      <c r="W1305" s="718"/>
      <c r="X1305" s="721"/>
      <c r="Y1305" s="916" t="s">
        <v>2731</v>
      </c>
      <c r="Z1305" s="751"/>
      <c r="AA1305" s="751">
        <v>5785066</v>
      </c>
      <c r="AB1305" s="751">
        <f>+AA1305</f>
        <v>5785066</v>
      </c>
      <c r="AC1305" s="740">
        <v>43217</v>
      </c>
      <c r="AD1305" s="763">
        <f>+AB1305</f>
        <v>5785066</v>
      </c>
      <c r="AE1305" s="1065" t="s">
        <v>137</v>
      </c>
      <c r="AF1305" s="718"/>
      <c r="AG1305" s="718"/>
      <c r="AH1305" s="734">
        <f>AB1305-AD1305</f>
        <v>0</v>
      </c>
      <c r="AI1305" s="718"/>
      <c r="AJ1305" s="724"/>
      <c r="AK1305" s="724"/>
      <c r="AL1305" s="724"/>
      <c r="AM1305" s="724"/>
      <c r="AN1305" s="731"/>
      <c r="AO1305" s="729"/>
    </row>
    <row r="1306" spans="1:43" ht="15" customHeight="1">
      <c r="A1306" s="1031"/>
      <c r="B1306" s="737"/>
      <c r="C1306" s="721"/>
      <c r="D1306" s="721"/>
      <c r="E1306" s="755"/>
      <c r="F1306" s="755"/>
      <c r="G1306" s="721"/>
      <c r="H1306" s="721"/>
      <c r="I1306" s="721"/>
      <c r="J1306" s="721"/>
      <c r="K1306" s="721"/>
      <c r="L1306" s="721"/>
      <c r="M1306" s="1039"/>
      <c r="N1306" s="1066"/>
      <c r="O1306" s="724"/>
      <c r="P1306" s="724"/>
      <c r="Q1306" s="724"/>
      <c r="R1306" s="737"/>
      <c r="S1306" s="750"/>
      <c r="T1306" s="750"/>
      <c r="U1306" s="750"/>
      <c r="V1306" s="718"/>
      <c r="W1306" s="718"/>
      <c r="X1306" s="721"/>
      <c r="Y1306" s="728"/>
      <c r="Z1306" s="751"/>
      <c r="AA1306" s="751"/>
      <c r="AB1306" s="751"/>
      <c r="AC1306" s="740"/>
      <c r="AD1306" s="763"/>
      <c r="AE1306" s="1066"/>
      <c r="AF1306" s="718"/>
      <c r="AG1306" s="718"/>
      <c r="AH1306" s="734"/>
      <c r="AI1306" s="718"/>
      <c r="AJ1306" s="724"/>
      <c r="AK1306" s="724"/>
      <c r="AL1306" s="724"/>
      <c r="AM1306" s="724"/>
      <c r="AN1306" s="731"/>
      <c r="AO1306" s="729"/>
    </row>
    <row r="1307" spans="1:43" ht="15" customHeight="1">
      <c r="A1307" s="1031"/>
      <c r="B1307" s="737"/>
      <c r="C1307" s="721"/>
      <c r="D1307" s="721"/>
      <c r="E1307" s="755"/>
      <c r="F1307" s="755"/>
      <c r="G1307" s="721"/>
      <c r="H1307" s="721"/>
      <c r="I1307" s="721"/>
      <c r="J1307" s="721"/>
      <c r="K1307" s="721"/>
      <c r="L1307" s="721"/>
      <c r="M1307" s="1039"/>
      <c r="N1307" s="1066"/>
      <c r="O1307" s="724"/>
      <c r="P1307" s="724"/>
      <c r="Q1307" s="724"/>
      <c r="R1307" s="737"/>
      <c r="S1307" s="750"/>
      <c r="T1307" s="750"/>
      <c r="U1307" s="750"/>
      <c r="V1307" s="718"/>
      <c r="W1307" s="718"/>
      <c r="X1307" s="721"/>
      <c r="Y1307" s="728"/>
      <c r="Z1307" s="751"/>
      <c r="AA1307" s="751"/>
      <c r="AB1307" s="751"/>
      <c r="AC1307" s="740"/>
      <c r="AD1307" s="763"/>
      <c r="AE1307" s="1066"/>
      <c r="AF1307" s="718"/>
      <c r="AG1307" s="718"/>
      <c r="AH1307" s="734"/>
      <c r="AI1307" s="718"/>
      <c r="AJ1307" s="724"/>
      <c r="AK1307" s="724"/>
      <c r="AL1307" s="724"/>
      <c r="AM1307" s="724"/>
      <c r="AN1307" s="731"/>
      <c r="AO1307" s="729"/>
    </row>
    <row r="1308" spans="1:43" ht="15" customHeight="1">
      <c r="A1308" s="1032"/>
      <c r="B1308" s="737"/>
      <c r="C1308" s="721"/>
      <c r="D1308" s="721"/>
      <c r="E1308" s="755"/>
      <c r="F1308" s="755"/>
      <c r="G1308" s="721"/>
      <c r="H1308" s="721"/>
      <c r="I1308" s="721"/>
      <c r="J1308" s="721"/>
      <c r="K1308" s="721"/>
      <c r="L1308" s="721"/>
      <c r="M1308" s="1010"/>
      <c r="N1308" s="1067"/>
      <c r="O1308" s="724"/>
      <c r="P1308" s="724"/>
      <c r="Q1308" s="724"/>
      <c r="R1308" s="737"/>
      <c r="S1308" s="750"/>
      <c r="T1308" s="750"/>
      <c r="U1308" s="750"/>
      <c r="V1308" s="718"/>
      <c r="W1308" s="718"/>
      <c r="X1308" s="721"/>
      <c r="Y1308" s="728"/>
      <c r="Z1308" s="751"/>
      <c r="AA1308" s="751"/>
      <c r="AB1308" s="751"/>
      <c r="AC1308" s="740"/>
      <c r="AD1308" s="763"/>
      <c r="AE1308" s="1067"/>
      <c r="AF1308" s="718"/>
      <c r="AG1308" s="718"/>
      <c r="AH1308" s="734"/>
      <c r="AI1308" s="718"/>
      <c r="AJ1308" s="724"/>
      <c r="AK1308" s="724"/>
      <c r="AL1308" s="724"/>
      <c r="AM1308" s="724"/>
      <c r="AN1308" s="731"/>
      <c r="AO1308" s="729"/>
    </row>
    <row r="1309" spans="1:43" ht="15" customHeight="1">
      <c r="A1309" s="1003" t="s">
        <v>1811</v>
      </c>
      <c r="B1309" s="97">
        <v>41883</v>
      </c>
      <c r="C1309" s="113" t="s">
        <v>36</v>
      </c>
      <c r="D1309" s="113" t="s">
        <v>1812</v>
      </c>
      <c r="E1309" s="114">
        <v>19244039</v>
      </c>
      <c r="F1309" s="114">
        <v>3</v>
      </c>
      <c r="G1309" s="113" t="s">
        <v>2872</v>
      </c>
      <c r="H1309" s="113" t="s">
        <v>70</v>
      </c>
      <c r="I1309" s="113" t="s">
        <v>206</v>
      </c>
      <c r="J1309" s="113" t="s">
        <v>66</v>
      </c>
      <c r="K1309" s="113" t="s">
        <v>49</v>
      </c>
      <c r="L1309" s="113" t="s">
        <v>1788</v>
      </c>
      <c r="M1309" s="102">
        <v>268</v>
      </c>
      <c r="N1309" s="108" t="s">
        <v>7</v>
      </c>
      <c r="O1309" s="109">
        <v>40000000</v>
      </c>
      <c r="P1309" s="109">
        <v>40000000</v>
      </c>
      <c r="Q1309" s="109">
        <v>40000000</v>
      </c>
      <c r="R1309" s="97">
        <v>41234</v>
      </c>
      <c r="S1309" s="110">
        <f>T1309</f>
        <v>40000000</v>
      </c>
      <c r="T1309" s="109">
        <v>40000000</v>
      </c>
      <c r="U1309" s="109">
        <f>P1309-T1309</f>
        <v>0</v>
      </c>
      <c r="V1309" s="111">
        <v>39767700</v>
      </c>
      <c r="W1309" s="109">
        <v>39767700</v>
      </c>
      <c r="X1309" s="113" t="s">
        <v>1771</v>
      </c>
      <c r="Y1309" s="108"/>
      <c r="Z1309" s="109"/>
      <c r="AA1309" s="109"/>
      <c r="AB1309" s="109"/>
      <c r="AC1309" s="97"/>
      <c r="AD1309" s="119"/>
      <c r="AE1309" s="924" t="s">
        <v>7</v>
      </c>
      <c r="AF1309" s="111"/>
      <c r="AG1309" s="111"/>
      <c r="AH1309" s="111"/>
      <c r="AI1309" s="111"/>
      <c r="AJ1309" s="109">
        <f>Z1309-AD1309</f>
        <v>0</v>
      </c>
      <c r="AK1309" s="109">
        <f>P1309-V1309</f>
        <v>232300</v>
      </c>
      <c r="AL1309" s="109">
        <f>V1309-Z1309</f>
        <v>39767700</v>
      </c>
      <c r="AM1309" s="109"/>
      <c r="AN1309" s="112"/>
      <c r="AO1309" s="105" t="s">
        <v>1814</v>
      </c>
    </row>
    <row r="1310" spans="1:43" ht="15" customHeight="1">
      <c r="A1310" s="1030" t="s">
        <v>1815</v>
      </c>
      <c r="B1310" s="1068">
        <v>41947</v>
      </c>
      <c r="C1310" s="1011" t="s">
        <v>31</v>
      </c>
      <c r="D1310" s="1011" t="s">
        <v>1816</v>
      </c>
      <c r="E1310" s="1071">
        <v>900786189</v>
      </c>
      <c r="F1310" s="1071">
        <v>0</v>
      </c>
      <c r="G1310" s="1011" t="s">
        <v>1817</v>
      </c>
      <c r="H1310" s="1011" t="s">
        <v>71</v>
      </c>
      <c r="I1310" s="1011" t="s">
        <v>1221</v>
      </c>
      <c r="J1310" s="1011" t="s">
        <v>66</v>
      </c>
      <c r="K1310" s="1011" t="s">
        <v>49</v>
      </c>
      <c r="L1310" s="1011" t="s">
        <v>1819</v>
      </c>
      <c r="M1310" s="1009">
        <v>304</v>
      </c>
      <c r="N1310" s="1065" t="s">
        <v>137</v>
      </c>
      <c r="O1310" s="1062">
        <v>240346167</v>
      </c>
      <c r="P1310" s="1062">
        <f>O1310+O1314</f>
        <v>1880113881</v>
      </c>
      <c r="Q1310" s="1062">
        <f>P1310+P1318</f>
        <v>2289583598</v>
      </c>
      <c r="R1310" s="1068">
        <v>41759</v>
      </c>
      <c r="S1310" s="1092">
        <f>T1310+T1314</f>
        <v>1880113881</v>
      </c>
      <c r="T1310" s="1062">
        <v>240346167</v>
      </c>
      <c r="U1310" s="1062">
        <f>O1310-T1310</f>
        <v>0</v>
      </c>
      <c r="V1310" s="1043">
        <v>235664483.11000001</v>
      </c>
      <c r="W1310" s="1062">
        <v>2244984981</v>
      </c>
      <c r="X1310" s="1011" t="s">
        <v>1818</v>
      </c>
      <c r="Y1310" s="1065" t="s">
        <v>1820</v>
      </c>
      <c r="Z1310" s="109">
        <v>0</v>
      </c>
      <c r="AA1310" s="109">
        <v>47132896.619999997</v>
      </c>
      <c r="AB1310" s="109">
        <f>Z1310+AA1310</f>
        <v>47132896.619999997</v>
      </c>
      <c r="AC1310" s="1068">
        <v>42031</v>
      </c>
      <c r="AD1310" s="119">
        <v>47132896.619999997</v>
      </c>
      <c r="AE1310" s="98" t="s">
        <v>137</v>
      </c>
      <c r="AF1310" s="1043">
        <f>SUM(AD1310:AD1317)</f>
        <v>1673589260</v>
      </c>
      <c r="AG1310" s="111"/>
      <c r="AH1310" s="111"/>
      <c r="AI1310" s="1043"/>
      <c r="AJ1310" s="109"/>
      <c r="AK1310" s="1062"/>
      <c r="AL1310" s="1062"/>
      <c r="AM1310" s="1062"/>
      <c r="AN1310" s="1108"/>
      <c r="AO1310" s="1103" t="s">
        <v>1666</v>
      </c>
    </row>
    <row r="1311" spans="1:43" ht="15" customHeight="1">
      <c r="A1311" s="1031"/>
      <c r="B1311" s="1069"/>
      <c r="C1311" s="1033"/>
      <c r="D1311" s="1033"/>
      <c r="E1311" s="1072"/>
      <c r="F1311" s="1072"/>
      <c r="G1311" s="1033"/>
      <c r="H1311" s="1033"/>
      <c r="I1311" s="1033"/>
      <c r="J1311" s="1033"/>
      <c r="K1311" s="1033"/>
      <c r="L1311" s="1033"/>
      <c r="M1311" s="1039"/>
      <c r="N1311" s="1066"/>
      <c r="O1311" s="1063"/>
      <c r="P1311" s="1063"/>
      <c r="Q1311" s="1063"/>
      <c r="R1311" s="1069"/>
      <c r="S1311" s="1093"/>
      <c r="T1311" s="1063"/>
      <c r="U1311" s="1063"/>
      <c r="V1311" s="1044"/>
      <c r="W1311" s="1063"/>
      <c r="X1311" s="1033"/>
      <c r="Y1311" s="1067"/>
      <c r="Z1311" s="109">
        <v>0</v>
      </c>
      <c r="AA1311" s="109">
        <v>321565361.80000001</v>
      </c>
      <c r="AB1311" s="109">
        <f t="shared" ref="AB1311:AB1321" si="115">Z1311+AA1311</f>
        <v>321565361.80000001</v>
      </c>
      <c r="AC1311" s="1070"/>
      <c r="AD1311" s="119">
        <v>321565361.80000001</v>
      </c>
      <c r="AE1311" s="98" t="s">
        <v>7</v>
      </c>
      <c r="AF1311" s="1044"/>
      <c r="AG1311" s="111"/>
      <c r="AH1311" s="111"/>
      <c r="AI1311" s="1044"/>
      <c r="AJ1311" s="109"/>
      <c r="AK1311" s="1063"/>
      <c r="AL1311" s="1063"/>
      <c r="AM1311" s="1063"/>
      <c r="AN1311" s="1109"/>
      <c r="AO1311" s="1104"/>
    </row>
    <row r="1312" spans="1:43" ht="15" customHeight="1">
      <c r="A1312" s="1031"/>
      <c r="B1312" s="1069"/>
      <c r="C1312" s="1033"/>
      <c r="D1312" s="1033"/>
      <c r="E1312" s="1072"/>
      <c r="F1312" s="1072"/>
      <c r="G1312" s="1033"/>
      <c r="H1312" s="1033"/>
      <c r="I1312" s="1033"/>
      <c r="J1312" s="1033"/>
      <c r="K1312" s="1033"/>
      <c r="L1312" s="1033"/>
      <c r="M1312" s="1039"/>
      <c r="N1312" s="1066"/>
      <c r="O1312" s="1063"/>
      <c r="P1312" s="1063"/>
      <c r="Q1312" s="1063"/>
      <c r="R1312" s="1069"/>
      <c r="S1312" s="1093"/>
      <c r="T1312" s="1063"/>
      <c r="U1312" s="1063"/>
      <c r="V1312" s="1044"/>
      <c r="W1312" s="1063"/>
      <c r="X1312" s="1033"/>
      <c r="Y1312" s="1065" t="s">
        <v>1821</v>
      </c>
      <c r="Z1312" s="109">
        <v>134257641.52000001</v>
      </c>
      <c r="AA1312" s="109">
        <v>-26851527.82</v>
      </c>
      <c r="AB1312" s="109">
        <f t="shared" si="115"/>
        <v>107406113.70000002</v>
      </c>
      <c r="AC1312" s="1068">
        <v>42164</v>
      </c>
      <c r="AD1312" s="119">
        <v>107406113.7</v>
      </c>
      <c r="AE1312" s="98" t="s">
        <v>137</v>
      </c>
      <c r="AF1312" s="1044"/>
      <c r="AG1312" s="111"/>
      <c r="AH1312" s="111"/>
      <c r="AI1312" s="1044"/>
      <c r="AJ1312" s="109"/>
      <c r="AK1312" s="1063"/>
      <c r="AL1312" s="1063"/>
      <c r="AM1312" s="1063"/>
      <c r="AN1312" s="1109"/>
      <c r="AO1312" s="1104"/>
    </row>
    <row r="1313" spans="1:41" ht="15" customHeight="1">
      <c r="A1313" s="1031"/>
      <c r="B1313" s="1069"/>
      <c r="C1313" s="1033"/>
      <c r="D1313" s="1033"/>
      <c r="E1313" s="1072"/>
      <c r="F1313" s="1072"/>
      <c r="G1313" s="1033"/>
      <c r="H1313" s="1033"/>
      <c r="I1313" s="1033"/>
      <c r="J1313" s="1033"/>
      <c r="K1313" s="1033"/>
      <c r="L1313" s="1033"/>
      <c r="M1313" s="1039"/>
      <c r="N1313" s="1067"/>
      <c r="O1313" s="1064"/>
      <c r="P1313" s="1063"/>
      <c r="Q1313" s="1063"/>
      <c r="R1313" s="1069"/>
      <c r="S1313" s="1093"/>
      <c r="T1313" s="1064"/>
      <c r="U1313" s="1064"/>
      <c r="V1313" s="1045"/>
      <c r="W1313" s="1063"/>
      <c r="X1313" s="1033"/>
      <c r="Y1313" s="1067"/>
      <c r="Z1313" s="109">
        <v>915976105.09000003</v>
      </c>
      <c r="AA1313" s="109">
        <v>-183195221.11000001</v>
      </c>
      <c r="AB1313" s="109">
        <f t="shared" si="115"/>
        <v>732780883.98000002</v>
      </c>
      <c r="AC1313" s="1070"/>
      <c r="AD1313" s="119">
        <v>732780883.98000002</v>
      </c>
      <c r="AE1313" s="98" t="s">
        <v>7</v>
      </c>
      <c r="AF1313" s="1044"/>
      <c r="AG1313" s="111"/>
      <c r="AH1313" s="111"/>
      <c r="AI1313" s="1045"/>
      <c r="AJ1313" s="109"/>
      <c r="AK1313" s="1063"/>
      <c r="AL1313" s="1063"/>
      <c r="AM1313" s="1063"/>
      <c r="AN1313" s="1109"/>
      <c r="AO1313" s="1104"/>
    </row>
    <row r="1314" spans="1:41" ht="15" customHeight="1">
      <c r="A1314" s="1031"/>
      <c r="B1314" s="1069"/>
      <c r="C1314" s="1033"/>
      <c r="D1314" s="1033"/>
      <c r="E1314" s="1072"/>
      <c r="F1314" s="1072"/>
      <c r="G1314" s="1033"/>
      <c r="H1314" s="1033"/>
      <c r="I1314" s="1033"/>
      <c r="J1314" s="1033"/>
      <c r="K1314" s="1033"/>
      <c r="L1314" s="1033"/>
      <c r="M1314" s="1039"/>
      <c r="N1314" s="1065" t="s">
        <v>7</v>
      </c>
      <c r="O1314" s="1062">
        <v>1639767714</v>
      </c>
      <c r="P1314" s="1063"/>
      <c r="Q1314" s="1063"/>
      <c r="R1314" s="1069"/>
      <c r="S1314" s="1093"/>
      <c r="T1314" s="1062">
        <v>1639767714</v>
      </c>
      <c r="U1314" s="1062">
        <f>O1314-T1314</f>
        <v>0</v>
      </c>
      <c r="V1314" s="1043">
        <v>1607826808.98</v>
      </c>
      <c r="W1314" s="1063"/>
      <c r="X1314" s="1033"/>
      <c r="Y1314" s="1065" t="s">
        <v>1822</v>
      </c>
      <c r="Z1314" s="109">
        <f>AD1314*100/80</f>
        <v>74257354.25</v>
      </c>
      <c r="AA1314" s="109">
        <v>-14851470.85</v>
      </c>
      <c r="AB1314" s="109">
        <f t="shared" si="115"/>
        <v>59405883.399999999</v>
      </c>
      <c r="AC1314" s="1068">
        <v>42261</v>
      </c>
      <c r="AD1314" s="119">
        <v>59405883.399999999</v>
      </c>
      <c r="AE1314" s="98" t="s">
        <v>137</v>
      </c>
      <c r="AF1314" s="1044"/>
      <c r="AG1314" s="111"/>
      <c r="AH1314" s="111"/>
      <c r="AI1314" s="1043"/>
      <c r="AJ1314" s="109"/>
      <c r="AK1314" s="1063"/>
      <c r="AL1314" s="1063"/>
      <c r="AM1314" s="1063"/>
      <c r="AN1314" s="1109"/>
      <c r="AO1314" s="1104"/>
    </row>
    <row r="1315" spans="1:41" ht="15" customHeight="1">
      <c r="A1315" s="1031"/>
      <c r="B1315" s="1069"/>
      <c r="C1315" s="1033"/>
      <c r="D1315" s="1033"/>
      <c r="E1315" s="1072"/>
      <c r="F1315" s="1072"/>
      <c r="G1315" s="1033"/>
      <c r="H1315" s="1033"/>
      <c r="I1315" s="1033"/>
      <c r="J1315" s="1033"/>
      <c r="K1315" s="1033"/>
      <c r="L1315" s="1033"/>
      <c r="M1315" s="1039"/>
      <c r="N1315" s="1066"/>
      <c r="O1315" s="1063"/>
      <c r="P1315" s="1063"/>
      <c r="Q1315" s="1063"/>
      <c r="R1315" s="1069"/>
      <c r="S1315" s="1093"/>
      <c r="T1315" s="1063"/>
      <c r="U1315" s="1063"/>
      <c r="V1315" s="1044"/>
      <c r="W1315" s="1063"/>
      <c r="X1315" s="1033"/>
      <c r="Y1315" s="1067"/>
      <c r="Z1315" s="109">
        <f>AD1315*100/80</f>
        <v>506622650.625</v>
      </c>
      <c r="AA1315" s="109">
        <v>-101324530.125</v>
      </c>
      <c r="AB1315" s="109">
        <f t="shared" si="115"/>
        <v>405298120.5</v>
      </c>
      <c r="AC1315" s="1070"/>
      <c r="AD1315" s="119">
        <v>405298120.5</v>
      </c>
      <c r="AE1315" s="98" t="s">
        <v>7</v>
      </c>
      <c r="AF1315" s="1044"/>
      <c r="AG1315" s="111"/>
      <c r="AH1315" s="111"/>
      <c r="AI1315" s="1044"/>
      <c r="AJ1315" s="109"/>
      <c r="AK1315" s="1063"/>
      <c r="AL1315" s="1063"/>
      <c r="AM1315" s="1063"/>
      <c r="AN1315" s="1109"/>
      <c r="AO1315" s="1104"/>
    </row>
    <row r="1316" spans="1:41" ht="15" customHeight="1">
      <c r="A1316" s="1031"/>
      <c r="B1316" s="1069"/>
      <c r="C1316" s="1033"/>
      <c r="D1316" s="1033"/>
      <c r="E1316" s="1072"/>
      <c r="F1316" s="1072"/>
      <c r="G1316" s="1033"/>
      <c r="H1316" s="1033"/>
      <c r="I1316" s="1033"/>
      <c r="J1316" s="1033"/>
      <c r="K1316" s="1033"/>
      <c r="L1316" s="1033"/>
      <c r="M1316" s="1039"/>
      <c r="N1316" s="1066"/>
      <c r="O1316" s="1063"/>
      <c r="P1316" s="1063"/>
      <c r="Q1316" s="1063"/>
      <c r="R1316" s="1069"/>
      <c r="S1316" s="1093"/>
      <c r="T1316" s="1063"/>
      <c r="U1316" s="1063"/>
      <c r="V1316" s="1044"/>
      <c r="W1316" s="1063"/>
      <c r="X1316" s="1033"/>
      <c r="Y1316" s="1065"/>
      <c r="Z1316" s="109"/>
      <c r="AA1316" s="109"/>
      <c r="AB1316" s="109">
        <f t="shared" si="115"/>
        <v>0</v>
      </c>
      <c r="AC1316" s="97"/>
      <c r="AD1316" s="119"/>
      <c r="AE1316" s="98"/>
      <c r="AF1316" s="1044"/>
      <c r="AG1316" s="111"/>
      <c r="AH1316" s="111"/>
      <c r="AI1316" s="1044"/>
      <c r="AJ1316" s="109"/>
      <c r="AK1316" s="1063"/>
      <c r="AL1316" s="1063"/>
      <c r="AM1316" s="1063"/>
      <c r="AN1316" s="1109"/>
      <c r="AO1316" s="1104"/>
    </row>
    <row r="1317" spans="1:41" ht="15" customHeight="1">
      <c r="A1317" s="1031"/>
      <c r="B1317" s="1069"/>
      <c r="C1317" s="1033"/>
      <c r="D1317" s="1033"/>
      <c r="E1317" s="1072"/>
      <c r="F1317" s="1072"/>
      <c r="G1317" s="1033"/>
      <c r="H1317" s="1033"/>
      <c r="I1317" s="1033"/>
      <c r="J1317" s="1033"/>
      <c r="K1317" s="1033"/>
      <c r="L1317" s="1033"/>
      <c r="M1317" s="1010"/>
      <c r="N1317" s="1067"/>
      <c r="O1317" s="1064"/>
      <c r="P1317" s="1064"/>
      <c r="Q1317" s="1063"/>
      <c r="R1317" s="1070"/>
      <c r="S1317" s="1094"/>
      <c r="T1317" s="1064"/>
      <c r="U1317" s="1064"/>
      <c r="V1317" s="1045"/>
      <c r="W1317" s="1063"/>
      <c r="X1317" s="1033"/>
      <c r="Y1317" s="1067"/>
      <c r="Z1317" s="109"/>
      <c r="AA1317" s="109"/>
      <c r="AB1317" s="109">
        <f t="shared" si="115"/>
        <v>0</v>
      </c>
      <c r="AC1317" s="97"/>
      <c r="AD1317" s="119"/>
      <c r="AE1317" s="98"/>
      <c r="AF1317" s="1045"/>
      <c r="AG1317" s="111"/>
      <c r="AH1317" s="111"/>
      <c r="AI1317" s="1045"/>
      <c r="AJ1317" s="109"/>
      <c r="AK1317" s="1064"/>
      <c r="AL1317" s="1064"/>
      <c r="AM1317" s="1064"/>
      <c r="AN1317" s="1109"/>
      <c r="AO1317" s="1104"/>
    </row>
    <row r="1318" spans="1:41" ht="15" customHeight="1">
      <c r="A1318" s="1031"/>
      <c r="B1318" s="1069"/>
      <c r="C1318" s="1033"/>
      <c r="D1318" s="1033"/>
      <c r="E1318" s="1072"/>
      <c r="F1318" s="1072"/>
      <c r="G1318" s="1033"/>
      <c r="H1318" s="1033"/>
      <c r="I1318" s="1033"/>
      <c r="J1318" s="1033"/>
      <c r="K1318" s="1033"/>
      <c r="L1318" s="1033"/>
      <c r="M1318" s="1009">
        <v>8</v>
      </c>
      <c r="N1318" s="1065" t="s">
        <v>157</v>
      </c>
      <c r="O1318" s="1062">
        <v>409469717</v>
      </c>
      <c r="P1318" s="1062">
        <v>409469717</v>
      </c>
      <c r="Q1318" s="1063"/>
      <c r="R1318" s="1068">
        <v>41759</v>
      </c>
      <c r="S1318" s="1092">
        <f>T1318</f>
        <v>409469717</v>
      </c>
      <c r="T1318" s="1092">
        <v>409469717</v>
      </c>
      <c r="U1318" s="1092">
        <f>O1318-T1318</f>
        <v>0</v>
      </c>
      <c r="V1318" s="1043">
        <v>401493688.91000003</v>
      </c>
      <c r="W1318" s="1063"/>
      <c r="X1318" s="1033"/>
      <c r="Y1318" s="108" t="s">
        <v>1820</v>
      </c>
      <c r="Z1318" s="109">
        <v>0</v>
      </c>
      <c r="AA1318" s="109">
        <v>80298737.780000001</v>
      </c>
      <c r="AB1318" s="109">
        <f t="shared" si="115"/>
        <v>80298737.780000001</v>
      </c>
      <c r="AC1318" s="97">
        <v>42031</v>
      </c>
      <c r="AD1318" s="119">
        <v>80298737.780000001</v>
      </c>
      <c r="AE1318" s="98" t="s">
        <v>157</v>
      </c>
      <c r="AF1318" s="1043">
        <f>SUM(AD1318:AD1321)</f>
        <v>364490750.80000001</v>
      </c>
      <c r="AG1318" s="111"/>
      <c r="AH1318" s="111"/>
      <c r="AI1318" s="1043"/>
      <c r="AJ1318" s="109"/>
      <c r="AK1318" s="1062"/>
      <c r="AL1318" s="1062"/>
      <c r="AM1318" s="1062"/>
      <c r="AN1318" s="1109"/>
      <c r="AO1318" s="1104"/>
    </row>
    <row r="1319" spans="1:41" ht="15" customHeight="1">
      <c r="A1319" s="1031"/>
      <c r="B1319" s="1069"/>
      <c r="C1319" s="1033"/>
      <c r="D1319" s="1033"/>
      <c r="E1319" s="1072"/>
      <c r="F1319" s="1072"/>
      <c r="G1319" s="1033"/>
      <c r="H1319" s="1033"/>
      <c r="I1319" s="1033"/>
      <c r="J1319" s="1033"/>
      <c r="K1319" s="1033"/>
      <c r="L1319" s="1033"/>
      <c r="M1319" s="1039"/>
      <c r="N1319" s="1066"/>
      <c r="O1319" s="1063"/>
      <c r="P1319" s="1063"/>
      <c r="Q1319" s="1063"/>
      <c r="R1319" s="1069"/>
      <c r="S1319" s="1093"/>
      <c r="T1319" s="1093"/>
      <c r="U1319" s="1093"/>
      <c r="V1319" s="1044"/>
      <c r="W1319" s="1063"/>
      <c r="X1319" s="1033"/>
      <c r="Y1319" s="108" t="s">
        <v>1821</v>
      </c>
      <c r="Z1319" s="109">
        <v>228730248.38999999</v>
      </c>
      <c r="AA1319" s="109">
        <v>-45746050.07</v>
      </c>
      <c r="AB1319" s="109">
        <f t="shared" si="115"/>
        <v>182984198.31999999</v>
      </c>
      <c r="AC1319" s="97">
        <v>42164</v>
      </c>
      <c r="AD1319" s="119">
        <v>182984198.31999999</v>
      </c>
      <c r="AE1319" s="98" t="s">
        <v>157</v>
      </c>
      <c r="AF1319" s="1044"/>
      <c r="AG1319" s="111"/>
      <c r="AH1319" s="111"/>
      <c r="AI1319" s="1044"/>
      <c r="AJ1319" s="109"/>
      <c r="AK1319" s="1063"/>
      <c r="AL1319" s="1063"/>
      <c r="AM1319" s="1063"/>
      <c r="AN1319" s="1109"/>
      <c r="AO1319" s="1104"/>
    </row>
    <row r="1320" spans="1:41" ht="15" customHeight="1">
      <c r="A1320" s="1031"/>
      <c r="B1320" s="1069"/>
      <c r="C1320" s="1033"/>
      <c r="D1320" s="1033"/>
      <c r="E1320" s="1072"/>
      <c r="F1320" s="1072"/>
      <c r="G1320" s="1033"/>
      <c r="H1320" s="1033"/>
      <c r="I1320" s="1033"/>
      <c r="J1320" s="1033"/>
      <c r="K1320" s="1033"/>
      <c r="L1320" s="1033"/>
      <c r="M1320" s="1039"/>
      <c r="N1320" s="1066"/>
      <c r="O1320" s="1063"/>
      <c r="P1320" s="1063"/>
      <c r="Q1320" s="1063"/>
      <c r="R1320" s="1069"/>
      <c r="S1320" s="1093"/>
      <c r="T1320" s="1093"/>
      <c r="U1320" s="1093"/>
      <c r="V1320" s="1044"/>
      <c r="W1320" s="1063"/>
      <c r="X1320" s="1033"/>
      <c r="Y1320" s="108" t="s">
        <v>1822</v>
      </c>
      <c r="Z1320" s="109">
        <v>126509768.375</v>
      </c>
      <c r="AA1320" s="109">
        <v>-25301953.675000001</v>
      </c>
      <c r="AB1320" s="109">
        <f t="shared" si="115"/>
        <v>101207814.7</v>
      </c>
      <c r="AC1320" s="97">
        <v>42261</v>
      </c>
      <c r="AD1320" s="119">
        <v>101207814.7</v>
      </c>
      <c r="AE1320" s="98" t="s">
        <v>157</v>
      </c>
      <c r="AF1320" s="1044"/>
      <c r="AG1320" s="111"/>
      <c r="AH1320" s="111"/>
      <c r="AI1320" s="1044"/>
      <c r="AJ1320" s="109"/>
      <c r="AK1320" s="1063"/>
      <c r="AL1320" s="1063"/>
      <c r="AM1320" s="1063"/>
      <c r="AN1320" s="1109"/>
      <c r="AO1320" s="1104"/>
    </row>
    <row r="1321" spans="1:41" ht="15" customHeight="1">
      <c r="A1321" s="1031"/>
      <c r="B1321" s="1070"/>
      <c r="C1321" s="1012"/>
      <c r="D1321" s="1012"/>
      <c r="E1321" s="1073"/>
      <c r="F1321" s="1073"/>
      <c r="G1321" s="1012"/>
      <c r="H1321" s="1012"/>
      <c r="I1321" s="1012"/>
      <c r="J1321" s="1012"/>
      <c r="K1321" s="1012"/>
      <c r="L1321" s="1012"/>
      <c r="M1321" s="1010"/>
      <c r="N1321" s="1067"/>
      <c r="O1321" s="1064"/>
      <c r="P1321" s="1064"/>
      <c r="Q1321" s="1064"/>
      <c r="R1321" s="1070"/>
      <c r="S1321" s="1094"/>
      <c r="T1321" s="1094"/>
      <c r="U1321" s="1094"/>
      <c r="V1321" s="1045"/>
      <c r="W1321" s="1064"/>
      <c r="X1321" s="1012"/>
      <c r="Y1321" s="108"/>
      <c r="Z1321" s="109"/>
      <c r="AA1321" s="109"/>
      <c r="AB1321" s="109">
        <f t="shared" si="115"/>
        <v>0</v>
      </c>
      <c r="AC1321" s="97"/>
      <c r="AD1321" s="119"/>
      <c r="AE1321" s="98"/>
      <c r="AF1321" s="1045"/>
      <c r="AG1321" s="111"/>
      <c r="AH1321" s="111"/>
      <c r="AI1321" s="1045"/>
      <c r="AJ1321" s="109"/>
      <c r="AK1321" s="1064"/>
      <c r="AL1321" s="1064"/>
      <c r="AM1321" s="1064"/>
      <c r="AN1321" s="1110"/>
      <c r="AO1321" s="1105"/>
    </row>
    <row r="1322" spans="1:41" ht="15" customHeight="1">
      <c r="A1322" s="1031"/>
      <c r="B1322" s="736"/>
      <c r="C1322" s="720"/>
      <c r="D1322" s="720"/>
      <c r="E1322" s="756"/>
      <c r="F1322" s="756"/>
      <c r="G1322" s="720"/>
      <c r="H1322" s="720"/>
      <c r="I1322" s="720"/>
      <c r="J1322" s="720"/>
      <c r="K1322" s="720"/>
      <c r="L1322" s="720"/>
      <c r="M1322" s="1009">
        <v>4463</v>
      </c>
      <c r="N1322" s="1065" t="s">
        <v>137</v>
      </c>
      <c r="O1322" s="723">
        <v>1373391990</v>
      </c>
      <c r="P1322" s="723"/>
      <c r="Q1322" s="723"/>
      <c r="R1322" s="1068">
        <v>43082</v>
      </c>
      <c r="S1322" s="754"/>
      <c r="T1322" s="754"/>
      <c r="U1322" s="754"/>
      <c r="V1322" s="717">
        <v>1373391990</v>
      </c>
      <c r="W1322" s="723"/>
      <c r="X1322" s="720"/>
      <c r="Y1322" s="916" t="s">
        <v>2731</v>
      </c>
      <c r="Z1322" s="751"/>
      <c r="AA1322" s="751">
        <v>274678398</v>
      </c>
      <c r="AB1322" s="751">
        <f>+AA1322</f>
        <v>274678398</v>
      </c>
      <c r="AC1322" s="740">
        <v>43210</v>
      </c>
      <c r="AD1322" s="763">
        <f>+AB1322</f>
        <v>274678398</v>
      </c>
      <c r="AE1322" s="1065" t="s">
        <v>137</v>
      </c>
      <c r="AF1322" s="1043">
        <f>SUM(AD1322:AD1324)</f>
        <v>274678398</v>
      </c>
      <c r="AG1322" s="734"/>
      <c r="AH1322" s="734"/>
      <c r="AI1322" s="718"/>
      <c r="AJ1322" s="722"/>
      <c r="AK1322" s="723"/>
      <c r="AL1322" s="723"/>
      <c r="AM1322" s="723"/>
      <c r="AN1322" s="753"/>
      <c r="AO1322" s="752"/>
    </row>
    <row r="1323" spans="1:41" ht="15" customHeight="1">
      <c r="A1323" s="1031"/>
      <c r="B1323" s="736"/>
      <c r="C1323" s="720"/>
      <c r="D1323" s="720"/>
      <c r="E1323" s="756"/>
      <c r="F1323" s="756"/>
      <c r="G1323" s="720"/>
      <c r="H1323" s="720"/>
      <c r="I1323" s="720"/>
      <c r="J1323" s="720"/>
      <c r="K1323" s="720"/>
      <c r="L1323" s="720"/>
      <c r="M1323" s="1039"/>
      <c r="N1323" s="1066"/>
      <c r="O1323" s="723"/>
      <c r="P1323" s="723"/>
      <c r="Q1323" s="723"/>
      <c r="R1323" s="1069"/>
      <c r="S1323" s="754"/>
      <c r="T1323" s="754"/>
      <c r="U1323" s="754"/>
      <c r="V1323" s="717"/>
      <c r="W1323" s="723"/>
      <c r="X1323" s="720"/>
      <c r="Y1323" s="728"/>
      <c r="Z1323" s="751"/>
      <c r="AA1323" s="751"/>
      <c r="AB1323" s="751"/>
      <c r="AC1323" s="740"/>
      <c r="AD1323" s="763"/>
      <c r="AE1323" s="1066"/>
      <c r="AF1323" s="1044"/>
      <c r="AG1323" s="734"/>
      <c r="AH1323" s="734"/>
      <c r="AI1323" s="718"/>
      <c r="AJ1323" s="722"/>
      <c r="AK1323" s="723"/>
      <c r="AL1323" s="723"/>
      <c r="AM1323" s="723"/>
      <c r="AN1323" s="753"/>
      <c r="AO1323" s="752"/>
    </row>
    <row r="1324" spans="1:41" ht="15" customHeight="1">
      <c r="A1324" s="1032"/>
      <c r="B1324" s="736"/>
      <c r="C1324" s="720"/>
      <c r="D1324" s="720"/>
      <c r="E1324" s="756"/>
      <c r="F1324" s="756"/>
      <c r="G1324" s="720"/>
      <c r="H1324" s="720"/>
      <c r="I1324" s="720"/>
      <c r="J1324" s="720"/>
      <c r="K1324" s="720"/>
      <c r="L1324" s="720"/>
      <c r="M1324" s="1010"/>
      <c r="N1324" s="1067"/>
      <c r="O1324" s="723"/>
      <c r="P1324" s="723"/>
      <c r="Q1324" s="723"/>
      <c r="R1324" s="1069"/>
      <c r="S1324" s="754"/>
      <c r="T1324" s="754"/>
      <c r="U1324" s="754"/>
      <c r="V1324" s="717"/>
      <c r="W1324" s="723"/>
      <c r="X1324" s="720"/>
      <c r="Y1324" s="728"/>
      <c r="Z1324" s="751"/>
      <c r="AA1324" s="751"/>
      <c r="AB1324" s="751"/>
      <c r="AC1324" s="740"/>
      <c r="AD1324" s="763"/>
      <c r="AE1324" s="1067"/>
      <c r="AF1324" s="1045"/>
      <c r="AG1324" s="734"/>
      <c r="AH1324" s="734"/>
      <c r="AI1324" s="718"/>
      <c r="AJ1324" s="722"/>
      <c r="AK1324" s="723"/>
      <c r="AL1324" s="723"/>
      <c r="AM1324" s="723"/>
      <c r="AN1324" s="753"/>
      <c r="AO1324" s="752"/>
    </row>
    <row r="1325" spans="1:41" ht="15" customHeight="1">
      <c r="A1325" s="1011" t="s">
        <v>2662</v>
      </c>
      <c r="B1325" s="602"/>
      <c r="C1325" s="603"/>
      <c r="D1325" s="1011" t="s">
        <v>2663</v>
      </c>
      <c r="E1325" s="611"/>
      <c r="F1325" s="611"/>
      <c r="G1325" s="603"/>
      <c r="H1325" s="603"/>
      <c r="I1325" s="603"/>
      <c r="J1325" s="603"/>
      <c r="K1325" s="603"/>
      <c r="L1325" s="603"/>
      <c r="M1325" s="1209">
        <v>13</v>
      </c>
      <c r="N1325" s="1123" t="s">
        <v>157</v>
      </c>
      <c r="O1325" s="609">
        <v>122490000</v>
      </c>
      <c r="P1325" s="609"/>
      <c r="Q1325" s="609"/>
      <c r="R1325" s="602">
        <v>41934</v>
      </c>
      <c r="S1325" s="612"/>
      <c r="T1325" s="612"/>
      <c r="U1325" s="612"/>
      <c r="V1325" s="605">
        <v>122489999.98</v>
      </c>
      <c r="W1325" s="609"/>
      <c r="X1325" s="603"/>
      <c r="Y1325" s="620" t="s">
        <v>2664</v>
      </c>
      <c r="Z1325" s="613"/>
      <c r="AA1325" s="613"/>
      <c r="AB1325" s="613"/>
      <c r="AC1325" s="607">
        <v>42100</v>
      </c>
      <c r="AD1325" s="621">
        <v>36746999.93</v>
      </c>
      <c r="AE1325" s="1123" t="s">
        <v>157</v>
      </c>
      <c r="AF1325" s="606"/>
      <c r="AG1325" s="614"/>
      <c r="AH1325" s="614"/>
      <c r="AI1325" s="606"/>
      <c r="AJ1325" s="608"/>
      <c r="AK1325" s="609"/>
      <c r="AL1325" s="609"/>
      <c r="AM1325" s="609"/>
      <c r="AN1325" s="616"/>
      <c r="AO1325" s="615"/>
    </row>
    <row r="1326" spans="1:41" ht="15" customHeight="1">
      <c r="A1326" s="1033"/>
      <c r="B1326" s="602"/>
      <c r="C1326" s="603"/>
      <c r="D1326" s="1033"/>
      <c r="E1326" s="611"/>
      <c r="F1326" s="611"/>
      <c r="G1326" s="603"/>
      <c r="H1326" s="603"/>
      <c r="I1326" s="603"/>
      <c r="J1326" s="603"/>
      <c r="K1326" s="603"/>
      <c r="L1326" s="603"/>
      <c r="M1326" s="1209"/>
      <c r="N1326" s="1123"/>
      <c r="O1326" s="609"/>
      <c r="P1326" s="609"/>
      <c r="Q1326" s="609"/>
      <c r="R1326" s="602"/>
      <c r="S1326" s="612"/>
      <c r="T1326" s="612"/>
      <c r="U1326" s="612"/>
      <c r="V1326" s="605"/>
      <c r="W1326" s="609"/>
      <c r="X1326" s="603"/>
      <c r="Y1326" s="620" t="s">
        <v>2665</v>
      </c>
      <c r="Z1326" s="613">
        <v>80623899.930000007</v>
      </c>
      <c r="AA1326" s="613">
        <v>-36746999.93</v>
      </c>
      <c r="AB1326" s="613">
        <f>+Z1326+AA1326</f>
        <v>43876900.000000007</v>
      </c>
      <c r="AC1326" s="607">
        <v>42885</v>
      </c>
      <c r="AD1326" s="621">
        <v>43876900</v>
      </c>
      <c r="AE1326" s="1123"/>
      <c r="AF1326" s="606"/>
      <c r="AG1326" s="614"/>
      <c r="AH1326" s="614"/>
      <c r="AI1326" s="606"/>
      <c r="AJ1326" s="608"/>
      <c r="AK1326" s="609"/>
      <c r="AL1326" s="609"/>
      <c r="AM1326" s="609"/>
      <c r="AN1326" s="616"/>
      <c r="AO1326" s="615"/>
    </row>
    <row r="1327" spans="1:41" ht="15" customHeight="1">
      <c r="A1327" s="1033"/>
      <c r="B1327" s="602"/>
      <c r="C1327" s="603"/>
      <c r="D1327" s="1033"/>
      <c r="E1327" s="611"/>
      <c r="F1327" s="611"/>
      <c r="G1327" s="603"/>
      <c r="H1327" s="603"/>
      <c r="I1327" s="603"/>
      <c r="J1327" s="603"/>
      <c r="K1327" s="603"/>
      <c r="L1327" s="603"/>
      <c r="M1327" s="1209"/>
      <c r="N1327" s="1123"/>
      <c r="O1327" s="609"/>
      <c r="P1327" s="609"/>
      <c r="Q1327" s="609"/>
      <c r="R1327" s="602"/>
      <c r="S1327" s="612"/>
      <c r="T1327" s="612"/>
      <c r="U1327" s="612"/>
      <c r="V1327" s="605"/>
      <c r="W1327" s="609"/>
      <c r="X1327" s="603"/>
      <c r="Y1327" s="620" t="s">
        <v>2666</v>
      </c>
      <c r="Z1327" s="613"/>
      <c r="AA1327" s="613"/>
      <c r="AB1327" s="613"/>
      <c r="AC1327" s="607">
        <v>42886</v>
      </c>
      <c r="AD1327" s="621">
        <v>0.01</v>
      </c>
      <c r="AE1327" s="1123"/>
      <c r="AF1327" s="606"/>
      <c r="AG1327" s="614"/>
      <c r="AH1327" s="614"/>
      <c r="AI1327" s="606"/>
      <c r="AJ1327" s="608"/>
      <c r="AK1327" s="609"/>
      <c r="AL1327" s="609"/>
      <c r="AM1327" s="609"/>
      <c r="AN1327" s="616"/>
      <c r="AO1327" s="615"/>
    </row>
    <row r="1328" spans="1:41" ht="15" customHeight="1">
      <c r="A1328" s="1033"/>
      <c r="B1328" s="602"/>
      <c r="C1328" s="603"/>
      <c r="D1328" s="1033"/>
      <c r="E1328" s="611"/>
      <c r="F1328" s="611"/>
      <c r="G1328" s="603"/>
      <c r="H1328" s="603"/>
      <c r="I1328" s="603"/>
      <c r="J1328" s="603"/>
      <c r="K1328" s="603"/>
      <c r="L1328" s="603"/>
      <c r="M1328" s="1209">
        <v>6</v>
      </c>
      <c r="N1328" s="1123" t="s">
        <v>162</v>
      </c>
      <c r="O1328" s="609">
        <v>158485274.06999999</v>
      </c>
      <c r="P1328" s="609"/>
      <c r="Q1328" s="609"/>
      <c r="R1328" s="602">
        <v>41934</v>
      </c>
      <c r="S1328" s="612"/>
      <c r="T1328" s="612"/>
      <c r="U1328" s="612"/>
      <c r="V1328" s="605">
        <f>+O1328</f>
        <v>158485274.06999999</v>
      </c>
      <c r="W1328" s="609"/>
      <c r="X1328" s="603"/>
      <c r="Y1328" s="620" t="s">
        <v>2667</v>
      </c>
      <c r="Z1328" s="613">
        <v>158485274.06999999</v>
      </c>
      <c r="AA1328" s="613">
        <v>-92789982.140000001</v>
      </c>
      <c r="AB1328" s="613">
        <f>+Z1328+AA1328</f>
        <v>65695291.929999992</v>
      </c>
      <c r="AC1328" s="607">
        <v>42100</v>
      </c>
      <c r="AD1328" s="621">
        <v>47545582.140000001</v>
      </c>
      <c r="AE1328" s="1123" t="s">
        <v>162</v>
      </c>
      <c r="AF1328" s="606"/>
      <c r="AG1328" s="614"/>
      <c r="AH1328" s="614"/>
      <c r="AI1328" s="606"/>
      <c r="AJ1328" s="608"/>
      <c r="AK1328" s="609"/>
      <c r="AL1328" s="609"/>
      <c r="AM1328" s="609"/>
      <c r="AN1328" s="616"/>
      <c r="AO1328" s="615"/>
    </row>
    <row r="1329" spans="1:43" ht="15" customHeight="1">
      <c r="A1329" s="1033"/>
      <c r="B1329" s="602"/>
      <c r="C1329" s="603"/>
      <c r="D1329" s="1033"/>
      <c r="E1329" s="611"/>
      <c r="F1329" s="611"/>
      <c r="G1329" s="603"/>
      <c r="H1329" s="603"/>
      <c r="I1329" s="603"/>
      <c r="J1329" s="603"/>
      <c r="K1329" s="603"/>
      <c r="L1329" s="603"/>
      <c r="M1329" s="1209"/>
      <c r="N1329" s="1123"/>
      <c r="O1329" s="609"/>
      <c r="P1329" s="609"/>
      <c r="Q1329" s="609"/>
      <c r="R1329" s="602"/>
      <c r="S1329" s="612"/>
      <c r="T1329" s="612"/>
      <c r="U1329" s="612"/>
      <c r="V1329" s="605"/>
      <c r="W1329" s="609"/>
      <c r="X1329" s="603"/>
      <c r="Y1329" s="620" t="s">
        <v>2668</v>
      </c>
      <c r="Z1329" s="613"/>
      <c r="AA1329" s="613"/>
      <c r="AB1329" s="613"/>
      <c r="AC1329" s="607">
        <v>42885</v>
      </c>
      <c r="AD1329" s="621">
        <v>45244400</v>
      </c>
      <c r="AE1329" s="1123"/>
      <c r="AF1329" s="606"/>
      <c r="AG1329" s="614"/>
      <c r="AH1329" s="614"/>
      <c r="AI1329" s="606"/>
      <c r="AJ1329" s="608"/>
      <c r="AK1329" s="609"/>
      <c r="AL1329" s="609"/>
      <c r="AM1329" s="609"/>
      <c r="AN1329" s="616"/>
      <c r="AO1329" s="615"/>
    </row>
    <row r="1330" spans="1:43" ht="15" customHeight="1">
      <c r="A1330" s="1033"/>
      <c r="B1330" s="602"/>
      <c r="C1330" s="603"/>
      <c r="D1330" s="1033"/>
      <c r="E1330" s="611"/>
      <c r="F1330" s="611"/>
      <c r="G1330" s="603"/>
      <c r="H1330" s="603"/>
      <c r="I1330" s="603"/>
      <c r="J1330" s="603"/>
      <c r="K1330" s="603"/>
      <c r="L1330" s="603"/>
      <c r="M1330" s="1209"/>
      <c r="N1330" s="1123"/>
      <c r="O1330" s="609"/>
      <c r="P1330" s="609"/>
      <c r="Q1330" s="609"/>
      <c r="R1330" s="602"/>
      <c r="S1330" s="612"/>
      <c r="T1330" s="612"/>
      <c r="U1330" s="612"/>
      <c r="V1330" s="605"/>
      <c r="W1330" s="609"/>
      <c r="X1330" s="603"/>
      <c r="Y1330" s="620" t="s">
        <v>2669</v>
      </c>
      <c r="Z1330" s="613"/>
      <c r="AA1330" s="613"/>
      <c r="AB1330" s="613"/>
      <c r="AC1330" s="607">
        <v>42886</v>
      </c>
      <c r="AD1330" s="621">
        <v>0.01</v>
      </c>
      <c r="AE1330" s="1123"/>
      <c r="AF1330" s="606"/>
      <c r="AG1330" s="614"/>
      <c r="AH1330" s="614"/>
      <c r="AI1330" s="606"/>
      <c r="AJ1330" s="608"/>
      <c r="AK1330" s="609"/>
      <c r="AL1330" s="609"/>
      <c r="AM1330" s="609"/>
      <c r="AN1330" s="616"/>
      <c r="AO1330" s="615"/>
    </row>
    <row r="1331" spans="1:43" ht="15" customHeight="1">
      <c r="A1331" s="1033"/>
      <c r="B1331" s="602"/>
      <c r="C1331" s="603"/>
      <c r="D1331" s="1033"/>
      <c r="E1331" s="611"/>
      <c r="F1331" s="611"/>
      <c r="G1331" s="603"/>
      <c r="H1331" s="603"/>
      <c r="I1331" s="603"/>
      <c r="J1331" s="603"/>
      <c r="K1331" s="603"/>
      <c r="L1331" s="603"/>
      <c r="M1331" s="1209">
        <v>8</v>
      </c>
      <c r="N1331" s="1123" t="s">
        <v>169</v>
      </c>
      <c r="O1331" s="609">
        <v>138000000</v>
      </c>
      <c r="P1331" s="609"/>
      <c r="Q1331" s="609"/>
      <c r="R1331" s="602">
        <v>41934</v>
      </c>
      <c r="S1331" s="612"/>
      <c r="T1331" s="612"/>
      <c r="U1331" s="612"/>
      <c r="V1331" s="605">
        <v>137999999.97999999</v>
      </c>
      <c r="W1331" s="609"/>
      <c r="X1331" s="603"/>
      <c r="Y1331" s="620" t="s">
        <v>2664</v>
      </c>
      <c r="Z1331" s="613"/>
      <c r="AA1331" s="613"/>
      <c r="AB1331" s="613"/>
      <c r="AC1331" s="607">
        <v>42100</v>
      </c>
      <c r="AD1331" s="621">
        <v>41399999.93</v>
      </c>
      <c r="AE1331" s="1123" t="s">
        <v>169</v>
      </c>
      <c r="AF1331" s="606"/>
      <c r="AG1331" s="614"/>
      <c r="AH1331" s="614"/>
      <c r="AI1331" s="606"/>
      <c r="AJ1331" s="608"/>
      <c r="AK1331" s="609"/>
      <c r="AL1331" s="609"/>
      <c r="AM1331" s="609"/>
      <c r="AN1331" s="616"/>
      <c r="AO1331" s="615"/>
    </row>
    <row r="1332" spans="1:43" ht="15" customHeight="1">
      <c r="A1332" s="1033"/>
      <c r="B1332" s="602"/>
      <c r="C1332" s="603"/>
      <c r="D1332" s="1033"/>
      <c r="E1332" s="611"/>
      <c r="F1332" s="611"/>
      <c r="G1332" s="603"/>
      <c r="H1332" s="603"/>
      <c r="I1332" s="603"/>
      <c r="J1332" s="603"/>
      <c r="K1332" s="603"/>
      <c r="L1332" s="603"/>
      <c r="M1332" s="1209"/>
      <c r="N1332" s="1123"/>
      <c r="O1332" s="609"/>
      <c r="P1332" s="609"/>
      <c r="Q1332" s="609"/>
      <c r="R1332" s="602"/>
      <c r="S1332" s="612"/>
      <c r="T1332" s="612"/>
      <c r="U1332" s="612"/>
      <c r="V1332" s="605"/>
      <c r="W1332" s="609"/>
      <c r="X1332" s="603"/>
      <c r="Y1332" s="620" t="s">
        <v>2670</v>
      </c>
      <c r="Z1332" s="613"/>
      <c r="AA1332" s="613"/>
      <c r="AB1332" s="613"/>
      <c r="AC1332" s="607">
        <v>42885</v>
      </c>
      <c r="AD1332" s="621">
        <v>77462000</v>
      </c>
      <c r="AE1332" s="1123"/>
      <c r="AF1332" s="606"/>
      <c r="AG1332" s="614"/>
      <c r="AH1332" s="614"/>
      <c r="AI1332" s="606"/>
      <c r="AJ1332" s="608"/>
      <c r="AK1332" s="609"/>
      <c r="AL1332" s="609"/>
      <c r="AM1332" s="609"/>
      <c r="AN1332" s="616"/>
      <c r="AO1332" s="615"/>
    </row>
    <row r="1333" spans="1:43" ht="15" customHeight="1">
      <c r="A1333" s="1033"/>
      <c r="B1333" s="602"/>
      <c r="C1333" s="603"/>
      <c r="D1333" s="1033"/>
      <c r="E1333" s="611"/>
      <c r="F1333" s="611"/>
      <c r="G1333" s="603"/>
      <c r="H1333" s="603"/>
      <c r="I1333" s="603"/>
      <c r="J1333" s="603"/>
      <c r="K1333" s="603"/>
      <c r="L1333" s="603"/>
      <c r="M1333" s="1209"/>
      <c r="N1333" s="1123"/>
      <c r="O1333" s="609"/>
      <c r="P1333" s="609"/>
      <c r="Q1333" s="609"/>
      <c r="R1333" s="602"/>
      <c r="S1333" s="612"/>
      <c r="T1333" s="612"/>
      <c r="U1333" s="612"/>
      <c r="V1333" s="605"/>
      <c r="W1333" s="609"/>
      <c r="X1333" s="603"/>
      <c r="Y1333" s="620" t="s">
        <v>2671</v>
      </c>
      <c r="Z1333" s="613"/>
      <c r="AA1333" s="613"/>
      <c r="AB1333" s="613"/>
      <c r="AC1333" s="607">
        <v>42886</v>
      </c>
      <c r="AD1333" s="621">
        <v>0.01</v>
      </c>
      <c r="AE1333" s="1123"/>
      <c r="AF1333" s="606"/>
      <c r="AG1333" s="614"/>
      <c r="AH1333" s="614"/>
      <c r="AI1333" s="606"/>
      <c r="AJ1333" s="608"/>
      <c r="AK1333" s="609"/>
      <c r="AL1333" s="609"/>
      <c r="AM1333" s="609"/>
      <c r="AN1333" s="616"/>
      <c r="AO1333" s="615"/>
    </row>
    <row r="1334" spans="1:43" ht="15" customHeight="1">
      <c r="A1334" s="1015" t="s">
        <v>2017</v>
      </c>
      <c r="B1334" s="1068">
        <v>42031</v>
      </c>
      <c r="C1334" s="1011" t="s">
        <v>39</v>
      </c>
      <c r="D1334" s="1011" t="s">
        <v>1533</v>
      </c>
      <c r="E1334" s="1071">
        <v>10482754</v>
      </c>
      <c r="F1334" s="1071"/>
      <c r="G1334" s="1011" t="s">
        <v>2018</v>
      </c>
      <c r="H1334" s="1011" t="s">
        <v>71</v>
      </c>
      <c r="I1334" s="1011" t="s">
        <v>1235</v>
      </c>
      <c r="J1334" s="1011" t="s">
        <v>66</v>
      </c>
      <c r="K1334" s="1011" t="s">
        <v>183</v>
      </c>
      <c r="L1334" s="1011" t="s">
        <v>2020</v>
      </c>
      <c r="M1334" s="1065"/>
      <c r="N1334" s="1065" t="s">
        <v>2752</v>
      </c>
      <c r="O1334" s="1062"/>
      <c r="P1334" s="1062"/>
      <c r="Q1334" s="1062"/>
      <c r="R1334" s="1068"/>
      <c r="S1334" s="1092"/>
      <c r="T1334" s="1062"/>
      <c r="U1334" s="1062"/>
      <c r="V1334" s="1043">
        <v>32741520</v>
      </c>
      <c r="W1334" s="1043">
        <v>32741520</v>
      </c>
      <c r="X1334" s="1011" t="s">
        <v>2019</v>
      </c>
      <c r="Y1334" s="108" t="s">
        <v>2021</v>
      </c>
      <c r="Z1334" s="109">
        <v>29431881</v>
      </c>
      <c r="AA1334" s="109">
        <v>0</v>
      </c>
      <c r="AB1334" s="109">
        <f>AA1334+Z1334</f>
        <v>29431881</v>
      </c>
      <c r="AC1334" s="97">
        <v>42200</v>
      </c>
      <c r="AD1334" s="119"/>
      <c r="AE1334" s="1065" t="s">
        <v>2752</v>
      </c>
      <c r="AF1334" s="111"/>
      <c r="AG1334" s="111"/>
      <c r="AH1334" s="111"/>
      <c r="AI1334" s="111"/>
      <c r="AJ1334" s="1062">
        <v>0</v>
      </c>
      <c r="AK1334" s="1062">
        <v>0</v>
      </c>
      <c r="AL1334" s="1062">
        <v>0</v>
      </c>
      <c r="AM1334" s="1062">
        <v>0</v>
      </c>
      <c r="AN1334" s="1108"/>
      <c r="AO1334" s="1103" t="s">
        <v>2023</v>
      </c>
    </row>
    <row r="1335" spans="1:43" ht="15" customHeight="1">
      <c r="A1335" s="1016"/>
      <c r="B1335" s="1070"/>
      <c r="C1335" s="1012"/>
      <c r="D1335" s="1012"/>
      <c r="E1335" s="1073"/>
      <c r="F1335" s="1073"/>
      <c r="G1335" s="1012"/>
      <c r="H1335" s="1012"/>
      <c r="I1335" s="1012"/>
      <c r="J1335" s="1012"/>
      <c r="K1335" s="1012"/>
      <c r="L1335" s="1012"/>
      <c r="M1335" s="1067"/>
      <c r="N1335" s="1067"/>
      <c r="O1335" s="1064"/>
      <c r="P1335" s="1064"/>
      <c r="Q1335" s="1064"/>
      <c r="R1335" s="1070"/>
      <c r="S1335" s="1094"/>
      <c r="T1335" s="1064"/>
      <c r="U1335" s="1064"/>
      <c r="V1335" s="1045"/>
      <c r="W1335" s="1045"/>
      <c r="X1335" s="1012"/>
      <c r="Y1335" s="108" t="s">
        <v>2022</v>
      </c>
      <c r="Z1335" s="109">
        <v>3309638</v>
      </c>
      <c r="AA1335" s="109">
        <v>0</v>
      </c>
      <c r="AB1335" s="109">
        <f>AA1335+Z1335</f>
        <v>3309638</v>
      </c>
      <c r="AC1335" s="928">
        <v>42200</v>
      </c>
      <c r="AD1335" s="119"/>
      <c r="AE1335" s="1067"/>
      <c r="AF1335" s="111"/>
      <c r="AG1335" s="111"/>
      <c r="AH1335" s="111"/>
      <c r="AI1335" s="111"/>
      <c r="AJ1335" s="1064"/>
      <c r="AK1335" s="1064"/>
      <c r="AL1335" s="1064"/>
      <c r="AM1335" s="1064"/>
      <c r="AN1335" s="1110"/>
      <c r="AO1335" s="1105"/>
    </row>
    <row r="1336" spans="1:43" s="4" customFormat="1" ht="15" customHeight="1">
      <c r="A1336" s="1227" t="s">
        <v>1878</v>
      </c>
      <c r="B1336" s="1171">
        <v>42041</v>
      </c>
      <c r="C1336" s="1228" t="s">
        <v>41</v>
      </c>
      <c r="D1336" s="1228" t="s">
        <v>1877</v>
      </c>
      <c r="E1336" s="1229">
        <v>900815336</v>
      </c>
      <c r="F1336" s="1232"/>
      <c r="G1336" s="1228" t="s">
        <v>1876</v>
      </c>
      <c r="H1336" s="1228" t="s">
        <v>71</v>
      </c>
      <c r="I1336" s="1228" t="s">
        <v>1221</v>
      </c>
      <c r="J1336" s="1228" t="s">
        <v>66</v>
      </c>
      <c r="K1336" s="1149" t="s">
        <v>48</v>
      </c>
      <c r="L1336" s="1149" t="s">
        <v>1880</v>
      </c>
      <c r="M1336" s="1009">
        <v>308</v>
      </c>
      <c r="N1336" s="1021" t="s">
        <v>137</v>
      </c>
      <c r="O1336" s="1149">
        <v>100486125</v>
      </c>
      <c r="P1336" s="1149">
        <f>SUM(O1336:O1340)</f>
        <v>495503165</v>
      </c>
      <c r="Q1336" s="1149">
        <f>SUM(P1336:P1348)</f>
        <v>1092744712</v>
      </c>
      <c r="R1336" s="1068">
        <v>41879</v>
      </c>
      <c r="S1336" s="1234"/>
      <c r="T1336" s="1100"/>
      <c r="U1336" s="1100"/>
      <c r="V1336" s="1149">
        <f>756702320+O1348</f>
        <v>1092267713</v>
      </c>
      <c r="W1336" s="1149">
        <f>756702320+P1348</f>
        <v>1092267713</v>
      </c>
      <c r="X1336" s="1023"/>
      <c r="Y1336" s="108" t="s">
        <v>1875</v>
      </c>
      <c r="Z1336" s="103">
        <v>0</v>
      </c>
      <c r="AA1336" s="103">
        <v>302680928</v>
      </c>
      <c r="AB1336" s="103">
        <f t="shared" ref="AB1336:AB1346" si="116">SUM(Z1336:AA1336)</f>
        <v>302680928</v>
      </c>
      <c r="AC1336" s="97">
        <v>42209</v>
      </c>
      <c r="AD1336" s="98">
        <v>40169128.770000003</v>
      </c>
      <c r="AE1336" s="1021" t="s">
        <v>137</v>
      </c>
      <c r="AF1336" s="1040">
        <f>SUM(AD1336:AD1343)</f>
        <v>495191013.69</v>
      </c>
      <c r="AG1336" s="1149">
        <f>SUM(AD1336:AD1346)</f>
        <v>703891074.86000001</v>
      </c>
      <c r="AH1336" s="1149">
        <v>0</v>
      </c>
      <c r="AI1336" s="1149">
        <v>0</v>
      </c>
      <c r="AJ1336" s="1149">
        <v>0</v>
      </c>
      <c r="AK1336" s="1149">
        <f>Q1336-W1336</f>
        <v>476999</v>
      </c>
      <c r="AL1336" s="1149"/>
      <c r="AM1336" s="1149"/>
      <c r="AN1336" s="1149"/>
      <c r="AO1336" s="1149" t="s">
        <v>1881</v>
      </c>
      <c r="AQ1336" s="934"/>
    </row>
    <row r="1337" spans="1:43" s="4" customFormat="1" ht="15" customHeight="1">
      <c r="A1337" s="1227"/>
      <c r="B1337" s="1171"/>
      <c r="C1337" s="1228"/>
      <c r="D1337" s="1228"/>
      <c r="E1337" s="1230"/>
      <c r="F1337" s="1232"/>
      <c r="G1337" s="1228"/>
      <c r="H1337" s="1228"/>
      <c r="I1337" s="1228"/>
      <c r="J1337" s="1228"/>
      <c r="K1337" s="1149"/>
      <c r="L1337" s="1149"/>
      <c r="M1337" s="1039"/>
      <c r="N1337" s="1022"/>
      <c r="O1337" s="1149"/>
      <c r="P1337" s="1149"/>
      <c r="Q1337" s="1149"/>
      <c r="R1337" s="1069"/>
      <c r="S1337" s="1235"/>
      <c r="T1337" s="1101"/>
      <c r="U1337" s="1101"/>
      <c r="V1337" s="1149"/>
      <c r="W1337" s="1149"/>
      <c r="X1337" s="1124"/>
      <c r="Y1337" s="108" t="s">
        <v>1874</v>
      </c>
      <c r="Z1337" s="103">
        <v>366188713</v>
      </c>
      <c r="AA1337" s="103">
        <v>-146475485</v>
      </c>
      <c r="AB1337" s="103">
        <f t="shared" si="116"/>
        <v>219713228</v>
      </c>
      <c r="AC1337" s="97">
        <v>42366</v>
      </c>
      <c r="AD1337" s="98">
        <v>29158391.329999998</v>
      </c>
      <c r="AE1337" s="1022"/>
      <c r="AF1337" s="1041"/>
      <c r="AG1337" s="1149"/>
      <c r="AH1337" s="1149"/>
      <c r="AI1337" s="1149"/>
      <c r="AJ1337" s="1149"/>
      <c r="AK1337" s="1149"/>
      <c r="AL1337" s="1149"/>
      <c r="AM1337" s="1149"/>
      <c r="AN1337" s="1149"/>
      <c r="AO1337" s="1149"/>
      <c r="AQ1337" s="934"/>
    </row>
    <row r="1338" spans="1:43" s="4" customFormat="1" ht="15" customHeight="1">
      <c r="A1338" s="1227"/>
      <c r="B1338" s="1171"/>
      <c r="C1338" s="1228"/>
      <c r="D1338" s="1228"/>
      <c r="E1338" s="1230"/>
      <c r="F1338" s="1232"/>
      <c r="G1338" s="1228"/>
      <c r="H1338" s="1228"/>
      <c r="I1338" s="1228"/>
      <c r="J1338" s="1228"/>
      <c r="K1338" s="1149"/>
      <c r="L1338" s="1149"/>
      <c r="M1338" s="1039"/>
      <c r="N1338" s="1022"/>
      <c r="O1338" s="1149"/>
      <c r="P1338" s="1149"/>
      <c r="Q1338" s="1149"/>
      <c r="R1338" s="1069"/>
      <c r="S1338" s="1235"/>
      <c r="T1338" s="1102"/>
      <c r="U1338" s="1102"/>
      <c r="V1338" s="1149"/>
      <c r="W1338" s="1149"/>
      <c r="X1338" s="1124"/>
      <c r="Y1338" s="108" t="s">
        <v>1873</v>
      </c>
      <c r="Z1338" s="103">
        <v>187211555</v>
      </c>
      <c r="AA1338" s="103">
        <v>-74884622</v>
      </c>
      <c r="AB1338" s="103">
        <f t="shared" si="116"/>
        <v>112326933</v>
      </c>
      <c r="AC1338" s="97">
        <v>42612</v>
      </c>
      <c r="AD1338" s="98">
        <v>24835484.890000001</v>
      </c>
      <c r="AE1338" s="1022"/>
      <c r="AF1338" s="1041"/>
      <c r="AG1338" s="1149"/>
      <c r="AH1338" s="1149"/>
      <c r="AI1338" s="1149"/>
      <c r="AJ1338" s="1149"/>
      <c r="AK1338" s="1149"/>
      <c r="AL1338" s="1149"/>
      <c r="AM1338" s="1149"/>
      <c r="AN1338" s="1149"/>
      <c r="AO1338" s="1149"/>
      <c r="AQ1338" s="934"/>
    </row>
    <row r="1339" spans="1:43" s="4" customFormat="1" ht="15" customHeight="1">
      <c r="A1339" s="1227"/>
      <c r="B1339" s="1171"/>
      <c r="C1339" s="1228"/>
      <c r="D1339" s="1228"/>
      <c r="E1339" s="1230"/>
      <c r="F1339" s="1232"/>
      <c r="G1339" s="1228"/>
      <c r="H1339" s="1228"/>
      <c r="I1339" s="1228"/>
      <c r="J1339" s="1228"/>
      <c r="K1339" s="1149"/>
      <c r="L1339" s="1149"/>
      <c r="M1339" s="1039"/>
      <c r="N1339" s="1038"/>
      <c r="O1339" s="664"/>
      <c r="P1339" s="1149"/>
      <c r="Q1339" s="1149"/>
      <c r="R1339" s="1069"/>
      <c r="S1339" s="1235"/>
      <c r="T1339" s="663"/>
      <c r="U1339" s="663"/>
      <c r="V1339" s="1149"/>
      <c r="W1339" s="1149"/>
      <c r="X1339" s="1124"/>
      <c r="Y1339" s="650"/>
      <c r="Z1339" s="676">
        <f>+'[1]ORDEN DE PAGO TRAMITADAS '!$Z$138</f>
        <v>10433028.27</v>
      </c>
      <c r="AA1339" s="676">
        <f>-'[1]ORDEN DE PAGO TRAMITADAS '!$AA$138</f>
        <v>-4173211.34</v>
      </c>
      <c r="AB1339" s="676">
        <f t="shared" si="116"/>
        <v>6259816.9299999997</v>
      </c>
      <c r="AC1339" s="665">
        <v>43096</v>
      </c>
      <c r="AD1339" s="83">
        <f>+AB1339</f>
        <v>6259816.9299999997</v>
      </c>
      <c r="AE1339" s="1038"/>
      <c r="AF1339" s="1041"/>
      <c r="AG1339" s="1149"/>
      <c r="AH1339" s="1149"/>
      <c r="AI1339" s="1149"/>
      <c r="AJ1339" s="1149"/>
      <c r="AK1339" s="1149"/>
      <c r="AL1339" s="1149"/>
      <c r="AM1339" s="1149"/>
      <c r="AN1339" s="1149"/>
      <c r="AO1339" s="1149"/>
      <c r="AQ1339" s="934"/>
    </row>
    <row r="1340" spans="1:43" s="4" customFormat="1" ht="15" customHeight="1">
      <c r="A1340" s="1227"/>
      <c r="B1340" s="1171"/>
      <c r="C1340" s="1228"/>
      <c r="D1340" s="1228"/>
      <c r="E1340" s="1230"/>
      <c r="F1340" s="1232"/>
      <c r="G1340" s="1228"/>
      <c r="H1340" s="1228"/>
      <c r="I1340" s="1228"/>
      <c r="J1340" s="1228"/>
      <c r="K1340" s="1149"/>
      <c r="L1340" s="1149"/>
      <c r="M1340" s="1039"/>
      <c r="N1340" s="1021" t="s">
        <v>7</v>
      </c>
      <c r="O1340" s="1149">
        <v>395017040</v>
      </c>
      <c r="P1340" s="1149"/>
      <c r="Q1340" s="1149"/>
      <c r="R1340" s="1069"/>
      <c r="S1340" s="1235"/>
      <c r="T1340" s="1100"/>
      <c r="U1340" s="1100"/>
      <c r="V1340" s="1149"/>
      <c r="W1340" s="1149"/>
      <c r="X1340" s="1124"/>
      <c r="Y1340" s="108" t="s">
        <v>1872</v>
      </c>
      <c r="Z1340" s="103"/>
      <c r="AA1340" s="103"/>
      <c r="AB1340" s="103">
        <f t="shared" si="116"/>
        <v>0</v>
      </c>
      <c r="AC1340" s="97">
        <v>42209</v>
      </c>
      <c r="AD1340" s="98">
        <v>157907276.71000001</v>
      </c>
      <c r="AE1340" s="1021" t="s">
        <v>7</v>
      </c>
      <c r="AF1340" s="1041"/>
      <c r="AG1340" s="1149"/>
      <c r="AH1340" s="1149"/>
      <c r="AI1340" s="1149"/>
      <c r="AJ1340" s="1149"/>
      <c r="AK1340" s="1149"/>
      <c r="AL1340" s="1149"/>
      <c r="AM1340" s="1149"/>
      <c r="AN1340" s="1149"/>
      <c r="AO1340" s="1149"/>
      <c r="AQ1340" s="934"/>
    </row>
    <row r="1341" spans="1:43" s="4" customFormat="1" ht="15" customHeight="1">
      <c r="A1341" s="1227"/>
      <c r="B1341" s="1171"/>
      <c r="C1341" s="1228"/>
      <c r="D1341" s="1228"/>
      <c r="E1341" s="1230"/>
      <c r="F1341" s="1232"/>
      <c r="G1341" s="1228"/>
      <c r="H1341" s="1228"/>
      <c r="I1341" s="1228"/>
      <c r="J1341" s="1228"/>
      <c r="K1341" s="1149"/>
      <c r="L1341" s="1149"/>
      <c r="M1341" s="1039"/>
      <c r="N1341" s="1022"/>
      <c r="O1341" s="1149"/>
      <c r="P1341" s="1149"/>
      <c r="Q1341" s="1149"/>
      <c r="R1341" s="1069"/>
      <c r="S1341" s="1235"/>
      <c r="T1341" s="1101"/>
      <c r="U1341" s="1101"/>
      <c r="V1341" s="1149"/>
      <c r="W1341" s="1149"/>
      <c r="X1341" s="1124"/>
      <c r="Y1341" s="108" t="s">
        <v>1871</v>
      </c>
      <c r="Z1341" s="103"/>
      <c r="AA1341" s="103"/>
      <c r="AB1341" s="103">
        <f t="shared" si="116"/>
        <v>0</v>
      </c>
      <c r="AC1341" s="97">
        <v>42366</v>
      </c>
      <c r="AD1341" s="98">
        <v>114623401.34999999</v>
      </c>
      <c r="AE1341" s="1022"/>
      <c r="AF1341" s="1041"/>
      <c r="AG1341" s="1149"/>
      <c r="AH1341" s="1149"/>
      <c r="AI1341" s="1149"/>
      <c r="AJ1341" s="1149"/>
      <c r="AK1341" s="1149"/>
      <c r="AL1341" s="1149"/>
      <c r="AM1341" s="1149"/>
      <c r="AN1341" s="1149"/>
      <c r="AO1341" s="1149"/>
      <c r="AQ1341" s="934"/>
    </row>
    <row r="1342" spans="1:43" s="4" customFormat="1" ht="15" customHeight="1">
      <c r="A1342" s="1227"/>
      <c r="B1342" s="1171"/>
      <c r="C1342" s="1228"/>
      <c r="D1342" s="1228"/>
      <c r="E1342" s="1230"/>
      <c r="F1342" s="1232"/>
      <c r="G1342" s="1228"/>
      <c r="H1342" s="1228"/>
      <c r="I1342" s="1228"/>
      <c r="J1342" s="1228"/>
      <c r="K1342" s="1149"/>
      <c r="L1342" s="1149"/>
      <c r="M1342" s="1039"/>
      <c r="N1342" s="1022"/>
      <c r="O1342" s="1149"/>
      <c r="P1342" s="1149"/>
      <c r="Q1342" s="1149"/>
      <c r="R1342" s="1070"/>
      <c r="S1342" s="1236"/>
      <c r="T1342" s="1102"/>
      <c r="U1342" s="1102"/>
      <c r="V1342" s="1149"/>
      <c r="W1342" s="1149"/>
      <c r="X1342" s="1124"/>
      <c r="Y1342" s="108" t="s">
        <v>1870</v>
      </c>
      <c r="Z1342" s="103"/>
      <c r="AA1342" s="103"/>
      <c r="AB1342" s="103">
        <f t="shared" si="116"/>
        <v>0</v>
      </c>
      <c r="AC1342" s="97">
        <v>42612</v>
      </c>
      <c r="AD1342" s="98">
        <v>59327341.780000001</v>
      </c>
      <c r="AE1342" s="1022"/>
      <c r="AF1342" s="1041"/>
      <c r="AG1342" s="1149"/>
      <c r="AH1342" s="1149"/>
      <c r="AI1342" s="1149"/>
      <c r="AJ1342" s="1149"/>
      <c r="AK1342" s="1149"/>
      <c r="AL1342" s="1149"/>
      <c r="AM1342" s="1149"/>
      <c r="AN1342" s="1149"/>
      <c r="AO1342" s="1149"/>
      <c r="AQ1342" s="934"/>
    </row>
    <row r="1343" spans="1:43" s="4" customFormat="1" ht="15" customHeight="1">
      <c r="A1343" s="1227"/>
      <c r="B1343" s="1171"/>
      <c r="C1343" s="1228"/>
      <c r="D1343" s="1228"/>
      <c r="E1343" s="1230"/>
      <c r="F1343" s="1232"/>
      <c r="G1343" s="1228"/>
      <c r="H1343" s="1228"/>
      <c r="I1343" s="1228"/>
      <c r="J1343" s="1228"/>
      <c r="K1343" s="1149"/>
      <c r="L1343" s="1149"/>
      <c r="M1343" s="1010"/>
      <c r="N1343" s="1038"/>
      <c r="O1343" s="664"/>
      <c r="P1343" s="656"/>
      <c r="Q1343" s="1149"/>
      <c r="R1343" s="654"/>
      <c r="S1343" s="674"/>
      <c r="T1343" s="663"/>
      <c r="U1343" s="663"/>
      <c r="V1343" s="1149"/>
      <c r="W1343" s="1149"/>
      <c r="X1343" s="1124"/>
      <c r="Y1343" s="650"/>
      <c r="Z1343" s="676">
        <f>+'[1]ORDEN DE PAGO TRAMITADAS '!$AF$138</f>
        <v>119689922.66</v>
      </c>
      <c r="AA1343" s="676">
        <f>-'[1]ORDEN DE PAGO TRAMITADAS '!$AG$138</f>
        <v>-56779750.729999997</v>
      </c>
      <c r="AB1343" s="680">
        <f t="shared" si="116"/>
        <v>62910171.93</v>
      </c>
      <c r="AC1343" s="665">
        <v>43096</v>
      </c>
      <c r="AD1343" s="83">
        <f>+AB1343</f>
        <v>62910171.93</v>
      </c>
      <c r="AE1343" s="1038"/>
      <c r="AF1343" s="1042"/>
      <c r="AG1343" s="1149"/>
      <c r="AH1343" s="1149"/>
      <c r="AI1343" s="1149"/>
      <c r="AJ1343" s="1149"/>
      <c r="AK1343" s="1149"/>
      <c r="AL1343" s="1149"/>
      <c r="AM1343" s="1149"/>
      <c r="AN1343" s="1149"/>
      <c r="AO1343" s="1149"/>
      <c r="AQ1343" s="934"/>
    </row>
    <row r="1344" spans="1:43" s="4" customFormat="1" ht="15" customHeight="1">
      <c r="A1344" s="1227"/>
      <c r="B1344" s="1171"/>
      <c r="C1344" s="1228"/>
      <c r="D1344" s="1228"/>
      <c r="E1344" s="1230"/>
      <c r="F1344" s="1232"/>
      <c r="G1344" s="1228"/>
      <c r="H1344" s="1228"/>
      <c r="I1344" s="1228"/>
      <c r="J1344" s="1228"/>
      <c r="K1344" s="1149"/>
      <c r="L1344" s="1149"/>
      <c r="M1344" s="1009">
        <v>7</v>
      </c>
      <c r="N1344" s="1021" t="s">
        <v>166</v>
      </c>
      <c r="O1344" s="1149">
        <v>261676154</v>
      </c>
      <c r="P1344" s="1023">
        <f>O1344</f>
        <v>261676154</v>
      </c>
      <c r="Q1344" s="1149"/>
      <c r="R1344" s="1068">
        <v>41879</v>
      </c>
      <c r="S1344" s="1234"/>
      <c r="T1344" s="1234"/>
      <c r="U1344" s="1234"/>
      <c r="V1344" s="1149"/>
      <c r="W1344" s="1149"/>
      <c r="X1344" s="1124"/>
      <c r="Y1344" s="108" t="s">
        <v>1869</v>
      </c>
      <c r="Z1344" s="103"/>
      <c r="AA1344" s="103"/>
      <c r="AB1344" s="103">
        <f t="shared" si="116"/>
        <v>0</v>
      </c>
      <c r="AC1344" s="97">
        <v>42209</v>
      </c>
      <c r="AD1344" s="98">
        <v>104604522.52</v>
      </c>
      <c r="AE1344" s="1021" t="s">
        <v>166</v>
      </c>
      <c r="AF1344" s="1043">
        <f>SUM(AD1344:AE1347)</f>
        <v>261511303.30999994</v>
      </c>
      <c r="AG1344" s="1149"/>
      <c r="AH1344" s="1149"/>
      <c r="AI1344" s="1149"/>
      <c r="AJ1344" s="1149"/>
      <c r="AK1344" s="1149"/>
      <c r="AL1344" s="1149"/>
      <c r="AM1344" s="1149"/>
      <c r="AN1344" s="1149"/>
      <c r="AO1344" s="1149"/>
      <c r="AQ1344" s="934"/>
    </row>
    <row r="1345" spans="1:43" s="4" customFormat="1" ht="15" customHeight="1">
      <c r="A1345" s="1227"/>
      <c r="B1345" s="1171"/>
      <c r="C1345" s="1228"/>
      <c r="D1345" s="1228"/>
      <c r="E1345" s="1230"/>
      <c r="F1345" s="1232"/>
      <c r="G1345" s="1228"/>
      <c r="H1345" s="1228"/>
      <c r="I1345" s="1228"/>
      <c r="J1345" s="1228"/>
      <c r="K1345" s="1149"/>
      <c r="L1345" s="1149"/>
      <c r="M1345" s="1039"/>
      <c r="N1345" s="1022"/>
      <c r="O1345" s="1149"/>
      <c r="P1345" s="1124"/>
      <c r="Q1345" s="1149"/>
      <c r="R1345" s="1069"/>
      <c r="S1345" s="1235"/>
      <c r="T1345" s="1235"/>
      <c r="U1345" s="1235"/>
      <c r="V1345" s="1149"/>
      <c r="W1345" s="1149"/>
      <c r="X1345" s="1124"/>
      <c r="Y1345" s="108" t="s">
        <v>1868</v>
      </c>
      <c r="Z1345" s="103"/>
      <c r="AA1345" s="103"/>
      <c r="AB1345" s="103">
        <f t="shared" si="116"/>
        <v>0</v>
      </c>
      <c r="AC1345" s="97">
        <v>42366</v>
      </c>
      <c r="AD1345" s="98">
        <v>75931435.319999993</v>
      </c>
      <c r="AE1345" s="1022"/>
      <c r="AF1345" s="1044"/>
      <c r="AG1345" s="1149"/>
      <c r="AH1345" s="1149"/>
      <c r="AI1345" s="1149"/>
      <c r="AJ1345" s="1149"/>
      <c r="AK1345" s="1149"/>
      <c r="AL1345" s="1149"/>
      <c r="AM1345" s="1149"/>
      <c r="AN1345" s="1149"/>
      <c r="AO1345" s="1149"/>
      <c r="AQ1345" s="934"/>
    </row>
    <row r="1346" spans="1:43" s="4" customFormat="1" ht="15" customHeight="1">
      <c r="A1346" s="1227"/>
      <c r="B1346" s="1171"/>
      <c r="C1346" s="1228"/>
      <c r="D1346" s="1228"/>
      <c r="E1346" s="1230"/>
      <c r="F1346" s="1232"/>
      <c r="G1346" s="1228"/>
      <c r="H1346" s="1228"/>
      <c r="I1346" s="1228"/>
      <c r="J1346" s="1228"/>
      <c r="K1346" s="1149"/>
      <c r="L1346" s="1149"/>
      <c r="M1346" s="1039"/>
      <c r="N1346" s="1022"/>
      <c r="O1346" s="1149"/>
      <c r="P1346" s="1024"/>
      <c r="Q1346" s="1149"/>
      <c r="R1346" s="1070"/>
      <c r="S1346" s="1236"/>
      <c r="T1346" s="1236"/>
      <c r="U1346" s="1236"/>
      <c r="V1346" s="1149"/>
      <c r="W1346" s="1149"/>
      <c r="X1346" s="1124"/>
      <c r="Y1346" s="108" t="s">
        <v>1867</v>
      </c>
      <c r="Z1346" s="103"/>
      <c r="AA1346" s="103"/>
      <c r="AB1346" s="103">
        <f t="shared" si="116"/>
        <v>0</v>
      </c>
      <c r="AC1346" s="97">
        <v>42612</v>
      </c>
      <c r="AD1346" s="98">
        <v>28164103.329999998</v>
      </c>
      <c r="AE1346" s="1022"/>
      <c r="AF1346" s="1044"/>
      <c r="AG1346" s="1149"/>
      <c r="AH1346" s="1149"/>
      <c r="AI1346" s="1149"/>
      <c r="AJ1346" s="1149"/>
      <c r="AK1346" s="1149"/>
      <c r="AL1346" s="1149"/>
      <c r="AM1346" s="1149"/>
      <c r="AN1346" s="1149"/>
      <c r="AO1346" s="1149"/>
      <c r="AQ1346" s="934"/>
    </row>
    <row r="1347" spans="1:43" s="4" customFormat="1" ht="15" customHeight="1">
      <c r="A1347" s="1227"/>
      <c r="B1347" s="1171"/>
      <c r="C1347" s="1228"/>
      <c r="D1347" s="1228"/>
      <c r="E1347" s="1230"/>
      <c r="F1347" s="1232"/>
      <c r="G1347" s="1228"/>
      <c r="H1347" s="1228"/>
      <c r="I1347" s="1228"/>
      <c r="J1347" s="1228"/>
      <c r="K1347" s="1149"/>
      <c r="L1347" s="1149"/>
      <c r="M1347" s="1010"/>
      <c r="N1347" s="1038"/>
      <c r="O1347" s="664"/>
      <c r="P1347" s="658"/>
      <c r="Q1347" s="1149"/>
      <c r="R1347" s="652"/>
      <c r="S1347" s="675"/>
      <c r="T1347" s="675"/>
      <c r="U1347" s="675"/>
      <c r="V1347" s="1149"/>
      <c r="W1347" s="1149"/>
      <c r="X1347" s="1124"/>
      <c r="Y1347" s="650"/>
      <c r="Z1347" s="676">
        <v>73179101.069999993</v>
      </c>
      <c r="AA1347" s="676">
        <v>-20367858.93</v>
      </c>
      <c r="AB1347" s="676">
        <f>+AA1347+Z1347</f>
        <v>52811242.139999993</v>
      </c>
      <c r="AC1347" s="665">
        <v>43096</v>
      </c>
      <c r="AD1347" s="655">
        <f>+AB1347</f>
        <v>52811242.139999993</v>
      </c>
      <c r="AE1347" s="1038"/>
      <c r="AF1347" s="1045"/>
      <c r="AG1347" s="1149"/>
      <c r="AH1347" s="1149"/>
      <c r="AI1347" s="1149"/>
      <c r="AJ1347" s="1149"/>
      <c r="AK1347" s="1149"/>
      <c r="AL1347" s="1149"/>
      <c r="AM1347" s="1149"/>
      <c r="AN1347" s="1149"/>
      <c r="AO1347" s="1149"/>
      <c r="AQ1347" s="934"/>
    </row>
    <row r="1348" spans="1:43" s="4" customFormat="1" ht="15" customHeight="1">
      <c r="A1348" s="1227"/>
      <c r="B1348" s="1171"/>
      <c r="C1348" s="1228"/>
      <c r="D1348" s="1228"/>
      <c r="E1348" s="1231"/>
      <c r="F1348" s="1232"/>
      <c r="G1348" s="1228"/>
      <c r="H1348" s="1228"/>
      <c r="I1348" s="1228"/>
      <c r="J1348" s="1228"/>
      <c r="K1348" s="1149"/>
      <c r="L1348" s="1149"/>
      <c r="M1348" s="102">
        <v>3562</v>
      </c>
      <c r="N1348" s="98" t="s">
        <v>166</v>
      </c>
      <c r="O1348" s="96">
        <v>335565393</v>
      </c>
      <c r="P1348" s="96">
        <f>O1348</f>
        <v>335565393</v>
      </c>
      <c r="Q1348" s="1149"/>
      <c r="R1348" s="97">
        <v>42971</v>
      </c>
      <c r="S1348" s="116"/>
      <c r="T1348" s="117"/>
      <c r="U1348" s="117"/>
      <c r="V1348" s="1149"/>
      <c r="W1348" s="1149"/>
      <c r="X1348" s="1024"/>
      <c r="Y1348" s="108"/>
      <c r="Z1348" s="103">
        <f>+'[1]ORDEN DE PAGO TRAMITADAS '!$T$139</f>
        <v>132473949</v>
      </c>
      <c r="AA1348" s="103" t="e">
        <f>-'[1]ORDEN DE PAGO TRAMITADAS '!$U$139</f>
        <v>#REF!</v>
      </c>
      <c r="AB1348" s="676" t="e">
        <f>+AA1348+Z1348</f>
        <v>#REF!</v>
      </c>
      <c r="AC1348" s="665">
        <v>43096</v>
      </c>
      <c r="AD1348" s="98" t="e">
        <f>+AB1348</f>
        <v>#REF!</v>
      </c>
      <c r="AE1348" s="655" t="s">
        <v>166</v>
      </c>
      <c r="AF1348" s="648" t="e">
        <f>+AD1348</f>
        <v>#REF!</v>
      </c>
      <c r="AG1348" s="1149"/>
      <c r="AH1348" s="1149"/>
      <c r="AI1348" s="1149"/>
      <c r="AJ1348" s="1149"/>
      <c r="AK1348" s="1149"/>
      <c r="AL1348" s="1149"/>
      <c r="AM1348" s="1149"/>
      <c r="AN1348" s="1149"/>
      <c r="AO1348" s="1149"/>
      <c r="AQ1348" s="934"/>
    </row>
    <row r="1349" spans="1:43" ht="15" customHeight="1">
      <c r="A1349" s="1015" t="s">
        <v>1823</v>
      </c>
      <c r="B1349" s="1068">
        <v>42041</v>
      </c>
      <c r="C1349" s="1011" t="s">
        <v>23</v>
      </c>
      <c r="D1349" s="1011" t="s">
        <v>1824</v>
      </c>
      <c r="E1349" s="1071">
        <v>900816645</v>
      </c>
      <c r="F1349" s="1071">
        <v>8</v>
      </c>
      <c r="G1349" s="1011" t="s">
        <v>2779</v>
      </c>
      <c r="H1349" s="1011" t="s">
        <v>72</v>
      </c>
      <c r="I1349" s="1011" t="s">
        <v>206</v>
      </c>
      <c r="J1349" s="1011" t="s">
        <v>66</v>
      </c>
      <c r="K1349" s="1011" t="s">
        <v>50</v>
      </c>
      <c r="L1349" s="1011" t="s">
        <v>1827</v>
      </c>
      <c r="M1349" s="1009">
        <v>4</v>
      </c>
      <c r="N1349" s="1065" t="s">
        <v>146</v>
      </c>
      <c r="O1349" s="1062">
        <v>270307840</v>
      </c>
      <c r="P1349" s="1062">
        <f>O1349</f>
        <v>270307840</v>
      </c>
      <c r="Q1349" s="1062">
        <f>270307840+P1353</f>
        <v>338554524</v>
      </c>
      <c r="R1349" s="1068">
        <v>41936</v>
      </c>
      <c r="S1349" s="1092">
        <f>T1349</f>
        <v>270307840</v>
      </c>
      <c r="T1349" s="1092">
        <v>270307840</v>
      </c>
      <c r="U1349" s="1092">
        <f>O1349-T1349</f>
        <v>0</v>
      </c>
      <c r="V1349" s="1043">
        <v>270270270</v>
      </c>
      <c r="W1349" s="1062">
        <f>V1349+V1353</f>
        <v>338516954</v>
      </c>
      <c r="X1349" s="1011" t="s">
        <v>1826</v>
      </c>
      <c r="Y1349" s="108" t="s">
        <v>1828</v>
      </c>
      <c r="Z1349" s="109">
        <v>0</v>
      </c>
      <c r="AA1349" s="109">
        <v>27027027</v>
      </c>
      <c r="AB1349" s="109">
        <f t="shared" ref="AB1349:AB1355" si="117">Z1349+AA1349</f>
        <v>27027027</v>
      </c>
      <c r="AC1349" s="97">
        <v>42230</v>
      </c>
      <c r="AD1349" s="119">
        <v>27027027</v>
      </c>
      <c r="AE1349" s="98" t="s">
        <v>146</v>
      </c>
      <c r="AF1349" s="1043">
        <f>SUM(AD1349:AD1352)</f>
        <v>227235328.53999999</v>
      </c>
      <c r="AG1349" s="1043">
        <f>AF1349+AF1353</f>
        <v>227235328.53999999</v>
      </c>
      <c r="AH1349" s="111">
        <f t="shared" ref="AH1349:AH1359" si="118">AB1349-AD1349</f>
        <v>0</v>
      </c>
      <c r="AI1349" s="1043">
        <f>P1349-SUM(AD1349:AD1352)</f>
        <v>43072511.460000008</v>
      </c>
      <c r="AJ1349" s="1062">
        <f>SUM(Z1349:Z1353)-SUM(AD1349:AD1353)</f>
        <v>108828200.46000001</v>
      </c>
      <c r="AK1349" s="1062">
        <f>P1349-V1349</f>
        <v>37570</v>
      </c>
      <c r="AL1349" s="1062">
        <f>V1349-SUM(Z1349:Z1352)</f>
        <v>2453425</v>
      </c>
      <c r="AM1349" s="1062"/>
      <c r="AN1349" s="1108"/>
      <c r="AO1349" s="1103" t="s">
        <v>1831</v>
      </c>
    </row>
    <row r="1350" spans="1:43" ht="15" customHeight="1">
      <c r="A1350" s="1050"/>
      <c r="B1350" s="1069"/>
      <c r="C1350" s="1033"/>
      <c r="D1350" s="1033"/>
      <c r="E1350" s="1072"/>
      <c r="F1350" s="1072"/>
      <c r="G1350" s="1033"/>
      <c r="H1350" s="1033"/>
      <c r="I1350" s="1033"/>
      <c r="J1350" s="1033"/>
      <c r="K1350" s="1033"/>
      <c r="L1350" s="1033"/>
      <c r="M1350" s="1039"/>
      <c r="N1350" s="1066"/>
      <c r="O1350" s="1063"/>
      <c r="P1350" s="1063"/>
      <c r="Q1350" s="1063"/>
      <c r="R1350" s="1069"/>
      <c r="S1350" s="1093"/>
      <c r="T1350" s="1093"/>
      <c r="U1350" s="1093"/>
      <c r="V1350" s="1044"/>
      <c r="W1350" s="1063"/>
      <c r="X1350" s="1033"/>
      <c r="Y1350" s="108" t="s">
        <v>1829</v>
      </c>
      <c r="Z1350" s="109">
        <v>170270270.09999999</v>
      </c>
      <c r="AA1350" s="109">
        <v>-17027027</v>
      </c>
      <c r="AB1350" s="109">
        <f t="shared" si="117"/>
        <v>153243243.09999999</v>
      </c>
      <c r="AC1350" s="97">
        <v>42619</v>
      </c>
      <c r="AD1350" s="119">
        <v>153243243.09999999</v>
      </c>
      <c r="AE1350" s="98" t="s">
        <v>146</v>
      </c>
      <c r="AF1350" s="1044"/>
      <c r="AG1350" s="1044"/>
      <c r="AH1350" s="111">
        <f t="shared" si="118"/>
        <v>0</v>
      </c>
      <c r="AI1350" s="1044"/>
      <c r="AJ1350" s="1063"/>
      <c r="AK1350" s="1063"/>
      <c r="AL1350" s="1063"/>
      <c r="AM1350" s="1063"/>
      <c r="AN1350" s="1109"/>
      <c r="AO1350" s="1104"/>
    </row>
    <row r="1351" spans="1:43" ht="15" customHeight="1">
      <c r="A1351" s="1050"/>
      <c r="B1351" s="1069"/>
      <c r="C1351" s="1033"/>
      <c r="D1351" s="1033"/>
      <c r="E1351" s="1072"/>
      <c r="F1351" s="1072"/>
      <c r="G1351" s="1033"/>
      <c r="H1351" s="1033"/>
      <c r="I1351" s="1033"/>
      <c r="J1351" s="1033"/>
      <c r="K1351" s="1033"/>
      <c r="L1351" s="1033"/>
      <c r="M1351" s="1039"/>
      <c r="N1351" s="1066"/>
      <c r="O1351" s="1063"/>
      <c r="P1351" s="1063"/>
      <c r="Q1351" s="1063"/>
      <c r="R1351" s="1069"/>
      <c r="S1351" s="1093"/>
      <c r="T1351" s="1093"/>
      <c r="U1351" s="1093"/>
      <c r="V1351" s="1044"/>
      <c r="W1351" s="1063"/>
      <c r="X1351" s="1033"/>
      <c r="Y1351" s="108" t="s">
        <v>1830</v>
      </c>
      <c r="Z1351" s="109">
        <v>56965058.439999998</v>
      </c>
      <c r="AA1351" s="109">
        <v>-10000000</v>
      </c>
      <c r="AB1351" s="109">
        <f t="shared" si="117"/>
        <v>46965058.439999998</v>
      </c>
      <c r="AC1351" s="97">
        <v>42909</v>
      </c>
      <c r="AD1351" s="119">
        <v>46965058.439999998</v>
      </c>
      <c r="AE1351" s="98" t="s">
        <v>146</v>
      </c>
      <c r="AF1351" s="1044"/>
      <c r="AG1351" s="1044"/>
      <c r="AH1351" s="111">
        <f t="shared" si="118"/>
        <v>0</v>
      </c>
      <c r="AI1351" s="1044"/>
      <c r="AJ1351" s="1063"/>
      <c r="AK1351" s="1063"/>
      <c r="AL1351" s="1063"/>
      <c r="AM1351" s="1063"/>
      <c r="AN1351" s="1109"/>
      <c r="AO1351" s="1104"/>
    </row>
    <row r="1352" spans="1:43" ht="15" customHeight="1">
      <c r="A1352" s="1050"/>
      <c r="B1352" s="1069"/>
      <c r="C1352" s="1033"/>
      <c r="D1352" s="1033"/>
      <c r="E1352" s="1072"/>
      <c r="F1352" s="1072"/>
      <c r="G1352" s="1033"/>
      <c r="H1352" s="1033"/>
      <c r="I1352" s="1033"/>
      <c r="J1352" s="1012"/>
      <c r="K1352" s="1033"/>
      <c r="L1352" s="1033"/>
      <c r="M1352" s="1010"/>
      <c r="N1352" s="1067"/>
      <c r="O1352" s="1064"/>
      <c r="P1352" s="1064"/>
      <c r="Q1352" s="1063"/>
      <c r="R1352" s="1070"/>
      <c r="S1352" s="1094"/>
      <c r="T1352" s="1094"/>
      <c r="U1352" s="1094"/>
      <c r="V1352" s="1045"/>
      <c r="W1352" s="1063"/>
      <c r="X1352" s="1033"/>
      <c r="Y1352" s="108" t="s">
        <v>809</v>
      </c>
      <c r="Z1352" s="109">
        <f>V1349-Z1350-Z1351-2453425</f>
        <v>40581516.460000008</v>
      </c>
      <c r="AA1352" s="109">
        <v>0</v>
      </c>
      <c r="AB1352" s="109">
        <f t="shared" si="117"/>
        <v>40581516.460000008</v>
      </c>
      <c r="AC1352" s="97"/>
      <c r="AD1352" s="119">
        <v>0</v>
      </c>
      <c r="AE1352" s="98"/>
      <c r="AF1352" s="1045"/>
      <c r="AG1352" s="1044"/>
      <c r="AH1352" s="111">
        <f t="shared" si="118"/>
        <v>40581516.460000008</v>
      </c>
      <c r="AI1352" s="1045"/>
      <c r="AJ1352" s="1063"/>
      <c r="AK1352" s="1064"/>
      <c r="AL1352" s="1064"/>
      <c r="AM1352" s="1064"/>
      <c r="AN1352" s="1109"/>
      <c r="AO1352" s="1104"/>
    </row>
    <row r="1353" spans="1:43" ht="15" customHeight="1">
      <c r="A1353" s="1016"/>
      <c r="B1353" s="1070"/>
      <c r="C1353" s="1012"/>
      <c r="D1353" s="1012"/>
      <c r="E1353" s="1073"/>
      <c r="F1353" s="1073"/>
      <c r="G1353" s="1012"/>
      <c r="H1353" s="1012"/>
      <c r="I1353" s="1012"/>
      <c r="J1353" s="113" t="s">
        <v>67</v>
      </c>
      <c r="K1353" s="1012"/>
      <c r="L1353" s="1012"/>
      <c r="M1353" s="102">
        <v>174</v>
      </c>
      <c r="N1353" s="108" t="s">
        <v>7</v>
      </c>
      <c r="O1353" s="109">
        <v>68246684</v>
      </c>
      <c r="P1353" s="109">
        <v>68246684</v>
      </c>
      <c r="Q1353" s="1064"/>
      <c r="R1353" s="97">
        <v>40745</v>
      </c>
      <c r="S1353" s="110"/>
      <c r="T1353" s="109"/>
      <c r="U1353" s="109"/>
      <c r="V1353" s="111">
        <v>68246684</v>
      </c>
      <c r="W1353" s="1064"/>
      <c r="X1353" s="1012"/>
      <c r="Y1353" s="108" t="s">
        <v>809</v>
      </c>
      <c r="Z1353" s="109">
        <v>68246684</v>
      </c>
      <c r="AA1353" s="109">
        <v>0</v>
      </c>
      <c r="AB1353" s="109">
        <f t="shared" si="117"/>
        <v>68246684</v>
      </c>
      <c r="AC1353" s="97"/>
      <c r="AD1353" s="119">
        <v>0</v>
      </c>
      <c r="AE1353" s="98"/>
      <c r="AF1353" s="111">
        <f>AD1353</f>
        <v>0</v>
      </c>
      <c r="AG1353" s="1045"/>
      <c r="AH1353" s="111">
        <f t="shared" si="118"/>
        <v>68246684</v>
      </c>
      <c r="AI1353" s="111">
        <f>P1353-AD1353</f>
        <v>68246684</v>
      </c>
      <c r="AJ1353" s="1064"/>
      <c r="AK1353" s="109">
        <f>P1353-V1353</f>
        <v>0</v>
      </c>
      <c r="AL1353" s="109">
        <f>V1353-Z1353</f>
        <v>0</v>
      </c>
      <c r="AM1353" s="109"/>
      <c r="AN1353" s="1110"/>
      <c r="AO1353" s="1105"/>
    </row>
    <row r="1354" spans="1:43" ht="15" customHeight="1">
      <c r="A1354" s="1015" t="s">
        <v>1832</v>
      </c>
      <c r="B1354" s="1068">
        <v>42094</v>
      </c>
      <c r="C1354" s="1011" t="s">
        <v>44</v>
      </c>
      <c r="D1354" s="1011" t="s">
        <v>1833</v>
      </c>
      <c r="E1354" s="1071">
        <v>890329571</v>
      </c>
      <c r="F1354" s="1071">
        <v>7</v>
      </c>
      <c r="G1354" s="1011" t="s">
        <v>2810</v>
      </c>
      <c r="H1354" s="1011" t="s">
        <v>72</v>
      </c>
      <c r="I1354" s="1011" t="s">
        <v>206</v>
      </c>
      <c r="J1354" s="1011" t="s">
        <v>66</v>
      </c>
      <c r="K1354" s="1011" t="s">
        <v>1844</v>
      </c>
      <c r="L1354" s="1011" t="s">
        <v>1836</v>
      </c>
      <c r="M1354" s="1009">
        <v>5</v>
      </c>
      <c r="N1354" s="1065" t="s">
        <v>141</v>
      </c>
      <c r="O1354" s="1062">
        <v>457820970</v>
      </c>
      <c r="P1354" s="1062">
        <v>457820970</v>
      </c>
      <c r="Q1354" s="1062">
        <f>P1354+P1358</f>
        <v>686270210</v>
      </c>
      <c r="R1354" s="1068">
        <v>41914</v>
      </c>
      <c r="S1354" s="1092">
        <f>T1354</f>
        <v>457820970</v>
      </c>
      <c r="T1354" s="1092">
        <v>457820970</v>
      </c>
      <c r="U1354" s="1092">
        <f>O1354-T1354</f>
        <v>0</v>
      </c>
      <c r="V1354" s="1043">
        <v>457816392</v>
      </c>
      <c r="W1354" s="1062">
        <f>457816392+V1358</f>
        <v>686265632</v>
      </c>
      <c r="X1354" s="1011" t="s">
        <v>1835</v>
      </c>
      <c r="Y1354" s="108" t="s">
        <v>1837</v>
      </c>
      <c r="Z1354" s="109">
        <v>0</v>
      </c>
      <c r="AA1354" s="109">
        <v>45781639.200000003</v>
      </c>
      <c r="AB1354" s="109">
        <f t="shared" si="117"/>
        <v>45781639.200000003</v>
      </c>
      <c r="AC1354" s="97">
        <v>42366</v>
      </c>
      <c r="AD1354" s="119">
        <v>45781639.200000003</v>
      </c>
      <c r="AE1354" s="1065" t="s">
        <v>141</v>
      </c>
      <c r="AF1354" s="1043">
        <f>SUM(AD1354:AD1357)</f>
        <v>457816392</v>
      </c>
      <c r="AG1354" s="1043">
        <f>AF1354+AF1358</f>
        <v>474180441</v>
      </c>
      <c r="AH1354" s="111">
        <f t="shared" si="118"/>
        <v>0</v>
      </c>
      <c r="AI1354" s="1043">
        <f>P1354-SUM(AD1354:AD1357)</f>
        <v>4578</v>
      </c>
      <c r="AJ1354" s="1062">
        <f>SUM(Z1354:Z1359)-SUM(AD1354:AD1359)</f>
        <v>-16364049</v>
      </c>
      <c r="AK1354" s="1062">
        <f>P1354-V1354</f>
        <v>4578</v>
      </c>
      <c r="AL1354" s="1062">
        <f>V1354-SUM(Z1354:Z1357)+AJ1354</f>
        <v>-16364049</v>
      </c>
      <c r="AM1354" s="1062"/>
      <c r="AN1354" s="1108"/>
      <c r="AO1354" s="1195" t="s">
        <v>1839</v>
      </c>
    </row>
    <row r="1355" spans="1:43" ht="15" customHeight="1">
      <c r="A1355" s="1050"/>
      <c r="B1355" s="1069"/>
      <c r="C1355" s="1033"/>
      <c r="D1355" s="1033"/>
      <c r="E1355" s="1072"/>
      <c r="F1355" s="1072"/>
      <c r="G1355" s="1033"/>
      <c r="H1355" s="1033"/>
      <c r="I1355" s="1033"/>
      <c r="J1355" s="1033"/>
      <c r="K1355" s="1033"/>
      <c r="L1355" s="1033"/>
      <c r="M1355" s="1039"/>
      <c r="N1355" s="1066"/>
      <c r="O1355" s="1063"/>
      <c r="P1355" s="1063"/>
      <c r="Q1355" s="1063"/>
      <c r="R1355" s="1069"/>
      <c r="S1355" s="1093"/>
      <c r="T1355" s="1093"/>
      <c r="U1355" s="1093"/>
      <c r="V1355" s="1044"/>
      <c r="W1355" s="1063"/>
      <c r="X1355" s="1033"/>
      <c r="Y1355" s="108" t="s">
        <v>1838</v>
      </c>
      <c r="Z1355" s="109">
        <v>78513296</v>
      </c>
      <c r="AA1355" s="109">
        <v>-7851329.5999999996</v>
      </c>
      <c r="AB1355" s="109">
        <f t="shared" si="117"/>
        <v>70661966.400000006</v>
      </c>
      <c r="AC1355" s="97">
        <v>42859</v>
      </c>
      <c r="AD1355" s="119">
        <v>70661966.400000006</v>
      </c>
      <c r="AE1355" s="1066"/>
      <c r="AF1355" s="1044"/>
      <c r="AG1355" s="1044"/>
      <c r="AH1355" s="111">
        <f t="shared" si="118"/>
        <v>0</v>
      </c>
      <c r="AI1355" s="1044"/>
      <c r="AJ1355" s="1063"/>
      <c r="AK1355" s="1063"/>
      <c r="AL1355" s="1063"/>
      <c r="AM1355" s="1063"/>
      <c r="AN1355" s="1109"/>
      <c r="AO1355" s="1104"/>
    </row>
    <row r="1356" spans="1:43" ht="15" customHeight="1">
      <c r="A1356" s="1050"/>
      <c r="B1356" s="1069"/>
      <c r="C1356" s="1033"/>
      <c r="D1356" s="1033"/>
      <c r="E1356" s="1072"/>
      <c r="F1356" s="1072"/>
      <c r="G1356" s="1033"/>
      <c r="H1356" s="1033"/>
      <c r="I1356" s="1033"/>
      <c r="J1356" s="1033"/>
      <c r="K1356" s="1033"/>
      <c r="L1356" s="1033"/>
      <c r="M1356" s="1039"/>
      <c r="N1356" s="1066"/>
      <c r="O1356" s="1063"/>
      <c r="P1356" s="1063"/>
      <c r="Q1356" s="1063"/>
      <c r="R1356" s="1069"/>
      <c r="S1356" s="1093"/>
      <c r="T1356" s="1093"/>
      <c r="U1356" s="1093"/>
      <c r="V1356" s="1044"/>
      <c r="W1356" s="1063"/>
      <c r="X1356" s="1033"/>
      <c r="Y1356" s="773" t="s">
        <v>2720</v>
      </c>
      <c r="Z1356" s="109">
        <v>379303096</v>
      </c>
      <c r="AA1356" s="109">
        <v>-37930309.600000001</v>
      </c>
      <c r="AB1356" s="109">
        <f>Z1356+AA1356</f>
        <v>341372786.39999998</v>
      </c>
      <c r="AC1356" s="97">
        <v>43196</v>
      </c>
      <c r="AD1356" s="119">
        <f>+AB1356</f>
        <v>341372786.39999998</v>
      </c>
      <c r="AE1356" s="1066"/>
      <c r="AF1356" s="1044"/>
      <c r="AG1356" s="1044"/>
      <c r="AH1356" s="111">
        <f t="shared" si="118"/>
        <v>0</v>
      </c>
      <c r="AI1356" s="1044"/>
      <c r="AJ1356" s="1063"/>
      <c r="AK1356" s="1063"/>
      <c r="AL1356" s="1063"/>
      <c r="AM1356" s="1063"/>
      <c r="AN1356" s="1109"/>
      <c r="AO1356" s="1104"/>
    </row>
    <row r="1357" spans="1:43" ht="15" customHeight="1">
      <c r="A1357" s="1050"/>
      <c r="B1357" s="1069"/>
      <c r="C1357" s="1033"/>
      <c r="D1357" s="1033"/>
      <c r="E1357" s="1072"/>
      <c r="F1357" s="1072"/>
      <c r="G1357" s="1033"/>
      <c r="H1357" s="1033"/>
      <c r="I1357" s="1033"/>
      <c r="J1357" s="1012"/>
      <c r="K1357" s="1033"/>
      <c r="L1357" s="1033"/>
      <c r="M1357" s="1010"/>
      <c r="N1357" s="1067"/>
      <c r="O1357" s="1064"/>
      <c r="P1357" s="1064"/>
      <c r="Q1357" s="1063"/>
      <c r="R1357" s="1070"/>
      <c r="S1357" s="1094"/>
      <c r="T1357" s="1094"/>
      <c r="U1357" s="1094"/>
      <c r="V1357" s="1045"/>
      <c r="W1357" s="1063"/>
      <c r="X1357" s="1033"/>
      <c r="Y1357" s="108"/>
      <c r="Z1357" s="109"/>
      <c r="AA1357" s="109"/>
      <c r="AB1357" s="109"/>
      <c r="AC1357" s="97"/>
      <c r="AD1357" s="119"/>
      <c r="AE1357" s="1067"/>
      <c r="AF1357" s="1045"/>
      <c r="AG1357" s="1044"/>
      <c r="AH1357" s="111">
        <f t="shared" si="118"/>
        <v>0</v>
      </c>
      <c r="AI1357" s="1045"/>
      <c r="AJ1357" s="1063"/>
      <c r="AK1357" s="1064"/>
      <c r="AL1357" s="1064"/>
      <c r="AM1357" s="1064"/>
      <c r="AN1357" s="1109"/>
      <c r="AO1357" s="1104"/>
    </row>
    <row r="1358" spans="1:43" ht="15" customHeight="1">
      <c r="A1358" s="1050"/>
      <c r="B1358" s="1069"/>
      <c r="C1358" s="1033"/>
      <c r="D1358" s="1033"/>
      <c r="E1358" s="1072"/>
      <c r="F1358" s="1072"/>
      <c r="G1358" s="1033"/>
      <c r="H1358" s="1033"/>
      <c r="I1358" s="1033"/>
      <c r="J1358" s="1011" t="s">
        <v>67</v>
      </c>
      <c r="K1358" s="1033"/>
      <c r="L1358" s="1033"/>
      <c r="M1358" s="1009">
        <v>2295</v>
      </c>
      <c r="N1358" s="1065" t="s">
        <v>141</v>
      </c>
      <c r="O1358" s="1062">
        <v>228449240</v>
      </c>
      <c r="P1358" s="1062">
        <v>228449240</v>
      </c>
      <c r="Q1358" s="1063"/>
      <c r="R1358" s="1068">
        <v>42779</v>
      </c>
      <c r="S1358" s="1092">
        <f>T1358</f>
        <v>228449240</v>
      </c>
      <c r="T1358" s="1092">
        <v>228449240</v>
      </c>
      <c r="U1358" s="1092">
        <f>O1358-T1358</f>
        <v>0</v>
      </c>
      <c r="V1358" s="1043">
        <v>228449240</v>
      </c>
      <c r="W1358" s="1063"/>
      <c r="X1358" s="1033"/>
      <c r="Y1358" s="620" t="s">
        <v>2661</v>
      </c>
      <c r="Z1358" s="109"/>
      <c r="AA1358" s="109">
        <f>+AB1358</f>
        <v>16364049</v>
      </c>
      <c r="AB1358" s="109">
        <f>+AD1358</f>
        <v>16364049</v>
      </c>
      <c r="AC1358" s="97">
        <v>43196</v>
      </c>
      <c r="AD1358" s="119">
        <v>16364049</v>
      </c>
      <c r="AE1358" s="622" t="s">
        <v>141</v>
      </c>
      <c r="AF1358" s="1043">
        <f>SUM(AD1358:AD1359)</f>
        <v>16364049</v>
      </c>
      <c r="AG1358" s="1044"/>
      <c r="AH1358" s="111">
        <f t="shared" si="118"/>
        <v>0</v>
      </c>
      <c r="AI1358" s="1043"/>
      <c r="AJ1358" s="1063"/>
      <c r="AK1358" s="1062">
        <f>P1358-V1358</f>
        <v>0</v>
      </c>
      <c r="AL1358" s="1062">
        <f>V1358-SUM(Z1358:Z1359)</f>
        <v>228449240</v>
      </c>
      <c r="AM1358" s="1062"/>
      <c r="AN1358" s="1109"/>
      <c r="AO1358" s="1104"/>
    </row>
    <row r="1359" spans="1:43" ht="15" customHeight="1">
      <c r="A1359" s="1016"/>
      <c r="B1359" s="1070"/>
      <c r="C1359" s="1012"/>
      <c r="D1359" s="1012"/>
      <c r="E1359" s="1073"/>
      <c r="F1359" s="1073"/>
      <c r="G1359" s="1012"/>
      <c r="H1359" s="1012"/>
      <c r="I1359" s="1012"/>
      <c r="J1359" s="1012"/>
      <c r="K1359" s="1012"/>
      <c r="L1359" s="1012"/>
      <c r="M1359" s="1010"/>
      <c r="N1359" s="1067"/>
      <c r="O1359" s="1064"/>
      <c r="P1359" s="1064"/>
      <c r="Q1359" s="1064"/>
      <c r="R1359" s="1070"/>
      <c r="S1359" s="1094"/>
      <c r="T1359" s="1094"/>
      <c r="U1359" s="1094"/>
      <c r="V1359" s="1045"/>
      <c r="W1359" s="1064"/>
      <c r="X1359" s="1012"/>
      <c r="Y1359" s="912"/>
      <c r="Z1359" s="109"/>
      <c r="AA1359" s="109"/>
      <c r="AB1359" s="109"/>
      <c r="AC1359" s="97"/>
      <c r="AD1359" s="119"/>
      <c r="AE1359" s="98"/>
      <c r="AF1359" s="1045"/>
      <c r="AG1359" s="1045"/>
      <c r="AH1359" s="111">
        <f t="shared" si="118"/>
        <v>0</v>
      </c>
      <c r="AI1359" s="1045"/>
      <c r="AJ1359" s="1064"/>
      <c r="AK1359" s="1064"/>
      <c r="AL1359" s="1064"/>
      <c r="AM1359" s="1064"/>
      <c r="AN1359" s="1110"/>
      <c r="AO1359" s="1105"/>
    </row>
    <row r="1360" spans="1:43" s="4" customFormat="1" ht="15" customHeight="1">
      <c r="A1360" s="1025" t="s">
        <v>1879</v>
      </c>
      <c r="B1360" s="97">
        <v>42131</v>
      </c>
      <c r="C1360" s="104" t="s">
        <v>41</v>
      </c>
      <c r="D1360" s="96" t="s">
        <v>1866</v>
      </c>
      <c r="E1360" s="96" t="s">
        <v>1865</v>
      </c>
      <c r="F1360" s="96"/>
      <c r="G1360" s="96" t="s">
        <v>1864</v>
      </c>
      <c r="H1360" s="96" t="s">
        <v>70</v>
      </c>
      <c r="I1360" s="96" t="s">
        <v>206</v>
      </c>
      <c r="J1360" s="96" t="s">
        <v>66</v>
      </c>
      <c r="K1360" s="96" t="s">
        <v>48</v>
      </c>
      <c r="L1360" s="96" t="s">
        <v>1863</v>
      </c>
      <c r="M1360" s="1009">
        <v>309</v>
      </c>
      <c r="N1360" s="1021" t="s">
        <v>137</v>
      </c>
      <c r="O1360" s="1023">
        <v>60574346</v>
      </c>
      <c r="P1360" s="1023">
        <v>60574346</v>
      </c>
      <c r="Q1360" s="96"/>
      <c r="R1360" s="97"/>
      <c r="S1360" s="116"/>
      <c r="T1360" s="117"/>
      <c r="U1360" s="117"/>
      <c r="V1360" s="96">
        <v>60473700</v>
      </c>
      <c r="W1360" s="96">
        <v>60473700</v>
      </c>
      <c r="X1360" s="96"/>
      <c r="Y1360" s="131" t="s">
        <v>1862</v>
      </c>
      <c r="Z1360" s="103">
        <v>43195500</v>
      </c>
      <c r="AA1360" s="103">
        <v>0</v>
      </c>
      <c r="AB1360" s="103">
        <f>SUM(Z1360:AA1360)</f>
        <v>43195500</v>
      </c>
      <c r="AC1360" s="97">
        <v>42685</v>
      </c>
      <c r="AD1360" s="98">
        <v>43195500</v>
      </c>
      <c r="AE1360" s="1021" t="s">
        <v>137</v>
      </c>
      <c r="AF1360" s="96">
        <f>SUM(AD1360)</f>
        <v>43195500</v>
      </c>
      <c r="AG1360" s="96">
        <f>SUM(AF1360)</f>
        <v>43195500</v>
      </c>
      <c r="AH1360" s="96">
        <v>0</v>
      </c>
      <c r="AI1360" s="96">
        <v>0</v>
      </c>
      <c r="AJ1360" s="96"/>
      <c r="AK1360" s="96">
        <f>O1360-V1360</f>
        <v>100646</v>
      </c>
      <c r="AL1360" s="96"/>
      <c r="AM1360" s="96"/>
      <c r="AN1360" s="96"/>
      <c r="AO1360" s="96" t="s">
        <v>1882</v>
      </c>
      <c r="AQ1360" s="934"/>
    </row>
    <row r="1361" spans="1:43" s="4" customFormat="1" ht="15" customHeight="1">
      <c r="A1361" s="1026"/>
      <c r="B1361" s="654"/>
      <c r="C1361" s="703"/>
      <c r="D1361" s="656"/>
      <c r="E1361" s="656"/>
      <c r="F1361" s="657"/>
      <c r="G1361" s="656"/>
      <c r="H1361" s="657"/>
      <c r="I1361" s="657"/>
      <c r="J1361" s="657"/>
      <c r="K1361" s="657"/>
      <c r="L1361" s="656"/>
      <c r="M1361" s="1010"/>
      <c r="N1361" s="1022"/>
      <c r="O1361" s="1024"/>
      <c r="P1361" s="1024"/>
      <c r="Q1361" s="656"/>
      <c r="R1361" s="651"/>
      <c r="S1361" s="673"/>
      <c r="T1361" s="662"/>
      <c r="U1361" s="662"/>
      <c r="V1361" s="656"/>
      <c r="W1361" s="656"/>
      <c r="X1361" s="656"/>
      <c r="Y1361" s="682" t="s">
        <v>2700</v>
      </c>
      <c r="Z1361" s="676">
        <f>+'[1]ORDEN DE PAGO TRAMITADAS '!$Z$128</f>
        <v>17278200</v>
      </c>
      <c r="AA1361" s="676"/>
      <c r="AB1361" s="676">
        <f>SUM(Z1361:AA1361)</f>
        <v>17278200</v>
      </c>
      <c r="AC1361" s="665">
        <v>43088</v>
      </c>
      <c r="AD1361" s="655">
        <f>+AB1361</f>
        <v>17278200</v>
      </c>
      <c r="AE1361" s="1022"/>
      <c r="AF1361" s="656"/>
      <c r="AG1361" s="656"/>
      <c r="AH1361" s="664"/>
      <c r="AI1361" s="656"/>
      <c r="AJ1361" s="656"/>
      <c r="AK1361" s="656"/>
      <c r="AL1361" s="656"/>
      <c r="AM1361" s="656"/>
      <c r="AN1361" s="656"/>
      <c r="AO1361" s="656"/>
      <c r="AQ1361" s="934"/>
    </row>
    <row r="1362" spans="1:43" s="4" customFormat="1" ht="15" customHeight="1">
      <c r="A1362" s="1026"/>
      <c r="B1362" s="654"/>
      <c r="C1362" s="703"/>
      <c r="D1362" s="656"/>
      <c r="E1362" s="656"/>
      <c r="F1362" s="657"/>
      <c r="G1362" s="656"/>
      <c r="H1362" s="657"/>
      <c r="I1362" s="657"/>
      <c r="J1362" s="657"/>
      <c r="K1362" s="657"/>
      <c r="L1362" s="656"/>
      <c r="M1362" s="1028">
        <v>3563</v>
      </c>
      <c r="N1362" s="1021" t="s">
        <v>166</v>
      </c>
      <c r="O1362" s="657"/>
      <c r="P1362" s="657"/>
      <c r="Q1362" s="656"/>
      <c r="R1362" s="651"/>
      <c r="S1362" s="673"/>
      <c r="T1362" s="662"/>
      <c r="U1362" s="662"/>
      <c r="V1362" s="656"/>
      <c r="W1362" s="656"/>
      <c r="X1362" s="656"/>
      <c r="Y1362" s="682" t="s">
        <v>2701</v>
      </c>
      <c r="Z1362" s="676">
        <f>+'[1]ORDEN DE PAGO TRAMITADAS '!$T$128</f>
        <v>8360700</v>
      </c>
      <c r="AA1362" s="676"/>
      <c r="AB1362" s="676">
        <f>SUM(Z1362:AA1362)</f>
        <v>8360700</v>
      </c>
      <c r="AC1362" s="665">
        <v>43088</v>
      </c>
      <c r="AD1362" s="655">
        <f>+AB1362</f>
        <v>8360700</v>
      </c>
      <c r="AE1362" s="655" t="s">
        <v>166</v>
      </c>
      <c r="AF1362" s="656"/>
      <c r="AG1362" s="656"/>
      <c r="AH1362" s="664"/>
      <c r="AI1362" s="656"/>
      <c r="AJ1362" s="656"/>
      <c r="AK1362" s="656"/>
      <c r="AL1362" s="656"/>
      <c r="AM1362" s="656"/>
      <c r="AN1362" s="656"/>
      <c r="AO1362" s="656"/>
      <c r="AQ1362" s="934"/>
    </row>
    <row r="1363" spans="1:43" s="4" customFormat="1" ht="15" customHeight="1">
      <c r="A1363" s="1027"/>
      <c r="B1363" s="654"/>
      <c r="C1363" s="703"/>
      <c r="D1363" s="656"/>
      <c r="E1363" s="656"/>
      <c r="F1363" s="657"/>
      <c r="G1363" s="656"/>
      <c r="H1363" s="657"/>
      <c r="I1363" s="657"/>
      <c r="J1363" s="657"/>
      <c r="K1363" s="657"/>
      <c r="L1363" s="656"/>
      <c r="M1363" s="1029"/>
      <c r="N1363" s="1022"/>
      <c r="O1363" s="657"/>
      <c r="P1363" s="657"/>
      <c r="Q1363" s="656"/>
      <c r="R1363" s="651"/>
      <c r="S1363" s="673"/>
      <c r="T1363" s="662"/>
      <c r="U1363" s="662"/>
      <c r="V1363" s="656"/>
      <c r="W1363" s="656"/>
      <c r="X1363" s="656"/>
      <c r="Y1363" s="682"/>
      <c r="Z1363" s="676"/>
      <c r="AA1363" s="676"/>
      <c r="AB1363" s="676"/>
      <c r="AC1363" s="665"/>
      <c r="AD1363" s="655"/>
      <c r="AE1363" s="655"/>
      <c r="AF1363" s="656"/>
      <c r="AG1363" s="656"/>
      <c r="AH1363" s="664"/>
      <c r="AI1363" s="656"/>
      <c r="AJ1363" s="656"/>
      <c r="AK1363" s="656"/>
      <c r="AL1363" s="656"/>
      <c r="AM1363" s="656"/>
      <c r="AN1363" s="656"/>
      <c r="AO1363" s="656"/>
      <c r="AQ1363" s="934"/>
    </row>
    <row r="1364" spans="1:43" s="4" customFormat="1" ht="15" customHeight="1">
      <c r="A1364" s="1190" t="s">
        <v>2051</v>
      </c>
      <c r="B1364" s="1069">
        <v>42138</v>
      </c>
      <c r="C1364" s="1100" t="s">
        <v>5</v>
      </c>
      <c r="D1364" s="1100" t="s">
        <v>2034</v>
      </c>
      <c r="E1364" s="1097">
        <v>900845940</v>
      </c>
      <c r="F1364" s="1193">
        <v>1</v>
      </c>
      <c r="G1364" s="1100" t="s">
        <v>2873</v>
      </c>
      <c r="H1364" s="1124" t="s">
        <v>70</v>
      </c>
      <c r="I1364" s="1124" t="s">
        <v>206</v>
      </c>
      <c r="J1364" s="1124" t="s">
        <v>66</v>
      </c>
      <c r="K1364" s="1124" t="s">
        <v>49</v>
      </c>
      <c r="L1364" s="1100" t="s">
        <v>2054</v>
      </c>
      <c r="M1364" s="1145">
        <v>313</v>
      </c>
      <c r="N1364" s="1124" t="s">
        <v>137</v>
      </c>
      <c r="O1364" s="1062">
        <v>417660037</v>
      </c>
      <c r="P1364" s="1062">
        <v>417660037</v>
      </c>
      <c r="Q1364" s="1062">
        <v>417660037</v>
      </c>
      <c r="R1364" s="1068"/>
      <c r="S1364" s="1089">
        <f>T1364</f>
        <v>417660037</v>
      </c>
      <c r="T1364" s="1089">
        <v>417660037</v>
      </c>
      <c r="U1364" s="1089">
        <f>P1364-T1364</f>
        <v>0</v>
      </c>
      <c r="V1364" s="1062">
        <f>W1364</f>
        <v>417600000</v>
      </c>
      <c r="W1364" s="1062">
        <v>417600000</v>
      </c>
      <c r="X1364" s="1011" t="s">
        <v>1843</v>
      </c>
      <c r="Y1364" s="108" t="s">
        <v>2055</v>
      </c>
      <c r="Z1364" s="109">
        <v>0</v>
      </c>
      <c r="AA1364" s="109">
        <v>41760000</v>
      </c>
      <c r="AB1364" s="109">
        <f>AA1364+Z1364</f>
        <v>41760000</v>
      </c>
      <c r="AC1364" s="97">
        <v>42261</v>
      </c>
      <c r="AD1364" s="119">
        <v>41760000</v>
      </c>
      <c r="AE1364" s="98" t="s">
        <v>137</v>
      </c>
      <c r="AF1364" s="1043">
        <f>SUM(AD1364:AD1368)</f>
        <v>372499200</v>
      </c>
      <c r="AG1364" s="1043">
        <f>AF1364</f>
        <v>372499200</v>
      </c>
      <c r="AH1364" s="111">
        <f t="shared" ref="AH1364:AH1407" si="119">AB1364-AD1364</f>
        <v>0</v>
      </c>
      <c r="AI1364" s="1043">
        <f>P1364-AF1364</f>
        <v>45160837</v>
      </c>
      <c r="AJ1364" s="1043">
        <f>SUM(Z1364:Z1368)-SUM(AD1364:AD1368)</f>
        <v>-5011200</v>
      </c>
      <c r="AK1364" s="1043">
        <f>P1364-V1364</f>
        <v>60037</v>
      </c>
      <c r="AL1364" s="1043">
        <f>V1364-SUM(Z1364:Z1368)+AJ1364</f>
        <v>45100800</v>
      </c>
      <c r="AM1364" s="1043"/>
      <c r="AN1364" s="1108" t="s">
        <v>2033</v>
      </c>
      <c r="AO1364" s="1108" t="s">
        <v>2053</v>
      </c>
      <c r="AQ1364" s="934"/>
    </row>
    <row r="1365" spans="1:43" s="4" customFormat="1" ht="15" customHeight="1">
      <c r="A1365" s="1191"/>
      <c r="B1365" s="1069"/>
      <c r="C1365" s="1101"/>
      <c r="D1365" s="1101"/>
      <c r="E1365" s="1098"/>
      <c r="F1365" s="1193"/>
      <c r="G1365" s="1101"/>
      <c r="H1365" s="1124"/>
      <c r="I1365" s="1124"/>
      <c r="J1365" s="1124"/>
      <c r="K1365" s="1124"/>
      <c r="L1365" s="1101"/>
      <c r="M1365" s="1146"/>
      <c r="N1365" s="1124"/>
      <c r="O1365" s="1063"/>
      <c r="P1365" s="1063"/>
      <c r="Q1365" s="1063"/>
      <c r="R1365" s="1069"/>
      <c r="S1365" s="1090"/>
      <c r="T1365" s="1090"/>
      <c r="U1365" s="1090"/>
      <c r="V1365" s="1063"/>
      <c r="W1365" s="1063"/>
      <c r="X1365" s="1033"/>
      <c r="Y1365" s="108" t="s">
        <v>2056</v>
      </c>
      <c r="Z1365" s="109">
        <v>100224000</v>
      </c>
      <c r="AA1365" s="109">
        <v>-10022400</v>
      </c>
      <c r="AB1365" s="109">
        <f>AA1365+Z1365</f>
        <v>90201600</v>
      </c>
      <c r="AC1365" s="97">
        <v>42342</v>
      </c>
      <c r="AD1365" s="119">
        <v>90201600</v>
      </c>
      <c r="AE1365" s="98" t="s">
        <v>137</v>
      </c>
      <c r="AF1365" s="1044"/>
      <c r="AG1365" s="1044"/>
      <c r="AH1365" s="111">
        <f t="shared" si="119"/>
        <v>0</v>
      </c>
      <c r="AI1365" s="1044"/>
      <c r="AJ1365" s="1044"/>
      <c r="AK1365" s="1044"/>
      <c r="AL1365" s="1044"/>
      <c r="AM1365" s="1044"/>
      <c r="AN1365" s="1109"/>
      <c r="AO1365" s="1109"/>
      <c r="AQ1365" s="934"/>
    </row>
    <row r="1366" spans="1:43" s="4" customFormat="1" ht="15" customHeight="1">
      <c r="A1366" s="1191"/>
      <c r="B1366" s="1069"/>
      <c r="C1366" s="1101"/>
      <c r="D1366" s="1101"/>
      <c r="E1366" s="1098"/>
      <c r="F1366" s="1193"/>
      <c r="G1366" s="1101"/>
      <c r="H1366" s="1124"/>
      <c r="I1366" s="1124"/>
      <c r="J1366" s="1124"/>
      <c r="K1366" s="1124"/>
      <c r="L1366" s="1101"/>
      <c r="M1366" s="1146"/>
      <c r="N1366" s="1124"/>
      <c r="O1366" s="1063"/>
      <c r="P1366" s="1063"/>
      <c r="Q1366" s="1063"/>
      <c r="R1366" s="1069"/>
      <c r="S1366" s="1090"/>
      <c r="T1366" s="1090"/>
      <c r="U1366" s="1090"/>
      <c r="V1366" s="1063"/>
      <c r="W1366" s="1063"/>
      <c r="X1366" s="1033"/>
      <c r="Y1366" s="108" t="s">
        <v>2057</v>
      </c>
      <c r="Z1366" s="109">
        <v>108576000</v>
      </c>
      <c r="AA1366" s="109">
        <f>-Z1366*0.1</f>
        <v>-10857600</v>
      </c>
      <c r="AB1366" s="109">
        <f>AA1366+Z1366</f>
        <v>97718400</v>
      </c>
      <c r="AC1366" s="97">
        <v>42366</v>
      </c>
      <c r="AD1366" s="119">
        <v>97718400</v>
      </c>
      <c r="AE1366" s="98" t="s">
        <v>137</v>
      </c>
      <c r="AF1366" s="1044"/>
      <c r="AG1366" s="1044"/>
      <c r="AH1366" s="111">
        <f t="shared" si="119"/>
        <v>0</v>
      </c>
      <c r="AI1366" s="1044"/>
      <c r="AJ1366" s="1044"/>
      <c r="AK1366" s="1044"/>
      <c r="AL1366" s="1044"/>
      <c r="AM1366" s="1044"/>
      <c r="AN1366" s="1109"/>
      <c r="AO1366" s="1109"/>
      <c r="AQ1366" s="934"/>
    </row>
    <row r="1367" spans="1:43" s="4" customFormat="1" ht="15" customHeight="1">
      <c r="A1367" s="1191"/>
      <c r="B1367" s="1069"/>
      <c r="C1367" s="1101"/>
      <c r="D1367" s="1101"/>
      <c r="E1367" s="1098"/>
      <c r="F1367" s="1193"/>
      <c r="G1367" s="1101"/>
      <c r="H1367" s="1124"/>
      <c r="I1367" s="1124"/>
      <c r="J1367" s="1124"/>
      <c r="K1367" s="1124"/>
      <c r="L1367" s="1101"/>
      <c r="M1367" s="1146"/>
      <c r="N1367" s="1124"/>
      <c r="O1367" s="1063"/>
      <c r="P1367" s="1063"/>
      <c r="Q1367" s="1063"/>
      <c r="R1367" s="1069"/>
      <c r="S1367" s="1090"/>
      <c r="T1367" s="1090"/>
      <c r="U1367" s="1090"/>
      <c r="V1367" s="1063"/>
      <c r="W1367" s="1063"/>
      <c r="X1367" s="1033"/>
      <c r="Y1367" s="108" t="s">
        <v>2058</v>
      </c>
      <c r="Z1367" s="109">
        <v>91872000</v>
      </c>
      <c r="AA1367" s="109">
        <f>-Z1367*0.1</f>
        <v>-9187200</v>
      </c>
      <c r="AB1367" s="109">
        <f>AA1367+Z1367</f>
        <v>82684800</v>
      </c>
      <c r="AC1367" s="97">
        <v>42650</v>
      </c>
      <c r="AD1367" s="119">
        <v>82684800</v>
      </c>
      <c r="AE1367" s="98" t="s">
        <v>137</v>
      </c>
      <c r="AF1367" s="1044"/>
      <c r="AG1367" s="1044"/>
      <c r="AH1367" s="111">
        <f t="shared" si="119"/>
        <v>0</v>
      </c>
      <c r="AI1367" s="1044"/>
      <c r="AJ1367" s="1044"/>
      <c r="AK1367" s="1044"/>
      <c r="AL1367" s="1044"/>
      <c r="AM1367" s="1044"/>
      <c r="AN1367" s="1109"/>
      <c r="AO1367" s="1109"/>
      <c r="AQ1367" s="934"/>
    </row>
    <row r="1368" spans="1:43" s="4" customFormat="1" ht="15" customHeight="1">
      <c r="A1368" s="1192"/>
      <c r="B1368" s="1070"/>
      <c r="C1368" s="1102"/>
      <c r="D1368" s="1102"/>
      <c r="E1368" s="1099"/>
      <c r="F1368" s="1194"/>
      <c r="G1368" s="1102"/>
      <c r="H1368" s="1024"/>
      <c r="I1368" s="1024"/>
      <c r="J1368" s="1024"/>
      <c r="K1368" s="1024"/>
      <c r="L1368" s="1102"/>
      <c r="M1368" s="1147"/>
      <c r="N1368" s="1024"/>
      <c r="O1368" s="1064"/>
      <c r="P1368" s="1064"/>
      <c r="Q1368" s="1064"/>
      <c r="R1368" s="1070"/>
      <c r="S1368" s="1091"/>
      <c r="T1368" s="1091"/>
      <c r="U1368" s="1091"/>
      <c r="V1368" s="1064"/>
      <c r="W1368" s="1064"/>
      <c r="X1368" s="1012"/>
      <c r="Y1368" s="108" t="s">
        <v>2059</v>
      </c>
      <c r="Z1368" s="109">
        <v>66816000</v>
      </c>
      <c r="AA1368" s="109">
        <f>-Z1368*0.1</f>
        <v>-6681600</v>
      </c>
      <c r="AB1368" s="109">
        <f>AA1368+Z1368</f>
        <v>60134400</v>
      </c>
      <c r="AC1368" s="97">
        <v>42731</v>
      </c>
      <c r="AD1368" s="119">
        <v>60134400</v>
      </c>
      <c r="AE1368" s="98" t="s">
        <v>137</v>
      </c>
      <c r="AF1368" s="1045"/>
      <c r="AG1368" s="1045"/>
      <c r="AH1368" s="111">
        <f t="shared" si="119"/>
        <v>0</v>
      </c>
      <c r="AI1368" s="1045"/>
      <c r="AJ1368" s="1045"/>
      <c r="AK1368" s="1045"/>
      <c r="AL1368" s="1045"/>
      <c r="AM1368" s="1045"/>
      <c r="AN1368" s="1110"/>
      <c r="AO1368" s="1110"/>
      <c r="AQ1368" s="934"/>
    </row>
    <row r="1369" spans="1:43" ht="15" customHeight="1">
      <c r="A1369" s="1015" t="s">
        <v>1840</v>
      </c>
      <c r="B1369" s="1068">
        <v>42149</v>
      </c>
      <c r="C1369" s="1011" t="s">
        <v>23</v>
      </c>
      <c r="D1369" s="1011" t="s">
        <v>1841</v>
      </c>
      <c r="E1369" s="1071">
        <v>10291216</v>
      </c>
      <c r="F1369" s="1071"/>
      <c r="G1369" s="1011" t="s">
        <v>2814</v>
      </c>
      <c r="H1369" s="1011" t="s">
        <v>70</v>
      </c>
      <c r="I1369" s="1011" t="s">
        <v>206</v>
      </c>
      <c r="J1369" s="1011" t="s">
        <v>66</v>
      </c>
      <c r="K1369" s="1011" t="s">
        <v>49</v>
      </c>
      <c r="L1369" s="1011" t="s">
        <v>1845</v>
      </c>
      <c r="M1369" s="1009">
        <v>5</v>
      </c>
      <c r="N1369" s="1065" t="s">
        <v>146</v>
      </c>
      <c r="O1369" s="1062">
        <v>27030784</v>
      </c>
      <c r="P1369" s="1062">
        <v>27030784</v>
      </c>
      <c r="Q1369" s="1062">
        <f>P1369+P1371</f>
        <v>32490519</v>
      </c>
      <c r="R1369" s="1068">
        <v>41936</v>
      </c>
      <c r="S1369" s="1092">
        <f>T1369</f>
        <v>27030784</v>
      </c>
      <c r="T1369" s="1092">
        <v>27030784</v>
      </c>
      <c r="U1369" s="1092">
        <f>O1369-T1369</f>
        <v>0</v>
      </c>
      <c r="V1369" s="1043">
        <v>27000000</v>
      </c>
      <c r="W1369" s="1062">
        <f>27000000+V1371</f>
        <v>32459735</v>
      </c>
      <c r="X1369" s="1011" t="s">
        <v>1843</v>
      </c>
      <c r="Y1369" s="108" t="s">
        <v>1846</v>
      </c>
      <c r="Z1369" s="109">
        <v>17010000</v>
      </c>
      <c r="AA1369" s="109">
        <v>0</v>
      </c>
      <c r="AB1369" s="109">
        <f t="shared" ref="AB1369:AB1407" si="120">Z1369+AA1369</f>
        <v>17010000</v>
      </c>
      <c r="AC1369" s="97">
        <v>42692</v>
      </c>
      <c r="AD1369" s="119">
        <v>17010000</v>
      </c>
      <c r="AE1369" s="98" t="s">
        <v>146</v>
      </c>
      <c r="AF1369" s="1043">
        <f>AD1369+AD1370</f>
        <v>17010000</v>
      </c>
      <c r="AG1369" s="1043">
        <f>AF1369+AF1371</f>
        <v>17010000</v>
      </c>
      <c r="AH1369" s="111">
        <f t="shared" si="119"/>
        <v>0</v>
      </c>
      <c r="AI1369" s="1043">
        <f>P1369-SUM(AD1369:AD1370)</f>
        <v>10020784</v>
      </c>
      <c r="AJ1369" s="1062">
        <f>SUM(Z1369:Z1371)-SUM(AD1369:AD1371)</f>
        <v>0</v>
      </c>
      <c r="AK1369" s="1062">
        <f>P1369-V1369</f>
        <v>30784</v>
      </c>
      <c r="AL1369" s="1062">
        <f>V1369-SUM(Z1369:Z1370)</f>
        <v>9990000</v>
      </c>
      <c r="AM1369" s="1062"/>
      <c r="AN1369" s="1108"/>
      <c r="AO1369" s="1103" t="s">
        <v>1767</v>
      </c>
    </row>
    <row r="1370" spans="1:43" ht="15" customHeight="1">
      <c r="A1370" s="1050"/>
      <c r="B1370" s="1069"/>
      <c r="C1370" s="1033"/>
      <c r="D1370" s="1033"/>
      <c r="E1370" s="1072"/>
      <c r="F1370" s="1072"/>
      <c r="G1370" s="1033"/>
      <c r="H1370" s="1033"/>
      <c r="I1370" s="1033"/>
      <c r="J1370" s="1033"/>
      <c r="K1370" s="1033"/>
      <c r="L1370" s="1033"/>
      <c r="M1370" s="1010"/>
      <c r="N1370" s="1067"/>
      <c r="O1370" s="1064"/>
      <c r="P1370" s="1064"/>
      <c r="Q1370" s="1063"/>
      <c r="R1370" s="1070"/>
      <c r="S1370" s="1094"/>
      <c r="T1370" s="1094"/>
      <c r="U1370" s="1094"/>
      <c r="V1370" s="1045"/>
      <c r="W1370" s="1063"/>
      <c r="X1370" s="1033"/>
      <c r="Y1370" s="108"/>
      <c r="Z1370" s="109"/>
      <c r="AA1370" s="109"/>
      <c r="AB1370" s="109">
        <f t="shared" si="120"/>
        <v>0</v>
      </c>
      <c r="AC1370" s="97"/>
      <c r="AD1370" s="119"/>
      <c r="AE1370" s="98"/>
      <c r="AF1370" s="1045"/>
      <c r="AG1370" s="1044"/>
      <c r="AH1370" s="111">
        <f t="shared" si="119"/>
        <v>0</v>
      </c>
      <c r="AI1370" s="1045"/>
      <c r="AJ1370" s="1063"/>
      <c r="AK1370" s="1064"/>
      <c r="AL1370" s="1064"/>
      <c r="AM1370" s="1064"/>
      <c r="AN1370" s="1109"/>
      <c r="AO1370" s="1104"/>
    </row>
    <row r="1371" spans="1:43" ht="15" customHeight="1">
      <c r="A1371" s="1016"/>
      <c r="B1371" s="1070"/>
      <c r="C1371" s="1012"/>
      <c r="D1371" s="1012"/>
      <c r="E1371" s="1073"/>
      <c r="F1371" s="1073"/>
      <c r="G1371" s="1012"/>
      <c r="H1371" s="1012"/>
      <c r="I1371" s="1012"/>
      <c r="J1371" s="113" t="s">
        <v>67</v>
      </c>
      <c r="K1371" s="1012"/>
      <c r="L1371" s="1012"/>
      <c r="M1371" s="102">
        <v>174</v>
      </c>
      <c r="N1371" s="108" t="s">
        <v>7</v>
      </c>
      <c r="O1371" s="109">
        <v>5459735</v>
      </c>
      <c r="P1371" s="109">
        <v>5459735</v>
      </c>
      <c r="Q1371" s="1064"/>
      <c r="R1371" s="97">
        <v>40745</v>
      </c>
      <c r="S1371" s="110"/>
      <c r="T1371" s="109"/>
      <c r="U1371" s="109"/>
      <c r="V1371" s="111">
        <v>5459735</v>
      </c>
      <c r="W1371" s="1064"/>
      <c r="X1371" s="1012"/>
      <c r="Y1371" s="108"/>
      <c r="Z1371" s="109"/>
      <c r="AA1371" s="109"/>
      <c r="AB1371" s="109">
        <f t="shared" si="120"/>
        <v>0</v>
      </c>
      <c r="AC1371" s="97"/>
      <c r="AD1371" s="119"/>
      <c r="AE1371" s="98"/>
      <c r="AF1371" s="111"/>
      <c r="AG1371" s="1045"/>
      <c r="AH1371" s="111">
        <f t="shared" si="119"/>
        <v>0</v>
      </c>
      <c r="AI1371" s="111"/>
      <c r="AJ1371" s="1064"/>
      <c r="AK1371" s="109">
        <f>P1371-V1371</f>
        <v>0</v>
      </c>
      <c r="AL1371" s="109">
        <f>V1371-Z1371</f>
        <v>5459735</v>
      </c>
      <c r="AM1371" s="109"/>
      <c r="AN1371" s="1110"/>
      <c r="AO1371" s="1105"/>
    </row>
    <row r="1372" spans="1:43" s="203" customFormat="1" ht="15" customHeight="1">
      <c r="A1372" s="1373" t="s">
        <v>2723</v>
      </c>
      <c r="B1372" s="508"/>
      <c r="C1372" s="502"/>
      <c r="D1372" s="502" t="s">
        <v>2610</v>
      </c>
      <c r="E1372" s="510"/>
      <c r="F1372" s="510"/>
      <c r="G1372" s="519" t="s">
        <v>2622</v>
      </c>
      <c r="H1372" s="502"/>
      <c r="I1372" s="502"/>
      <c r="J1372" s="501"/>
      <c r="K1372" s="502"/>
      <c r="L1372" s="502"/>
      <c r="M1372" s="1138">
        <v>312</v>
      </c>
      <c r="N1372" s="1056" t="s">
        <v>137</v>
      </c>
      <c r="O1372" s="1087">
        <v>2543520874</v>
      </c>
      <c r="P1372" s="506"/>
      <c r="Q1372" s="507"/>
      <c r="R1372" s="498">
        <v>41997</v>
      </c>
      <c r="S1372" s="509"/>
      <c r="T1372" s="506"/>
      <c r="U1372" s="506"/>
      <c r="V1372" s="504"/>
      <c r="W1372" s="507"/>
      <c r="X1372" s="502"/>
      <c r="Y1372" s="497" t="s">
        <v>2614</v>
      </c>
      <c r="Z1372" s="499"/>
      <c r="AA1372" s="499"/>
      <c r="AB1372" s="499"/>
      <c r="AC1372" s="498">
        <v>42192</v>
      </c>
      <c r="AD1372" s="517">
        <v>1017346264.6799999</v>
      </c>
      <c r="AE1372" s="1056" t="s">
        <v>137</v>
      </c>
      <c r="AF1372" s="1059">
        <f>SUM(AD1372:AD1387)</f>
        <v>4458285144.0899992</v>
      </c>
      <c r="AG1372" s="505"/>
      <c r="AH1372" s="500"/>
      <c r="AI1372" s="504"/>
      <c r="AJ1372" s="507"/>
      <c r="AK1372" s="506"/>
      <c r="AL1372" s="506"/>
      <c r="AM1372" s="506"/>
      <c r="AN1372" s="532"/>
      <c r="AO1372" s="503"/>
      <c r="AQ1372" s="934"/>
    </row>
    <row r="1373" spans="1:43" s="203" customFormat="1" ht="15" customHeight="1">
      <c r="A1373" s="1374"/>
      <c r="B1373" s="508"/>
      <c r="C1373" s="502"/>
      <c r="D1373" s="502"/>
      <c r="E1373" s="510"/>
      <c r="F1373" s="510"/>
      <c r="G1373" s="502"/>
      <c r="H1373" s="502"/>
      <c r="I1373" s="502"/>
      <c r="J1373" s="501"/>
      <c r="K1373" s="502"/>
      <c r="L1373" s="502"/>
      <c r="M1373" s="1139"/>
      <c r="N1373" s="1057"/>
      <c r="O1373" s="1088"/>
      <c r="P1373" s="506"/>
      <c r="Q1373" s="507"/>
      <c r="R1373" s="498"/>
      <c r="S1373" s="509"/>
      <c r="T1373" s="506"/>
      <c r="U1373" s="506"/>
      <c r="V1373" s="504"/>
      <c r="W1373" s="507"/>
      <c r="X1373" s="502"/>
      <c r="Y1373" s="497" t="s">
        <v>2619</v>
      </c>
      <c r="Z1373" s="499"/>
      <c r="AA1373" s="499"/>
      <c r="AB1373" s="499"/>
      <c r="AC1373" s="498">
        <v>42285</v>
      </c>
      <c r="AD1373" s="517">
        <v>238288600.50999999</v>
      </c>
      <c r="AE1373" s="1057"/>
      <c r="AF1373" s="1060"/>
      <c r="AG1373" s="505"/>
      <c r="AH1373" s="500"/>
      <c r="AI1373" s="504"/>
      <c r="AJ1373" s="507"/>
      <c r="AK1373" s="506"/>
      <c r="AL1373" s="506"/>
      <c r="AM1373" s="506"/>
      <c r="AN1373" s="532"/>
      <c r="AO1373" s="503"/>
      <c r="AQ1373" s="934"/>
    </row>
    <row r="1374" spans="1:43" s="203" customFormat="1" ht="15" customHeight="1">
      <c r="A1374" s="1374"/>
      <c r="B1374" s="508"/>
      <c r="C1374" s="502"/>
      <c r="D1374" s="502"/>
      <c r="E1374" s="510"/>
      <c r="F1374" s="510"/>
      <c r="G1374" s="502"/>
      <c r="H1374" s="502"/>
      <c r="I1374" s="502"/>
      <c r="J1374" s="501"/>
      <c r="K1374" s="502"/>
      <c r="L1374" s="502"/>
      <c r="M1374" s="1139"/>
      <c r="N1374" s="1057"/>
      <c r="O1374" s="1088"/>
      <c r="P1374" s="506"/>
      <c r="Q1374" s="507"/>
      <c r="R1374" s="498"/>
      <c r="S1374" s="509"/>
      <c r="T1374" s="506"/>
      <c r="U1374" s="506"/>
      <c r="V1374" s="504"/>
      <c r="W1374" s="507"/>
      <c r="X1374" s="502"/>
      <c r="Y1374" s="497" t="s">
        <v>2620</v>
      </c>
      <c r="Z1374" s="499"/>
      <c r="AA1374" s="499"/>
      <c r="AB1374" s="499"/>
      <c r="AC1374" s="498">
        <v>42325</v>
      </c>
      <c r="AD1374" s="517">
        <v>137380949.21000001</v>
      </c>
      <c r="AE1374" s="1057"/>
      <c r="AF1374" s="1060"/>
      <c r="AG1374" s="505"/>
      <c r="AH1374" s="500"/>
      <c r="AI1374" s="504"/>
      <c r="AJ1374" s="507"/>
      <c r="AK1374" s="506"/>
      <c r="AL1374" s="506"/>
      <c r="AM1374" s="506"/>
      <c r="AN1374" s="532"/>
      <c r="AO1374" s="503"/>
      <c r="AQ1374" s="934"/>
    </row>
    <row r="1375" spans="1:43" s="203" customFormat="1" ht="15" customHeight="1">
      <c r="A1375" s="1374"/>
      <c r="B1375" s="508"/>
      <c r="C1375" s="502"/>
      <c r="D1375" s="502"/>
      <c r="E1375" s="510"/>
      <c r="F1375" s="510"/>
      <c r="G1375" s="502"/>
      <c r="H1375" s="502"/>
      <c r="I1375" s="502"/>
      <c r="J1375" s="501"/>
      <c r="K1375" s="502"/>
      <c r="L1375" s="502"/>
      <c r="M1375" s="1139"/>
      <c r="N1375" s="1057"/>
      <c r="O1375" s="1088"/>
      <c r="P1375" s="506"/>
      <c r="Q1375" s="507"/>
      <c r="R1375" s="498"/>
      <c r="S1375" s="509"/>
      <c r="T1375" s="506"/>
      <c r="U1375" s="506"/>
      <c r="V1375" s="504"/>
      <c r="W1375" s="507"/>
      <c r="X1375" s="502"/>
      <c r="Y1375" s="497" t="s">
        <v>2617</v>
      </c>
      <c r="Z1375" s="499"/>
      <c r="AA1375" s="499"/>
      <c r="AB1375" s="499"/>
      <c r="AC1375" s="498">
        <v>42367</v>
      </c>
      <c r="AD1375" s="517">
        <v>397784011.82999998</v>
      </c>
      <c r="AE1375" s="1057"/>
      <c r="AF1375" s="1060"/>
      <c r="AG1375" s="505"/>
      <c r="AH1375" s="500"/>
      <c r="AI1375" s="504"/>
      <c r="AJ1375" s="507"/>
      <c r="AK1375" s="506"/>
      <c r="AL1375" s="506"/>
      <c r="AM1375" s="506"/>
      <c r="AN1375" s="532"/>
      <c r="AO1375" s="503"/>
      <c r="AQ1375" s="934"/>
    </row>
    <row r="1376" spans="1:43" s="203" customFormat="1" ht="15" customHeight="1">
      <c r="A1376" s="1374"/>
      <c r="B1376" s="508"/>
      <c r="C1376" s="502"/>
      <c r="D1376" s="502"/>
      <c r="E1376" s="510"/>
      <c r="F1376" s="510"/>
      <c r="G1376" s="502"/>
      <c r="H1376" s="502"/>
      <c r="I1376" s="502"/>
      <c r="J1376" s="501"/>
      <c r="K1376" s="502"/>
      <c r="L1376" s="502"/>
      <c r="M1376" s="1139"/>
      <c r="N1376" s="1057"/>
      <c r="O1376" s="1088"/>
      <c r="P1376" s="506"/>
      <c r="Q1376" s="507"/>
      <c r="R1376" s="498"/>
      <c r="S1376" s="509"/>
      <c r="T1376" s="506"/>
      <c r="U1376" s="506"/>
      <c r="V1376" s="504"/>
      <c r="W1376" s="507"/>
      <c r="X1376" s="502"/>
      <c r="Y1376" s="497" t="s">
        <v>2616</v>
      </c>
      <c r="Z1376" s="499"/>
      <c r="AA1376" s="499"/>
      <c r="AB1376" s="499"/>
      <c r="AC1376" s="498">
        <v>42621</v>
      </c>
      <c r="AD1376" s="517">
        <v>430281928.57999998</v>
      </c>
      <c r="AE1376" s="1057"/>
      <c r="AF1376" s="1060"/>
      <c r="AG1376" s="505"/>
      <c r="AH1376" s="500"/>
      <c r="AI1376" s="504"/>
      <c r="AJ1376" s="507"/>
      <c r="AK1376" s="506"/>
      <c r="AL1376" s="506"/>
      <c r="AM1376" s="506"/>
      <c r="AN1376" s="532"/>
      <c r="AO1376" s="503"/>
      <c r="AQ1376" s="934"/>
    </row>
    <row r="1377" spans="1:43" s="203" customFormat="1" ht="15" customHeight="1">
      <c r="A1377" s="1374"/>
      <c r="B1377" s="508"/>
      <c r="C1377" s="502"/>
      <c r="D1377" s="502"/>
      <c r="E1377" s="510"/>
      <c r="F1377" s="510"/>
      <c r="G1377" s="502"/>
      <c r="H1377" s="502"/>
      <c r="I1377" s="502"/>
      <c r="J1377" s="501"/>
      <c r="K1377" s="502"/>
      <c r="L1377" s="502"/>
      <c r="M1377" s="1139"/>
      <c r="N1377" s="1057"/>
      <c r="O1377" s="1111"/>
      <c r="P1377" s="506"/>
      <c r="Q1377" s="507"/>
      <c r="R1377" s="498"/>
      <c r="S1377" s="509"/>
      <c r="T1377" s="506"/>
      <c r="U1377" s="506"/>
      <c r="V1377" s="504"/>
      <c r="W1377" s="507"/>
      <c r="X1377" s="502"/>
      <c r="Y1377" s="526" t="s">
        <v>2630</v>
      </c>
      <c r="Z1377" s="499"/>
      <c r="AA1377" s="499"/>
      <c r="AB1377" s="499"/>
      <c r="AC1377" s="498">
        <v>42817</v>
      </c>
      <c r="AD1377" s="517">
        <v>87069491</v>
      </c>
      <c r="AE1377" s="1058"/>
      <c r="AF1377" s="1060"/>
      <c r="AG1377" s="505"/>
      <c r="AH1377" s="500"/>
      <c r="AI1377" s="504"/>
      <c r="AJ1377" s="507"/>
      <c r="AK1377" s="506"/>
      <c r="AL1377" s="506"/>
      <c r="AM1377" s="506"/>
      <c r="AN1377" s="532"/>
      <c r="AO1377" s="503"/>
      <c r="AQ1377" s="934"/>
    </row>
    <row r="1378" spans="1:43" s="203" customFormat="1" ht="15" customHeight="1">
      <c r="A1378" s="1374"/>
      <c r="B1378" s="782"/>
      <c r="C1378" s="744"/>
      <c r="D1378" s="744"/>
      <c r="E1378" s="787"/>
      <c r="F1378" s="787"/>
      <c r="G1378" s="744"/>
      <c r="H1378" s="744"/>
      <c r="I1378" s="744"/>
      <c r="J1378" s="743"/>
      <c r="K1378" s="744"/>
      <c r="L1378" s="744"/>
      <c r="M1378" s="1139"/>
      <c r="N1378" s="1057"/>
      <c r="O1378" s="749"/>
      <c r="P1378" s="748"/>
      <c r="Q1378" s="749"/>
      <c r="R1378" s="777"/>
      <c r="S1378" s="783"/>
      <c r="T1378" s="748"/>
      <c r="U1378" s="748"/>
      <c r="V1378" s="785"/>
      <c r="W1378" s="749"/>
      <c r="X1378" s="744"/>
      <c r="Y1378" s="776" t="s">
        <v>2742</v>
      </c>
      <c r="Z1378" s="742">
        <v>334988835.85000002</v>
      </c>
      <c r="AA1378" s="742">
        <v>-121995534.38</v>
      </c>
      <c r="AB1378" s="742">
        <v>212993301.47000003</v>
      </c>
      <c r="AC1378" s="937">
        <v>43230</v>
      </c>
      <c r="AD1378" s="785">
        <f>+AB1378</f>
        <v>212993301.47000003</v>
      </c>
      <c r="AE1378" s="746"/>
      <c r="AF1378" s="1060"/>
      <c r="AG1378" s="786"/>
      <c r="AH1378" s="778"/>
      <c r="AI1378" s="785"/>
      <c r="AJ1378" s="749"/>
      <c r="AK1378" s="748"/>
      <c r="AL1378" s="748"/>
      <c r="AM1378" s="748"/>
      <c r="AN1378" s="532"/>
      <c r="AO1378" s="784"/>
      <c r="AQ1378" s="934"/>
    </row>
    <row r="1379" spans="1:43" s="203" customFormat="1" ht="15" customHeight="1">
      <c r="A1379" s="1374"/>
      <c r="B1379" s="782"/>
      <c r="C1379" s="744"/>
      <c r="D1379" s="744"/>
      <c r="E1379" s="787"/>
      <c r="F1379" s="787"/>
      <c r="G1379" s="744"/>
      <c r="H1379" s="744"/>
      <c r="I1379" s="744"/>
      <c r="J1379" s="743"/>
      <c r="K1379" s="744"/>
      <c r="L1379" s="744"/>
      <c r="M1379" s="1139"/>
      <c r="N1379" s="1058"/>
      <c r="O1379" s="749"/>
      <c r="P1379" s="748"/>
      <c r="Q1379" s="749"/>
      <c r="R1379" s="777"/>
      <c r="S1379" s="783"/>
      <c r="T1379" s="748"/>
      <c r="U1379" s="748"/>
      <c r="V1379" s="785"/>
      <c r="W1379" s="749"/>
      <c r="X1379" s="744"/>
      <c r="Y1379" s="776"/>
      <c r="Z1379" s="742"/>
      <c r="AA1379" s="742"/>
      <c r="AB1379" s="742"/>
      <c r="AC1379" s="777"/>
      <c r="AD1379" s="785"/>
      <c r="AE1379" s="746"/>
      <c r="AF1379" s="1060"/>
      <c r="AG1379" s="786"/>
      <c r="AH1379" s="778"/>
      <c r="AI1379" s="785"/>
      <c r="AJ1379" s="749"/>
      <c r="AK1379" s="748"/>
      <c r="AL1379" s="748"/>
      <c r="AM1379" s="748"/>
      <c r="AN1379" s="532"/>
      <c r="AO1379" s="784"/>
      <c r="AQ1379" s="934"/>
    </row>
    <row r="1380" spans="1:43" s="203" customFormat="1" ht="15" customHeight="1">
      <c r="A1380" s="1374"/>
      <c r="B1380" s="508"/>
      <c r="C1380" s="502"/>
      <c r="D1380" s="502"/>
      <c r="E1380" s="510"/>
      <c r="F1380" s="510"/>
      <c r="G1380" s="502"/>
      <c r="H1380" s="502"/>
      <c r="I1380" s="502"/>
      <c r="J1380" s="501"/>
      <c r="K1380" s="502"/>
      <c r="L1380" s="502"/>
      <c r="M1380" s="1139"/>
      <c r="N1380" s="1056" t="s">
        <v>7</v>
      </c>
      <c r="O1380" s="1087">
        <v>1980000000</v>
      </c>
      <c r="P1380" s="506"/>
      <c r="Q1380" s="507"/>
      <c r="R1380" s="498"/>
      <c r="S1380" s="509"/>
      <c r="T1380" s="506"/>
      <c r="U1380" s="506"/>
      <c r="V1380" s="504"/>
      <c r="W1380" s="507"/>
      <c r="X1380" s="502"/>
      <c r="Y1380" s="497" t="s">
        <v>2615</v>
      </c>
      <c r="Z1380" s="499"/>
      <c r="AA1380" s="499"/>
      <c r="AB1380" s="499"/>
      <c r="AC1380" s="498">
        <v>42192</v>
      </c>
      <c r="AD1380" s="200">
        <v>791951670.08000004</v>
      </c>
      <c r="AE1380" s="1056" t="s">
        <v>7</v>
      </c>
      <c r="AF1380" s="1060"/>
      <c r="AG1380" s="505"/>
      <c r="AH1380" s="500"/>
      <c r="AI1380" s="504"/>
      <c r="AJ1380" s="507"/>
      <c r="AK1380" s="506"/>
      <c r="AL1380" s="506"/>
      <c r="AM1380" s="506"/>
      <c r="AN1380" s="532"/>
      <c r="AO1380" s="503"/>
      <c r="AQ1380" s="934"/>
    </row>
    <row r="1381" spans="1:43" s="203" customFormat="1" ht="15" customHeight="1">
      <c r="A1381" s="1374"/>
      <c r="B1381" s="508"/>
      <c r="C1381" s="502"/>
      <c r="D1381" s="502"/>
      <c r="E1381" s="510"/>
      <c r="F1381" s="510"/>
      <c r="G1381" s="502"/>
      <c r="H1381" s="502"/>
      <c r="I1381" s="502"/>
      <c r="J1381" s="501"/>
      <c r="K1381" s="502"/>
      <c r="L1381" s="502"/>
      <c r="M1381" s="1139"/>
      <c r="N1381" s="1057"/>
      <c r="O1381" s="1088"/>
      <c r="P1381" s="506"/>
      <c r="Q1381" s="507"/>
      <c r="R1381" s="498"/>
      <c r="S1381" s="509"/>
      <c r="T1381" s="506"/>
      <c r="U1381" s="506"/>
      <c r="V1381" s="504"/>
      <c r="W1381" s="507"/>
      <c r="X1381" s="502"/>
      <c r="Y1381" s="497" t="s">
        <v>2621</v>
      </c>
      <c r="Z1381" s="499"/>
      <c r="AA1381" s="499"/>
      <c r="AB1381" s="499"/>
      <c r="AC1381" s="498">
        <v>42285</v>
      </c>
      <c r="AD1381" s="200">
        <v>185495402.77000001</v>
      </c>
      <c r="AE1381" s="1057"/>
      <c r="AF1381" s="1060"/>
      <c r="AG1381" s="505"/>
      <c r="AH1381" s="500"/>
      <c r="AI1381" s="504"/>
      <c r="AJ1381" s="507"/>
      <c r="AK1381" s="506"/>
      <c r="AL1381" s="506"/>
      <c r="AM1381" s="506"/>
      <c r="AN1381" s="532"/>
      <c r="AO1381" s="503"/>
      <c r="AQ1381" s="934"/>
    </row>
    <row r="1382" spans="1:43" s="203" customFormat="1" ht="15" customHeight="1">
      <c r="A1382" s="1374"/>
      <c r="B1382" s="520"/>
      <c r="C1382" s="519"/>
      <c r="D1382" s="519"/>
      <c r="E1382" s="522"/>
      <c r="F1382" s="522"/>
      <c r="G1382" s="519"/>
      <c r="H1382" s="519"/>
      <c r="I1382" s="519"/>
      <c r="J1382" s="518"/>
      <c r="K1382" s="519"/>
      <c r="L1382" s="519"/>
      <c r="M1382" s="1139"/>
      <c r="N1382" s="1057"/>
      <c r="O1382" s="1088"/>
      <c r="P1382" s="514"/>
      <c r="Q1382" s="515"/>
      <c r="R1382" s="527"/>
      <c r="S1382" s="516"/>
      <c r="T1382" s="514"/>
      <c r="U1382" s="514"/>
      <c r="V1382" s="517"/>
      <c r="W1382" s="515"/>
      <c r="X1382" s="519"/>
      <c r="Y1382" s="526" t="s">
        <v>2631</v>
      </c>
      <c r="Z1382" s="525"/>
      <c r="AA1382" s="525"/>
      <c r="AB1382" s="525"/>
      <c r="AC1382" s="527">
        <v>42325</v>
      </c>
      <c r="AD1382" s="200">
        <v>106943993.37</v>
      </c>
      <c r="AE1382" s="1057"/>
      <c r="AF1382" s="1060"/>
      <c r="AG1382" s="521"/>
      <c r="AH1382" s="524"/>
      <c r="AI1382" s="517"/>
      <c r="AJ1382" s="515"/>
      <c r="AK1382" s="514"/>
      <c r="AL1382" s="514"/>
      <c r="AM1382" s="514"/>
      <c r="AN1382" s="532"/>
      <c r="AO1382" s="523"/>
      <c r="AQ1382" s="934"/>
    </row>
    <row r="1383" spans="1:43" s="203" customFormat="1" ht="15" customHeight="1">
      <c r="A1383" s="1374"/>
      <c r="B1383" s="508"/>
      <c r="C1383" s="502"/>
      <c r="D1383" s="502"/>
      <c r="E1383" s="510"/>
      <c r="F1383" s="510"/>
      <c r="G1383" s="502"/>
      <c r="H1383" s="502"/>
      <c r="I1383" s="502"/>
      <c r="J1383" s="501"/>
      <c r="K1383" s="502"/>
      <c r="L1383" s="502"/>
      <c r="M1383" s="1139"/>
      <c r="N1383" s="1057"/>
      <c r="O1383" s="1088"/>
      <c r="P1383" s="506"/>
      <c r="Q1383" s="507"/>
      <c r="R1383" s="498"/>
      <c r="S1383" s="509"/>
      <c r="T1383" s="506"/>
      <c r="U1383" s="506"/>
      <c r="V1383" s="504"/>
      <c r="W1383" s="507"/>
      <c r="X1383" s="502"/>
      <c r="Y1383" s="497" t="s">
        <v>2617</v>
      </c>
      <c r="Z1383" s="499"/>
      <c r="AA1383" s="499"/>
      <c r="AB1383" s="499"/>
      <c r="AC1383" s="498">
        <v>42367</v>
      </c>
      <c r="AD1383" s="200">
        <v>309654365.91000003</v>
      </c>
      <c r="AE1383" s="1057"/>
      <c r="AF1383" s="1060"/>
      <c r="AG1383" s="505"/>
      <c r="AH1383" s="500"/>
      <c r="AI1383" s="504"/>
      <c r="AJ1383" s="507"/>
      <c r="AK1383" s="506"/>
      <c r="AL1383" s="506"/>
      <c r="AM1383" s="506"/>
      <c r="AN1383" s="532"/>
      <c r="AO1383" s="503"/>
      <c r="AQ1383" s="934"/>
    </row>
    <row r="1384" spans="1:43" s="203" customFormat="1" ht="15" customHeight="1">
      <c r="A1384" s="1374"/>
      <c r="B1384" s="508"/>
      <c r="C1384" s="502"/>
      <c r="D1384" s="502"/>
      <c r="E1384" s="510"/>
      <c r="F1384" s="510"/>
      <c r="G1384" s="502"/>
      <c r="H1384" s="502"/>
      <c r="I1384" s="502"/>
      <c r="J1384" s="501"/>
      <c r="K1384" s="502"/>
      <c r="L1384" s="502"/>
      <c r="M1384" s="1139"/>
      <c r="N1384" s="1057"/>
      <c r="O1384" s="1088"/>
      <c r="P1384" s="506"/>
      <c r="Q1384" s="507"/>
      <c r="R1384" s="498"/>
      <c r="S1384" s="509"/>
      <c r="T1384" s="506"/>
      <c r="U1384" s="506"/>
      <c r="V1384" s="504"/>
      <c r="W1384" s="507"/>
      <c r="X1384" s="502"/>
      <c r="Y1384" s="497" t="s">
        <v>2616</v>
      </c>
      <c r="Z1384" s="499"/>
      <c r="AA1384" s="499"/>
      <c r="AB1384" s="499"/>
      <c r="AC1384" s="498">
        <v>42621</v>
      </c>
      <c r="AD1384" s="200">
        <v>157107470.71000001</v>
      </c>
      <c r="AE1384" s="1057"/>
      <c r="AF1384" s="1060"/>
      <c r="AG1384" s="505"/>
      <c r="AH1384" s="500"/>
      <c r="AI1384" s="504"/>
      <c r="AJ1384" s="507"/>
      <c r="AK1384" s="506"/>
      <c r="AL1384" s="506"/>
      <c r="AM1384" s="506"/>
      <c r="AN1384" s="532"/>
      <c r="AO1384" s="503"/>
      <c r="AQ1384" s="934"/>
    </row>
    <row r="1385" spans="1:43" s="203" customFormat="1" ht="15" customHeight="1">
      <c r="A1385" s="1374"/>
      <c r="B1385" s="508"/>
      <c r="C1385" s="502"/>
      <c r="D1385" s="502"/>
      <c r="E1385" s="510"/>
      <c r="F1385" s="510"/>
      <c r="G1385" s="502"/>
      <c r="H1385" s="502"/>
      <c r="I1385" s="502"/>
      <c r="J1385" s="501"/>
      <c r="K1385" s="502"/>
      <c r="L1385" s="502"/>
      <c r="M1385" s="1139"/>
      <c r="N1385" s="1057"/>
      <c r="O1385" s="1088"/>
      <c r="P1385" s="506"/>
      <c r="Q1385" s="507"/>
      <c r="R1385" s="498"/>
      <c r="S1385" s="509"/>
      <c r="T1385" s="506"/>
      <c r="U1385" s="506"/>
      <c r="V1385" s="504"/>
      <c r="W1385" s="507"/>
      <c r="X1385" s="502"/>
      <c r="Y1385" s="497" t="s">
        <v>2618</v>
      </c>
      <c r="Z1385" s="499"/>
      <c r="AA1385" s="499"/>
      <c r="AB1385" s="499"/>
      <c r="AC1385" s="498">
        <v>42817</v>
      </c>
      <c r="AD1385" s="200">
        <v>273260092</v>
      </c>
      <c r="AE1385" s="1057"/>
      <c r="AF1385" s="1060"/>
      <c r="AG1385" s="505"/>
      <c r="AH1385" s="500"/>
      <c r="AI1385" s="504"/>
      <c r="AJ1385" s="507"/>
      <c r="AK1385" s="506"/>
      <c r="AL1385" s="506"/>
      <c r="AM1385" s="506"/>
      <c r="AN1385" s="532"/>
      <c r="AO1385" s="503"/>
      <c r="AQ1385" s="934"/>
    </row>
    <row r="1386" spans="1:43" s="203" customFormat="1" ht="15" customHeight="1">
      <c r="A1386" s="1374"/>
      <c r="B1386" s="508"/>
      <c r="C1386" s="502"/>
      <c r="D1386" s="502"/>
      <c r="E1386" s="510"/>
      <c r="F1386" s="510"/>
      <c r="G1386" s="502"/>
      <c r="H1386" s="502"/>
      <c r="I1386" s="502"/>
      <c r="J1386" s="501"/>
      <c r="K1386" s="502"/>
      <c r="L1386" s="502"/>
      <c r="M1386" s="1139"/>
      <c r="N1386" s="1057"/>
      <c r="O1386" s="1088"/>
      <c r="P1386" s="506"/>
      <c r="Q1386" s="507"/>
      <c r="R1386" s="498"/>
      <c r="S1386" s="509"/>
      <c r="T1386" s="506"/>
      <c r="U1386" s="506"/>
      <c r="V1386" s="504"/>
      <c r="W1386" s="507"/>
      <c r="X1386" s="502"/>
      <c r="Y1386" s="497" t="s">
        <v>2742</v>
      </c>
      <c r="Z1386" s="499">
        <v>187879336.61000001</v>
      </c>
      <c r="AA1386" s="499">
        <v>75151734.640000001</v>
      </c>
      <c r="AB1386" s="499">
        <v>112727601.97000001</v>
      </c>
      <c r="AC1386" s="937">
        <v>43230</v>
      </c>
      <c r="AD1386" s="200">
        <f>+AB1386</f>
        <v>112727601.97000001</v>
      </c>
      <c r="AE1386" s="1057"/>
      <c r="AF1386" s="1060"/>
      <c r="AG1386" s="505"/>
      <c r="AH1386" s="500"/>
      <c r="AI1386" s="504"/>
      <c r="AJ1386" s="507"/>
      <c r="AK1386" s="506"/>
      <c r="AL1386" s="506"/>
      <c r="AM1386" s="506"/>
      <c r="AN1386" s="532"/>
      <c r="AO1386" s="503"/>
      <c r="AQ1386" s="934"/>
    </row>
    <row r="1387" spans="1:43" s="203" customFormat="1" ht="15" customHeight="1">
      <c r="A1387" s="1374"/>
      <c r="B1387" s="508"/>
      <c r="C1387" s="502"/>
      <c r="D1387" s="502"/>
      <c r="E1387" s="510"/>
      <c r="F1387" s="510"/>
      <c r="G1387" s="502"/>
      <c r="H1387" s="502"/>
      <c r="I1387" s="502"/>
      <c r="J1387" s="501"/>
      <c r="K1387" s="502"/>
      <c r="L1387" s="502"/>
      <c r="M1387" s="1369"/>
      <c r="N1387" s="1058"/>
      <c r="O1387" s="1111"/>
      <c r="P1387" s="506"/>
      <c r="Q1387" s="507"/>
      <c r="R1387" s="498"/>
      <c r="S1387" s="509"/>
      <c r="T1387" s="506"/>
      <c r="U1387" s="506"/>
      <c r="V1387" s="504"/>
      <c r="W1387" s="507"/>
      <c r="X1387" s="502"/>
      <c r="Y1387" s="497"/>
      <c r="Z1387" s="499"/>
      <c r="AA1387" s="499"/>
      <c r="AB1387" s="499"/>
      <c r="AC1387" s="498"/>
      <c r="AD1387" s="200"/>
      <c r="AE1387" s="1058"/>
      <c r="AF1387" s="1061"/>
      <c r="AG1387" s="505"/>
      <c r="AH1387" s="500"/>
      <c r="AI1387" s="504"/>
      <c r="AJ1387" s="507"/>
      <c r="AK1387" s="506"/>
      <c r="AL1387" s="506"/>
      <c r="AM1387" s="506"/>
      <c r="AN1387" s="532"/>
      <c r="AO1387" s="503"/>
      <c r="AQ1387" s="934"/>
    </row>
    <row r="1388" spans="1:43" s="203" customFormat="1" ht="15" customHeight="1" thickBot="1">
      <c r="A1388" s="1374"/>
      <c r="B1388" s="508"/>
      <c r="C1388" s="502"/>
      <c r="D1388" s="502"/>
      <c r="E1388" s="510"/>
      <c r="F1388" s="510"/>
      <c r="G1388" s="502"/>
      <c r="H1388" s="502"/>
      <c r="I1388" s="502"/>
      <c r="J1388" s="501"/>
      <c r="K1388" s="502"/>
      <c r="L1388" s="502"/>
      <c r="M1388" s="1138">
        <v>326</v>
      </c>
      <c r="N1388" s="1206" t="s">
        <v>2611</v>
      </c>
      <c r="O1388" s="1087">
        <v>1300000000</v>
      </c>
      <c r="P1388" s="506"/>
      <c r="Q1388" s="507"/>
      <c r="R1388" s="498"/>
      <c r="S1388" s="509"/>
      <c r="T1388" s="506"/>
      <c r="U1388" s="506"/>
      <c r="V1388" s="1059">
        <v>1299920670.71</v>
      </c>
      <c r="W1388" s="507"/>
      <c r="X1388" s="502"/>
      <c r="Y1388" s="546" t="s">
        <v>1869</v>
      </c>
      <c r="Z1388" s="499"/>
      <c r="AA1388" s="499"/>
      <c r="AB1388" s="499"/>
      <c r="AC1388" s="498">
        <v>42192</v>
      </c>
      <c r="AD1388" s="200">
        <v>519968268.24000001</v>
      </c>
      <c r="AE1388" s="1056" t="s">
        <v>2611</v>
      </c>
      <c r="AF1388" s="1059">
        <f>SUM(AD1388:AD1393)</f>
        <v>1294090289.75</v>
      </c>
      <c r="AG1388" s="505"/>
      <c r="AH1388" s="500"/>
      <c r="AI1388" s="504"/>
      <c r="AJ1388" s="507"/>
      <c r="AK1388" s="506"/>
      <c r="AL1388" s="506"/>
      <c r="AM1388" s="506"/>
      <c r="AN1388" s="532"/>
      <c r="AO1388" s="503"/>
      <c r="AQ1388" s="934"/>
    </row>
    <row r="1389" spans="1:43" s="203" customFormat="1" ht="15" customHeight="1" thickBot="1">
      <c r="A1389" s="1374"/>
      <c r="B1389" s="508"/>
      <c r="C1389" s="502"/>
      <c r="D1389" s="502"/>
      <c r="E1389" s="510"/>
      <c r="F1389" s="510"/>
      <c r="G1389" s="502"/>
      <c r="H1389" s="502"/>
      <c r="I1389" s="502"/>
      <c r="J1389" s="501"/>
      <c r="K1389" s="502"/>
      <c r="L1389" s="502"/>
      <c r="M1389" s="1139"/>
      <c r="N1389" s="1206"/>
      <c r="O1389" s="1088"/>
      <c r="P1389" s="506"/>
      <c r="Q1389" s="507"/>
      <c r="R1389" s="498"/>
      <c r="S1389" s="509"/>
      <c r="T1389" s="506"/>
      <c r="U1389" s="506"/>
      <c r="V1389" s="1060"/>
      <c r="W1389" s="507"/>
      <c r="X1389" s="502"/>
      <c r="Y1389" s="558" t="s">
        <v>2626</v>
      </c>
      <c r="Z1389" s="499"/>
      <c r="AA1389" s="499"/>
      <c r="AB1389" s="499"/>
      <c r="AC1389" s="498">
        <v>42285</v>
      </c>
      <c r="AD1389" s="200">
        <v>121789910.92</v>
      </c>
      <c r="AE1389" s="1057"/>
      <c r="AF1389" s="1060"/>
      <c r="AG1389" s="505"/>
      <c r="AH1389" s="500"/>
      <c r="AI1389" s="504"/>
      <c r="AJ1389" s="507"/>
      <c r="AK1389" s="506"/>
      <c r="AL1389" s="506"/>
      <c r="AM1389" s="506"/>
      <c r="AN1389" s="532"/>
      <c r="AO1389" s="503"/>
      <c r="AQ1389" s="934"/>
    </row>
    <row r="1390" spans="1:43" s="203" customFormat="1" ht="15" customHeight="1" thickBot="1">
      <c r="A1390" s="1374"/>
      <c r="B1390" s="508"/>
      <c r="C1390" s="502"/>
      <c r="D1390" s="502"/>
      <c r="E1390" s="510"/>
      <c r="F1390" s="510"/>
      <c r="G1390" s="502"/>
      <c r="H1390" s="502"/>
      <c r="I1390" s="502"/>
      <c r="J1390" s="501"/>
      <c r="K1390" s="502"/>
      <c r="L1390" s="502"/>
      <c r="M1390" s="1139"/>
      <c r="N1390" s="1206"/>
      <c r="O1390" s="1088"/>
      <c r="P1390" s="506"/>
      <c r="Q1390" s="507"/>
      <c r="R1390" s="498"/>
      <c r="S1390" s="509"/>
      <c r="T1390" s="506"/>
      <c r="U1390" s="506"/>
      <c r="V1390" s="1060"/>
      <c r="W1390" s="507"/>
      <c r="X1390" s="502"/>
      <c r="Y1390" s="550" t="s">
        <v>2627</v>
      </c>
      <c r="Z1390" s="499"/>
      <c r="AA1390" s="499"/>
      <c r="AB1390" s="499"/>
      <c r="AC1390" s="498">
        <v>42325</v>
      </c>
      <c r="AD1390" s="200">
        <v>70215753.219999999</v>
      </c>
      <c r="AE1390" s="1057"/>
      <c r="AF1390" s="1060"/>
      <c r="AG1390" s="505"/>
      <c r="AH1390" s="500"/>
      <c r="AI1390" s="504"/>
      <c r="AJ1390" s="507"/>
      <c r="AK1390" s="506"/>
      <c r="AL1390" s="506"/>
      <c r="AM1390" s="506"/>
      <c r="AN1390" s="532"/>
      <c r="AO1390" s="503"/>
      <c r="AQ1390" s="934"/>
    </row>
    <row r="1391" spans="1:43" s="203" customFormat="1" ht="15" customHeight="1" thickBot="1">
      <c r="A1391" s="1374"/>
      <c r="B1391" s="508"/>
      <c r="C1391" s="502"/>
      <c r="D1391" s="502"/>
      <c r="E1391" s="510"/>
      <c r="F1391" s="510"/>
      <c r="G1391" s="502"/>
      <c r="H1391" s="502"/>
      <c r="I1391" s="502"/>
      <c r="J1391" s="501"/>
      <c r="K1391" s="502"/>
      <c r="L1391" s="502"/>
      <c r="M1391" s="1139"/>
      <c r="N1391" s="1206"/>
      <c r="O1391" s="1088"/>
      <c r="P1391" s="506"/>
      <c r="Q1391" s="507"/>
      <c r="R1391" s="498"/>
      <c r="S1391" s="509"/>
      <c r="T1391" s="506"/>
      <c r="U1391" s="506"/>
      <c r="V1391" s="1060"/>
      <c r="W1391" s="507"/>
      <c r="X1391" s="502"/>
      <c r="Y1391" s="554" t="s">
        <v>2625</v>
      </c>
      <c r="Z1391" s="499"/>
      <c r="AA1391" s="499"/>
      <c r="AB1391" s="499"/>
      <c r="AC1391" s="498">
        <v>42367</v>
      </c>
      <c r="AD1391" s="200">
        <v>203308422.06</v>
      </c>
      <c r="AE1391" s="1057"/>
      <c r="AF1391" s="1060"/>
      <c r="AG1391" s="505"/>
      <c r="AH1391" s="500"/>
      <c r="AI1391" s="504"/>
      <c r="AJ1391" s="507"/>
      <c r="AK1391" s="506"/>
      <c r="AL1391" s="506"/>
      <c r="AM1391" s="506"/>
      <c r="AN1391" s="532"/>
      <c r="AO1391" s="503"/>
      <c r="AQ1391" s="934"/>
    </row>
    <row r="1392" spans="1:43" s="203" customFormat="1" ht="15" customHeight="1" thickBot="1">
      <c r="A1392" s="1374"/>
      <c r="B1392" s="508"/>
      <c r="C1392" s="502"/>
      <c r="D1392" s="502"/>
      <c r="E1392" s="510"/>
      <c r="F1392" s="510"/>
      <c r="G1392" s="502"/>
      <c r="H1392" s="502"/>
      <c r="I1392" s="502"/>
      <c r="J1392" s="501"/>
      <c r="K1392" s="502"/>
      <c r="L1392" s="502"/>
      <c r="M1392" s="1139"/>
      <c r="N1392" s="1206"/>
      <c r="O1392" s="1088"/>
      <c r="P1392" s="506"/>
      <c r="Q1392" s="507"/>
      <c r="R1392" s="498"/>
      <c r="S1392" s="509"/>
      <c r="T1392" s="506"/>
      <c r="U1392" s="506"/>
      <c r="V1392" s="1060"/>
      <c r="W1392" s="507"/>
      <c r="X1392" s="502"/>
      <c r="Y1392" s="550" t="s">
        <v>2616</v>
      </c>
      <c r="Z1392" s="499"/>
      <c r="AA1392" s="499"/>
      <c r="AB1392" s="499"/>
      <c r="AC1392" s="498">
        <v>42621</v>
      </c>
      <c r="AD1392" s="200">
        <v>168807935.31</v>
      </c>
      <c r="AE1392" s="1057"/>
      <c r="AF1392" s="1060"/>
      <c r="AG1392" s="505"/>
      <c r="AH1392" s="500"/>
      <c r="AI1392" s="504"/>
      <c r="AJ1392" s="507"/>
      <c r="AK1392" s="506"/>
      <c r="AL1392" s="506"/>
      <c r="AM1392" s="506"/>
      <c r="AN1392" s="532"/>
      <c r="AO1392" s="503"/>
      <c r="AQ1392" s="934"/>
    </row>
    <row r="1393" spans="1:43" s="203" customFormat="1" ht="15" customHeight="1">
      <c r="A1393" s="1374"/>
      <c r="B1393" s="508"/>
      <c r="C1393" s="502"/>
      <c r="D1393" s="502"/>
      <c r="E1393" s="510"/>
      <c r="F1393" s="510"/>
      <c r="G1393" s="502"/>
      <c r="H1393" s="502"/>
      <c r="I1393" s="502"/>
      <c r="J1393" s="501"/>
      <c r="K1393" s="502"/>
      <c r="L1393" s="502"/>
      <c r="M1393" s="1139"/>
      <c r="N1393" s="1206"/>
      <c r="O1393" s="1111"/>
      <c r="P1393" s="506"/>
      <c r="Q1393" s="507"/>
      <c r="R1393" s="498"/>
      <c r="S1393" s="509"/>
      <c r="T1393" s="506"/>
      <c r="U1393" s="506"/>
      <c r="V1393" s="1061"/>
      <c r="W1393" s="507"/>
      <c r="X1393" s="502"/>
      <c r="Y1393" s="550" t="s">
        <v>2624</v>
      </c>
      <c r="Z1393" s="499"/>
      <c r="AA1393" s="499"/>
      <c r="AB1393" s="499"/>
      <c r="AC1393" s="498">
        <v>42817</v>
      </c>
      <c r="AD1393" s="200">
        <v>210000000</v>
      </c>
      <c r="AE1393" s="1058"/>
      <c r="AF1393" s="1061"/>
      <c r="AG1393" s="505"/>
      <c r="AH1393" s="500"/>
      <c r="AI1393" s="504"/>
      <c r="AJ1393" s="507"/>
      <c r="AK1393" s="506"/>
      <c r="AL1393" s="506"/>
      <c r="AM1393" s="506"/>
      <c r="AN1393" s="532"/>
      <c r="AO1393" s="503"/>
      <c r="AQ1393" s="934"/>
    </row>
    <row r="1394" spans="1:43" s="203" customFormat="1" ht="15" customHeight="1">
      <c r="A1394" s="1374"/>
      <c r="B1394" s="782"/>
      <c r="C1394" s="744"/>
      <c r="D1394" s="744"/>
      <c r="E1394" s="787"/>
      <c r="F1394" s="787"/>
      <c r="G1394" s="744"/>
      <c r="H1394" s="744"/>
      <c r="I1394" s="744"/>
      <c r="J1394" s="743"/>
      <c r="K1394" s="744"/>
      <c r="L1394" s="744"/>
      <c r="M1394" s="1139"/>
      <c r="N1394" s="1206"/>
      <c r="O1394" s="749"/>
      <c r="P1394" s="748"/>
      <c r="Q1394" s="749"/>
      <c r="R1394" s="777"/>
      <c r="S1394" s="783"/>
      <c r="T1394" s="748"/>
      <c r="U1394" s="748"/>
      <c r="V1394" s="786"/>
      <c r="W1394" s="749"/>
      <c r="X1394" s="744"/>
      <c r="Y1394" s="915" t="s">
        <v>2742</v>
      </c>
      <c r="Z1394" s="742">
        <v>29717301.539999999</v>
      </c>
      <c r="AA1394" s="742">
        <v>-23886920.579999998</v>
      </c>
      <c r="AB1394" s="742">
        <v>5830380.9600000009</v>
      </c>
      <c r="AC1394" s="937">
        <v>43230</v>
      </c>
      <c r="AD1394" s="200">
        <f>+AB1394</f>
        <v>5830380.9600000009</v>
      </c>
      <c r="AE1394" s="747"/>
      <c r="AF1394" s="786"/>
      <c r="AG1394" s="786"/>
      <c r="AH1394" s="778"/>
      <c r="AI1394" s="785"/>
      <c r="AJ1394" s="749"/>
      <c r="AK1394" s="748"/>
      <c r="AL1394" s="748"/>
      <c r="AM1394" s="748"/>
      <c r="AN1394" s="532"/>
      <c r="AO1394" s="784"/>
      <c r="AQ1394" s="934"/>
    </row>
    <row r="1395" spans="1:43" s="203" customFormat="1" ht="15" customHeight="1">
      <c r="A1395" s="1374"/>
      <c r="B1395" s="782"/>
      <c r="C1395" s="744"/>
      <c r="D1395" s="744"/>
      <c r="E1395" s="787"/>
      <c r="F1395" s="787"/>
      <c r="G1395" s="744"/>
      <c r="H1395" s="744"/>
      <c r="I1395" s="744"/>
      <c r="J1395" s="743"/>
      <c r="K1395" s="744"/>
      <c r="L1395" s="744"/>
      <c r="M1395" s="1369"/>
      <c r="N1395" s="1206"/>
      <c r="O1395" s="749"/>
      <c r="P1395" s="748"/>
      <c r="Q1395" s="749"/>
      <c r="R1395" s="777"/>
      <c r="S1395" s="783"/>
      <c r="T1395" s="748"/>
      <c r="U1395" s="748"/>
      <c r="V1395" s="786"/>
      <c r="W1395" s="749"/>
      <c r="X1395" s="744"/>
      <c r="Y1395" s="915"/>
      <c r="Z1395" s="742"/>
      <c r="AA1395" s="742"/>
      <c r="AB1395" s="742"/>
      <c r="AC1395" s="777"/>
      <c r="AD1395" s="200"/>
      <c r="AE1395" s="747"/>
      <c r="AF1395" s="786"/>
      <c r="AG1395" s="786"/>
      <c r="AH1395" s="778"/>
      <c r="AI1395" s="785"/>
      <c r="AJ1395" s="749"/>
      <c r="AK1395" s="748"/>
      <c r="AL1395" s="748"/>
      <c r="AM1395" s="748"/>
      <c r="AN1395" s="532"/>
      <c r="AO1395" s="784"/>
      <c r="AQ1395" s="934"/>
    </row>
    <row r="1396" spans="1:43" s="203" customFormat="1" ht="15" customHeight="1">
      <c r="A1396" s="1374"/>
      <c r="B1396" s="782"/>
      <c r="C1396" s="744"/>
      <c r="D1396" s="744"/>
      <c r="E1396" s="787"/>
      <c r="F1396" s="787"/>
      <c r="G1396" s="744"/>
      <c r="H1396" s="744"/>
      <c r="I1396" s="744"/>
      <c r="J1396" s="743"/>
      <c r="K1396" s="744"/>
      <c r="L1396" s="744"/>
      <c r="M1396" s="745">
        <v>3811</v>
      </c>
      <c r="N1396" s="746" t="s">
        <v>150</v>
      </c>
      <c r="O1396" s="749">
        <v>200000000</v>
      </c>
      <c r="P1396" s="748"/>
      <c r="Q1396" s="749"/>
      <c r="R1396" s="777">
        <v>43004</v>
      </c>
      <c r="S1396" s="783"/>
      <c r="T1396" s="748"/>
      <c r="U1396" s="748"/>
      <c r="V1396" s="786">
        <f>+O1396</f>
        <v>200000000</v>
      </c>
      <c r="W1396" s="749"/>
      <c r="X1396" s="744"/>
      <c r="Y1396" s="916" t="s">
        <v>2655</v>
      </c>
      <c r="Z1396" s="742"/>
      <c r="AA1396" s="742">
        <v>80000000</v>
      </c>
      <c r="AB1396" s="742">
        <f>+AA1396</f>
        <v>80000000</v>
      </c>
      <c r="AC1396" s="777">
        <v>43206</v>
      </c>
      <c r="AD1396" s="200">
        <f>+AB1396</f>
        <v>80000000</v>
      </c>
      <c r="AE1396" s="925" t="s">
        <v>150</v>
      </c>
      <c r="AF1396" s="786"/>
      <c r="AG1396" s="786"/>
      <c r="AH1396" s="778"/>
      <c r="AI1396" s="785"/>
      <c r="AJ1396" s="749"/>
      <c r="AK1396" s="748"/>
      <c r="AL1396" s="748"/>
      <c r="AM1396" s="748"/>
      <c r="AN1396" s="532"/>
      <c r="AO1396" s="784"/>
      <c r="AQ1396" s="934"/>
    </row>
    <row r="1397" spans="1:43" s="203" customFormat="1" ht="15" customHeight="1">
      <c r="A1397" s="1374"/>
      <c r="B1397" s="782"/>
      <c r="C1397" s="744"/>
      <c r="D1397" s="744"/>
      <c r="E1397" s="787"/>
      <c r="F1397" s="787"/>
      <c r="G1397" s="744"/>
      <c r="H1397" s="744"/>
      <c r="I1397" s="744"/>
      <c r="J1397" s="743"/>
      <c r="K1397" s="744"/>
      <c r="L1397" s="744"/>
      <c r="M1397" s="745"/>
      <c r="N1397" s="746"/>
      <c r="O1397" s="749"/>
      <c r="P1397" s="748"/>
      <c r="Q1397" s="749"/>
      <c r="R1397" s="777"/>
      <c r="S1397" s="783"/>
      <c r="T1397" s="748"/>
      <c r="U1397" s="748"/>
      <c r="V1397" s="786"/>
      <c r="W1397" s="749"/>
      <c r="X1397" s="744"/>
      <c r="Y1397" s="915"/>
      <c r="Z1397" s="742"/>
      <c r="AA1397" s="742"/>
      <c r="AB1397" s="742"/>
      <c r="AC1397" s="777"/>
      <c r="AD1397" s="200"/>
      <c r="AE1397" s="925"/>
      <c r="AF1397" s="786"/>
      <c r="AG1397" s="786"/>
      <c r="AH1397" s="778"/>
      <c r="AI1397" s="785"/>
      <c r="AJ1397" s="749"/>
      <c r="AK1397" s="748"/>
      <c r="AL1397" s="748"/>
      <c r="AM1397" s="748"/>
      <c r="AN1397" s="532"/>
      <c r="AO1397" s="784"/>
      <c r="AQ1397" s="934"/>
    </row>
    <row r="1398" spans="1:43" s="203" customFormat="1" ht="15" customHeight="1">
      <c r="A1398" s="1374"/>
      <c r="B1398" s="782"/>
      <c r="C1398" s="744"/>
      <c r="D1398" s="744"/>
      <c r="E1398" s="787"/>
      <c r="F1398" s="787"/>
      <c r="G1398" s="744"/>
      <c r="H1398" s="744"/>
      <c r="I1398" s="744"/>
      <c r="J1398" s="743"/>
      <c r="K1398" s="744"/>
      <c r="L1398" s="744"/>
      <c r="M1398" s="745">
        <v>3812</v>
      </c>
      <c r="N1398" s="746" t="s">
        <v>137</v>
      </c>
      <c r="O1398" s="749">
        <v>823132621</v>
      </c>
      <c r="P1398" s="748"/>
      <c r="Q1398" s="749"/>
      <c r="R1398" s="777">
        <v>43004</v>
      </c>
      <c r="S1398" s="783"/>
      <c r="T1398" s="748"/>
      <c r="U1398" s="748"/>
      <c r="V1398" s="786">
        <f>+O1398</f>
        <v>823132621</v>
      </c>
      <c r="W1398" s="749"/>
      <c r="X1398" s="744"/>
      <c r="Y1398" s="916" t="s">
        <v>2655</v>
      </c>
      <c r="Z1398" s="742">
        <v>329253048</v>
      </c>
      <c r="AA1398" s="742"/>
      <c r="AB1398" s="742">
        <f>+Z1398</f>
        <v>329253048</v>
      </c>
      <c r="AC1398" s="777">
        <v>43206</v>
      </c>
      <c r="AD1398" s="200">
        <f>+AB1398</f>
        <v>329253048</v>
      </c>
      <c r="AE1398" s="925" t="s">
        <v>137</v>
      </c>
      <c r="AF1398" s="786"/>
      <c r="AG1398" s="786"/>
      <c r="AH1398" s="778"/>
      <c r="AI1398" s="785"/>
      <c r="AJ1398" s="749"/>
      <c r="AK1398" s="748"/>
      <c r="AL1398" s="748"/>
      <c r="AM1398" s="748"/>
      <c r="AN1398" s="532"/>
      <c r="AO1398" s="784"/>
      <c r="AQ1398" s="934"/>
    </row>
    <row r="1399" spans="1:43" s="203" customFormat="1" ht="15" customHeight="1">
      <c r="A1399" s="1375"/>
      <c r="B1399" s="782"/>
      <c r="C1399" s="744"/>
      <c r="D1399" s="744"/>
      <c r="E1399" s="787"/>
      <c r="F1399" s="787"/>
      <c r="G1399" s="744"/>
      <c r="H1399" s="744"/>
      <c r="I1399" s="744"/>
      <c r="J1399" s="743"/>
      <c r="K1399" s="744"/>
      <c r="L1399" s="744"/>
      <c r="M1399" s="745"/>
      <c r="N1399" s="746"/>
      <c r="O1399" s="749"/>
      <c r="P1399" s="748"/>
      <c r="Q1399" s="749"/>
      <c r="R1399" s="777"/>
      <c r="S1399" s="783"/>
      <c r="T1399" s="748"/>
      <c r="U1399" s="748"/>
      <c r="V1399" s="786"/>
      <c r="W1399" s="749"/>
      <c r="X1399" s="744"/>
      <c r="Y1399" s="915"/>
      <c r="Z1399" s="742"/>
      <c r="AA1399" s="742"/>
      <c r="AB1399" s="742"/>
      <c r="AC1399" s="777"/>
      <c r="AD1399" s="200"/>
      <c r="AE1399" s="925"/>
      <c r="AF1399" s="786"/>
      <c r="AG1399" s="786"/>
      <c r="AH1399" s="778"/>
      <c r="AI1399" s="785"/>
      <c r="AJ1399" s="749"/>
      <c r="AK1399" s="748"/>
      <c r="AL1399" s="748"/>
      <c r="AM1399" s="748"/>
      <c r="AN1399" s="532"/>
      <c r="AO1399" s="784"/>
      <c r="AQ1399" s="934"/>
    </row>
    <row r="1400" spans="1:43" ht="15" customHeight="1">
      <c r="A1400" s="1030" t="s">
        <v>1995</v>
      </c>
      <c r="B1400" s="1068">
        <v>42179</v>
      </c>
      <c r="C1400" s="1011" t="s">
        <v>26</v>
      </c>
      <c r="D1400" s="1011" t="s">
        <v>1996</v>
      </c>
      <c r="E1400" s="1071">
        <v>817006978</v>
      </c>
      <c r="F1400" s="1071">
        <v>9</v>
      </c>
      <c r="G1400" s="1011" t="s">
        <v>1997</v>
      </c>
      <c r="H1400" s="1011" t="s">
        <v>72</v>
      </c>
      <c r="I1400" s="1011" t="s">
        <v>206</v>
      </c>
      <c r="J1400" s="1011" t="s">
        <v>66</v>
      </c>
      <c r="K1400" s="1011" t="s">
        <v>48</v>
      </c>
      <c r="L1400" s="1011" t="s">
        <v>2002</v>
      </c>
      <c r="M1400" s="1145">
        <v>6</v>
      </c>
      <c r="N1400" s="1065" t="s">
        <v>149</v>
      </c>
      <c r="O1400" s="1062">
        <v>879570000</v>
      </c>
      <c r="P1400" s="1062">
        <v>879570000</v>
      </c>
      <c r="Q1400" s="1062">
        <f>P1400+P1403+P1405</f>
        <v>1249940371</v>
      </c>
      <c r="R1400" s="1171">
        <v>42178</v>
      </c>
      <c r="S1400" s="1092">
        <f>T1400</f>
        <v>879570000</v>
      </c>
      <c r="T1400" s="1092">
        <v>879570000</v>
      </c>
      <c r="U1400" s="1092">
        <f>O1400-T1400</f>
        <v>0</v>
      </c>
      <c r="V1400" s="1043">
        <v>821157870</v>
      </c>
      <c r="W1400" s="1043">
        <f>V1400+V1403+V1405</f>
        <v>1191528241</v>
      </c>
      <c r="X1400" s="1011" t="s">
        <v>1998</v>
      </c>
      <c r="Y1400" s="108" t="s">
        <v>1999</v>
      </c>
      <c r="Z1400" s="109">
        <v>0</v>
      </c>
      <c r="AA1400" s="109">
        <v>410578935</v>
      </c>
      <c r="AB1400" s="109">
        <f t="shared" si="120"/>
        <v>410578935</v>
      </c>
      <c r="AC1400" s="97">
        <v>42599</v>
      </c>
      <c r="AD1400" s="119">
        <v>410578935</v>
      </c>
      <c r="AE1400" s="98" t="s">
        <v>149</v>
      </c>
      <c r="AF1400" s="1043">
        <f>SUM(AD1400:AD1402)</f>
        <v>691660043</v>
      </c>
      <c r="AG1400" s="1043">
        <f>AF1400+AF1403+AF1405</f>
        <v>876845228</v>
      </c>
      <c r="AH1400" s="111">
        <f t="shared" si="119"/>
        <v>0</v>
      </c>
      <c r="AI1400" s="1043">
        <f>P1400-AF1400</f>
        <v>187909957</v>
      </c>
      <c r="AJ1400" s="1062">
        <f>SUM(Z1400:Z1402)-SUM(AD1400:AD1402)</f>
        <v>-129497827</v>
      </c>
      <c r="AK1400" s="1062">
        <f>P1400-V1400</f>
        <v>58412130</v>
      </c>
      <c r="AL1400" s="1062">
        <f>V1400-SUM(Z1400:Z1402)+AJ1400</f>
        <v>129497827</v>
      </c>
      <c r="AM1400" s="1062"/>
      <c r="AN1400" s="1108"/>
      <c r="AO1400" s="1103" t="s">
        <v>2003</v>
      </c>
    </row>
    <row r="1401" spans="1:43" ht="15" customHeight="1">
      <c r="A1401" s="1031"/>
      <c r="B1401" s="1069"/>
      <c r="C1401" s="1033"/>
      <c r="D1401" s="1033"/>
      <c r="E1401" s="1072"/>
      <c r="F1401" s="1072"/>
      <c r="G1401" s="1033"/>
      <c r="H1401" s="1033"/>
      <c r="I1401" s="1033"/>
      <c r="J1401" s="1033"/>
      <c r="K1401" s="1033"/>
      <c r="L1401" s="1033"/>
      <c r="M1401" s="1146"/>
      <c r="N1401" s="1066"/>
      <c r="O1401" s="1063"/>
      <c r="P1401" s="1063"/>
      <c r="Q1401" s="1063"/>
      <c r="R1401" s="1171"/>
      <c r="S1401" s="1093"/>
      <c r="T1401" s="1093"/>
      <c r="U1401" s="1093"/>
      <c r="V1401" s="1044"/>
      <c r="W1401" s="1044"/>
      <c r="X1401" s="1033"/>
      <c r="Y1401" s="108" t="s">
        <v>2001</v>
      </c>
      <c r="Z1401" s="109">
        <v>562162216</v>
      </c>
      <c r="AA1401" s="109">
        <v>-281081108</v>
      </c>
      <c r="AB1401" s="109">
        <f t="shared" si="120"/>
        <v>281081108</v>
      </c>
      <c r="AC1401" s="97">
        <v>43053</v>
      </c>
      <c r="AD1401" s="119">
        <v>281081108</v>
      </c>
      <c r="AE1401" s="98" t="s">
        <v>149</v>
      </c>
      <c r="AF1401" s="1044"/>
      <c r="AG1401" s="1044"/>
      <c r="AH1401" s="111">
        <f t="shared" si="119"/>
        <v>0</v>
      </c>
      <c r="AI1401" s="1044"/>
      <c r="AJ1401" s="1063"/>
      <c r="AK1401" s="1063"/>
      <c r="AL1401" s="1063"/>
      <c r="AM1401" s="1063"/>
      <c r="AN1401" s="1109"/>
      <c r="AO1401" s="1104"/>
    </row>
    <row r="1402" spans="1:43" ht="15" customHeight="1">
      <c r="A1402" s="1031"/>
      <c r="B1402" s="1069"/>
      <c r="C1402" s="1012"/>
      <c r="D1402" s="1033"/>
      <c r="E1402" s="1072"/>
      <c r="F1402" s="1072"/>
      <c r="G1402" s="1033"/>
      <c r="H1402" s="1033"/>
      <c r="I1402" s="1033"/>
      <c r="J1402" s="1012"/>
      <c r="K1402" s="1033"/>
      <c r="L1402" s="1033"/>
      <c r="M1402" s="1147"/>
      <c r="N1402" s="1067"/>
      <c r="O1402" s="1064"/>
      <c r="P1402" s="1064"/>
      <c r="Q1402" s="1063"/>
      <c r="R1402" s="1171"/>
      <c r="S1402" s="1094"/>
      <c r="T1402" s="1094"/>
      <c r="U1402" s="1094"/>
      <c r="V1402" s="1045"/>
      <c r="W1402" s="1044"/>
      <c r="X1402" s="1033"/>
      <c r="Y1402" s="108"/>
      <c r="Z1402" s="109"/>
      <c r="AA1402" s="109"/>
      <c r="AB1402" s="109">
        <f t="shared" si="120"/>
        <v>0</v>
      </c>
      <c r="AC1402" s="97"/>
      <c r="AD1402" s="119"/>
      <c r="AE1402" s="98"/>
      <c r="AF1402" s="1045"/>
      <c r="AG1402" s="1044"/>
      <c r="AH1402" s="111">
        <f t="shared" si="119"/>
        <v>0</v>
      </c>
      <c r="AI1402" s="1045"/>
      <c r="AJ1402" s="1064"/>
      <c r="AK1402" s="1064"/>
      <c r="AL1402" s="1064"/>
      <c r="AM1402" s="1064"/>
      <c r="AN1402" s="1109"/>
      <c r="AO1402" s="1104"/>
    </row>
    <row r="1403" spans="1:43" ht="15" customHeight="1">
      <c r="A1403" s="1031"/>
      <c r="B1403" s="1069"/>
      <c r="C1403" s="1011" t="s">
        <v>29</v>
      </c>
      <c r="D1403" s="1033"/>
      <c r="E1403" s="1072"/>
      <c r="F1403" s="1072"/>
      <c r="G1403" s="1033"/>
      <c r="H1403" s="1033"/>
      <c r="I1403" s="1033"/>
      <c r="J1403" s="1011" t="s">
        <v>67</v>
      </c>
      <c r="K1403" s="1033"/>
      <c r="L1403" s="1033"/>
      <c r="M1403" s="1145">
        <v>8</v>
      </c>
      <c r="N1403" s="1065" t="s">
        <v>154</v>
      </c>
      <c r="O1403" s="1062">
        <v>240740741</v>
      </c>
      <c r="P1403" s="1062">
        <v>240740741</v>
      </c>
      <c r="Q1403" s="1063"/>
      <c r="R1403" s="1068">
        <v>42702</v>
      </c>
      <c r="S1403" s="1092">
        <f>T1403</f>
        <v>240740741</v>
      </c>
      <c r="T1403" s="1092">
        <v>240740741</v>
      </c>
      <c r="U1403" s="1092">
        <f>O1403-T1403</f>
        <v>0</v>
      </c>
      <c r="V1403" s="1043">
        <v>240740741</v>
      </c>
      <c r="W1403" s="1044"/>
      <c r="X1403" s="1033"/>
      <c r="Y1403" s="108" t="s">
        <v>2000</v>
      </c>
      <c r="Z1403" s="109">
        <v>0</v>
      </c>
      <c r="AA1403" s="109">
        <v>120370370</v>
      </c>
      <c r="AB1403" s="109">
        <f t="shared" si="120"/>
        <v>120370370</v>
      </c>
      <c r="AC1403" s="97">
        <v>43049</v>
      </c>
      <c r="AD1403" s="119">
        <v>120370370</v>
      </c>
      <c r="AE1403" s="98" t="s">
        <v>154</v>
      </c>
      <c r="AF1403" s="1043">
        <f>AD1403+AD1404</f>
        <v>120370370</v>
      </c>
      <c r="AG1403" s="1044"/>
      <c r="AH1403" s="111">
        <f t="shared" si="119"/>
        <v>0</v>
      </c>
      <c r="AI1403" s="1043">
        <f>P1403-AF1403</f>
        <v>120370371</v>
      </c>
      <c r="AJ1403" s="1062">
        <f>SUM(Z1403:Z1404)-SUM(AD1403:AD1404)</f>
        <v>-120370370</v>
      </c>
      <c r="AK1403" s="1062">
        <f>P1403-V1403</f>
        <v>0</v>
      </c>
      <c r="AL1403" s="1062">
        <f>V1403-Z1403-Z1404+AJ1403</f>
        <v>120370371</v>
      </c>
      <c r="AM1403" s="1062"/>
      <c r="AN1403" s="1109"/>
      <c r="AO1403" s="1104"/>
    </row>
    <row r="1404" spans="1:43" ht="15" customHeight="1">
      <c r="A1404" s="1031"/>
      <c r="B1404" s="1069"/>
      <c r="C1404" s="1012"/>
      <c r="D1404" s="1033"/>
      <c r="E1404" s="1072"/>
      <c r="F1404" s="1072"/>
      <c r="G1404" s="1033"/>
      <c r="H1404" s="1033"/>
      <c r="I1404" s="1033"/>
      <c r="J1404" s="1033"/>
      <c r="K1404" s="1033"/>
      <c r="L1404" s="1033"/>
      <c r="M1404" s="1147"/>
      <c r="N1404" s="1067"/>
      <c r="O1404" s="1064"/>
      <c r="P1404" s="1064"/>
      <c r="Q1404" s="1063"/>
      <c r="R1404" s="1070"/>
      <c r="S1404" s="1094"/>
      <c r="T1404" s="1094"/>
      <c r="U1404" s="1094"/>
      <c r="V1404" s="1045"/>
      <c r="W1404" s="1044"/>
      <c r="X1404" s="1033"/>
      <c r="Y1404" s="108"/>
      <c r="Z1404" s="109"/>
      <c r="AA1404" s="109"/>
      <c r="AB1404" s="109">
        <f t="shared" si="120"/>
        <v>0</v>
      </c>
      <c r="AC1404" s="97"/>
      <c r="AD1404" s="119"/>
      <c r="AE1404" s="98"/>
      <c r="AF1404" s="1045"/>
      <c r="AG1404" s="1044"/>
      <c r="AH1404" s="111">
        <f t="shared" si="119"/>
        <v>0</v>
      </c>
      <c r="AI1404" s="1045"/>
      <c r="AJ1404" s="1064"/>
      <c r="AK1404" s="1064"/>
      <c r="AL1404" s="1064"/>
      <c r="AM1404" s="1064"/>
      <c r="AN1404" s="1109"/>
      <c r="AO1404" s="1104"/>
    </row>
    <row r="1405" spans="1:43" ht="15" customHeight="1">
      <c r="A1405" s="1031"/>
      <c r="B1405" s="1069"/>
      <c r="C1405" s="1011" t="s">
        <v>39</v>
      </c>
      <c r="D1405" s="1033"/>
      <c r="E1405" s="1072"/>
      <c r="F1405" s="1072"/>
      <c r="G1405" s="1033"/>
      <c r="H1405" s="1033"/>
      <c r="I1405" s="1033"/>
      <c r="J1405" s="1033"/>
      <c r="K1405" s="1033"/>
      <c r="L1405" s="1033"/>
      <c r="M1405" s="1145">
        <v>13</v>
      </c>
      <c r="N1405" s="1065" t="s">
        <v>164</v>
      </c>
      <c r="O1405" s="1062">
        <v>129629630</v>
      </c>
      <c r="P1405" s="1062">
        <v>129629630</v>
      </c>
      <c r="Q1405" s="1063"/>
      <c r="R1405" s="1068">
        <v>42692</v>
      </c>
      <c r="S1405" s="1092">
        <f>T1405</f>
        <v>129629630</v>
      </c>
      <c r="T1405" s="1092">
        <v>129629630</v>
      </c>
      <c r="U1405" s="1092">
        <f>O1405-T1405</f>
        <v>0</v>
      </c>
      <c r="V1405" s="1043">
        <v>129629630</v>
      </c>
      <c r="W1405" s="1044"/>
      <c r="X1405" s="1033"/>
      <c r="Y1405" s="108" t="s">
        <v>2000</v>
      </c>
      <c r="Z1405" s="109">
        <v>0</v>
      </c>
      <c r="AA1405" s="109">
        <v>64814815</v>
      </c>
      <c r="AB1405" s="109">
        <f t="shared" si="120"/>
        <v>64814815</v>
      </c>
      <c r="AC1405" s="97">
        <v>43049</v>
      </c>
      <c r="AD1405" s="119">
        <v>64814815</v>
      </c>
      <c r="AE1405" s="98" t="s">
        <v>164</v>
      </c>
      <c r="AF1405" s="1043">
        <f>AD1405+AD1406</f>
        <v>64814815</v>
      </c>
      <c r="AG1405" s="1044"/>
      <c r="AH1405" s="111">
        <f t="shared" si="119"/>
        <v>0</v>
      </c>
      <c r="AI1405" s="1043">
        <f>P1405-AF1405</f>
        <v>64814815</v>
      </c>
      <c r="AJ1405" s="1062">
        <f>SUM(Z1405:Z1406)-SUM(AD1405:AD1406)</f>
        <v>-64814815</v>
      </c>
      <c r="AK1405" s="1062">
        <f>P1405-V1405</f>
        <v>0</v>
      </c>
      <c r="AL1405" s="1062">
        <f>V1405-Z1405-Z1406+AJ1405</f>
        <v>64814815</v>
      </c>
      <c r="AM1405" s="1062"/>
      <c r="AN1405" s="1109"/>
      <c r="AO1405" s="1104"/>
    </row>
    <row r="1406" spans="1:43" ht="15" customHeight="1">
      <c r="A1406" s="1032"/>
      <c r="B1406" s="1070"/>
      <c r="C1406" s="1012"/>
      <c r="D1406" s="1012"/>
      <c r="E1406" s="1073"/>
      <c r="F1406" s="1073"/>
      <c r="G1406" s="1012"/>
      <c r="H1406" s="1012"/>
      <c r="I1406" s="1012"/>
      <c r="J1406" s="1012"/>
      <c r="K1406" s="1012"/>
      <c r="L1406" s="1012"/>
      <c r="M1406" s="1147"/>
      <c r="N1406" s="1067"/>
      <c r="O1406" s="1064"/>
      <c r="P1406" s="1064"/>
      <c r="Q1406" s="1064"/>
      <c r="R1406" s="1070"/>
      <c r="S1406" s="1094"/>
      <c r="T1406" s="1094"/>
      <c r="U1406" s="1094"/>
      <c r="V1406" s="1045"/>
      <c r="W1406" s="1045"/>
      <c r="X1406" s="1012"/>
      <c r="Y1406" s="108"/>
      <c r="Z1406" s="109"/>
      <c r="AA1406" s="109"/>
      <c r="AB1406" s="109">
        <f t="shared" si="120"/>
        <v>0</v>
      </c>
      <c r="AC1406" s="97"/>
      <c r="AD1406" s="119"/>
      <c r="AE1406" s="98"/>
      <c r="AF1406" s="1045"/>
      <c r="AG1406" s="1045"/>
      <c r="AH1406" s="111">
        <f t="shared" si="119"/>
        <v>0</v>
      </c>
      <c r="AI1406" s="1045"/>
      <c r="AJ1406" s="1064"/>
      <c r="AK1406" s="1064"/>
      <c r="AL1406" s="1064"/>
      <c r="AM1406" s="1064"/>
      <c r="AN1406" s="1110"/>
      <c r="AO1406" s="1105"/>
    </row>
    <row r="1407" spans="1:43" ht="15" customHeight="1">
      <c r="A1407" s="1030" t="s">
        <v>1847</v>
      </c>
      <c r="B1407" s="1068">
        <v>42179</v>
      </c>
      <c r="C1407" s="1011" t="s">
        <v>36</v>
      </c>
      <c r="D1407" s="1011" t="s">
        <v>1848</v>
      </c>
      <c r="E1407" s="1071">
        <v>800019993</v>
      </c>
      <c r="F1407" s="1071">
        <v>4</v>
      </c>
      <c r="G1407" s="1011" t="s">
        <v>1849</v>
      </c>
      <c r="H1407" s="1011" t="s">
        <v>71</v>
      </c>
      <c r="I1407" s="1011" t="s">
        <v>1221</v>
      </c>
      <c r="J1407" s="1011" t="s">
        <v>66</v>
      </c>
      <c r="K1407" s="1011" t="s">
        <v>48</v>
      </c>
      <c r="L1407" s="1011" t="s">
        <v>1852</v>
      </c>
      <c r="M1407" s="1009">
        <v>9</v>
      </c>
      <c r="N1407" s="1065" t="s">
        <v>161</v>
      </c>
      <c r="O1407" s="1062">
        <v>1563158721</v>
      </c>
      <c r="P1407" s="1062">
        <v>1563158721</v>
      </c>
      <c r="Q1407" s="1062">
        <f>P1407</f>
        <v>1563158721</v>
      </c>
      <c r="R1407" s="1068">
        <v>41948</v>
      </c>
      <c r="S1407" s="1092">
        <f>T1407</f>
        <v>1563158721</v>
      </c>
      <c r="T1407" s="1092">
        <v>1563158721</v>
      </c>
      <c r="U1407" s="1092">
        <f>O1407-T1407</f>
        <v>0</v>
      </c>
      <c r="V1407" s="1043">
        <v>1563158721</v>
      </c>
      <c r="W1407" s="1062">
        <v>1563158721</v>
      </c>
      <c r="X1407" s="1011" t="s">
        <v>1850</v>
      </c>
      <c r="Y1407" s="108" t="s">
        <v>1851</v>
      </c>
      <c r="Z1407" s="109">
        <v>0</v>
      </c>
      <c r="AA1407" s="109">
        <v>780727451.5</v>
      </c>
      <c r="AB1407" s="109">
        <f t="shared" si="120"/>
        <v>780727451.5</v>
      </c>
      <c r="AC1407" s="97">
        <v>42451</v>
      </c>
      <c r="AD1407" s="119">
        <v>780727451.5</v>
      </c>
      <c r="AE1407" s="98" t="s">
        <v>161</v>
      </c>
      <c r="AF1407" s="1043">
        <f>SUM(AD1407:AD1410)</f>
        <v>1369864276.5</v>
      </c>
      <c r="AG1407" s="1043">
        <f>AF1407</f>
        <v>1369864276.5</v>
      </c>
      <c r="AH1407" s="111">
        <f t="shared" si="119"/>
        <v>0</v>
      </c>
      <c r="AI1407" s="1043">
        <f>O1407-SUM(AD1407:AD1410)</f>
        <v>193294444.5</v>
      </c>
      <c r="AJ1407" s="1062"/>
      <c r="AK1407" s="1062"/>
      <c r="AL1407" s="1062"/>
      <c r="AM1407" s="1062"/>
      <c r="AN1407" s="1108" t="s">
        <v>1853</v>
      </c>
      <c r="AO1407" s="1103" t="s">
        <v>1854</v>
      </c>
    </row>
    <row r="1408" spans="1:43" ht="15" customHeight="1">
      <c r="A1408" s="1031"/>
      <c r="B1408" s="1069"/>
      <c r="C1408" s="1033"/>
      <c r="D1408" s="1033"/>
      <c r="E1408" s="1072"/>
      <c r="F1408" s="1072"/>
      <c r="G1408" s="1033"/>
      <c r="H1408" s="1033"/>
      <c r="I1408" s="1033"/>
      <c r="J1408" s="1033"/>
      <c r="K1408" s="1033"/>
      <c r="L1408" s="1033"/>
      <c r="M1408" s="1039"/>
      <c r="N1408" s="1066"/>
      <c r="O1408" s="1063"/>
      <c r="P1408" s="1063"/>
      <c r="Q1408" s="1063"/>
      <c r="R1408" s="1069"/>
      <c r="S1408" s="1093"/>
      <c r="T1408" s="1093"/>
      <c r="U1408" s="1093"/>
      <c r="V1408" s="1044"/>
      <c r="W1408" s="1063"/>
      <c r="X1408" s="1033"/>
      <c r="Y1408" s="108"/>
      <c r="Z1408" s="109"/>
      <c r="AA1408" s="109"/>
      <c r="AB1408" s="109">
        <f>Z1408+AA1408</f>
        <v>0</v>
      </c>
      <c r="AC1408" s="97">
        <v>42886</v>
      </c>
      <c r="AD1408" s="119">
        <v>223521371.5</v>
      </c>
      <c r="AE1408" s="98" t="s">
        <v>161</v>
      </c>
      <c r="AF1408" s="1044"/>
      <c r="AG1408" s="1044"/>
      <c r="AH1408" s="111">
        <f>AB1408-AD1408</f>
        <v>-223521371.5</v>
      </c>
      <c r="AI1408" s="1044"/>
      <c r="AJ1408" s="1063"/>
      <c r="AK1408" s="1063"/>
      <c r="AL1408" s="1063"/>
      <c r="AM1408" s="1063"/>
      <c r="AN1408" s="1109"/>
      <c r="AO1408" s="1104"/>
    </row>
    <row r="1409" spans="1:43" ht="15" customHeight="1">
      <c r="A1409" s="1031"/>
      <c r="B1409" s="1069"/>
      <c r="C1409" s="1033"/>
      <c r="D1409" s="1033"/>
      <c r="E1409" s="1072"/>
      <c r="F1409" s="1072"/>
      <c r="G1409" s="1033"/>
      <c r="H1409" s="1033"/>
      <c r="I1409" s="1033"/>
      <c r="J1409" s="1033"/>
      <c r="K1409" s="1033"/>
      <c r="L1409" s="1033"/>
      <c r="M1409" s="1039"/>
      <c r="N1409" s="1066"/>
      <c r="O1409" s="1063"/>
      <c r="P1409" s="1063"/>
      <c r="Q1409" s="1063"/>
      <c r="R1409" s="1069"/>
      <c r="S1409" s="1093"/>
      <c r="T1409" s="1093"/>
      <c r="U1409" s="1093"/>
      <c r="V1409" s="1044"/>
      <c r="W1409" s="1063"/>
      <c r="X1409" s="1033"/>
      <c r="Y1409" s="108"/>
      <c r="Z1409" s="109"/>
      <c r="AA1409" s="109"/>
      <c r="AB1409" s="109">
        <f>Z1409+AA1409</f>
        <v>0</v>
      </c>
      <c r="AC1409" s="97">
        <v>42989</v>
      </c>
      <c r="AD1409" s="119">
        <v>365615453.5</v>
      </c>
      <c r="AE1409" s="98" t="s">
        <v>161</v>
      </c>
      <c r="AF1409" s="1044"/>
      <c r="AG1409" s="1044"/>
      <c r="AH1409" s="111">
        <f>AB1409-AD1409</f>
        <v>-365615453.5</v>
      </c>
      <c r="AI1409" s="1044"/>
      <c r="AJ1409" s="1063"/>
      <c r="AK1409" s="1063"/>
      <c r="AL1409" s="1063"/>
      <c r="AM1409" s="1063"/>
      <c r="AN1409" s="1109"/>
      <c r="AO1409" s="1104"/>
    </row>
    <row r="1410" spans="1:43" ht="15" customHeight="1">
      <c r="A1410" s="1032"/>
      <c r="B1410" s="1070"/>
      <c r="C1410" s="1012"/>
      <c r="D1410" s="1012"/>
      <c r="E1410" s="1073"/>
      <c r="F1410" s="1073"/>
      <c r="G1410" s="1012"/>
      <c r="H1410" s="1012"/>
      <c r="I1410" s="1012"/>
      <c r="J1410" s="1012"/>
      <c r="K1410" s="1012"/>
      <c r="L1410" s="1012"/>
      <c r="M1410" s="1010"/>
      <c r="N1410" s="1067"/>
      <c r="O1410" s="1064"/>
      <c r="P1410" s="1064"/>
      <c r="Q1410" s="1064"/>
      <c r="R1410" s="1070"/>
      <c r="S1410" s="1094"/>
      <c r="T1410" s="1094"/>
      <c r="U1410" s="1094"/>
      <c r="V1410" s="1045"/>
      <c r="W1410" s="1064"/>
      <c r="X1410" s="1012"/>
      <c r="Y1410" s="108"/>
      <c r="Z1410" s="109"/>
      <c r="AA1410" s="109"/>
      <c r="AB1410" s="109">
        <f>Z1410+AA1410</f>
        <v>0</v>
      </c>
      <c r="AC1410" s="97"/>
      <c r="AD1410" s="119"/>
      <c r="AE1410" s="98"/>
      <c r="AF1410" s="1045"/>
      <c r="AG1410" s="1045"/>
      <c r="AH1410" s="111">
        <f>AB1410-AD1410</f>
        <v>0</v>
      </c>
      <c r="AI1410" s="1045"/>
      <c r="AJ1410" s="1064"/>
      <c r="AK1410" s="1064"/>
      <c r="AL1410" s="1064"/>
      <c r="AM1410" s="1064"/>
      <c r="AN1410" s="1110"/>
      <c r="AO1410" s="1105"/>
    </row>
    <row r="1411" spans="1:43" s="4" customFormat="1" ht="15" customHeight="1">
      <c r="A1411" s="1170" t="s">
        <v>1980</v>
      </c>
      <c r="B1411" s="1171">
        <v>42219</v>
      </c>
      <c r="C1411" s="1122" t="s">
        <v>1979</v>
      </c>
      <c r="D1411" s="1149" t="s">
        <v>1982</v>
      </c>
      <c r="E1411" s="1148">
        <v>900873446</v>
      </c>
      <c r="F1411" s="1148">
        <v>1</v>
      </c>
      <c r="G1411" s="1149" t="s">
        <v>1978</v>
      </c>
      <c r="H1411" s="1023" t="s">
        <v>72</v>
      </c>
      <c r="I1411" s="1023" t="s">
        <v>206</v>
      </c>
      <c r="J1411" s="1186" t="s">
        <v>66</v>
      </c>
      <c r="K1411" s="1149" t="s">
        <v>49</v>
      </c>
      <c r="L1411" s="1149" t="s">
        <v>1904</v>
      </c>
      <c r="M1411" s="1156">
        <v>16</v>
      </c>
      <c r="N1411" s="1122" t="s">
        <v>129</v>
      </c>
      <c r="O1411" s="1084">
        <v>51220000</v>
      </c>
      <c r="P1411" s="1084">
        <v>51220000</v>
      </c>
      <c r="Q1411" s="1084">
        <f>P1411+P1413+P1415+P1417+P1419+P1421+P1423+P1425+P1427+P1429+P1431</f>
        <v>511485000</v>
      </c>
      <c r="R1411" s="1171">
        <v>42150</v>
      </c>
      <c r="S1411" s="1089"/>
      <c r="T1411" s="1089"/>
      <c r="U1411" s="1089"/>
      <c r="V1411" s="1084">
        <v>51124427.460000001</v>
      </c>
      <c r="W1411" s="1189">
        <v>493417600</v>
      </c>
      <c r="X1411" s="1023"/>
      <c r="Y1411" s="108" t="s">
        <v>1983</v>
      </c>
      <c r="Z1411" s="109">
        <v>0</v>
      </c>
      <c r="AA1411" s="109">
        <v>5112442.74</v>
      </c>
      <c r="AB1411" s="109">
        <f t="shared" ref="AB1411:AB1432" si="121">AA1411+Z1411</f>
        <v>5112442.74</v>
      </c>
      <c r="AC1411" s="97">
        <v>42320</v>
      </c>
      <c r="AD1411" s="119">
        <v>5112442.74</v>
      </c>
      <c r="AE1411" s="1122" t="s">
        <v>129</v>
      </c>
      <c r="AF1411" s="1084">
        <f>SUM(AD1411:AD1412)</f>
        <v>25817835.859999999</v>
      </c>
      <c r="AG1411" s="1084">
        <f>SUM(AF1411:AF1432)</f>
        <v>249175888.00000003</v>
      </c>
      <c r="AH1411" s="1084">
        <v>0</v>
      </c>
      <c r="AI1411" s="1084">
        <v>0</v>
      </c>
      <c r="AJ1411" s="1084">
        <v>0</v>
      </c>
      <c r="AK1411" s="1084">
        <f>O1411-V1411</f>
        <v>95572.539999999106</v>
      </c>
      <c r="AL1411" s="1084"/>
      <c r="AM1411" s="1084"/>
      <c r="AN1411" s="1149"/>
      <c r="AO1411" s="1149" t="s">
        <v>1981</v>
      </c>
      <c r="AQ1411" s="934"/>
    </row>
    <row r="1412" spans="1:43" s="4" customFormat="1" ht="15" customHeight="1">
      <c r="A1412" s="1170"/>
      <c r="B1412" s="1171"/>
      <c r="C1412" s="1122"/>
      <c r="D1412" s="1149"/>
      <c r="E1412" s="1148"/>
      <c r="F1412" s="1148"/>
      <c r="G1412" s="1149"/>
      <c r="H1412" s="1124"/>
      <c r="I1412" s="1124"/>
      <c r="J1412" s="1187"/>
      <c r="K1412" s="1149"/>
      <c r="L1412" s="1149"/>
      <c r="M1412" s="1156"/>
      <c r="N1412" s="1122"/>
      <c r="O1412" s="1084"/>
      <c r="P1412" s="1084"/>
      <c r="Q1412" s="1084"/>
      <c r="R1412" s="1171"/>
      <c r="S1412" s="1091"/>
      <c r="T1412" s="1091"/>
      <c r="U1412" s="1091"/>
      <c r="V1412" s="1084"/>
      <c r="W1412" s="1189"/>
      <c r="X1412" s="1124"/>
      <c r="Y1412" s="108" t="s">
        <v>1984</v>
      </c>
      <c r="Z1412" s="109">
        <v>23005992.359999999</v>
      </c>
      <c r="AA1412" s="109">
        <v>-2300599.2400000002</v>
      </c>
      <c r="AB1412" s="109">
        <f t="shared" si="121"/>
        <v>20705393.119999997</v>
      </c>
      <c r="AC1412" s="97">
        <v>42436</v>
      </c>
      <c r="AD1412" s="119">
        <v>20705393.120000001</v>
      </c>
      <c r="AE1412" s="1122"/>
      <c r="AF1412" s="1084"/>
      <c r="AG1412" s="1084"/>
      <c r="AH1412" s="1084"/>
      <c r="AI1412" s="1084"/>
      <c r="AJ1412" s="1084"/>
      <c r="AK1412" s="1084"/>
      <c r="AL1412" s="1084"/>
      <c r="AM1412" s="1084"/>
      <c r="AN1412" s="1149"/>
      <c r="AO1412" s="1149"/>
      <c r="AQ1412" s="934"/>
    </row>
    <row r="1413" spans="1:43" s="4" customFormat="1" ht="15" customHeight="1">
      <c r="A1413" s="1170"/>
      <c r="B1413" s="1171"/>
      <c r="C1413" s="1122" t="s">
        <v>1977</v>
      </c>
      <c r="D1413" s="1149"/>
      <c r="E1413" s="1148"/>
      <c r="F1413" s="1148"/>
      <c r="G1413" s="1149"/>
      <c r="H1413" s="1124"/>
      <c r="I1413" s="1124"/>
      <c r="J1413" s="1187"/>
      <c r="K1413" s="1149"/>
      <c r="L1413" s="1149"/>
      <c r="M1413" s="1156">
        <v>5</v>
      </c>
      <c r="N1413" s="1122" t="s">
        <v>143</v>
      </c>
      <c r="O1413" s="1084">
        <v>51220000</v>
      </c>
      <c r="P1413" s="1084">
        <v>51220000</v>
      </c>
      <c r="Q1413" s="1084"/>
      <c r="R1413" s="1171">
        <v>42150</v>
      </c>
      <c r="S1413" s="1089"/>
      <c r="T1413" s="1089"/>
      <c r="U1413" s="1089"/>
      <c r="V1413" s="1084">
        <v>51124427.460000001</v>
      </c>
      <c r="W1413" s="1189"/>
      <c r="X1413" s="1124"/>
      <c r="Y1413" s="108" t="s">
        <v>1983</v>
      </c>
      <c r="Z1413" s="109">
        <v>0</v>
      </c>
      <c r="AA1413" s="109">
        <v>5112442.75</v>
      </c>
      <c r="AB1413" s="109">
        <f t="shared" si="121"/>
        <v>5112442.75</v>
      </c>
      <c r="AC1413" s="97">
        <v>42320</v>
      </c>
      <c r="AD1413" s="119">
        <v>5112442.75</v>
      </c>
      <c r="AE1413" s="1122" t="s">
        <v>143</v>
      </c>
      <c r="AF1413" s="1084">
        <f>SUM(AD1413:AD1414)</f>
        <v>25817835.870000001</v>
      </c>
      <c r="AG1413" s="1084"/>
      <c r="AH1413" s="1084"/>
      <c r="AI1413" s="1084"/>
      <c r="AJ1413" s="1084"/>
      <c r="AK1413" s="1084">
        <f>O1413-V1413</f>
        <v>95572.539999999106</v>
      </c>
      <c r="AL1413" s="1084"/>
      <c r="AM1413" s="1084"/>
      <c r="AN1413" s="1149"/>
      <c r="AO1413" s="1149"/>
      <c r="AQ1413" s="934"/>
    </row>
    <row r="1414" spans="1:43" s="4" customFormat="1" ht="15" customHeight="1">
      <c r="A1414" s="1170"/>
      <c r="B1414" s="1171"/>
      <c r="C1414" s="1122"/>
      <c r="D1414" s="1149"/>
      <c r="E1414" s="1148"/>
      <c r="F1414" s="1148"/>
      <c r="G1414" s="1149"/>
      <c r="H1414" s="1124"/>
      <c r="I1414" s="1124"/>
      <c r="J1414" s="1187"/>
      <c r="K1414" s="1149"/>
      <c r="L1414" s="1149"/>
      <c r="M1414" s="1156"/>
      <c r="N1414" s="1122"/>
      <c r="O1414" s="1084"/>
      <c r="P1414" s="1084"/>
      <c r="Q1414" s="1084"/>
      <c r="R1414" s="1171"/>
      <c r="S1414" s="1091"/>
      <c r="T1414" s="1091"/>
      <c r="U1414" s="1091"/>
      <c r="V1414" s="1084"/>
      <c r="W1414" s="1189"/>
      <c r="X1414" s="1124"/>
      <c r="Y1414" s="108" t="s">
        <v>1985</v>
      </c>
      <c r="Z1414" s="109">
        <v>23005992.359999999</v>
      </c>
      <c r="AA1414" s="109">
        <v>-2300599.2400000002</v>
      </c>
      <c r="AB1414" s="109">
        <f t="shared" si="121"/>
        <v>20705393.119999997</v>
      </c>
      <c r="AC1414" s="97">
        <v>42436</v>
      </c>
      <c r="AD1414" s="119">
        <v>20705393.120000001</v>
      </c>
      <c r="AE1414" s="1122"/>
      <c r="AF1414" s="1084"/>
      <c r="AG1414" s="1084"/>
      <c r="AH1414" s="1084"/>
      <c r="AI1414" s="1084"/>
      <c r="AJ1414" s="1084"/>
      <c r="AK1414" s="1084"/>
      <c r="AL1414" s="1084"/>
      <c r="AM1414" s="1084"/>
      <c r="AN1414" s="1149"/>
      <c r="AO1414" s="1149"/>
      <c r="AQ1414" s="934"/>
    </row>
    <row r="1415" spans="1:43" s="4" customFormat="1" ht="15" customHeight="1">
      <c r="A1415" s="1170"/>
      <c r="B1415" s="1171"/>
      <c r="C1415" s="1122" t="s">
        <v>1976</v>
      </c>
      <c r="D1415" s="1149"/>
      <c r="E1415" s="1148"/>
      <c r="F1415" s="1148"/>
      <c r="G1415" s="1149"/>
      <c r="H1415" s="1124"/>
      <c r="I1415" s="1124"/>
      <c r="J1415" s="1187"/>
      <c r="K1415" s="1149"/>
      <c r="L1415" s="1149"/>
      <c r="M1415" s="1156">
        <v>14</v>
      </c>
      <c r="N1415" s="1122" t="s">
        <v>147</v>
      </c>
      <c r="O1415" s="1084">
        <v>51220000</v>
      </c>
      <c r="P1415" s="1084">
        <v>51220000</v>
      </c>
      <c r="Q1415" s="1084"/>
      <c r="R1415" s="1171">
        <v>42150</v>
      </c>
      <c r="S1415" s="1089"/>
      <c r="T1415" s="1089"/>
      <c r="U1415" s="1089"/>
      <c r="V1415" s="1084">
        <v>51124427.460000001</v>
      </c>
      <c r="W1415" s="1189"/>
      <c r="X1415" s="1124"/>
      <c r="Y1415" s="108" t="s">
        <v>1983</v>
      </c>
      <c r="Z1415" s="109">
        <v>0</v>
      </c>
      <c r="AA1415" s="109">
        <v>5112442.75</v>
      </c>
      <c r="AB1415" s="109">
        <f t="shared" si="121"/>
        <v>5112442.75</v>
      </c>
      <c r="AC1415" s="97">
        <v>42320</v>
      </c>
      <c r="AD1415" s="119">
        <v>5112442.75</v>
      </c>
      <c r="AE1415" s="1122" t="s">
        <v>147</v>
      </c>
      <c r="AF1415" s="1084">
        <f>SUM(AD1415:AD1416)</f>
        <v>25817835.870000001</v>
      </c>
      <c r="AG1415" s="1084"/>
      <c r="AH1415" s="1084"/>
      <c r="AI1415" s="1084"/>
      <c r="AJ1415" s="1084"/>
      <c r="AK1415" s="1084">
        <f>O1415-V1415</f>
        <v>95572.539999999106</v>
      </c>
      <c r="AL1415" s="1084"/>
      <c r="AM1415" s="1084"/>
      <c r="AN1415" s="1149"/>
      <c r="AO1415" s="1149"/>
      <c r="AQ1415" s="934"/>
    </row>
    <row r="1416" spans="1:43" s="4" customFormat="1" ht="15" customHeight="1">
      <c r="A1416" s="1170"/>
      <c r="B1416" s="1171"/>
      <c r="C1416" s="1122"/>
      <c r="D1416" s="1149"/>
      <c r="E1416" s="1148"/>
      <c r="F1416" s="1148"/>
      <c r="G1416" s="1149"/>
      <c r="H1416" s="1124"/>
      <c r="I1416" s="1124"/>
      <c r="J1416" s="1187"/>
      <c r="K1416" s="1149"/>
      <c r="L1416" s="1149"/>
      <c r="M1416" s="1156"/>
      <c r="N1416" s="1122"/>
      <c r="O1416" s="1084"/>
      <c r="P1416" s="1084"/>
      <c r="Q1416" s="1084"/>
      <c r="R1416" s="1171"/>
      <c r="S1416" s="1091"/>
      <c r="T1416" s="1091"/>
      <c r="U1416" s="1091"/>
      <c r="V1416" s="1084"/>
      <c r="W1416" s="1189"/>
      <c r="X1416" s="1124"/>
      <c r="Y1416" s="108" t="s">
        <v>1986</v>
      </c>
      <c r="Z1416" s="109">
        <v>23005992.359999999</v>
      </c>
      <c r="AA1416" s="109">
        <v>-2300599.2400000002</v>
      </c>
      <c r="AB1416" s="109">
        <f t="shared" si="121"/>
        <v>20705393.119999997</v>
      </c>
      <c r="AC1416" s="97">
        <v>42436</v>
      </c>
      <c r="AD1416" s="119">
        <v>20705393.120000001</v>
      </c>
      <c r="AE1416" s="1122"/>
      <c r="AF1416" s="1084"/>
      <c r="AG1416" s="1084"/>
      <c r="AH1416" s="1084"/>
      <c r="AI1416" s="1084"/>
      <c r="AJ1416" s="1084"/>
      <c r="AK1416" s="1084"/>
      <c r="AL1416" s="1084"/>
      <c r="AM1416" s="1084"/>
      <c r="AN1416" s="1149"/>
      <c r="AO1416" s="1149"/>
      <c r="AQ1416" s="934"/>
    </row>
    <row r="1417" spans="1:43" s="4" customFormat="1" ht="15" customHeight="1">
      <c r="A1417" s="1170"/>
      <c r="B1417" s="1171"/>
      <c r="C1417" s="1122" t="s">
        <v>1976</v>
      </c>
      <c r="D1417" s="1149"/>
      <c r="E1417" s="1148"/>
      <c r="F1417" s="1148"/>
      <c r="G1417" s="1149"/>
      <c r="H1417" s="1124"/>
      <c r="I1417" s="1124"/>
      <c r="J1417" s="1187"/>
      <c r="K1417" s="1149"/>
      <c r="L1417" s="1149"/>
      <c r="M1417" s="1156">
        <v>12</v>
      </c>
      <c r="N1417" s="1122" t="s">
        <v>147</v>
      </c>
      <c r="O1417" s="1084">
        <v>33825000</v>
      </c>
      <c r="P1417" s="1084">
        <v>33825000</v>
      </c>
      <c r="Q1417" s="1084"/>
      <c r="R1417" s="1171">
        <v>42150</v>
      </c>
      <c r="S1417" s="1089"/>
      <c r="T1417" s="1089"/>
      <c r="U1417" s="1089"/>
      <c r="V1417" s="1084">
        <v>33761885.18</v>
      </c>
      <c r="W1417" s="1189"/>
      <c r="X1417" s="1124"/>
      <c r="Y1417" s="108" t="s">
        <v>1983</v>
      </c>
      <c r="Z1417" s="109">
        <v>0</v>
      </c>
      <c r="AA1417" s="109">
        <v>3376188.51</v>
      </c>
      <c r="AB1417" s="109">
        <f t="shared" si="121"/>
        <v>3376188.51</v>
      </c>
      <c r="AC1417" s="97">
        <v>42320</v>
      </c>
      <c r="AD1417" s="119">
        <v>3376188.51</v>
      </c>
      <c r="AE1417" s="1122" t="s">
        <v>147</v>
      </c>
      <c r="AF1417" s="1084">
        <f>SUM(AD1417:AD1418)</f>
        <v>17049751.990000002</v>
      </c>
      <c r="AG1417" s="1084"/>
      <c r="AH1417" s="1084"/>
      <c r="AI1417" s="1084"/>
      <c r="AJ1417" s="1084"/>
      <c r="AK1417" s="1084">
        <f>O1417-V1417</f>
        <v>63114.820000000298</v>
      </c>
      <c r="AL1417" s="1084"/>
      <c r="AM1417" s="1084"/>
      <c r="AN1417" s="1149"/>
      <c r="AO1417" s="1149"/>
      <c r="AQ1417" s="934"/>
    </row>
    <row r="1418" spans="1:43" s="4" customFormat="1" ht="15" customHeight="1">
      <c r="A1418" s="1170"/>
      <c r="B1418" s="1171"/>
      <c r="C1418" s="1122"/>
      <c r="D1418" s="1149"/>
      <c r="E1418" s="1148"/>
      <c r="F1418" s="1148"/>
      <c r="G1418" s="1149"/>
      <c r="H1418" s="1124"/>
      <c r="I1418" s="1124"/>
      <c r="J1418" s="1187"/>
      <c r="K1418" s="1149"/>
      <c r="L1418" s="1149"/>
      <c r="M1418" s="1156"/>
      <c r="N1418" s="1122"/>
      <c r="O1418" s="1084"/>
      <c r="P1418" s="1084"/>
      <c r="Q1418" s="1084"/>
      <c r="R1418" s="1171"/>
      <c r="S1418" s="1091"/>
      <c r="T1418" s="1091"/>
      <c r="U1418" s="1091"/>
      <c r="V1418" s="1084"/>
      <c r="W1418" s="1189"/>
      <c r="X1418" s="1124"/>
      <c r="Y1418" s="108" t="s">
        <v>1987</v>
      </c>
      <c r="Z1418" s="109">
        <v>15192848.310000001</v>
      </c>
      <c r="AA1418" s="109">
        <v>-1519284.83</v>
      </c>
      <c r="AB1418" s="109">
        <f t="shared" si="121"/>
        <v>13673563.48</v>
      </c>
      <c r="AC1418" s="97">
        <v>42436</v>
      </c>
      <c r="AD1418" s="119">
        <v>13673563.48</v>
      </c>
      <c r="AE1418" s="1122"/>
      <c r="AF1418" s="1084"/>
      <c r="AG1418" s="1084"/>
      <c r="AH1418" s="1084"/>
      <c r="AI1418" s="1084"/>
      <c r="AJ1418" s="1084"/>
      <c r="AK1418" s="1084"/>
      <c r="AL1418" s="1084"/>
      <c r="AM1418" s="1084"/>
      <c r="AN1418" s="1149"/>
      <c r="AO1418" s="1149"/>
      <c r="AQ1418" s="934"/>
    </row>
    <row r="1419" spans="1:43" s="4" customFormat="1" ht="15" customHeight="1">
      <c r="A1419" s="1170"/>
      <c r="B1419" s="1171"/>
      <c r="C1419" s="1122" t="s">
        <v>1975</v>
      </c>
      <c r="D1419" s="1149"/>
      <c r="E1419" s="1148"/>
      <c r="F1419" s="1148"/>
      <c r="G1419" s="1149"/>
      <c r="H1419" s="1124"/>
      <c r="I1419" s="1124"/>
      <c r="J1419" s="1187"/>
      <c r="K1419" s="1149"/>
      <c r="L1419" s="1149"/>
      <c r="M1419" s="1156">
        <v>15</v>
      </c>
      <c r="N1419" s="1122" t="s">
        <v>157</v>
      </c>
      <c r="O1419" s="1084">
        <v>34075000</v>
      </c>
      <c r="P1419" s="1084">
        <v>34075000</v>
      </c>
      <c r="Q1419" s="1084"/>
      <c r="R1419" s="1171">
        <v>42150</v>
      </c>
      <c r="S1419" s="1089"/>
      <c r="T1419" s="1089"/>
      <c r="U1419" s="1089"/>
      <c r="V1419" s="1084">
        <v>34011418.700000003</v>
      </c>
      <c r="W1419" s="1189"/>
      <c r="X1419" s="1124"/>
      <c r="Y1419" s="108" t="s">
        <v>1983</v>
      </c>
      <c r="Z1419" s="109">
        <v>0</v>
      </c>
      <c r="AA1419" s="109">
        <v>3401141.87</v>
      </c>
      <c r="AB1419" s="109">
        <f t="shared" si="121"/>
        <v>3401141.87</v>
      </c>
      <c r="AC1419" s="97">
        <v>42320</v>
      </c>
      <c r="AD1419" s="119">
        <v>3401141.87</v>
      </c>
      <c r="AE1419" s="1122" t="s">
        <v>157</v>
      </c>
      <c r="AF1419" s="1084">
        <f>SUM(AD1419:AD1420)</f>
        <v>17175766.469999999</v>
      </c>
      <c r="AG1419" s="1084"/>
      <c r="AH1419" s="1084"/>
      <c r="AI1419" s="1084"/>
      <c r="AJ1419" s="1084"/>
      <c r="AK1419" s="1084">
        <f>O1419-V1419</f>
        <v>63581.29999999702</v>
      </c>
      <c r="AL1419" s="1084"/>
      <c r="AM1419" s="1084"/>
      <c r="AN1419" s="1149"/>
      <c r="AO1419" s="1149"/>
      <c r="AQ1419" s="934"/>
    </row>
    <row r="1420" spans="1:43" s="4" customFormat="1" ht="15" customHeight="1">
      <c r="A1420" s="1170"/>
      <c r="B1420" s="1171"/>
      <c r="C1420" s="1122"/>
      <c r="D1420" s="1149"/>
      <c r="E1420" s="1148"/>
      <c r="F1420" s="1148"/>
      <c r="G1420" s="1149"/>
      <c r="H1420" s="1124"/>
      <c r="I1420" s="1124"/>
      <c r="J1420" s="1187"/>
      <c r="K1420" s="1149"/>
      <c r="L1420" s="1149"/>
      <c r="M1420" s="1156"/>
      <c r="N1420" s="1122"/>
      <c r="O1420" s="1084"/>
      <c r="P1420" s="1084"/>
      <c r="Q1420" s="1084"/>
      <c r="R1420" s="1171"/>
      <c r="S1420" s="1091"/>
      <c r="T1420" s="1091"/>
      <c r="U1420" s="1091"/>
      <c r="V1420" s="1084"/>
      <c r="W1420" s="1189"/>
      <c r="X1420" s="1124"/>
      <c r="Y1420" s="108" t="s">
        <v>1988</v>
      </c>
      <c r="Z1420" s="109">
        <v>15305138.439999999</v>
      </c>
      <c r="AA1420" s="109">
        <v>-1530513.84</v>
      </c>
      <c r="AB1420" s="109">
        <f t="shared" si="121"/>
        <v>13774624.6</v>
      </c>
      <c r="AC1420" s="97">
        <v>42436</v>
      </c>
      <c r="AD1420" s="119">
        <v>13774624.6</v>
      </c>
      <c r="AE1420" s="1122"/>
      <c r="AF1420" s="1084"/>
      <c r="AG1420" s="1084"/>
      <c r="AH1420" s="1084"/>
      <c r="AI1420" s="1084"/>
      <c r="AJ1420" s="1084"/>
      <c r="AK1420" s="1084"/>
      <c r="AL1420" s="1084"/>
      <c r="AM1420" s="1084"/>
      <c r="AN1420" s="1149"/>
      <c r="AO1420" s="1149"/>
      <c r="AQ1420" s="934"/>
    </row>
    <row r="1421" spans="1:43" s="4" customFormat="1" ht="15" customHeight="1">
      <c r="A1421" s="1170"/>
      <c r="B1421" s="1171"/>
      <c r="C1421" s="1122" t="s">
        <v>1974</v>
      </c>
      <c r="D1421" s="1149"/>
      <c r="E1421" s="1148"/>
      <c r="F1421" s="1148"/>
      <c r="G1421" s="1149"/>
      <c r="H1421" s="1124"/>
      <c r="I1421" s="1124"/>
      <c r="J1421" s="1187"/>
      <c r="K1421" s="1149"/>
      <c r="L1421" s="1149"/>
      <c r="M1421" s="1156">
        <v>5</v>
      </c>
      <c r="N1421" s="1122" t="s">
        <v>163</v>
      </c>
      <c r="O1421" s="1084">
        <v>33825000</v>
      </c>
      <c r="P1421" s="1084">
        <v>33825000</v>
      </c>
      <c r="Q1421" s="1084"/>
      <c r="R1421" s="1171">
        <v>42150</v>
      </c>
      <c r="S1421" s="1089"/>
      <c r="T1421" s="1089"/>
      <c r="U1421" s="1089"/>
      <c r="V1421" s="1084">
        <v>33761885.18</v>
      </c>
      <c r="W1421" s="1189"/>
      <c r="X1421" s="1124"/>
      <c r="Y1421" s="108" t="s">
        <v>1983</v>
      </c>
      <c r="Z1421" s="109">
        <v>0</v>
      </c>
      <c r="AA1421" s="109">
        <v>3376188.51</v>
      </c>
      <c r="AB1421" s="109">
        <f t="shared" si="121"/>
        <v>3376188.51</v>
      </c>
      <c r="AC1421" s="97">
        <v>42320</v>
      </c>
      <c r="AD1421" s="119">
        <v>3376188.51</v>
      </c>
      <c r="AE1421" s="1122" t="s">
        <v>163</v>
      </c>
      <c r="AF1421" s="1084">
        <f>SUM(AD1421:AD1422)</f>
        <v>17049751.990000002</v>
      </c>
      <c r="AG1421" s="1084"/>
      <c r="AH1421" s="1084"/>
      <c r="AI1421" s="1084"/>
      <c r="AJ1421" s="1084"/>
      <c r="AK1421" s="1084">
        <f>O1421-V1421</f>
        <v>63114.820000000298</v>
      </c>
      <c r="AL1421" s="1084"/>
      <c r="AM1421" s="1084"/>
      <c r="AN1421" s="1149"/>
      <c r="AO1421" s="1149"/>
      <c r="AQ1421" s="934"/>
    </row>
    <row r="1422" spans="1:43" s="4" customFormat="1" ht="15" customHeight="1">
      <c r="A1422" s="1170"/>
      <c r="B1422" s="1171"/>
      <c r="C1422" s="1122"/>
      <c r="D1422" s="1149"/>
      <c r="E1422" s="1148"/>
      <c r="F1422" s="1148"/>
      <c r="G1422" s="1149"/>
      <c r="H1422" s="1124"/>
      <c r="I1422" s="1124"/>
      <c r="J1422" s="1187"/>
      <c r="K1422" s="1149"/>
      <c r="L1422" s="1149"/>
      <c r="M1422" s="1156"/>
      <c r="N1422" s="1122"/>
      <c r="O1422" s="1084"/>
      <c r="P1422" s="1084"/>
      <c r="Q1422" s="1084"/>
      <c r="R1422" s="1171"/>
      <c r="S1422" s="1091"/>
      <c r="T1422" s="1091"/>
      <c r="U1422" s="1091"/>
      <c r="V1422" s="1084"/>
      <c r="W1422" s="1189"/>
      <c r="X1422" s="1124"/>
      <c r="Y1422" s="108" t="s">
        <v>1989</v>
      </c>
      <c r="Z1422" s="109">
        <v>15192848.310000001</v>
      </c>
      <c r="AA1422" s="109">
        <v>-1519284.83</v>
      </c>
      <c r="AB1422" s="109">
        <f t="shared" si="121"/>
        <v>13673563.48</v>
      </c>
      <c r="AC1422" s="97">
        <v>42436</v>
      </c>
      <c r="AD1422" s="119">
        <v>13673563.48</v>
      </c>
      <c r="AE1422" s="1122"/>
      <c r="AF1422" s="1084"/>
      <c r="AG1422" s="1084"/>
      <c r="AH1422" s="1084"/>
      <c r="AI1422" s="1084"/>
      <c r="AJ1422" s="1084"/>
      <c r="AK1422" s="1084"/>
      <c r="AL1422" s="1084"/>
      <c r="AM1422" s="1084"/>
      <c r="AN1422" s="1149"/>
      <c r="AO1422" s="1149"/>
      <c r="AQ1422" s="934"/>
    </row>
    <row r="1423" spans="1:43" s="4" customFormat="1" ht="15" customHeight="1">
      <c r="A1423" s="1170"/>
      <c r="B1423" s="1171"/>
      <c r="C1423" s="1122" t="s">
        <v>1973</v>
      </c>
      <c r="D1423" s="1149"/>
      <c r="E1423" s="1148"/>
      <c r="F1423" s="1148"/>
      <c r="G1423" s="1149"/>
      <c r="H1423" s="1124"/>
      <c r="I1423" s="1124"/>
      <c r="J1423" s="1187"/>
      <c r="K1423" s="1149"/>
      <c r="L1423" s="1149"/>
      <c r="M1423" s="1156">
        <v>6</v>
      </c>
      <c r="N1423" s="1122" t="s">
        <v>142</v>
      </c>
      <c r="O1423" s="1084">
        <v>51220000</v>
      </c>
      <c r="P1423" s="1084">
        <v>51220000</v>
      </c>
      <c r="Q1423" s="1084"/>
      <c r="R1423" s="1171">
        <v>42150</v>
      </c>
      <c r="S1423" s="1089"/>
      <c r="T1423" s="1089"/>
      <c r="U1423" s="1089"/>
      <c r="V1423" s="1084">
        <v>34011418.75</v>
      </c>
      <c r="W1423" s="1189"/>
      <c r="X1423" s="1124"/>
      <c r="Y1423" s="108" t="s">
        <v>1983</v>
      </c>
      <c r="Z1423" s="109">
        <v>0</v>
      </c>
      <c r="AA1423" s="109">
        <v>3401141.87</v>
      </c>
      <c r="AB1423" s="109">
        <f t="shared" si="121"/>
        <v>3401141.87</v>
      </c>
      <c r="AC1423" s="97">
        <v>42320</v>
      </c>
      <c r="AD1423" s="119">
        <v>3401141.87</v>
      </c>
      <c r="AE1423" s="1122" t="s">
        <v>142</v>
      </c>
      <c r="AF1423" s="1084">
        <f>SUM(AD1423:AD1424)</f>
        <v>17175766.469999999</v>
      </c>
      <c r="AG1423" s="1084"/>
      <c r="AH1423" s="1084"/>
      <c r="AI1423" s="1084"/>
      <c r="AJ1423" s="1084"/>
      <c r="AK1423" s="1084">
        <f>O1423-V1423</f>
        <v>17208581.25</v>
      </c>
      <c r="AL1423" s="1084"/>
      <c r="AM1423" s="1084"/>
      <c r="AN1423" s="1149"/>
      <c r="AO1423" s="1149"/>
      <c r="AQ1423" s="934"/>
    </row>
    <row r="1424" spans="1:43" s="4" customFormat="1" ht="15" customHeight="1">
      <c r="A1424" s="1170"/>
      <c r="B1424" s="1171"/>
      <c r="C1424" s="1122"/>
      <c r="D1424" s="1149"/>
      <c r="E1424" s="1148"/>
      <c r="F1424" s="1148"/>
      <c r="G1424" s="1149"/>
      <c r="H1424" s="1124"/>
      <c r="I1424" s="1124"/>
      <c r="J1424" s="1187"/>
      <c r="K1424" s="1149"/>
      <c r="L1424" s="1149"/>
      <c r="M1424" s="1156"/>
      <c r="N1424" s="1122"/>
      <c r="O1424" s="1084"/>
      <c r="P1424" s="1084"/>
      <c r="Q1424" s="1084"/>
      <c r="R1424" s="1171"/>
      <c r="S1424" s="1091"/>
      <c r="T1424" s="1091"/>
      <c r="U1424" s="1091"/>
      <c r="V1424" s="1084"/>
      <c r="W1424" s="1189"/>
      <c r="X1424" s="1124"/>
      <c r="Y1424" s="108" t="s">
        <v>1990</v>
      </c>
      <c r="Z1424" s="109">
        <v>15305138.439999999</v>
      </c>
      <c r="AA1424" s="109">
        <v>-1530513.84</v>
      </c>
      <c r="AB1424" s="109">
        <f t="shared" si="121"/>
        <v>13774624.6</v>
      </c>
      <c r="AC1424" s="97">
        <v>42436</v>
      </c>
      <c r="AD1424" s="119">
        <v>13774624.6</v>
      </c>
      <c r="AE1424" s="1122"/>
      <c r="AF1424" s="1084"/>
      <c r="AG1424" s="1084"/>
      <c r="AH1424" s="1084"/>
      <c r="AI1424" s="1084"/>
      <c r="AJ1424" s="1084"/>
      <c r="AK1424" s="1084"/>
      <c r="AL1424" s="1084"/>
      <c r="AM1424" s="1084"/>
      <c r="AN1424" s="1149"/>
      <c r="AO1424" s="1149"/>
      <c r="AQ1424" s="934"/>
    </row>
    <row r="1425" spans="1:43" s="4" customFormat="1" ht="15" customHeight="1">
      <c r="A1425" s="1170"/>
      <c r="B1425" s="1171"/>
      <c r="C1425" s="1122" t="s">
        <v>1972</v>
      </c>
      <c r="D1425" s="1149"/>
      <c r="E1425" s="1148"/>
      <c r="F1425" s="1148"/>
      <c r="G1425" s="1149"/>
      <c r="H1425" s="1124"/>
      <c r="I1425" s="1124"/>
      <c r="J1425" s="1187"/>
      <c r="K1425" s="1149"/>
      <c r="L1425" s="1149"/>
      <c r="M1425" s="1156">
        <v>4</v>
      </c>
      <c r="N1425" s="1122" t="s">
        <v>135</v>
      </c>
      <c r="O1425" s="1084">
        <v>51220000</v>
      </c>
      <c r="P1425" s="1084">
        <v>51220000</v>
      </c>
      <c r="Q1425" s="1084"/>
      <c r="R1425" s="1171">
        <v>42150</v>
      </c>
      <c r="S1425" s="1089"/>
      <c r="T1425" s="1089"/>
      <c r="U1425" s="1089"/>
      <c r="V1425" s="1084">
        <v>51124427.460000001</v>
      </c>
      <c r="W1425" s="1189"/>
      <c r="X1425" s="1124"/>
      <c r="Y1425" s="108" t="s">
        <v>1983</v>
      </c>
      <c r="Z1425" s="109">
        <v>0</v>
      </c>
      <c r="AA1425" s="109">
        <v>5112442.75</v>
      </c>
      <c r="AB1425" s="109">
        <f t="shared" si="121"/>
        <v>5112442.75</v>
      </c>
      <c r="AC1425" s="97">
        <v>42320</v>
      </c>
      <c r="AD1425" s="119">
        <v>5112442.75</v>
      </c>
      <c r="AE1425" s="1122" t="s">
        <v>135</v>
      </c>
      <c r="AF1425" s="1084">
        <f>SUM(AD1425:AD1426)</f>
        <v>25817835.870000001</v>
      </c>
      <c r="AG1425" s="1084"/>
      <c r="AH1425" s="1084"/>
      <c r="AI1425" s="1084"/>
      <c r="AJ1425" s="1084"/>
      <c r="AK1425" s="1084">
        <f>O1425-V1425</f>
        <v>95572.539999999106</v>
      </c>
      <c r="AL1425" s="1084"/>
      <c r="AM1425" s="1084"/>
      <c r="AN1425" s="1149"/>
      <c r="AO1425" s="1149"/>
      <c r="AQ1425" s="934"/>
    </row>
    <row r="1426" spans="1:43" s="4" customFormat="1" ht="15" customHeight="1">
      <c r="A1426" s="1170"/>
      <c r="B1426" s="1171"/>
      <c r="C1426" s="1122"/>
      <c r="D1426" s="1149"/>
      <c r="E1426" s="1148"/>
      <c r="F1426" s="1148"/>
      <c r="G1426" s="1149"/>
      <c r="H1426" s="1124"/>
      <c r="I1426" s="1124"/>
      <c r="J1426" s="1187"/>
      <c r="K1426" s="1149"/>
      <c r="L1426" s="1149"/>
      <c r="M1426" s="1156"/>
      <c r="N1426" s="1122"/>
      <c r="O1426" s="1084"/>
      <c r="P1426" s="1084"/>
      <c r="Q1426" s="1084"/>
      <c r="R1426" s="1171"/>
      <c r="S1426" s="1091"/>
      <c r="T1426" s="1091"/>
      <c r="U1426" s="1091"/>
      <c r="V1426" s="1084"/>
      <c r="W1426" s="1189"/>
      <c r="X1426" s="1124"/>
      <c r="Y1426" s="108" t="s">
        <v>1991</v>
      </c>
      <c r="Z1426" s="109">
        <v>23005992.359999999</v>
      </c>
      <c r="AA1426" s="109">
        <v>-2300599.2400000002</v>
      </c>
      <c r="AB1426" s="109">
        <f t="shared" si="121"/>
        <v>20705393.119999997</v>
      </c>
      <c r="AC1426" s="97">
        <v>42436</v>
      </c>
      <c r="AD1426" s="119">
        <v>20705393.120000001</v>
      </c>
      <c r="AE1426" s="1122"/>
      <c r="AF1426" s="1084"/>
      <c r="AG1426" s="1084"/>
      <c r="AH1426" s="1084"/>
      <c r="AI1426" s="1084"/>
      <c r="AJ1426" s="1084"/>
      <c r="AK1426" s="1084"/>
      <c r="AL1426" s="1084"/>
      <c r="AM1426" s="1084"/>
      <c r="AN1426" s="1149"/>
      <c r="AO1426" s="1149"/>
      <c r="AQ1426" s="934"/>
    </row>
    <row r="1427" spans="1:43" s="4" customFormat="1" ht="15" customHeight="1">
      <c r="A1427" s="1170"/>
      <c r="B1427" s="1171"/>
      <c r="C1427" s="1122" t="s">
        <v>1971</v>
      </c>
      <c r="D1427" s="1149"/>
      <c r="E1427" s="1148"/>
      <c r="F1427" s="1148"/>
      <c r="G1427" s="1149"/>
      <c r="H1427" s="1124"/>
      <c r="I1427" s="1124"/>
      <c r="J1427" s="1187"/>
      <c r="K1427" s="1149"/>
      <c r="L1427" s="1149"/>
      <c r="M1427" s="1156">
        <v>14</v>
      </c>
      <c r="N1427" s="1122" t="s">
        <v>152</v>
      </c>
      <c r="O1427" s="1084">
        <v>51220000</v>
      </c>
      <c r="P1427" s="1084">
        <v>51220000</v>
      </c>
      <c r="Q1427" s="1084"/>
      <c r="R1427" s="1171">
        <v>42150</v>
      </c>
      <c r="S1427" s="1089"/>
      <c r="T1427" s="1089"/>
      <c r="U1427" s="1089"/>
      <c r="V1427" s="1084">
        <v>51124427.460000001</v>
      </c>
      <c r="W1427" s="1189"/>
      <c r="X1427" s="1124"/>
      <c r="Y1427" s="108" t="s">
        <v>1983</v>
      </c>
      <c r="Z1427" s="109">
        <v>0</v>
      </c>
      <c r="AA1427" s="109">
        <v>5112442.75</v>
      </c>
      <c r="AB1427" s="109">
        <f t="shared" si="121"/>
        <v>5112442.75</v>
      </c>
      <c r="AC1427" s="97">
        <v>42320</v>
      </c>
      <c r="AD1427" s="119">
        <v>5112442.75</v>
      </c>
      <c r="AE1427" s="1122" t="s">
        <v>152</v>
      </c>
      <c r="AF1427" s="1084">
        <f>SUM(AD1427:AD1428)</f>
        <v>25817835.870000001</v>
      </c>
      <c r="AG1427" s="1084"/>
      <c r="AH1427" s="1084"/>
      <c r="AI1427" s="1084"/>
      <c r="AJ1427" s="1084"/>
      <c r="AK1427" s="1084">
        <f>O1427-V1427</f>
        <v>95572.539999999106</v>
      </c>
      <c r="AL1427" s="1084"/>
      <c r="AM1427" s="1084"/>
      <c r="AN1427" s="1149"/>
      <c r="AO1427" s="1149"/>
      <c r="AQ1427" s="934"/>
    </row>
    <row r="1428" spans="1:43" s="4" customFormat="1" ht="15" customHeight="1">
      <c r="A1428" s="1170"/>
      <c r="B1428" s="1171"/>
      <c r="C1428" s="1122"/>
      <c r="D1428" s="1149"/>
      <c r="E1428" s="1148"/>
      <c r="F1428" s="1148"/>
      <c r="G1428" s="1149"/>
      <c r="H1428" s="1124"/>
      <c r="I1428" s="1124"/>
      <c r="J1428" s="1187"/>
      <c r="K1428" s="1149"/>
      <c r="L1428" s="1149"/>
      <c r="M1428" s="1156"/>
      <c r="N1428" s="1122"/>
      <c r="O1428" s="1084"/>
      <c r="P1428" s="1084"/>
      <c r="Q1428" s="1084"/>
      <c r="R1428" s="1171"/>
      <c r="S1428" s="1091"/>
      <c r="T1428" s="1091"/>
      <c r="U1428" s="1091"/>
      <c r="V1428" s="1084"/>
      <c r="W1428" s="1189"/>
      <c r="X1428" s="1124"/>
      <c r="Y1428" s="108" t="s">
        <v>1992</v>
      </c>
      <c r="Z1428" s="109">
        <v>23005992.359999999</v>
      </c>
      <c r="AA1428" s="109">
        <v>-2300599.2400000002</v>
      </c>
      <c r="AB1428" s="109">
        <f t="shared" si="121"/>
        <v>20705393.119999997</v>
      </c>
      <c r="AC1428" s="97">
        <v>42436</v>
      </c>
      <c r="AD1428" s="119">
        <v>20705393.120000001</v>
      </c>
      <c r="AE1428" s="1122"/>
      <c r="AF1428" s="1084"/>
      <c r="AG1428" s="1084"/>
      <c r="AH1428" s="1084"/>
      <c r="AI1428" s="1084"/>
      <c r="AJ1428" s="1084"/>
      <c r="AK1428" s="1084"/>
      <c r="AL1428" s="1084"/>
      <c r="AM1428" s="1084"/>
      <c r="AN1428" s="1149"/>
      <c r="AO1428" s="1149"/>
      <c r="AQ1428" s="934"/>
    </row>
    <row r="1429" spans="1:43" s="4" customFormat="1" ht="15" customHeight="1">
      <c r="A1429" s="1170"/>
      <c r="B1429" s="1171"/>
      <c r="C1429" s="1122" t="s">
        <v>1970</v>
      </c>
      <c r="D1429" s="1149"/>
      <c r="E1429" s="1148"/>
      <c r="F1429" s="1148"/>
      <c r="G1429" s="1149"/>
      <c r="H1429" s="1124"/>
      <c r="I1429" s="1124"/>
      <c r="J1429" s="1187"/>
      <c r="K1429" s="1149"/>
      <c r="L1429" s="1149"/>
      <c r="M1429" s="1156">
        <v>4</v>
      </c>
      <c r="N1429" s="1122" t="s">
        <v>156</v>
      </c>
      <c r="O1429" s="1084">
        <v>51220000</v>
      </c>
      <c r="P1429" s="1084">
        <v>51220000</v>
      </c>
      <c r="Q1429" s="1084"/>
      <c r="R1429" s="1171">
        <v>42150</v>
      </c>
      <c r="S1429" s="1089"/>
      <c r="T1429" s="1089"/>
      <c r="U1429" s="1089"/>
      <c r="V1429" s="1084">
        <v>51124427.460000001</v>
      </c>
      <c r="W1429" s="1189"/>
      <c r="X1429" s="1124"/>
      <c r="Y1429" s="108" t="s">
        <v>1983</v>
      </c>
      <c r="Z1429" s="109">
        <v>0</v>
      </c>
      <c r="AA1429" s="109">
        <v>5112442.75</v>
      </c>
      <c r="AB1429" s="109">
        <f t="shared" si="121"/>
        <v>5112442.75</v>
      </c>
      <c r="AC1429" s="97">
        <v>42320</v>
      </c>
      <c r="AD1429" s="119">
        <v>5112442.75</v>
      </c>
      <c r="AE1429" s="1122" t="s">
        <v>156</v>
      </c>
      <c r="AF1429" s="1084">
        <f>SUM(AD1429:AD1430)</f>
        <v>25817835.870000001</v>
      </c>
      <c r="AG1429" s="1084"/>
      <c r="AH1429" s="1084"/>
      <c r="AI1429" s="1084"/>
      <c r="AJ1429" s="1084"/>
      <c r="AK1429" s="1084">
        <f>O1429-V1429</f>
        <v>95572.539999999106</v>
      </c>
      <c r="AL1429" s="1084"/>
      <c r="AM1429" s="1084"/>
      <c r="AN1429" s="1149"/>
      <c r="AO1429" s="1149"/>
      <c r="AQ1429" s="934"/>
    </row>
    <row r="1430" spans="1:43" s="4" customFormat="1" ht="15" customHeight="1">
      <c r="A1430" s="1170"/>
      <c r="B1430" s="1171"/>
      <c r="C1430" s="1122"/>
      <c r="D1430" s="1149"/>
      <c r="E1430" s="1148"/>
      <c r="F1430" s="1148"/>
      <c r="G1430" s="1149"/>
      <c r="H1430" s="1124"/>
      <c r="I1430" s="1124"/>
      <c r="J1430" s="1187"/>
      <c r="K1430" s="1149"/>
      <c r="L1430" s="1149"/>
      <c r="M1430" s="1156"/>
      <c r="N1430" s="1122"/>
      <c r="O1430" s="1084"/>
      <c r="P1430" s="1084"/>
      <c r="Q1430" s="1084"/>
      <c r="R1430" s="1171"/>
      <c r="S1430" s="1091"/>
      <c r="T1430" s="1091"/>
      <c r="U1430" s="1091"/>
      <c r="V1430" s="1084"/>
      <c r="W1430" s="1189"/>
      <c r="X1430" s="1124"/>
      <c r="Y1430" s="108" t="s">
        <v>1993</v>
      </c>
      <c r="Z1430" s="109">
        <v>23005992.359999999</v>
      </c>
      <c r="AA1430" s="109">
        <v>-2300599.2400000002</v>
      </c>
      <c r="AB1430" s="109">
        <f t="shared" si="121"/>
        <v>20705393.119999997</v>
      </c>
      <c r="AC1430" s="97">
        <v>42436</v>
      </c>
      <c r="AD1430" s="119">
        <v>20705393.120000001</v>
      </c>
      <c r="AE1430" s="1122"/>
      <c r="AF1430" s="1084"/>
      <c r="AG1430" s="1084"/>
      <c r="AH1430" s="1084"/>
      <c r="AI1430" s="1084"/>
      <c r="AJ1430" s="1084"/>
      <c r="AK1430" s="1084"/>
      <c r="AL1430" s="1084"/>
      <c r="AM1430" s="1084"/>
      <c r="AN1430" s="1149"/>
      <c r="AO1430" s="1149"/>
      <c r="AQ1430" s="934"/>
    </row>
    <row r="1431" spans="1:43" s="4" customFormat="1" ht="15" customHeight="1">
      <c r="A1431" s="1170"/>
      <c r="B1431" s="1171"/>
      <c r="C1431" s="1122" t="s">
        <v>1969</v>
      </c>
      <c r="D1431" s="1149"/>
      <c r="E1431" s="1148"/>
      <c r="F1431" s="1148"/>
      <c r="G1431" s="1149"/>
      <c r="H1431" s="1124"/>
      <c r="I1431" s="1124"/>
      <c r="J1431" s="1187"/>
      <c r="K1431" s="1149"/>
      <c r="L1431" s="1149"/>
      <c r="M1431" s="1156">
        <v>7</v>
      </c>
      <c r="N1431" s="1122" t="s">
        <v>145</v>
      </c>
      <c r="O1431" s="1084">
        <v>51220000</v>
      </c>
      <c r="P1431" s="1084">
        <v>51220000</v>
      </c>
      <c r="Q1431" s="1084"/>
      <c r="R1431" s="1171">
        <v>42150</v>
      </c>
      <c r="S1431" s="1089"/>
      <c r="T1431" s="1089"/>
      <c r="U1431" s="1089"/>
      <c r="V1431" s="1084">
        <v>51124427.460000001</v>
      </c>
      <c r="W1431" s="1189"/>
      <c r="X1431" s="1124"/>
      <c r="Y1431" s="108" t="s">
        <v>1983</v>
      </c>
      <c r="Z1431" s="109">
        <v>0</v>
      </c>
      <c r="AA1431" s="109">
        <v>5112442.75</v>
      </c>
      <c r="AB1431" s="109">
        <f t="shared" si="121"/>
        <v>5112442.75</v>
      </c>
      <c r="AC1431" s="97">
        <v>42320</v>
      </c>
      <c r="AD1431" s="119">
        <v>5112442.75</v>
      </c>
      <c r="AE1431" s="1122" t="s">
        <v>145</v>
      </c>
      <c r="AF1431" s="1084">
        <f>SUM(AD1431:AD1432)</f>
        <v>25817835.870000001</v>
      </c>
      <c r="AG1431" s="1084"/>
      <c r="AH1431" s="1084"/>
      <c r="AI1431" s="1084"/>
      <c r="AJ1431" s="1084"/>
      <c r="AK1431" s="1084">
        <f>O1431-V1431</f>
        <v>95572.539999999106</v>
      </c>
      <c r="AL1431" s="1084"/>
      <c r="AM1431" s="1084"/>
      <c r="AN1431" s="1149"/>
      <c r="AO1431" s="1149"/>
      <c r="AQ1431" s="934"/>
    </row>
    <row r="1432" spans="1:43" s="4" customFormat="1" ht="15" customHeight="1">
      <c r="A1432" s="1170"/>
      <c r="B1432" s="1171"/>
      <c r="C1432" s="1122"/>
      <c r="D1432" s="1149"/>
      <c r="E1432" s="1148"/>
      <c r="F1432" s="1148"/>
      <c r="G1432" s="1149"/>
      <c r="H1432" s="1024"/>
      <c r="I1432" s="1024"/>
      <c r="J1432" s="1188"/>
      <c r="K1432" s="1149"/>
      <c r="L1432" s="1149"/>
      <c r="M1432" s="1156"/>
      <c r="N1432" s="1122"/>
      <c r="O1432" s="1084"/>
      <c r="P1432" s="1084"/>
      <c r="Q1432" s="1084"/>
      <c r="R1432" s="1171"/>
      <c r="S1432" s="1091"/>
      <c r="T1432" s="1091"/>
      <c r="U1432" s="1091"/>
      <c r="V1432" s="1084"/>
      <c r="W1432" s="1189"/>
      <c r="X1432" s="1024"/>
      <c r="Y1432" s="108" t="s">
        <v>1994</v>
      </c>
      <c r="Z1432" s="109">
        <v>23005992.359999999</v>
      </c>
      <c r="AA1432" s="109">
        <v>-2300599.2400000002</v>
      </c>
      <c r="AB1432" s="109">
        <f t="shared" si="121"/>
        <v>20705393.119999997</v>
      </c>
      <c r="AC1432" s="97">
        <v>42436</v>
      </c>
      <c r="AD1432" s="119">
        <v>20705393.120000001</v>
      </c>
      <c r="AE1432" s="1122"/>
      <c r="AF1432" s="1084"/>
      <c r="AG1432" s="1084"/>
      <c r="AH1432" s="1084"/>
      <c r="AI1432" s="1084"/>
      <c r="AJ1432" s="1084"/>
      <c r="AK1432" s="1084"/>
      <c r="AL1432" s="1084"/>
      <c r="AM1432" s="1084"/>
      <c r="AN1432" s="1149"/>
      <c r="AO1432" s="1149"/>
      <c r="AQ1432" s="934"/>
    </row>
    <row r="1433" spans="1:43" s="4" customFormat="1" ht="15" customHeight="1">
      <c r="A1433" s="1225" t="s">
        <v>1908</v>
      </c>
      <c r="B1433" s="1171">
        <v>42237</v>
      </c>
      <c r="C1433" s="1149" t="s">
        <v>9</v>
      </c>
      <c r="D1433" s="1149" t="s">
        <v>1907</v>
      </c>
      <c r="E1433" s="1149" t="s">
        <v>1906</v>
      </c>
      <c r="F1433" s="1149"/>
      <c r="G1433" s="1149" t="s">
        <v>1905</v>
      </c>
      <c r="H1433" s="1149" t="s">
        <v>70</v>
      </c>
      <c r="I1433" s="1149" t="s">
        <v>206</v>
      </c>
      <c r="J1433" s="1149" t="s">
        <v>66</v>
      </c>
      <c r="K1433" s="1149" t="s">
        <v>49</v>
      </c>
      <c r="L1433" s="1149" t="s">
        <v>1904</v>
      </c>
      <c r="M1433" s="1009">
        <v>17</v>
      </c>
      <c r="N1433" s="1021" t="s">
        <v>129</v>
      </c>
      <c r="O1433" s="1023">
        <v>3585400</v>
      </c>
      <c r="P1433" s="1023">
        <v>3585400</v>
      </c>
      <c r="Q1433" s="1149">
        <f>SUM(O1433:O1453)</f>
        <v>35803950</v>
      </c>
      <c r="R1433" s="1068">
        <v>42150</v>
      </c>
      <c r="S1433" s="116"/>
      <c r="T1433" s="117"/>
      <c r="U1433" s="117"/>
      <c r="V1433" s="1184">
        <v>3575264.17</v>
      </c>
      <c r="W1433" s="1122">
        <f>SUM(V1433:V1454)</f>
        <v>34505975.99000001</v>
      </c>
      <c r="X1433" s="1122"/>
      <c r="Y1433" s="64" t="s">
        <v>1903</v>
      </c>
      <c r="Z1433" s="103"/>
      <c r="AA1433" s="103">
        <v>3540598</v>
      </c>
      <c r="AB1433" s="103"/>
      <c r="AC1433" s="97">
        <v>42327</v>
      </c>
      <c r="AD1433" s="98" t="s">
        <v>1885</v>
      </c>
      <c r="AE1433" s="98" t="s">
        <v>129</v>
      </c>
      <c r="AF1433" s="96"/>
      <c r="AG1433" s="96"/>
      <c r="AH1433" s="96"/>
      <c r="AI1433" s="96"/>
      <c r="AJ1433" s="96"/>
      <c r="AK1433" s="96">
        <f>O1433-V1433</f>
        <v>10135.830000000075</v>
      </c>
      <c r="AL1433" s="96"/>
      <c r="AM1433" s="96"/>
      <c r="AN1433" s="96"/>
      <c r="AO1433" s="1149" t="s">
        <v>1909</v>
      </c>
      <c r="AQ1433" s="934"/>
    </row>
    <row r="1434" spans="1:43" s="4" customFormat="1" ht="15" customHeight="1">
      <c r="A1434" s="1225"/>
      <c r="B1434" s="1171"/>
      <c r="C1434" s="1149"/>
      <c r="D1434" s="1149"/>
      <c r="E1434" s="1149"/>
      <c r="F1434" s="1149"/>
      <c r="G1434" s="1149"/>
      <c r="H1434" s="1149"/>
      <c r="I1434" s="1149"/>
      <c r="J1434" s="1149"/>
      <c r="K1434" s="1149"/>
      <c r="L1434" s="1149"/>
      <c r="M1434" s="1010"/>
      <c r="N1434" s="1038"/>
      <c r="O1434" s="1024"/>
      <c r="P1434" s="1024"/>
      <c r="Q1434" s="1149"/>
      <c r="R1434" s="1069"/>
      <c r="S1434" s="116"/>
      <c r="T1434" s="117"/>
      <c r="U1434" s="117"/>
      <c r="V1434" s="1185"/>
      <c r="W1434" s="1122"/>
      <c r="X1434" s="1122"/>
      <c r="Y1434" s="64" t="s">
        <v>1902</v>
      </c>
      <c r="Z1434" s="103">
        <v>15527689</v>
      </c>
      <c r="AA1434" s="103">
        <v>-1552769</v>
      </c>
      <c r="AB1434" s="103">
        <f>SUM(Z1434:AA1434)</f>
        <v>13974920</v>
      </c>
      <c r="AC1434" s="97">
        <v>42732</v>
      </c>
      <c r="AD1434" s="98" t="s">
        <v>1901</v>
      </c>
      <c r="AE1434" s="98"/>
      <c r="AF1434" s="96"/>
      <c r="AG1434" s="96"/>
      <c r="AH1434" s="96"/>
      <c r="AI1434" s="96"/>
      <c r="AJ1434" s="96"/>
      <c r="AK1434" s="96"/>
      <c r="AL1434" s="96"/>
      <c r="AM1434" s="96"/>
      <c r="AN1434" s="96"/>
      <c r="AO1434" s="1149"/>
      <c r="AQ1434" s="934"/>
    </row>
    <row r="1435" spans="1:43" s="4" customFormat="1" ht="15" customHeight="1">
      <c r="A1435" s="1225"/>
      <c r="B1435" s="1171"/>
      <c r="C1435" s="1149"/>
      <c r="D1435" s="1149"/>
      <c r="E1435" s="1149"/>
      <c r="F1435" s="1149"/>
      <c r="G1435" s="1149"/>
      <c r="H1435" s="1149"/>
      <c r="I1435" s="1149"/>
      <c r="J1435" s="1149"/>
      <c r="K1435" s="1149"/>
      <c r="L1435" s="1149"/>
      <c r="M1435" s="1009">
        <v>7</v>
      </c>
      <c r="N1435" s="1021" t="s">
        <v>142</v>
      </c>
      <c r="O1435" s="1023">
        <v>3585400</v>
      </c>
      <c r="P1435" s="1023">
        <v>3585400</v>
      </c>
      <c r="Q1435" s="1149"/>
      <c r="R1435" s="1069"/>
      <c r="S1435" s="116"/>
      <c r="T1435" s="117"/>
      <c r="U1435" s="117"/>
      <c r="V1435" s="1184">
        <v>2378506.96</v>
      </c>
      <c r="W1435" s="1122"/>
      <c r="X1435" s="1122"/>
      <c r="Y1435" s="108" t="s">
        <v>1886</v>
      </c>
      <c r="Z1435" s="103"/>
      <c r="AA1435" s="103"/>
      <c r="AB1435" s="103"/>
      <c r="AC1435" s="97">
        <v>42327</v>
      </c>
      <c r="AD1435" s="98" t="s">
        <v>1896</v>
      </c>
      <c r="AE1435" s="98" t="s">
        <v>142</v>
      </c>
      <c r="AF1435" s="96"/>
      <c r="AG1435" s="96"/>
      <c r="AH1435" s="96"/>
      <c r="AI1435" s="96"/>
      <c r="AJ1435" s="96"/>
      <c r="AK1435" s="96">
        <f>O1435-V1435</f>
        <v>1206893.04</v>
      </c>
      <c r="AL1435" s="96"/>
      <c r="AM1435" s="96"/>
      <c r="AN1435" s="96"/>
      <c r="AO1435" s="1149"/>
      <c r="AQ1435" s="934"/>
    </row>
    <row r="1436" spans="1:43" s="4" customFormat="1" ht="15" customHeight="1">
      <c r="A1436" s="1225"/>
      <c r="B1436" s="1171"/>
      <c r="C1436" s="1149"/>
      <c r="D1436" s="1149"/>
      <c r="E1436" s="1149"/>
      <c r="F1436" s="1149"/>
      <c r="G1436" s="1149"/>
      <c r="H1436" s="1149"/>
      <c r="I1436" s="1149"/>
      <c r="J1436" s="1149"/>
      <c r="K1436" s="1149"/>
      <c r="L1436" s="1149"/>
      <c r="M1436" s="1010"/>
      <c r="N1436" s="1038"/>
      <c r="O1436" s="1024"/>
      <c r="P1436" s="1024"/>
      <c r="Q1436" s="1149"/>
      <c r="R1436" s="1069"/>
      <c r="S1436" s="116"/>
      <c r="T1436" s="117"/>
      <c r="U1436" s="117"/>
      <c r="V1436" s="1185"/>
      <c r="W1436" s="1122"/>
      <c r="X1436" s="1122"/>
      <c r="Y1436" s="108" t="s">
        <v>1900</v>
      </c>
      <c r="Z1436" s="103"/>
      <c r="AA1436" s="103"/>
      <c r="AB1436" s="103"/>
      <c r="AC1436" s="97">
        <v>42732</v>
      </c>
      <c r="AD1436" s="98" t="s">
        <v>1899</v>
      </c>
      <c r="AE1436" s="98"/>
      <c r="AF1436" s="96"/>
      <c r="AG1436" s="96"/>
      <c r="AH1436" s="96"/>
      <c r="AI1436" s="96"/>
      <c r="AJ1436" s="96"/>
      <c r="AK1436" s="96"/>
      <c r="AL1436" s="96"/>
      <c r="AM1436" s="96"/>
      <c r="AN1436" s="96"/>
      <c r="AO1436" s="1149"/>
      <c r="AQ1436" s="934"/>
    </row>
    <row r="1437" spans="1:43" s="4" customFormat="1" ht="15" customHeight="1">
      <c r="A1437" s="1225"/>
      <c r="B1437" s="1171"/>
      <c r="C1437" s="1149"/>
      <c r="D1437" s="1149"/>
      <c r="E1437" s="1149"/>
      <c r="F1437" s="1149"/>
      <c r="G1437" s="1149"/>
      <c r="H1437" s="1149"/>
      <c r="I1437" s="1149"/>
      <c r="J1437" s="1149"/>
      <c r="K1437" s="1149"/>
      <c r="L1437" s="1149"/>
      <c r="M1437" s="1009">
        <v>6</v>
      </c>
      <c r="N1437" s="1021" t="s">
        <v>163</v>
      </c>
      <c r="O1437" s="1023">
        <v>2367750</v>
      </c>
      <c r="P1437" s="1023">
        <v>2367750</v>
      </c>
      <c r="Q1437" s="1149"/>
      <c r="R1437" s="1069"/>
      <c r="S1437" s="116"/>
      <c r="T1437" s="117"/>
      <c r="U1437" s="117"/>
      <c r="V1437" s="1184">
        <v>2361056.44</v>
      </c>
      <c r="W1437" s="1122"/>
      <c r="X1437" s="1122"/>
      <c r="Y1437" s="64" t="s">
        <v>1886</v>
      </c>
      <c r="Z1437" s="103"/>
      <c r="AA1437" s="103"/>
      <c r="AB1437" s="103"/>
      <c r="AC1437" s="97">
        <v>42327</v>
      </c>
      <c r="AD1437" s="98" t="s">
        <v>1895</v>
      </c>
      <c r="AE1437" s="98" t="s">
        <v>163</v>
      </c>
      <c r="AF1437" s="96"/>
      <c r="AG1437" s="96"/>
      <c r="AH1437" s="96"/>
      <c r="AI1437" s="96"/>
      <c r="AJ1437" s="96"/>
      <c r="AK1437" s="96">
        <f>O1437-V1437</f>
        <v>6693.5600000000559</v>
      </c>
      <c r="AL1437" s="96"/>
      <c r="AM1437" s="96"/>
      <c r="AN1437" s="96"/>
      <c r="AO1437" s="1149"/>
      <c r="AQ1437" s="934"/>
    </row>
    <row r="1438" spans="1:43" s="4" customFormat="1" ht="15" customHeight="1">
      <c r="A1438" s="1225"/>
      <c r="B1438" s="1171"/>
      <c r="C1438" s="1149"/>
      <c r="D1438" s="1149"/>
      <c r="E1438" s="1149"/>
      <c r="F1438" s="1149"/>
      <c r="G1438" s="1149"/>
      <c r="H1438" s="1149"/>
      <c r="I1438" s="1149"/>
      <c r="J1438" s="1149"/>
      <c r="K1438" s="1149"/>
      <c r="L1438" s="1149"/>
      <c r="M1438" s="1010"/>
      <c r="N1438" s="1038"/>
      <c r="O1438" s="1024"/>
      <c r="P1438" s="1024"/>
      <c r="Q1438" s="1149"/>
      <c r="R1438" s="1069"/>
      <c r="S1438" s="116"/>
      <c r="T1438" s="117"/>
      <c r="U1438" s="117"/>
      <c r="V1438" s="1185"/>
      <c r="W1438" s="1122"/>
      <c r="X1438" s="1122"/>
      <c r="Y1438" s="64" t="s">
        <v>1898</v>
      </c>
      <c r="Z1438" s="103"/>
      <c r="AA1438" s="103"/>
      <c r="AB1438" s="103"/>
      <c r="AC1438" s="97">
        <v>42732</v>
      </c>
      <c r="AD1438" s="98" t="s">
        <v>1897</v>
      </c>
      <c r="AE1438" s="98"/>
      <c r="AF1438" s="96"/>
      <c r="AG1438" s="96"/>
      <c r="AH1438" s="96"/>
      <c r="AI1438" s="96"/>
      <c r="AJ1438" s="96"/>
      <c r="AK1438" s="96"/>
      <c r="AL1438" s="96"/>
      <c r="AM1438" s="96"/>
      <c r="AN1438" s="96"/>
      <c r="AO1438" s="1149"/>
      <c r="AQ1438" s="934"/>
    </row>
    <row r="1439" spans="1:43" s="4" customFormat="1" ht="15" customHeight="1">
      <c r="A1439" s="1225"/>
      <c r="B1439" s="1171"/>
      <c r="C1439" s="1149"/>
      <c r="D1439" s="1149"/>
      <c r="E1439" s="1149"/>
      <c r="F1439" s="1149"/>
      <c r="G1439" s="1149"/>
      <c r="H1439" s="1149"/>
      <c r="I1439" s="1149"/>
      <c r="J1439" s="1149"/>
      <c r="K1439" s="1149"/>
      <c r="L1439" s="1149"/>
      <c r="M1439" s="1009">
        <v>16</v>
      </c>
      <c r="N1439" s="1021" t="s">
        <v>157</v>
      </c>
      <c r="O1439" s="1023">
        <v>2385250</v>
      </c>
      <c r="P1439" s="1023">
        <v>2385250</v>
      </c>
      <c r="Q1439" s="1149"/>
      <c r="R1439" s="1069"/>
      <c r="S1439" s="116"/>
      <c r="T1439" s="117"/>
      <c r="U1439" s="117"/>
      <c r="V1439" s="1184">
        <v>2378506.96</v>
      </c>
      <c r="W1439" s="1122"/>
      <c r="X1439" s="1122"/>
      <c r="Y1439" s="108" t="s">
        <v>1886</v>
      </c>
      <c r="Z1439" s="103"/>
      <c r="AA1439" s="103"/>
      <c r="AB1439" s="103"/>
      <c r="AC1439" s="97">
        <v>42327</v>
      </c>
      <c r="AD1439" s="98" t="s">
        <v>1896</v>
      </c>
      <c r="AE1439" s="98" t="s">
        <v>157</v>
      </c>
      <c r="AF1439" s="96"/>
      <c r="AG1439" s="96"/>
      <c r="AH1439" s="96"/>
      <c r="AI1439" s="96"/>
      <c r="AJ1439" s="96"/>
      <c r="AK1439" s="96">
        <f>O1439-V1439</f>
        <v>6743.0400000000373</v>
      </c>
      <c r="AL1439" s="96"/>
      <c r="AM1439" s="96"/>
      <c r="AN1439" s="96"/>
      <c r="AO1439" s="1149"/>
      <c r="AQ1439" s="934"/>
    </row>
    <row r="1440" spans="1:43" s="4" customFormat="1" ht="15" customHeight="1">
      <c r="A1440" s="1225"/>
      <c r="B1440" s="1171"/>
      <c r="C1440" s="1149"/>
      <c r="D1440" s="1149"/>
      <c r="E1440" s="1149"/>
      <c r="F1440" s="1149"/>
      <c r="G1440" s="1149"/>
      <c r="H1440" s="1149"/>
      <c r="I1440" s="1149"/>
      <c r="J1440" s="1149"/>
      <c r="K1440" s="1149"/>
      <c r="L1440" s="1149"/>
      <c r="M1440" s="1010"/>
      <c r="N1440" s="1038"/>
      <c r="O1440" s="1024"/>
      <c r="P1440" s="1024"/>
      <c r="Q1440" s="1149"/>
      <c r="R1440" s="1069"/>
      <c r="S1440" s="116"/>
      <c r="T1440" s="117"/>
      <c r="U1440" s="117"/>
      <c r="V1440" s="1185"/>
      <c r="W1440" s="1122"/>
      <c r="X1440" s="1122"/>
      <c r="Y1440" s="108"/>
      <c r="Z1440" s="103"/>
      <c r="AA1440" s="103"/>
      <c r="AB1440" s="103"/>
      <c r="AC1440" s="97"/>
      <c r="AD1440" s="98"/>
      <c r="AE1440" s="98"/>
      <c r="AF1440" s="96"/>
      <c r="AG1440" s="96"/>
      <c r="AH1440" s="96"/>
      <c r="AI1440" s="96"/>
      <c r="AJ1440" s="96"/>
      <c r="AK1440" s="96"/>
      <c r="AL1440" s="96"/>
      <c r="AM1440" s="96"/>
      <c r="AN1440" s="96"/>
      <c r="AO1440" s="1149"/>
      <c r="AQ1440" s="934"/>
    </row>
    <row r="1441" spans="1:43" s="4" customFormat="1" ht="15" customHeight="1">
      <c r="A1441" s="1225"/>
      <c r="B1441" s="1171"/>
      <c r="C1441" s="1149"/>
      <c r="D1441" s="1149"/>
      <c r="E1441" s="1149"/>
      <c r="F1441" s="1149"/>
      <c r="G1441" s="1149"/>
      <c r="H1441" s="1149"/>
      <c r="I1441" s="1149"/>
      <c r="J1441" s="1149"/>
      <c r="K1441" s="1149"/>
      <c r="L1441" s="1149"/>
      <c r="M1441" s="1009">
        <v>13</v>
      </c>
      <c r="N1441" s="1021" t="s">
        <v>147</v>
      </c>
      <c r="O1441" s="1023">
        <v>2367750</v>
      </c>
      <c r="P1441" s="1023">
        <v>2367750</v>
      </c>
      <c r="Q1441" s="1149"/>
      <c r="R1441" s="1069"/>
      <c r="S1441" s="116"/>
      <c r="T1441" s="117"/>
      <c r="U1441" s="117"/>
      <c r="V1441" s="1184">
        <v>2361056.44</v>
      </c>
      <c r="W1441" s="1122"/>
      <c r="X1441" s="1122"/>
      <c r="Y1441" s="108" t="s">
        <v>1886</v>
      </c>
      <c r="Z1441" s="103"/>
      <c r="AA1441" s="103"/>
      <c r="AB1441" s="103"/>
      <c r="AC1441" s="97">
        <v>42327</v>
      </c>
      <c r="AD1441" s="98" t="s">
        <v>1895</v>
      </c>
      <c r="AE1441" s="98" t="s">
        <v>147</v>
      </c>
      <c r="AF1441" s="96"/>
      <c r="AG1441" s="96"/>
      <c r="AH1441" s="96"/>
      <c r="AI1441" s="96"/>
      <c r="AJ1441" s="96"/>
      <c r="AK1441" s="96">
        <f>O1441-V1441</f>
        <v>6693.5600000000559</v>
      </c>
      <c r="AL1441" s="96"/>
      <c r="AM1441" s="96"/>
      <c r="AN1441" s="96"/>
      <c r="AO1441" s="1149"/>
      <c r="AQ1441" s="934"/>
    </row>
    <row r="1442" spans="1:43" s="4" customFormat="1" ht="15" customHeight="1">
      <c r="A1442" s="1225"/>
      <c r="B1442" s="1171"/>
      <c r="C1442" s="1149"/>
      <c r="D1442" s="1149"/>
      <c r="E1442" s="1149"/>
      <c r="F1442" s="1149"/>
      <c r="G1442" s="1149"/>
      <c r="H1442" s="1149"/>
      <c r="I1442" s="1149"/>
      <c r="J1442" s="1149"/>
      <c r="K1442" s="1149"/>
      <c r="L1442" s="1149"/>
      <c r="M1442" s="1010"/>
      <c r="N1442" s="1038"/>
      <c r="O1442" s="1024"/>
      <c r="P1442" s="1024"/>
      <c r="Q1442" s="1149"/>
      <c r="R1442" s="1069"/>
      <c r="S1442" s="116"/>
      <c r="T1442" s="117"/>
      <c r="U1442" s="117"/>
      <c r="V1442" s="1185"/>
      <c r="W1442" s="1122"/>
      <c r="X1442" s="1122"/>
      <c r="Y1442" s="108"/>
      <c r="Z1442" s="103"/>
      <c r="AA1442" s="103"/>
      <c r="AB1442" s="103"/>
      <c r="AC1442" s="97"/>
      <c r="AD1442" s="98"/>
      <c r="AE1442" s="98"/>
      <c r="AF1442" s="96"/>
      <c r="AG1442" s="96"/>
      <c r="AH1442" s="96"/>
      <c r="AI1442" s="96"/>
      <c r="AJ1442" s="96"/>
      <c r="AK1442" s="96"/>
      <c r="AL1442" s="96"/>
      <c r="AM1442" s="96"/>
      <c r="AN1442" s="96"/>
      <c r="AO1442" s="1149"/>
      <c r="AQ1442" s="934"/>
    </row>
    <row r="1443" spans="1:43" s="4" customFormat="1" ht="15" customHeight="1">
      <c r="A1443" s="1225"/>
      <c r="B1443" s="1171"/>
      <c r="C1443" s="1149"/>
      <c r="D1443" s="1149"/>
      <c r="E1443" s="1149"/>
      <c r="F1443" s="1149"/>
      <c r="G1443" s="1149"/>
      <c r="H1443" s="1149"/>
      <c r="I1443" s="1149"/>
      <c r="J1443" s="1149"/>
      <c r="K1443" s="1149"/>
      <c r="L1443" s="1149"/>
      <c r="M1443" s="1009">
        <v>8</v>
      </c>
      <c r="N1443" s="1021" t="s">
        <v>145</v>
      </c>
      <c r="O1443" s="1023">
        <v>3585400</v>
      </c>
      <c r="P1443" s="1023">
        <v>3585400</v>
      </c>
      <c r="Q1443" s="1149"/>
      <c r="R1443" s="1069"/>
      <c r="S1443" s="116"/>
      <c r="T1443" s="117"/>
      <c r="U1443" s="117"/>
      <c r="V1443" s="1184">
        <v>3575264.17</v>
      </c>
      <c r="W1443" s="1122"/>
      <c r="X1443" s="1122"/>
      <c r="Y1443" s="108" t="s">
        <v>1886</v>
      </c>
      <c r="Z1443" s="103"/>
      <c r="AA1443" s="103"/>
      <c r="AB1443" s="103"/>
      <c r="AC1443" s="97">
        <v>42327</v>
      </c>
      <c r="AD1443" s="98" t="s">
        <v>1885</v>
      </c>
      <c r="AE1443" s="98" t="s">
        <v>145</v>
      </c>
      <c r="AF1443" s="96"/>
      <c r="AG1443" s="96"/>
      <c r="AH1443" s="96"/>
      <c r="AI1443" s="96"/>
      <c r="AJ1443" s="96"/>
      <c r="AK1443" s="96">
        <f>O1443-V1443</f>
        <v>10135.830000000075</v>
      </c>
      <c r="AL1443" s="96"/>
      <c r="AM1443" s="96"/>
      <c r="AN1443" s="96"/>
      <c r="AO1443" s="1149"/>
      <c r="AQ1443" s="934"/>
    </row>
    <row r="1444" spans="1:43" s="4" customFormat="1" ht="15" customHeight="1">
      <c r="A1444" s="1225"/>
      <c r="B1444" s="1171"/>
      <c r="C1444" s="1149"/>
      <c r="D1444" s="1149"/>
      <c r="E1444" s="1149"/>
      <c r="F1444" s="1149"/>
      <c r="G1444" s="1149"/>
      <c r="H1444" s="1149"/>
      <c r="I1444" s="1149"/>
      <c r="J1444" s="1149"/>
      <c r="K1444" s="1149"/>
      <c r="L1444" s="1149"/>
      <c r="M1444" s="1010"/>
      <c r="N1444" s="1038"/>
      <c r="O1444" s="1024"/>
      <c r="P1444" s="1024"/>
      <c r="Q1444" s="1149"/>
      <c r="R1444" s="1069"/>
      <c r="S1444" s="116"/>
      <c r="T1444" s="117"/>
      <c r="U1444" s="117"/>
      <c r="V1444" s="1185"/>
      <c r="W1444" s="1122"/>
      <c r="X1444" s="1122"/>
      <c r="Y1444" s="108" t="s">
        <v>1894</v>
      </c>
      <c r="Z1444" s="103"/>
      <c r="AA1444" s="103"/>
      <c r="AB1444" s="103"/>
      <c r="AC1444" s="97">
        <v>42732</v>
      </c>
      <c r="AD1444" s="98" t="s">
        <v>1893</v>
      </c>
      <c r="AE1444" s="98"/>
      <c r="AF1444" s="96"/>
      <c r="AG1444" s="96"/>
      <c r="AH1444" s="96"/>
      <c r="AI1444" s="96"/>
      <c r="AJ1444" s="96"/>
      <c r="AK1444" s="96"/>
      <c r="AL1444" s="96"/>
      <c r="AM1444" s="96"/>
      <c r="AN1444" s="96"/>
      <c r="AO1444" s="1149"/>
      <c r="AQ1444" s="934"/>
    </row>
    <row r="1445" spans="1:43" s="4" customFormat="1" ht="15" customHeight="1">
      <c r="A1445" s="1225"/>
      <c r="B1445" s="1171"/>
      <c r="C1445" s="1149"/>
      <c r="D1445" s="1149"/>
      <c r="E1445" s="1149"/>
      <c r="F1445" s="1149"/>
      <c r="G1445" s="1149"/>
      <c r="H1445" s="1149"/>
      <c r="I1445" s="1149"/>
      <c r="J1445" s="1149"/>
      <c r="K1445" s="1149"/>
      <c r="L1445" s="1149"/>
      <c r="M1445" s="1009">
        <v>5</v>
      </c>
      <c r="N1445" s="1021" t="s">
        <v>135</v>
      </c>
      <c r="O1445" s="1023">
        <v>3585400</v>
      </c>
      <c r="P1445" s="1023">
        <v>3585400</v>
      </c>
      <c r="Q1445" s="1149"/>
      <c r="R1445" s="1069"/>
      <c r="S1445" s="116"/>
      <c r="T1445" s="117"/>
      <c r="U1445" s="117"/>
      <c r="V1445" s="1184">
        <v>3575264.17</v>
      </c>
      <c r="W1445" s="1122"/>
      <c r="X1445" s="1122"/>
      <c r="Y1445" s="64" t="s">
        <v>1886</v>
      </c>
      <c r="Z1445" s="103"/>
      <c r="AA1445" s="103"/>
      <c r="AB1445" s="103"/>
      <c r="AC1445" s="97">
        <v>42327</v>
      </c>
      <c r="AD1445" s="98" t="s">
        <v>1885</v>
      </c>
      <c r="AE1445" s="98" t="s">
        <v>135</v>
      </c>
      <c r="AF1445" s="96"/>
      <c r="AG1445" s="96"/>
      <c r="AH1445" s="96"/>
      <c r="AI1445" s="96"/>
      <c r="AJ1445" s="96"/>
      <c r="AK1445" s="96">
        <f>O1445-V1445</f>
        <v>10135.830000000075</v>
      </c>
      <c r="AL1445" s="96"/>
      <c r="AM1445" s="96"/>
      <c r="AN1445" s="96"/>
      <c r="AO1445" s="1149"/>
      <c r="AQ1445" s="934"/>
    </row>
    <row r="1446" spans="1:43" s="4" customFormat="1" ht="15" customHeight="1">
      <c r="A1446" s="1225"/>
      <c r="B1446" s="1171"/>
      <c r="C1446" s="1149"/>
      <c r="D1446" s="1149"/>
      <c r="E1446" s="1149"/>
      <c r="F1446" s="1149"/>
      <c r="G1446" s="1149"/>
      <c r="H1446" s="1149"/>
      <c r="I1446" s="1149"/>
      <c r="J1446" s="1149"/>
      <c r="K1446" s="1149"/>
      <c r="L1446" s="1149"/>
      <c r="M1446" s="1010"/>
      <c r="N1446" s="1038"/>
      <c r="O1446" s="1024"/>
      <c r="P1446" s="1024"/>
      <c r="Q1446" s="1149"/>
      <c r="R1446" s="1069"/>
      <c r="S1446" s="116"/>
      <c r="T1446" s="117"/>
      <c r="U1446" s="117"/>
      <c r="V1446" s="1185"/>
      <c r="W1446" s="1122"/>
      <c r="X1446" s="1122"/>
      <c r="Y1446" s="64" t="s">
        <v>1892</v>
      </c>
      <c r="Z1446" s="103"/>
      <c r="AA1446" s="103"/>
      <c r="AB1446" s="103"/>
      <c r="AC1446" s="97">
        <v>42732</v>
      </c>
      <c r="AD1446" s="98" t="s">
        <v>1891</v>
      </c>
      <c r="AE1446" s="98"/>
      <c r="AF1446" s="96"/>
      <c r="AG1446" s="96"/>
      <c r="AH1446" s="96"/>
      <c r="AI1446" s="96"/>
      <c r="AJ1446" s="96"/>
      <c r="AK1446" s="96"/>
      <c r="AL1446" s="96"/>
      <c r="AM1446" s="96"/>
      <c r="AN1446" s="96"/>
      <c r="AO1446" s="1149"/>
      <c r="AQ1446" s="934"/>
    </row>
    <row r="1447" spans="1:43" s="4" customFormat="1" ht="15" customHeight="1">
      <c r="A1447" s="1225"/>
      <c r="B1447" s="1171"/>
      <c r="C1447" s="1149"/>
      <c r="D1447" s="1149"/>
      <c r="E1447" s="1149"/>
      <c r="F1447" s="1149"/>
      <c r="G1447" s="1149"/>
      <c r="H1447" s="1149"/>
      <c r="I1447" s="1149"/>
      <c r="J1447" s="1149"/>
      <c r="K1447" s="1149"/>
      <c r="L1447" s="1149"/>
      <c r="M1447" s="1009">
        <v>5</v>
      </c>
      <c r="N1447" s="1021" t="s">
        <v>156</v>
      </c>
      <c r="O1447" s="1023">
        <v>3585400</v>
      </c>
      <c r="P1447" s="1023">
        <v>3585400</v>
      </c>
      <c r="Q1447" s="1149"/>
      <c r="R1447" s="1069"/>
      <c r="S1447" s="116"/>
      <c r="T1447" s="117"/>
      <c r="U1447" s="117"/>
      <c r="V1447" s="1184">
        <v>3575264.17</v>
      </c>
      <c r="W1447" s="1122"/>
      <c r="X1447" s="1122"/>
      <c r="Y1447" s="108" t="s">
        <v>1886</v>
      </c>
      <c r="Z1447" s="103"/>
      <c r="AA1447" s="103"/>
      <c r="AB1447" s="103"/>
      <c r="AC1447" s="97">
        <v>42327</v>
      </c>
      <c r="AD1447" s="98" t="s">
        <v>1885</v>
      </c>
      <c r="AE1447" s="98" t="s">
        <v>156</v>
      </c>
      <c r="AF1447" s="96"/>
      <c r="AG1447" s="96"/>
      <c r="AH1447" s="96"/>
      <c r="AI1447" s="96"/>
      <c r="AJ1447" s="96"/>
      <c r="AK1447" s="96">
        <f>O1447-V1447</f>
        <v>10135.830000000075</v>
      </c>
      <c r="AL1447" s="96"/>
      <c r="AM1447" s="96"/>
      <c r="AN1447" s="96"/>
      <c r="AO1447" s="1149"/>
      <c r="AQ1447" s="934"/>
    </row>
    <row r="1448" spans="1:43" s="4" customFormat="1" ht="15" customHeight="1">
      <c r="A1448" s="1225"/>
      <c r="B1448" s="1171"/>
      <c r="C1448" s="1149"/>
      <c r="D1448" s="1149"/>
      <c r="E1448" s="1149"/>
      <c r="F1448" s="1149"/>
      <c r="G1448" s="1149"/>
      <c r="H1448" s="1149"/>
      <c r="I1448" s="1149"/>
      <c r="J1448" s="1149"/>
      <c r="K1448" s="1149"/>
      <c r="L1448" s="1149"/>
      <c r="M1448" s="1010"/>
      <c r="N1448" s="1038"/>
      <c r="O1448" s="1024"/>
      <c r="P1448" s="1024"/>
      <c r="Q1448" s="1149"/>
      <c r="R1448" s="1069"/>
      <c r="S1448" s="116"/>
      <c r="T1448" s="117"/>
      <c r="U1448" s="117"/>
      <c r="V1448" s="1185"/>
      <c r="W1448" s="1122"/>
      <c r="X1448" s="1122"/>
      <c r="Y1448" s="108" t="s">
        <v>1890</v>
      </c>
      <c r="Z1448" s="103"/>
      <c r="AA1448" s="103"/>
      <c r="AB1448" s="103"/>
      <c r="AC1448" s="97">
        <v>42732</v>
      </c>
      <c r="AD1448" s="98" t="s">
        <v>1889</v>
      </c>
      <c r="AE1448" s="98"/>
      <c r="AF1448" s="96"/>
      <c r="AG1448" s="96"/>
      <c r="AH1448" s="96"/>
      <c r="AI1448" s="96"/>
      <c r="AJ1448" s="96"/>
      <c r="AK1448" s="96"/>
      <c r="AL1448" s="96"/>
      <c r="AM1448" s="96"/>
      <c r="AN1448" s="96"/>
      <c r="AO1448" s="1149"/>
      <c r="AQ1448" s="934"/>
    </row>
    <row r="1449" spans="1:43" s="4" customFormat="1" ht="15" customHeight="1">
      <c r="A1449" s="1225"/>
      <c r="B1449" s="1171"/>
      <c r="C1449" s="1149"/>
      <c r="D1449" s="1149"/>
      <c r="E1449" s="1149"/>
      <c r="F1449" s="1149"/>
      <c r="G1449" s="1149"/>
      <c r="H1449" s="1149"/>
      <c r="I1449" s="1149"/>
      <c r="J1449" s="1149"/>
      <c r="K1449" s="1149"/>
      <c r="L1449" s="1149"/>
      <c r="M1449" s="1009">
        <v>6</v>
      </c>
      <c r="N1449" s="1021" t="s">
        <v>143</v>
      </c>
      <c r="O1449" s="1023">
        <v>3585400</v>
      </c>
      <c r="P1449" s="1023">
        <v>3585400</v>
      </c>
      <c r="Q1449" s="1149"/>
      <c r="R1449" s="1069"/>
      <c r="S1449" s="116"/>
      <c r="T1449" s="117"/>
      <c r="U1449" s="117"/>
      <c r="V1449" s="1184">
        <v>3575264.17</v>
      </c>
      <c r="W1449" s="1122"/>
      <c r="X1449" s="1122"/>
      <c r="Y1449" s="108" t="s">
        <v>1886</v>
      </c>
      <c r="Z1449" s="103"/>
      <c r="AA1449" s="103"/>
      <c r="AB1449" s="103"/>
      <c r="AC1449" s="65">
        <v>42327</v>
      </c>
      <c r="AD1449" s="98" t="s">
        <v>1885</v>
      </c>
      <c r="AE1449" s="98" t="s">
        <v>143</v>
      </c>
      <c r="AF1449" s="96"/>
      <c r="AG1449" s="96"/>
      <c r="AH1449" s="96"/>
      <c r="AI1449" s="96"/>
      <c r="AJ1449" s="96"/>
      <c r="AK1449" s="96">
        <f>O1449-V1449</f>
        <v>10135.830000000075</v>
      </c>
      <c r="AL1449" s="96"/>
      <c r="AM1449" s="96"/>
      <c r="AN1449" s="96"/>
      <c r="AO1449" s="1149"/>
      <c r="AQ1449" s="934"/>
    </row>
    <row r="1450" spans="1:43" s="4" customFormat="1" ht="15" customHeight="1">
      <c r="A1450" s="1225"/>
      <c r="B1450" s="1171"/>
      <c r="C1450" s="1149"/>
      <c r="D1450" s="1149"/>
      <c r="E1450" s="1149"/>
      <c r="F1450" s="1149"/>
      <c r="G1450" s="1149"/>
      <c r="H1450" s="1149"/>
      <c r="I1450" s="1149"/>
      <c r="J1450" s="1149"/>
      <c r="K1450" s="1149"/>
      <c r="L1450" s="1149"/>
      <c r="M1450" s="1010"/>
      <c r="N1450" s="1038"/>
      <c r="O1450" s="1024"/>
      <c r="P1450" s="1024"/>
      <c r="Q1450" s="1149"/>
      <c r="R1450" s="1069"/>
      <c r="S1450" s="116"/>
      <c r="T1450" s="117"/>
      <c r="U1450" s="117"/>
      <c r="V1450" s="1185"/>
      <c r="W1450" s="1122"/>
      <c r="X1450" s="1122"/>
      <c r="Y1450" s="108"/>
      <c r="Z1450" s="103"/>
      <c r="AA1450" s="103"/>
      <c r="AB1450" s="103"/>
      <c r="AC1450" s="97"/>
      <c r="AD1450" s="98"/>
      <c r="AE1450" s="98"/>
      <c r="AF1450" s="96"/>
      <c r="AG1450" s="96"/>
      <c r="AH1450" s="96"/>
      <c r="AI1450" s="96"/>
      <c r="AJ1450" s="96"/>
      <c r="AK1450" s="96"/>
      <c r="AL1450" s="96"/>
      <c r="AM1450" s="96"/>
      <c r="AN1450" s="96"/>
      <c r="AO1450" s="1149"/>
      <c r="AQ1450" s="934"/>
    </row>
    <row r="1451" spans="1:43" s="4" customFormat="1" ht="15" customHeight="1">
      <c r="A1451" s="1225"/>
      <c r="B1451" s="1171"/>
      <c r="C1451" s="1149"/>
      <c r="D1451" s="1149"/>
      <c r="E1451" s="1149"/>
      <c r="F1451" s="1149"/>
      <c r="G1451" s="1149"/>
      <c r="H1451" s="1149"/>
      <c r="I1451" s="1149"/>
      <c r="J1451" s="1149"/>
      <c r="K1451" s="1149"/>
      <c r="L1451" s="1149"/>
      <c r="M1451" s="1009">
        <v>15</v>
      </c>
      <c r="N1451" s="1021" t="s">
        <v>152</v>
      </c>
      <c r="O1451" s="1023">
        <v>3585400</v>
      </c>
      <c r="P1451" s="1023">
        <v>3585400</v>
      </c>
      <c r="Q1451" s="1149"/>
      <c r="R1451" s="1069"/>
      <c r="S1451" s="116"/>
      <c r="T1451" s="117"/>
      <c r="U1451" s="117"/>
      <c r="V1451" s="1184">
        <v>3575264.17</v>
      </c>
      <c r="W1451" s="1122"/>
      <c r="X1451" s="1122"/>
      <c r="Y1451" s="108" t="s">
        <v>1886</v>
      </c>
      <c r="Z1451" s="103"/>
      <c r="AA1451" s="103"/>
      <c r="AB1451" s="103"/>
      <c r="AC1451" s="97">
        <v>42327</v>
      </c>
      <c r="AD1451" s="931" t="s">
        <v>1885</v>
      </c>
      <c r="AE1451" s="98" t="s">
        <v>152</v>
      </c>
      <c r="AF1451" s="96"/>
      <c r="AG1451" s="96"/>
      <c r="AH1451" s="96"/>
      <c r="AI1451" s="96"/>
      <c r="AJ1451" s="96"/>
      <c r="AK1451" s="96">
        <f>O1451-V1451</f>
        <v>10135.830000000075</v>
      </c>
      <c r="AL1451" s="96"/>
      <c r="AM1451" s="96"/>
      <c r="AN1451" s="96"/>
      <c r="AO1451" s="1149"/>
      <c r="AQ1451" s="934"/>
    </row>
    <row r="1452" spans="1:43" s="4" customFormat="1" ht="15" customHeight="1">
      <c r="A1452" s="1225"/>
      <c r="B1452" s="1171"/>
      <c r="C1452" s="1149"/>
      <c r="D1452" s="1149"/>
      <c r="E1452" s="1149"/>
      <c r="F1452" s="1149"/>
      <c r="G1452" s="1149"/>
      <c r="H1452" s="1149"/>
      <c r="I1452" s="1149"/>
      <c r="J1452" s="1149"/>
      <c r="K1452" s="1149"/>
      <c r="L1452" s="1149"/>
      <c r="M1452" s="1010"/>
      <c r="N1452" s="1038"/>
      <c r="O1452" s="1024"/>
      <c r="P1452" s="1024"/>
      <c r="Q1452" s="1149"/>
      <c r="R1452" s="1069"/>
      <c r="S1452" s="116"/>
      <c r="T1452" s="117"/>
      <c r="U1452" s="117"/>
      <c r="V1452" s="1185"/>
      <c r="W1452" s="1122"/>
      <c r="X1452" s="1122"/>
      <c r="Y1452" s="108" t="s">
        <v>1888</v>
      </c>
      <c r="Z1452" s="103"/>
      <c r="AA1452" s="103"/>
      <c r="AB1452" s="103"/>
      <c r="AC1452" s="97">
        <v>42732</v>
      </c>
      <c r="AD1452" s="931" t="s">
        <v>1887</v>
      </c>
      <c r="AE1452" s="98"/>
      <c r="AF1452" s="96"/>
      <c r="AG1452" s="96"/>
      <c r="AH1452" s="96"/>
      <c r="AI1452" s="96"/>
      <c r="AJ1452" s="96"/>
      <c r="AK1452" s="96"/>
      <c r="AL1452" s="96"/>
      <c r="AM1452" s="96"/>
      <c r="AN1452" s="96"/>
      <c r="AO1452" s="1149"/>
      <c r="AQ1452" s="934"/>
    </row>
    <row r="1453" spans="1:43" s="4" customFormat="1" ht="15" customHeight="1">
      <c r="A1453" s="1225"/>
      <c r="B1453" s="1171"/>
      <c r="C1453" s="1149"/>
      <c r="D1453" s="1149"/>
      <c r="E1453" s="1149"/>
      <c r="F1453" s="1149"/>
      <c r="G1453" s="1149"/>
      <c r="H1453" s="1149"/>
      <c r="I1453" s="1149"/>
      <c r="J1453" s="1149"/>
      <c r="K1453" s="1149"/>
      <c r="L1453" s="1149"/>
      <c r="M1453" s="1009">
        <v>15</v>
      </c>
      <c r="N1453" s="1021" t="s">
        <v>147</v>
      </c>
      <c r="O1453" s="1023">
        <v>3585400</v>
      </c>
      <c r="P1453" s="1023">
        <v>3585400</v>
      </c>
      <c r="Q1453" s="1149"/>
      <c r="R1453" s="1069"/>
      <c r="S1453" s="116"/>
      <c r="T1453" s="117"/>
      <c r="U1453" s="117"/>
      <c r="V1453" s="1184">
        <v>3575264.17</v>
      </c>
      <c r="W1453" s="1122"/>
      <c r="X1453" s="1122"/>
      <c r="Y1453" s="64" t="s">
        <v>1886</v>
      </c>
      <c r="Z1453" s="103"/>
      <c r="AA1453" s="103"/>
      <c r="AB1453" s="103"/>
      <c r="AC1453" s="65">
        <v>42327</v>
      </c>
      <c r="AD1453" s="98" t="s">
        <v>1885</v>
      </c>
      <c r="AE1453" s="98" t="s">
        <v>147</v>
      </c>
      <c r="AF1453" s="96"/>
      <c r="AG1453" s="96"/>
      <c r="AH1453" s="96"/>
      <c r="AI1453" s="96"/>
      <c r="AJ1453" s="96"/>
      <c r="AK1453" s="96">
        <f>O1453-V1453</f>
        <v>10135.830000000075</v>
      </c>
      <c r="AL1453" s="96"/>
      <c r="AM1453" s="96"/>
      <c r="AN1453" s="96"/>
      <c r="AO1453" s="1149"/>
      <c r="AQ1453" s="934"/>
    </row>
    <row r="1454" spans="1:43" s="4" customFormat="1" ht="15" customHeight="1">
      <c r="A1454" s="1225"/>
      <c r="B1454" s="1171"/>
      <c r="C1454" s="1149"/>
      <c r="D1454" s="1149"/>
      <c r="E1454" s="1149"/>
      <c r="F1454" s="1149"/>
      <c r="G1454" s="1149"/>
      <c r="H1454" s="1149"/>
      <c r="I1454" s="1149"/>
      <c r="J1454" s="1149"/>
      <c r="K1454" s="1149"/>
      <c r="L1454" s="1149"/>
      <c r="M1454" s="1010"/>
      <c r="N1454" s="1038"/>
      <c r="O1454" s="1024"/>
      <c r="P1454" s="1024"/>
      <c r="Q1454" s="1149"/>
      <c r="R1454" s="1070"/>
      <c r="S1454" s="116"/>
      <c r="T1454" s="117"/>
      <c r="U1454" s="117"/>
      <c r="V1454" s="1185"/>
      <c r="W1454" s="1122"/>
      <c r="X1454" s="1122"/>
      <c r="Y1454" s="64" t="s">
        <v>1884</v>
      </c>
      <c r="Z1454" s="103"/>
      <c r="AA1454" s="103"/>
      <c r="AB1454" s="103"/>
      <c r="AC1454" s="65">
        <v>42732</v>
      </c>
      <c r="AD1454" s="98" t="s">
        <v>1883</v>
      </c>
      <c r="AE1454" s="98"/>
      <c r="AF1454" s="96"/>
      <c r="AG1454" s="96"/>
      <c r="AH1454" s="96"/>
      <c r="AI1454" s="96"/>
      <c r="AJ1454" s="96"/>
      <c r="AK1454" s="96"/>
      <c r="AL1454" s="96"/>
      <c r="AM1454" s="96"/>
      <c r="AN1454" s="96"/>
      <c r="AO1454" s="1149"/>
      <c r="AQ1454" s="934"/>
    </row>
    <row r="1455" spans="1:43" ht="15" customHeight="1">
      <c r="A1455" s="1004" t="s">
        <v>2024</v>
      </c>
      <c r="B1455" s="97">
        <v>42241</v>
      </c>
      <c r="C1455" s="113" t="s">
        <v>12</v>
      </c>
      <c r="D1455" s="113" t="s">
        <v>854</v>
      </c>
      <c r="E1455" s="114">
        <v>76308120</v>
      </c>
      <c r="F1455" s="114"/>
      <c r="G1455" s="113" t="s">
        <v>2811</v>
      </c>
      <c r="H1455" s="113" t="s">
        <v>72</v>
      </c>
      <c r="I1455" s="113" t="s">
        <v>206</v>
      </c>
      <c r="J1455" s="113" t="s">
        <v>66</v>
      </c>
      <c r="K1455" s="113" t="s">
        <v>183</v>
      </c>
      <c r="L1455" s="113" t="s">
        <v>2030</v>
      </c>
      <c r="M1455" s="108">
        <v>174</v>
      </c>
      <c r="N1455" s="108" t="s">
        <v>7</v>
      </c>
      <c r="O1455" s="109">
        <v>28790000</v>
      </c>
      <c r="P1455" s="109">
        <v>28790000</v>
      </c>
      <c r="Q1455" s="109">
        <v>28790000</v>
      </c>
      <c r="R1455" s="97">
        <v>40745</v>
      </c>
      <c r="S1455" s="110"/>
      <c r="T1455" s="109"/>
      <c r="U1455" s="109"/>
      <c r="V1455" s="111">
        <v>28790000</v>
      </c>
      <c r="W1455" s="111">
        <v>28790000</v>
      </c>
      <c r="X1455" s="113"/>
      <c r="Y1455" s="108" t="s">
        <v>2032</v>
      </c>
      <c r="Z1455" s="109">
        <v>28790000</v>
      </c>
      <c r="AA1455" s="109">
        <v>0</v>
      </c>
      <c r="AB1455" s="109">
        <f>AA1455+Z1455</f>
        <v>28790000</v>
      </c>
      <c r="AC1455" s="97">
        <v>43007</v>
      </c>
      <c r="AD1455" s="119">
        <v>28790000</v>
      </c>
      <c r="AE1455" s="98" t="s">
        <v>7</v>
      </c>
      <c r="AF1455" s="111">
        <f>AD1455</f>
        <v>28790000</v>
      </c>
      <c r="AG1455" s="111">
        <f>AF1455</f>
        <v>28790000</v>
      </c>
      <c r="AH1455" s="111">
        <f t="shared" ref="AH1455:AH1486" si="122">AB1455-AD1455</f>
        <v>0</v>
      </c>
      <c r="AI1455" s="111">
        <v>0</v>
      </c>
      <c r="AJ1455" s="109">
        <v>0</v>
      </c>
      <c r="AK1455" s="109">
        <v>0</v>
      </c>
      <c r="AL1455" s="109">
        <v>0</v>
      </c>
      <c r="AM1455" s="109">
        <v>0</v>
      </c>
      <c r="AN1455" s="112"/>
      <c r="AO1455" s="105" t="s">
        <v>2031</v>
      </c>
    </row>
    <row r="1456" spans="1:43" ht="15" customHeight="1">
      <c r="A1456" s="1015" t="s">
        <v>1945</v>
      </c>
      <c r="B1456" s="1068">
        <v>42262</v>
      </c>
      <c r="C1456" s="1011" t="s">
        <v>39</v>
      </c>
      <c r="D1456" s="1011" t="s">
        <v>1946</v>
      </c>
      <c r="E1456" s="1071">
        <v>900884430</v>
      </c>
      <c r="F1456" s="1071">
        <v>1</v>
      </c>
      <c r="G1456" s="1011" t="s">
        <v>1947</v>
      </c>
      <c r="H1456" s="1011" t="s">
        <v>72</v>
      </c>
      <c r="I1456" s="1011" t="s">
        <v>206</v>
      </c>
      <c r="J1456" s="1011" t="s">
        <v>66</v>
      </c>
      <c r="K1456" s="1011" t="s">
        <v>49</v>
      </c>
      <c r="L1456" s="1011" t="s">
        <v>1948</v>
      </c>
      <c r="M1456" s="1145">
        <v>9</v>
      </c>
      <c r="N1456" s="1065" t="s">
        <v>164</v>
      </c>
      <c r="O1456" s="1062">
        <v>53000000</v>
      </c>
      <c r="P1456" s="1062">
        <v>53000000</v>
      </c>
      <c r="Q1456" s="1062">
        <f>P1456+P1460+P1464+P1468+P1472+P1476+P1480+P1484+P1488</f>
        <v>459000000</v>
      </c>
      <c r="R1456" s="1068">
        <v>42164</v>
      </c>
      <c r="S1456" s="1092">
        <f>T1456</f>
        <v>53000000</v>
      </c>
      <c r="T1456" s="1092">
        <v>53000000</v>
      </c>
      <c r="U1456" s="1092">
        <f>O1456-T1456</f>
        <v>0</v>
      </c>
      <c r="V1456" s="1043">
        <v>52920836.25</v>
      </c>
      <c r="W1456" s="1062">
        <v>458314412</v>
      </c>
      <c r="X1456" s="1011" t="s">
        <v>1934</v>
      </c>
      <c r="Y1456" s="108" t="s">
        <v>1949</v>
      </c>
      <c r="Z1456" s="109">
        <v>0</v>
      </c>
      <c r="AA1456" s="109">
        <v>5292083.5999999996</v>
      </c>
      <c r="AB1456" s="109">
        <f t="shared" ref="AB1456:AB1499" si="123">Z1456+AA1456</f>
        <v>5292083.5999999996</v>
      </c>
      <c r="AC1456" s="97">
        <v>42366</v>
      </c>
      <c r="AD1456" s="119">
        <v>5292083.5999999996</v>
      </c>
      <c r="AE1456" s="98" t="s">
        <v>164</v>
      </c>
      <c r="AF1456" s="1043">
        <f>SUM(AD1456:AD1459)</f>
        <v>44370544.800000004</v>
      </c>
      <c r="AG1456" s="1043">
        <f>AF1456+AF1460+AF1464+AF1468+AF1472+AF1476+AF1480+AF1484+AF1488</f>
        <v>398504382.01000005</v>
      </c>
      <c r="AH1456" s="111">
        <f t="shared" si="122"/>
        <v>0</v>
      </c>
      <c r="AI1456" s="1043">
        <f>O1456-AF1456</f>
        <v>8629455.1999999955</v>
      </c>
      <c r="AJ1456" s="1062">
        <f>SUM(Z1456:Z1491)-SUM(AD1456:AD1491)</f>
        <v>-6645559.0099999905</v>
      </c>
      <c r="AK1456" s="1062">
        <f>P1456-V1456</f>
        <v>79163.75</v>
      </c>
      <c r="AL1456" s="1062">
        <f>V1456-SUM(Z1456:Z1459)</f>
        <v>9879403.25</v>
      </c>
      <c r="AM1456" s="1062"/>
      <c r="AN1456" s="1108"/>
      <c r="AO1456" s="1103" t="s">
        <v>1968</v>
      </c>
    </row>
    <row r="1457" spans="1:41" ht="15" customHeight="1">
      <c r="A1457" s="1050"/>
      <c r="B1457" s="1069"/>
      <c r="C1457" s="1033"/>
      <c r="D1457" s="1033"/>
      <c r="E1457" s="1072"/>
      <c r="F1457" s="1072"/>
      <c r="G1457" s="1033"/>
      <c r="H1457" s="1033"/>
      <c r="I1457" s="1033"/>
      <c r="J1457" s="1033"/>
      <c r="K1457" s="1033"/>
      <c r="L1457" s="1033"/>
      <c r="M1457" s="1146"/>
      <c r="N1457" s="1066"/>
      <c r="O1457" s="1063"/>
      <c r="P1457" s="1063"/>
      <c r="Q1457" s="1063"/>
      <c r="R1457" s="1069"/>
      <c r="S1457" s="1093"/>
      <c r="T1457" s="1093"/>
      <c r="U1457" s="1093"/>
      <c r="V1457" s="1044"/>
      <c r="W1457" s="1063"/>
      <c r="X1457" s="1033"/>
      <c r="Y1457" s="108" t="s">
        <v>1950</v>
      </c>
      <c r="Z1457" s="109">
        <v>3809734</v>
      </c>
      <c r="AA1457" s="109">
        <v>-2332311.11</v>
      </c>
      <c r="AB1457" s="109">
        <f t="shared" si="123"/>
        <v>1477422.8900000001</v>
      </c>
      <c r="AC1457" s="97">
        <v>42726</v>
      </c>
      <c r="AD1457" s="119">
        <v>1477422.89</v>
      </c>
      <c r="AE1457" s="98" t="s">
        <v>164</v>
      </c>
      <c r="AF1457" s="1044"/>
      <c r="AG1457" s="1044"/>
      <c r="AH1457" s="111">
        <f t="shared" si="122"/>
        <v>0</v>
      </c>
      <c r="AI1457" s="1044"/>
      <c r="AJ1457" s="1063"/>
      <c r="AK1457" s="1063"/>
      <c r="AL1457" s="1063"/>
      <c r="AM1457" s="1063"/>
      <c r="AN1457" s="1109"/>
      <c r="AO1457" s="1104"/>
    </row>
    <row r="1458" spans="1:41" ht="15" customHeight="1">
      <c r="A1458" s="1050"/>
      <c r="B1458" s="1069"/>
      <c r="C1458" s="1033"/>
      <c r="D1458" s="1033"/>
      <c r="E1458" s="1072"/>
      <c r="F1458" s="1072"/>
      <c r="G1458" s="1033"/>
      <c r="H1458" s="1033"/>
      <c r="I1458" s="1033"/>
      <c r="J1458" s="1033"/>
      <c r="K1458" s="1033"/>
      <c r="L1458" s="1033"/>
      <c r="M1458" s="1146"/>
      <c r="N1458" s="1066"/>
      <c r="O1458" s="1063"/>
      <c r="P1458" s="1063"/>
      <c r="Q1458" s="1063"/>
      <c r="R1458" s="1069"/>
      <c r="S1458" s="1093"/>
      <c r="T1458" s="1093"/>
      <c r="U1458" s="1093"/>
      <c r="V1458" s="1044"/>
      <c r="W1458" s="1063"/>
      <c r="X1458" s="1033"/>
      <c r="Y1458" s="108" t="s">
        <v>1959</v>
      </c>
      <c r="Z1458" s="109">
        <v>39231699</v>
      </c>
      <c r="AA1458" s="109">
        <v>-1630660.69</v>
      </c>
      <c r="AB1458" s="109">
        <f t="shared" si="123"/>
        <v>37601038.310000002</v>
      </c>
      <c r="AC1458" s="97">
        <v>42730</v>
      </c>
      <c r="AD1458" s="119">
        <v>37601038.310000002</v>
      </c>
      <c r="AE1458" s="98" t="s">
        <v>164</v>
      </c>
      <c r="AF1458" s="1044"/>
      <c r="AG1458" s="1044"/>
      <c r="AH1458" s="111">
        <f t="shared" si="122"/>
        <v>0</v>
      </c>
      <c r="AI1458" s="1044"/>
      <c r="AJ1458" s="1063"/>
      <c r="AK1458" s="1063"/>
      <c r="AL1458" s="1063"/>
      <c r="AM1458" s="1063"/>
      <c r="AN1458" s="1109"/>
      <c r="AO1458" s="1104"/>
    </row>
    <row r="1459" spans="1:41" ht="15" customHeight="1">
      <c r="A1459" s="1050"/>
      <c r="B1459" s="1069"/>
      <c r="C1459" s="1012"/>
      <c r="D1459" s="1033"/>
      <c r="E1459" s="1072"/>
      <c r="F1459" s="1072"/>
      <c r="G1459" s="1033"/>
      <c r="H1459" s="1033"/>
      <c r="I1459" s="1033"/>
      <c r="J1459" s="1033"/>
      <c r="K1459" s="1033"/>
      <c r="L1459" s="1033"/>
      <c r="M1459" s="1147"/>
      <c r="N1459" s="1067"/>
      <c r="O1459" s="1064"/>
      <c r="P1459" s="1064"/>
      <c r="Q1459" s="1063"/>
      <c r="R1459" s="1070"/>
      <c r="S1459" s="1094"/>
      <c r="T1459" s="1094"/>
      <c r="U1459" s="1094"/>
      <c r="V1459" s="1045"/>
      <c r="W1459" s="1063"/>
      <c r="X1459" s="1033"/>
      <c r="Y1459" s="108"/>
      <c r="Z1459" s="109"/>
      <c r="AA1459" s="109"/>
      <c r="AB1459" s="109">
        <f t="shared" si="123"/>
        <v>0</v>
      </c>
      <c r="AC1459" s="97"/>
      <c r="AD1459" s="119"/>
      <c r="AE1459" s="98"/>
      <c r="AF1459" s="1045"/>
      <c r="AG1459" s="1044"/>
      <c r="AH1459" s="111">
        <f t="shared" si="122"/>
        <v>0</v>
      </c>
      <c r="AI1459" s="1045"/>
      <c r="AJ1459" s="1063"/>
      <c r="AK1459" s="1064"/>
      <c r="AL1459" s="1064"/>
      <c r="AM1459" s="1064"/>
      <c r="AN1459" s="1109"/>
      <c r="AO1459" s="1104"/>
    </row>
    <row r="1460" spans="1:41" ht="15" customHeight="1">
      <c r="A1460" s="1050"/>
      <c r="B1460" s="1069"/>
      <c r="C1460" s="1011" t="s">
        <v>23</v>
      </c>
      <c r="D1460" s="1033"/>
      <c r="E1460" s="1072"/>
      <c r="F1460" s="1072"/>
      <c r="G1460" s="1033"/>
      <c r="H1460" s="1033"/>
      <c r="I1460" s="1033"/>
      <c r="J1460" s="1033"/>
      <c r="K1460" s="1033"/>
      <c r="L1460" s="1033"/>
      <c r="M1460" s="1145">
        <v>8</v>
      </c>
      <c r="N1460" s="1065" t="s">
        <v>146</v>
      </c>
      <c r="O1460" s="1062">
        <v>53000000</v>
      </c>
      <c r="P1460" s="1062">
        <v>53000000</v>
      </c>
      <c r="Q1460" s="1063"/>
      <c r="R1460" s="1068">
        <v>42164</v>
      </c>
      <c r="S1460" s="1092">
        <f>T1460</f>
        <v>53000000</v>
      </c>
      <c r="T1460" s="1092">
        <v>53000000</v>
      </c>
      <c r="U1460" s="1092">
        <f>O1460-T1460</f>
        <v>0</v>
      </c>
      <c r="V1460" s="1043">
        <v>52920836.25</v>
      </c>
      <c r="W1460" s="1063"/>
      <c r="X1460" s="1033"/>
      <c r="Y1460" s="108" t="s">
        <v>1949</v>
      </c>
      <c r="Z1460" s="109">
        <v>0</v>
      </c>
      <c r="AA1460" s="109">
        <v>5292083.5999999996</v>
      </c>
      <c r="AB1460" s="109">
        <f t="shared" si="123"/>
        <v>5292083.5999999996</v>
      </c>
      <c r="AC1460" s="97">
        <v>42366</v>
      </c>
      <c r="AD1460" s="119">
        <v>5292083.5999999996</v>
      </c>
      <c r="AE1460" s="98" t="s">
        <v>146</v>
      </c>
      <c r="AF1460" s="1043">
        <f>SUM(AD1460:AD1463)</f>
        <v>46050679.799999997</v>
      </c>
      <c r="AG1460" s="1044"/>
      <c r="AH1460" s="111">
        <f t="shared" si="122"/>
        <v>0</v>
      </c>
      <c r="AI1460" s="1043">
        <f>O1460-AF1460</f>
        <v>6949320.200000003</v>
      </c>
      <c r="AJ1460" s="1063"/>
      <c r="AK1460" s="1062">
        <f>P1460-V1460</f>
        <v>79163.75</v>
      </c>
      <c r="AL1460" s="1062">
        <f>V1460-SUM(Z1460:Z1463)</f>
        <v>8199268.25</v>
      </c>
      <c r="AM1460" s="1062"/>
      <c r="AN1460" s="1109"/>
      <c r="AO1460" s="1104"/>
    </row>
    <row r="1461" spans="1:41" ht="15" customHeight="1">
      <c r="A1461" s="1050"/>
      <c r="B1461" s="1069"/>
      <c r="C1461" s="1033"/>
      <c r="D1461" s="1033"/>
      <c r="E1461" s="1072"/>
      <c r="F1461" s="1072"/>
      <c r="G1461" s="1033"/>
      <c r="H1461" s="1033"/>
      <c r="I1461" s="1033"/>
      <c r="J1461" s="1033"/>
      <c r="K1461" s="1033"/>
      <c r="L1461" s="1033"/>
      <c r="M1461" s="1146"/>
      <c r="N1461" s="1066"/>
      <c r="O1461" s="1063"/>
      <c r="P1461" s="1063"/>
      <c r="Q1461" s="1063"/>
      <c r="R1461" s="1069"/>
      <c r="S1461" s="1093"/>
      <c r="T1461" s="1093"/>
      <c r="U1461" s="1093"/>
      <c r="V1461" s="1044"/>
      <c r="W1461" s="1063"/>
      <c r="X1461" s="1033"/>
      <c r="Y1461" s="108" t="s">
        <v>1951</v>
      </c>
      <c r="Z1461" s="109">
        <v>22601568</v>
      </c>
      <c r="AA1461" s="109">
        <v>-2332311.11</v>
      </c>
      <c r="AB1461" s="109">
        <f t="shared" si="123"/>
        <v>20269256.890000001</v>
      </c>
      <c r="AC1461" s="97">
        <v>42726</v>
      </c>
      <c r="AD1461" s="119">
        <v>20269256.890000001</v>
      </c>
      <c r="AE1461" s="98" t="s">
        <v>146</v>
      </c>
      <c r="AF1461" s="1044"/>
      <c r="AG1461" s="1044"/>
      <c r="AH1461" s="111">
        <f t="shared" si="122"/>
        <v>0</v>
      </c>
      <c r="AI1461" s="1044"/>
      <c r="AJ1461" s="1063"/>
      <c r="AK1461" s="1063"/>
      <c r="AL1461" s="1063"/>
      <c r="AM1461" s="1063"/>
      <c r="AN1461" s="1109"/>
      <c r="AO1461" s="1104"/>
    </row>
    <row r="1462" spans="1:41" ht="15" customHeight="1">
      <c r="A1462" s="1050"/>
      <c r="B1462" s="1069"/>
      <c r="C1462" s="1033"/>
      <c r="D1462" s="1033"/>
      <c r="E1462" s="1072"/>
      <c r="F1462" s="1072"/>
      <c r="G1462" s="1033"/>
      <c r="H1462" s="1033"/>
      <c r="I1462" s="1033"/>
      <c r="J1462" s="1033"/>
      <c r="K1462" s="1033"/>
      <c r="L1462" s="1033"/>
      <c r="M1462" s="1146"/>
      <c r="N1462" s="1066"/>
      <c r="O1462" s="1063"/>
      <c r="P1462" s="1063"/>
      <c r="Q1462" s="1063"/>
      <c r="R1462" s="1069"/>
      <c r="S1462" s="1093"/>
      <c r="T1462" s="1093"/>
      <c r="U1462" s="1093"/>
      <c r="V1462" s="1044"/>
      <c r="W1462" s="1063"/>
      <c r="X1462" s="1033"/>
      <c r="Y1462" s="108" t="s">
        <v>1960</v>
      </c>
      <c r="Z1462" s="109">
        <v>22120000</v>
      </c>
      <c r="AA1462" s="109">
        <v>-1630660.69</v>
      </c>
      <c r="AB1462" s="109">
        <f t="shared" si="123"/>
        <v>20489339.309999999</v>
      </c>
      <c r="AC1462" s="97">
        <v>42730</v>
      </c>
      <c r="AD1462" s="119">
        <v>20489339.309999999</v>
      </c>
      <c r="AE1462" s="98" t="s">
        <v>146</v>
      </c>
      <c r="AF1462" s="1044"/>
      <c r="AG1462" s="1044"/>
      <c r="AH1462" s="111">
        <f t="shared" si="122"/>
        <v>0</v>
      </c>
      <c r="AI1462" s="1044"/>
      <c r="AJ1462" s="1063"/>
      <c r="AK1462" s="1063"/>
      <c r="AL1462" s="1063"/>
      <c r="AM1462" s="1063"/>
      <c r="AN1462" s="1109"/>
      <c r="AO1462" s="1104"/>
    </row>
    <row r="1463" spans="1:41" ht="15" customHeight="1">
      <c r="A1463" s="1050"/>
      <c r="B1463" s="1069"/>
      <c r="C1463" s="1012"/>
      <c r="D1463" s="1033"/>
      <c r="E1463" s="1072"/>
      <c r="F1463" s="1072"/>
      <c r="G1463" s="1033"/>
      <c r="H1463" s="1033"/>
      <c r="I1463" s="1033"/>
      <c r="J1463" s="1033"/>
      <c r="K1463" s="1033"/>
      <c r="L1463" s="1033"/>
      <c r="M1463" s="1147"/>
      <c r="N1463" s="1067"/>
      <c r="O1463" s="1064"/>
      <c r="P1463" s="1064"/>
      <c r="Q1463" s="1063"/>
      <c r="R1463" s="1070"/>
      <c r="S1463" s="1094"/>
      <c r="T1463" s="1094"/>
      <c r="U1463" s="1094"/>
      <c r="V1463" s="1045"/>
      <c r="W1463" s="1063"/>
      <c r="X1463" s="1033"/>
      <c r="Y1463" s="108"/>
      <c r="Z1463" s="109"/>
      <c r="AA1463" s="109"/>
      <c r="AB1463" s="109">
        <f t="shared" si="123"/>
        <v>0</v>
      </c>
      <c r="AC1463" s="97"/>
      <c r="AD1463" s="119"/>
      <c r="AE1463" s="98"/>
      <c r="AF1463" s="1045"/>
      <c r="AG1463" s="1044"/>
      <c r="AH1463" s="111">
        <f t="shared" si="122"/>
        <v>0</v>
      </c>
      <c r="AI1463" s="1045"/>
      <c r="AJ1463" s="1063"/>
      <c r="AK1463" s="1064"/>
      <c r="AL1463" s="1064"/>
      <c r="AM1463" s="1064"/>
      <c r="AN1463" s="1109"/>
      <c r="AO1463" s="1104"/>
    </row>
    <row r="1464" spans="1:41" ht="15" customHeight="1">
      <c r="A1464" s="1050"/>
      <c r="B1464" s="1069"/>
      <c r="C1464" s="1011" t="s">
        <v>12</v>
      </c>
      <c r="D1464" s="1033"/>
      <c r="E1464" s="1072"/>
      <c r="F1464" s="1072"/>
      <c r="G1464" s="1033"/>
      <c r="H1464" s="1033"/>
      <c r="I1464" s="1033"/>
      <c r="J1464" s="1033"/>
      <c r="K1464" s="1033"/>
      <c r="L1464" s="1033"/>
      <c r="M1464" s="1145">
        <v>10</v>
      </c>
      <c r="N1464" s="1065" t="s">
        <v>132</v>
      </c>
      <c r="O1464" s="1062">
        <v>53000000</v>
      </c>
      <c r="P1464" s="1062">
        <v>53000000</v>
      </c>
      <c r="Q1464" s="1063"/>
      <c r="R1464" s="1068">
        <v>42164</v>
      </c>
      <c r="S1464" s="1092">
        <f>T1464</f>
        <v>53000000</v>
      </c>
      <c r="T1464" s="1092">
        <v>53000000</v>
      </c>
      <c r="U1464" s="1092">
        <f>O1464-T1464</f>
        <v>0</v>
      </c>
      <c r="V1464" s="1043">
        <v>52920836.240000002</v>
      </c>
      <c r="W1464" s="1063"/>
      <c r="X1464" s="1033"/>
      <c r="Y1464" s="108" t="s">
        <v>1949</v>
      </c>
      <c r="Z1464" s="109">
        <v>0</v>
      </c>
      <c r="AA1464" s="109">
        <v>5292083.5999999996</v>
      </c>
      <c r="AB1464" s="109">
        <f t="shared" si="123"/>
        <v>5292083.5999999996</v>
      </c>
      <c r="AC1464" s="97">
        <v>42366</v>
      </c>
      <c r="AD1464" s="119">
        <v>5292083.5999999996</v>
      </c>
      <c r="AE1464" s="98" t="s">
        <v>132</v>
      </c>
      <c r="AF1464" s="1043">
        <f>SUM(AD1464:AD1467)</f>
        <v>47628752.640000001</v>
      </c>
      <c r="AG1464" s="1044"/>
      <c r="AH1464" s="111">
        <f t="shared" si="122"/>
        <v>0</v>
      </c>
      <c r="AI1464" s="1043">
        <f>O1464-AF1464</f>
        <v>5371247.3599999994</v>
      </c>
      <c r="AJ1464" s="1063"/>
      <c r="AK1464" s="1062">
        <f>P1464-V1464</f>
        <v>79163.759999997914</v>
      </c>
      <c r="AL1464" s="1062">
        <f>V1464-SUM(Z1464:Z1467)</f>
        <v>5292083.6000000015</v>
      </c>
      <c r="AM1464" s="1062"/>
      <c r="AN1464" s="1109"/>
      <c r="AO1464" s="1104"/>
    </row>
    <row r="1465" spans="1:41" ht="15" customHeight="1">
      <c r="A1465" s="1050"/>
      <c r="B1465" s="1069"/>
      <c r="C1465" s="1033"/>
      <c r="D1465" s="1033"/>
      <c r="E1465" s="1072"/>
      <c r="F1465" s="1072"/>
      <c r="G1465" s="1033"/>
      <c r="H1465" s="1033"/>
      <c r="I1465" s="1033"/>
      <c r="J1465" s="1033"/>
      <c r="K1465" s="1033"/>
      <c r="L1465" s="1033"/>
      <c r="M1465" s="1146"/>
      <c r="N1465" s="1066"/>
      <c r="O1465" s="1063"/>
      <c r="P1465" s="1063"/>
      <c r="Q1465" s="1063"/>
      <c r="R1465" s="1069"/>
      <c r="S1465" s="1093"/>
      <c r="T1465" s="1093"/>
      <c r="U1465" s="1093"/>
      <c r="V1465" s="1044"/>
      <c r="W1465" s="1063"/>
      <c r="X1465" s="1033"/>
      <c r="Y1465" s="108" t="s">
        <v>1952</v>
      </c>
      <c r="Z1465" s="109">
        <v>34715666</v>
      </c>
      <c r="AA1465" s="109">
        <v>-2332311.11</v>
      </c>
      <c r="AB1465" s="109">
        <f t="shared" si="123"/>
        <v>32383354.890000001</v>
      </c>
      <c r="AC1465" s="97">
        <v>42726</v>
      </c>
      <c r="AD1465" s="119">
        <v>32383354.890000001</v>
      </c>
      <c r="AE1465" s="98" t="s">
        <v>132</v>
      </c>
      <c r="AF1465" s="1044"/>
      <c r="AG1465" s="1044"/>
      <c r="AH1465" s="111">
        <f t="shared" si="122"/>
        <v>0</v>
      </c>
      <c r="AI1465" s="1044"/>
      <c r="AJ1465" s="1063"/>
      <c r="AK1465" s="1063"/>
      <c r="AL1465" s="1063"/>
      <c r="AM1465" s="1063"/>
      <c r="AN1465" s="1109"/>
      <c r="AO1465" s="1104"/>
    </row>
    <row r="1466" spans="1:41" ht="15" customHeight="1">
      <c r="A1466" s="1050"/>
      <c r="B1466" s="1069"/>
      <c r="C1466" s="1033"/>
      <c r="D1466" s="1033"/>
      <c r="E1466" s="1072"/>
      <c r="F1466" s="1072"/>
      <c r="G1466" s="1033"/>
      <c r="H1466" s="1033"/>
      <c r="I1466" s="1033"/>
      <c r="J1466" s="1033"/>
      <c r="K1466" s="1033"/>
      <c r="L1466" s="1033"/>
      <c r="M1466" s="1146"/>
      <c r="N1466" s="1066"/>
      <c r="O1466" s="1063"/>
      <c r="P1466" s="1063"/>
      <c r="Q1466" s="1063"/>
      <c r="R1466" s="1069"/>
      <c r="S1466" s="1093"/>
      <c r="T1466" s="1093"/>
      <c r="U1466" s="1093"/>
      <c r="V1466" s="1044"/>
      <c r="W1466" s="1063"/>
      <c r="X1466" s="1033"/>
      <c r="Y1466" s="108" t="s">
        <v>1961</v>
      </c>
      <c r="Z1466" s="109">
        <v>12913086.640000001</v>
      </c>
      <c r="AA1466" s="109">
        <v>-2959772.49</v>
      </c>
      <c r="AB1466" s="109">
        <f t="shared" si="123"/>
        <v>9953314.1500000004</v>
      </c>
      <c r="AC1466" s="97">
        <v>42730</v>
      </c>
      <c r="AD1466" s="119">
        <v>9953314.1500000004</v>
      </c>
      <c r="AE1466" s="98" t="s">
        <v>132</v>
      </c>
      <c r="AF1466" s="1044"/>
      <c r="AG1466" s="1044"/>
      <c r="AH1466" s="111">
        <f t="shared" si="122"/>
        <v>0</v>
      </c>
      <c r="AI1466" s="1044"/>
      <c r="AJ1466" s="1063"/>
      <c r="AK1466" s="1063"/>
      <c r="AL1466" s="1063"/>
      <c r="AM1466" s="1063"/>
      <c r="AN1466" s="1109"/>
      <c r="AO1466" s="1104"/>
    </row>
    <row r="1467" spans="1:41" ht="15" customHeight="1">
      <c r="A1467" s="1050"/>
      <c r="B1467" s="1069"/>
      <c r="C1467" s="1012"/>
      <c r="D1467" s="1033"/>
      <c r="E1467" s="1072"/>
      <c r="F1467" s="1072"/>
      <c r="G1467" s="1033"/>
      <c r="H1467" s="1033"/>
      <c r="I1467" s="1033"/>
      <c r="J1467" s="1033"/>
      <c r="K1467" s="1033"/>
      <c r="L1467" s="1033"/>
      <c r="M1467" s="1147"/>
      <c r="N1467" s="1067"/>
      <c r="O1467" s="1064"/>
      <c r="P1467" s="1064"/>
      <c r="Q1467" s="1063"/>
      <c r="R1467" s="1070"/>
      <c r="S1467" s="1094"/>
      <c r="T1467" s="1094"/>
      <c r="U1467" s="1094"/>
      <c r="V1467" s="1045"/>
      <c r="W1467" s="1063"/>
      <c r="X1467" s="1033"/>
      <c r="Y1467" s="108"/>
      <c r="Z1467" s="109"/>
      <c r="AA1467" s="109"/>
      <c r="AB1467" s="109">
        <f t="shared" si="123"/>
        <v>0</v>
      </c>
      <c r="AC1467" s="97"/>
      <c r="AD1467" s="119"/>
      <c r="AE1467" s="98"/>
      <c r="AF1467" s="1045"/>
      <c r="AG1467" s="1044"/>
      <c r="AH1467" s="111">
        <f t="shared" si="122"/>
        <v>0</v>
      </c>
      <c r="AI1467" s="1045"/>
      <c r="AJ1467" s="1063"/>
      <c r="AK1467" s="1064"/>
      <c r="AL1467" s="1064"/>
      <c r="AM1467" s="1064"/>
      <c r="AN1467" s="1109"/>
      <c r="AO1467" s="1104"/>
    </row>
    <row r="1468" spans="1:41" ht="15" customHeight="1">
      <c r="A1468" s="1050"/>
      <c r="B1468" s="1069"/>
      <c r="C1468" s="1011" t="s">
        <v>13</v>
      </c>
      <c r="D1468" s="1033"/>
      <c r="E1468" s="1072"/>
      <c r="F1468" s="1072"/>
      <c r="G1468" s="1033"/>
      <c r="H1468" s="1033"/>
      <c r="I1468" s="1033"/>
      <c r="J1468" s="1033"/>
      <c r="K1468" s="1033"/>
      <c r="L1468" s="1033"/>
      <c r="M1468" s="1145">
        <v>7</v>
      </c>
      <c r="N1468" s="1065" t="s">
        <v>133</v>
      </c>
      <c r="O1468" s="1062">
        <v>53000000</v>
      </c>
      <c r="P1468" s="1062">
        <v>53000000</v>
      </c>
      <c r="Q1468" s="1063"/>
      <c r="R1468" s="1068">
        <v>42164</v>
      </c>
      <c r="S1468" s="1092">
        <f>T1468</f>
        <v>53000000</v>
      </c>
      <c r="T1468" s="1092">
        <v>53000000</v>
      </c>
      <c r="U1468" s="1092">
        <f>O1468-T1468</f>
        <v>0</v>
      </c>
      <c r="V1468" s="1043">
        <v>52920836.240000002</v>
      </c>
      <c r="W1468" s="1063"/>
      <c r="X1468" s="1033"/>
      <c r="Y1468" s="108" t="s">
        <v>1949</v>
      </c>
      <c r="Z1468" s="109">
        <v>0</v>
      </c>
      <c r="AA1468" s="109">
        <v>5292083.5999999996</v>
      </c>
      <c r="AB1468" s="109">
        <f t="shared" si="123"/>
        <v>5292083.5999999996</v>
      </c>
      <c r="AC1468" s="97">
        <v>42366</v>
      </c>
      <c r="AD1468" s="119">
        <v>5292083.5999999996</v>
      </c>
      <c r="AE1468" s="98" t="s">
        <v>133</v>
      </c>
      <c r="AF1468" s="1043">
        <f>SUM(AD1468:AD1471)</f>
        <v>49426064.040000007</v>
      </c>
      <c r="AG1468" s="1044"/>
      <c r="AH1468" s="111">
        <f t="shared" si="122"/>
        <v>0</v>
      </c>
      <c r="AI1468" s="1043">
        <f>O1468-AF1468</f>
        <v>3573935.9599999934</v>
      </c>
      <c r="AJ1468" s="1063"/>
      <c r="AK1468" s="1062">
        <f>P1468-V1468</f>
        <v>79163.759999997914</v>
      </c>
      <c r="AL1468" s="1062">
        <f>V1468-SUM(Z1468:Z1471)</f>
        <v>5292083.6000000015</v>
      </c>
      <c r="AM1468" s="1062"/>
      <c r="AN1468" s="1109"/>
      <c r="AO1468" s="1104"/>
    </row>
    <row r="1469" spans="1:41" ht="15" customHeight="1">
      <c r="A1469" s="1050"/>
      <c r="B1469" s="1069"/>
      <c r="C1469" s="1033"/>
      <c r="D1469" s="1033"/>
      <c r="E1469" s="1072"/>
      <c r="F1469" s="1072"/>
      <c r="G1469" s="1033"/>
      <c r="H1469" s="1033"/>
      <c r="I1469" s="1033"/>
      <c r="J1469" s="1033"/>
      <c r="K1469" s="1033"/>
      <c r="L1469" s="1033"/>
      <c r="M1469" s="1146"/>
      <c r="N1469" s="1066"/>
      <c r="O1469" s="1063"/>
      <c r="P1469" s="1063"/>
      <c r="Q1469" s="1063"/>
      <c r="R1469" s="1069"/>
      <c r="S1469" s="1093"/>
      <c r="T1469" s="1093"/>
      <c r="U1469" s="1093"/>
      <c r="V1469" s="1044"/>
      <c r="W1469" s="1063"/>
      <c r="X1469" s="1033"/>
      <c r="Y1469" s="108" t="s">
        <v>1953</v>
      </c>
      <c r="Z1469" s="109">
        <v>37521084</v>
      </c>
      <c r="AA1469" s="109">
        <v>-2332311.11</v>
      </c>
      <c r="AB1469" s="109">
        <f t="shared" si="123"/>
        <v>35188772.890000001</v>
      </c>
      <c r="AC1469" s="97">
        <v>42726</v>
      </c>
      <c r="AD1469" s="119">
        <v>35188772.890000001</v>
      </c>
      <c r="AE1469" s="98" t="s">
        <v>133</v>
      </c>
      <c r="AF1469" s="1044"/>
      <c r="AG1469" s="1044"/>
      <c r="AH1469" s="111">
        <f t="shared" si="122"/>
        <v>0</v>
      </c>
      <c r="AI1469" s="1044"/>
      <c r="AJ1469" s="1063"/>
      <c r="AK1469" s="1063"/>
      <c r="AL1469" s="1063"/>
      <c r="AM1469" s="1063"/>
      <c r="AN1469" s="1109"/>
      <c r="AO1469" s="1104"/>
    </row>
    <row r="1470" spans="1:41" ht="15" customHeight="1">
      <c r="A1470" s="1050"/>
      <c r="B1470" s="1069"/>
      <c r="C1470" s="1033"/>
      <c r="D1470" s="1033"/>
      <c r="E1470" s="1072"/>
      <c r="F1470" s="1072"/>
      <c r="G1470" s="1033"/>
      <c r="H1470" s="1033"/>
      <c r="I1470" s="1033"/>
      <c r="J1470" s="1033"/>
      <c r="K1470" s="1033"/>
      <c r="L1470" s="1033"/>
      <c r="M1470" s="1146"/>
      <c r="N1470" s="1066"/>
      <c r="O1470" s="1063"/>
      <c r="P1470" s="1063"/>
      <c r="Q1470" s="1063"/>
      <c r="R1470" s="1069"/>
      <c r="S1470" s="1093"/>
      <c r="T1470" s="1093"/>
      <c r="U1470" s="1093"/>
      <c r="V1470" s="1044"/>
      <c r="W1470" s="1063"/>
      <c r="X1470" s="1033"/>
      <c r="Y1470" s="108" t="s">
        <v>1962</v>
      </c>
      <c r="Z1470" s="109">
        <v>10107668.640000001</v>
      </c>
      <c r="AA1470" s="109">
        <v>-2959772.49</v>
      </c>
      <c r="AB1470" s="109">
        <f t="shared" si="123"/>
        <v>7147896.1500000004</v>
      </c>
      <c r="AC1470" s="97">
        <v>42730</v>
      </c>
      <c r="AD1470" s="119">
        <v>8945207.5500000007</v>
      </c>
      <c r="AE1470" s="98" t="s">
        <v>133</v>
      </c>
      <c r="AF1470" s="1044"/>
      <c r="AG1470" s="1044"/>
      <c r="AH1470" s="111">
        <f t="shared" si="122"/>
        <v>-1797311.4000000004</v>
      </c>
      <c r="AI1470" s="1044"/>
      <c r="AJ1470" s="1063"/>
      <c r="AK1470" s="1063"/>
      <c r="AL1470" s="1063"/>
      <c r="AM1470" s="1063"/>
      <c r="AN1470" s="1109"/>
      <c r="AO1470" s="1104"/>
    </row>
    <row r="1471" spans="1:41" ht="15" customHeight="1">
      <c r="A1471" s="1050"/>
      <c r="B1471" s="1069"/>
      <c r="C1471" s="1012"/>
      <c r="D1471" s="1033"/>
      <c r="E1471" s="1072"/>
      <c r="F1471" s="1072"/>
      <c r="G1471" s="1033"/>
      <c r="H1471" s="1033"/>
      <c r="I1471" s="1033"/>
      <c r="J1471" s="1033"/>
      <c r="K1471" s="1033"/>
      <c r="L1471" s="1033"/>
      <c r="M1471" s="1147"/>
      <c r="N1471" s="1067"/>
      <c r="O1471" s="1064"/>
      <c r="P1471" s="1064"/>
      <c r="Q1471" s="1063"/>
      <c r="R1471" s="1070"/>
      <c r="S1471" s="1094"/>
      <c r="T1471" s="1094"/>
      <c r="U1471" s="1094"/>
      <c r="V1471" s="1045"/>
      <c r="W1471" s="1063"/>
      <c r="X1471" s="1033"/>
      <c r="Y1471" s="108"/>
      <c r="Z1471" s="109"/>
      <c r="AA1471" s="109"/>
      <c r="AB1471" s="109">
        <f t="shared" si="123"/>
        <v>0</v>
      </c>
      <c r="AC1471" s="97"/>
      <c r="AD1471" s="119"/>
      <c r="AE1471" s="98"/>
      <c r="AF1471" s="1045"/>
      <c r="AG1471" s="1044"/>
      <c r="AH1471" s="111">
        <f t="shared" si="122"/>
        <v>0</v>
      </c>
      <c r="AI1471" s="1045"/>
      <c r="AJ1471" s="1063"/>
      <c r="AK1471" s="1064"/>
      <c r="AL1471" s="1064"/>
      <c r="AM1471" s="1064"/>
      <c r="AN1471" s="1109"/>
      <c r="AO1471" s="1104"/>
    </row>
    <row r="1472" spans="1:41" ht="15" customHeight="1">
      <c r="A1472" s="1050"/>
      <c r="B1472" s="1069"/>
      <c r="C1472" s="1011" t="s">
        <v>29</v>
      </c>
      <c r="D1472" s="1033"/>
      <c r="E1472" s="1072"/>
      <c r="F1472" s="1072"/>
      <c r="G1472" s="1033"/>
      <c r="H1472" s="1033"/>
      <c r="I1472" s="1033"/>
      <c r="J1472" s="1033"/>
      <c r="K1472" s="1033"/>
      <c r="L1472" s="1033"/>
      <c r="M1472" s="1145">
        <v>2</v>
      </c>
      <c r="N1472" s="1065" t="s">
        <v>154</v>
      </c>
      <c r="O1472" s="1062">
        <v>53000000</v>
      </c>
      <c r="P1472" s="1062">
        <v>53000000</v>
      </c>
      <c r="Q1472" s="1063"/>
      <c r="R1472" s="1068">
        <v>42164</v>
      </c>
      <c r="S1472" s="1092">
        <f>T1472</f>
        <v>53000000</v>
      </c>
      <c r="T1472" s="1092">
        <v>53000000</v>
      </c>
      <c r="U1472" s="1092">
        <f>O1472-T1472</f>
        <v>0</v>
      </c>
      <c r="V1472" s="1043">
        <v>52920836.25</v>
      </c>
      <c r="W1472" s="1063"/>
      <c r="X1472" s="1033"/>
      <c r="Y1472" s="108" t="s">
        <v>1949</v>
      </c>
      <c r="Z1472" s="109">
        <v>0</v>
      </c>
      <c r="AA1472" s="109">
        <v>5292083.5999999996</v>
      </c>
      <c r="AB1472" s="109">
        <f t="shared" si="123"/>
        <v>5292083.5999999996</v>
      </c>
      <c r="AC1472" s="97">
        <v>42366</v>
      </c>
      <c r="AD1472" s="119">
        <v>5292083.5999999996</v>
      </c>
      <c r="AE1472" s="98" t="s">
        <v>154</v>
      </c>
      <c r="AF1472" s="1043">
        <f>SUM(AD1472:AD1475)</f>
        <v>43865847.170000002</v>
      </c>
      <c r="AG1472" s="1044"/>
      <c r="AH1472" s="111">
        <f t="shared" si="122"/>
        <v>0</v>
      </c>
      <c r="AI1472" s="1043">
        <f>O1472-AF1472</f>
        <v>9134152.8299999982</v>
      </c>
      <c r="AJ1472" s="1063"/>
      <c r="AK1472" s="1062">
        <f>P1472-V1472</f>
        <v>79163.75</v>
      </c>
      <c r="AL1472" s="1062">
        <f>V1472-SUM(Z1472:Z1475)</f>
        <v>10384100.890000001</v>
      </c>
      <c r="AM1472" s="1062"/>
      <c r="AN1472" s="1109"/>
      <c r="AO1472" s="1104"/>
    </row>
    <row r="1473" spans="1:41" ht="15" customHeight="1">
      <c r="A1473" s="1050"/>
      <c r="B1473" s="1069"/>
      <c r="C1473" s="1033"/>
      <c r="D1473" s="1033"/>
      <c r="E1473" s="1072"/>
      <c r="F1473" s="1072"/>
      <c r="G1473" s="1033"/>
      <c r="H1473" s="1033"/>
      <c r="I1473" s="1033"/>
      <c r="J1473" s="1033"/>
      <c r="K1473" s="1033"/>
      <c r="L1473" s="1033"/>
      <c r="M1473" s="1146"/>
      <c r="N1473" s="1066"/>
      <c r="O1473" s="1063"/>
      <c r="P1473" s="1063"/>
      <c r="Q1473" s="1063"/>
      <c r="R1473" s="1069"/>
      <c r="S1473" s="1093"/>
      <c r="T1473" s="1093"/>
      <c r="U1473" s="1093"/>
      <c r="V1473" s="1044"/>
      <c r="W1473" s="1063"/>
      <c r="X1473" s="1033"/>
      <c r="Y1473" s="108" t="s">
        <v>1954</v>
      </c>
      <c r="Z1473" s="109">
        <v>7876304</v>
      </c>
      <c r="AA1473" s="109">
        <v>-2332311.11</v>
      </c>
      <c r="AB1473" s="109">
        <f t="shared" si="123"/>
        <v>5543992.8900000006</v>
      </c>
      <c r="AC1473" s="97">
        <v>42726</v>
      </c>
      <c r="AD1473" s="119">
        <v>5543992.8899999997</v>
      </c>
      <c r="AE1473" s="98" t="s">
        <v>154</v>
      </c>
      <c r="AF1473" s="1044"/>
      <c r="AG1473" s="1044"/>
      <c r="AH1473" s="111">
        <f t="shared" si="122"/>
        <v>0</v>
      </c>
      <c r="AI1473" s="1044"/>
      <c r="AJ1473" s="1063"/>
      <c r="AK1473" s="1063"/>
      <c r="AL1473" s="1063"/>
      <c r="AM1473" s="1063"/>
      <c r="AN1473" s="1109"/>
      <c r="AO1473" s="1104"/>
    </row>
    <row r="1474" spans="1:41" ht="15" customHeight="1">
      <c r="A1474" s="1050"/>
      <c r="B1474" s="1069"/>
      <c r="C1474" s="1033"/>
      <c r="D1474" s="1033"/>
      <c r="E1474" s="1072"/>
      <c r="F1474" s="1072"/>
      <c r="G1474" s="1033"/>
      <c r="H1474" s="1033"/>
      <c r="I1474" s="1033"/>
      <c r="J1474" s="1033"/>
      <c r="K1474" s="1033"/>
      <c r="L1474" s="1033"/>
      <c r="M1474" s="1146"/>
      <c r="N1474" s="1066"/>
      <c r="O1474" s="1063"/>
      <c r="P1474" s="1063"/>
      <c r="Q1474" s="1063"/>
      <c r="R1474" s="1069"/>
      <c r="S1474" s="1093"/>
      <c r="T1474" s="1093"/>
      <c r="U1474" s="1093"/>
      <c r="V1474" s="1044"/>
      <c r="W1474" s="1063"/>
      <c r="X1474" s="1033"/>
      <c r="Y1474" s="108" t="s">
        <v>1963</v>
      </c>
      <c r="Z1474" s="109">
        <v>34660431.359999999</v>
      </c>
      <c r="AA1474" s="109">
        <v>-1630660.69</v>
      </c>
      <c r="AB1474" s="109">
        <f t="shared" si="123"/>
        <v>33029770.669999998</v>
      </c>
      <c r="AC1474" s="97">
        <v>42730</v>
      </c>
      <c r="AD1474" s="119">
        <v>33029770.68</v>
      </c>
      <c r="AE1474" s="98" t="s">
        <v>154</v>
      </c>
      <c r="AF1474" s="1044"/>
      <c r="AG1474" s="1044"/>
      <c r="AH1474" s="111">
        <f t="shared" si="122"/>
        <v>-1.0000001639127731E-2</v>
      </c>
      <c r="AI1474" s="1044"/>
      <c r="AJ1474" s="1063"/>
      <c r="AK1474" s="1063"/>
      <c r="AL1474" s="1063"/>
      <c r="AM1474" s="1063"/>
      <c r="AN1474" s="1109"/>
      <c r="AO1474" s="1104"/>
    </row>
    <row r="1475" spans="1:41" ht="15" customHeight="1">
      <c r="A1475" s="1050"/>
      <c r="B1475" s="1069"/>
      <c r="C1475" s="1012"/>
      <c r="D1475" s="1033"/>
      <c r="E1475" s="1072"/>
      <c r="F1475" s="1072"/>
      <c r="G1475" s="1033"/>
      <c r="H1475" s="1033"/>
      <c r="I1475" s="1033"/>
      <c r="J1475" s="1033"/>
      <c r="K1475" s="1033"/>
      <c r="L1475" s="1033"/>
      <c r="M1475" s="1147"/>
      <c r="N1475" s="1067"/>
      <c r="O1475" s="1064"/>
      <c r="P1475" s="1064"/>
      <c r="Q1475" s="1063"/>
      <c r="R1475" s="1070"/>
      <c r="S1475" s="1094"/>
      <c r="T1475" s="1094"/>
      <c r="U1475" s="1094"/>
      <c r="V1475" s="1045"/>
      <c r="W1475" s="1063"/>
      <c r="X1475" s="1033"/>
      <c r="Y1475" s="108"/>
      <c r="Z1475" s="109"/>
      <c r="AA1475" s="109"/>
      <c r="AB1475" s="109">
        <f t="shared" si="123"/>
        <v>0</v>
      </c>
      <c r="AC1475" s="97"/>
      <c r="AD1475" s="119"/>
      <c r="AE1475" s="98"/>
      <c r="AF1475" s="1045"/>
      <c r="AG1475" s="1044"/>
      <c r="AH1475" s="111">
        <f t="shared" si="122"/>
        <v>0</v>
      </c>
      <c r="AI1475" s="1045"/>
      <c r="AJ1475" s="1063"/>
      <c r="AK1475" s="1064"/>
      <c r="AL1475" s="1064"/>
      <c r="AM1475" s="1064"/>
      <c r="AN1475" s="1109"/>
      <c r="AO1475" s="1104"/>
    </row>
    <row r="1476" spans="1:41" ht="15" customHeight="1">
      <c r="A1476" s="1050"/>
      <c r="B1476" s="1069"/>
      <c r="C1476" s="1011" t="s">
        <v>19</v>
      </c>
      <c r="D1476" s="1033"/>
      <c r="E1476" s="1072"/>
      <c r="F1476" s="1072"/>
      <c r="G1476" s="1033"/>
      <c r="H1476" s="1033"/>
      <c r="I1476" s="1033"/>
      <c r="J1476" s="1033"/>
      <c r="K1476" s="1033"/>
      <c r="L1476" s="1033"/>
      <c r="M1476" s="1145">
        <v>10</v>
      </c>
      <c r="N1476" s="1065" t="s">
        <v>142</v>
      </c>
      <c r="O1476" s="1062">
        <v>53000000</v>
      </c>
      <c r="P1476" s="1062">
        <v>53000000</v>
      </c>
      <c r="Q1476" s="1063"/>
      <c r="R1476" s="1068">
        <v>42164</v>
      </c>
      <c r="S1476" s="1062">
        <f>T1476</f>
        <v>53000000</v>
      </c>
      <c r="T1476" s="1062">
        <v>53000000</v>
      </c>
      <c r="U1476" s="1062">
        <f>O1476-T1476</f>
        <v>0</v>
      </c>
      <c r="V1476" s="1043">
        <v>52920836.240000002</v>
      </c>
      <c r="W1476" s="1063"/>
      <c r="X1476" s="1033"/>
      <c r="Y1476" s="108" t="s">
        <v>1949</v>
      </c>
      <c r="Z1476" s="109">
        <v>0</v>
      </c>
      <c r="AA1476" s="109">
        <v>5292083.5999999996</v>
      </c>
      <c r="AB1476" s="109">
        <f t="shared" si="123"/>
        <v>5292083.5999999996</v>
      </c>
      <c r="AC1476" s="97">
        <v>42366</v>
      </c>
      <c r="AD1476" s="119">
        <v>5292083.5999999996</v>
      </c>
      <c r="AE1476" s="98" t="s">
        <v>142</v>
      </c>
      <c r="AF1476" s="1043">
        <f>SUM(AD1476:AD1479)</f>
        <v>48528077.800000004</v>
      </c>
      <c r="AG1476" s="1044"/>
      <c r="AH1476" s="111">
        <f t="shared" si="122"/>
        <v>0</v>
      </c>
      <c r="AI1476" s="1043">
        <f>O1476-AF1476</f>
        <v>4471922.1999999955</v>
      </c>
      <c r="AJ1476" s="1063"/>
      <c r="AK1476" s="1062">
        <f>P1476-V1476</f>
        <v>79163.759999997914</v>
      </c>
      <c r="AL1476" s="1062">
        <f>V1476-SUM(Z1476:Z1479)</f>
        <v>5721870.2400000021</v>
      </c>
      <c r="AM1476" s="1062"/>
      <c r="AN1476" s="1109"/>
      <c r="AO1476" s="1104"/>
    </row>
    <row r="1477" spans="1:41" ht="15" customHeight="1">
      <c r="A1477" s="1050"/>
      <c r="B1477" s="1069"/>
      <c r="C1477" s="1033"/>
      <c r="D1477" s="1033"/>
      <c r="E1477" s="1072"/>
      <c r="F1477" s="1072"/>
      <c r="G1477" s="1033"/>
      <c r="H1477" s="1033"/>
      <c r="I1477" s="1033"/>
      <c r="J1477" s="1033"/>
      <c r="K1477" s="1033"/>
      <c r="L1477" s="1033"/>
      <c r="M1477" s="1146"/>
      <c r="N1477" s="1066"/>
      <c r="O1477" s="1063"/>
      <c r="P1477" s="1063"/>
      <c r="Q1477" s="1063"/>
      <c r="R1477" s="1069"/>
      <c r="S1477" s="1063"/>
      <c r="T1477" s="1063"/>
      <c r="U1477" s="1063"/>
      <c r="V1477" s="1044"/>
      <c r="W1477" s="1063"/>
      <c r="X1477" s="1033"/>
      <c r="Y1477" s="108" t="s">
        <v>1955</v>
      </c>
      <c r="Z1477" s="109">
        <v>38867848</v>
      </c>
      <c r="AA1477" s="109">
        <v>-2332311.11</v>
      </c>
      <c r="AB1477" s="109">
        <f t="shared" si="123"/>
        <v>36535536.890000001</v>
      </c>
      <c r="AC1477" s="97">
        <v>42726</v>
      </c>
      <c r="AD1477" s="119">
        <v>36535536.890000001</v>
      </c>
      <c r="AE1477" s="98" t="s">
        <v>142</v>
      </c>
      <c r="AF1477" s="1044"/>
      <c r="AG1477" s="1044"/>
      <c r="AH1477" s="111">
        <f t="shared" si="122"/>
        <v>0</v>
      </c>
      <c r="AI1477" s="1044"/>
      <c r="AJ1477" s="1063"/>
      <c r="AK1477" s="1063"/>
      <c r="AL1477" s="1063"/>
      <c r="AM1477" s="1063"/>
      <c r="AN1477" s="1109"/>
      <c r="AO1477" s="1104"/>
    </row>
    <row r="1478" spans="1:41" ht="15" customHeight="1">
      <c r="A1478" s="1050"/>
      <c r="B1478" s="1069"/>
      <c r="C1478" s="1033"/>
      <c r="D1478" s="1033"/>
      <c r="E1478" s="1072"/>
      <c r="F1478" s="1072"/>
      <c r="G1478" s="1033"/>
      <c r="H1478" s="1033"/>
      <c r="I1478" s="1033"/>
      <c r="J1478" s="1033"/>
      <c r="K1478" s="1033"/>
      <c r="L1478" s="1033"/>
      <c r="M1478" s="1146"/>
      <c r="N1478" s="1066"/>
      <c r="O1478" s="1063"/>
      <c r="P1478" s="1063"/>
      <c r="Q1478" s="1063"/>
      <c r="R1478" s="1069"/>
      <c r="S1478" s="1063"/>
      <c r="T1478" s="1063"/>
      <c r="U1478" s="1063"/>
      <c r="V1478" s="1044"/>
      <c r="W1478" s="1063"/>
      <c r="X1478" s="1033"/>
      <c r="Y1478" s="108" t="s">
        <v>1964</v>
      </c>
      <c r="Z1478" s="109">
        <v>8331118</v>
      </c>
      <c r="AA1478" s="109">
        <v>-1630660.69</v>
      </c>
      <c r="AB1478" s="109">
        <f t="shared" si="123"/>
        <v>6700457.3100000005</v>
      </c>
      <c r="AC1478" s="97">
        <v>42730</v>
      </c>
      <c r="AD1478" s="119">
        <v>6700457.3099999996</v>
      </c>
      <c r="AE1478" s="98" t="s">
        <v>142</v>
      </c>
      <c r="AF1478" s="1044"/>
      <c r="AG1478" s="1044"/>
      <c r="AH1478" s="111">
        <f t="shared" si="122"/>
        <v>0</v>
      </c>
      <c r="AI1478" s="1044"/>
      <c r="AJ1478" s="1063"/>
      <c r="AK1478" s="1063"/>
      <c r="AL1478" s="1063"/>
      <c r="AM1478" s="1063"/>
      <c r="AN1478" s="1109"/>
      <c r="AO1478" s="1104"/>
    </row>
    <row r="1479" spans="1:41" ht="15" customHeight="1">
      <c r="A1479" s="1050"/>
      <c r="B1479" s="1069"/>
      <c r="C1479" s="1012"/>
      <c r="D1479" s="1033"/>
      <c r="E1479" s="1072"/>
      <c r="F1479" s="1072"/>
      <c r="G1479" s="1033"/>
      <c r="H1479" s="1033"/>
      <c r="I1479" s="1033"/>
      <c r="J1479" s="1033"/>
      <c r="K1479" s="1033"/>
      <c r="L1479" s="1033"/>
      <c r="M1479" s="1147"/>
      <c r="N1479" s="1067"/>
      <c r="O1479" s="1064"/>
      <c r="P1479" s="1064"/>
      <c r="Q1479" s="1063"/>
      <c r="R1479" s="1070"/>
      <c r="S1479" s="1064"/>
      <c r="T1479" s="1064"/>
      <c r="U1479" s="1064"/>
      <c r="V1479" s="1045"/>
      <c r="W1479" s="1063"/>
      <c r="X1479" s="1033"/>
      <c r="Y1479" s="108"/>
      <c r="Z1479" s="109"/>
      <c r="AA1479" s="109"/>
      <c r="AB1479" s="109">
        <f t="shared" si="123"/>
        <v>0</v>
      </c>
      <c r="AC1479" s="97"/>
      <c r="AD1479" s="119"/>
      <c r="AE1479" s="98"/>
      <c r="AF1479" s="1045"/>
      <c r="AG1479" s="1044"/>
      <c r="AH1479" s="111">
        <f t="shared" si="122"/>
        <v>0</v>
      </c>
      <c r="AI1479" s="1045"/>
      <c r="AJ1479" s="1063"/>
      <c r="AK1479" s="1064"/>
      <c r="AL1479" s="1064"/>
      <c r="AM1479" s="1064"/>
      <c r="AN1479" s="1109"/>
      <c r="AO1479" s="1104"/>
    </row>
    <row r="1480" spans="1:41" ht="15" customHeight="1">
      <c r="A1480" s="1050"/>
      <c r="B1480" s="1069"/>
      <c r="C1480" s="1011" t="s">
        <v>28</v>
      </c>
      <c r="D1480" s="1033"/>
      <c r="E1480" s="1072"/>
      <c r="F1480" s="1072"/>
      <c r="G1480" s="1033"/>
      <c r="H1480" s="1033"/>
      <c r="I1480" s="1033"/>
      <c r="J1480" s="1033"/>
      <c r="K1480" s="1033"/>
      <c r="L1480" s="1033"/>
      <c r="M1480" s="1145">
        <v>6</v>
      </c>
      <c r="N1480" s="1065" t="s">
        <v>153</v>
      </c>
      <c r="O1480" s="1062">
        <v>53000000</v>
      </c>
      <c r="P1480" s="1062">
        <v>53000000</v>
      </c>
      <c r="Q1480" s="1063"/>
      <c r="R1480" s="1068">
        <v>42164</v>
      </c>
      <c r="S1480" s="1092">
        <f>T1480</f>
        <v>53000000</v>
      </c>
      <c r="T1480" s="1092">
        <v>53000000</v>
      </c>
      <c r="U1480" s="1092">
        <f>O1480-T1480</f>
        <v>0</v>
      </c>
      <c r="V1480" s="1043">
        <v>52920836.240000002</v>
      </c>
      <c r="W1480" s="1063"/>
      <c r="X1480" s="1033"/>
      <c r="Y1480" s="108" t="s">
        <v>1949</v>
      </c>
      <c r="Z1480" s="109">
        <v>0</v>
      </c>
      <c r="AA1480" s="109">
        <v>5292083.5999999996</v>
      </c>
      <c r="AB1480" s="109">
        <f t="shared" si="123"/>
        <v>5292083.5999999996</v>
      </c>
      <c r="AC1480" s="97">
        <v>42366</v>
      </c>
      <c r="AD1480" s="119">
        <v>5292083.5999999996</v>
      </c>
      <c r="AE1480" s="98" t="s">
        <v>153</v>
      </c>
      <c r="AF1480" s="1043">
        <f>SUM(AD1480:AD1483)</f>
        <v>47628752.640000001</v>
      </c>
      <c r="AG1480" s="1044"/>
      <c r="AH1480" s="111">
        <f t="shared" si="122"/>
        <v>0</v>
      </c>
      <c r="AI1480" s="1043">
        <f>O1480-AF1480</f>
        <v>5371247.3599999994</v>
      </c>
      <c r="AJ1480" s="1063"/>
      <c r="AK1480" s="1062">
        <f>P1480-V1480</f>
        <v>79163.759999997914</v>
      </c>
      <c r="AL1480" s="1062">
        <f>V1480-SUM(Z1480:Z1483)</f>
        <v>5292083.6000000015</v>
      </c>
      <c r="AM1480" s="1062"/>
      <c r="AN1480" s="1109"/>
      <c r="AO1480" s="1104"/>
    </row>
    <row r="1481" spans="1:41" ht="15" customHeight="1">
      <c r="A1481" s="1050"/>
      <c r="B1481" s="1069"/>
      <c r="C1481" s="1033"/>
      <c r="D1481" s="1033"/>
      <c r="E1481" s="1072"/>
      <c r="F1481" s="1072"/>
      <c r="G1481" s="1033"/>
      <c r="H1481" s="1033"/>
      <c r="I1481" s="1033"/>
      <c r="J1481" s="1033"/>
      <c r="K1481" s="1033"/>
      <c r="L1481" s="1033"/>
      <c r="M1481" s="1146"/>
      <c r="N1481" s="1066"/>
      <c r="O1481" s="1063"/>
      <c r="P1481" s="1063"/>
      <c r="Q1481" s="1063"/>
      <c r="R1481" s="1069"/>
      <c r="S1481" s="1093"/>
      <c r="T1481" s="1093"/>
      <c r="U1481" s="1093"/>
      <c r="V1481" s="1044"/>
      <c r="W1481" s="1063"/>
      <c r="X1481" s="1033"/>
      <c r="Y1481" s="108" t="s">
        <v>1956</v>
      </c>
      <c r="Z1481" s="109">
        <v>21188970</v>
      </c>
      <c r="AA1481" s="109">
        <v>-2332311.11</v>
      </c>
      <c r="AB1481" s="109">
        <f t="shared" si="123"/>
        <v>18856658.890000001</v>
      </c>
      <c r="AC1481" s="97">
        <v>42726</v>
      </c>
      <c r="AD1481" s="119">
        <v>18856658.890000001</v>
      </c>
      <c r="AE1481" s="98" t="s">
        <v>153</v>
      </c>
      <c r="AF1481" s="1044"/>
      <c r="AG1481" s="1044"/>
      <c r="AH1481" s="111">
        <f t="shared" si="122"/>
        <v>0</v>
      </c>
      <c r="AI1481" s="1044"/>
      <c r="AJ1481" s="1063"/>
      <c r="AK1481" s="1063"/>
      <c r="AL1481" s="1063"/>
      <c r="AM1481" s="1063"/>
      <c r="AN1481" s="1109"/>
      <c r="AO1481" s="1104"/>
    </row>
    <row r="1482" spans="1:41" ht="15" customHeight="1">
      <c r="A1482" s="1050"/>
      <c r="B1482" s="1069"/>
      <c r="C1482" s="1033"/>
      <c r="D1482" s="1033"/>
      <c r="E1482" s="1072"/>
      <c r="F1482" s="1072"/>
      <c r="G1482" s="1033"/>
      <c r="H1482" s="1033"/>
      <c r="I1482" s="1033"/>
      <c r="J1482" s="1033"/>
      <c r="K1482" s="1033"/>
      <c r="L1482" s="1033"/>
      <c r="M1482" s="1146"/>
      <c r="N1482" s="1066"/>
      <c r="O1482" s="1063"/>
      <c r="P1482" s="1063"/>
      <c r="Q1482" s="1063"/>
      <c r="R1482" s="1069"/>
      <c r="S1482" s="1093"/>
      <c r="T1482" s="1093"/>
      <c r="U1482" s="1093"/>
      <c r="V1482" s="1044"/>
      <c r="W1482" s="1063"/>
      <c r="X1482" s="1033"/>
      <c r="Y1482" s="108" t="s">
        <v>1965</v>
      </c>
      <c r="Z1482" s="109">
        <v>26439782.640000001</v>
      </c>
      <c r="AA1482" s="109">
        <v>-2959772.49</v>
      </c>
      <c r="AB1482" s="109">
        <f t="shared" si="123"/>
        <v>23480010.149999999</v>
      </c>
      <c r="AC1482" s="97">
        <v>42730</v>
      </c>
      <c r="AD1482" s="119">
        <v>23480010.149999999</v>
      </c>
      <c r="AE1482" s="98" t="s">
        <v>153</v>
      </c>
      <c r="AF1482" s="1044"/>
      <c r="AG1482" s="1044"/>
      <c r="AH1482" s="111">
        <f t="shared" si="122"/>
        <v>0</v>
      </c>
      <c r="AI1482" s="1044"/>
      <c r="AJ1482" s="1063"/>
      <c r="AK1482" s="1063"/>
      <c r="AL1482" s="1063"/>
      <c r="AM1482" s="1063"/>
      <c r="AN1482" s="1109"/>
      <c r="AO1482" s="1104"/>
    </row>
    <row r="1483" spans="1:41" ht="15" customHeight="1">
      <c r="A1483" s="1050"/>
      <c r="B1483" s="1069"/>
      <c r="C1483" s="1012"/>
      <c r="D1483" s="1033"/>
      <c r="E1483" s="1072"/>
      <c r="F1483" s="1072"/>
      <c r="G1483" s="1033"/>
      <c r="H1483" s="1033"/>
      <c r="I1483" s="1033"/>
      <c r="J1483" s="1033"/>
      <c r="K1483" s="1033"/>
      <c r="L1483" s="1033"/>
      <c r="M1483" s="1147"/>
      <c r="N1483" s="1067"/>
      <c r="O1483" s="1064"/>
      <c r="P1483" s="1064"/>
      <c r="Q1483" s="1063"/>
      <c r="R1483" s="1070"/>
      <c r="S1483" s="1094"/>
      <c r="T1483" s="1094"/>
      <c r="U1483" s="1094"/>
      <c r="V1483" s="1045"/>
      <c r="W1483" s="1063"/>
      <c r="X1483" s="1033"/>
      <c r="Y1483" s="108"/>
      <c r="Z1483" s="109"/>
      <c r="AA1483" s="109"/>
      <c r="AB1483" s="109">
        <f t="shared" si="123"/>
        <v>0</v>
      </c>
      <c r="AC1483" s="97"/>
      <c r="AD1483" s="119"/>
      <c r="AE1483" s="98"/>
      <c r="AF1483" s="1045"/>
      <c r="AG1483" s="1044"/>
      <c r="AH1483" s="111">
        <f t="shared" si="122"/>
        <v>0</v>
      </c>
      <c r="AI1483" s="1045"/>
      <c r="AJ1483" s="1063"/>
      <c r="AK1483" s="1064"/>
      <c r="AL1483" s="1064"/>
      <c r="AM1483" s="1064"/>
      <c r="AN1483" s="1109"/>
      <c r="AO1483" s="1104"/>
    </row>
    <row r="1484" spans="1:41" ht="15" customHeight="1">
      <c r="A1484" s="1050"/>
      <c r="B1484" s="1069"/>
      <c r="C1484" s="1011" t="s">
        <v>13</v>
      </c>
      <c r="D1484" s="1033"/>
      <c r="E1484" s="1072"/>
      <c r="F1484" s="1072"/>
      <c r="G1484" s="1033"/>
      <c r="H1484" s="1033"/>
      <c r="I1484" s="1033"/>
      <c r="J1484" s="1033"/>
      <c r="K1484" s="1033"/>
      <c r="L1484" s="1033"/>
      <c r="M1484" s="1145">
        <v>9</v>
      </c>
      <c r="N1484" s="1065" t="s">
        <v>133</v>
      </c>
      <c r="O1484" s="1062">
        <v>35000000</v>
      </c>
      <c r="P1484" s="1062">
        <v>35000000</v>
      </c>
      <c r="Q1484" s="1063"/>
      <c r="R1484" s="1068">
        <v>42164</v>
      </c>
      <c r="S1484" s="1062">
        <f>T1484</f>
        <v>35000000</v>
      </c>
      <c r="T1484" s="1062">
        <v>35000000</v>
      </c>
      <c r="U1484" s="1062">
        <f>O1484-T1484</f>
        <v>0</v>
      </c>
      <c r="V1484" s="1043">
        <v>34947722.049999997</v>
      </c>
      <c r="W1484" s="1063"/>
      <c r="X1484" s="1033"/>
      <c r="Y1484" s="108" t="s">
        <v>1949</v>
      </c>
      <c r="Z1484" s="109">
        <v>0</v>
      </c>
      <c r="AA1484" s="109">
        <v>3494772.2</v>
      </c>
      <c r="AB1484" s="109">
        <f t="shared" si="123"/>
        <v>3494772.2</v>
      </c>
      <c r="AC1484" s="97">
        <v>42366</v>
      </c>
      <c r="AD1484" s="119">
        <v>3494772.2</v>
      </c>
      <c r="AE1484" s="98" t="s">
        <v>133</v>
      </c>
      <c r="AF1484" s="1043">
        <f>SUM(AD1484:AD1487)</f>
        <v>29655638.449999999</v>
      </c>
      <c r="AG1484" s="1044"/>
      <c r="AH1484" s="111">
        <f t="shared" si="122"/>
        <v>0</v>
      </c>
      <c r="AI1484" s="1043">
        <f>O1484-AF1484</f>
        <v>5344361.5500000007</v>
      </c>
      <c r="AJ1484" s="1063"/>
      <c r="AK1484" s="1062">
        <f>P1484-V1484</f>
        <v>52277.95000000298</v>
      </c>
      <c r="AL1484" s="1062">
        <f>V1484-SUM(Z1484:Z1487)</f>
        <v>3494772.1999999955</v>
      </c>
      <c r="AM1484" s="1062"/>
      <c r="AN1484" s="1109"/>
      <c r="AO1484" s="1104"/>
    </row>
    <row r="1485" spans="1:41" ht="15" customHeight="1">
      <c r="A1485" s="1050"/>
      <c r="B1485" s="1069"/>
      <c r="C1485" s="1033"/>
      <c r="D1485" s="1033"/>
      <c r="E1485" s="1072"/>
      <c r="F1485" s="1072"/>
      <c r="G1485" s="1033"/>
      <c r="H1485" s="1033"/>
      <c r="I1485" s="1033"/>
      <c r="J1485" s="1033"/>
      <c r="K1485" s="1033"/>
      <c r="L1485" s="1033"/>
      <c r="M1485" s="1146"/>
      <c r="N1485" s="1066"/>
      <c r="O1485" s="1063"/>
      <c r="P1485" s="1063"/>
      <c r="Q1485" s="1063"/>
      <c r="R1485" s="1069"/>
      <c r="S1485" s="1063"/>
      <c r="T1485" s="1063"/>
      <c r="U1485" s="1063"/>
      <c r="V1485" s="1044"/>
      <c r="W1485" s="1063"/>
      <c r="X1485" s="1033"/>
      <c r="Y1485" s="108" t="s">
        <v>1957</v>
      </c>
      <c r="Z1485" s="109">
        <v>5999995</v>
      </c>
      <c r="AA1485" s="109">
        <v>-2332311.11</v>
      </c>
      <c r="AB1485" s="109">
        <f t="shared" si="123"/>
        <v>3667683.89</v>
      </c>
      <c r="AC1485" s="97">
        <v>42726</v>
      </c>
      <c r="AD1485" s="119">
        <v>3667683.89</v>
      </c>
      <c r="AE1485" s="98" t="s">
        <v>133</v>
      </c>
      <c r="AF1485" s="1044"/>
      <c r="AG1485" s="1044"/>
      <c r="AH1485" s="111">
        <f t="shared" si="122"/>
        <v>0</v>
      </c>
      <c r="AI1485" s="1044"/>
      <c r="AJ1485" s="1063"/>
      <c r="AK1485" s="1063"/>
      <c r="AL1485" s="1063"/>
      <c r="AM1485" s="1063"/>
      <c r="AN1485" s="1109"/>
      <c r="AO1485" s="1104"/>
    </row>
    <row r="1486" spans="1:41" ht="15" customHeight="1">
      <c r="A1486" s="1050"/>
      <c r="B1486" s="1069"/>
      <c r="C1486" s="1033"/>
      <c r="D1486" s="1033"/>
      <c r="E1486" s="1072"/>
      <c r="F1486" s="1072"/>
      <c r="G1486" s="1033"/>
      <c r="H1486" s="1033"/>
      <c r="I1486" s="1033"/>
      <c r="J1486" s="1033"/>
      <c r="K1486" s="1033"/>
      <c r="L1486" s="1033"/>
      <c r="M1486" s="1146"/>
      <c r="N1486" s="1066"/>
      <c r="O1486" s="1063"/>
      <c r="P1486" s="1063"/>
      <c r="Q1486" s="1063"/>
      <c r="R1486" s="1069"/>
      <c r="S1486" s="1063"/>
      <c r="T1486" s="1063"/>
      <c r="U1486" s="1063"/>
      <c r="V1486" s="1044"/>
      <c r="W1486" s="1063"/>
      <c r="X1486" s="1033"/>
      <c r="Y1486" s="108" t="s">
        <v>1966</v>
      </c>
      <c r="Z1486" s="109">
        <v>25452954.850000001</v>
      </c>
      <c r="AA1486" s="109">
        <v>-1162461.0900000001</v>
      </c>
      <c r="AB1486" s="109">
        <f t="shared" si="123"/>
        <v>24290493.760000002</v>
      </c>
      <c r="AC1486" s="97">
        <v>42730</v>
      </c>
      <c r="AD1486" s="119">
        <v>22493182.359999999</v>
      </c>
      <c r="AE1486" s="98" t="s">
        <v>133</v>
      </c>
      <c r="AF1486" s="1044"/>
      <c r="AG1486" s="1044"/>
      <c r="AH1486" s="111">
        <f t="shared" si="122"/>
        <v>1797311.4000000022</v>
      </c>
      <c r="AI1486" s="1044"/>
      <c r="AJ1486" s="1063"/>
      <c r="AK1486" s="1063"/>
      <c r="AL1486" s="1063"/>
      <c r="AM1486" s="1063"/>
      <c r="AN1486" s="1109"/>
      <c r="AO1486" s="1104"/>
    </row>
    <row r="1487" spans="1:41" ht="15" customHeight="1">
      <c r="A1487" s="1050"/>
      <c r="B1487" s="1069"/>
      <c r="C1487" s="1012"/>
      <c r="D1487" s="1033"/>
      <c r="E1487" s="1072"/>
      <c r="F1487" s="1072"/>
      <c r="G1487" s="1033"/>
      <c r="H1487" s="1033"/>
      <c r="I1487" s="1033"/>
      <c r="J1487" s="1033"/>
      <c r="K1487" s="1033"/>
      <c r="L1487" s="1033"/>
      <c r="M1487" s="1147"/>
      <c r="N1487" s="1067"/>
      <c r="O1487" s="1064"/>
      <c r="P1487" s="1064"/>
      <c r="Q1487" s="1063"/>
      <c r="R1487" s="1070"/>
      <c r="S1487" s="1064"/>
      <c r="T1487" s="1064"/>
      <c r="U1487" s="1064"/>
      <c r="V1487" s="1045"/>
      <c r="W1487" s="1063"/>
      <c r="X1487" s="1033"/>
      <c r="Y1487" s="108"/>
      <c r="Z1487" s="109"/>
      <c r="AA1487" s="109"/>
      <c r="AB1487" s="109">
        <f t="shared" si="123"/>
        <v>0</v>
      </c>
      <c r="AC1487" s="97"/>
      <c r="AD1487" s="119"/>
      <c r="AE1487" s="98"/>
      <c r="AF1487" s="1045"/>
      <c r="AG1487" s="1044"/>
      <c r="AH1487" s="111">
        <f t="shared" ref="AH1487:AH1518" si="124">AB1487-AD1487</f>
        <v>0</v>
      </c>
      <c r="AI1487" s="1045"/>
      <c r="AJ1487" s="1063"/>
      <c r="AK1487" s="1064"/>
      <c r="AL1487" s="1064"/>
      <c r="AM1487" s="1064"/>
      <c r="AN1487" s="1109"/>
      <c r="AO1487" s="1104"/>
    </row>
    <row r="1488" spans="1:41" ht="15" customHeight="1">
      <c r="A1488" s="1050"/>
      <c r="B1488" s="1069"/>
      <c r="C1488" s="1011" t="s">
        <v>44</v>
      </c>
      <c r="D1488" s="1033"/>
      <c r="E1488" s="1072"/>
      <c r="F1488" s="1072"/>
      <c r="G1488" s="1033"/>
      <c r="H1488" s="1033"/>
      <c r="I1488" s="1033"/>
      <c r="J1488" s="1033"/>
      <c r="K1488" s="1033"/>
      <c r="L1488" s="1033"/>
      <c r="M1488" s="1145">
        <v>9</v>
      </c>
      <c r="N1488" s="1065" t="s">
        <v>141</v>
      </c>
      <c r="O1488" s="1062">
        <v>53000000</v>
      </c>
      <c r="P1488" s="1062">
        <v>53000000</v>
      </c>
      <c r="Q1488" s="1063"/>
      <c r="R1488" s="1068">
        <v>42171</v>
      </c>
      <c r="S1488" s="1092">
        <f>T1488</f>
        <v>53000000</v>
      </c>
      <c r="T1488" s="1092">
        <v>53000000</v>
      </c>
      <c r="U1488" s="1092">
        <f>O1488-T1488</f>
        <v>0</v>
      </c>
      <c r="V1488" s="1043">
        <v>52920836.240000002</v>
      </c>
      <c r="W1488" s="1063"/>
      <c r="X1488" s="1033"/>
      <c r="Y1488" s="108" t="s">
        <v>1949</v>
      </c>
      <c r="Z1488" s="109">
        <v>0</v>
      </c>
      <c r="AA1488" s="109">
        <v>5292083.5999999996</v>
      </c>
      <c r="AB1488" s="109">
        <f t="shared" si="123"/>
        <v>5292083.5999999996</v>
      </c>
      <c r="AC1488" s="97">
        <v>42366</v>
      </c>
      <c r="AD1488" s="119">
        <v>5292083.5999999996</v>
      </c>
      <c r="AE1488" s="98" t="s">
        <v>141</v>
      </c>
      <c r="AF1488" s="1043">
        <f>SUM(AD1488:AD1491)</f>
        <v>41350024.670000002</v>
      </c>
      <c r="AG1488" s="1044"/>
      <c r="AH1488" s="111">
        <f t="shared" si="124"/>
        <v>0</v>
      </c>
      <c r="AI1488" s="1043">
        <f>O1488-AF1488</f>
        <v>11649975.329999998</v>
      </c>
      <c r="AJ1488" s="1063"/>
      <c r="AK1488" s="1062">
        <f>P1488-V1488</f>
        <v>79163.759999997914</v>
      </c>
      <c r="AL1488" s="1062">
        <f>V1488-SUM(Z1488:Z1491)</f>
        <v>12899923.370000005</v>
      </c>
      <c r="AM1488" s="1062"/>
      <c r="AN1488" s="1109"/>
      <c r="AO1488" s="1104"/>
    </row>
    <row r="1489" spans="1:43" ht="15" customHeight="1">
      <c r="A1489" s="1050"/>
      <c r="B1489" s="1069"/>
      <c r="C1489" s="1033"/>
      <c r="D1489" s="1033"/>
      <c r="E1489" s="1072"/>
      <c r="F1489" s="1072"/>
      <c r="G1489" s="1033"/>
      <c r="H1489" s="1033"/>
      <c r="I1489" s="1033"/>
      <c r="J1489" s="1033"/>
      <c r="K1489" s="1033"/>
      <c r="L1489" s="1033"/>
      <c r="M1489" s="1146"/>
      <c r="N1489" s="1066"/>
      <c r="O1489" s="1063"/>
      <c r="P1489" s="1063"/>
      <c r="Q1489" s="1063"/>
      <c r="R1489" s="1069"/>
      <c r="S1489" s="1093"/>
      <c r="T1489" s="1093"/>
      <c r="U1489" s="1093"/>
      <c r="V1489" s="1044"/>
      <c r="W1489" s="1063"/>
      <c r="X1489" s="1033"/>
      <c r="Y1489" s="108" t="s">
        <v>1958</v>
      </c>
      <c r="Z1489" s="109">
        <v>37326832</v>
      </c>
      <c r="AA1489" s="109">
        <v>-2332311.11</v>
      </c>
      <c r="AB1489" s="109">
        <f t="shared" si="123"/>
        <v>34994520.890000001</v>
      </c>
      <c r="AC1489" s="97">
        <v>42726</v>
      </c>
      <c r="AD1489" s="119">
        <v>34994520.890000001</v>
      </c>
      <c r="AE1489" s="98" t="s">
        <v>141</v>
      </c>
      <c r="AF1489" s="1044"/>
      <c r="AG1489" s="1044"/>
      <c r="AH1489" s="111">
        <f t="shared" si="124"/>
        <v>0</v>
      </c>
      <c r="AI1489" s="1044"/>
      <c r="AJ1489" s="1063"/>
      <c r="AK1489" s="1063"/>
      <c r="AL1489" s="1063"/>
      <c r="AM1489" s="1063"/>
      <c r="AN1489" s="1109"/>
      <c r="AO1489" s="1104"/>
    </row>
    <row r="1490" spans="1:43" ht="15" customHeight="1">
      <c r="A1490" s="1050"/>
      <c r="B1490" s="1069"/>
      <c r="C1490" s="1033"/>
      <c r="D1490" s="1033"/>
      <c r="E1490" s="1072"/>
      <c r="F1490" s="1072"/>
      <c r="G1490" s="1033"/>
      <c r="H1490" s="1033"/>
      <c r="I1490" s="1033"/>
      <c r="J1490" s="1033"/>
      <c r="K1490" s="1033"/>
      <c r="L1490" s="1033"/>
      <c r="M1490" s="1146"/>
      <c r="N1490" s="1066"/>
      <c r="O1490" s="1063"/>
      <c r="P1490" s="1063"/>
      <c r="Q1490" s="1063"/>
      <c r="R1490" s="1069"/>
      <c r="S1490" s="1093"/>
      <c r="T1490" s="1093"/>
      <c r="U1490" s="1093"/>
      <c r="V1490" s="1044"/>
      <c r="W1490" s="1063"/>
      <c r="X1490" s="1033"/>
      <c r="Y1490" s="108" t="s">
        <v>1967</v>
      </c>
      <c r="Z1490" s="109">
        <v>2694080.87</v>
      </c>
      <c r="AA1490" s="109">
        <v>-1630660.69</v>
      </c>
      <c r="AB1490" s="109">
        <f t="shared" si="123"/>
        <v>1063420.1800000002</v>
      </c>
      <c r="AC1490" s="97">
        <v>42730</v>
      </c>
      <c r="AD1490" s="119">
        <v>1063420.18</v>
      </c>
      <c r="AE1490" s="98" t="s">
        <v>141</v>
      </c>
      <c r="AF1490" s="1044"/>
      <c r="AG1490" s="1044"/>
      <c r="AH1490" s="111">
        <f t="shared" si="124"/>
        <v>0</v>
      </c>
      <c r="AI1490" s="1044"/>
      <c r="AJ1490" s="1063"/>
      <c r="AK1490" s="1063"/>
      <c r="AL1490" s="1063"/>
      <c r="AM1490" s="1063"/>
      <c r="AN1490" s="1109"/>
      <c r="AO1490" s="1104"/>
    </row>
    <row r="1491" spans="1:43" ht="15" customHeight="1">
      <c r="A1491" s="1016"/>
      <c r="B1491" s="1070"/>
      <c r="C1491" s="1012"/>
      <c r="D1491" s="1012"/>
      <c r="E1491" s="1073"/>
      <c r="F1491" s="1073"/>
      <c r="G1491" s="1012"/>
      <c r="H1491" s="1012"/>
      <c r="I1491" s="1012"/>
      <c r="J1491" s="1012"/>
      <c r="K1491" s="1012"/>
      <c r="L1491" s="1012"/>
      <c r="M1491" s="1147"/>
      <c r="N1491" s="1067"/>
      <c r="O1491" s="1064"/>
      <c r="P1491" s="1064"/>
      <c r="Q1491" s="1064"/>
      <c r="R1491" s="1070"/>
      <c r="S1491" s="1094"/>
      <c r="T1491" s="1094"/>
      <c r="U1491" s="1094"/>
      <c r="V1491" s="1045"/>
      <c r="W1491" s="1064"/>
      <c r="X1491" s="1012"/>
      <c r="Y1491" s="108"/>
      <c r="Z1491" s="109"/>
      <c r="AA1491" s="109"/>
      <c r="AB1491" s="109">
        <f t="shared" si="123"/>
        <v>0</v>
      </c>
      <c r="AC1491" s="97"/>
      <c r="AD1491" s="119"/>
      <c r="AE1491" s="98"/>
      <c r="AF1491" s="1045"/>
      <c r="AG1491" s="1045"/>
      <c r="AH1491" s="111">
        <f t="shared" si="124"/>
        <v>0</v>
      </c>
      <c r="AI1491" s="1045"/>
      <c r="AJ1491" s="1064"/>
      <c r="AK1491" s="1064"/>
      <c r="AL1491" s="1064"/>
      <c r="AM1491" s="1064"/>
      <c r="AN1491" s="1110"/>
      <c r="AO1491" s="1105"/>
    </row>
    <row r="1492" spans="1:43" ht="15" customHeight="1">
      <c r="A1492" s="1030" t="s">
        <v>1931</v>
      </c>
      <c r="B1492" s="1068">
        <v>42270</v>
      </c>
      <c r="C1492" s="1011" t="s">
        <v>42</v>
      </c>
      <c r="D1492" s="1011" t="s">
        <v>1932</v>
      </c>
      <c r="E1492" s="1071">
        <v>890312697</v>
      </c>
      <c r="F1492" s="1071">
        <v>1</v>
      </c>
      <c r="G1492" s="1011" t="s">
        <v>1933</v>
      </c>
      <c r="H1492" s="1011" t="s">
        <v>70</v>
      </c>
      <c r="I1492" s="1011" t="s">
        <v>206</v>
      </c>
      <c r="J1492" s="1011" t="s">
        <v>66</v>
      </c>
      <c r="K1492" s="1011" t="s">
        <v>49</v>
      </c>
      <c r="L1492" s="1011" t="s">
        <v>1935</v>
      </c>
      <c r="M1492" s="1145">
        <v>6</v>
      </c>
      <c r="N1492" s="1065" t="s">
        <v>168</v>
      </c>
      <c r="O1492" s="1062">
        <v>418389780</v>
      </c>
      <c r="P1492" s="1062">
        <v>418389780</v>
      </c>
      <c r="Q1492" s="1062">
        <v>418389780</v>
      </c>
      <c r="R1492" s="1068">
        <v>42130</v>
      </c>
      <c r="S1492" s="1092">
        <f>T1492</f>
        <v>418389780</v>
      </c>
      <c r="T1492" s="1092">
        <v>418389780</v>
      </c>
      <c r="U1492" s="1092">
        <f>O1492-T1492</f>
        <v>0</v>
      </c>
      <c r="V1492" s="1092">
        <v>418000000</v>
      </c>
      <c r="W1492" s="1092">
        <v>418000000</v>
      </c>
      <c r="X1492" s="1011" t="s">
        <v>1934</v>
      </c>
      <c r="Y1492" s="108" t="s">
        <v>1937</v>
      </c>
      <c r="Z1492" s="109">
        <v>0</v>
      </c>
      <c r="AA1492" s="109">
        <v>41800000</v>
      </c>
      <c r="AB1492" s="109">
        <f t="shared" si="123"/>
        <v>41800000</v>
      </c>
      <c r="AC1492" s="97">
        <v>42430</v>
      </c>
      <c r="AD1492" s="119">
        <v>41800000</v>
      </c>
      <c r="AE1492" s="98" t="s">
        <v>168</v>
      </c>
      <c r="AF1492" s="1043">
        <f>SUM(AD1492:AD1495)</f>
        <v>247455999.40000001</v>
      </c>
      <c r="AG1492" s="1043">
        <f>AF1492</f>
        <v>247455999.40000001</v>
      </c>
      <c r="AH1492" s="111">
        <f t="shared" si="124"/>
        <v>0</v>
      </c>
      <c r="AI1492" s="1043">
        <f>O1492-SUM(AD1492:AD1495)</f>
        <v>170933780.59999999</v>
      </c>
      <c r="AJ1492" s="1062">
        <f>SUM(Z1492:Z1495)-SUM(AD1492:AD1495)</f>
        <v>-18949333.400000006</v>
      </c>
      <c r="AK1492" s="1062">
        <f>P1492-V1492</f>
        <v>389780</v>
      </c>
      <c r="AL1492" s="1062">
        <f>V1492-SUM(Z1492:Z1495)</f>
        <v>189493334</v>
      </c>
      <c r="AM1492" s="1062"/>
      <c r="AN1492" s="1108" t="s">
        <v>1696</v>
      </c>
      <c r="AO1492" s="1103" t="s">
        <v>1936</v>
      </c>
    </row>
    <row r="1493" spans="1:43" ht="15" customHeight="1">
      <c r="A1493" s="1031"/>
      <c r="B1493" s="1069"/>
      <c r="C1493" s="1033"/>
      <c r="D1493" s="1033"/>
      <c r="E1493" s="1072"/>
      <c r="F1493" s="1072"/>
      <c r="G1493" s="1033"/>
      <c r="H1493" s="1033"/>
      <c r="I1493" s="1033"/>
      <c r="J1493" s="1033"/>
      <c r="K1493" s="1033"/>
      <c r="L1493" s="1033"/>
      <c r="M1493" s="1146"/>
      <c r="N1493" s="1066"/>
      <c r="O1493" s="1063"/>
      <c r="P1493" s="1063"/>
      <c r="Q1493" s="1063"/>
      <c r="R1493" s="1069"/>
      <c r="S1493" s="1093"/>
      <c r="T1493" s="1093"/>
      <c r="U1493" s="1093"/>
      <c r="V1493" s="1093"/>
      <c r="W1493" s="1093"/>
      <c r="X1493" s="1033"/>
      <c r="Y1493" s="108" t="s">
        <v>1938</v>
      </c>
      <c r="Z1493" s="109">
        <v>83600000</v>
      </c>
      <c r="AA1493" s="109">
        <v>-8360000</v>
      </c>
      <c r="AB1493" s="109">
        <f t="shared" si="123"/>
        <v>75240000</v>
      </c>
      <c r="AC1493" s="97">
        <v>42650</v>
      </c>
      <c r="AD1493" s="119">
        <v>75240000</v>
      </c>
      <c r="AE1493" s="98" t="s">
        <v>168</v>
      </c>
      <c r="AF1493" s="1044"/>
      <c r="AG1493" s="1044"/>
      <c r="AH1493" s="111">
        <f t="shared" si="124"/>
        <v>0</v>
      </c>
      <c r="AI1493" s="1044"/>
      <c r="AJ1493" s="1063"/>
      <c r="AK1493" s="1063"/>
      <c r="AL1493" s="1063"/>
      <c r="AM1493" s="1063"/>
      <c r="AN1493" s="1109"/>
      <c r="AO1493" s="1104"/>
    </row>
    <row r="1494" spans="1:43" ht="15" customHeight="1">
      <c r="A1494" s="1031"/>
      <c r="B1494" s="1069"/>
      <c r="C1494" s="1033"/>
      <c r="D1494" s="1033"/>
      <c r="E1494" s="1072"/>
      <c r="F1494" s="1072"/>
      <c r="G1494" s="1033"/>
      <c r="H1494" s="1033"/>
      <c r="I1494" s="1033"/>
      <c r="J1494" s="1033"/>
      <c r="K1494" s="1033"/>
      <c r="L1494" s="1033"/>
      <c r="M1494" s="1146"/>
      <c r="N1494" s="1066"/>
      <c r="O1494" s="1063"/>
      <c r="P1494" s="1063"/>
      <c r="Q1494" s="1063"/>
      <c r="R1494" s="1069"/>
      <c r="S1494" s="1093"/>
      <c r="T1494" s="1093"/>
      <c r="U1494" s="1093"/>
      <c r="V1494" s="1093"/>
      <c r="W1494" s="1093"/>
      <c r="X1494" s="1033"/>
      <c r="Y1494" s="108" t="s">
        <v>1939</v>
      </c>
      <c r="Z1494" s="109">
        <v>144906666</v>
      </c>
      <c r="AA1494" s="109">
        <v>-14490666.6</v>
      </c>
      <c r="AB1494" s="109">
        <f t="shared" si="123"/>
        <v>130415999.40000001</v>
      </c>
      <c r="AC1494" s="97">
        <v>42732</v>
      </c>
      <c r="AD1494" s="119">
        <v>130415999.40000001</v>
      </c>
      <c r="AE1494" s="98" t="s">
        <v>168</v>
      </c>
      <c r="AF1494" s="1044"/>
      <c r="AG1494" s="1044"/>
      <c r="AH1494" s="111">
        <f t="shared" si="124"/>
        <v>0</v>
      </c>
      <c r="AI1494" s="1044"/>
      <c r="AJ1494" s="1063"/>
      <c r="AK1494" s="1063"/>
      <c r="AL1494" s="1063"/>
      <c r="AM1494" s="1063"/>
      <c r="AN1494" s="1109"/>
      <c r="AO1494" s="1104"/>
    </row>
    <row r="1495" spans="1:43" ht="15" customHeight="1">
      <c r="A1495" s="1032"/>
      <c r="B1495" s="1070"/>
      <c r="C1495" s="1012"/>
      <c r="D1495" s="1012"/>
      <c r="E1495" s="1073"/>
      <c r="F1495" s="1073"/>
      <c r="G1495" s="1012"/>
      <c r="H1495" s="1012"/>
      <c r="I1495" s="1012"/>
      <c r="J1495" s="1012"/>
      <c r="K1495" s="1012"/>
      <c r="L1495" s="1012"/>
      <c r="M1495" s="1147"/>
      <c r="N1495" s="1067"/>
      <c r="O1495" s="1064"/>
      <c r="P1495" s="1064"/>
      <c r="Q1495" s="1064"/>
      <c r="R1495" s="1070"/>
      <c r="S1495" s="1094"/>
      <c r="T1495" s="1094"/>
      <c r="U1495" s="1094"/>
      <c r="V1495" s="1094"/>
      <c r="W1495" s="1094"/>
      <c r="X1495" s="1012"/>
      <c r="Y1495" s="108"/>
      <c r="Z1495" s="109"/>
      <c r="AA1495" s="109"/>
      <c r="AB1495" s="109">
        <f t="shared" si="123"/>
        <v>0</v>
      </c>
      <c r="AC1495" s="97"/>
      <c r="AD1495" s="119"/>
      <c r="AE1495" s="98"/>
      <c r="AF1495" s="1045"/>
      <c r="AG1495" s="1045"/>
      <c r="AH1495" s="111">
        <f t="shared" si="124"/>
        <v>0</v>
      </c>
      <c r="AI1495" s="1045"/>
      <c r="AJ1495" s="1064"/>
      <c r="AK1495" s="1064"/>
      <c r="AL1495" s="1064"/>
      <c r="AM1495" s="1064"/>
      <c r="AN1495" s="1110"/>
      <c r="AO1495" s="1105"/>
    </row>
    <row r="1496" spans="1:43" s="4" customFormat="1" ht="15" customHeight="1">
      <c r="A1496" s="1030" t="s">
        <v>2046</v>
      </c>
      <c r="B1496" s="1068">
        <v>42272</v>
      </c>
      <c r="C1496" s="1011" t="s">
        <v>20</v>
      </c>
      <c r="D1496" s="1011" t="s">
        <v>2045</v>
      </c>
      <c r="E1496" s="1011">
        <v>900888349</v>
      </c>
      <c r="F1496" s="1011">
        <v>0</v>
      </c>
      <c r="G1496" s="1011" t="s">
        <v>2044</v>
      </c>
      <c r="H1496" s="1011" t="s">
        <v>71</v>
      </c>
      <c r="I1496" s="1011" t="s">
        <v>70</v>
      </c>
      <c r="J1496" s="1011" t="s">
        <v>66</v>
      </c>
      <c r="K1496" s="1011"/>
      <c r="L1496" s="1011"/>
      <c r="M1496" s="1145">
        <v>325</v>
      </c>
      <c r="N1496" s="1100" t="s">
        <v>7</v>
      </c>
      <c r="O1496" s="1062">
        <v>32116311</v>
      </c>
      <c r="P1496" s="1062">
        <v>32116311</v>
      </c>
      <c r="Q1496" s="1062">
        <f>P1496+P1498</f>
        <v>187629652</v>
      </c>
      <c r="R1496" s="1068">
        <v>42153</v>
      </c>
      <c r="S1496" s="1089">
        <f>T1496</f>
        <v>32116311</v>
      </c>
      <c r="T1496" s="1089">
        <v>32116311</v>
      </c>
      <c r="U1496" s="1089">
        <f>P1496-T1496</f>
        <v>0</v>
      </c>
      <c r="V1496" s="1062">
        <v>32108924.700000003</v>
      </c>
      <c r="W1496" s="1181">
        <v>187586500</v>
      </c>
      <c r="X1496" s="1011" t="s">
        <v>2067</v>
      </c>
      <c r="Y1496" s="108"/>
      <c r="Z1496" s="109">
        <v>0</v>
      </c>
      <c r="AA1496" s="109">
        <v>3210892.47</v>
      </c>
      <c r="AB1496" s="109">
        <f t="shared" si="123"/>
        <v>3210892.47</v>
      </c>
      <c r="AC1496" s="97">
        <v>42366</v>
      </c>
      <c r="AD1496" s="119">
        <v>3210892.47</v>
      </c>
      <c r="AE1496" s="117" t="s">
        <v>7</v>
      </c>
      <c r="AF1496" s="1062">
        <f>SUM(AD1496:AD1497)</f>
        <v>15944852.5</v>
      </c>
      <c r="AG1496" s="1043">
        <f>AF1496+AF1498</f>
        <v>93793250</v>
      </c>
      <c r="AH1496" s="109">
        <f t="shared" si="124"/>
        <v>0</v>
      </c>
      <c r="AI1496" s="1062">
        <f>P1496-AF1496</f>
        <v>16171458.5</v>
      </c>
      <c r="AJ1496" s="1062">
        <f>SUM(Z1496:Z1499)-SUM(AD1496:AD1499)</f>
        <v>-10421472.222222224</v>
      </c>
      <c r="AK1496" s="1062">
        <f>P1496-V1496</f>
        <v>7386.2999999970198</v>
      </c>
      <c r="AL1496" s="1062">
        <f>V1496-Z1496-Z1497</f>
        <v>17960080.222222224</v>
      </c>
      <c r="AM1496" s="1062"/>
      <c r="AN1496" s="1108" t="s">
        <v>2043</v>
      </c>
      <c r="AO1496" s="1103" t="s">
        <v>2068</v>
      </c>
      <c r="AQ1496" s="934"/>
    </row>
    <row r="1497" spans="1:43" s="4" customFormat="1" ht="15" customHeight="1">
      <c r="A1497" s="1031"/>
      <c r="B1497" s="1069"/>
      <c r="C1497" s="1033"/>
      <c r="D1497" s="1033"/>
      <c r="E1497" s="1033"/>
      <c r="F1497" s="1033"/>
      <c r="G1497" s="1033"/>
      <c r="H1497" s="1033"/>
      <c r="I1497" s="1033"/>
      <c r="J1497" s="1033"/>
      <c r="K1497" s="1033"/>
      <c r="L1497" s="1033"/>
      <c r="M1497" s="1147"/>
      <c r="N1497" s="1102"/>
      <c r="O1497" s="1064"/>
      <c r="P1497" s="1064"/>
      <c r="Q1497" s="1063"/>
      <c r="R1497" s="1070"/>
      <c r="S1497" s="1091"/>
      <c r="T1497" s="1091"/>
      <c r="U1497" s="1091"/>
      <c r="V1497" s="1064"/>
      <c r="W1497" s="1182"/>
      <c r="X1497" s="1033"/>
      <c r="Y1497" s="108"/>
      <c r="Z1497" s="109">
        <v>14148844.477777777</v>
      </c>
      <c r="AA1497" s="109">
        <v>-1414884.44777778</v>
      </c>
      <c r="AB1497" s="109">
        <f t="shared" si="123"/>
        <v>12733960.029999997</v>
      </c>
      <c r="AC1497" s="97">
        <v>42881</v>
      </c>
      <c r="AD1497" s="119">
        <v>12733960.029999999</v>
      </c>
      <c r="AE1497" s="117" t="s">
        <v>7</v>
      </c>
      <c r="AF1497" s="1064"/>
      <c r="AG1497" s="1044"/>
      <c r="AH1497" s="109">
        <f t="shared" si="124"/>
        <v>0</v>
      </c>
      <c r="AI1497" s="1064"/>
      <c r="AJ1497" s="1063"/>
      <c r="AK1497" s="1064"/>
      <c r="AL1497" s="1064"/>
      <c r="AM1497" s="1064"/>
      <c r="AN1497" s="1109"/>
      <c r="AO1497" s="1104"/>
      <c r="AQ1497" s="934"/>
    </row>
    <row r="1498" spans="1:43" s="4" customFormat="1" ht="15" customHeight="1">
      <c r="A1498" s="1031"/>
      <c r="B1498" s="1069"/>
      <c r="C1498" s="1033"/>
      <c r="D1498" s="1033"/>
      <c r="E1498" s="1033"/>
      <c r="F1498" s="1033"/>
      <c r="G1498" s="1033"/>
      <c r="H1498" s="1033"/>
      <c r="I1498" s="1033"/>
      <c r="J1498" s="1033"/>
      <c r="K1498" s="1033"/>
      <c r="L1498" s="1033"/>
      <c r="M1498" s="1145">
        <v>8</v>
      </c>
      <c r="N1498" s="1100" t="s">
        <v>143</v>
      </c>
      <c r="O1498" s="1062">
        <v>155513341</v>
      </c>
      <c r="P1498" s="1062">
        <v>155513341</v>
      </c>
      <c r="Q1498" s="1063"/>
      <c r="R1498" s="1068">
        <v>42153</v>
      </c>
      <c r="S1498" s="1089">
        <f>T1498</f>
        <v>155513341</v>
      </c>
      <c r="T1498" s="1089">
        <v>155513341</v>
      </c>
      <c r="U1498" s="1089">
        <f>P1498-T1498</f>
        <v>0</v>
      </c>
      <c r="V1498" s="1062">
        <v>155477575.29999998</v>
      </c>
      <c r="W1498" s="1182"/>
      <c r="X1498" s="1033"/>
      <c r="Y1498" s="108"/>
      <c r="Z1498" s="109">
        <v>0</v>
      </c>
      <c r="AA1498" s="109">
        <v>15547757.529999999</v>
      </c>
      <c r="AB1498" s="109">
        <f t="shared" si="123"/>
        <v>15547757.529999999</v>
      </c>
      <c r="AC1498" s="97">
        <v>42366</v>
      </c>
      <c r="AD1498" s="119">
        <v>15547757.529999999</v>
      </c>
      <c r="AE1498" s="117" t="s">
        <v>143</v>
      </c>
      <c r="AF1498" s="1062">
        <f>SUM(AD1498:AD1499)</f>
        <v>77848397.5</v>
      </c>
      <c r="AG1498" s="1044"/>
      <c r="AH1498" s="109">
        <f t="shared" si="124"/>
        <v>0</v>
      </c>
      <c r="AI1498" s="1062">
        <f>P1498-AF1498</f>
        <v>77664943.5</v>
      </c>
      <c r="AJ1498" s="1063"/>
      <c r="AK1498" s="1062">
        <f>P1498-V1498</f>
        <v>35765.700000017881</v>
      </c>
      <c r="AL1498" s="1062">
        <f>V1498-Z1498-Z1499</f>
        <v>86254641.999999985</v>
      </c>
      <c r="AM1498" s="1062"/>
      <c r="AN1498" s="1109"/>
      <c r="AO1498" s="1104"/>
      <c r="AQ1498" s="934"/>
    </row>
    <row r="1499" spans="1:43" s="4" customFormat="1" ht="15" customHeight="1">
      <c r="A1499" s="1032"/>
      <c r="B1499" s="1070"/>
      <c r="C1499" s="1012"/>
      <c r="D1499" s="1012"/>
      <c r="E1499" s="1012"/>
      <c r="F1499" s="1012"/>
      <c r="G1499" s="1012"/>
      <c r="H1499" s="1012"/>
      <c r="I1499" s="1012"/>
      <c r="J1499" s="1012"/>
      <c r="K1499" s="1012"/>
      <c r="L1499" s="1012"/>
      <c r="M1499" s="1147"/>
      <c r="N1499" s="1102"/>
      <c r="O1499" s="1064"/>
      <c r="P1499" s="1064"/>
      <c r="Q1499" s="1064"/>
      <c r="R1499" s="1070"/>
      <c r="S1499" s="1091"/>
      <c r="T1499" s="1091"/>
      <c r="U1499" s="1091"/>
      <c r="V1499" s="1064"/>
      <c r="W1499" s="1183"/>
      <c r="X1499" s="1012"/>
      <c r="Y1499" s="108"/>
      <c r="Z1499" s="109">
        <v>69222933.299999997</v>
      </c>
      <c r="AA1499" s="109">
        <v>-6922293.3300000001</v>
      </c>
      <c r="AB1499" s="109">
        <f t="shared" si="123"/>
        <v>62300639.969999999</v>
      </c>
      <c r="AC1499" s="97">
        <v>42881</v>
      </c>
      <c r="AD1499" s="119">
        <v>62300639.969999999</v>
      </c>
      <c r="AE1499" s="117" t="s">
        <v>143</v>
      </c>
      <c r="AF1499" s="1064"/>
      <c r="AG1499" s="1045"/>
      <c r="AH1499" s="109">
        <f t="shared" si="124"/>
        <v>0</v>
      </c>
      <c r="AI1499" s="1064"/>
      <c r="AJ1499" s="1064"/>
      <c r="AK1499" s="1064"/>
      <c r="AL1499" s="1064"/>
      <c r="AM1499" s="1064"/>
      <c r="AN1499" s="1110"/>
      <c r="AO1499" s="1105"/>
      <c r="AQ1499" s="934"/>
    </row>
    <row r="1500" spans="1:43" s="4" customFormat="1" ht="15" customHeight="1">
      <c r="A1500" s="1030" t="s">
        <v>2042</v>
      </c>
      <c r="B1500" s="1068">
        <v>42277</v>
      </c>
      <c r="C1500" s="1011" t="s">
        <v>44</v>
      </c>
      <c r="D1500" s="1011" t="s">
        <v>2041</v>
      </c>
      <c r="E1500" s="1011">
        <v>10291216</v>
      </c>
      <c r="F1500" s="1011"/>
      <c r="G1500" s="1011" t="s">
        <v>2874</v>
      </c>
      <c r="H1500" s="1011" t="s">
        <v>71</v>
      </c>
      <c r="I1500" s="1011" t="s">
        <v>70</v>
      </c>
      <c r="J1500" s="1011" t="s">
        <v>66</v>
      </c>
      <c r="K1500" s="1011" t="s">
        <v>49</v>
      </c>
      <c r="L1500" s="1011" t="s">
        <v>2047</v>
      </c>
      <c r="M1500" s="1164">
        <v>13</v>
      </c>
      <c r="N1500" s="1100" t="s">
        <v>141</v>
      </c>
      <c r="O1500" s="1062">
        <v>45782097</v>
      </c>
      <c r="P1500" s="1062">
        <v>45782097</v>
      </c>
      <c r="Q1500" s="1062">
        <f>P1500+P1502</f>
        <v>64058037</v>
      </c>
      <c r="R1500" s="1068">
        <v>42173</v>
      </c>
      <c r="S1500" s="1089">
        <f>T1500</f>
        <v>45782097</v>
      </c>
      <c r="T1500" s="1089">
        <v>45782097</v>
      </c>
      <c r="U1500" s="1089">
        <f>P1500-T1500</f>
        <v>0</v>
      </c>
      <c r="V1500" s="1062">
        <v>45642800</v>
      </c>
      <c r="W1500" s="1062">
        <f>SUM(V1500:V1502)</f>
        <v>63918740</v>
      </c>
      <c r="X1500" s="1011"/>
      <c r="Y1500" s="108" t="s">
        <v>2049</v>
      </c>
      <c r="Z1500" s="109">
        <v>0</v>
      </c>
      <c r="AA1500" s="109">
        <f>AD1500</f>
        <v>4564280</v>
      </c>
      <c r="AB1500" s="109">
        <f>SUM(Z1500:AA1500)</f>
        <v>4564280</v>
      </c>
      <c r="AC1500" s="97">
        <v>42327</v>
      </c>
      <c r="AD1500" s="119">
        <v>4564280</v>
      </c>
      <c r="AE1500" s="1100" t="s">
        <v>141</v>
      </c>
      <c r="AF1500" s="1043">
        <f>SUM(AD1500:AD1501)</f>
        <v>11609047.41</v>
      </c>
      <c r="AG1500" s="1043">
        <f>SUM(AD1500:AD1502)</f>
        <v>11609047.41</v>
      </c>
      <c r="AH1500" s="111">
        <f t="shared" si="124"/>
        <v>0</v>
      </c>
      <c r="AI1500" s="1043">
        <f>P1500-AF1500</f>
        <v>34173049.590000004</v>
      </c>
      <c r="AJ1500" s="1043">
        <f>SUM(Z1500:Z1502)-SUM(AD1500:AD1502)</f>
        <v>-3781528.0600000005</v>
      </c>
      <c r="AK1500" s="1043">
        <f>P1500-V1500</f>
        <v>139297</v>
      </c>
      <c r="AL1500" s="1043">
        <f>V1500-Z1500-Z1501+AJ1500</f>
        <v>34033752.589999996</v>
      </c>
      <c r="AM1500" s="1062"/>
      <c r="AN1500" s="1108"/>
      <c r="AO1500" s="1103" t="s">
        <v>2048</v>
      </c>
      <c r="AQ1500" s="934"/>
    </row>
    <row r="1501" spans="1:43" s="4" customFormat="1" ht="15" customHeight="1">
      <c r="A1501" s="1031"/>
      <c r="B1501" s="1069"/>
      <c r="C1501" s="1033"/>
      <c r="D1501" s="1033"/>
      <c r="E1501" s="1033"/>
      <c r="F1501" s="1033"/>
      <c r="G1501" s="1033"/>
      <c r="H1501" s="1033"/>
      <c r="I1501" s="1033"/>
      <c r="J1501" s="1033"/>
      <c r="K1501" s="1033"/>
      <c r="L1501" s="1033"/>
      <c r="M1501" s="1166"/>
      <c r="N1501" s="1102"/>
      <c r="O1501" s="1064"/>
      <c r="P1501" s="1064"/>
      <c r="Q1501" s="1063"/>
      <c r="R1501" s="1070"/>
      <c r="S1501" s="1091"/>
      <c r="T1501" s="1091"/>
      <c r="U1501" s="1091"/>
      <c r="V1501" s="1064"/>
      <c r="W1501" s="1063"/>
      <c r="X1501" s="1033"/>
      <c r="Y1501" s="108" t="s">
        <v>2050</v>
      </c>
      <c r="Z1501" s="109">
        <v>7827519.3499999996</v>
      </c>
      <c r="AA1501" s="109">
        <v>-782751.94</v>
      </c>
      <c r="AB1501" s="109">
        <f>SUM(Z1501:AA1501)</f>
        <v>7044767.4100000001</v>
      </c>
      <c r="AC1501" s="97">
        <v>42991</v>
      </c>
      <c r="AD1501" s="119">
        <v>7044767.4100000001</v>
      </c>
      <c r="AE1501" s="1102"/>
      <c r="AF1501" s="1045"/>
      <c r="AG1501" s="1044"/>
      <c r="AH1501" s="111">
        <f t="shared" si="124"/>
        <v>0</v>
      </c>
      <c r="AI1501" s="1045"/>
      <c r="AJ1501" s="1044"/>
      <c r="AK1501" s="1045"/>
      <c r="AL1501" s="1045"/>
      <c r="AM1501" s="1064"/>
      <c r="AN1501" s="1109"/>
      <c r="AO1501" s="1104"/>
      <c r="AQ1501" s="934"/>
    </row>
    <row r="1502" spans="1:43" s="4" customFormat="1" ht="15" customHeight="1">
      <c r="A1502" s="1032"/>
      <c r="B1502" s="1070"/>
      <c r="C1502" s="1012"/>
      <c r="D1502" s="1012"/>
      <c r="E1502" s="1012"/>
      <c r="F1502" s="1012"/>
      <c r="G1502" s="1012"/>
      <c r="H1502" s="1012"/>
      <c r="I1502" s="1012"/>
      <c r="J1502" s="86" t="s">
        <v>67</v>
      </c>
      <c r="K1502" s="1012"/>
      <c r="L1502" s="1012"/>
      <c r="M1502" s="106">
        <v>2296</v>
      </c>
      <c r="N1502" s="100" t="s">
        <v>141</v>
      </c>
      <c r="O1502" s="109">
        <v>18275940</v>
      </c>
      <c r="P1502" s="109">
        <v>18275940</v>
      </c>
      <c r="Q1502" s="1064"/>
      <c r="R1502" s="97">
        <v>42779</v>
      </c>
      <c r="S1502" s="151">
        <f>T1502</f>
        <v>18275940</v>
      </c>
      <c r="T1502" s="109">
        <v>18275940</v>
      </c>
      <c r="U1502" s="109">
        <f>P1502-T1502</f>
        <v>0</v>
      </c>
      <c r="V1502" s="109">
        <f>O1502</f>
        <v>18275940</v>
      </c>
      <c r="W1502" s="1064"/>
      <c r="X1502" s="1012"/>
      <c r="Y1502" s="108"/>
      <c r="Z1502" s="109"/>
      <c r="AA1502" s="109"/>
      <c r="AB1502" s="109"/>
      <c r="AC1502" s="97"/>
      <c r="AD1502" s="119">
        <v>0</v>
      </c>
      <c r="AE1502" s="100" t="s">
        <v>141</v>
      </c>
      <c r="AF1502" s="111">
        <f>SUM(AD1502)</f>
        <v>0</v>
      </c>
      <c r="AG1502" s="1044"/>
      <c r="AH1502" s="111">
        <f t="shared" si="124"/>
        <v>0</v>
      </c>
      <c r="AI1502" s="111">
        <f>P1502-AD1502</f>
        <v>18275940</v>
      </c>
      <c r="AJ1502" s="1044"/>
      <c r="AK1502" s="88">
        <f>P1502-V1502</f>
        <v>0</v>
      </c>
      <c r="AL1502" s="111">
        <f>V1502-Z1502</f>
        <v>18275940</v>
      </c>
      <c r="AM1502" s="109"/>
      <c r="AN1502" s="1110"/>
      <c r="AO1502" s="1104"/>
      <c r="AQ1502" s="934"/>
    </row>
    <row r="1503" spans="1:43" s="4" customFormat="1" ht="15" customHeight="1">
      <c r="A1503" s="1015" t="s">
        <v>2039</v>
      </c>
      <c r="B1503" s="1068">
        <v>42292</v>
      </c>
      <c r="C1503" s="1100" t="s">
        <v>42</v>
      </c>
      <c r="D1503" s="1100" t="s">
        <v>2038</v>
      </c>
      <c r="E1503" s="1071">
        <v>900895887</v>
      </c>
      <c r="F1503" s="1071">
        <v>0</v>
      </c>
      <c r="G1503" s="1100" t="s">
        <v>2037</v>
      </c>
      <c r="H1503" s="1100" t="s">
        <v>71</v>
      </c>
      <c r="I1503" s="1100" t="s">
        <v>2036</v>
      </c>
      <c r="J1503" s="1100" t="s">
        <v>66</v>
      </c>
      <c r="K1503" s="1023" t="s">
        <v>49</v>
      </c>
      <c r="L1503" s="1100" t="s">
        <v>2060</v>
      </c>
      <c r="M1503" s="1145">
        <v>5</v>
      </c>
      <c r="N1503" s="1124" t="s">
        <v>168</v>
      </c>
      <c r="O1503" s="1062">
        <v>657834859</v>
      </c>
      <c r="P1503" s="1062">
        <f>O1503</f>
        <v>657834859</v>
      </c>
      <c r="Q1503" s="1062">
        <f>P1503+P1506</f>
        <v>5558789684</v>
      </c>
      <c r="R1503" s="1132">
        <v>42130</v>
      </c>
      <c r="S1503" s="1089">
        <f>T1503</f>
        <v>657834859</v>
      </c>
      <c r="T1503" s="1089">
        <v>657834859</v>
      </c>
      <c r="U1503" s="1089">
        <f>O1503-T1503</f>
        <v>0</v>
      </c>
      <c r="V1503" s="1062">
        <v>657360067.34000003</v>
      </c>
      <c r="W1503" s="1062">
        <v>5554777633</v>
      </c>
      <c r="X1503" s="1011" t="s">
        <v>2035</v>
      </c>
      <c r="Y1503" s="108" t="s">
        <v>2061</v>
      </c>
      <c r="Z1503" s="109">
        <v>0</v>
      </c>
      <c r="AA1503" s="109">
        <v>262944026.91</v>
      </c>
      <c r="AB1503" s="109">
        <f t="shared" ref="AB1503:AB1511" si="125">AA1503+Z1503</f>
        <v>262944026.91</v>
      </c>
      <c r="AC1503" s="97">
        <v>42367</v>
      </c>
      <c r="AD1503" s="119">
        <v>262944026.91</v>
      </c>
      <c r="AE1503" s="96" t="s">
        <v>168</v>
      </c>
      <c r="AF1503" s="1043">
        <f>SUM(AD1503:AD1505)</f>
        <v>551958868.14999998</v>
      </c>
      <c r="AG1503" s="1043">
        <f>SUM(AF1503:AF1511)</f>
        <v>4045351111.0699997</v>
      </c>
      <c r="AH1503" s="111">
        <f t="shared" si="124"/>
        <v>0</v>
      </c>
      <c r="AI1503" s="1043">
        <f>P1503-SUM(AD1503:AD1505)</f>
        <v>105875990.85000002</v>
      </c>
      <c r="AJ1503" s="1043">
        <f>SUM(Z1503:Z1505)-SUM(AD1503:AD1505)</f>
        <v>39311928.99000001</v>
      </c>
      <c r="AK1503" s="1043">
        <f>P1503-V1503</f>
        <v>474791.65999996662</v>
      </c>
      <c r="AL1503" s="1043">
        <f>V1503-SUM(Z1503:Z1505)+AJ1503</f>
        <v>105401199.19000006</v>
      </c>
      <c r="AM1503" s="1043"/>
      <c r="AN1503" s="1023" t="s">
        <v>2065</v>
      </c>
      <c r="AO1503" s="1023" t="s">
        <v>2064</v>
      </c>
      <c r="AQ1503" s="934"/>
    </row>
    <row r="1504" spans="1:43" s="4" customFormat="1" ht="15" customHeight="1">
      <c r="A1504" s="1050"/>
      <c r="B1504" s="1069"/>
      <c r="C1504" s="1101"/>
      <c r="D1504" s="1101"/>
      <c r="E1504" s="1072"/>
      <c r="F1504" s="1072"/>
      <c r="G1504" s="1101"/>
      <c r="H1504" s="1101"/>
      <c r="I1504" s="1101"/>
      <c r="J1504" s="1101"/>
      <c r="K1504" s="1124"/>
      <c r="L1504" s="1101"/>
      <c r="M1504" s="1146"/>
      <c r="N1504" s="1124"/>
      <c r="O1504" s="1063"/>
      <c r="P1504" s="1063"/>
      <c r="Q1504" s="1063"/>
      <c r="R1504" s="1063"/>
      <c r="S1504" s="1090"/>
      <c r="T1504" s="1090"/>
      <c r="U1504" s="1090"/>
      <c r="V1504" s="1063"/>
      <c r="W1504" s="1063"/>
      <c r="X1504" s="1033"/>
      <c r="Y1504" s="108" t="s">
        <v>2062</v>
      </c>
      <c r="Z1504" s="109">
        <v>98735776.140000001</v>
      </c>
      <c r="AA1504" s="109">
        <v>-39570611.899999999</v>
      </c>
      <c r="AB1504" s="109">
        <f t="shared" si="125"/>
        <v>59165164.240000002</v>
      </c>
      <c r="AC1504" s="97">
        <v>42634</v>
      </c>
      <c r="AD1504" s="119">
        <v>59165164.240000002</v>
      </c>
      <c r="AE1504" s="96" t="s">
        <v>168</v>
      </c>
      <c r="AF1504" s="1044"/>
      <c r="AG1504" s="1044"/>
      <c r="AH1504" s="111">
        <f t="shared" si="124"/>
        <v>0</v>
      </c>
      <c r="AI1504" s="1044"/>
      <c r="AJ1504" s="1044"/>
      <c r="AK1504" s="1044"/>
      <c r="AL1504" s="1044"/>
      <c r="AM1504" s="1044"/>
      <c r="AN1504" s="1124"/>
      <c r="AO1504" s="1124"/>
      <c r="AQ1504" s="934"/>
    </row>
    <row r="1505" spans="1:43" s="4" customFormat="1" ht="15" customHeight="1">
      <c r="A1505" s="1050"/>
      <c r="B1505" s="1069"/>
      <c r="C1505" s="1101"/>
      <c r="D1505" s="1101"/>
      <c r="E1505" s="1072"/>
      <c r="F1505" s="1072"/>
      <c r="G1505" s="1101"/>
      <c r="H1505" s="1101"/>
      <c r="I1505" s="1101"/>
      <c r="J1505" s="1101"/>
      <c r="K1505" s="1124"/>
      <c r="L1505" s="1101"/>
      <c r="M1505" s="1146"/>
      <c r="N1505" s="1124"/>
      <c r="O1505" s="1064"/>
      <c r="P1505" s="1064"/>
      <c r="Q1505" s="1063"/>
      <c r="R1505" s="1064"/>
      <c r="S1505" s="1091"/>
      <c r="T1505" s="1091"/>
      <c r="U1505" s="1091"/>
      <c r="V1505" s="1064"/>
      <c r="W1505" s="1063"/>
      <c r="X1505" s="1033"/>
      <c r="Y1505" s="108" t="s">
        <v>2063</v>
      </c>
      <c r="Z1505" s="109">
        <v>492535021</v>
      </c>
      <c r="AA1505" s="109">
        <v>-262685344</v>
      </c>
      <c r="AB1505" s="109">
        <f t="shared" si="125"/>
        <v>229849677</v>
      </c>
      <c r="AC1505" s="97">
        <v>42691</v>
      </c>
      <c r="AD1505" s="119">
        <v>229849677</v>
      </c>
      <c r="AE1505" s="96" t="s">
        <v>168</v>
      </c>
      <c r="AF1505" s="1045"/>
      <c r="AG1505" s="1044"/>
      <c r="AH1505" s="111">
        <f t="shared" si="124"/>
        <v>0</v>
      </c>
      <c r="AI1505" s="1045"/>
      <c r="AJ1505" s="1045"/>
      <c r="AK1505" s="1045"/>
      <c r="AL1505" s="1045"/>
      <c r="AM1505" s="1045"/>
      <c r="AN1505" s="1124"/>
      <c r="AO1505" s="1124"/>
      <c r="AQ1505" s="934"/>
    </row>
    <row r="1506" spans="1:43" s="4" customFormat="1" ht="15" customHeight="1">
      <c r="A1506" s="1050"/>
      <c r="B1506" s="1069"/>
      <c r="C1506" s="1101"/>
      <c r="D1506" s="1101"/>
      <c r="E1506" s="1072"/>
      <c r="F1506" s="1072"/>
      <c r="G1506" s="1101"/>
      <c r="H1506" s="1101"/>
      <c r="I1506" s="1101"/>
      <c r="J1506" s="1101"/>
      <c r="K1506" s="1124"/>
      <c r="L1506" s="1101"/>
      <c r="M1506" s="1145">
        <v>316</v>
      </c>
      <c r="N1506" s="1149" t="s">
        <v>7</v>
      </c>
      <c r="O1506" s="1062">
        <v>1971055973</v>
      </c>
      <c r="P1506" s="1062">
        <f>O1506+O1509</f>
        <v>4900954825</v>
      </c>
      <c r="Q1506" s="1063"/>
      <c r="R1506" s="1068">
        <v>42130</v>
      </c>
      <c r="S1506" s="1089">
        <f>T1506+T1509</f>
        <v>4900954825</v>
      </c>
      <c r="T1506" s="1062">
        <v>1971055973</v>
      </c>
      <c r="U1506" s="1062">
        <f>O1506-T1506</f>
        <v>0</v>
      </c>
      <c r="V1506" s="1062">
        <v>1969633365.29</v>
      </c>
      <c r="W1506" s="1063"/>
      <c r="X1506" s="1033"/>
      <c r="Y1506" s="1065" t="s">
        <v>2061</v>
      </c>
      <c r="Z1506" s="109">
        <v>0</v>
      </c>
      <c r="AA1506" s="109">
        <v>787853346.03999996</v>
      </c>
      <c r="AB1506" s="109">
        <f t="shared" si="125"/>
        <v>787853346.03999996</v>
      </c>
      <c r="AC1506" s="97">
        <v>42367</v>
      </c>
      <c r="AD1506" s="119">
        <v>787853346.03999996</v>
      </c>
      <c r="AE1506" s="96" t="s">
        <v>7</v>
      </c>
      <c r="AF1506" s="1043">
        <f>SUM(AD1506:AD1511)</f>
        <v>3493392242.9199996</v>
      </c>
      <c r="AG1506" s="1044"/>
      <c r="AH1506" s="111">
        <f t="shared" si="124"/>
        <v>0</v>
      </c>
      <c r="AI1506" s="1043">
        <f>O1506-AD1506-AD1509-AD1510</f>
        <v>605265169.86000001</v>
      </c>
      <c r="AJ1506" s="1043">
        <f>SUM(Z1506:Z1511)-SUM(AD1506:AD1511)</f>
        <v>-1045596277.0599999</v>
      </c>
      <c r="AK1506" s="1043">
        <f>O1506-V1506</f>
        <v>1422607.7100000381</v>
      </c>
      <c r="AL1506" s="1043">
        <f>(V1506+V1509)-SUM(Z1506:Z1511)+AJ1506</f>
        <v>1404025322.7400002</v>
      </c>
      <c r="AM1506" s="1062"/>
      <c r="AN1506" s="1124"/>
      <c r="AO1506" s="1124"/>
      <c r="AQ1506" s="934"/>
    </row>
    <row r="1507" spans="1:43" s="4" customFormat="1" ht="15" customHeight="1">
      <c r="A1507" s="1050"/>
      <c r="B1507" s="1069"/>
      <c r="C1507" s="1101"/>
      <c r="D1507" s="1101"/>
      <c r="E1507" s="1072"/>
      <c r="F1507" s="1072"/>
      <c r="G1507" s="1101"/>
      <c r="H1507" s="1101"/>
      <c r="I1507" s="1101"/>
      <c r="J1507" s="1101"/>
      <c r="K1507" s="1124"/>
      <c r="L1507" s="1101"/>
      <c r="M1507" s="1146"/>
      <c r="N1507" s="1149"/>
      <c r="O1507" s="1063"/>
      <c r="P1507" s="1063"/>
      <c r="Q1507" s="1063"/>
      <c r="R1507" s="1069"/>
      <c r="S1507" s="1090"/>
      <c r="T1507" s="1063"/>
      <c r="U1507" s="1063"/>
      <c r="V1507" s="1063"/>
      <c r="W1507" s="1063"/>
      <c r="X1507" s="1033"/>
      <c r="Y1507" s="1067"/>
      <c r="Z1507" s="109">
        <v>0</v>
      </c>
      <c r="AA1507" s="109">
        <v>1171113680.05</v>
      </c>
      <c r="AB1507" s="109">
        <f t="shared" si="125"/>
        <v>1171113680.05</v>
      </c>
      <c r="AC1507" s="97">
        <v>42634</v>
      </c>
      <c r="AD1507" s="119">
        <v>1171113680.05</v>
      </c>
      <c r="AE1507" s="96" t="s">
        <v>137</v>
      </c>
      <c r="AF1507" s="1044"/>
      <c r="AG1507" s="1044"/>
      <c r="AH1507" s="111">
        <f t="shared" si="124"/>
        <v>0</v>
      </c>
      <c r="AI1507" s="1044"/>
      <c r="AJ1507" s="1044"/>
      <c r="AK1507" s="1044"/>
      <c r="AL1507" s="1044"/>
      <c r="AM1507" s="1063"/>
      <c r="AN1507" s="1124"/>
      <c r="AO1507" s="1124"/>
      <c r="AQ1507" s="934"/>
    </row>
    <row r="1508" spans="1:43" s="4" customFormat="1" ht="15" customHeight="1">
      <c r="A1508" s="1050"/>
      <c r="B1508" s="1069"/>
      <c r="C1508" s="1101"/>
      <c r="D1508" s="1101"/>
      <c r="E1508" s="1072"/>
      <c r="F1508" s="1072"/>
      <c r="G1508" s="1101"/>
      <c r="H1508" s="1101"/>
      <c r="I1508" s="1101"/>
      <c r="J1508" s="1101"/>
      <c r="K1508" s="1124"/>
      <c r="L1508" s="1101"/>
      <c r="M1508" s="1146"/>
      <c r="N1508" s="1149"/>
      <c r="O1508" s="1064"/>
      <c r="P1508" s="1063"/>
      <c r="Q1508" s="1063"/>
      <c r="R1508" s="1069"/>
      <c r="S1508" s="1090"/>
      <c r="T1508" s="1064"/>
      <c r="U1508" s="1064"/>
      <c r="V1508" s="1064"/>
      <c r="W1508" s="1063"/>
      <c r="X1508" s="1033"/>
      <c r="Y1508" s="1065" t="s">
        <v>2062</v>
      </c>
      <c r="Z1508" s="109">
        <v>390080784.06</v>
      </c>
      <c r="AA1508" s="109">
        <v>-155977720.33000001</v>
      </c>
      <c r="AB1508" s="109">
        <f t="shared" si="125"/>
        <v>234103063.72999999</v>
      </c>
      <c r="AC1508" s="97">
        <v>42691</v>
      </c>
      <c r="AD1508" s="119">
        <v>234103063.72999999</v>
      </c>
      <c r="AE1508" s="96" t="s">
        <v>137</v>
      </c>
      <c r="AF1508" s="1044"/>
      <c r="AG1508" s="1044"/>
      <c r="AH1508" s="111">
        <f t="shared" si="124"/>
        <v>0</v>
      </c>
      <c r="AI1508" s="1045"/>
      <c r="AJ1508" s="1044"/>
      <c r="AK1508" s="1045"/>
      <c r="AL1508" s="1044"/>
      <c r="AM1508" s="1063"/>
      <c r="AN1508" s="1124"/>
      <c r="AO1508" s="1124"/>
      <c r="AQ1508" s="934"/>
    </row>
    <row r="1509" spans="1:43" s="4" customFormat="1" ht="15" customHeight="1">
      <c r="A1509" s="1050"/>
      <c r="B1509" s="1069"/>
      <c r="C1509" s="1101"/>
      <c r="D1509" s="1101"/>
      <c r="E1509" s="1072"/>
      <c r="F1509" s="1072"/>
      <c r="G1509" s="1101"/>
      <c r="H1509" s="1101"/>
      <c r="I1509" s="1101"/>
      <c r="J1509" s="1101"/>
      <c r="K1509" s="1124"/>
      <c r="L1509" s="1101"/>
      <c r="M1509" s="1146"/>
      <c r="N1509" s="1149" t="s">
        <v>137</v>
      </c>
      <c r="O1509" s="1062">
        <v>2929898852</v>
      </c>
      <c r="P1509" s="1063"/>
      <c r="Q1509" s="1063"/>
      <c r="R1509" s="1069"/>
      <c r="S1509" s="1090"/>
      <c r="T1509" s="1062">
        <v>2929898852</v>
      </c>
      <c r="U1509" s="1062">
        <f>O1509-T1509</f>
        <v>0</v>
      </c>
      <c r="V1509" s="1062">
        <v>2927784200.3699999</v>
      </c>
      <c r="W1509" s="1063"/>
      <c r="X1509" s="1033"/>
      <c r="Y1509" s="1067"/>
      <c r="Z1509" s="109">
        <v>580110121.79999995</v>
      </c>
      <c r="AA1509" s="109">
        <v>-232022340.77000001</v>
      </c>
      <c r="AB1509" s="109">
        <f t="shared" si="125"/>
        <v>348087781.02999997</v>
      </c>
      <c r="AC1509" s="97">
        <v>42367</v>
      </c>
      <c r="AD1509" s="119">
        <v>348087781.10000002</v>
      </c>
      <c r="AE1509" s="96" t="s">
        <v>7</v>
      </c>
      <c r="AF1509" s="1044"/>
      <c r="AG1509" s="1044"/>
      <c r="AH1509" s="111">
        <f t="shared" si="124"/>
        <v>-7.0000052452087402E-2</v>
      </c>
      <c r="AI1509" s="1043">
        <f>O1509-AD1507-AD1508-AD1511</f>
        <v>802297412.22000003</v>
      </c>
      <c r="AJ1509" s="1044"/>
      <c r="AK1509" s="1043">
        <f>O1509-V1509</f>
        <v>2114651.6300001144</v>
      </c>
      <c r="AL1509" s="1044"/>
      <c r="AM1509" s="1063"/>
      <c r="AN1509" s="1124"/>
      <c r="AO1509" s="1124"/>
      <c r="AQ1509" s="934"/>
    </row>
    <row r="1510" spans="1:43" s="4" customFormat="1" ht="15" customHeight="1">
      <c r="A1510" s="1050"/>
      <c r="B1510" s="1069"/>
      <c r="C1510" s="1101"/>
      <c r="D1510" s="1101"/>
      <c r="E1510" s="1072"/>
      <c r="F1510" s="1072"/>
      <c r="G1510" s="1101"/>
      <c r="H1510" s="1101"/>
      <c r="I1510" s="1101"/>
      <c r="J1510" s="1101"/>
      <c r="K1510" s="1124"/>
      <c r="L1510" s="1101"/>
      <c r="M1510" s="1146"/>
      <c r="N1510" s="1149"/>
      <c r="O1510" s="1063"/>
      <c r="P1510" s="1063"/>
      <c r="Q1510" s="1063"/>
      <c r="R1510" s="1069"/>
      <c r="S1510" s="1090"/>
      <c r="T1510" s="1063"/>
      <c r="U1510" s="1063"/>
      <c r="V1510" s="1063"/>
      <c r="W1510" s="1063"/>
      <c r="X1510" s="1033"/>
      <c r="Y1510" s="1065" t="s">
        <v>2063</v>
      </c>
      <c r="Z1510" s="109">
        <v>492535020</v>
      </c>
      <c r="AA1510" s="109">
        <v>-262685344</v>
      </c>
      <c r="AB1510" s="109">
        <f t="shared" si="125"/>
        <v>229849676</v>
      </c>
      <c r="AC1510" s="97">
        <v>42634</v>
      </c>
      <c r="AD1510" s="119">
        <v>229849676</v>
      </c>
      <c r="AE1510" s="96" t="s">
        <v>7</v>
      </c>
      <c r="AF1510" s="1044"/>
      <c r="AG1510" s="1044"/>
      <c r="AH1510" s="111">
        <f t="shared" si="124"/>
        <v>0</v>
      </c>
      <c r="AI1510" s="1044"/>
      <c r="AJ1510" s="1044"/>
      <c r="AK1510" s="1044"/>
      <c r="AL1510" s="1044"/>
      <c r="AM1510" s="1063"/>
      <c r="AN1510" s="1124"/>
      <c r="AO1510" s="1124"/>
      <c r="AQ1510" s="934"/>
    </row>
    <row r="1511" spans="1:43" s="4" customFormat="1" ht="15" customHeight="1">
      <c r="A1511" s="1016"/>
      <c r="B1511" s="1070"/>
      <c r="C1511" s="1102"/>
      <c r="D1511" s="1102"/>
      <c r="E1511" s="1073"/>
      <c r="F1511" s="1073"/>
      <c r="G1511" s="1102"/>
      <c r="H1511" s="1102"/>
      <c r="I1511" s="1102"/>
      <c r="J1511" s="1102"/>
      <c r="K1511" s="1024"/>
      <c r="L1511" s="1102"/>
      <c r="M1511" s="1147"/>
      <c r="N1511" s="1149"/>
      <c r="O1511" s="1064"/>
      <c r="P1511" s="1064"/>
      <c r="Q1511" s="1064"/>
      <c r="R1511" s="1070"/>
      <c r="S1511" s="1091"/>
      <c r="T1511" s="1064"/>
      <c r="U1511" s="1064"/>
      <c r="V1511" s="1064"/>
      <c r="W1511" s="1064"/>
      <c r="X1511" s="1012"/>
      <c r="Y1511" s="1067"/>
      <c r="Z1511" s="109">
        <v>985070040</v>
      </c>
      <c r="AA1511" s="109">
        <v>-262685344</v>
      </c>
      <c r="AB1511" s="109">
        <f t="shared" si="125"/>
        <v>722384696</v>
      </c>
      <c r="AC1511" s="97">
        <v>42691</v>
      </c>
      <c r="AD1511" s="119">
        <v>722384696</v>
      </c>
      <c r="AE1511" s="96" t="s">
        <v>137</v>
      </c>
      <c r="AF1511" s="1045"/>
      <c r="AG1511" s="1045"/>
      <c r="AH1511" s="111">
        <f t="shared" si="124"/>
        <v>0</v>
      </c>
      <c r="AI1511" s="1045"/>
      <c r="AJ1511" s="1045"/>
      <c r="AK1511" s="1045"/>
      <c r="AL1511" s="1045"/>
      <c r="AM1511" s="1064"/>
      <c r="AN1511" s="1024"/>
      <c r="AO1511" s="1024"/>
      <c r="AQ1511" s="934"/>
    </row>
    <row r="1512" spans="1:43" ht="15" customHeight="1">
      <c r="A1512" s="1030" t="s">
        <v>2004</v>
      </c>
      <c r="B1512" s="1068">
        <v>42294</v>
      </c>
      <c r="C1512" s="1011" t="s">
        <v>44</v>
      </c>
      <c r="D1512" s="1011" t="s">
        <v>2006</v>
      </c>
      <c r="E1512" s="1071">
        <v>10546991</v>
      </c>
      <c r="F1512" s="1071"/>
      <c r="G1512" s="1011" t="s">
        <v>2875</v>
      </c>
      <c r="H1512" s="1011" t="s">
        <v>70</v>
      </c>
      <c r="I1512" s="1011" t="s">
        <v>206</v>
      </c>
      <c r="J1512" s="1011" t="s">
        <v>66</v>
      </c>
      <c r="K1512" s="1011" t="s">
        <v>48</v>
      </c>
      <c r="L1512" s="1011" t="s">
        <v>2009</v>
      </c>
      <c r="M1512" s="1145">
        <v>12</v>
      </c>
      <c r="N1512" s="1065" t="s">
        <v>141</v>
      </c>
      <c r="O1512" s="1062">
        <v>15272725</v>
      </c>
      <c r="P1512" s="1062">
        <v>15272725</v>
      </c>
      <c r="Q1512" s="1062">
        <f>15272725+P1514</f>
        <v>21448725</v>
      </c>
      <c r="R1512" s="1068">
        <v>42173</v>
      </c>
      <c r="S1512" s="1092">
        <f>T1512</f>
        <v>15272725</v>
      </c>
      <c r="T1512" s="1092">
        <v>15272725</v>
      </c>
      <c r="U1512" s="1092">
        <f>P1512-T1512</f>
        <v>0</v>
      </c>
      <c r="V1512" s="1043">
        <v>15200000</v>
      </c>
      <c r="W1512" s="1043">
        <f>15200000+V1514</f>
        <v>21376000</v>
      </c>
      <c r="X1512" s="1011" t="s">
        <v>2007</v>
      </c>
      <c r="Y1512" s="108" t="s">
        <v>2008</v>
      </c>
      <c r="Z1512" s="109">
        <v>11856000</v>
      </c>
      <c r="AA1512" s="109">
        <v>0</v>
      </c>
      <c r="AB1512" s="109">
        <f t="shared" ref="AB1512:AB1542" si="126">Z1512+AA1512</f>
        <v>11856000</v>
      </c>
      <c r="AC1512" s="97">
        <v>42902</v>
      </c>
      <c r="AD1512" s="119">
        <v>11856000</v>
      </c>
      <c r="AE1512" s="98" t="s">
        <v>141</v>
      </c>
      <c r="AF1512" s="1043">
        <f>AD1512+AD1513</f>
        <v>11856000</v>
      </c>
      <c r="AG1512" s="1043">
        <f>AF1512+AF1514</f>
        <v>11856000</v>
      </c>
      <c r="AH1512" s="111">
        <f t="shared" si="124"/>
        <v>0</v>
      </c>
      <c r="AI1512" s="1043">
        <f>P1512-AF1512</f>
        <v>3416725</v>
      </c>
      <c r="AJ1512" s="1062">
        <f>SUM(Z1512:Z1514)-SUM(AD1512:AD1514)</f>
        <v>0</v>
      </c>
      <c r="AK1512" s="1062">
        <f>P1512-V1512</f>
        <v>72725</v>
      </c>
      <c r="AL1512" s="1062">
        <f>V1512-Z1512-Z1513</f>
        <v>3344000</v>
      </c>
      <c r="AM1512" s="1062"/>
      <c r="AN1512" s="1108"/>
      <c r="AO1512" s="1103" t="s">
        <v>2010</v>
      </c>
    </row>
    <row r="1513" spans="1:43" ht="15" customHeight="1">
      <c r="A1513" s="1031"/>
      <c r="B1513" s="1069"/>
      <c r="C1513" s="1033"/>
      <c r="D1513" s="1033"/>
      <c r="E1513" s="1072"/>
      <c r="F1513" s="1072"/>
      <c r="G1513" s="1033"/>
      <c r="H1513" s="1033"/>
      <c r="I1513" s="1033"/>
      <c r="J1513" s="1012"/>
      <c r="K1513" s="1033"/>
      <c r="L1513" s="1033"/>
      <c r="M1513" s="1147"/>
      <c r="N1513" s="1067"/>
      <c r="O1513" s="1064"/>
      <c r="P1513" s="1064"/>
      <c r="Q1513" s="1063"/>
      <c r="R1513" s="1070"/>
      <c r="S1513" s="1094"/>
      <c r="T1513" s="1094"/>
      <c r="U1513" s="1094"/>
      <c r="V1513" s="1045"/>
      <c r="W1513" s="1044"/>
      <c r="X1513" s="1033"/>
      <c r="Y1513" s="108"/>
      <c r="Z1513" s="109"/>
      <c r="AA1513" s="109"/>
      <c r="AB1513" s="109">
        <f t="shared" si="126"/>
        <v>0</v>
      </c>
      <c r="AC1513" s="97"/>
      <c r="AD1513" s="119"/>
      <c r="AE1513" s="98"/>
      <c r="AF1513" s="1045"/>
      <c r="AG1513" s="1044"/>
      <c r="AH1513" s="111">
        <f t="shared" si="124"/>
        <v>0</v>
      </c>
      <c r="AI1513" s="1045"/>
      <c r="AJ1513" s="1063"/>
      <c r="AK1513" s="1064"/>
      <c r="AL1513" s="1064"/>
      <c r="AM1513" s="1064"/>
      <c r="AN1513" s="1109"/>
      <c r="AO1513" s="1104"/>
    </row>
    <row r="1514" spans="1:43" ht="15" customHeight="1">
      <c r="A1514" s="1032"/>
      <c r="B1514" s="1070"/>
      <c r="C1514" s="1012"/>
      <c r="D1514" s="1012"/>
      <c r="E1514" s="1073"/>
      <c r="F1514" s="1073"/>
      <c r="G1514" s="1012"/>
      <c r="H1514" s="1012"/>
      <c r="I1514" s="1012"/>
      <c r="J1514" s="113" t="s">
        <v>67</v>
      </c>
      <c r="K1514" s="1012"/>
      <c r="L1514" s="1012"/>
      <c r="M1514" s="106">
        <v>15</v>
      </c>
      <c r="N1514" s="108" t="s">
        <v>141</v>
      </c>
      <c r="O1514" s="109">
        <v>6176000</v>
      </c>
      <c r="P1514" s="109">
        <v>6176000</v>
      </c>
      <c r="Q1514" s="1064"/>
      <c r="R1514" s="97">
        <v>42689</v>
      </c>
      <c r="S1514" s="110">
        <f>T1514</f>
        <v>6176000</v>
      </c>
      <c r="T1514" s="109">
        <v>6176000</v>
      </c>
      <c r="U1514" s="109">
        <f>P1514-T1514</f>
        <v>0</v>
      </c>
      <c r="V1514" s="111">
        <v>6176000</v>
      </c>
      <c r="W1514" s="1045"/>
      <c r="X1514" s="1012"/>
      <c r="Y1514" s="108"/>
      <c r="Z1514" s="109"/>
      <c r="AA1514" s="109"/>
      <c r="AB1514" s="109">
        <f t="shared" si="126"/>
        <v>0</v>
      </c>
      <c r="AC1514" s="97"/>
      <c r="AD1514" s="119">
        <v>0</v>
      </c>
      <c r="AE1514" s="924" t="s">
        <v>141</v>
      </c>
      <c r="AF1514" s="111">
        <f>AD1514</f>
        <v>0</v>
      </c>
      <c r="AG1514" s="1045"/>
      <c r="AH1514" s="111">
        <f t="shared" si="124"/>
        <v>0</v>
      </c>
      <c r="AI1514" s="111">
        <f>P1514-AD1514</f>
        <v>6176000</v>
      </c>
      <c r="AJ1514" s="1064"/>
      <c r="AK1514" s="109">
        <f>P1514-V1514</f>
        <v>0</v>
      </c>
      <c r="AL1514" s="109">
        <f>V1514-Z1514</f>
        <v>6176000</v>
      </c>
      <c r="AM1514" s="109"/>
      <c r="AN1514" s="1110"/>
      <c r="AO1514" s="1105"/>
    </row>
    <row r="1515" spans="1:43" s="29" customFormat="1" ht="15" customHeight="1">
      <c r="A1515" s="1330" t="s">
        <v>2200</v>
      </c>
      <c r="B1515" s="1120">
        <v>42304</v>
      </c>
      <c r="C1515" s="1142" t="s">
        <v>11</v>
      </c>
      <c r="D1515" s="1142" t="s">
        <v>2199</v>
      </c>
      <c r="E1515" s="1178">
        <v>900901296</v>
      </c>
      <c r="F1515" s="1178">
        <v>4</v>
      </c>
      <c r="G1515" s="1142" t="s">
        <v>2198</v>
      </c>
      <c r="H1515" s="1142" t="s">
        <v>71</v>
      </c>
      <c r="I1515" s="1142" t="s">
        <v>1235</v>
      </c>
      <c r="J1515" s="1142" t="s">
        <v>66</v>
      </c>
      <c r="K1515" s="1142" t="s">
        <v>49</v>
      </c>
      <c r="L1515" s="1142" t="s">
        <v>1859</v>
      </c>
      <c r="M1515" s="1167">
        <v>322</v>
      </c>
      <c r="N1515" s="1157" t="s">
        <v>7</v>
      </c>
      <c r="O1515" s="1043">
        <v>934907364</v>
      </c>
      <c r="P1515" s="1043">
        <f>O1515+O1521</f>
        <v>2365868067</v>
      </c>
      <c r="Q1515" s="1043">
        <f>P1515+P1528</f>
        <v>2572981347</v>
      </c>
      <c r="R1515" s="1120">
        <v>42150</v>
      </c>
      <c r="S1515" s="1150">
        <f>T1515+T1521</f>
        <v>2365868067</v>
      </c>
      <c r="T1515" s="1043">
        <v>934907364</v>
      </c>
      <c r="U1515" s="1043">
        <f>O1515-T1515</f>
        <v>0</v>
      </c>
      <c r="V1515" s="1043">
        <v>932500678.44000006</v>
      </c>
      <c r="W1515" s="1043">
        <f>V1515+V1521+V1528</f>
        <v>2566357849</v>
      </c>
      <c r="X1515" s="1142" t="s">
        <v>2197</v>
      </c>
      <c r="Y1515" s="916" t="s">
        <v>2734</v>
      </c>
      <c r="Z1515" s="111">
        <v>0</v>
      </c>
      <c r="AA1515" s="111">
        <v>279750203.52999997</v>
      </c>
      <c r="AB1515" s="111">
        <f t="shared" si="126"/>
        <v>279750203.52999997</v>
      </c>
      <c r="AC1515" s="740">
        <v>42342</v>
      </c>
      <c r="AD1515" s="119">
        <v>279750203.52999997</v>
      </c>
      <c r="AE1515" s="1157" t="s">
        <v>7</v>
      </c>
      <c r="AF1515" s="1043">
        <f>SUM(AD1515:AD1527)</f>
        <v>2365868067.0200005</v>
      </c>
      <c r="AG1515" s="1043">
        <f>AF1515+AF1528</f>
        <v>2562412333.0800004</v>
      </c>
      <c r="AH1515" s="111">
        <f t="shared" si="124"/>
        <v>0</v>
      </c>
      <c r="AI1515" s="1043">
        <f>O1515-AD1515-AD1518-AD1519-AD1522</f>
        <v>167818432.54000002</v>
      </c>
      <c r="AJ1515" s="1043">
        <f>SUM(Z1515:Z1532)-SUM(AD1515:AD1532)</f>
        <v>-186505140.14000034</v>
      </c>
      <c r="AK1515" s="1043">
        <f>O1515-V1515</f>
        <v>2406685.5599999428</v>
      </c>
      <c r="AL1515" s="1043">
        <f>(V1515+V1521)-SUM(Z1515:Z1527)+AJ1515</f>
        <v>-6623498.0300006866</v>
      </c>
      <c r="AM1515" s="1043"/>
      <c r="AN1515" s="1172" t="s">
        <v>2196</v>
      </c>
      <c r="AO1515" s="1175" t="s">
        <v>2195</v>
      </c>
      <c r="AQ1515" s="934"/>
    </row>
    <row r="1516" spans="1:43" s="29" customFormat="1" ht="15" customHeight="1">
      <c r="A1516" s="1331"/>
      <c r="B1516" s="1121"/>
      <c r="C1516" s="1143"/>
      <c r="D1516" s="1143"/>
      <c r="E1516" s="1179"/>
      <c r="F1516" s="1179"/>
      <c r="G1516" s="1143"/>
      <c r="H1516" s="1143"/>
      <c r="I1516" s="1143"/>
      <c r="J1516" s="1143"/>
      <c r="K1516" s="1143"/>
      <c r="L1516" s="1143"/>
      <c r="M1516" s="1168"/>
      <c r="N1516" s="1158"/>
      <c r="O1516" s="1044"/>
      <c r="P1516" s="1044"/>
      <c r="Q1516" s="1044"/>
      <c r="R1516" s="1121"/>
      <c r="S1516" s="1151"/>
      <c r="T1516" s="1044"/>
      <c r="U1516" s="1044"/>
      <c r="V1516" s="1044"/>
      <c r="W1516" s="1044"/>
      <c r="X1516" s="1143"/>
      <c r="Y1516" s="916" t="s">
        <v>2735</v>
      </c>
      <c r="Z1516" s="111">
        <v>0</v>
      </c>
      <c r="AA1516" s="111">
        <v>428183115.60000002</v>
      </c>
      <c r="AB1516" s="111">
        <f t="shared" si="126"/>
        <v>428183115.60000002</v>
      </c>
      <c r="AC1516" s="740">
        <v>42706</v>
      </c>
      <c r="AD1516" s="119">
        <v>364128591.5</v>
      </c>
      <c r="AE1516" s="1158"/>
      <c r="AF1516" s="1044"/>
      <c r="AG1516" s="1044"/>
      <c r="AH1516" s="111">
        <f t="shared" si="124"/>
        <v>64054524.100000024</v>
      </c>
      <c r="AI1516" s="1044"/>
      <c r="AJ1516" s="1044"/>
      <c r="AK1516" s="1044"/>
      <c r="AL1516" s="1044"/>
      <c r="AM1516" s="1044"/>
      <c r="AN1516" s="1173"/>
      <c r="AO1516" s="1176"/>
      <c r="AQ1516" s="934"/>
    </row>
    <row r="1517" spans="1:43" s="29" customFormat="1" ht="15" customHeight="1">
      <c r="A1517" s="1331"/>
      <c r="B1517" s="1121"/>
      <c r="C1517" s="1143"/>
      <c r="D1517" s="1143"/>
      <c r="E1517" s="1179"/>
      <c r="F1517" s="1179"/>
      <c r="G1517" s="1143"/>
      <c r="H1517" s="1143"/>
      <c r="I1517" s="1143"/>
      <c r="J1517" s="1143"/>
      <c r="K1517" s="1143"/>
      <c r="L1517" s="1143"/>
      <c r="M1517" s="1168"/>
      <c r="N1517" s="1158"/>
      <c r="O1517" s="1044"/>
      <c r="P1517" s="1044"/>
      <c r="Q1517" s="1044"/>
      <c r="R1517" s="1121"/>
      <c r="S1517" s="1151"/>
      <c r="T1517" s="1044"/>
      <c r="U1517" s="1044"/>
      <c r="V1517" s="1044"/>
      <c r="W1517" s="1044"/>
      <c r="X1517" s="1143"/>
      <c r="Y1517" s="916" t="s">
        <v>2737</v>
      </c>
      <c r="Z1517" s="111">
        <v>512953361</v>
      </c>
      <c r="AA1517" s="111">
        <v>-148824769.5</v>
      </c>
      <c r="AB1517" s="111">
        <f t="shared" si="126"/>
        <v>364128591.5</v>
      </c>
      <c r="AC1517" s="740">
        <v>42751</v>
      </c>
      <c r="AD1517" s="119">
        <v>167818432.53999999</v>
      </c>
      <c r="AE1517" s="1158"/>
      <c r="AF1517" s="1044"/>
      <c r="AG1517" s="1044"/>
      <c r="AH1517" s="111">
        <f t="shared" si="124"/>
        <v>196310158.96000001</v>
      </c>
      <c r="AI1517" s="1044"/>
      <c r="AJ1517" s="1044"/>
      <c r="AK1517" s="1044"/>
      <c r="AL1517" s="1044"/>
      <c r="AM1517" s="1044"/>
      <c r="AN1517" s="1173"/>
      <c r="AO1517" s="1176"/>
      <c r="AQ1517" s="934"/>
    </row>
    <row r="1518" spans="1:43" s="29" customFormat="1" ht="15" customHeight="1">
      <c r="A1518" s="1331"/>
      <c r="B1518" s="1121"/>
      <c r="C1518" s="1143"/>
      <c r="D1518" s="1143"/>
      <c r="E1518" s="1179"/>
      <c r="F1518" s="1179"/>
      <c r="G1518" s="1143"/>
      <c r="H1518" s="1143"/>
      <c r="I1518" s="1143"/>
      <c r="J1518" s="1143"/>
      <c r="K1518" s="1143"/>
      <c r="L1518" s="1143"/>
      <c r="M1518" s="1168"/>
      <c r="N1518" s="1158"/>
      <c r="O1518" s="1044"/>
      <c r="P1518" s="1044"/>
      <c r="Q1518" s="1044"/>
      <c r="R1518" s="1121"/>
      <c r="S1518" s="1151"/>
      <c r="T1518" s="1044"/>
      <c r="U1518" s="1044"/>
      <c r="V1518" s="1044"/>
      <c r="W1518" s="1044"/>
      <c r="X1518" s="1143"/>
      <c r="Y1518" s="916" t="s">
        <v>2739</v>
      </c>
      <c r="Z1518" s="111">
        <v>512953361</v>
      </c>
      <c r="AA1518" s="111">
        <v>-148824769.5</v>
      </c>
      <c r="AB1518" s="111">
        <f t="shared" si="126"/>
        <v>364128591.5</v>
      </c>
      <c r="AC1518" s="740">
        <v>42881</v>
      </c>
      <c r="AD1518" s="119">
        <v>120803450.87</v>
      </c>
      <c r="AE1518" s="1158"/>
      <c r="AF1518" s="1044"/>
      <c r="AG1518" s="1044"/>
      <c r="AH1518" s="111">
        <f t="shared" si="124"/>
        <v>243325140.63</v>
      </c>
      <c r="AI1518" s="1044"/>
      <c r="AJ1518" s="1044"/>
      <c r="AK1518" s="1044"/>
      <c r="AL1518" s="1044"/>
      <c r="AM1518" s="1044"/>
      <c r="AN1518" s="1173"/>
      <c r="AO1518" s="1176"/>
      <c r="AQ1518" s="934"/>
    </row>
    <row r="1519" spans="1:43" s="29" customFormat="1" ht="15" customHeight="1">
      <c r="A1519" s="1331"/>
      <c r="B1519" s="1121"/>
      <c r="C1519" s="1143"/>
      <c r="D1519" s="1143"/>
      <c r="E1519" s="1179"/>
      <c r="F1519" s="1179"/>
      <c r="G1519" s="1143"/>
      <c r="H1519" s="1143"/>
      <c r="I1519" s="1143"/>
      <c r="J1519" s="1143"/>
      <c r="K1519" s="1143"/>
      <c r="L1519" s="1143"/>
      <c r="M1519" s="1168"/>
      <c r="N1519" s="1158"/>
      <c r="O1519" s="1045"/>
      <c r="P1519" s="1044"/>
      <c r="Q1519" s="1044"/>
      <c r="R1519" s="1121"/>
      <c r="S1519" s="1151"/>
      <c r="T1519" s="1045"/>
      <c r="U1519" s="1045"/>
      <c r="V1519" s="1045"/>
      <c r="W1519" s="1044"/>
      <c r="X1519" s="1143"/>
      <c r="Y1519" s="916" t="s">
        <v>2740</v>
      </c>
      <c r="Z1519" s="111">
        <v>298743888.50999999</v>
      </c>
      <c r="AA1519" s="111">
        <v>-130925434.03</v>
      </c>
      <c r="AB1519" s="111">
        <f t="shared" si="126"/>
        <v>167818454.47999999</v>
      </c>
      <c r="AC1519" s="740">
        <v>43227</v>
      </c>
      <c r="AD1519" s="119">
        <v>2406685.56</v>
      </c>
      <c r="AE1519" s="1158"/>
      <c r="AF1519" s="1044"/>
      <c r="AG1519" s="1044"/>
      <c r="AH1519" s="111">
        <f t="shared" ref="AH1519:AH1542" si="127">AB1519-AD1519</f>
        <v>165411768.91999999</v>
      </c>
      <c r="AI1519" s="1045"/>
      <c r="AJ1519" s="1044"/>
      <c r="AK1519" s="1045"/>
      <c r="AL1519" s="1044"/>
      <c r="AM1519" s="1044"/>
      <c r="AN1519" s="1173"/>
      <c r="AO1519" s="1176"/>
      <c r="AQ1519" s="934"/>
    </row>
    <row r="1520" spans="1:43" s="29" customFormat="1" ht="15" customHeight="1">
      <c r="A1520" s="1331"/>
      <c r="B1520" s="1121"/>
      <c r="C1520" s="1143"/>
      <c r="D1520" s="1143"/>
      <c r="E1520" s="1179"/>
      <c r="F1520" s="1179"/>
      <c r="G1520" s="1143"/>
      <c r="H1520" s="1143"/>
      <c r="I1520" s="1143"/>
      <c r="J1520" s="1143"/>
      <c r="K1520" s="1143"/>
      <c r="L1520" s="1143"/>
      <c r="M1520" s="1168"/>
      <c r="N1520" s="1159"/>
      <c r="O1520" s="717"/>
      <c r="P1520" s="1044"/>
      <c r="Q1520" s="1044"/>
      <c r="R1520" s="1121"/>
      <c r="S1520" s="1151"/>
      <c r="T1520" s="717"/>
      <c r="U1520" s="717"/>
      <c r="V1520" s="717"/>
      <c r="W1520" s="1044"/>
      <c r="X1520" s="1143"/>
      <c r="Y1520" s="916" t="s">
        <v>2741</v>
      </c>
      <c r="Z1520" s="734"/>
      <c r="AA1520" s="734">
        <v>2406685.56</v>
      </c>
      <c r="AB1520" s="734">
        <f>+AA1520</f>
        <v>2406685.56</v>
      </c>
      <c r="AC1520" s="740">
        <v>43251</v>
      </c>
      <c r="AD1520" s="763">
        <v>0.01</v>
      </c>
      <c r="AE1520" s="1159"/>
      <c r="AF1520" s="1044"/>
      <c r="AG1520" s="1044"/>
      <c r="AH1520" s="734"/>
      <c r="AI1520" s="717"/>
      <c r="AJ1520" s="1044"/>
      <c r="AK1520" s="717"/>
      <c r="AL1520" s="1044"/>
      <c r="AM1520" s="1044"/>
      <c r="AN1520" s="1173"/>
      <c r="AO1520" s="1176"/>
      <c r="AQ1520" s="934"/>
    </row>
    <row r="1521" spans="1:43" s="29" customFormat="1" ht="15" customHeight="1">
      <c r="A1521" s="1331"/>
      <c r="B1521" s="1121"/>
      <c r="C1521" s="1143"/>
      <c r="D1521" s="1143"/>
      <c r="E1521" s="1179"/>
      <c r="F1521" s="1179"/>
      <c r="G1521" s="1143"/>
      <c r="H1521" s="1143"/>
      <c r="I1521" s="1143"/>
      <c r="J1521" s="1143"/>
      <c r="K1521" s="1143"/>
      <c r="L1521" s="1143"/>
      <c r="M1521" s="1168"/>
      <c r="N1521" s="1157" t="s">
        <v>137</v>
      </c>
      <c r="O1521" s="1043">
        <v>1430960703</v>
      </c>
      <c r="P1521" s="1044"/>
      <c r="Q1521" s="1044"/>
      <c r="R1521" s="1121"/>
      <c r="S1521" s="1151"/>
      <c r="T1521" s="1043">
        <v>1430960703</v>
      </c>
      <c r="U1521" s="1043">
        <f>O1521-T1521</f>
        <v>0</v>
      </c>
      <c r="V1521" s="1043">
        <v>1427277051.98</v>
      </c>
      <c r="W1521" s="1044"/>
      <c r="X1521" s="1143"/>
      <c r="Y1521" s="916" t="s">
        <v>2733</v>
      </c>
      <c r="Z1521" s="111">
        <v>433227966.42000002</v>
      </c>
      <c r="AA1521" s="111">
        <v>-84534588.200000003</v>
      </c>
      <c r="AB1521" s="111">
        <f t="shared" si="126"/>
        <v>348693378.22000003</v>
      </c>
      <c r="AC1521" s="740">
        <v>42342</v>
      </c>
      <c r="AD1521" s="119">
        <v>428183115.60000002</v>
      </c>
      <c r="AE1521" s="1157" t="s">
        <v>137</v>
      </c>
      <c r="AF1521" s="1044"/>
      <c r="AG1521" s="1044"/>
      <c r="AH1521" s="111">
        <f t="shared" si="127"/>
        <v>-79489737.379999995</v>
      </c>
      <c r="AI1521" s="1043">
        <f>O1521-AD1516-AD1517-AD1521-AD1523</f>
        <v>122137185.13999999</v>
      </c>
      <c r="AJ1521" s="1044"/>
      <c r="AK1521" s="1043">
        <f>O1521-V1521</f>
        <v>3683651.0199999809</v>
      </c>
      <c r="AL1521" s="1044"/>
      <c r="AM1521" s="1044"/>
      <c r="AN1521" s="1173"/>
      <c r="AO1521" s="1176"/>
      <c r="AQ1521" s="934"/>
    </row>
    <row r="1522" spans="1:43" s="29" customFormat="1" ht="15" customHeight="1">
      <c r="A1522" s="1331"/>
      <c r="B1522" s="1121"/>
      <c r="C1522" s="1143"/>
      <c r="D1522" s="1143"/>
      <c r="E1522" s="1179"/>
      <c r="F1522" s="1179"/>
      <c r="G1522" s="1143"/>
      <c r="H1522" s="1143"/>
      <c r="I1522" s="1143"/>
      <c r="J1522" s="1143"/>
      <c r="K1522" s="1143"/>
      <c r="L1522" s="1143"/>
      <c r="M1522" s="1168"/>
      <c r="N1522" s="1158"/>
      <c r="O1522" s="1044"/>
      <c r="P1522" s="1044"/>
      <c r="Q1522" s="1044"/>
      <c r="R1522" s="1121"/>
      <c r="S1522" s="1151"/>
      <c r="T1522" s="1044"/>
      <c r="U1522" s="1044"/>
      <c r="V1522" s="1044"/>
      <c r="W1522" s="1044"/>
      <c r="X1522" s="1143"/>
      <c r="Y1522" s="916" t="s">
        <v>2735</v>
      </c>
      <c r="Z1522" s="111">
        <v>120803450.87</v>
      </c>
      <c r="AA1522" s="111">
        <v>0</v>
      </c>
      <c r="AB1522" s="111">
        <f t="shared" si="126"/>
        <v>120803450.87</v>
      </c>
      <c r="AC1522" s="740">
        <v>42706</v>
      </c>
      <c r="AD1522" s="119">
        <v>364128591.5</v>
      </c>
      <c r="AE1522" s="1158"/>
      <c r="AF1522" s="1044"/>
      <c r="AG1522" s="1044"/>
      <c r="AH1522" s="111">
        <f t="shared" si="127"/>
        <v>-243325140.63</v>
      </c>
      <c r="AI1522" s="1044"/>
      <c r="AJ1522" s="1044"/>
      <c r="AK1522" s="1044"/>
      <c r="AL1522" s="1044"/>
      <c r="AM1522" s="1044"/>
      <c r="AN1522" s="1173"/>
      <c r="AO1522" s="1176"/>
      <c r="AQ1522" s="934"/>
    </row>
    <row r="1523" spans="1:43" s="29" customFormat="1" ht="15" customHeight="1">
      <c r="A1523" s="1331"/>
      <c r="B1523" s="1121"/>
      <c r="C1523" s="1143"/>
      <c r="D1523" s="1143"/>
      <c r="E1523" s="1179"/>
      <c r="F1523" s="1179"/>
      <c r="G1523" s="1143"/>
      <c r="H1523" s="1143"/>
      <c r="I1523" s="1143"/>
      <c r="J1523" s="1143"/>
      <c r="K1523" s="1143"/>
      <c r="L1523" s="1143"/>
      <c r="M1523" s="1168"/>
      <c r="N1523" s="1158"/>
      <c r="O1523" s="1044"/>
      <c r="P1523" s="1044"/>
      <c r="Q1523" s="1044"/>
      <c r="R1523" s="1121"/>
      <c r="S1523" s="1151"/>
      <c r="T1523" s="1044"/>
      <c r="U1523" s="1044"/>
      <c r="V1523" s="1044"/>
      <c r="W1523" s="1044"/>
      <c r="X1523" s="1143"/>
      <c r="Y1523" s="916" t="s">
        <v>2736</v>
      </c>
      <c r="Z1523" s="111">
        <v>301214060.50999999</v>
      </c>
      <c r="AA1523" s="111">
        <v>-137688575</v>
      </c>
      <c r="AB1523" s="111">
        <f t="shared" si="126"/>
        <v>163525485.50999999</v>
      </c>
      <c r="AC1523" s="740">
        <v>42751</v>
      </c>
      <c r="AD1523" s="119">
        <v>348693378.22000003</v>
      </c>
      <c r="AE1523" s="1158"/>
      <c r="AF1523" s="1044"/>
      <c r="AG1523" s="1044"/>
      <c r="AH1523" s="111">
        <f t="shared" si="127"/>
        <v>-185167892.71000004</v>
      </c>
      <c r="AI1523" s="1044"/>
      <c r="AJ1523" s="1044"/>
      <c r="AK1523" s="1044"/>
      <c r="AL1523" s="1044"/>
      <c r="AM1523" s="1044"/>
      <c r="AN1523" s="1173"/>
      <c r="AO1523" s="1176"/>
      <c r="AQ1523" s="934"/>
    </row>
    <row r="1524" spans="1:43" s="29" customFormat="1" ht="15" customHeight="1">
      <c r="A1524" s="1331"/>
      <c r="B1524" s="1121"/>
      <c r="C1524" s="1143"/>
      <c r="D1524" s="1143"/>
      <c r="E1524" s="1179"/>
      <c r="F1524" s="1179"/>
      <c r="G1524" s="1143"/>
      <c r="H1524" s="1143"/>
      <c r="I1524" s="1143"/>
      <c r="J1524" s="1143"/>
      <c r="K1524" s="1143"/>
      <c r="L1524" s="1143"/>
      <c r="M1524" s="1168"/>
      <c r="N1524" s="1158"/>
      <c r="O1524" s="1044"/>
      <c r="P1524" s="1044"/>
      <c r="Q1524" s="1044"/>
      <c r="R1524" s="1121"/>
      <c r="S1524" s="1151"/>
      <c r="T1524" s="1044"/>
      <c r="U1524" s="1044"/>
      <c r="V1524" s="1044"/>
      <c r="W1524" s="1044"/>
      <c r="X1524" s="1143"/>
      <c r="Y1524" s="916" t="s">
        <v>2738</v>
      </c>
      <c r="Z1524" s="734"/>
      <c r="AA1524" s="734"/>
      <c r="AB1524" s="734"/>
      <c r="AC1524" s="740">
        <v>42881</v>
      </c>
      <c r="AD1524" s="763">
        <v>163525505.50999999</v>
      </c>
      <c r="AE1524" s="1158"/>
      <c r="AF1524" s="1044"/>
      <c r="AG1524" s="1044"/>
      <c r="AH1524" s="734"/>
      <c r="AI1524" s="1044"/>
      <c r="AJ1524" s="1044"/>
      <c r="AK1524" s="1044"/>
      <c r="AL1524" s="1044"/>
      <c r="AM1524" s="1044"/>
      <c r="AN1524" s="1173"/>
      <c r="AO1524" s="1176"/>
      <c r="AQ1524" s="934"/>
    </row>
    <row r="1525" spans="1:43" s="29" customFormat="1" ht="15" customHeight="1">
      <c r="A1525" s="1331"/>
      <c r="B1525" s="1121"/>
      <c r="C1525" s="1143"/>
      <c r="D1525" s="1143"/>
      <c r="E1525" s="1179"/>
      <c r="F1525" s="1179"/>
      <c r="G1525" s="1143"/>
      <c r="H1525" s="1143"/>
      <c r="I1525" s="1143"/>
      <c r="J1525" s="1143"/>
      <c r="K1525" s="1143"/>
      <c r="L1525" s="1143"/>
      <c r="M1525" s="1168"/>
      <c r="N1525" s="1158"/>
      <c r="O1525" s="1044"/>
      <c r="P1525" s="1044"/>
      <c r="Q1525" s="1044"/>
      <c r="R1525" s="1121"/>
      <c r="S1525" s="1151"/>
      <c r="T1525" s="1044"/>
      <c r="U1525" s="1044"/>
      <c r="V1525" s="1044"/>
      <c r="W1525" s="1044"/>
      <c r="X1525" s="1143"/>
      <c r="Y1525" s="916" t="s">
        <v>2740</v>
      </c>
      <c r="Z1525" s="734"/>
      <c r="AA1525" s="734"/>
      <c r="AB1525" s="734"/>
      <c r="AC1525" s="740">
        <v>43227</v>
      </c>
      <c r="AD1525" s="763">
        <v>3683651.02</v>
      </c>
      <c r="AE1525" s="1158"/>
      <c r="AF1525" s="1044"/>
      <c r="AG1525" s="1044"/>
      <c r="AH1525" s="734"/>
      <c r="AI1525" s="1044"/>
      <c r="AJ1525" s="1044"/>
      <c r="AK1525" s="1044"/>
      <c r="AL1525" s="1044"/>
      <c r="AM1525" s="1044"/>
      <c r="AN1525" s="1173"/>
      <c r="AO1525" s="1176"/>
      <c r="AQ1525" s="934"/>
    </row>
    <row r="1526" spans="1:43" s="29" customFormat="1" ht="15" customHeight="1">
      <c r="A1526" s="1331"/>
      <c r="B1526" s="1121"/>
      <c r="C1526" s="1143"/>
      <c r="D1526" s="1143"/>
      <c r="E1526" s="1179"/>
      <c r="F1526" s="1179"/>
      <c r="G1526" s="1143"/>
      <c r="H1526" s="1143"/>
      <c r="I1526" s="1143"/>
      <c r="J1526" s="1143"/>
      <c r="K1526" s="1143"/>
      <c r="L1526" s="1143"/>
      <c r="M1526" s="1168"/>
      <c r="N1526" s="1158"/>
      <c r="O1526" s="1044"/>
      <c r="P1526" s="1044"/>
      <c r="Q1526" s="1044"/>
      <c r="R1526" s="1121"/>
      <c r="S1526" s="1151"/>
      <c r="T1526" s="1044"/>
      <c r="U1526" s="1044"/>
      <c r="V1526" s="1044"/>
      <c r="W1526" s="1044"/>
      <c r="X1526" s="1143"/>
      <c r="Y1526" s="916" t="s">
        <v>2741</v>
      </c>
      <c r="Z1526" s="111"/>
      <c r="AA1526" s="111">
        <v>3683651.02</v>
      </c>
      <c r="AB1526" s="111">
        <v>3683651.02</v>
      </c>
      <c r="AC1526" s="740">
        <v>43250</v>
      </c>
      <c r="AD1526" s="119">
        <v>122746461.15000001</v>
      </c>
      <c r="AE1526" s="1158"/>
      <c r="AF1526" s="1044"/>
      <c r="AG1526" s="1044"/>
      <c r="AH1526" s="111">
        <f t="shared" si="127"/>
        <v>-119062810.13000001</v>
      </c>
      <c r="AI1526" s="1044"/>
      <c r="AJ1526" s="1044"/>
      <c r="AK1526" s="1044"/>
      <c r="AL1526" s="1044"/>
      <c r="AM1526" s="1044"/>
      <c r="AN1526" s="1173"/>
      <c r="AO1526" s="1176"/>
      <c r="AQ1526" s="934"/>
    </row>
    <row r="1527" spans="1:43" s="29" customFormat="1" ht="15" customHeight="1">
      <c r="A1527" s="1331"/>
      <c r="B1527" s="1121"/>
      <c r="C1527" s="1143"/>
      <c r="D1527" s="1143"/>
      <c r="E1527" s="1179"/>
      <c r="F1527" s="1179"/>
      <c r="G1527" s="1143"/>
      <c r="H1527" s="1143"/>
      <c r="I1527" s="1143"/>
      <c r="J1527" s="1143"/>
      <c r="K1527" s="1143"/>
      <c r="L1527" s="1143"/>
      <c r="M1527" s="1169"/>
      <c r="N1527" s="1159"/>
      <c r="O1527" s="1045"/>
      <c r="P1527" s="1045"/>
      <c r="Q1527" s="1044"/>
      <c r="R1527" s="1160"/>
      <c r="S1527" s="1152"/>
      <c r="T1527" s="1045"/>
      <c r="U1527" s="1045"/>
      <c r="V1527" s="1045"/>
      <c r="W1527" s="1044"/>
      <c r="X1527" s="1143"/>
      <c r="Y1527" s="916" t="s">
        <v>2741</v>
      </c>
      <c r="Z1527" s="111"/>
      <c r="AA1527" s="111"/>
      <c r="AB1527" s="111">
        <f t="shared" si="126"/>
        <v>0</v>
      </c>
      <c r="AC1527" s="740">
        <v>43251</v>
      </c>
      <c r="AD1527" s="119">
        <v>0.01</v>
      </c>
      <c r="AE1527" s="1159"/>
      <c r="AF1527" s="1045"/>
      <c r="AG1527" s="1044"/>
      <c r="AH1527" s="111">
        <f t="shared" si="127"/>
        <v>-0.01</v>
      </c>
      <c r="AI1527" s="1045"/>
      <c r="AJ1527" s="1044"/>
      <c r="AK1527" s="1045"/>
      <c r="AL1527" s="1045"/>
      <c r="AM1527" s="1045"/>
      <c r="AN1527" s="1173"/>
      <c r="AO1527" s="1176"/>
      <c r="AQ1527" s="934"/>
    </row>
    <row r="1528" spans="1:43" ht="15" customHeight="1">
      <c r="A1528" s="1331"/>
      <c r="B1528" s="1121"/>
      <c r="C1528" s="1143"/>
      <c r="D1528" s="1143"/>
      <c r="E1528" s="1179"/>
      <c r="F1528" s="1179"/>
      <c r="G1528" s="1143"/>
      <c r="H1528" s="1143"/>
      <c r="I1528" s="1143"/>
      <c r="J1528" s="1143"/>
      <c r="K1528" s="1143"/>
      <c r="L1528" s="1143"/>
      <c r="M1528" s="1209">
        <v>6</v>
      </c>
      <c r="N1528" s="1119" t="s">
        <v>131</v>
      </c>
      <c r="O1528" s="1062">
        <v>207113280</v>
      </c>
      <c r="P1528" s="1062">
        <v>207113280</v>
      </c>
      <c r="Q1528" s="1044"/>
      <c r="R1528" s="1068">
        <v>42150</v>
      </c>
      <c r="S1528" s="1092">
        <f>T1528</f>
        <v>207113280</v>
      </c>
      <c r="T1528" s="1092">
        <v>207113280</v>
      </c>
      <c r="U1528" s="1092">
        <f>P1528-T1528</f>
        <v>0</v>
      </c>
      <c r="V1528" s="1092">
        <v>206580118.58000001</v>
      </c>
      <c r="W1528" s="1044"/>
      <c r="X1528" s="1143"/>
      <c r="Y1528" s="108" t="s">
        <v>2194</v>
      </c>
      <c r="Z1528" s="109">
        <v>0</v>
      </c>
      <c r="AA1528" s="109">
        <v>61974035.57</v>
      </c>
      <c r="AB1528" s="109">
        <f t="shared" si="126"/>
        <v>61974035.57</v>
      </c>
      <c r="AC1528" s="740">
        <v>42342</v>
      </c>
      <c r="AD1528" s="119">
        <v>61974035.57</v>
      </c>
      <c r="AE1528" s="98" t="s">
        <v>131</v>
      </c>
      <c r="AF1528" s="1043">
        <f>SUM(AD1528:AD1532)</f>
        <v>196544266.05999997</v>
      </c>
      <c r="AG1528" s="1044"/>
      <c r="AH1528" s="111">
        <f t="shared" si="127"/>
        <v>0</v>
      </c>
      <c r="AI1528" s="1043">
        <f>P1528-AF1528</f>
        <v>10569013.940000027</v>
      </c>
      <c r="AJ1528" s="1044"/>
      <c r="AK1528" s="1062">
        <f>O1528-V1528</f>
        <v>533161.41999998689</v>
      </c>
      <c r="AL1528" s="1062">
        <f>V1528-SUM(Z1528:Z1532)</f>
        <v>10569013.950000018</v>
      </c>
      <c r="AM1528" s="1062"/>
      <c r="AN1528" s="1173"/>
      <c r="AO1528" s="1176"/>
    </row>
    <row r="1529" spans="1:43" ht="15" customHeight="1">
      <c r="A1529" s="1331"/>
      <c r="B1529" s="1121"/>
      <c r="C1529" s="1143"/>
      <c r="D1529" s="1143"/>
      <c r="E1529" s="1179"/>
      <c r="F1529" s="1179"/>
      <c r="G1529" s="1143"/>
      <c r="H1529" s="1143"/>
      <c r="I1529" s="1143"/>
      <c r="J1529" s="1143"/>
      <c r="K1529" s="1143"/>
      <c r="L1529" s="1143"/>
      <c r="M1529" s="1209"/>
      <c r="N1529" s="1119"/>
      <c r="O1529" s="1063"/>
      <c r="P1529" s="1063"/>
      <c r="Q1529" s="1044"/>
      <c r="R1529" s="1069"/>
      <c r="S1529" s="1093"/>
      <c r="T1529" s="1093"/>
      <c r="U1529" s="1093"/>
      <c r="V1529" s="1093"/>
      <c r="W1529" s="1044"/>
      <c r="X1529" s="1143"/>
      <c r="Y1529" s="108" t="s">
        <v>2193</v>
      </c>
      <c r="Z1529" s="109">
        <v>14460683</v>
      </c>
      <c r="AA1529" s="109">
        <v>-14460683</v>
      </c>
      <c r="AB1529" s="109">
        <f t="shared" si="126"/>
        <v>0</v>
      </c>
      <c r="AC1529" s="740">
        <v>42718</v>
      </c>
      <c r="AD1529" s="119">
        <v>0.01</v>
      </c>
      <c r="AE1529" s="98" t="s">
        <v>131</v>
      </c>
      <c r="AF1529" s="1044"/>
      <c r="AG1529" s="1044"/>
      <c r="AH1529" s="111">
        <f t="shared" si="127"/>
        <v>-0.01</v>
      </c>
      <c r="AI1529" s="1044"/>
      <c r="AJ1529" s="1044"/>
      <c r="AK1529" s="1063"/>
      <c r="AL1529" s="1063"/>
      <c r="AM1529" s="1063"/>
      <c r="AN1529" s="1173"/>
      <c r="AO1529" s="1176"/>
    </row>
    <row r="1530" spans="1:43" ht="15" customHeight="1">
      <c r="A1530" s="1331"/>
      <c r="B1530" s="1121"/>
      <c r="C1530" s="1143"/>
      <c r="D1530" s="1143"/>
      <c r="E1530" s="1179"/>
      <c r="F1530" s="1179"/>
      <c r="G1530" s="1143"/>
      <c r="H1530" s="1143"/>
      <c r="I1530" s="1143"/>
      <c r="J1530" s="1143"/>
      <c r="K1530" s="1143"/>
      <c r="L1530" s="1143"/>
      <c r="M1530" s="1209"/>
      <c r="N1530" s="1119"/>
      <c r="O1530" s="1063"/>
      <c r="P1530" s="1063"/>
      <c r="Q1530" s="1044"/>
      <c r="R1530" s="1069"/>
      <c r="S1530" s="1093"/>
      <c r="T1530" s="1093"/>
      <c r="U1530" s="1093"/>
      <c r="V1530" s="1093"/>
      <c r="W1530" s="1044"/>
      <c r="X1530" s="1143"/>
      <c r="Y1530" s="108" t="s">
        <v>2192</v>
      </c>
      <c r="Z1530" s="109">
        <v>144606083.00999999</v>
      </c>
      <c r="AA1530" s="109">
        <v>-47513352.57</v>
      </c>
      <c r="AB1530" s="109">
        <f t="shared" si="126"/>
        <v>97092730.439999998</v>
      </c>
      <c r="AC1530" s="740">
        <v>42751</v>
      </c>
      <c r="AD1530" s="119">
        <v>97092730.439999998</v>
      </c>
      <c r="AE1530" s="98" t="s">
        <v>131</v>
      </c>
      <c r="AF1530" s="1044"/>
      <c r="AG1530" s="1044"/>
      <c r="AH1530" s="111">
        <f t="shared" si="127"/>
        <v>0</v>
      </c>
      <c r="AI1530" s="1044"/>
      <c r="AJ1530" s="1044"/>
      <c r="AK1530" s="1063"/>
      <c r="AL1530" s="1063"/>
      <c r="AM1530" s="1063"/>
      <c r="AN1530" s="1173"/>
      <c r="AO1530" s="1176"/>
    </row>
    <row r="1531" spans="1:43" ht="15" customHeight="1">
      <c r="A1531" s="1331"/>
      <c r="B1531" s="1121"/>
      <c r="C1531" s="1143"/>
      <c r="D1531" s="1143"/>
      <c r="E1531" s="1179"/>
      <c r="F1531" s="1179"/>
      <c r="G1531" s="1143"/>
      <c r="H1531" s="1143"/>
      <c r="I1531" s="1143"/>
      <c r="J1531" s="1143"/>
      <c r="K1531" s="1143"/>
      <c r="L1531" s="1143"/>
      <c r="M1531" s="1209"/>
      <c r="N1531" s="1119"/>
      <c r="O1531" s="1063"/>
      <c r="P1531" s="1063"/>
      <c r="Q1531" s="1044"/>
      <c r="R1531" s="1069"/>
      <c r="S1531" s="1093"/>
      <c r="T1531" s="1093"/>
      <c r="U1531" s="1093"/>
      <c r="V1531" s="1093"/>
      <c r="W1531" s="1044"/>
      <c r="X1531" s="1143"/>
      <c r="Y1531" s="108" t="s">
        <v>2191</v>
      </c>
      <c r="Z1531" s="109">
        <v>36944338.619999997</v>
      </c>
      <c r="AA1531" s="109">
        <v>0</v>
      </c>
      <c r="AB1531" s="109">
        <f t="shared" si="126"/>
        <v>36944338.619999997</v>
      </c>
      <c r="AC1531" s="740">
        <v>42881</v>
      </c>
      <c r="AD1531" s="119">
        <v>36944338.619999997</v>
      </c>
      <c r="AE1531" s="98" t="s">
        <v>131</v>
      </c>
      <c r="AF1531" s="1044"/>
      <c r="AG1531" s="1044"/>
      <c r="AH1531" s="111">
        <f t="shared" si="127"/>
        <v>0</v>
      </c>
      <c r="AI1531" s="1044"/>
      <c r="AJ1531" s="1044"/>
      <c r="AK1531" s="1063"/>
      <c r="AL1531" s="1063"/>
      <c r="AM1531" s="1063"/>
      <c r="AN1531" s="1173"/>
      <c r="AO1531" s="1176"/>
    </row>
    <row r="1532" spans="1:43" ht="15" customHeight="1">
      <c r="A1532" s="1331"/>
      <c r="B1532" s="1160"/>
      <c r="C1532" s="1144"/>
      <c r="D1532" s="1144"/>
      <c r="E1532" s="1180"/>
      <c r="F1532" s="1180"/>
      <c r="G1532" s="1144"/>
      <c r="H1532" s="1144"/>
      <c r="I1532" s="1144"/>
      <c r="J1532" s="1144"/>
      <c r="K1532" s="1144"/>
      <c r="L1532" s="1144"/>
      <c r="M1532" s="1209"/>
      <c r="N1532" s="1119"/>
      <c r="O1532" s="1063"/>
      <c r="P1532" s="1064"/>
      <c r="Q1532" s="1045"/>
      <c r="R1532" s="1070"/>
      <c r="S1532" s="1094"/>
      <c r="T1532" s="1094"/>
      <c r="U1532" s="1094"/>
      <c r="V1532" s="1094"/>
      <c r="W1532" s="1045"/>
      <c r="X1532" s="1144"/>
      <c r="Y1532" s="916" t="s">
        <v>2731</v>
      </c>
      <c r="Z1532" s="109"/>
      <c r="AA1532" s="109">
        <v>533161.42000000004</v>
      </c>
      <c r="AB1532" s="109">
        <f t="shared" si="126"/>
        <v>533161.42000000004</v>
      </c>
      <c r="AC1532" s="740">
        <v>43227</v>
      </c>
      <c r="AD1532" s="119">
        <f>+AB1532</f>
        <v>533161.42000000004</v>
      </c>
      <c r="AE1532" s="733" t="s">
        <v>131</v>
      </c>
      <c r="AF1532" s="1045"/>
      <c r="AG1532" s="1045"/>
      <c r="AH1532" s="111">
        <f t="shared" si="127"/>
        <v>0</v>
      </c>
      <c r="AI1532" s="1045"/>
      <c r="AJ1532" s="1045"/>
      <c r="AK1532" s="1064"/>
      <c r="AL1532" s="1064"/>
      <c r="AM1532" s="1064"/>
      <c r="AN1532" s="1174"/>
      <c r="AO1532" s="1177"/>
    </row>
    <row r="1533" spans="1:43" ht="15" customHeight="1">
      <c r="A1533" s="1331"/>
      <c r="B1533" s="772"/>
      <c r="C1533" s="771"/>
      <c r="D1533" s="771"/>
      <c r="E1533" s="760"/>
      <c r="F1533" s="760"/>
      <c r="G1533" s="771"/>
      <c r="H1533" s="771"/>
      <c r="I1533" s="771"/>
      <c r="J1533" s="771"/>
      <c r="K1533" s="771"/>
      <c r="L1533" s="771"/>
      <c r="M1533" s="1209"/>
      <c r="N1533" s="1119"/>
      <c r="O1533" s="1063"/>
      <c r="P1533" s="723"/>
      <c r="Q1533" s="717"/>
      <c r="R1533" s="736"/>
      <c r="S1533" s="754"/>
      <c r="T1533" s="754"/>
      <c r="U1533" s="754"/>
      <c r="V1533" s="754"/>
      <c r="W1533" s="717"/>
      <c r="X1533" s="771"/>
      <c r="Y1533" s="916" t="s">
        <v>2716</v>
      </c>
      <c r="Z1533" s="751">
        <v>10569013.949999999</v>
      </c>
      <c r="AA1533" s="751"/>
      <c r="AB1533" s="751">
        <v>10569013.949999999</v>
      </c>
      <c r="AC1533" s="740">
        <v>43250</v>
      </c>
      <c r="AD1533" s="763">
        <f>+AB1533</f>
        <v>10569013.949999999</v>
      </c>
      <c r="AE1533" s="733" t="s">
        <v>131</v>
      </c>
      <c r="AF1533" s="717"/>
      <c r="AG1533" s="717"/>
      <c r="AH1533" s="734"/>
      <c r="AI1533" s="717"/>
      <c r="AJ1533" s="717"/>
      <c r="AK1533" s="723"/>
      <c r="AL1533" s="723"/>
      <c r="AM1533" s="723"/>
      <c r="AN1533" s="781"/>
      <c r="AO1533" s="780"/>
    </row>
    <row r="1534" spans="1:43" ht="15" customHeight="1">
      <c r="A1534" s="1331"/>
      <c r="B1534" s="772"/>
      <c r="C1534" s="771"/>
      <c r="D1534" s="771"/>
      <c r="E1534" s="760"/>
      <c r="F1534" s="760"/>
      <c r="G1534" s="771"/>
      <c r="H1534" s="771"/>
      <c r="I1534" s="771"/>
      <c r="J1534" s="771"/>
      <c r="K1534" s="771"/>
      <c r="L1534" s="771"/>
      <c r="M1534" s="1209"/>
      <c r="N1534" s="1119"/>
      <c r="O1534" s="1063"/>
      <c r="P1534" s="723"/>
      <c r="Q1534" s="717"/>
      <c r="R1534" s="736"/>
      <c r="S1534" s="754"/>
      <c r="T1534" s="754"/>
      <c r="U1534" s="754"/>
      <c r="V1534" s="754"/>
      <c r="W1534" s="717"/>
      <c r="X1534" s="771"/>
      <c r="Y1534" s="916"/>
      <c r="Z1534" s="751"/>
      <c r="AA1534" s="751"/>
      <c r="AB1534" s="751"/>
      <c r="AC1534" s="740"/>
      <c r="AD1534" s="763"/>
      <c r="AE1534" s="733"/>
      <c r="AF1534" s="717"/>
      <c r="AG1534" s="717"/>
      <c r="AH1534" s="734"/>
      <c r="AI1534" s="717"/>
      <c r="AJ1534" s="717"/>
      <c r="AK1534" s="723"/>
      <c r="AL1534" s="723"/>
      <c r="AM1534" s="723"/>
      <c r="AN1534" s="781"/>
      <c r="AO1534" s="780"/>
    </row>
    <row r="1535" spans="1:43" ht="15" customHeight="1">
      <c r="A1535" s="1331"/>
      <c r="B1535" s="772"/>
      <c r="C1535" s="771"/>
      <c r="D1535" s="771"/>
      <c r="E1535" s="760"/>
      <c r="F1535" s="760"/>
      <c r="G1535" s="771"/>
      <c r="H1535" s="771"/>
      <c r="I1535" s="771"/>
      <c r="J1535" s="771"/>
      <c r="K1535" s="771"/>
      <c r="L1535" s="771"/>
      <c r="M1535" s="732">
        <v>4762</v>
      </c>
      <c r="N1535" s="723" t="s">
        <v>131</v>
      </c>
      <c r="O1535" s="723">
        <v>657902106</v>
      </c>
      <c r="P1535" s="723"/>
      <c r="Q1535" s="717"/>
      <c r="R1535" s="736">
        <v>43129</v>
      </c>
      <c r="S1535" s="754"/>
      <c r="T1535" s="754"/>
      <c r="U1535" s="754"/>
      <c r="V1535" s="754">
        <f>+O1535</f>
        <v>657902106</v>
      </c>
      <c r="W1535" s="717"/>
      <c r="X1535" s="771"/>
      <c r="Y1535" s="916" t="s">
        <v>2731</v>
      </c>
      <c r="Z1535" s="751"/>
      <c r="AA1535" s="751">
        <v>192734183</v>
      </c>
      <c r="AB1535" s="751">
        <f>+AA1535</f>
        <v>192734183</v>
      </c>
      <c r="AC1535" s="740">
        <v>43227</v>
      </c>
      <c r="AD1535" s="763">
        <f>+AB1535</f>
        <v>192734183</v>
      </c>
      <c r="AE1535" s="733" t="s">
        <v>131</v>
      </c>
      <c r="AF1535" s="717"/>
      <c r="AG1535" s="717"/>
      <c r="AH1535" s="734"/>
      <c r="AI1535" s="717"/>
      <c r="AJ1535" s="717"/>
      <c r="AK1535" s="723"/>
      <c r="AL1535" s="723"/>
      <c r="AM1535" s="723"/>
      <c r="AN1535" s="781"/>
      <c r="AO1535" s="780"/>
    </row>
    <row r="1536" spans="1:43" ht="15" customHeight="1">
      <c r="A1536" s="1331"/>
      <c r="B1536" s="772"/>
      <c r="C1536" s="771"/>
      <c r="D1536" s="771"/>
      <c r="E1536" s="760"/>
      <c r="F1536" s="760"/>
      <c r="G1536" s="771"/>
      <c r="H1536" s="771"/>
      <c r="I1536" s="771"/>
      <c r="J1536" s="771"/>
      <c r="K1536" s="771"/>
      <c r="L1536" s="771"/>
      <c r="M1536" s="723"/>
      <c r="N1536" s="723"/>
      <c r="O1536" s="723"/>
      <c r="P1536" s="723"/>
      <c r="Q1536" s="717"/>
      <c r="R1536" s="736"/>
      <c r="S1536" s="754"/>
      <c r="T1536" s="754"/>
      <c r="U1536" s="754"/>
      <c r="V1536" s="754"/>
      <c r="W1536" s="717"/>
      <c r="X1536" s="771"/>
      <c r="Y1536" s="916" t="s">
        <v>2716</v>
      </c>
      <c r="Z1536" s="751">
        <v>91564318</v>
      </c>
      <c r="AA1536" s="751">
        <v>-22832847.100000001</v>
      </c>
      <c r="AB1536" s="751">
        <v>68731470.900000006</v>
      </c>
      <c r="AC1536" s="740">
        <v>43250</v>
      </c>
      <c r="AD1536" s="763">
        <f>+AB1536</f>
        <v>68731470.900000006</v>
      </c>
      <c r="AE1536" s="733" t="s">
        <v>131</v>
      </c>
      <c r="AF1536" s="717"/>
      <c r="AG1536" s="717"/>
      <c r="AH1536" s="734"/>
      <c r="AI1536" s="717"/>
      <c r="AJ1536" s="717"/>
      <c r="AK1536" s="723"/>
      <c r="AL1536" s="723"/>
      <c r="AM1536" s="723"/>
      <c r="AN1536" s="781"/>
      <c r="AO1536" s="780"/>
    </row>
    <row r="1537" spans="1:43" ht="15" customHeight="1">
      <c r="A1537" s="1394"/>
      <c r="B1537" s="772"/>
      <c r="C1537" s="771"/>
      <c r="D1537" s="771"/>
      <c r="E1537" s="760"/>
      <c r="F1537" s="760"/>
      <c r="G1537" s="771"/>
      <c r="H1537" s="771"/>
      <c r="I1537" s="771"/>
      <c r="J1537" s="771"/>
      <c r="K1537" s="771"/>
      <c r="L1537" s="771"/>
      <c r="M1537" s="723"/>
      <c r="N1537" s="723"/>
      <c r="O1537" s="723"/>
      <c r="P1537" s="723"/>
      <c r="Q1537" s="717"/>
      <c r="R1537" s="736"/>
      <c r="S1537" s="754"/>
      <c r="T1537" s="754"/>
      <c r="U1537" s="754"/>
      <c r="V1537" s="754"/>
      <c r="W1537" s="717"/>
      <c r="X1537" s="771"/>
      <c r="Y1537" s="916"/>
      <c r="Z1537" s="751"/>
      <c r="AA1537" s="751"/>
      <c r="AB1537" s="751"/>
      <c r="AC1537" s="740"/>
      <c r="AD1537" s="763"/>
      <c r="AE1537" s="733"/>
      <c r="AF1537" s="717"/>
      <c r="AG1537" s="717"/>
      <c r="AH1537" s="734"/>
      <c r="AI1537" s="717"/>
      <c r="AJ1537" s="717"/>
      <c r="AK1537" s="723"/>
      <c r="AL1537" s="723"/>
      <c r="AM1537" s="723"/>
      <c r="AN1537" s="781"/>
      <c r="AO1537" s="780"/>
    </row>
    <row r="1538" spans="1:43" ht="15" customHeight="1">
      <c r="A1538" s="1015" t="s">
        <v>2205</v>
      </c>
      <c r="B1538" s="1068">
        <v>42306</v>
      </c>
      <c r="C1538" s="1011" t="s">
        <v>44</v>
      </c>
      <c r="D1538" s="1011" t="s">
        <v>1812</v>
      </c>
      <c r="E1538" s="1071">
        <v>19244039</v>
      </c>
      <c r="F1538" s="1071"/>
      <c r="G1538" s="1011" t="s">
        <v>2780</v>
      </c>
      <c r="H1538" s="1011" t="s">
        <v>72</v>
      </c>
      <c r="I1538" s="1011" t="s">
        <v>206</v>
      </c>
      <c r="J1538" s="1011" t="s">
        <v>489</v>
      </c>
      <c r="K1538" s="1011" t="s">
        <v>48</v>
      </c>
      <c r="L1538" s="1011"/>
      <c r="M1538" s="1009">
        <v>11</v>
      </c>
      <c r="N1538" s="1065" t="s">
        <v>141</v>
      </c>
      <c r="O1538" s="1062">
        <v>152727250</v>
      </c>
      <c r="P1538" s="1062">
        <v>152727250</v>
      </c>
      <c r="Q1538" s="1062">
        <f>P1538+P1541</f>
        <v>214490731</v>
      </c>
      <c r="R1538" s="1068">
        <v>42173</v>
      </c>
      <c r="S1538" s="1092">
        <f>T1538</f>
        <v>152727250</v>
      </c>
      <c r="T1538" s="1062">
        <v>152727250</v>
      </c>
      <c r="U1538" s="1092">
        <f>P1538-T1538</f>
        <v>0</v>
      </c>
      <c r="V1538" s="1043">
        <v>150846850</v>
      </c>
      <c r="W1538" s="1043">
        <f>V1538+V1541</f>
        <v>212610331</v>
      </c>
      <c r="X1538" s="1011" t="s">
        <v>2203</v>
      </c>
      <c r="Y1538" s="108" t="s">
        <v>2202</v>
      </c>
      <c r="Z1538" s="109">
        <v>0</v>
      </c>
      <c r="AA1538" s="109">
        <v>15084685</v>
      </c>
      <c r="AB1538" s="109">
        <f t="shared" si="126"/>
        <v>15084685</v>
      </c>
      <c r="AC1538" s="97">
        <v>42366</v>
      </c>
      <c r="AD1538" s="119">
        <v>15084685</v>
      </c>
      <c r="AE1538" s="98" t="s">
        <v>141</v>
      </c>
      <c r="AF1538" s="1043">
        <f>SUM(AD1538:AD1540)</f>
        <v>122246235.56</v>
      </c>
      <c r="AG1538" s="1043">
        <f>AF1538+AF1541</f>
        <v>122246235.56</v>
      </c>
      <c r="AH1538" s="111">
        <f t="shared" si="127"/>
        <v>0</v>
      </c>
      <c r="AI1538" s="1043">
        <f>P1538-AF1538</f>
        <v>30481014.439999998</v>
      </c>
      <c r="AJ1538" s="1062">
        <f>SUM(Z1538:Z1541)-SUM(AD1538:AD1541)</f>
        <v>-3177846.049999997</v>
      </c>
      <c r="AK1538" s="1062">
        <f>P1538-V1538</f>
        <v>1880400</v>
      </c>
      <c r="AL1538" s="1062">
        <f>V1538-SUM(Z1538:Z1540)+AJ1538</f>
        <v>28600614.439999998</v>
      </c>
      <c r="AM1538" s="1062"/>
      <c r="AN1538" s="1108"/>
      <c r="AO1538" s="1103" t="s">
        <v>2315</v>
      </c>
    </row>
    <row r="1539" spans="1:43" ht="15" customHeight="1">
      <c r="A1539" s="1050"/>
      <c r="B1539" s="1069"/>
      <c r="C1539" s="1033"/>
      <c r="D1539" s="1033"/>
      <c r="E1539" s="1072"/>
      <c r="F1539" s="1072"/>
      <c r="G1539" s="1033"/>
      <c r="H1539" s="1033"/>
      <c r="I1539" s="1033"/>
      <c r="J1539" s="1033"/>
      <c r="K1539" s="1033"/>
      <c r="L1539" s="1033"/>
      <c r="M1539" s="1039"/>
      <c r="N1539" s="1066"/>
      <c r="O1539" s="1063"/>
      <c r="P1539" s="1063"/>
      <c r="Q1539" s="1063"/>
      <c r="R1539" s="1069"/>
      <c r="S1539" s="1093"/>
      <c r="T1539" s="1063"/>
      <c r="U1539" s="1093"/>
      <c r="V1539" s="1044"/>
      <c r="W1539" s="1044"/>
      <c r="X1539" s="1033"/>
      <c r="Y1539" s="108" t="s">
        <v>2201</v>
      </c>
      <c r="Z1539" s="109">
        <v>119068389.51000001</v>
      </c>
      <c r="AA1539" s="109">
        <v>-11906838.949999999</v>
      </c>
      <c r="AB1539" s="109">
        <f t="shared" si="126"/>
        <v>107161550.56</v>
      </c>
      <c r="AC1539" s="97">
        <v>42731</v>
      </c>
      <c r="AD1539" s="119">
        <v>107161550.56</v>
      </c>
      <c r="AE1539" s="98" t="s">
        <v>141</v>
      </c>
      <c r="AF1539" s="1044"/>
      <c r="AG1539" s="1044"/>
      <c r="AH1539" s="111">
        <f t="shared" si="127"/>
        <v>0</v>
      </c>
      <c r="AI1539" s="1044"/>
      <c r="AJ1539" s="1063"/>
      <c r="AK1539" s="1063"/>
      <c r="AL1539" s="1063"/>
      <c r="AM1539" s="1063"/>
      <c r="AN1539" s="1109"/>
      <c r="AO1539" s="1104"/>
    </row>
    <row r="1540" spans="1:43" ht="15" customHeight="1">
      <c r="A1540" s="1050"/>
      <c r="B1540" s="1069"/>
      <c r="C1540" s="1033"/>
      <c r="D1540" s="1033"/>
      <c r="E1540" s="1072"/>
      <c r="F1540" s="1072"/>
      <c r="G1540" s="1033"/>
      <c r="H1540" s="1033"/>
      <c r="I1540" s="1033"/>
      <c r="J1540" s="1012"/>
      <c r="K1540" s="1033"/>
      <c r="L1540" s="1033"/>
      <c r="M1540" s="1010"/>
      <c r="N1540" s="1067"/>
      <c r="O1540" s="1064"/>
      <c r="P1540" s="1064"/>
      <c r="Q1540" s="1063"/>
      <c r="R1540" s="1070"/>
      <c r="S1540" s="1094"/>
      <c r="T1540" s="1064"/>
      <c r="U1540" s="1094"/>
      <c r="V1540" s="1045"/>
      <c r="W1540" s="1044"/>
      <c r="X1540" s="1033"/>
      <c r="Y1540" s="108"/>
      <c r="Z1540" s="109"/>
      <c r="AA1540" s="109"/>
      <c r="AB1540" s="109">
        <f t="shared" si="126"/>
        <v>0</v>
      </c>
      <c r="AC1540" s="97"/>
      <c r="AD1540" s="119"/>
      <c r="AE1540" s="98"/>
      <c r="AF1540" s="1045"/>
      <c r="AG1540" s="1044"/>
      <c r="AH1540" s="111">
        <f t="shared" si="127"/>
        <v>0</v>
      </c>
      <c r="AI1540" s="1045"/>
      <c r="AJ1540" s="1063"/>
      <c r="AK1540" s="1064"/>
      <c r="AL1540" s="1064"/>
      <c r="AM1540" s="1064"/>
      <c r="AN1540" s="1109"/>
      <c r="AO1540" s="1104"/>
    </row>
    <row r="1541" spans="1:43" ht="15" customHeight="1">
      <c r="A1541" s="1016"/>
      <c r="B1541" s="1070"/>
      <c r="C1541" s="1012"/>
      <c r="D1541" s="1012"/>
      <c r="E1541" s="1073"/>
      <c r="F1541" s="1073"/>
      <c r="G1541" s="1012"/>
      <c r="H1541" s="1012"/>
      <c r="I1541" s="1012"/>
      <c r="J1541" s="113" t="s">
        <v>67</v>
      </c>
      <c r="K1541" s="1012"/>
      <c r="L1541" s="1012"/>
      <c r="M1541" s="102">
        <v>14</v>
      </c>
      <c r="N1541" s="108" t="s">
        <v>141</v>
      </c>
      <c r="O1541" s="109">
        <v>61763481</v>
      </c>
      <c r="P1541" s="109">
        <v>61763481</v>
      </c>
      <c r="Q1541" s="1064"/>
      <c r="R1541" s="97">
        <v>42689</v>
      </c>
      <c r="S1541" s="110">
        <f>T1541</f>
        <v>61763481</v>
      </c>
      <c r="T1541" s="109">
        <v>61763481</v>
      </c>
      <c r="U1541" s="109">
        <f>P1541-T1541</f>
        <v>0</v>
      </c>
      <c r="V1541" s="111">
        <v>61763481</v>
      </c>
      <c r="W1541" s="1045"/>
      <c r="X1541" s="1012"/>
      <c r="Y1541" s="108"/>
      <c r="Z1541" s="109"/>
      <c r="AA1541" s="109"/>
      <c r="AB1541" s="109">
        <f t="shared" si="126"/>
        <v>0</v>
      </c>
      <c r="AC1541" s="97"/>
      <c r="AD1541" s="119"/>
      <c r="AE1541" s="98"/>
      <c r="AF1541" s="111">
        <f>AD1541</f>
        <v>0</v>
      </c>
      <c r="AG1541" s="1045"/>
      <c r="AH1541" s="111">
        <f t="shared" si="127"/>
        <v>0</v>
      </c>
      <c r="AI1541" s="111">
        <f>P1541-AF1541</f>
        <v>61763481</v>
      </c>
      <c r="AJ1541" s="1064"/>
      <c r="AK1541" s="109">
        <f>P1541-V1541</f>
        <v>0</v>
      </c>
      <c r="AL1541" s="109">
        <f>V1541-Z1541</f>
        <v>61763481</v>
      </c>
      <c r="AM1541" s="109"/>
      <c r="AN1541" s="1110"/>
      <c r="AO1541" s="1105"/>
    </row>
    <row r="1542" spans="1:43" ht="15" customHeight="1">
      <c r="A1542" s="1030" t="s">
        <v>1857</v>
      </c>
      <c r="B1542" s="1068">
        <v>42306</v>
      </c>
      <c r="C1542" s="1011" t="s">
        <v>11</v>
      </c>
      <c r="D1542" s="1011" t="s">
        <v>1855</v>
      </c>
      <c r="E1542" s="1071">
        <v>900902598</v>
      </c>
      <c r="F1542" s="1071">
        <v>8</v>
      </c>
      <c r="G1542" s="1011" t="s">
        <v>1856</v>
      </c>
      <c r="H1542" s="1011" t="s">
        <v>70</v>
      </c>
      <c r="I1542" s="1011" t="s">
        <v>206</v>
      </c>
      <c r="J1542" s="1011" t="s">
        <v>66</v>
      </c>
      <c r="K1542" s="1011" t="s">
        <v>49</v>
      </c>
      <c r="L1542" s="1011" t="s">
        <v>1859</v>
      </c>
      <c r="M1542" s="1167">
        <v>9</v>
      </c>
      <c r="N1542" s="1065" t="s">
        <v>131</v>
      </c>
      <c r="O1542" s="1062">
        <v>161453051</v>
      </c>
      <c r="P1542" s="1062">
        <v>161453051</v>
      </c>
      <c r="Q1542" s="1062">
        <v>161453051</v>
      </c>
      <c r="R1542" s="1068">
        <v>42219</v>
      </c>
      <c r="S1542" s="1092">
        <f>T1542</f>
        <v>161453051</v>
      </c>
      <c r="T1542" s="1062">
        <v>161453051</v>
      </c>
      <c r="U1542" s="1062">
        <f>O1542-T1542</f>
        <v>0</v>
      </c>
      <c r="V1542" s="1043">
        <v>161430240</v>
      </c>
      <c r="W1542" s="1062">
        <v>161430240</v>
      </c>
      <c r="X1542" s="1011" t="s">
        <v>1858</v>
      </c>
      <c r="Y1542" s="108" t="s">
        <v>1860</v>
      </c>
      <c r="Z1542" s="109">
        <v>0</v>
      </c>
      <c r="AA1542" s="109">
        <v>16143024</v>
      </c>
      <c r="AB1542" s="109">
        <f t="shared" si="126"/>
        <v>16143024</v>
      </c>
      <c r="AC1542" s="97">
        <v>42366</v>
      </c>
      <c r="AD1542" s="119">
        <v>16143024</v>
      </c>
      <c r="AE1542" s="98" t="s">
        <v>131</v>
      </c>
      <c r="AF1542" s="1043">
        <f>SUM(AD1542:AD1544)</f>
        <v>113001168</v>
      </c>
      <c r="AG1542" s="1043">
        <f>AF1542</f>
        <v>113001168</v>
      </c>
      <c r="AH1542" s="111">
        <f t="shared" si="127"/>
        <v>0</v>
      </c>
      <c r="AI1542" s="1043">
        <f>P1542-SUM(AD1542:AD1544)</f>
        <v>48451883</v>
      </c>
      <c r="AJ1542" s="1062">
        <f>SUM(Z1542:Z1544)-SUM(AD1542:AD1544)</f>
        <v>0</v>
      </c>
      <c r="AK1542" s="1062">
        <f>P1542-V1542</f>
        <v>22811</v>
      </c>
      <c r="AL1542" s="1062">
        <f>V1542-SUM(Z1542:Z1544)</f>
        <v>48429072</v>
      </c>
      <c r="AM1542" s="1062"/>
      <c r="AN1542" s="1108"/>
      <c r="AO1542" s="1103" t="s">
        <v>1767</v>
      </c>
    </row>
    <row r="1543" spans="1:43" ht="15" customHeight="1">
      <c r="A1543" s="1031"/>
      <c r="B1543" s="1069"/>
      <c r="C1543" s="1033"/>
      <c r="D1543" s="1033"/>
      <c r="E1543" s="1072"/>
      <c r="F1543" s="1072"/>
      <c r="G1543" s="1033"/>
      <c r="H1543" s="1033"/>
      <c r="I1543" s="1033"/>
      <c r="J1543" s="1033"/>
      <c r="K1543" s="1033"/>
      <c r="L1543" s="1033"/>
      <c r="M1543" s="1168"/>
      <c r="N1543" s="1066"/>
      <c r="O1543" s="1063"/>
      <c r="P1543" s="1063"/>
      <c r="Q1543" s="1063"/>
      <c r="R1543" s="1069"/>
      <c r="S1543" s="1093"/>
      <c r="T1543" s="1063"/>
      <c r="U1543" s="1063"/>
      <c r="V1543" s="1044"/>
      <c r="W1543" s="1063"/>
      <c r="X1543" s="1033"/>
      <c r="Y1543" s="108" t="s">
        <v>1861</v>
      </c>
      <c r="Z1543" s="109">
        <v>113001168</v>
      </c>
      <c r="AA1543" s="109">
        <v>-16143024</v>
      </c>
      <c r="AB1543" s="109">
        <f>Z1543+AA1543</f>
        <v>96858144</v>
      </c>
      <c r="AC1543" s="97">
        <v>42895</v>
      </c>
      <c r="AD1543" s="119">
        <v>96858144</v>
      </c>
      <c r="AE1543" s="98" t="s">
        <v>131</v>
      </c>
      <c r="AF1543" s="1044"/>
      <c r="AG1543" s="1044"/>
      <c r="AH1543" s="111">
        <f>AB1543-AD1543</f>
        <v>0</v>
      </c>
      <c r="AI1543" s="1044"/>
      <c r="AJ1543" s="1063"/>
      <c r="AK1543" s="1063"/>
      <c r="AL1543" s="1063"/>
      <c r="AM1543" s="1063"/>
      <c r="AN1543" s="1109"/>
      <c r="AO1543" s="1104"/>
    </row>
    <row r="1544" spans="1:43" ht="15" customHeight="1">
      <c r="A1544" s="1032"/>
      <c r="B1544" s="1070"/>
      <c r="C1544" s="1012"/>
      <c r="D1544" s="1012"/>
      <c r="E1544" s="1073"/>
      <c r="F1544" s="1073"/>
      <c r="G1544" s="1012"/>
      <c r="H1544" s="1012"/>
      <c r="I1544" s="1012"/>
      <c r="J1544" s="1012"/>
      <c r="K1544" s="1012"/>
      <c r="L1544" s="1012"/>
      <c r="M1544" s="1169"/>
      <c r="N1544" s="1067"/>
      <c r="O1544" s="1064"/>
      <c r="P1544" s="1064"/>
      <c r="Q1544" s="1064"/>
      <c r="R1544" s="1070"/>
      <c r="S1544" s="1094"/>
      <c r="T1544" s="1064"/>
      <c r="U1544" s="1064"/>
      <c r="V1544" s="1045"/>
      <c r="W1544" s="1064"/>
      <c r="X1544" s="1012"/>
      <c r="Y1544" s="108"/>
      <c r="Z1544" s="109"/>
      <c r="AA1544" s="109"/>
      <c r="AB1544" s="109">
        <f>Z1544+AA1544</f>
        <v>0</v>
      </c>
      <c r="AC1544" s="97"/>
      <c r="AD1544" s="119"/>
      <c r="AE1544" s="98"/>
      <c r="AF1544" s="1045"/>
      <c r="AG1544" s="1045"/>
      <c r="AH1544" s="111">
        <f>AB1544-AD1544</f>
        <v>0</v>
      </c>
      <c r="AI1544" s="1045"/>
      <c r="AJ1544" s="1064"/>
      <c r="AK1544" s="1064"/>
      <c r="AL1544" s="1064"/>
      <c r="AM1544" s="1064"/>
      <c r="AN1544" s="1110"/>
      <c r="AO1544" s="1105"/>
    </row>
    <row r="1545" spans="1:43" ht="15" customHeight="1">
      <c r="A1545" s="1030" t="s">
        <v>2011</v>
      </c>
      <c r="B1545" s="1068">
        <v>42317</v>
      </c>
      <c r="C1545" s="1011" t="s">
        <v>36</v>
      </c>
      <c r="D1545" s="1011" t="s">
        <v>2013</v>
      </c>
      <c r="E1545" s="1071">
        <v>900905890</v>
      </c>
      <c r="F1545" s="1071">
        <v>8</v>
      </c>
      <c r="G1545" s="1011" t="s">
        <v>2876</v>
      </c>
      <c r="H1545" s="1011" t="s">
        <v>70</v>
      </c>
      <c r="I1545" s="1011" t="s">
        <v>206</v>
      </c>
      <c r="J1545" s="1011" t="s">
        <v>66</v>
      </c>
      <c r="K1545" s="1011" t="s">
        <v>49</v>
      </c>
      <c r="L1545" s="1011" t="s">
        <v>2014</v>
      </c>
      <c r="M1545" s="1145">
        <v>11</v>
      </c>
      <c r="N1545" s="1065" t="s">
        <v>161</v>
      </c>
      <c r="O1545" s="1062">
        <v>118192388</v>
      </c>
      <c r="P1545" s="1062">
        <v>118192388</v>
      </c>
      <c r="Q1545" s="1062">
        <v>118192388</v>
      </c>
      <c r="R1545" s="1068">
        <v>42208</v>
      </c>
      <c r="S1545" s="1092">
        <f>T1545</f>
        <v>118192388</v>
      </c>
      <c r="T1545" s="1092">
        <v>118192388</v>
      </c>
      <c r="U1545" s="1092">
        <f>O1545-T1545</f>
        <v>0</v>
      </c>
      <c r="V1545" s="1043">
        <v>118192388</v>
      </c>
      <c r="W1545" s="1043">
        <v>118192388</v>
      </c>
      <c r="X1545" s="1011" t="s">
        <v>1934</v>
      </c>
      <c r="Y1545" s="108" t="s">
        <v>2015</v>
      </c>
      <c r="Z1545" s="109">
        <v>88644291</v>
      </c>
      <c r="AA1545" s="109">
        <v>0</v>
      </c>
      <c r="AB1545" s="109">
        <f t="shared" ref="AB1545:AB1582" si="128">Z1545+AA1545</f>
        <v>88644291</v>
      </c>
      <c r="AC1545" s="97">
        <v>43055</v>
      </c>
      <c r="AD1545" s="119">
        <v>88644291</v>
      </c>
      <c r="AE1545" s="98" t="s">
        <v>161</v>
      </c>
      <c r="AF1545" s="1043">
        <f>AD1545+AD1546</f>
        <v>88644291</v>
      </c>
      <c r="AG1545" s="1043">
        <f>AF1545</f>
        <v>88644291</v>
      </c>
      <c r="AH1545" s="111">
        <f>AB1545-AD1545</f>
        <v>0</v>
      </c>
      <c r="AI1545" s="1043">
        <f>P1545-AF1545</f>
        <v>29548097</v>
      </c>
      <c r="AJ1545" s="1062">
        <f>SUM(Z1545:Z1546)-SUM(AD1545:AD1546)</f>
        <v>0</v>
      </c>
      <c r="AK1545" s="1062">
        <f>P1545-V1545</f>
        <v>0</v>
      </c>
      <c r="AL1545" s="1062">
        <f>V1545-Z1545-Z1546</f>
        <v>29548097</v>
      </c>
      <c r="AM1545" s="1062"/>
      <c r="AN1545" s="1103"/>
      <c r="AO1545" s="1103" t="s">
        <v>2016</v>
      </c>
    </row>
    <row r="1546" spans="1:43" ht="15" customHeight="1">
      <c r="A1546" s="1032"/>
      <c r="B1546" s="1070"/>
      <c r="C1546" s="1012"/>
      <c r="D1546" s="1012"/>
      <c r="E1546" s="1073"/>
      <c r="F1546" s="1073"/>
      <c r="G1546" s="1012"/>
      <c r="H1546" s="1012"/>
      <c r="I1546" s="1012"/>
      <c r="J1546" s="1012"/>
      <c r="K1546" s="1012"/>
      <c r="L1546" s="1012"/>
      <c r="M1546" s="1147"/>
      <c r="N1546" s="1067"/>
      <c r="O1546" s="1064"/>
      <c r="P1546" s="1064"/>
      <c r="Q1546" s="1064"/>
      <c r="R1546" s="1070"/>
      <c r="S1546" s="1094"/>
      <c r="T1546" s="1094"/>
      <c r="U1546" s="1094"/>
      <c r="V1546" s="1045"/>
      <c r="W1546" s="1045"/>
      <c r="X1546" s="1012"/>
      <c r="Y1546" s="108"/>
      <c r="Z1546" s="109"/>
      <c r="AA1546" s="109"/>
      <c r="AB1546" s="109">
        <f t="shared" si="128"/>
        <v>0</v>
      </c>
      <c r="AC1546" s="97"/>
      <c r="AD1546" s="119"/>
      <c r="AE1546" s="98"/>
      <c r="AF1546" s="1045"/>
      <c r="AG1546" s="1045"/>
      <c r="AH1546" s="111">
        <f>AB1546-AD1546</f>
        <v>0</v>
      </c>
      <c r="AI1546" s="1045"/>
      <c r="AJ1546" s="1064"/>
      <c r="AK1546" s="1064"/>
      <c r="AL1546" s="1064"/>
      <c r="AM1546" s="1064"/>
      <c r="AN1546" s="1105"/>
      <c r="AO1546" s="1105"/>
    </row>
    <row r="1547" spans="1:43" ht="15" customHeight="1">
      <c r="A1547" s="1015" t="s">
        <v>1910</v>
      </c>
      <c r="B1547" s="1068">
        <v>43066</v>
      </c>
      <c r="C1547" s="1011" t="s">
        <v>39</v>
      </c>
      <c r="D1547" s="1011" t="s">
        <v>1913</v>
      </c>
      <c r="E1547" s="1071">
        <v>10301085</v>
      </c>
      <c r="F1547" s="1071"/>
      <c r="G1547" s="1011" t="s">
        <v>1912</v>
      </c>
      <c r="H1547" s="1011" t="s">
        <v>70</v>
      </c>
      <c r="I1547" s="1011" t="s">
        <v>206</v>
      </c>
      <c r="J1547" s="1011" t="s">
        <v>66</v>
      </c>
      <c r="K1547" s="1011" t="s">
        <v>49</v>
      </c>
      <c r="L1547" s="1011" t="s">
        <v>1915</v>
      </c>
      <c r="M1547" s="1145">
        <v>10</v>
      </c>
      <c r="N1547" s="1065" t="s">
        <v>164</v>
      </c>
      <c r="O1547" s="1062">
        <v>4240000</v>
      </c>
      <c r="P1547" s="1062">
        <v>4240000</v>
      </c>
      <c r="Q1547" s="1062">
        <f>P1547+P1551+P1555+P1559+P1563+P1567+P1571+P1575+P1579</f>
        <v>36720000</v>
      </c>
      <c r="R1547" s="1068">
        <v>42164</v>
      </c>
      <c r="S1547" s="1092">
        <f>T1547</f>
        <v>4240000</v>
      </c>
      <c r="T1547" s="1092">
        <v>4240000</v>
      </c>
      <c r="U1547" s="1092">
        <f>O1547-T1547</f>
        <v>0</v>
      </c>
      <c r="V1547" s="1043">
        <v>4238626</v>
      </c>
      <c r="W1547" s="1043">
        <v>36708100</v>
      </c>
      <c r="X1547" s="1011" t="s">
        <v>1914</v>
      </c>
      <c r="Y1547" s="108" t="s">
        <v>1917</v>
      </c>
      <c r="Z1547" s="109">
        <v>0</v>
      </c>
      <c r="AA1547" s="109">
        <v>423862.6</v>
      </c>
      <c r="AB1547" s="109">
        <f t="shared" si="128"/>
        <v>423862.6</v>
      </c>
      <c r="AC1547" s="97">
        <v>42366</v>
      </c>
      <c r="AD1547" s="119">
        <v>423862.6</v>
      </c>
      <c r="AE1547" s="98" t="s">
        <v>164</v>
      </c>
      <c r="AF1547" s="1043">
        <f>SUM(AD1547:AD1550)</f>
        <v>3509182.58</v>
      </c>
      <c r="AG1547" s="1043" t="e">
        <f>AF1547+AF1551+AF1555+AF1559+AF1563+AF1567+AF1571+AF1575+AF1579</f>
        <v>#REF!</v>
      </c>
      <c r="AH1547" s="111"/>
      <c r="AI1547" s="1043">
        <f>O1547-SUM(AD1547:AD1550)</f>
        <v>730817.41999999993</v>
      </c>
      <c r="AJ1547" s="1062"/>
      <c r="AK1547" s="1062">
        <f>P1547-V1547</f>
        <v>1374</v>
      </c>
      <c r="AL1547" s="1062"/>
      <c r="AM1547" s="1062"/>
      <c r="AN1547" s="1108"/>
      <c r="AO1547" s="1103" t="s">
        <v>1916</v>
      </c>
    </row>
    <row r="1548" spans="1:43" ht="15" customHeight="1">
      <c r="A1548" s="1050"/>
      <c r="B1548" s="1069"/>
      <c r="C1548" s="1033"/>
      <c r="D1548" s="1033"/>
      <c r="E1548" s="1072"/>
      <c r="F1548" s="1072"/>
      <c r="G1548" s="1033"/>
      <c r="H1548" s="1033"/>
      <c r="I1548" s="1033"/>
      <c r="J1548" s="1033"/>
      <c r="K1548" s="1033"/>
      <c r="L1548" s="1033"/>
      <c r="M1548" s="1146"/>
      <c r="N1548" s="1066"/>
      <c r="O1548" s="1063"/>
      <c r="P1548" s="1063"/>
      <c r="Q1548" s="1063"/>
      <c r="R1548" s="1069"/>
      <c r="S1548" s="1093"/>
      <c r="T1548" s="1093"/>
      <c r="U1548" s="1093"/>
      <c r="V1548" s="1044"/>
      <c r="W1548" s="1044"/>
      <c r="X1548" s="1033"/>
      <c r="Y1548" s="108" t="s">
        <v>1918</v>
      </c>
      <c r="Z1548" s="109">
        <v>305136</v>
      </c>
      <c r="AA1548" s="109">
        <v>-186803.44</v>
      </c>
      <c r="AB1548" s="109">
        <f t="shared" si="128"/>
        <v>118332.56</v>
      </c>
      <c r="AC1548" s="1068">
        <v>42822</v>
      </c>
      <c r="AD1548" s="119">
        <v>118332.56</v>
      </c>
      <c r="AE1548" s="98" t="s">
        <v>164</v>
      </c>
      <c r="AF1548" s="1044"/>
      <c r="AG1548" s="1044"/>
      <c r="AH1548" s="111"/>
      <c r="AI1548" s="1044"/>
      <c r="AJ1548" s="1063"/>
      <c r="AK1548" s="1063"/>
      <c r="AL1548" s="1063"/>
      <c r="AM1548" s="1063"/>
      <c r="AN1548" s="1109"/>
      <c r="AO1548" s="1104"/>
    </row>
    <row r="1549" spans="1:43" ht="15" customHeight="1">
      <c r="A1549" s="1050"/>
      <c r="B1549" s="1069"/>
      <c r="C1549" s="1033"/>
      <c r="D1549" s="1033"/>
      <c r="E1549" s="1072"/>
      <c r="F1549" s="1072"/>
      <c r="G1549" s="1033"/>
      <c r="H1549" s="1033"/>
      <c r="I1549" s="1033"/>
      <c r="J1549" s="1033"/>
      <c r="K1549" s="1033"/>
      <c r="L1549" s="1033"/>
      <c r="M1549" s="1146"/>
      <c r="N1549" s="1066"/>
      <c r="O1549" s="1063"/>
      <c r="P1549" s="1063"/>
      <c r="Q1549" s="1063"/>
      <c r="R1549" s="1069"/>
      <c r="S1549" s="1093"/>
      <c r="T1549" s="1093"/>
      <c r="U1549" s="1093"/>
      <c r="V1549" s="1044"/>
      <c r="W1549" s="1044"/>
      <c r="X1549" s="1033"/>
      <c r="Y1549" s="108" t="s">
        <v>1919</v>
      </c>
      <c r="Z1549" s="109">
        <v>3142212</v>
      </c>
      <c r="AA1549" s="109">
        <v>-175224.58</v>
      </c>
      <c r="AB1549" s="109">
        <f t="shared" si="128"/>
        <v>2966987.42</v>
      </c>
      <c r="AC1549" s="1070"/>
      <c r="AD1549" s="119">
        <v>2966987.42</v>
      </c>
      <c r="AE1549" s="98" t="s">
        <v>164</v>
      </c>
      <c r="AF1549" s="1044"/>
      <c r="AG1549" s="1044"/>
      <c r="AH1549" s="111"/>
      <c r="AI1549" s="1044"/>
      <c r="AJ1549" s="1063"/>
      <c r="AK1549" s="1063"/>
      <c r="AL1549" s="1063"/>
      <c r="AM1549" s="1063"/>
      <c r="AN1549" s="1109"/>
      <c r="AO1549" s="1104"/>
    </row>
    <row r="1550" spans="1:43" ht="15" customHeight="1">
      <c r="A1550" s="1050"/>
      <c r="B1550" s="1069"/>
      <c r="C1550" s="1012"/>
      <c r="D1550" s="1033"/>
      <c r="E1550" s="1072"/>
      <c r="F1550" s="1072"/>
      <c r="G1550" s="1033"/>
      <c r="H1550" s="1033"/>
      <c r="I1550" s="1033"/>
      <c r="J1550" s="1033"/>
      <c r="K1550" s="1033"/>
      <c r="L1550" s="1033"/>
      <c r="M1550" s="1147"/>
      <c r="N1550" s="1067"/>
      <c r="O1550" s="1064"/>
      <c r="P1550" s="1064"/>
      <c r="Q1550" s="1063"/>
      <c r="R1550" s="1070"/>
      <c r="S1550" s="1094"/>
      <c r="T1550" s="1094"/>
      <c r="U1550" s="1094"/>
      <c r="V1550" s="1045"/>
      <c r="W1550" s="1044"/>
      <c r="X1550" s="1033"/>
      <c r="Y1550" s="108"/>
      <c r="Z1550" s="109"/>
      <c r="AA1550" s="109"/>
      <c r="AB1550" s="109">
        <f t="shared" si="128"/>
        <v>0</v>
      </c>
      <c r="AC1550" s="97"/>
      <c r="AD1550" s="119"/>
      <c r="AE1550" s="98"/>
      <c r="AF1550" s="1045"/>
      <c r="AG1550" s="1044"/>
      <c r="AH1550" s="111"/>
      <c r="AI1550" s="1045"/>
      <c r="AJ1550" s="1063"/>
      <c r="AK1550" s="1064"/>
      <c r="AL1550" s="1064"/>
      <c r="AM1550" s="1064"/>
      <c r="AN1550" s="1109"/>
      <c r="AO1550" s="1104"/>
    </row>
    <row r="1551" spans="1:43" s="29" customFormat="1" ht="15" customHeight="1">
      <c r="A1551" s="1050"/>
      <c r="B1551" s="1069"/>
      <c r="C1551" s="1142" t="s">
        <v>23</v>
      </c>
      <c r="D1551" s="1033"/>
      <c r="E1551" s="1072"/>
      <c r="F1551" s="1072"/>
      <c r="G1551" s="1033"/>
      <c r="H1551" s="1033"/>
      <c r="I1551" s="1033"/>
      <c r="J1551" s="1033"/>
      <c r="K1551" s="1033"/>
      <c r="L1551" s="1033"/>
      <c r="M1551" s="1161">
        <v>9</v>
      </c>
      <c r="N1551" s="1157" t="s">
        <v>146</v>
      </c>
      <c r="O1551" s="1043">
        <v>4240000</v>
      </c>
      <c r="P1551" s="1043">
        <v>4240000</v>
      </c>
      <c r="Q1551" s="1063"/>
      <c r="R1551" s="1120">
        <v>42164</v>
      </c>
      <c r="S1551" s="1150">
        <f>T1551</f>
        <v>4240000</v>
      </c>
      <c r="T1551" s="1150">
        <v>4240000</v>
      </c>
      <c r="U1551" s="1150">
        <f>O1551-T1551</f>
        <v>0</v>
      </c>
      <c r="V1551" s="1043">
        <v>4238626</v>
      </c>
      <c r="W1551" s="1044"/>
      <c r="X1551" s="1033"/>
      <c r="Y1551" s="121" t="s">
        <v>1917</v>
      </c>
      <c r="Z1551" s="111">
        <v>0</v>
      </c>
      <c r="AA1551" s="111">
        <v>423862.6</v>
      </c>
      <c r="AB1551" s="109">
        <f t="shared" si="128"/>
        <v>423862.6</v>
      </c>
      <c r="AC1551" s="97">
        <v>42366</v>
      </c>
      <c r="AD1551" s="119">
        <v>423862.6</v>
      </c>
      <c r="AE1551" s="98" t="s">
        <v>146</v>
      </c>
      <c r="AF1551" s="1043">
        <f>SUM(AD1551:AD1554)</f>
        <v>3643750.54</v>
      </c>
      <c r="AG1551" s="1044"/>
      <c r="AH1551" s="111"/>
      <c r="AI1551" s="1043">
        <f>O1551-SUM(AD1551:AD1554)</f>
        <v>596249.46</v>
      </c>
      <c r="AJ1551" s="1063"/>
      <c r="AK1551" s="1043">
        <f>P1551-V1551</f>
        <v>1374</v>
      </c>
      <c r="AL1551" s="1043"/>
      <c r="AM1551" s="1043"/>
      <c r="AN1551" s="1109"/>
      <c r="AO1551" s="1104"/>
      <c r="AQ1551" s="934"/>
    </row>
    <row r="1552" spans="1:43" s="29" customFormat="1" ht="15" customHeight="1">
      <c r="A1552" s="1050"/>
      <c r="B1552" s="1069"/>
      <c r="C1552" s="1143"/>
      <c r="D1552" s="1033"/>
      <c r="E1552" s="1072"/>
      <c r="F1552" s="1072"/>
      <c r="G1552" s="1033"/>
      <c r="H1552" s="1033"/>
      <c r="I1552" s="1033"/>
      <c r="J1552" s="1033"/>
      <c r="K1552" s="1033"/>
      <c r="L1552" s="1033"/>
      <c r="M1552" s="1162"/>
      <c r="N1552" s="1158"/>
      <c r="O1552" s="1044"/>
      <c r="P1552" s="1044"/>
      <c r="Q1552" s="1063"/>
      <c r="R1552" s="1121"/>
      <c r="S1552" s="1151"/>
      <c r="T1552" s="1151"/>
      <c r="U1552" s="1151"/>
      <c r="V1552" s="1044"/>
      <c r="W1552" s="1044"/>
      <c r="X1552" s="1033"/>
      <c r="Y1552" s="108" t="s">
        <v>1918</v>
      </c>
      <c r="Z1552" s="111">
        <v>1810243</v>
      </c>
      <c r="AA1552" s="111">
        <v>-186803.48</v>
      </c>
      <c r="AB1552" s="109">
        <f t="shared" si="128"/>
        <v>1623439.52</v>
      </c>
      <c r="AC1552" s="1068">
        <v>42822</v>
      </c>
      <c r="AD1552" s="119">
        <v>1623439.52</v>
      </c>
      <c r="AE1552" s="98" t="s">
        <v>146</v>
      </c>
      <c r="AF1552" s="1044"/>
      <c r="AG1552" s="1044"/>
      <c r="AH1552" s="111"/>
      <c r="AI1552" s="1044"/>
      <c r="AJ1552" s="1063"/>
      <c r="AK1552" s="1044"/>
      <c r="AL1552" s="1044"/>
      <c r="AM1552" s="1044"/>
      <c r="AN1552" s="1109"/>
      <c r="AO1552" s="1104"/>
      <c r="AQ1552" s="934"/>
    </row>
    <row r="1553" spans="1:43" s="29" customFormat="1" ht="15" customHeight="1">
      <c r="A1553" s="1050"/>
      <c r="B1553" s="1069"/>
      <c r="C1553" s="1143"/>
      <c r="D1553" s="1033"/>
      <c r="E1553" s="1072"/>
      <c r="F1553" s="1072"/>
      <c r="G1553" s="1033"/>
      <c r="H1553" s="1033"/>
      <c r="I1553" s="1033"/>
      <c r="J1553" s="1033"/>
      <c r="K1553" s="1033"/>
      <c r="L1553" s="1033"/>
      <c r="M1553" s="1162"/>
      <c r="N1553" s="1158"/>
      <c r="O1553" s="1044"/>
      <c r="P1553" s="1044"/>
      <c r="Q1553" s="1063"/>
      <c r="R1553" s="1121"/>
      <c r="S1553" s="1151"/>
      <c r="T1553" s="1151"/>
      <c r="U1553" s="1151"/>
      <c r="V1553" s="1044"/>
      <c r="W1553" s="1044"/>
      <c r="X1553" s="1033"/>
      <c r="Y1553" s="108" t="s">
        <v>1919</v>
      </c>
      <c r="Z1553" s="111">
        <v>1771673</v>
      </c>
      <c r="AA1553" s="111">
        <v>-175224.58</v>
      </c>
      <c r="AB1553" s="109">
        <f t="shared" si="128"/>
        <v>1596448.42</v>
      </c>
      <c r="AC1553" s="1070"/>
      <c r="AD1553" s="119">
        <v>1596448.42</v>
      </c>
      <c r="AE1553" s="98" t="s">
        <v>146</v>
      </c>
      <c r="AF1553" s="1044"/>
      <c r="AG1553" s="1044"/>
      <c r="AH1553" s="111"/>
      <c r="AI1553" s="1044"/>
      <c r="AJ1553" s="1063"/>
      <c r="AK1553" s="1044"/>
      <c r="AL1553" s="1044"/>
      <c r="AM1553" s="1044"/>
      <c r="AN1553" s="1109"/>
      <c r="AO1553" s="1104"/>
      <c r="AQ1553" s="934"/>
    </row>
    <row r="1554" spans="1:43" s="29" customFormat="1" ht="15" customHeight="1">
      <c r="A1554" s="1050"/>
      <c r="B1554" s="1069"/>
      <c r="C1554" s="1144"/>
      <c r="D1554" s="1033"/>
      <c r="E1554" s="1072"/>
      <c r="F1554" s="1072"/>
      <c r="G1554" s="1033"/>
      <c r="H1554" s="1033"/>
      <c r="I1554" s="1033"/>
      <c r="J1554" s="1033"/>
      <c r="K1554" s="1033"/>
      <c r="L1554" s="1033"/>
      <c r="M1554" s="1163"/>
      <c r="N1554" s="1159"/>
      <c r="O1554" s="1045"/>
      <c r="P1554" s="1045"/>
      <c r="Q1554" s="1063"/>
      <c r="R1554" s="1160"/>
      <c r="S1554" s="1152"/>
      <c r="T1554" s="1152"/>
      <c r="U1554" s="1152"/>
      <c r="V1554" s="1045"/>
      <c r="W1554" s="1044"/>
      <c r="X1554" s="1033"/>
      <c r="Y1554" s="121"/>
      <c r="Z1554" s="111"/>
      <c r="AA1554" s="111"/>
      <c r="AB1554" s="109">
        <f t="shared" si="128"/>
        <v>0</v>
      </c>
      <c r="AC1554" s="125"/>
      <c r="AD1554" s="119"/>
      <c r="AE1554" s="98"/>
      <c r="AF1554" s="1045"/>
      <c r="AG1554" s="1044"/>
      <c r="AH1554" s="111"/>
      <c r="AI1554" s="1045"/>
      <c r="AJ1554" s="1063"/>
      <c r="AK1554" s="1045"/>
      <c r="AL1554" s="1045"/>
      <c r="AM1554" s="1045"/>
      <c r="AN1554" s="1109"/>
      <c r="AO1554" s="1104"/>
      <c r="AQ1554" s="934"/>
    </row>
    <row r="1555" spans="1:43" ht="15" customHeight="1">
      <c r="A1555" s="1050"/>
      <c r="B1555" s="1069"/>
      <c r="C1555" s="1011" t="s">
        <v>12</v>
      </c>
      <c r="D1555" s="1033"/>
      <c r="E1555" s="1072"/>
      <c r="F1555" s="1072"/>
      <c r="G1555" s="1033"/>
      <c r="H1555" s="1033"/>
      <c r="I1555" s="1033"/>
      <c r="J1555" s="1033"/>
      <c r="K1555" s="1033"/>
      <c r="L1555" s="1033"/>
      <c r="M1555" s="1145">
        <v>11</v>
      </c>
      <c r="N1555" s="1065" t="s">
        <v>132</v>
      </c>
      <c r="O1555" s="1062">
        <v>4240000</v>
      </c>
      <c r="P1555" s="1062">
        <v>4240000</v>
      </c>
      <c r="Q1555" s="1063"/>
      <c r="R1555" s="1068">
        <v>42164</v>
      </c>
      <c r="S1555" s="1092">
        <f>T1555</f>
        <v>4240000</v>
      </c>
      <c r="T1555" s="1092">
        <v>4240000</v>
      </c>
      <c r="U1555" s="1092">
        <f>O1555-T1555</f>
        <v>0</v>
      </c>
      <c r="V1555" s="1043">
        <v>4238626</v>
      </c>
      <c r="W1555" s="1044"/>
      <c r="X1555" s="1033"/>
      <c r="Y1555" s="108" t="s">
        <v>1917</v>
      </c>
      <c r="Z1555" s="109">
        <v>0</v>
      </c>
      <c r="AA1555" s="109">
        <v>423862.6</v>
      </c>
      <c r="AB1555" s="109">
        <f t="shared" si="128"/>
        <v>423862.6</v>
      </c>
      <c r="AC1555" s="97">
        <v>42366</v>
      </c>
      <c r="AD1555" s="119">
        <v>423862.6</v>
      </c>
      <c r="AE1555" s="98" t="s">
        <v>132</v>
      </c>
      <c r="AF1555" s="1043">
        <f>SUM(AD1555:AD1558)</f>
        <v>3918887.18</v>
      </c>
      <c r="AG1555" s="1044"/>
      <c r="AH1555" s="111"/>
      <c r="AI1555" s="1043">
        <f>O1555-SUM(AD1555:AD1558)</f>
        <v>321112.81999999983</v>
      </c>
      <c r="AJ1555" s="1063"/>
      <c r="AK1555" s="1062">
        <f>P1555-V1555</f>
        <v>1374</v>
      </c>
      <c r="AL1555" s="1062"/>
      <c r="AM1555" s="1062"/>
      <c r="AN1555" s="1109"/>
      <c r="AO1555" s="1104"/>
    </row>
    <row r="1556" spans="1:43" ht="15" customHeight="1">
      <c r="A1556" s="1050"/>
      <c r="B1556" s="1069"/>
      <c r="C1556" s="1033"/>
      <c r="D1556" s="1033"/>
      <c r="E1556" s="1072"/>
      <c r="F1556" s="1072"/>
      <c r="G1556" s="1033"/>
      <c r="H1556" s="1033"/>
      <c r="I1556" s="1033"/>
      <c r="J1556" s="1033"/>
      <c r="K1556" s="1033"/>
      <c r="L1556" s="1033"/>
      <c r="M1556" s="1146"/>
      <c r="N1556" s="1066"/>
      <c r="O1556" s="1063"/>
      <c r="P1556" s="1063"/>
      <c r="Q1556" s="1063"/>
      <c r="R1556" s="1069"/>
      <c r="S1556" s="1093"/>
      <c r="T1556" s="1093"/>
      <c r="U1556" s="1093"/>
      <c r="V1556" s="1044"/>
      <c r="W1556" s="1044"/>
      <c r="X1556" s="1033"/>
      <c r="Y1556" s="108" t="s">
        <v>1918</v>
      </c>
      <c r="Z1556" s="109">
        <v>2780506</v>
      </c>
      <c r="AA1556" s="109">
        <v>-186803.44</v>
      </c>
      <c r="AB1556" s="109">
        <f t="shared" si="128"/>
        <v>2593702.56</v>
      </c>
      <c r="AC1556" s="1068">
        <v>42822</v>
      </c>
      <c r="AD1556" s="119">
        <v>2593702.56</v>
      </c>
      <c r="AE1556" s="98" t="s">
        <v>132</v>
      </c>
      <c r="AF1556" s="1044"/>
      <c r="AG1556" s="1044"/>
      <c r="AH1556" s="111"/>
      <c r="AI1556" s="1044"/>
      <c r="AJ1556" s="1063"/>
      <c r="AK1556" s="1063"/>
      <c r="AL1556" s="1063"/>
      <c r="AM1556" s="1063"/>
      <c r="AN1556" s="1109"/>
      <c r="AO1556" s="1104"/>
    </row>
    <row r="1557" spans="1:43" ht="15" customHeight="1">
      <c r="A1557" s="1050"/>
      <c r="B1557" s="1069"/>
      <c r="C1557" s="1033"/>
      <c r="D1557" s="1033"/>
      <c r="E1557" s="1072"/>
      <c r="F1557" s="1072"/>
      <c r="G1557" s="1033"/>
      <c r="H1557" s="1033"/>
      <c r="I1557" s="1033"/>
      <c r="J1557" s="1033"/>
      <c r="K1557" s="1033"/>
      <c r="L1557" s="1033"/>
      <c r="M1557" s="1146"/>
      <c r="N1557" s="1066"/>
      <c r="O1557" s="1063"/>
      <c r="P1557" s="1063"/>
      <c r="Q1557" s="1063"/>
      <c r="R1557" s="1069"/>
      <c r="S1557" s="1093"/>
      <c r="T1557" s="1093"/>
      <c r="U1557" s="1093"/>
      <c r="V1557" s="1044"/>
      <c r="W1557" s="1044"/>
      <c r="X1557" s="1033"/>
      <c r="Y1557" s="108" t="s">
        <v>1919</v>
      </c>
      <c r="Z1557" s="109">
        <v>1076546.6000000001</v>
      </c>
      <c r="AA1557" s="109">
        <v>-175224.58</v>
      </c>
      <c r="AB1557" s="109">
        <f t="shared" si="128"/>
        <v>901322.02000000014</v>
      </c>
      <c r="AC1557" s="1070"/>
      <c r="AD1557" s="119">
        <v>901322.02</v>
      </c>
      <c r="AE1557" s="98" t="s">
        <v>132</v>
      </c>
      <c r="AF1557" s="1044"/>
      <c r="AG1557" s="1044"/>
      <c r="AH1557" s="111"/>
      <c r="AI1557" s="1044"/>
      <c r="AJ1557" s="1063"/>
      <c r="AK1557" s="1063"/>
      <c r="AL1557" s="1063"/>
      <c r="AM1557" s="1063"/>
      <c r="AN1557" s="1109"/>
      <c r="AO1557" s="1104"/>
    </row>
    <row r="1558" spans="1:43" ht="15" customHeight="1">
      <c r="A1558" s="1050"/>
      <c r="B1558" s="1069"/>
      <c r="C1558" s="1012"/>
      <c r="D1558" s="1033"/>
      <c r="E1558" s="1072"/>
      <c r="F1558" s="1072"/>
      <c r="G1558" s="1033"/>
      <c r="H1558" s="1033"/>
      <c r="I1558" s="1033"/>
      <c r="J1558" s="1033"/>
      <c r="K1558" s="1033"/>
      <c r="L1558" s="1033"/>
      <c r="M1558" s="1147"/>
      <c r="N1558" s="1067"/>
      <c r="O1558" s="1064"/>
      <c r="P1558" s="1064"/>
      <c r="Q1558" s="1063"/>
      <c r="R1558" s="1070"/>
      <c r="S1558" s="1094"/>
      <c r="T1558" s="1094"/>
      <c r="U1558" s="1094"/>
      <c r="V1558" s="1045"/>
      <c r="W1558" s="1044"/>
      <c r="X1558" s="1033"/>
      <c r="Y1558" s="108"/>
      <c r="Z1558" s="109"/>
      <c r="AA1558" s="109"/>
      <c r="AB1558" s="109">
        <f t="shared" si="128"/>
        <v>0</v>
      </c>
      <c r="AC1558" s="97"/>
      <c r="AD1558" s="119"/>
      <c r="AE1558" s="98"/>
      <c r="AF1558" s="1045"/>
      <c r="AG1558" s="1044"/>
      <c r="AH1558" s="111"/>
      <c r="AI1558" s="1045"/>
      <c r="AJ1558" s="1063"/>
      <c r="AK1558" s="1064"/>
      <c r="AL1558" s="1064"/>
      <c r="AM1558" s="1064"/>
      <c r="AN1558" s="1109"/>
      <c r="AO1558" s="1104"/>
    </row>
    <row r="1559" spans="1:43" ht="15" customHeight="1">
      <c r="A1559" s="1050"/>
      <c r="B1559" s="1069"/>
      <c r="C1559" s="1011" t="s">
        <v>13</v>
      </c>
      <c r="D1559" s="1033"/>
      <c r="E1559" s="1072"/>
      <c r="F1559" s="1072"/>
      <c r="G1559" s="1033"/>
      <c r="H1559" s="1033"/>
      <c r="I1559" s="1033"/>
      <c r="J1559" s="1033"/>
      <c r="K1559" s="1033"/>
      <c r="L1559" s="1033"/>
      <c r="M1559" s="1145">
        <v>8</v>
      </c>
      <c r="N1559" s="1065" t="s">
        <v>133</v>
      </c>
      <c r="O1559" s="1062">
        <v>4240000</v>
      </c>
      <c r="P1559" s="1062">
        <v>4240000</v>
      </c>
      <c r="Q1559" s="1063"/>
      <c r="R1559" s="1068">
        <v>42164</v>
      </c>
      <c r="S1559" s="1092">
        <f>T1559</f>
        <v>4240000</v>
      </c>
      <c r="T1559" s="1092">
        <v>4240000</v>
      </c>
      <c r="U1559" s="1092">
        <f>O1559-T1559</f>
        <v>0</v>
      </c>
      <c r="V1559" s="1043">
        <v>4238626</v>
      </c>
      <c r="W1559" s="1044"/>
      <c r="X1559" s="1033"/>
      <c r="Y1559" s="108" t="s">
        <v>1917</v>
      </c>
      <c r="Z1559" s="109">
        <v>0</v>
      </c>
      <c r="AA1559" s="109">
        <v>423862.6</v>
      </c>
      <c r="AB1559" s="109">
        <f t="shared" si="128"/>
        <v>423862.6</v>
      </c>
      <c r="AC1559" s="97">
        <v>42366</v>
      </c>
      <c r="AD1559" s="119">
        <v>423862.6</v>
      </c>
      <c r="AE1559" s="98" t="s">
        <v>133</v>
      </c>
      <c r="AF1559" s="1043">
        <f>SUM(AD1559:AD1562)</f>
        <v>3918888.18</v>
      </c>
      <c r="AG1559" s="1044"/>
      <c r="AH1559" s="111"/>
      <c r="AI1559" s="1043">
        <f>O1559-SUM(AD1559:AD1562)</f>
        <v>321111.81999999983</v>
      </c>
      <c r="AJ1559" s="1063"/>
      <c r="AK1559" s="1062">
        <f>P1559-V1559</f>
        <v>1374</v>
      </c>
      <c r="AL1559" s="1062"/>
      <c r="AM1559" s="1062"/>
      <c r="AN1559" s="1109"/>
      <c r="AO1559" s="1104"/>
    </row>
    <row r="1560" spans="1:43" ht="15" customHeight="1">
      <c r="A1560" s="1050"/>
      <c r="B1560" s="1069"/>
      <c r="C1560" s="1033"/>
      <c r="D1560" s="1033"/>
      <c r="E1560" s="1072"/>
      <c r="F1560" s="1072"/>
      <c r="G1560" s="1033"/>
      <c r="H1560" s="1033"/>
      <c r="I1560" s="1033"/>
      <c r="J1560" s="1033"/>
      <c r="K1560" s="1033"/>
      <c r="L1560" s="1033"/>
      <c r="M1560" s="1146"/>
      <c r="N1560" s="1066"/>
      <c r="O1560" s="1063"/>
      <c r="P1560" s="1063"/>
      <c r="Q1560" s="1063"/>
      <c r="R1560" s="1069"/>
      <c r="S1560" s="1093"/>
      <c r="T1560" s="1093"/>
      <c r="U1560" s="1093"/>
      <c r="V1560" s="1044"/>
      <c r="W1560" s="1044"/>
      <c r="X1560" s="1033"/>
      <c r="Y1560" s="108" t="s">
        <v>1918</v>
      </c>
      <c r="Z1560" s="109">
        <v>3005204</v>
      </c>
      <c r="AA1560" s="109">
        <v>-186803.44</v>
      </c>
      <c r="AB1560" s="109">
        <f t="shared" si="128"/>
        <v>2818400.56</v>
      </c>
      <c r="AC1560" s="1068">
        <v>42822</v>
      </c>
      <c r="AD1560" s="119">
        <v>2818400.56</v>
      </c>
      <c r="AE1560" s="98" t="s">
        <v>133</v>
      </c>
      <c r="AF1560" s="1044"/>
      <c r="AG1560" s="1044"/>
      <c r="AH1560" s="111"/>
      <c r="AI1560" s="1044"/>
      <c r="AJ1560" s="1063"/>
      <c r="AK1560" s="1063"/>
      <c r="AL1560" s="1063"/>
      <c r="AM1560" s="1063"/>
      <c r="AN1560" s="1109"/>
      <c r="AO1560" s="1104"/>
    </row>
    <row r="1561" spans="1:43" ht="15" customHeight="1">
      <c r="A1561" s="1050"/>
      <c r="B1561" s="1069"/>
      <c r="C1561" s="1033"/>
      <c r="D1561" s="1033"/>
      <c r="E1561" s="1072"/>
      <c r="F1561" s="1072"/>
      <c r="G1561" s="1033"/>
      <c r="H1561" s="1033"/>
      <c r="I1561" s="1033"/>
      <c r="J1561" s="1033"/>
      <c r="K1561" s="1033"/>
      <c r="L1561" s="1033"/>
      <c r="M1561" s="1146"/>
      <c r="N1561" s="1066"/>
      <c r="O1561" s="1063"/>
      <c r="P1561" s="1063"/>
      <c r="Q1561" s="1063"/>
      <c r="R1561" s="1069"/>
      <c r="S1561" s="1093"/>
      <c r="T1561" s="1093"/>
      <c r="U1561" s="1093"/>
      <c r="V1561" s="1044"/>
      <c r="W1561" s="1044"/>
      <c r="X1561" s="1033"/>
      <c r="Y1561" s="108" t="s">
        <v>1919</v>
      </c>
      <c r="Z1561" s="109">
        <v>851849.6</v>
      </c>
      <c r="AA1561" s="109">
        <v>-175224.58</v>
      </c>
      <c r="AB1561" s="109">
        <f t="shared" si="128"/>
        <v>676625.02</v>
      </c>
      <c r="AC1561" s="1070"/>
      <c r="AD1561" s="119">
        <v>676625.02</v>
      </c>
      <c r="AE1561" s="98" t="s">
        <v>133</v>
      </c>
      <c r="AF1561" s="1044"/>
      <c r="AG1561" s="1044"/>
      <c r="AH1561" s="111"/>
      <c r="AI1561" s="1044"/>
      <c r="AJ1561" s="1063"/>
      <c r="AK1561" s="1063"/>
      <c r="AL1561" s="1063"/>
      <c r="AM1561" s="1063"/>
      <c r="AN1561" s="1109"/>
      <c r="AO1561" s="1104"/>
    </row>
    <row r="1562" spans="1:43" ht="15" customHeight="1">
      <c r="A1562" s="1050"/>
      <c r="B1562" s="1069"/>
      <c r="C1562" s="1012"/>
      <c r="D1562" s="1033"/>
      <c r="E1562" s="1072"/>
      <c r="F1562" s="1072"/>
      <c r="G1562" s="1033"/>
      <c r="H1562" s="1033"/>
      <c r="I1562" s="1033"/>
      <c r="J1562" s="1033"/>
      <c r="K1562" s="1033"/>
      <c r="L1562" s="1033"/>
      <c r="M1562" s="1147"/>
      <c r="N1562" s="1067"/>
      <c r="O1562" s="1064"/>
      <c r="P1562" s="1064"/>
      <c r="Q1562" s="1063"/>
      <c r="R1562" s="1070"/>
      <c r="S1562" s="1094"/>
      <c r="T1562" s="1094"/>
      <c r="U1562" s="1094"/>
      <c r="V1562" s="1045"/>
      <c r="W1562" s="1044"/>
      <c r="X1562" s="1033"/>
      <c r="Y1562" s="108"/>
      <c r="Z1562" s="109"/>
      <c r="AA1562" s="109"/>
      <c r="AB1562" s="109">
        <f t="shared" si="128"/>
        <v>0</v>
      </c>
      <c r="AC1562" s="97"/>
      <c r="AD1562" s="119"/>
      <c r="AE1562" s="98"/>
      <c r="AF1562" s="1045"/>
      <c r="AG1562" s="1044"/>
      <c r="AH1562" s="111"/>
      <c r="AI1562" s="1045"/>
      <c r="AJ1562" s="1063"/>
      <c r="AK1562" s="1064"/>
      <c r="AL1562" s="1064"/>
      <c r="AM1562" s="1064"/>
      <c r="AN1562" s="1109"/>
      <c r="AO1562" s="1104"/>
    </row>
    <row r="1563" spans="1:43" ht="15" customHeight="1">
      <c r="A1563" s="1050"/>
      <c r="B1563" s="1069"/>
      <c r="C1563" s="1011" t="s">
        <v>29</v>
      </c>
      <c r="D1563" s="1033"/>
      <c r="E1563" s="1072"/>
      <c r="F1563" s="1072"/>
      <c r="G1563" s="1033"/>
      <c r="H1563" s="1033"/>
      <c r="I1563" s="1033"/>
      <c r="J1563" s="1033"/>
      <c r="K1563" s="1033"/>
      <c r="L1563" s="1033"/>
      <c r="M1563" s="1145">
        <v>3</v>
      </c>
      <c r="N1563" s="1065" t="s">
        <v>154</v>
      </c>
      <c r="O1563" s="1062">
        <v>4240000</v>
      </c>
      <c r="P1563" s="1062">
        <v>4240000</v>
      </c>
      <c r="Q1563" s="1063"/>
      <c r="R1563" s="1068">
        <v>42164</v>
      </c>
      <c r="S1563" s="1092">
        <f>T1563</f>
        <v>4240000</v>
      </c>
      <c r="T1563" s="1092">
        <v>4240000</v>
      </c>
      <c r="U1563" s="1092">
        <f>O1563-T1563</f>
        <v>0</v>
      </c>
      <c r="V1563" s="1043">
        <v>4238626</v>
      </c>
      <c r="W1563" s="1044"/>
      <c r="X1563" s="1033"/>
      <c r="Y1563" s="108" t="s">
        <v>1917</v>
      </c>
      <c r="Z1563" s="109">
        <v>0</v>
      </c>
      <c r="AA1563" s="109">
        <v>423862.6</v>
      </c>
      <c r="AB1563" s="109">
        <f t="shared" si="128"/>
        <v>423862.6</v>
      </c>
      <c r="AC1563" s="97">
        <v>42366</v>
      </c>
      <c r="AD1563" s="119">
        <v>423862.6</v>
      </c>
      <c r="AE1563" s="98" t="s">
        <v>154</v>
      </c>
      <c r="AF1563" s="1043">
        <f>SUM(AD1563:AD1566)</f>
        <v>3326614.58</v>
      </c>
      <c r="AG1563" s="1044"/>
      <c r="AH1563" s="111"/>
      <c r="AI1563" s="1043">
        <f>O1563-SUM(AD1563:AD1566)</f>
        <v>913385.41999999993</v>
      </c>
      <c r="AJ1563" s="1063"/>
      <c r="AK1563" s="1062">
        <f>P1563-V1563</f>
        <v>1374</v>
      </c>
      <c r="AL1563" s="1062"/>
      <c r="AM1563" s="1062"/>
      <c r="AN1563" s="1109"/>
      <c r="AO1563" s="1104"/>
    </row>
    <row r="1564" spans="1:43" ht="15" customHeight="1">
      <c r="A1564" s="1050"/>
      <c r="B1564" s="1069"/>
      <c r="C1564" s="1033"/>
      <c r="D1564" s="1033"/>
      <c r="E1564" s="1072"/>
      <c r="F1564" s="1072"/>
      <c r="G1564" s="1033"/>
      <c r="H1564" s="1033"/>
      <c r="I1564" s="1033"/>
      <c r="J1564" s="1033"/>
      <c r="K1564" s="1033"/>
      <c r="L1564" s="1033"/>
      <c r="M1564" s="1146"/>
      <c r="N1564" s="1066"/>
      <c r="O1564" s="1063"/>
      <c r="P1564" s="1063"/>
      <c r="Q1564" s="1063"/>
      <c r="R1564" s="1069"/>
      <c r="S1564" s="1093"/>
      <c r="T1564" s="1093"/>
      <c r="U1564" s="1093"/>
      <c r="V1564" s="1044"/>
      <c r="W1564" s="1044"/>
      <c r="X1564" s="1033"/>
      <c r="Y1564" s="108" t="s">
        <v>1918</v>
      </c>
      <c r="Z1564" s="109">
        <v>630842</v>
      </c>
      <c r="AA1564" s="109">
        <v>-186803.44</v>
      </c>
      <c r="AB1564" s="109">
        <f t="shared" si="128"/>
        <v>444038.56</v>
      </c>
      <c r="AC1564" s="1068">
        <v>42822</v>
      </c>
      <c r="AD1564" s="119">
        <v>444038.56</v>
      </c>
      <c r="AE1564" s="98" t="s">
        <v>154</v>
      </c>
      <c r="AF1564" s="1044"/>
      <c r="AG1564" s="1044"/>
      <c r="AH1564" s="111"/>
      <c r="AI1564" s="1044"/>
      <c r="AJ1564" s="1063"/>
      <c r="AK1564" s="1063"/>
      <c r="AL1564" s="1063"/>
      <c r="AM1564" s="1063"/>
      <c r="AN1564" s="1109"/>
      <c r="AO1564" s="1104"/>
    </row>
    <row r="1565" spans="1:43" ht="15" customHeight="1">
      <c r="A1565" s="1050"/>
      <c r="B1565" s="1069"/>
      <c r="C1565" s="1033"/>
      <c r="D1565" s="1033"/>
      <c r="E1565" s="1072"/>
      <c r="F1565" s="1072"/>
      <c r="G1565" s="1033"/>
      <c r="H1565" s="1033"/>
      <c r="I1565" s="1033"/>
      <c r="J1565" s="1033"/>
      <c r="K1565" s="1033"/>
      <c r="L1565" s="1033"/>
      <c r="M1565" s="1146"/>
      <c r="N1565" s="1066"/>
      <c r="O1565" s="1063"/>
      <c r="P1565" s="1063"/>
      <c r="Q1565" s="1063"/>
      <c r="R1565" s="1069"/>
      <c r="S1565" s="1093"/>
      <c r="T1565" s="1093"/>
      <c r="U1565" s="1093"/>
      <c r="V1565" s="1044"/>
      <c r="W1565" s="1044"/>
      <c r="X1565" s="1033"/>
      <c r="Y1565" s="108" t="s">
        <v>1919</v>
      </c>
      <c r="Z1565" s="109">
        <v>2633938</v>
      </c>
      <c r="AA1565" s="109">
        <v>-175224.58</v>
      </c>
      <c r="AB1565" s="109">
        <f t="shared" si="128"/>
        <v>2458713.42</v>
      </c>
      <c r="AC1565" s="1070"/>
      <c r="AD1565" s="119">
        <v>2458713.42</v>
      </c>
      <c r="AE1565" s="98" t="s">
        <v>154</v>
      </c>
      <c r="AF1565" s="1044"/>
      <c r="AG1565" s="1044"/>
      <c r="AH1565" s="111"/>
      <c r="AI1565" s="1044"/>
      <c r="AJ1565" s="1063"/>
      <c r="AK1565" s="1063"/>
      <c r="AL1565" s="1063"/>
      <c r="AM1565" s="1063"/>
      <c r="AN1565" s="1109"/>
      <c r="AO1565" s="1104"/>
    </row>
    <row r="1566" spans="1:43" ht="15" customHeight="1">
      <c r="A1566" s="1050"/>
      <c r="B1566" s="1069"/>
      <c r="C1566" s="1012"/>
      <c r="D1566" s="1033"/>
      <c r="E1566" s="1072"/>
      <c r="F1566" s="1072"/>
      <c r="G1566" s="1033"/>
      <c r="H1566" s="1033"/>
      <c r="I1566" s="1033"/>
      <c r="J1566" s="1033"/>
      <c r="K1566" s="1033"/>
      <c r="L1566" s="1033"/>
      <c r="M1566" s="1147"/>
      <c r="N1566" s="1067"/>
      <c r="O1566" s="1064"/>
      <c r="P1566" s="1064"/>
      <c r="Q1566" s="1063"/>
      <c r="R1566" s="1070"/>
      <c r="S1566" s="1094"/>
      <c r="T1566" s="1094"/>
      <c r="U1566" s="1094"/>
      <c r="V1566" s="1045"/>
      <c r="W1566" s="1044"/>
      <c r="X1566" s="1033"/>
      <c r="Y1566" s="108"/>
      <c r="Z1566" s="109"/>
      <c r="AA1566" s="109"/>
      <c r="AB1566" s="109">
        <f t="shared" si="128"/>
        <v>0</v>
      </c>
      <c r="AC1566" s="97"/>
      <c r="AD1566" s="119"/>
      <c r="AE1566" s="98"/>
      <c r="AF1566" s="1045"/>
      <c r="AG1566" s="1044"/>
      <c r="AH1566" s="111"/>
      <c r="AI1566" s="1045"/>
      <c r="AJ1566" s="1063"/>
      <c r="AK1566" s="1064"/>
      <c r="AL1566" s="1064"/>
      <c r="AM1566" s="1064"/>
      <c r="AN1566" s="1109"/>
      <c r="AO1566" s="1104"/>
    </row>
    <row r="1567" spans="1:43" ht="15" customHeight="1">
      <c r="A1567" s="1050"/>
      <c r="B1567" s="1069"/>
      <c r="C1567" s="1011" t="s">
        <v>19</v>
      </c>
      <c r="D1567" s="1033"/>
      <c r="E1567" s="1072"/>
      <c r="F1567" s="1072"/>
      <c r="G1567" s="1033"/>
      <c r="H1567" s="1033"/>
      <c r="I1567" s="1033"/>
      <c r="J1567" s="1033"/>
      <c r="K1567" s="1033"/>
      <c r="L1567" s="1033"/>
      <c r="M1567" s="1164">
        <v>11</v>
      </c>
      <c r="N1567" s="1065" t="s">
        <v>142</v>
      </c>
      <c r="O1567" s="1062">
        <v>4240000</v>
      </c>
      <c r="P1567" s="1062">
        <v>4240000</v>
      </c>
      <c r="Q1567" s="1063"/>
      <c r="R1567" s="1068">
        <v>42164</v>
      </c>
      <c r="S1567" s="1092">
        <f>T1567</f>
        <v>4240000</v>
      </c>
      <c r="T1567" s="1092">
        <v>4240000</v>
      </c>
      <c r="U1567" s="1092">
        <f>O1567-T1567</f>
        <v>0</v>
      </c>
      <c r="V1567" s="1043">
        <v>4238626</v>
      </c>
      <c r="W1567" s="1044"/>
      <c r="X1567" s="1033"/>
      <c r="Y1567" s="108" t="s">
        <v>1917</v>
      </c>
      <c r="Z1567" s="109">
        <v>0</v>
      </c>
      <c r="AA1567" s="109">
        <v>423862.6</v>
      </c>
      <c r="AB1567" s="109">
        <f t="shared" si="128"/>
        <v>423862.6</v>
      </c>
      <c r="AC1567" s="97">
        <v>42366</v>
      </c>
      <c r="AD1567" s="119">
        <v>423862.6</v>
      </c>
      <c r="AE1567" s="98" t="s">
        <v>142</v>
      </c>
      <c r="AF1567" s="1043">
        <f>SUM(AD1567:AD1570)</f>
        <v>3842174.58</v>
      </c>
      <c r="AG1567" s="1044"/>
      <c r="AH1567" s="111"/>
      <c r="AI1567" s="1043">
        <f>O1567-SUM(AD1567:AD1570)</f>
        <v>397825.41999999993</v>
      </c>
      <c r="AJ1567" s="1063"/>
      <c r="AK1567" s="1062">
        <f>P1567-V1567</f>
        <v>1374</v>
      </c>
      <c r="AL1567" s="1062"/>
      <c r="AM1567" s="1062"/>
      <c r="AN1567" s="1109"/>
      <c r="AO1567" s="1104"/>
    </row>
    <row r="1568" spans="1:43" ht="15" customHeight="1">
      <c r="A1568" s="1050"/>
      <c r="B1568" s="1069"/>
      <c r="C1568" s="1033"/>
      <c r="D1568" s="1033"/>
      <c r="E1568" s="1072"/>
      <c r="F1568" s="1072"/>
      <c r="G1568" s="1033"/>
      <c r="H1568" s="1033"/>
      <c r="I1568" s="1033"/>
      <c r="J1568" s="1033"/>
      <c r="K1568" s="1033"/>
      <c r="L1568" s="1033"/>
      <c r="M1568" s="1165"/>
      <c r="N1568" s="1066"/>
      <c r="O1568" s="1063"/>
      <c r="P1568" s="1063"/>
      <c r="Q1568" s="1063"/>
      <c r="R1568" s="1069"/>
      <c r="S1568" s="1093"/>
      <c r="T1568" s="1093"/>
      <c r="U1568" s="1093"/>
      <c r="V1568" s="1044"/>
      <c r="W1568" s="1044"/>
      <c r="X1568" s="1033"/>
      <c r="Y1568" s="108" t="s">
        <v>1918</v>
      </c>
      <c r="Z1568" s="109">
        <v>3113070</v>
      </c>
      <c r="AA1568" s="109">
        <v>-186803.44</v>
      </c>
      <c r="AB1568" s="109">
        <f t="shared" si="128"/>
        <v>2926266.56</v>
      </c>
      <c r="AC1568" s="1068">
        <v>42822</v>
      </c>
      <c r="AD1568" s="119">
        <v>2926266.56</v>
      </c>
      <c r="AE1568" s="98" t="s">
        <v>142</v>
      </c>
      <c r="AF1568" s="1044"/>
      <c r="AG1568" s="1044"/>
      <c r="AH1568" s="111"/>
      <c r="AI1568" s="1044"/>
      <c r="AJ1568" s="1063"/>
      <c r="AK1568" s="1063"/>
      <c r="AL1568" s="1063"/>
      <c r="AM1568" s="1063"/>
      <c r="AN1568" s="1109"/>
      <c r="AO1568" s="1104"/>
    </row>
    <row r="1569" spans="1:43" ht="15" customHeight="1">
      <c r="A1569" s="1050"/>
      <c r="B1569" s="1069"/>
      <c r="C1569" s="1033"/>
      <c r="D1569" s="1033"/>
      <c r="E1569" s="1072"/>
      <c r="F1569" s="1072"/>
      <c r="G1569" s="1033"/>
      <c r="H1569" s="1033"/>
      <c r="I1569" s="1033"/>
      <c r="J1569" s="1033"/>
      <c r="K1569" s="1033"/>
      <c r="L1569" s="1033"/>
      <c r="M1569" s="1165"/>
      <c r="N1569" s="1066"/>
      <c r="O1569" s="1063"/>
      <c r="P1569" s="1063"/>
      <c r="Q1569" s="1063"/>
      <c r="R1569" s="1069"/>
      <c r="S1569" s="1093"/>
      <c r="T1569" s="1093"/>
      <c r="U1569" s="1093"/>
      <c r="V1569" s="1044"/>
      <c r="W1569" s="1044"/>
      <c r="X1569" s="1033"/>
      <c r="Y1569" s="108" t="s">
        <v>1919</v>
      </c>
      <c r="Z1569" s="109">
        <v>667270</v>
      </c>
      <c r="AA1569" s="109">
        <v>-175224.58</v>
      </c>
      <c r="AB1569" s="109">
        <f t="shared" si="128"/>
        <v>492045.42000000004</v>
      </c>
      <c r="AC1569" s="1070"/>
      <c r="AD1569" s="119">
        <v>492045.42</v>
      </c>
      <c r="AE1569" s="98" t="s">
        <v>142</v>
      </c>
      <c r="AF1569" s="1044"/>
      <c r="AG1569" s="1044"/>
      <c r="AH1569" s="111"/>
      <c r="AI1569" s="1044"/>
      <c r="AJ1569" s="1063"/>
      <c r="AK1569" s="1063"/>
      <c r="AL1569" s="1063"/>
      <c r="AM1569" s="1063"/>
      <c r="AN1569" s="1109"/>
      <c r="AO1569" s="1104"/>
    </row>
    <row r="1570" spans="1:43" ht="15" customHeight="1">
      <c r="A1570" s="1050"/>
      <c r="B1570" s="1069"/>
      <c r="C1570" s="1012"/>
      <c r="D1570" s="1033"/>
      <c r="E1570" s="1072"/>
      <c r="F1570" s="1072"/>
      <c r="G1570" s="1033"/>
      <c r="H1570" s="1033"/>
      <c r="I1570" s="1033"/>
      <c r="J1570" s="1033"/>
      <c r="K1570" s="1033"/>
      <c r="L1570" s="1033"/>
      <c r="M1570" s="1166"/>
      <c r="N1570" s="1067"/>
      <c r="O1570" s="1064"/>
      <c r="P1570" s="1064"/>
      <c r="Q1570" s="1063"/>
      <c r="R1570" s="1070"/>
      <c r="S1570" s="1094"/>
      <c r="T1570" s="1094"/>
      <c r="U1570" s="1094"/>
      <c r="V1570" s="1045"/>
      <c r="W1570" s="1044"/>
      <c r="X1570" s="1033"/>
      <c r="Y1570" s="108"/>
      <c r="Z1570" s="109"/>
      <c r="AA1570" s="109"/>
      <c r="AB1570" s="109">
        <f t="shared" si="128"/>
        <v>0</v>
      </c>
      <c r="AC1570" s="97"/>
      <c r="AD1570" s="119"/>
      <c r="AE1570" s="98"/>
      <c r="AF1570" s="1045"/>
      <c r="AG1570" s="1044"/>
      <c r="AH1570" s="111"/>
      <c r="AI1570" s="1045"/>
      <c r="AJ1570" s="1063"/>
      <c r="AK1570" s="1064"/>
      <c r="AL1570" s="1064"/>
      <c r="AM1570" s="1064"/>
      <c r="AN1570" s="1109"/>
      <c r="AO1570" s="1104"/>
    </row>
    <row r="1571" spans="1:43" ht="15" customHeight="1">
      <c r="A1571" s="1050"/>
      <c r="B1571" s="1069"/>
      <c r="C1571" s="1011" t="s">
        <v>28</v>
      </c>
      <c r="D1571" s="1033"/>
      <c r="E1571" s="1072"/>
      <c r="F1571" s="1072"/>
      <c r="G1571" s="1033"/>
      <c r="H1571" s="1033"/>
      <c r="I1571" s="1033"/>
      <c r="J1571" s="1033"/>
      <c r="K1571" s="1033"/>
      <c r="L1571" s="1033"/>
      <c r="M1571" s="1145">
        <v>7</v>
      </c>
      <c r="N1571" s="1065" t="s">
        <v>153</v>
      </c>
      <c r="O1571" s="1062">
        <v>4240000</v>
      </c>
      <c r="P1571" s="1062">
        <v>4240000</v>
      </c>
      <c r="Q1571" s="1063"/>
      <c r="R1571" s="1068">
        <v>42164</v>
      </c>
      <c r="S1571" s="1092">
        <f>T1571</f>
        <v>4240000</v>
      </c>
      <c r="T1571" s="1092">
        <v>4240000</v>
      </c>
      <c r="U1571" s="1092">
        <f>O1571-T1571</f>
        <v>0</v>
      </c>
      <c r="V1571" s="1043">
        <v>4238626</v>
      </c>
      <c r="W1571" s="1044"/>
      <c r="X1571" s="1033"/>
      <c r="Y1571" s="108" t="s">
        <v>1917</v>
      </c>
      <c r="Z1571" s="109">
        <v>0</v>
      </c>
      <c r="AA1571" s="109">
        <v>423862.6</v>
      </c>
      <c r="AB1571" s="109">
        <f t="shared" si="128"/>
        <v>423862.6</v>
      </c>
      <c r="AC1571" s="97">
        <v>42366</v>
      </c>
      <c r="AD1571" s="119">
        <v>423862.6</v>
      </c>
      <c r="AE1571" s="98" t="s">
        <v>153</v>
      </c>
      <c r="AF1571" s="1043">
        <f>SUM(AD1571:AD1574)</f>
        <v>3918887.18</v>
      </c>
      <c r="AG1571" s="1044"/>
      <c r="AH1571" s="111"/>
      <c r="AI1571" s="1043">
        <f>O1571-SUM(AD1571:AD1574)</f>
        <v>321112.81999999983</v>
      </c>
      <c r="AJ1571" s="1063"/>
      <c r="AK1571" s="1062">
        <f>P1571-V1571</f>
        <v>1374</v>
      </c>
      <c r="AL1571" s="1062"/>
      <c r="AM1571" s="1062"/>
      <c r="AN1571" s="1109"/>
      <c r="AO1571" s="1104"/>
    </row>
    <row r="1572" spans="1:43" ht="15" customHeight="1">
      <c r="A1572" s="1050"/>
      <c r="B1572" s="1069"/>
      <c r="C1572" s="1033"/>
      <c r="D1572" s="1033"/>
      <c r="E1572" s="1072"/>
      <c r="F1572" s="1072"/>
      <c r="G1572" s="1033"/>
      <c r="H1572" s="1033"/>
      <c r="I1572" s="1033"/>
      <c r="J1572" s="1033"/>
      <c r="K1572" s="1033"/>
      <c r="L1572" s="1033"/>
      <c r="M1572" s="1146"/>
      <c r="N1572" s="1066"/>
      <c r="O1572" s="1063"/>
      <c r="P1572" s="1063"/>
      <c r="Q1572" s="1063"/>
      <c r="R1572" s="1069"/>
      <c r="S1572" s="1093"/>
      <c r="T1572" s="1093"/>
      <c r="U1572" s="1093"/>
      <c r="V1572" s="1044"/>
      <c r="W1572" s="1044"/>
      <c r="X1572" s="1033"/>
      <c r="Y1572" s="108" t="s">
        <v>1918</v>
      </c>
      <c r="Z1572" s="109">
        <v>1697103</v>
      </c>
      <c r="AA1572" s="109">
        <v>-186803.44</v>
      </c>
      <c r="AB1572" s="109">
        <f t="shared" si="128"/>
        <v>1510299.56</v>
      </c>
      <c r="AC1572" s="1068">
        <v>42822</v>
      </c>
      <c r="AD1572" s="119">
        <v>1510299.56</v>
      </c>
      <c r="AE1572" s="98" t="s">
        <v>153</v>
      </c>
      <c r="AF1572" s="1044"/>
      <c r="AG1572" s="1044"/>
      <c r="AH1572" s="111"/>
      <c r="AI1572" s="1044"/>
      <c r="AJ1572" s="1063"/>
      <c r="AK1572" s="1063"/>
      <c r="AL1572" s="1063"/>
      <c r="AM1572" s="1063"/>
      <c r="AN1572" s="1109"/>
      <c r="AO1572" s="1104"/>
    </row>
    <row r="1573" spans="1:43" ht="15" customHeight="1">
      <c r="A1573" s="1050"/>
      <c r="B1573" s="1069"/>
      <c r="C1573" s="1033"/>
      <c r="D1573" s="1033"/>
      <c r="E1573" s="1072"/>
      <c r="F1573" s="1072"/>
      <c r="G1573" s="1033"/>
      <c r="H1573" s="1033"/>
      <c r="I1573" s="1033"/>
      <c r="J1573" s="1033"/>
      <c r="K1573" s="1033"/>
      <c r="L1573" s="1033"/>
      <c r="M1573" s="1146"/>
      <c r="N1573" s="1066"/>
      <c r="O1573" s="1063"/>
      <c r="P1573" s="1063"/>
      <c r="Q1573" s="1063"/>
      <c r="R1573" s="1069"/>
      <c r="S1573" s="1093"/>
      <c r="T1573" s="1093"/>
      <c r="U1573" s="1093"/>
      <c r="V1573" s="1044"/>
      <c r="W1573" s="1044"/>
      <c r="X1573" s="1033"/>
      <c r="Y1573" s="108" t="s">
        <v>1919</v>
      </c>
      <c r="Z1573" s="109">
        <v>2159949.6</v>
      </c>
      <c r="AA1573" s="109">
        <v>-175224.58</v>
      </c>
      <c r="AB1573" s="109">
        <f t="shared" si="128"/>
        <v>1984725.02</v>
      </c>
      <c r="AC1573" s="1070"/>
      <c r="AD1573" s="119">
        <v>1984725.02</v>
      </c>
      <c r="AE1573" s="98" t="s">
        <v>153</v>
      </c>
      <c r="AF1573" s="1044"/>
      <c r="AG1573" s="1044"/>
      <c r="AH1573" s="111"/>
      <c r="AI1573" s="1044"/>
      <c r="AJ1573" s="1063"/>
      <c r="AK1573" s="1063"/>
      <c r="AL1573" s="1063"/>
      <c r="AM1573" s="1063"/>
      <c r="AN1573" s="1109"/>
      <c r="AO1573" s="1104"/>
    </row>
    <row r="1574" spans="1:43" ht="15" customHeight="1">
      <c r="A1574" s="1050"/>
      <c r="B1574" s="1069"/>
      <c r="C1574" s="1012"/>
      <c r="D1574" s="1033"/>
      <c r="E1574" s="1072"/>
      <c r="F1574" s="1072"/>
      <c r="G1574" s="1033"/>
      <c r="H1574" s="1033"/>
      <c r="I1574" s="1033"/>
      <c r="J1574" s="1033"/>
      <c r="K1574" s="1033"/>
      <c r="L1574" s="1033"/>
      <c r="M1574" s="1147"/>
      <c r="N1574" s="1067"/>
      <c r="O1574" s="1064"/>
      <c r="P1574" s="1064"/>
      <c r="Q1574" s="1063"/>
      <c r="R1574" s="1070"/>
      <c r="S1574" s="1094"/>
      <c r="T1574" s="1094"/>
      <c r="U1574" s="1094"/>
      <c r="V1574" s="1045"/>
      <c r="W1574" s="1044"/>
      <c r="X1574" s="1033"/>
      <c r="Y1574" s="108"/>
      <c r="Z1574" s="109"/>
      <c r="AA1574" s="109"/>
      <c r="AB1574" s="109">
        <f t="shared" si="128"/>
        <v>0</v>
      </c>
      <c r="AC1574" s="97"/>
      <c r="AD1574" s="119"/>
      <c r="AE1574" s="98"/>
      <c r="AF1574" s="1045"/>
      <c r="AG1574" s="1044"/>
      <c r="AH1574" s="111"/>
      <c r="AI1574" s="1045"/>
      <c r="AJ1574" s="1063"/>
      <c r="AK1574" s="1064"/>
      <c r="AL1574" s="1064"/>
      <c r="AM1574" s="1064"/>
      <c r="AN1574" s="1109"/>
      <c r="AO1574" s="1104"/>
    </row>
    <row r="1575" spans="1:43" ht="15" customHeight="1">
      <c r="A1575" s="1050"/>
      <c r="B1575" s="1069"/>
      <c r="C1575" s="1011" t="s">
        <v>13</v>
      </c>
      <c r="D1575" s="1033"/>
      <c r="E1575" s="1072"/>
      <c r="F1575" s="1072"/>
      <c r="G1575" s="1033"/>
      <c r="H1575" s="1033"/>
      <c r="I1575" s="1033"/>
      <c r="J1575" s="1033"/>
      <c r="K1575" s="1033"/>
      <c r="L1575" s="1033"/>
      <c r="M1575" s="1145">
        <v>10</v>
      </c>
      <c r="N1575" s="1065" t="s">
        <v>133</v>
      </c>
      <c r="O1575" s="1062">
        <v>2800000</v>
      </c>
      <c r="P1575" s="1062">
        <v>2800000</v>
      </c>
      <c r="Q1575" s="1063"/>
      <c r="R1575" s="1068">
        <v>42164</v>
      </c>
      <c r="S1575" s="1092">
        <f>T1575</f>
        <v>2800000</v>
      </c>
      <c r="T1575" s="1092">
        <v>2800000</v>
      </c>
      <c r="U1575" s="1092">
        <f>O1575-T1575</f>
        <v>0</v>
      </c>
      <c r="V1575" s="1043">
        <v>2799092</v>
      </c>
      <c r="W1575" s="1044"/>
      <c r="X1575" s="1033"/>
      <c r="Y1575" s="108" t="s">
        <v>1917</v>
      </c>
      <c r="Z1575" s="109">
        <v>0</v>
      </c>
      <c r="AA1575" s="109">
        <v>279909.2</v>
      </c>
      <c r="AB1575" s="109">
        <f t="shared" si="128"/>
        <v>279909.2</v>
      </c>
      <c r="AC1575" s="97">
        <v>42366</v>
      </c>
      <c r="AD1575" s="119">
        <v>279909.2</v>
      </c>
      <c r="AE1575" s="98" t="s">
        <v>133</v>
      </c>
      <c r="AF1575" s="1043">
        <f>SUM(AD1575:AD1578)</f>
        <v>2218459.66</v>
      </c>
      <c r="AG1575" s="1044"/>
      <c r="AH1575" s="111"/>
      <c r="AI1575" s="1043">
        <f>O1575-SUM(AD1575:AD1578)</f>
        <v>581540.33999999985</v>
      </c>
      <c r="AJ1575" s="1063"/>
      <c r="AK1575" s="1062">
        <f>P1575-V1575</f>
        <v>908</v>
      </c>
      <c r="AL1575" s="1062"/>
      <c r="AM1575" s="1062"/>
      <c r="AN1575" s="1109"/>
      <c r="AO1575" s="1104"/>
    </row>
    <row r="1576" spans="1:43" ht="15" customHeight="1">
      <c r="A1576" s="1050"/>
      <c r="B1576" s="1069"/>
      <c r="C1576" s="1033"/>
      <c r="D1576" s="1033"/>
      <c r="E1576" s="1072"/>
      <c r="F1576" s="1072"/>
      <c r="G1576" s="1033"/>
      <c r="H1576" s="1033"/>
      <c r="I1576" s="1033"/>
      <c r="J1576" s="1033"/>
      <c r="K1576" s="1033"/>
      <c r="L1576" s="1033"/>
      <c r="M1576" s="1146"/>
      <c r="N1576" s="1066"/>
      <c r="O1576" s="1063"/>
      <c r="P1576" s="1063"/>
      <c r="Q1576" s="1063"/>
      <c r="R1576" s="1069"/>
      <c r="S1576" s="1093"/>
      <c r="T1576" s="1093"/>
      <c r="U1576" s="1093"/>
      <c r="V1576" s="1044"/>
      <c r="W1576" s="1044"/>
      <c r="X1576" s="1033"/>
      <c r="Y1576" s="108" t="s">
        <v>1918</v>
      </c>
      <c r="Z1576" s="109">
        <v>480562</v>
      </c>
      <c r="AA1576" s="109">
        <v>-186803.44</v>
      </c>
      <c r="AB1576" s="109">
        <f t="shared" si="128"/>
        <v>293758.56</v>
      </c>
      <c r="AC1576" s="1068">
        <v>42822</v>
      </c>
      <c r="AD1576" s="119">
        <v>293758.56</v>
      </c>
      <c r="AE1576" s="98" t="s">
        <v>133</v>
      </c>
      <c r="AF1576" s="1044"/>
      <c r="AG1576" s="1044"/>
      <c r="AH1576" s="111"/>
      <c r="AI1576" s="1044"/>
      <c r="AJ1576" s="1063"/>
      <c r="AK1576" s="1063"/>
      <c r="AL1576" s="1063"/>
      <c r="AM1576" s="1063"/>
      <c r="AN1576" s="1109"/>
      <c r="AO1576" s="1104"/>
    </row>
    <row r="1577" spans="1:43" ht="15" customHeight="1">
      <c r="A1577" s="1050"/>
      <c r="B1577" s="1069"/>
      <c r="C1577" s="1033"/>
      <c r="D1577" s="1033"/>
      <c r="E1577" s="1072"/>
      <c r="F1577" s="1072"/>
      <c r="G1577" s="1033"/>
      <c r="H1577" s="1033"/>
      <c r="I1577" s="1033"/>
      <c r="J1577" s="1033"/>
      <c r="K1577" s="1033"/>
      <c r="L1577" s="1033"/>
      <c r="M1577" s="1146"/>
      <c r="N1577" s="1066"/>
      <c r="O1577" s="1063"/>
      <c r="P1577" s="1063"/>
      <c r="Q1577" s="1063"/>
      <c r="R1577" s="1069"/>
      <c r="S1577" s="1093"/>
      <c r="T1577" s="1093"/>
      <c r="U1577" s="1093"/>
      <c r="V1577" s="1044"/>
      <c r="W1577" s="1044"/>
      <c r="X1577" s="1033"/>
      <c r="Y1577" s="108" t="s">
        <v>1919</v>
      </c>
      <c r="Z1577" s="109">
        <v>1700307.2</v>
      </c>
      <c r="AA1577" s="109">
        <v>-55515.3</v>
      </c>
      <c r="AB1577" s="109">
        <f t="shared" si="128"/>
        <v>1644791.9</v>
      </c>
      <c r="AC1577" s="1070"/>
      <c r="AD1577" s="119">
        <v>1644791.9</v>
      </c>
      <c r="AE1577" s="98" t="s">
        <v>133</v>
      </c>
      <c r="AF1577" s="1044"/>
      <c r="AG1577" s="1044"/>
      <c r="AH1577" s="111"/>
      <c r="AI1577" s="1044"/>
      <c r="AJ1577" s="1063"/>
      <c r="AK1577" s="1063"/>
      <c r="AL1577" s="1063"/>
      <c r="AM1577" s="1063"/>
      <c r="AN1577" s="1109"/>
      <c r="AO1577" s="1104"/>
    </row>
    <row r="1578" spans="1:43" ht="15" customHeight="1">
      <c r="A1578" s="1050"/>
      <c r="B1578" s="1069"/>
      <c r="C1578" s="1012"/>
      <c r="D1578" s="1033"/>
      <c r="E1578" s="1072"/>
      <c r="F1578" s="1072"/>
      <c r="G1578" s="1033"/>
      <c r="H1578" s="1033"/>
      <c r="I1578" s="1033"/>
      <c r="J1578" s="1033"/>
      <c r="K1578" s="1033"/>
      <c r="L1578" s="1033"/>
      <c r="M1578" s="1147"/>
      <c r="N1578" s="1067"/>
      <c r="O1578" s="1064"/>
      <c r="P1578" s="1064"/>
      <c r="Q1578" s="1063"/>
      <c r="R1578" s="1070"/>
      <c r="S1578" s="1094"/>
      <c r="T1578" s="1094"/>
      <c r="U1578" s="1094"/>
      <c r="V1578" s="1045"/>
      <c r="W1578" s="1044"/>
      <c r="X1578" s="1033"/>
      <c r="Y1578" s="108"/>
      <c r="Z1578" s="109"/>
      <c r="AA1578" s="109"/>
      <c r="AB1578" s="109">
        <f t="shared" si="128"/>
        <v>0</v>
      </c>
      <c r="AC1578" s="97"/>
      <c r="AD1578" s="119"/>
      <c r="AE1578" s="98"/>
      <c r="AF1578" s="1045"/>
      <c r="AG1578" s="1044"/>
      <c r="AH1578" s="111"/>
      <c r="AI1578" s="1045"/>
      <c r="AJ1578" s="1063"/>
      <c r="AK1578" s="1064"/>
      <c r="AL1578" s="1064"/>
      <c r="AM1578" s="1064"/>
      <c r="AN1578" s="1109"/>
      <c r="AO1578" s="1104"/>
    </row>
    <row r="1579" spans="1:43" ht="15" customHeight="1">
      <c r="A1579" s="1050"/>
      <c r="B1579" s="1069"/>
      <c r="C1579" s="1011" t="s">
        <v>44</v>
      </c>
      <c r="D1579" s="1033"/>
      <c r="E1579" s="1072"/>
      <c r="F1579" s="1072"/>
      <c r="G1579" s="1033"/>
      <c r="H1579" s="1033"/>
      <c r="I1579" s="1033"/>
      <c r="J1579" s="1033"/>
      <c r="K1579" s="1033"/>
      <c r="L1579" s="1033"/>
      <c r="M1579" s="1145">
        <v>10</v>
      </c>
      <c r="N1579" s="1065" t="s">
        <v>141</v>
      </c>
      <c r="O1579" s="1062">
        <v>4240000</v>
      </c>
      <c r="P1579" s="1062">
        <v>4240000</v>
      </c>
      <c r="Q1579" s="1063"/>
      <c r="R1579" s="1068">
        <v>42171</v>
      </c>
      <c r="S1579" s="1092">
        <f>T1579</f>
        <v>4240000</v>
      </c>
      <c r="T1579" s="1092">
        <v>4240000</v>
      </c>
      <c r="U1579" s="1092">
        <f>O1579-T1579</f>
        <v>0</v>
      </c>
      <c r="V1579" s="1043">
        <v>4238626</v>
      </c>
      <c r="W1579" s="1044"/>
      <c r="X1579" s="1033"/>
      <c r="Y1579" s="108" t="s">
        <v>1917</v>
      </c>
      <c r="Z1579" s="109">
        <v>0</v>
      </c>
      <c r="AA1579" s="109">
        <v>423862.6</v>
      </c>
      <c r="AB1579" s="109">
        <f t="shared" si="128"/>
        <v>423862.6</v>
      </c>
      <c r="AC1579" s="97">
        <v>42366</v>
      </c>
      <c r="AD1579" s="119">
        <v>423862.6</v>
      </c>
      <c r="AE1579" s="98" t="s">
        <v>141</v>
      </c>
      <c r="AF1579" s="1043" t="e">
        <f>SUM(AD1579:AD1582)</f>
        <v>#REF!</v>
      </c>
      <c r="AG1579" s="1044"/>
      <c r="AH1579" s="111"/>
      <c r="AI1579" s="1043" t="e">
        <f>O1579-SUM(AD1579:AD1582)</f>
        <v>#REF!</v>
      </c>
      <c r="AJ1579" s="1063"/>
      <c r="AK1579" s="1062">
        <f>P1579-V1579</f>
        <v>1374</v>
      </c>
      <c r="AL1579" s="1062"/>
      <c r="AM1579" s="1062"/>
      <c r="AN1579" s="1109"/>
      <c r="AO1579" s="1104"/>
    </row>
    <row r="1580" spans="1:43" ht="15" customHeight="1">
      <c r="A1580" s="1050"/>
      <c r="B1580" s="1069"/>
      <c r="C1580" s="1033"/>
      <c r="D1580" s="1033"/>
      <c r="E1580" s="1072"/>
      <c r="F1580" s="1072"/>
      <c r="G1580" s="1033"/>
      <c r="H1580" s="1033"/>
      <c r="I1580" s="1033"/>
      <c r="J1580" s="1033"/>
      <c r="K1580" s="1033"/>
      <c r="L1580" s="1033"/>
      <c r="M1580" s="1146"/>
      <c r="N1580" s="1066"/>
      <c r="O1580" s="1063"/>
      <c r="P1580" s="1063"/>
      <c r="Q1580" s="1063"/>
      <c r="R1580" s="1069"/>
      <c r="S1580" s="1093"/>
      <c r="T1580" s="1093"/>
      <c r="U1580" s="1093"/>
      <c r="V1580" s="1044"/>
      <c r="W1580" s="1044"/>
      <c r="X1580" s="1033"/>
      <c r="Y1580" s="108" t="s">
        <v>1918</v>
      </c>
      <c r="Z1580" s="109">
        <v>2989644</v>
      </c>
      <c r="AA1580" s="109">
        <v>-186803.44</v>
      </c>
      <c r="AB1580" s="109">
        <f t="shared" si="128"/>
        <v>2802840.56</v>
      </c>
      <c r="AC1580" s="1068">
        <v>42822</v>
      </c>
      <c r="AD1580" s="119">
        <v>2802840.56</v>
      </c>
      <c r="AE1580" s="98" t="s">
        <v>141</v>
      </c>
      <c r="AF1580" s="1044"/>
      <c r="AG1580" s="1044"/>
      <c r="AH1580" s="111"/>
      <c r="AI1580" s="1044"/>
      <c r="AJ1580" s="1063"/>
      <c r="AK1580" s="1063"/>
      <c r="AL1580" s="1063"/>
      <c r="AM1580" s="1063"/>
      <c r="AN1580" s="1109"/>
      <c r="AO1580" s="1104"/>
    </row>
    <row r="1581" spans="1:43" ht="15" customHeight="1">
      <c r="A1581" s="1050"/>
      <c r="B1581" s="1069"/>
      <c r="C1581" s="1033"/>
      <c r="D1581" s="1033"/>
      <c r="E1581" s="1072"/>
      <c r="F1581" s="1072"/>
      <c r="G1581" s="1033"/>
      <c r="H1581" s="1033"/>
      <c r="I1581" s="1033"/>
      <c r="J1581" s="1033"/>
      <c r="K1581" s="1033"/>
      <c r="L1581" s="1033"/>
      <c r="M1581" s="1146"/>
      <c r="N1581" s="1066"/>
      <c r="O1581" s="1063"/>
      <c r="P1581" s="1063"/>
      <c r="Q1581" s="1063"/>
      <c r="R1581" s="1069"/>
      <c r="S1581" s="1093"/>
      <c r="T1581" s="1093"/>
      <c r="U1581" s="1093"/>
      <c r="V1581" s="1044"/>
      <c r="W1581" s="1044"/>
      <c r="X1581" s="1033"/>
      <c r="Y1581" s="108" t="s">
        <v>1919</v>
      </c>
      <c r="Z1581" s="109">
        <v>569370</v>
      </c>
      <c r="AA1581" s="109">
        <v>-175224.58</v>
      </c>
      <c r="AB1581" s="109">
        <f t="shared" si="128"/>
        <v>394145.42000000004</v>
      </c>
      <c r="AC1581" s="1070"/>
      <c r="AD1581" s="119">
        <v>394145.42</v>
      </c>
      <c r="AE1581" s="98" t="s">
        <v>141</v>
      </c>
      <c r="AF1581" s="1044"/>
      <c r="AG1581" s="1044"/>
      <c r="AH1581" s="111"/>
      <c r="AI1581" s="1044"/>
      <c r="AJ1581" s="1063"/>
      <c r="AK1581" s="1063"/>
      <c r="AL1581" s="1063"/>
      <c r="AM1581" s="1063"/>
      <c r="AN1581" s="1109"/>
      <c r="AO1581" s="1104"/>
    </row>
    <row r="1582" spans="1:43" ht="15" customHeight="1">
      <c r="A1582" s="1016"/>
      <c r="B1582" s="1070"/>
      <c r="C1582" s="1012"/>
      <c r="D1582" s="1012"/>
      <c r="E1582" s="1073"/>
      <c r="F1582" s="1073"/>
      <c r="G1582" s="1012"/>
      <c r="H1582" s="1012"/>
      <c r="I1582" s="1012"/>
      <c r="J1582" s="1012"/>
      <c r="K1582" s="1012"/>
      <c r="L1582" s="1012"/>
      <c r="M1582" s="1147"/>
      <c r="N1582" s="1067"/>
      <c r="O1582" s="1064"/>
      <c r="P1582" s="1064"/>
      <c r="Q1582" s="1064"/>
      <c r="R1582" s="1070"/>
      <c r="S1582" s="1094"/>
      <c r="T1582" s="1094"/>
      <c r="U1582" s="1094"/>
      <c r="V1582" s="1045"/>
      <c r="W1582" s="1045"/>
      <c r="X1582" s="1012"/>
      <c r="Y1582" s="108"/>
      <c r="Z1582" s="109"/>
      <c r="AA1582" s="109"/>
      <c r="AB1582" s="109">
        <f t="shared" si="128"/>
        <v>0</v>
      </c>
      <c r="AC1582" s="97"/>
      <c r="AD1582" s="969" t="e">
        <f>SUM(AD3:AD1581)</f>
        <v>#REF!</v>
      </c>
      <c r="AE1582" s="98"/>
      <c r="AF1582" s="1045"/>
      <c r="AG1582" s="1045"/>
      <c r="AH1582" s="111"/>
      <c r="AI1582" s="1045"/>
      <c r="AJ1582" s="1064"/>
      <c r="AK1582" s="1064"/>
      <c r="AL1582" s="1064"/>
      <c r="AM1582" s="1064"/>
      <c r="AN1582" s="1110"/>
      <c r="AO1582" s="1105"/>
    </row>
    <row r="1583" spans="1:43" s="4" customFormat="1" ht="15" customHeight="1">
      <c r="A1583" s="1170" t="s">
        <v>1920</v>
      </c>
      <c r="B1583" s="1171">
        <v>42368</v>
      </c>
      <c r="C1583" s="1149" t="s">
        <v>35</v>
      </c>
      <c r="D1583" s="1149" t="s">
        <v>1713</v>
      </c>
      <c r="E1583" s="1148">
        <v>10534582</v>
      </c>
      <c r="F1583" s="1148"/>
      <c r="G1583" s="1149" t="s">
        <v>1921</v>
      </c>
      <c r="H1583" s="1149" t="s">
        <v>71</v>
      </c>
      <c r="I1583" s="1149" t="s">
        <v>1235</v>
      </c>
      <c r="J1583" s="1149" t="s">
        <v>66</v>
      </c>
      <c r="K1583" s="1149" t="s">
        <v>183</v>
      </c>
      <c r="L1583" s="1149" t="s">
        <v>1930</v>
      </c>
      <c r="M1583" s="1156">
        <v>4</v>
      </c>
      <c r="N1583" s="1122" t="s">
        <v>160</v>
      </c>
      <c r="O1583" s="1084">
        <v>191866160</v>
      </c>
      <c r="P1583" s="1084">
        <v>191866160</v>
      </c>
      <c r="Q1583" s="1084">
        <v>191866160</v>
      </c>
      <c r="R1583" s="1068">
        <v>42151</v>
      </c>
      <c r="S1583" s="1089">
        <f>T1583</f>
        <v>191866160</v>
      </c>
      <c r="T1583" s="1089">
        <v>191866160</v>
      </c>
      <c r="U1583" s="1089">
        <f>O1583-T1583</f>
        <v>0</v>
      </c>
      <c r="V1583" s="1084">
        <f>W1583</f>
        <v>189575641</v>
      </c>
      <c r="W1583" s="1084">
        <v>189575641</v>
      </c>
      <c r="X1583" s="1149" t="s">
        <v>1922</v>
      </c>
      <c r="Y1583" s="103" t="s">
        <v>1928</v>
      </c>
      <c r="Z1583" s="109">
        <v>0</v>
      </c>
      <c r="AA1583" s="109">
        <v>94787820.5</v>
      </c>
      <c r="AB1583" s="109">
        <f t="shared" ref="AB1583:AB1596" si="129">AA1583+Z1583</f>
        <v>94787820.5</v>
      </c>
      <c r="AC1583" s="97">
        <v>42599</v>
      </c>
      <c r="AD1583" s="134">
        <v>94787820.5</v>
      </c>
      <c r="AE1583" s="98" t="s">
        <v>160</v>
      </c>
      <c r="AF1583" s="1043">
        <f>AD1583+AD1584</f>
        <v>181456081</v>
      </c>
      <c r="AG1583" s="1084">
        <f>AF1583</f>
        <v>181456081</v>
      </c>
      <c r="AH1583" s="111">
        <f t="shared" ref="AH1583:AH1596" si="130">AB1583-AD1583</f>
        <v>0</v>
      </c>
      <c r="AI1583" s="1084">
        <f>O1583-AD1583-AD1584</f>
        <v>10410079</v>
      </c>
      <c r="AJ1583" s="1084">
        <f>Z1584-AD1583-AD1584</f>
        <v>0</v>
      </c>
      <c r="AK1583" s="1084">
        <f>P1583-V1583</f>
        <v>2290519</v>
      </c>
      <c r="AL1583" s="1084">
        <f>V1583-Z1584</f>
        <v>8119560</v>
      </c>
      <c r="AM1583" s="1084">
        <f>AK1583+AL1583</f>
        <v>10410079</v>
      </c>
      <c r="AN1583" s="1149"/>
      <c r="AO1583" s="1149" t="s">
        <v>1927</v>
      </c>
      <c r="AQ1583" s="934"/>
    </row>
    <row r="1584" spans="1:43" s="4" customFormat="1" ht="15" customHeight="1">
      <c r="A1584" s="1170"/>
      <c r="B1584" s="1171"/>
      <c r="C1584" s="1149"/>
      <c r="D1584" s="1149"/>
      <c r="E1584" s="1148"/>
      <c r="F1584" s="1148"/>
      <c r="G1584" s="1149"/>
      <c r="H1584" s="1149"/>
      <c r="I1584" s="1149"/>
      <c r="J1584" s="1149"/>
      <c r="K1584" s="1149"/>
      <c r="L1584" s="1149"/>
      <c r="M1584" s="1156"/>
      <c r="N1584" s="1122"/>
      <c r="O1584" s="1084"/>
      <c r="P1584" s="1084"/>
      <c r="Q1584" s="1084"/>
      <c r="R1584" s="1070"/>
      <c r="S1584" s="1091"/>
      <c r="T1584" s="1091"/>
      <c r="U1584" s="1091"/>
      <c r="V1584" s="1084"/>
      <c r="W1584" s="1084"/>
      <c r="X1584" s="1149"/>
      <c r="Y1584" s="103" t="s">
        <v>1929</v>
      </c>
      <c r="Z1584" s="109">
        <v>181456081</v>
      </c>
      <c r="AA1584" s="109">
        <v>-94787820.5</v>
      </c>
      <c r="AB1584" s="109">
        <f t="shared" si="129"/>
        <v>86668260.5</v>
      </c>
      <c r="AC1584" s="97">
        <v>42976</v>
      </c>
      <c r="AD1584" s="119">
        <v>86668260.5</v>
      </c>
      <c r="AE1584" s="98" t="s">
        <v>160</v>
      </c>
      <c r="AF1584" s="1045"/>
      <c r="AG1584" s="1084"/>
      <c r="AH1584" s="111">
        <f t="shared" si="130"/>
        <v>0</v>
      </c>
      <c r="AI1584" s="1084"/>
      <c r="AJ1584" s="1084"/>
      <c r="AK1584" s="1084"/>
      <c r="AL1584" s="1084"/>
      <c r="AM1584" s="1084"/>
      <c r="AN1584" s="1149"/>
      <c r="AO1584" s="1149"/>
      <c r="AQ1584" s="934"/>
    </row>
    <row r="1585" spans="1:43" s="4" customFormat="1" ht="15" customHeight="1">
      <c r="A1585" s="1025" t="s">
        <v>1923</v>
      </c>
      <c r="B1585" s="1068">
        <v>42353</v>
      </c>
      <c r="C1585" s="1023" t="s">
        <v>20</v>
      </c>
      <c r="D1585" s="1023" t="s">
        <v>1924</v>
      </c>
      <c r="E1585" s="1153">
        <v>900917990</v>
      </c>
      <c r="F1585" s="1153">
        <v>8</v>
      </c>
      <c r="G1585" s="1023" t="s">
        <v>1925</v>
      </c>
      <c r="H1585" s="1023" t="s">
        <v>71</v>
      </c>
      <c r="I1585" s="1023" t="s">
        <v>1235</v>
      </c>
      <c r="J1585" s="1023" t="s">
        <v>66</v>
      </c>
      <c r="K1585" s="1023" t="s">
        <v>48</v>
      </c>
      <c r="L1585" s="1023"/>
      <c r="M1585" s="1145">
        <v>7</v>
      </c>
      <c r="N1585" s="1021" t="s">
        <v>143</v>
      </c>
      <c r="O1585" s="1043">
        <v>486507732</v>
      </c>
      <c r="P1585" s="1043">
        <v>486507732</v>
      </c>
      <c r="Q1585" s="1043">
        <f>P1585+P1589</f>
        <v>2746824526</v>
      </c>
      <c r="R1585" s="1068">
        <v>42153</v>
      </c>
      <c r="S1585" s="1089">
        <f>T1585</f>
        <v>486507732</v>
      </c>
      <c r="T1585" s="1089">
        <v>486507732</v>
      </c>
      <c r="U1585" s="1089">
        <f>O1585-T1585</f>
        <v>0</v>
      </c>
      <c r="V1585" s="1084">
        <v>475092213.74000001</v>
      </c>
      <c r="W1585" s="1043">
        <v>2682372466</v>
      </c>
      <c r="X1585" s="1023" t="s">
        <v>1926</v>
      </c>
      <c r="Y1585" s="108" t="s">
        <v>1940</v>
      </c>
      <c r="Z1585" s="109">
        <v>0</v>
      </c>
      <c r="AA1585" s="109">
        <f>AD1585</f>
        <v>95018442.709999993</v>
      </c>
      <c r="AB1585" s="109">
        <f t="shared" si="129"/>
        <v>95018442.709999993</v>
      </c>
      <c r="AC1585" s="97">
        <v>42473</v>
      </c>
      <c r="AD1585" s="119">
        <v>95018442.709999993</v>
      </c>
      <c r="AE1585" s="98" t="s">
        <v>143</v>
      </c>
      <c r="AF1585" s="1043">
        <f>SUM(AD1585:AD1588)</f>
        <v>471124573.37</v>
      </c>
      <c r="AG1585" s="1043">
        <f>AF1585+AF1589</f>
        <v>2290256098.9900002</v>
      </c>
      <c r="AH1585" s="111">
        <f t="shared" si="130"/>
        <v>0</v>
      </c>
      <c r="AI1585" s="1043">
        <f>O1585-SUM(AD1585:AD1588)</f>
        <v>15383158.629999995</v>
      </c>
      <c r="AJ1585" s="1043">
        <f>SUM(Z1585:Z1596)-SUM(AD1585:AD1596)</f>
        <v>-53870507.989999771</v>
      </c>
      <c r="AK1585" s="1043">
        <f>P1585-V1585</f>
        <v>11415518.25999999</v>
      </c>
      <c r="AL1585" s="1043">
        <f>V1585-SUM(Z1585:Z1588)</f>
        <v>10260648.069999993</v>
      </c>
      <c r="AM1585" s="1043"/>
      <c r="AN1585" s="1023"/>
      <c r="AO1585" s="1023" t="s">
        <v>1944</v>
      </c>
      <c r="AQ1585" s="934"/>
    </row>
    <row r="1586" spans="1:43" s="4" customFormat="1" ht="15" customHeight="1">
      <c r="A1586" s="1026"/>
      <c r="B1586" s="1069"/>
      <c r="C1586" s="1124"/>
      <c r="D1586" s="1124"/>
      <c r="E1586" s="1154"/>
      <c r="F1586" s="1154"/>
      <c r="G1586" s="1124"/>
      <c r="H1586" s="1124"/>
      <c r="I1586" s="1124"/>
      <c r="J1586" s="1124"/>
      <c r="K1586" s="1124"/>
      <c r="L1586" s="1124"/>
      <c r="M1586" s="1146"/>
      <c r="N1586" s="1022"/>
      <c r="O1586" s="1044"/>
      <c r="P1586" s="1044"/>
      <c r="Q1586" s="1044"/>
      <c r="R1586" s="1069"/>
      <c r="S1586" s="1090"/>
      <c r="T1586" s="1090"/>
      <c r="U1586" s="1090"/>
      <c r="V1586" s="1084"/>
      <c r="W1586" s="1044"/>
      <c r="X1586" s="1124"/>
      <c r="Y1586" s="108" t="s">
        <v>1941</v>
      </c>
      <c r="Z1586" s="109">
        <v>354533160.67000002</v>
      </c>
      <c r="AA1586" s="109">
        <v>-70906632.010000005</v>
      </c>
      <c r="AB1586" s="109">
        <f t="shared" si="129"/>
        <v>283626528.66000003</v>
      </c>
      <c r="AC1586" s="97">
        <v>42790</v>
      </c>
      <c r="AD1586" s="119">
        <v>283626528.66000003</v>
      </c>
      <c r="AE1586" s="98" t="s">
        <v>143</v>
      </c>
      <c r="AF1586" s="1044"/>
      <c r="AG1586" s="1044"/>
      <c r="AH1586" s="111">
        <f t="shared" si="130"/>
        <v>0</v>
      </c>
      <c r="AI1586" s="1044"/>
      <c r="AJ1586" s="1044"/>
      <c r="AK1586" s="1044"/>
      <c r="AL1586" s="1044"/>
      <c r="AM1586" s="1044"/>
      <c r="AN1586" s="1124"/>
      <c r="AO1586" s="1124"/>
      <c r="AQ1586" s="934"/>
    </row>
    <row r="1587" spans="1:43" s="4" customFormat="1" ht="15" customHeight="1">
      <c r="A1587" s="1026"/>
      <c r="B1587" s="1069"/>
      <c r="C1587" s="1124"/>
      <c r="D1587" s="1124"/>
      <c r="E1587" s="1154"/>
      <c r="F1587" s="1154"/>
      <c r="G1587" s="1124"/>
      <c r="H1587" s="1124"/>
      <c r="I1587" s="1124"/>
      <c r="J1587" s="1124"/>
      <c r="K1587" s="1124"/>
      <c r="L1587" s="1124"/>
      <c r="M1587" s="1146"/>
      <c r="N1587" s="1022"/>
      <c r="O1587" s="1044"/>
      <c r="P1587" s="1044"/>
      <c r="Q1587" s="1044"/>
      <c r="R1587" s="1069"/>
      <c r="S1587" s="1090"/>
      <c r="T1587" s="1090"/>
      <c r="U1587" s="1090"/>
      <c r="V1587" s="1084"/>
      <c r="W1587" s="1044"/>
      <c r="X1587" s="1124"/>
      <c r="Y1587" s="108" t="s">
        <v>1942</v>
      </c>
      <c r="Z1587" s="109">
        <v>89094014</v>
      </c>
      <c r="AA1587" s="109">
        <v>-17818803</v>
      </c>
      <c r="AB1587" s="109">
        <f t="shared" si="129"/>
        <v>71275211</v>
      </c>
      <c r="AC1587" s="97">
        <v>42873</v>
      </c>
      <c r="AD1587" s="119">
        <v>71275211</v>
      </c>
      <c r="AE1587" s="98" t="s">
        <v>143</v>
      </c>
      <c r="AF1587" s="1044"/>
      <c r="AG1587" s="1044"/>
      <c r="AH1587" s="111">
        <f t="shared" si="130"/>
        <v>0</v>
      </c>
      <c r="AI1587" s="1044"/>
      <c r="AJ1587" s="1044"/>
      <c r="AK1587" s="1044"/>
      <c r="AL1587" s="1044"/>
      <c r="AM1587" s="1044"/>
      <c r="AN1587" s="1124"/>
      <c r="AO1587" s="1124"/>
      <c r="AQ1587" s="934"/>
    </row>
    <row r="1588" spans="1:43" s="4" customFormat="1" ht="15" customHeight="1">
      <c r="A1588" s="1026"/>
      <c r="B1588" s="1069"/>
      <c r="C1588" s="1124"/>
      <c r="D1588" s="1124"/>
      <c r="E1588" s="1154"/>
      <c r="F1588" s="1154"/>
      <c r="G1588" s="1124"/>
      <c r="H1588" s="1124"/>
      <c r="I1588" s="1124"/>
      <c r="J1588" s="1124"/>
      <c r="K1588" s="1124"/>
      <c r="L1588" s="1124"/>
      <c r="M1588" s="1146"/>
      <c r="N1588" s="1022"/>
      <c r="O1588" s="1044"/>
      <c r="P1588" s="1044"/>
      <c r="Q1588" s="1044"/>
      <c r="R1588" s="1069"/>
      <c r="S1588" s="1091"/>
      <c r="T1588" s="1091"/>
      <c r="U1588" s="1091"/>
      <c r="V1588" s="1084"/>
      <c r="W1588" s="1044"/>
      <c r="X1588" s="1124"/>
      <c r="Y1588" s="108" t="s">
        <v>1943</v>
      </c>
      <c r="Z1588" s="109">
        <v>21204391</v>
      </c>
      <c r="AA1588" s="109">
        <v>0</v>
      </c>
      <c r="AB1588" s="109">
        <f t="shared" si="129"/>
        <v>21204391</v>
      </c>
      <c r="AC1588" s="97">
        <v>42955</v>
      </c>
      <c r="AD1588" s="119">
        <v>21204391</v>
      </c>
      <c r="AE1588" s="98" t="s">
        <v>143</v>
      </c>
      <c r="AF1588" s="1045"/>
      <c r="AG1588" s="1044"/>
      <c r="AH1588" s="111">
        <f t="shared" si="130"/>
        <v>0</v>
      </c>
      <c r="AI1588" s="1045"/>
      <c r="AJ1588" s="1044"/>
      <c r="AK1588" s="1044"/>
      <c r="AL1588" s="1044"/>
      <c r="AM1588" s="1044"/>
      <c r="AN1588" s="1124"/>
      <c r="AO1588" s="1124"/>
      <c r="AQ1588" s="934"/>
    </row>
    <row r="1589" spans="1:43" s="4" customFormat="1" ht="15" customHeight="1">
      <c r="A1589" s="1026"/>
      <c r="B1589" s="1069"/>
      <c r="C1589" s="1124"/>
      <c r="D1589" s="1124"/>
      <c r="E1589" s="1154"/>
      <c r="F1589" s="1154"/>
      <c r="G1589" s="1124"/>
      <c r="H1589" s="1124"/>
      <c r="I1589" s="1124"/>
      <c r="J1589" s="1124"/>
      <c r="K1589" s="1124"/>
      <c r="L1589" s="1124"/>
      <c r="M1589" s="1145">
        <v>324</v>
      </c>
      <c r="N1589" s="1122" t="s">
        <v>137</v>
      </c>
      <c r="O1589" s="1084">
        <v>1108241990</v>
      </c>
      <c r="P1589" s="1043">
        <f>O1589+O1593</f>
        <v>2260316794</v>
      </c>
      <c r="Q1589" s="1044"/>
      <c r="R1589" s="1068">
        <v>42153</v>
      </c>
      <c r="S1589" s="1089">
        <f>T1589+T1593</f>
        <v>2260316794</v>
      </c>
      <c r="T1589" s="1062">
        <v>1108241990</v>
      </c>
      <c r="U1589" s="1062">
        <f>O1589-T1589</f>
        <v>0</v>
      </c>
      <c r="V1589" s="1084">
        <v>1082237970.25</v>
      </c>
      <c r="W1589" s="1044"/>
      <c r="X1589" s="1124"/>
      <c r="Y1589" s="1065" t="s">
        <v>1940</v>
      </c>
      <c r="Z1589" s="109">
        <v>0</v>
      </c>
      <c r="AA1589" s="109">
        <v>216447593.97</v>
      </c>
      <c r="AB1589" s="109">
        <f t="shared" si="129"/>
        <v>216447593.97</v>
      </c>
      <c r="AC1589" s="607">
        <v>42473</v>
      </c>
      <c r="AD1589" s="119">
        <v>216447593.97</v>
      </c>
      <c r="AE1589" s="1122" t="s">
        <v>137</v>
      </c>
      <c r="AF1589" s="1043">
        <f>SUM(AD1589:AD1595)</f>
        <v>1819131525.6200001</v>
      </c>
      <c r="AG1589" s="1044"/>
      <c r="AH1589" s="111">
        <f t="shared" si="130"/>
        <v>0</v>
      </c>
      <c r="AI1589" s="1043">
        <f>O1589-AD1589-AD1591-AD1593-AD1595</f>
        <v>25309040.709999979</v>
      </c>
      <c r="AJ1589" s="1044"/>
      <c r="AK1589" s="1043">
        <f>O1589-V1589</f>
        <v>26004019.75</v>
      </c>
      <c r="AL1589" s="1043">
        <f>(V1589+V1593)-SUM(Z1589:Z1596)</f>
        <v>259091893.93000031</v>
      </c>
      <c r="AM1589" s="1043"/>
      <c r="AN1589" s="1124"/>
      <c r="AO1589" s="1124"/>
      <c r="AQ1589" s="934"/>
    </row>
    <row r="1590" spans="1:43" s="4" customFormat="1" ht="15" customHeight="1">
      <c r="A1590" s="1026"/>
      <c r="B1590" s="1069"/>
      <c r="C1590" s="1124"/>
      <c r="D1590" s="1124"/>
      <c r="E1590" s="1154"/>
      <c r="F1590" s="1154"/>
      <c r="G1590" s="1124"/>
      <c r="H1590" s="1124"/>
      <c r="I1590" s="1124"/>
      <c r="J1590" s="1124"/>
      <c r="K1590" s="1124"/>
      <c r="L1590" s="1124"/>
      <c r="M1590" s="1146"/>
      <c r="N1590" s="1122"/>
      <c r="O1590" s="1084"/>
      <c r="P1590" s="1044"/>
      <c r="Q1590" s="1044"/>
      <c r="R1590" s="1069"/>
      <c r="S1590" s="1090"/>
      <c r="T1590" s="1063"/>
      <c r="U1590" s="1063"/>
      <c r="V1590" s="1084"/>
      <c r="W1590" s="1044"/>
      <c r="X1590" s="1124"/>
      <c r="Y1590" s="1067"/>
      <c r="Z1590" s="109">
        <v>0</v>
      </c>
      <c r="AA1590" s="109">
        <v>225008456.31999999</v>
      </c>
      <c r="AB1590" s="109">
        <f t="shared" si="129"/>
        <v>225008456.31999999</v>
      </c>
      <c r="AC1590" s="607">
        <v>42790</v>
      </c>
      <c r="AD1590" s="119">
        <v>283626528.66000003</v>
      </c>
      <c r="AE1590" s="1122"/>
      <c r="AF1590" s="1044"/>
      <c r="AG1590" s="1044"/>
      <c r="AH1590" s="111">
        <f t="shared" si="130"/>
        <v>-58618072.340000033</v>
      </c>
      <c r="AI1590" s="1044"/>
      <c r="AJ1590" s="1044"/>
      <c r="AK1590" s="1044"/>
      <c r="AL1590" s="1044"/>
      <c r="AM1590" s="1044"/>
      <c r="AN1590" s="1124"/>
      <c r="AO1590" s="1124"/>
      <c r="AQ1590" s="934"/>
    </row>
    <row r="1591" spans="1:43" s="4" customFormat="1" ht="15" customHeight="1">
      <c r="A1591" s="1026"/>
      <c r="B1591" s="1069"/>
      <c r="C1591" s="1124"/>
      <c r="D1591" s="1124"/>
      <c r="E1591" s="1154"/>
      <c r="F1591" s="1154"/>
      <c r="G1591" s="1124"/>
      <c r="H1591" s="1124"/>
      <c r="I1591" s="1124"/>
      <c r="J1591" s="1124"/>
      <c r="K1591" s="1124"/>
      <c r="L1591" s="1124"/>
      <c r="M1591" s="1146"/>
      <c r="N1591" s="1122"/>
      <c r="O1591" s="1084"/>
      <c r="P1591" s="1044"/>
      <c r="Q1591" s="1044"/>
      <c r="R1591" s="1069"/>
      <c r="S1591" s="1090"/>
      <c r="T1591" s="1063"/>
      <c r="U1591" s="1063"/>
      <c r="V1591" s="1084"/>
      <c r="W1591" s="1044"/>
      <c r="X1591" s="1124"/>
      <c r="Y1591" s="1065" t="s">
        <v>1941</v>
      </c>
      <c r="Z1591" s="109">
        <v>354533160.66000003</v>
      </c>
      <c r="AA1591" s="109">
        <v>-70906632</v>
      </c>
      <c r="AB1591" s="109">
        <f t="shared" si="129"/>
        <v>283626528.66000003</v>
      </c>
      <c r="AC1591" s="607">
        <v>42873</v>
      </c>
      <c r="AD1591" s="119">
        <v>285100844</v>
      </c>
      <c r="AE1591" s="1122"/>
      <c r="AF1591" s="1044"/>
      <c r="AG1591" s="1044"/>
      <c r="AH1591" s="111">
        <f t="shared" si="130"/>
        <v>-1474315.3399999738</v>
      </c>
      <c r="AI1591" s="1044"/>
      <c r="AJ1591" s="1044"/>
      <c r="AK1591" s="1044"/>
      <c r="AL1591" s="1044"/>
      <c r="AM1591" s="1044"/>
      <c r="AN1591" s="1124"/>
      <c r="AO1591" s="1124"/>
      <c r="AQ1591" s="934"/>
    </row>
    <row r="1592" spans="1:43" s="4" customFormat="1" ht="15" customHeight="1">
      <c r="A1592" s="1026"/>
      <c r="B1592" s="1069"/>
      <c r="C1592" s="1124"/>
      <c r="D1592" s="1124"/>
      <c r="E1592" s="1154"/>
      <c r="F1592" s="1154"/>
      <c r="G1592" s="1124"/>
      <c r="H1592" s="1124"/>
      <c r="I1592" s="1124"/>
      <c r="J1592" s="1124"/>
      <c r="K1592" s="1124"/>
      <c r="L1592" s="1124"/>
      <c r="M1592" s="1146"/>
      <c r="N1592" s="1122"/>
      <c r="O1592" s="1084"/>
      <c r="P1592" s="1044"/>
      <c r="Q1592" s="1044"/>
      <c r="R1592" s="1069"/>
      <c r="S1592" s="1090"/>
      <c r="T1592" s="1064"/>
      <c r="U1592" s="1064"/>
      <c r="V1592" s="1084"/>
      <c r="W1592" s="1044"/>
      <c r="X1592" s="1124"/>
      <c r="Y1592" s="1067"/>
      <c r="Z1592" s="109">
        <v>354533160.67000002</v>
      </c>
      <c r="AA1592" s="109">
        <v>-70906632</v>
      </c>
      <c r="AB1592" s="109">
        <f t="shared" si="129"/>
        <v>283626528.67000002</v>
      </c>
      <c r="AC1592" s="607">
        <v>42955</v>
      </c>
      <c r="AD1592" s="119">
        <v>168945519</v>
      </c>
      <c r="AE1592" s="1122"/>
      <c r="AF1592" s="1044"/>
      <c r="AG1592" s="1044"/>
      <c r="AH1592" s="111">
        <f t="shared" si="130"/>
        <v>114681009.67000002</v>
      </c>
      <c r="AI1592" s="1045"/>
      <c r="AJ1592" s="1044"/>
      <c r="AK1592" s="1045"/>
      <c r="AL1592" s="1044"/>
      <c r="AM1592" s="1044"/>
      <c r="AN1592" s="1124"/>
      <c r="AO1592" s="1124"/>
      <c r="AQ1592" s="934"/>
    </row>
    <row r="1593" spans="1:43" s="4" customFormat="1" ht="15" customHeight="1">
      <c r="A1593" s="1026"/>
      <c r="B1593" s="1069"/>
      <c r="C1593" s="1124"/>
      <c r="D1593" s="1124"/>
      <c r="E1593" s="1154"/>
      <c r="F1593" s="1154"/>
      <c r="G1593" s="1124"/>
      <c r="H1593" s="1124"/>
      <c r="I1593" s="1124"/>
      <c r="J1593" s="1124"/>
      <c r="K1593" s="1124"/>
      <c r="L1593" s="1124"/>
      <c r="M1593" s="1146"/>
      <c r="N1593" s="1021" t="s">
        <v>7</v>
      </c>
      <c r="O1593" s="1043">
        <v>1152074804</v>
      </c>
      <c r="P1593" s="1044"/>
      <c r="Q1593" s="1044"/>
      <c r="R1593" s="1069"/>
      <c r="S1593" s="1090"/>
      <c r="T1593" s="1062">
        <v>1152074804</v>
      </c>
      <c r="U1593" s="1062">
        <f>O1593-T1593</f>
        <v>0</v>
      </c>
      <c r="V1593" s="1043">
        <v>1125042282.01</v>
      </c>
      <c r="W1593" s="1044"/>
      <c r="X1593" s="1124"/>
      <c r="Y1593" s="1065" t="s">
        <v>1942</v>
      </c>
      <c r="Z1593" s="109">
        <v>356376055</v>
      </c>
      <c r="AA1593" s="109">
        <v>-71275211</v>
      </c>
      <c r="AB1593" s="109">
        <f t="shared" si="129"/>
        <v>285100844</v>
      </c>
      <c r="AC1593" s="607">
        <v>42473</v>
      </c>
      <c r="AD1593" s="119">
        <v>225008456.31999999</v>
      </c>
      <c r="AE1593" s="1021" t="s">
        <v>7</v>
      </c>
      <c r="AF1593" s="1044"/>
      <c r="AG1593" s="1044"/>
      <c r="AH1593" s="111">
        <f t="shared" si="130"/>
        <v>60092387.680000007</v>
      </c>
      <c r="AI1593" s="1043">
        <f>O1593-AD1590-AD1592-AD1594</f>
        <v>415876227.6699999</v>
      </c>
      <c r="AJ1593" s="1044"/>
      <c r="AK1593" s="1043">
        <f>O1593-V1593</f>
        <v>27032521.99000001</v>
      </c>
      <c r="AL1593" s="1044"/>
      <c r="AM1593" s="1044"/>
      <c r="AN1593" s="1124"/>
      <c r="AO1593" s="1124"/>
      <c r="AQ1593" s="934"/>
    </row>
    <row r="1594" spans="1:43" s="4" customFormat="1" ht="15" customHeight="1">
      <c r="A1594" s="1026"/>
      <c r="B1594" s="1069"/>
      <c r="C1594" s="1124"/>
      <c r="D1594" s="1124"/>
      <c r="E1594" s="1154"/>
      <c r="F1594" s="1154"/>
      <c r="G1594" s="1124"/>
      <c r="H1594" s="1124"/>
      <c r="I1594" s="1124"/>
      <c r="J1594" s="1124"/>
      <c r="K1594" s="1124"/>
      <c r="L1594" s="1124"/>
      <c r="M1594" s="1146"/>
      <c r="N1594" s="1022"/>
      <c r="O1594" s="1044"/>
      <c r="P1594" s="1044"/>
      <c r="Q1594" s="1044"/>
      <c r="R1594" s="1069"/>
      <c r="S1594" s="1090"/>
      <c r="T1594" s="1063"/>
      <c r="U1594" s="1063"/>
      <c r="V1594" s="1044"/>
      <c r="W1594" s="1044"/>
      <c r="X1594" s="1124"/>
      <c r="Y1594" s="1067"/>
      <c r="Z1594" s="109">
        <v>445470069</v>
      </c>
      <c r="AA1594" s="109">
        <v>-89094014</v>
      </c>
      <c r="AB1594" s="109">
        <f t="shared" si="129"/>
        <v>356376055</v>
      </c>
      <c r="AC1594" s="607">
        <v>42790</v>
      </c>
      <c r="AD1594" s="119">
        <v>283626528.67000002</v>
      </c>
      <c r="AE1594" s="1022"/>
      <c r="AF1594" s="1044"/>
      <c r="AG1594" s="1044"/>
      <c r="AH1594" s="111">
        <f t="shared" si="130"/>
        <v>72749526.329999983</v>
      </c>
      <c r="AI1594" s="1044"/>
      <c r="AJ1594" s="1044"/>
      <c r="AK1594" s="1044"/>
      <c r="AL1594" s="1044"/>
      <c r="AM1594" s="1044"/>
      <c r="AN1594" s="1124"/>
      <c r="AO1594" s="1124"/>
      <c r="AQ1594" s="934"/>
    </row>
    <row r="1595" spans="1:43" s="4" customFormat="1" ht="15" customHeight="1">
      <c r="A1595" s="1026"/>
      <c r="B1595" s="1069"/>
      <c r="C1595" s="1124"/>
      <c r="D1595" s="1124"/>
      <c r="E1595" s="1154"/>
      <c r="F1595" s="1154"/>
      <c r="G1595" s="1124"/>
      <c r="H1595" s="1124"/>
      <c r="I1595" s="1124"/>
      <c r="J1595" s="1124"/>
      <c r="K1595" s="1124"/>
      <c r="L1595" s="1124"/>
      <c r="M1595" s="1146"/>
      <c r="N1595" s="1022"/>
      <c r="O1595" s="1044"/>
      <c r="P1595" s="1044"/>
      <c r="Q1595" s="1044"/>
      <c r="R1595" s="1069"/>
      <c r="S1595" s="1090"/>
      <c r="T1595" s="1063"/>
      <c r="U1595" s="1063"/>
      <c r="V1595" s="1044"/>
      <c r="W1595" s="1044"/>
      <c r="X1595" s="1124"/>
      <c r="Y1595" s="1065" t="s">
        <v>1943</v>
      </c>
      <c r="Z1595" s="109">
        <v>214979827</v>
      </c>
      <c r="AA1595" s="109">
        <v>-46034308</v>
      </c>
      <c r="AB1595" s="109">
        <f t="shared" si="129"/>
        <v>168945519</v>
      </c>
      <c r="AC1595" s="607">
        <v>42873</v>
      </c>
      <c r="AD1595" s="119">
        <v>356376055</v>
      </c>
      <c r="AE1595" s="1022"/>
      <c r="AF1595" s="1044"/>
      <c r="AG1595" s="1044"/>
      <c r="AH1595" s="111">
        <f t="shared" si="130"/>
        <v>-187430536</v>
      </c>
      <c r="AI1595" s="1044"/>
      <c r="AJ1595" s="1044"/>
      <c r="AK1595" s="1044"/>
      <c r="AL1595" s="1044"/>
      <c r="AM1595" s="1044"/>
      <c r="AN1595" s="1124"/>
      <c r="AO1595" s="1124"/>
      <c r="AQ1595" s="934"/>
    </row>
    <row r="1596" spans="1:43" ht="15" customHeight="1">
      <c r="A1596" s="1027"/>
      <c r="B1596" s="1070"/>
      <c r="C1596" s="1024"/>
      <c r="D1596" s="1024"/>
      <c r="E1596" s="1155"/>
      <c r="F1596" s="1155"/>
      <c r="G1596" s="1024"/>
      <c r="H1596" s="1024"/>
      <c r="I1596" s="1024"/>
      <c r="J1596" s="1024"/>
      <c r="K1596" s="1024"/>
      <c r="L1596" s="1024"/>
      <c r="M1596" s="1147"/>
      <c r="N1596" s="1038"/>
      <c r="O1596" s="1045"/>
      <c r="P1596" s="1045"/>
      <c r="Q1596" s="1045"/>
      <c r="R1596" s="1070"/>
      <c r="S1596" s="1091"/>
      <c r="T1596" s="1064"/>
      <c r="U1596" s="1064"/>
      <c r="V1596" s="1045"/>
      <c r="W1596" s="1045"/>
      <c r="X1596" s="1024"/>
      <c r="Y1596" s="1067"/>
      <c r="Z1596" s="109">
        <v>222296086</v>
      </c>
      <c r="AA1596" s="109">
        <v>-45661753</v>
      </c>
      <c r="AB1596" s="109">
        <f t="shared" si="129"/>
        <v>176634333</v>
      </c>
      <c r="AC1596" s="607"/>
      <c r="AD1596" s="119">
        <v>176634333</v>
      </c>
      <c r="AE1596" s="1038"/>
      <c r="AF1596" s="1045"/>
      <c r="AG1596" s="1045"/>
      <c r="AH1596" s="111">
        <f t="shared" si="130"/>
        <v>0</v>
      </c>
      <c r="AI1596" s="1045"/>
      <c r="AJ1596" s="1045"/>
      <c r="AK1596" s="1045"/>
      <c r="AL1596" s="1045"/>
      <c r="AM1596" s="1045"/>
      <c r="AN1596" s="1024"/>
      <c r="AO1596" s="1024"/>
    </row>
    <row r="1597" spans="1:43" ht="15" customHeight="1">
      <c r="A1597" s="618" t="s">
        <v>2678</v>
      </c>
      <c r="B1597" s="602"/>
      <c r="C1597" s="618"/>
      <c r="D1597" s="618" t="s">
        <v>2679</v>
      </c>
      <c r="E1597" s="695">
        <v>805017838</v>
      </c>
      <c r="F1597" s="624"/>
      <c r="G1597" s="618" t="s">
        <v>2680</v>
      </c>
      <c r="H1597" s="618"/>
      <c r="I1597" s="618"/>
      <c r="J1597" s="618"/>
      <c r="K1597" s="618"/>
      <c r="L1597" s="619"/>
      <c r="M1597" s="623">
        <v>9</v>
      </c>
      <c r="N1597" s="1065" t="s">
        <v>161</v>
      </c>
      <c r="O1597" s="1084">
        <v>1563158721</v>
      </c>
      <c r="P1597" s="605"/>
      <c r="Q1597" s="605"/>
      <c r="R1597" s="602"/>
      <c r="S1597" s="617"/>
      <c r="T1597" s="610"/>
      <c r="U1597" s="610"/>
      <c r="V1597" s="606"/>
      <c r="W1597" s="605"/>
      <c r="X1597" s="619"/>
      <c r="Y1597" s="601" t="s">
        <v>2681</v>
      </c>
      <c r="Z1597" s="613"/>
      <c r="AA1597" s="613"/>
      <c r="AB1597" s="613"/>
      <c r="AC1597" s="607">
        <v>42451</v>
      </c>
      <c r="AD1597" s="621">
        <v>780727451.5</v>
      </c>
      <c r="AE1597" s="1065" t="s">
        <v>161</v>
      </c>
      <c r="AF1597" s="605"/>
      <c r="AG1597" s="605"/>
      <c r="AH1597" s="604"/>
      <c r="AI1597" s="605"/>
      <c r="AJ1597" s="605"/>
      <c r="AK1597" s="605"/>
      <c r="AL1597" s="606"/>
      <c r="AM1597" s="606"/>
      <c r="AN1597" s="619"/>
      <c r="AO1597" s="618"/>
    </row>
    <row r="1598" spans="1:43" ht="15" customHeight="1">
      <c r="A1598" s="618"/>
      <c r="B1598" s="602"/>
      <c r="C1598" s="618"/>
      <c r="D1598" s="618"/>
      <c r="E1598" s="624"/>
      <c r="F1598" s="624"/>
      <c r="G1598" s="618"/>
      <c r="H1598" s="618"/>
      <c r="I1598" s="618"/>
      <c r="J1598" s="618"/>
      <c r="K1598" s="618"/>
      <c r="L1598" s="619"/>
      <c r="M1598" s="623"/>
      <c r="N1598" s="1066"/>
      <c r="O1598" s="1084"/>
      <c r="P1598" s="605"/>
      <c r="Q1598" s="605"/>
      <c r="R1598" s="602"/>
      <c r="S1598" s="617"/>
      <c r="T1598" s="610"/>
      <c r="U1598" s="610"/>
      <c r="V1598" s="606"/>
      <c r="W1598" s="605"/>
      <c r="X1598" s="619"/>
      <c r="Y1598" s="601" t="s">
        <v>2682</v>
      </c>
      <c r="Z1598" s="613"/>
      <c r="AA1598" s="613"/>
      <c r="AB1598" s="613"/>
      <c r="AC1598" s="607">
        <v>42886</v>
      </c>
      <c r="AD1598" s="621">
        <v>223521371.5</v>
      </c>
      <c r="AE1598" s="1066"/>
      <c r="AF1598" s="605"/>
      <c r="AG1598" s="605"/>
      <c r="AH1598" s="604"/>
      <c r="AI1598" s="605"/>
      <c r="AJ1598" s="605"/>
      <c r="AK1598" s="605"/>
      <c r="AL1598" s="606"/>
      <c r="AM1598" s="606"/>
      <c r="AN1598" s="619"/>
      <c r="AO1598" s="618"/>
    </row>
    <row r="1599" spans="1:43" ht="15" customHeight="1">
      <c r="A1599" s="618"/>
      <c r="B1599" s="602"/>
      <c r="C1599" s="618"/>
      <c r="D1599" s="618"/>
      <c r="E1599" s="624"/>
      <c r="F1599" s="624"/>
      <c r="G1599" s="618"/>
      <c r="H1599" s="618"/>
      <c r="I1599" s="618"/>
      <c r="J1599" s="618"/>
      <c r="K1599" s="618"/>
      <c r="L1599" s="619"/>
      <c r="M1599" s="623"/>
      <c r="N1599" s="1066"/>
      <c r="O1599" s="605"/>
      <c r="P1599" s="605"/>
      <c r="Q1599" s="605"/>
      <c r="R1599" s="602"/>
      <c r="S1599" s="617"/>
      <c r="T1599" s="610"/>
      <c r="U1599" s="610"/>
      <c r="V1599" s="606"/>
      <c r="W1599" s="605"/>
      <c r="X1599" s="619"/>
      <c r="Y1599" s="601" t="s">
        <v>2683</v>
      </c>
      <c r="Z1599" s="613"/>
      <c r="AA1599" s="613"/>
      <c r="AB1599" s="613"/>
      <c r="AC1599" s="607">
        <v>42989</v>
      </c>
      <c r="AD1599" s="621">
        <v>365615453.5</v>
      </c>
      <c r="AE1599" s="1066"/>
      <c r="AF1599" s="605"/>
      <c r="AG1599" s="605"/>
      <c r="AH1599" s="604"/>
      <c r="AI1599" s="605"/>
      <c r="AJ1599" s="605"/>
      <c r="AK1599" s="605"/>
      <c r="AL1599" s="606"/>
      <c r="AM1599" s="606"/>
      <c r="AN1599" s="619"/>
      <c r="AO1599" s="618"/>
    </row>
    <row r="1600" spans="1:43" ht="15" customHeight="1">
      <c r="A1600" s="618"/>
      <c r="B1600" s="602"/>
      <c r="C1600" s="618"/>
      <c r="D1600" s="618"/>
      <c r="E1600" s="624"/>
      <c r="F1600" s="624"/>
      <c r="G1600" s="618"/>
      <c r="H1600" s="618"/>
      <c r="I1600" s="618"/>
      <c r="J1600" s="618"/>
      <c r="K1600" s="618"/>
      <c r="L1600" s="619"/>
      <c r="M1600" s="623"/>
      <c r="N1600" s="1066"/>
      <c r="O1600" s="605"/>
      <c r="P1600" s="605"/>
      <c r="Q1600" s="605"/>
      <c r="R1600" s="602"/>
      <c r="S1600" s="617"/>
      <c r="T1600" s="610"/>
      <c r="U1600" s="610"/>
      <c r="V1600" s="606"/>
      <c r="W1600" s="605"/>
      <c r="X1600" s="619"/>
      <c r="Y1600" s="601"/>
      <c r="Z1600" s="613"/>
      <c r="AA1600" s="613"/>
      <c r="AB1600" s="613"/>
      <c r="AC1600" s="607"/>
      <c r="AD1600" s="621"/>
      <c r="AE1600" s="1066"/>
      <c r="AF1600" s="605"/>
      <c r="AG1600" s="605"/>
      <c r="AH1600" s="604"/>
      <c r="AI1600" s="605"/>
      <c r="AJ1600" s="605"/>
      <c r="AK1600" s="605"/>
      <c r="AL1600" s="606"/>
      <c r="AM1600" s="606"/>
      <c r="AN1600" s="619"/>
      <c r="AO1600" s="618"/>
    </row>
    <row r="1601" spans="1:43" ht="15" customHeight="1">
      <c r="A1601" s="618"/>
      <c r="B1601" s="602"/>
      <c r="C1601" s="618"/>
      <c r="D1601" s="618"/>
      <c r="E1601" s="624"/>
      <c r="F1601" s="624"/>
      <c r="G1601" s="618"/>
      <c r="H1601" s="618"/>
      <c r="I1601" s="618"/>
      <c r="J1601" s="618"/>
      <c r="K1601" s="618"/>
      <c r="L1601" s="619"/>
      <c r="M1601" s="623"/>
      <c r="N1601" s="1066"/>
      <c r="O1601" s="605"/>
      <c r="P1601" s="605"/>
      <c r="Q1601" s="605"/>
      <c r="R1601" s="602"/>
      <c r="S1601" s="617"/>
      <c r="T1601" s="610"/>
      <c r="U1601" s="610"/>
      <c r="V1601" s="606"/>
      <c r="W1601" s="605"/>
      <c r="X1601" s="619"/>
      <c r="Y1601" s="601"/>
      <c r="Z1601" s="613"/>
      <c r="AA1601" s="613"/>
      <c r="AB1601" s="613"/>
      <c r="AC1601" s="607"/>
      <c r="AD1601" s="621"/>
      <c r="AE1601" s="1066"/>
      <c r="AF1601" s="605"/>
      <c r="AG1601" s="605"/>
      <c r="AH1601" s="604"/>
      <c r="AI1601" s="605"/>
      <c r="AJ1601" s="605"/>
      <c r="AK1601" s="605"/>
      <c r="AL1601" s="606"/>
      <c r="AM1601" s="606"/>
      <c r="AN1601" s="619"/>
      <c r="AO1601" s="618"/>
    </row>
    <row r="1602" spans="1:43" ht="15" customHeight="1">
      <c r="A1602" s="618"/>
      <c r="B1602" s="602"/>
      <c r="C1602" s="618"/>
      <c r="D1602" s="618"/>
      <c r="E1602" s="624"/>
      <c r="F1602" s="624"/>
      <c r="G1602" s="618"/>
      <c r="H1602" s="618"/>
      <c r="I1602" s="618"/>
      <c r="J1602" s="618"/>
      <c r="K1602" s="618"/>
      <c r="L1602" s="619"/>
      <c r="M1602" s="623"/>
      <c r="N1602" s="1066"/>
      <c r="O1602" s="605"/>
      <c r="P1602" s="605"/>
      <c r="Q1602" s="605"/>
      <c r="R1602" s="602"/>
      <c r="S1602" s="617"/>
      <c r="T1602" s="610"/>
      <c r="U1602" s="610"/>
      <c r="V1602" s="606"/>
      <c r="W1602" s="605"/>
      <c r="X1602" s="619"/>
      <c r="Y1602" s="601"/>
      <c r="Z1602" s="613"/>
      <c r="AA1602" s="613"/>
      <c r="AB1602" s="613"/>
      <c r="AC1602" s="607"/>
      <c r="AD1602" s="621"/>
      <c r="AE1602" s="1066"/>
      <c r="AF1602" s="605"/>
      <c r="AG1602" s="605"/>
      <c r="AH1602" s="604"/>
      <c r="AI1602" s="605"/>
      <c r="AJ1602" s="605"/>
      <c r="AK1602" s="605"/>
      <c r="AL1602" s="606"/>
      <c r="AM1602" s="606"/>
      <c r="AN1602" s="619"/>
      <c r="AO1602" s="618"/>
    </row>
    <row r="1603" spans="1:43" ht="15" customHeight="1">
      <c r="A1603" s="618"/>
      <c r="B1603" s="602"/>
      <c r="C1603" s="618"/>
      <c r="D1603" s="618"/>
      <c r="E1603" s="624"/>
      <c r="F1603" s="624"/>
      <c r="G1603" s="618"/>
      <c r="H1603" s="618"/>
      <c r="I1603" s="618"/>
      <c r="J1603" s="618"/>
      <c r="K1603" s="618"/>
      <c r="L1603" s="619"/>
      <c r="M1603" s="623"/>
      <c r="N1603" s="1066"/>
      <c r="O1603" s="605"/>
      <c r="P1603" s="605"/>
      <c r="Q1603" s="605"/>
      <c r="R1603" s="602"/>
      <c r="S1603" s="617"/>
      <c r="T1603" s="610"/>
      <c r="U1603" s="610"/>
      <c r="V1603" s="606"/>
      <c r="W1603" s="605"/>
      <c r="X1603" s="619"/>
      <c r="Y1603" s="601"/>
      <c r="Z1603" s="613"/>
      <c r="AA1603" s="613"/>
      <c r="AB1603" s="613"/>
      <c r="AC1603" s="607"/>
      <c r="AD1603" s="621"/>
      <c r="AE1603" s="1066"/>
      <c r="AF1603" s="605"/>
      <c r="AG1603" s="605"/>
      <c r="AH1603" s="604"/>
      <c r="AI1603" s="605"/>
      <c r="AJ1603" s="605"/>
      <c r="AK1603" s="605"/>
      <c r="AL1603" s="606"/>
      <c r="AM1603" s="606"/>
      <c r="AN1603" s="619"/>
      <c r="AO1603" s="618"/>
    </row>
    <row r="1604" spans="1:43" ht="15" customHeight="1">
      <c r="A1604" s="618"/>
      <c r="B1604" s="602"/>
      <c r="C1604" s="618"/>
      <c r="D1604" s="618"/>
      <c r="E1604" s="624"/>
      <c r="F1604" s="624"/>
      <c r="G1604" s="618"/>
      <c r="H1604" s="618"/>
      <c r="I1604" s="618"/>
      <c r="J1604" s="618"/>
      <c r="K1604" s="618"/>
      <c r="L1604" s="619"/>
      <c r="M1604" s="623"/>
      <c r="N1604" s="1066"/>
      <c r="O1604" s="605"/>
      <c r="P1604" s="605"/>
      <c r="Q1604" s="605"/>
      <c r="R1604" s="602"/>
      <c r="S1604" s="617"/>
      <c r="T1604" s="610"/>
      <c r="U1604" s="610"/>
      <c r="V1604" s="606"/>
      <c r="W1604" s="605"/>
      <c r="X1604" s="619"/>
      <c r="Y1604" s="601"/>
      <c r="Z1604" s="613"/>
      <c r="AA1604" s="613"/>
      <c r="AB1604" s="613"/>
      <c r="AC1604" s="607"/>
      <c r="AD1604" s="621"/>
      <c r="AE1604" s="1066"/>
      <c r="AF1604" s="605"/>
      <c r="AG1604" s="605"/>
      <c r="AH1604" s="604"/>
      <c r="AI1604" s="605"/>
      <c r="AJ1604" s="605"/>
      <c r="AK1604" s="605"/>
      <c r="AL1604" s="606"/>
      <c r="AM1604" s="606"/>
      <c r="AN1604" s="619"/>
      <c r="AO1604" s="618"/>
    </row>
    <row r="1605" spans="1:43" ht="15" customHeight="1">
      <c r="A1605" s="618"/>
      <c r="B1605" s="602"/>
      <c r="C1605" s="618"/>
      <c r="D1605" s="618"/>
      <c r="E1605" s="624"/>
      <c r="F1605" s="624"/>
      <c r="G1605" s="618"/>
      <c r="H1605" s="618"/>
      <c r="I1605" s="618"/>
      <c r="J1605" s="618"/>
      <c r="K1605" s="618"/>
      <c r="L1605" s="619"/>
      <c r="M1605" s="623"/>
      <c r="N1605" s="1067"/>
      <c r="O1605" s="605"/>
      <c r="P1605" s="605"/>
      <c r="Q1605" s="605"/>
      <c r="R1605" s="602"/>
      <c r="S1605" s="617"/>
      <c r="T1605" s="610"/>
      <c r="U1605" s="610"/>
      <c r="V1605" s="606"/>
      <c r="W1605" s="605"/>
      <c r="X1605" s="619"/>
      <c r="Y1605" s="601"/>
      <c r="Z1605" s="613"/>
      <c r="AA1605" s="613"/>
      <c r="AB1605" s="613"/>
      <c r="AC1605" s="607"/>
      <c r="AD1605" s="621"/>
      <c r="AE1605" s="1067"/>
      <c r="AF1605" s="605"/>
      <c r="AG1605" s="605"/>
      <c r="AH1605" s="604"/>
      <c r="AI1605" s="605"/>
      <c r="AJ1605" s="605"/>
      <c r="AK1605" s="605"/>
      <c r="AL1605" s="606"/>
      <c r="AM1605" s="606"/>
      <c r="AN1605" s="619"/>
      <c r="AO1605" s="618"/>
    </row>
    <row r="1606" spans="1:43" s="4" customFormat="1" ht="15" customHeight="1">
      <c r="A1606" s="1030" t="s">
        <v>2103</v>
      </c>
      <c r="B1606" s="1068">
        <v>42387</v>
      </c>
      <c r="C1606" s="1011" t="s">
        <v>21</v>
      </c>
      <c r="D1606" s="1011" t="s">
        <v>2096</v>
      </c>
      <c r="E1606" s="1011">
        <v>900924281</v>
      </c>
      <c r="F1606" s="1011">
        <v>3</v>
      </c>
      <c r="G1606" s="1011" t="s">
        <v>2095</v>
      </c>
      <c r="H1606" s="1011" t="s">
        <v>71</v>
      </c>
      <c r="I1606" s="1011" t="s">
        <v>2036</v>
      </c>
      <c r="J1606" s="1011" t="s">
        <v>66</v>
      </c>
      <c r="K1606" s="1011" t="s">
        <v>48</v>
      </c>
      <c r="L1606" s="113"/>
      <c r="M1606" s="1009">
        <v>333</v>
      </c>
      <c r="N1606" s="1021" t="s">
        <v>137</v>
      </c>
      <c r="O1606" s="1100">
        <v>136554982</v>
      </c>
      <c r="P1606" s="1100">
        <f>SUM(O1606:O1613)</f>
        <v>1089646832</v>
      </c>
      <c r="Q1606" s="1100">
        <f>SUM(P1606:P1616)</f>
        <v>1239026039</v>
      </c>
      <c r="R1606" s="1068">
        <v>42278</v>
      </c>
      <c r="S1606" s="116"/>
      <c r="T1606" s="117"/>
      <c r="U1606" s="117"/>
      <c r="V1606" s="117">
        <v>136554892</v>
      </c>
      <c r="W1606" s="1100">
        <f>SUM(V1606:V1616)</f>
        <v>1232829319</v>
      </c>
      <c r="X1606" s="113"/>
      <c r="Y1606" s="108" t="s">
        <v>2094</v>
      </c>
      <c r="Z1606" s="103"/>
      <c r="AA1606" s="126">
        <v>493131727.60000002</v>
      </c>
      <c r="AB1606" s="126">
        <f t="shared" ref="AB1606:AB1618" si="131">SUM(Z1606:AA1606)</f>
        <v>493131727.60000002</v>
      </c>
      <c r="AC1606" s="97">
        <v>42615</v>
      </c>
      <c r="AD1606" s="83">
        <v>28450415.100000001</v>
      </c>
      <c r="AE1606" s="1021" t="s">
        <v>137</v>
      </c>
      <c r="AF1606" s="1023">
        <f>SUM(AD1606:AD1608)</f>
        <v>104987475.21000001</v>
      </c>
      <c r="AG1606" s="1023">
        <f>SUM(AF1606:AF1618)</f>
        <v>1064282456.2</v>
      </c>
      <c r="AH1606" s="1023">
        <v>0</v>
      </c>
      <c r="AI1606" s="1023">
        <f>SUM(AH1606:AH1618)</f>
        <v>0</v>
      </c>
      <c r="AJ1606" s="1023">
        <f>SUM(AI1606:AI1618)</f>
        <v>0</v>
      </c>
      <c r="AK1606" s="1023">
        <f>O1606-V1606</f>
        <v>90</v>
      </c>
      <c r="AL1606" s="103"/>
      <c r="AM1606" s="103"/>
      <c r="AN1606" s="112"/>
      <c r="AO1606" s="1103" t="s">
        <v>2093</v>
      </c>
      <c r="AQ1606" s="934"/>
    </row>
    <row r="1607" spans="1:43" s="4" customFormat="1" ht="15" customHeight="1">
      <c r="A1607" s="1031"/>
      <c r="B1607" s="1069"/>
      <c r="C1607" s="1033"/>
      <c r="D1607" s="1033"/>
      <c r="E1607" s="1033"/>
      <c r="F1607" s="1033"/>
      <c r="G1607" s="1033"/>
      <c r="H1607" s="1033"/>
      <c r="I1607" s="1033"/>
      <c r="J1607" s="1033"/>
      <c r="K1607" s="1033"/>
      <c r="L1607" s="113"/>
      <c r="M1607" s="1039"/>
      <c r="N1607" s="1022"/>
      <c r="O1607" s="1101"/>
      <c r="P1607" s="1101"/>
      <c r="Q1607" s="1101"/>
      <c r="R1607" s="1069"/>
      <c r="S1607" s="116"/>
      <c r="T1607" s="117"/>
      <c r="U1607" s="117"/>
      <c r="V1607" s="117"/>
      <c r="W1607" s="1101"/>
      <c r="X1607" s="113"/>
      <c r="Y1607" s="108" t="s">
        <v>2092</v>
      </c>
      <c r="Z1607" s="103">
        <v>592749980</v>
      </c>
      <c r="AA1607" s="103">
        <v>-237099992</v>
      </c>
      <c r="AB1607" s="126">
        <f t="shared" si="131"/>
        <v>355649988</v>
      </c>
      <c r="AC1607" s="97">
        <v>42823</v>
      </c>
      <c r="AD1607" s="83">
        <v>39121498.799999997</v>
      </c>
      <c r="AE1607" s="1022"/>
      <c r="AF1607" s="1124"/>
      <c r="AG1607" s="1124"/>
      <c r="AH1607" s="1124"/>
      <c r="AI1607" s="1124"/>
      <c r="AJ1607" s="1124"/>
      <c r="AK1607" s="1124"/>
      <c r="AL1607" s="103"/>
      <c r="AM1607" s="103"/>
      <c r="AN1607" s="112"/>
      <c r="AO1607" s="1104"/>
      <c r="AQ1607" s="934"/>
    </row>
    <row r="1608" spans="1:43" s="4" customFormat="1" ht="15" customHeight="1">
      <c r="A1608" s="1031"/>
      <c r="B1608" s="1069"/>
      <c r="C1608" s="1033"/>
      <c r="D1608" s="1033"/>
      <c r="E1608" s="1033"/>
      <c r="F1608" s="1033"/>
      <c r="G1608" s="1033"/>
      <c r="H1608" s="1033"/>
      <c r="I1608" s="1033"/>
      <c r="J1608" s="1033"/>
      <c r="K1608" s="1033"/>
      <c r="L1608" s="113"/>
      <c r="M1608" s="1039"/>
      <c r="N1608" s="1022"/>
      <c r="O1608" s="1102"/>
      <c r="P1608" s="1101"/>
      <c r="Q1608" s="1101"/>
      <c r="R1608" s="1069"/>
      <c r="S1608" s="116"/>
      <c r="T1608" s="117"/>
      <c r="U1608" s="117"/>
      <c r="V1608" s="117"/>
      <c r="W1608" s="1101"/>
      <c r="X1608" s="113"/>
      <c r="Y1608" s="108" t="s">
        <v>2091</v>
      </c>
      <c r="Z1608" s="103">
        <v>359167901</v>
      </c>
      <c r="AA1608" s="103">
        <v>-143667160.40000001</v>
      </c>
      <c r="AB1608" s="126">
        <f t="shared" si="131"/>
        <v>215500740.59999999</v>
      </c>
      <c r="AC1608" s="97">
        <v>43039</v>
      </c>
      <c r="AD1608" s="83">
        <v>37415561.310000002</v>
      </c>
      <c r="AE1608" s="1022"/>
      <c r="AF1608" s="1024"/>
      <c r="AG1608" s="1124"/>
      <c r="AH1608" s="1124"/>
      <c r="AI1608" s="1124"/>
      <c r="AJ1608" s="1124"/>
      <c r="AK1608" s="1024"/>
      <c r="AL1608" s="103"/>
      <c r="AM1608" s="103"/>
      <c r="AN1608" s="112"/>
      <c r="AO1608" s="1104"/>
      <c r="AQ1608" s="934"/>
    </row>
    <row r="1609" spans="1:43" s="4" customFormat="1" ht="15" customHeight="1">
      <c r="A1609" s="1031"/>
      <c r="B1609" s="1069"/>
      <c r="C1609" s="1033"/>
      <c r="D1609" s="1033"/>
      <c r="E1609" s="1033"/>
      <c r="F1609" s="1033"/>
      <c r="G1609" s="1033"/>
      <c r="H1609" s="1033"/>
      <c r="I1609" s="1033"/>
      <c r="J1609" s="1033"/>
      <c r="K1609" s="1033"/>
      <c r="L1609" s="739"/>
      <c r="M1609" s="1039"/>
      <c r="N1609" s="1022"/>
      <c r="O1609" s="767"/>
      <c r="P1609" s="1101"/>
      <c r="Q1609" s="1101"/>
      <c r="R1609" s="1069"/>
      <c r="S1609" s="775"/>
      <c r="T1609" s="764"/>
      <c r="U1609" s="764"/>
      <c r="V1609" s="764"/>
      <c r="W1609" s="1101"/>
      <c r="X1609" s="739"/>
      <c r="Y1609" s="728"/>
      <c r="Z1609" s="762">
        <v>9221780.1500000004</v>
      </c>
      <c r="AA1609" s="762"/>
      <c r="AB1609" s="774">
        <v>9221780.1500000004</v>
      </c>
      <c r="AC1609" s="740">
        <v>43160</v>
      </c>
      <c r="AD1609" s="83">
        <f>+AB1609</f>
        <v>9221780.1500000004</v>
      </c>
      <c r="AE1609" s="1022"/>
      <c r="AF1609" s="758"/>
      <c r="AG1609" s="1124"/>
      <c r="AH1609" s="1124"/>
      <c r="AI1609" s="1124"/>
      <c r="AJ1609" s="1124"/>
      <c r="AK1609" s="758"/>
      <c r="AL1609" s="762"/>
      <c r="AM1609" s="762"/>
      <c r="AN1609" s="761"/>
      <c r="AO1609" s="1104"/>
      <c r="AQ1609" s="934"/>
    </row>
    <row r="1610" spans="1:43" s="4" customFormat="1" ht="15" customHeight="1">
      <c r="A1610" s="1031"/>
      <c r="B1610" s="1069"/>
      <c r="C1610" s="1033"/>
      <c r="D1610" s="1033"/>
      <c r="E1610" s="1033"/>
      <c r="F1610" s="1033"/>
      <c r="G1610" s="1033"/>
      <c r="H1610" s="1033"/>
      <c r="I1610" s="1033"/>
      <c r="J1610" s="1033"/>
      <c r="K1610" s="1033"/>
      <c r="L1610" s="739"/>
      <c r="M1610" s="1039"/>
      <c r="N1610" s="1038"/>
      <c r="O1610" s="767"/>
      <c r="P1610" s="1101"/>
      <c r="Q1610" s="1101"/>
      <c r="R1610" s="1069"/>
      <c r="S1610" s="775"/>
      <c r="T1610" s="764"/>
      <c r="U1610" s="764"/>
      <c r="V1610" s="764"/>
      <c r="W1610" s="1101"/>
      <c r="X1610" s="739"/>
      <c r="Y1610" s="728"/>
      <c r="Z1610" s="762"/>
      <c r="AA1610" s="762"/>
      <c r="AB1610" s="774"/>
      <c r="AC1610" s="740"/>
      <c r="AD1610" s="83"/>
      <c r="AE1610" s="1038"/>
      <c r="AF1610" s="758"/>
      <c r="AG1610" s="1124"/>
      <c r="AH1610" s="1124"/>
      <c r="AI1610" s="1124"/>
      <c r="AJ1610" s="1124"/>
      <c r="AK1610" s="758"/>
      <c r="AL1610" s="762"/>
      <c r="AM1610" s="762"/>
      <c r="AN1610" s="761"/>
      <c r="AO1610" s="1104"/>
      <c r="AQ1610" s="934"/>
    </row>
    <row r="1611" spans="1:43" s="4" customFormat="1" ht="15" customHeight="1">
      <c r="A1611" s="1031"/>
      <c r="B1611" s="1069"/>
      <c r="C1611" s="1033"/>
      <c r="D1611" s="1033"/>
      <c r="E1611" s="1033"/>
      <c r="F1611" s="1033"/>
      <c r="G1611" s="1033"/>
      <c r="H1611" s="1033"/>
      <c r="I1611" s="1033"/>
      <c r="J1611" s="1033"/>
      <c r="K1611" s="1033"/>
      <c r="L1611" s="113"/>
      <c r="M1611" s="1039"/>
      <c r="N1611" s="1021" t="s">
        <v>7</v>
      </c>
      <c r="O1611" s="1100">
        <v>953091850</v>
      </c>
      <c r="P1611" s="1101"/>
      <c r="Q1611" s="1101"/>
      <c r="R1611" s="1069"/>
      <c r="S1611" s="116"/>
      <c r="T1611" s="117"/>
      <c r="U1611" s="117"/>
      <c r="V1611" s="117">
        <v>946895220</v>
      </c>
      <c r="W1611" s="1101"/>
      <c r="X1611" s="113"/>
      <c r="Y1611" s="108" t="s">
        <v>2090</v>
      </c>
      <c r="Z1611" s="103"/>
      <c r="AA1611" s="103"/>
      <c r="AB1611" s="126">
        <f t="shared" si="131"/>
        <v>0</v>
      </c>
      <c r="AC1611" s="97">
        <v>42615</v>
      </c>
      <c r="AD1611" s="83">
        <v>436230897.39999998</v>
      </c>
      <c r="AE1611" s="1021" t="s">
        <v>7</v>
      </c>
      <c r="AF1611" s="1023">
        <f>SUM(AD1611:AD1613)</f>
        <v>844646986.01999998</v>
      </c>
      <c r="AG1611" s="1124"/>
      <c r="AH1611" s="1124"/>
      <c r="AI1611" s="1124"/>
      <c r="AJ1611" s="1124"/>
      <c r="AK1611" s="1023">
        <f>O1611-V1611</f>
        <v>6196630</v>
      </c>
      <c r="AL1611" s="103"/>
      <c r="AM1611" s="103"/>
      <c r="AN1611" s="112"/>
      <c r="AO1611" s="1104"/>
      <c r="AQ1611" s="934"/>
    </row>
    <row r="1612" spans="1:43" s="4" customFormat="1" ht="15" customHeight="1">
      <c r="A1612" s="1031"/>
      <c r="B1612" s="1069"/>
      <c r="C1612" s="1033"/>
      <c r="D1612" s="1033"/>
      <c r="E1612" s="1033"/>
      <c r="F1612" s="1033"/>
      <c r="G1612" s="1033"/>
      <c r="H1612" s="1033"/>
      <c r="I1612" s="1033"/>
      <c r="J1612" s="1033"/>
      <c r="K1612" s="1033"/>
      <c r="L1612" s="113"/>
      <c r="M1612" s="1039"/>
      <c r="N1612" s="1022"/>
      <c r="O1612" s="1101"/>
      <c r="P1612" s="1101"/>
      <c r="Q1612" s="1101"/>
      <c r="R1612" s="1069"/>
      <c r="S1612" s="116"/>
      <c r="T1612" s="117"/>
      <c r="U1612" s="117"/>
      <c r="V1612" s="117"/>
      <c r="W1612" s="1101"/>
      <c r="X1612" s="113"/>
      <c r="Y1612" s="108" t="s">
        <v>2089</v>
      </c>
      <c r="Z1612" s="103"/>
      <c r="AA1612" s="103"/>
      <c r="AB1612" s="126">
        <f t="shared" si="131"/>
        <v>0</v>
      </c>
      <c r="AC1612" s="97">
        <v>42823</v>
      </c>
      <c r="AD1612" s="83">
        <v>273850491</v>
      </c>
      <c r="AE1612" s="1022"/>
      <c r="AF1612" s="1124"/>
      <c r="AG1612" s="1124"/>
      <c r="AH1612" s="1124"/>
      <c r="AI1612" s="1124"/>
      <c r="AJ1612" s="1124"/>
      <c r="AK1612" s="1124"/>
      <c r="AL1612" s="103"/>
      <c r="AM1612" s="103"/>
      <c r="AN1612" s="112"/>
      <c r="AO1612" s="1104"/>
      <c r="AQ1612" s="934"/>
    </row>
    <row r="1613" spans="1:43" s="4" customFormat="1" ht="15" customHeight="1">
      <c r="A1613" s="1031"/>
      <c r="B1613" s="1069"/>
      <c r="C1613" s="1033"/>
      <c r="D1613" s="1033"/>
      <c r="E1613" s="1033"/>
      <c r="F1613" s="1033"/>
      <c r="G1613" s="1033"/>
      <c r="H1613" s="1033"/>
      <c r="I1613" s="1033"/>
      <c r="J1613" s="1033"/>
      <c r="K1613" s="1033"/>
      <c r="L1613" s="113"/>
      <c r="M1613" s="1039"/>
      <c r="N1613" s="1022"/>
      <c r="O1613" s="1102"/>
      <c r="P1613" s="1102"/>
      <c r="Q1613" s="1101"/>
      <c r="R1613" s="1070"/>
      <c r="S1613" s="116"/>
      <c r="T1613" s="117"/>
      <c r="U1613" s="117"/>
      <c r="V1613" s="117"/>
      <c r="W1613" s="1101"/>
      <c r="X1613" s="113"/>
      <c r="Y1613" s="108" t="s">
        <v>2088</v>
      </c>
      <c r="Z1613" s="103"/>
      <c r="AA1613" s="103"/>
      <c r="AB1613" s="126">
        <f t="shared" si="131"/>
        <v>0</v>
      </c>
      <c r="AC1613" s="97">
        <v>43039</v>
      </c>
      <c r="AD1613" s="83">
        <v>134565597.62</v>
      </c>
      <c r="AE1613" s="1022"/>
      <c r="AF1613" s="1024"/>
      <c r="AG1613" s="1124"/>
      <c r="AH1613" s="1124"/>
      <c r="AI1613" s="1124"/>
      <c r="AJ1613" s="1124"/>
      <c r="AK1613" s="1024"/>
      <c r="AL1613" s="103"/>
      <c r="AM1613" s="103"/>
      <c r="AN1613" s="112"/>
      <c r="AO1613" s="1104"/>
      <c r="AQ1613" s="934"/>
    </row>
    <row r="1614" spans="1:43" s="4" customFormat="1" ht="15" customHeight="1">
      <c r="A1614" s="1031"/>
      <c r="B1614" s="1069"/>
      <c r="C1614" s="1033"/>
      <c r="D1614" s="1033"/>
      <c r="E1614" s="1033"/>
      <c r="F1614" s="1033"/>
      <c r="G1614" s="1033"/>
      <c r="H1614" s="1033"/>
      <c r="I1614" s="1033"/>
      <c r="J1614" s="1033"/>
      <c r="K1614" s="1033"/>
      <c r="L1614" s="739"/>
      <c r="M1614" s="1039"/>
      <c r="N1614" s="1022"/>
      <c r="O1614" s="767"/>
      <c r="P1614" s="767"/>
      <c r="Q1614" s="1101"/>
      <c r="R1614" s="736"/>
      <c r="S1614" s="775"/>
      <c r="T1614" s="764"/>
      <c r="U1614" s="764"/>
      <c r="V1614" s="764"/>
      <c r="W1614" s="1101"/>
      <c r="X1614" s="739"/>
      <c r="Y1614" s="728"/>
      <c r="Z1614" s="762">
        <v>63945417.259999998</v>
      </c>
      <c r="AA1614" s="762">
        <v>-33302010</v>
      </c>
      <c r="AB1614" s="774">
        <v>30643407.259999998</v>
      </c>
      <c r="AC1614" s="740">
        <v>43160</v>
      </c>
      <c r="AD1614" s="83">
        <f>+AB1614</f>
        <v>30643407.259999998</v>
      </c>
      <c r="AE1614" s="1022"/>
      <c r="AF1614" s="758"/>
      <c r="AG1614" s="1124"/>
      <c r="AH1614" s="1124"/>
      <c r="AI1614" s="1124"/>
      <c r="AJ1614" s="1124"/>
      <c r="AK1614" s="758"/>
      <c r="AL1614" s="762"/>
      <c r="AM1614" s="762"/>
      <c r="AN1614" s="761"/>
      <c r="AO1614" s="1104"/>
      <c r="AQ1614" s="934"/>
    </row>
    <row r="1615" spans="1:43" s="4" customFormat="1" ht="15" customHeight="1">
      <c r="A1615" s="1031"/>
      <c r="B1615" s="1069"/>
      <c r="C1615" s="1033"/>
      <c r="D1615" s="1033"/>
      <c r="E1615" s="1033"/>
      <c r="F1615" s="1033"/>
      <c r="G1615" s="1033"/>
      <c r="H1615" s="1033"/>
      <c r="I1615" s="1033"/>
      <c r="J1615" s="1033"/>
      <c r="K1615" s="1033"/>
      <c r="L1615" s="739"/>
      <c r="M1615" s="1010"/>
      <c r="N1615" s="1038"/>
      <c r="O1615" s="767"/>
      <c r="P1615" s="767"/>
      <c r="Q1615" s="1101"/>
      <c r="R1615" s="736"/>
      <c r="S1615" s="775"/>
      <c r="T1615" s="764"/>
      <c r="U1615" s="764"/>
      <c r="V1615" s="764"/>
      <c r="W1615" s="1101"/>
      <c r="X1615" s="739"/>
      <c r="Y1615" s="728"/>
      <c r="Z1615" s="762"/>
      <c r="AA1615" s="762"/>
      <c r="AB1615" s="774"/>
      <c r="AC1615" s="740"/>
      <c r="AD1615" s="83"/>
      <c r="AE1615" s="1038"/>
      <c r="AF1615" s="758"/>
      <c r="AG1615" s="1124"/>
      <c r="AH1615" s="1124"/>
      <c r="AI1615" s="1124"/>
      <c r="AJ1615" s="1124"/>
      <c r="AK1615" s="758"/>
      <c r="AL1615" s="762"/>
      <c r="AM1615" s="762"/>
      <c r="AN1615" s="761"/>
      <c r="AO1615" s="1104"/>
      <c r="AQ1615" s="934"/>
    </row>
    <row r="1616" spans="1:43" s="4" customFormat="1" ht="15" customHeight="1">
      <c r="A1616" s="1031"/>
      <c r="B1616" s="1069"/>
      <c r="C1616" s="1033"/>
      <c r="D1616" s="1033"/>
      <c r="E1616" s="1033"/>
      <c r="F1616" s="1033"/>
      <c r="G1616" s="1033"/>
      <c r="H1616" s="1033"/>
      <c r="I1616" s="1033"/>
      <c r="J1616" s="1033"/>
      <c r="K1616" s="1033"/>
      <c r="L1616" s="113"/>
      <c r="M1616" s="1009">
        <v>9</v>
      </c>
      <c r="N1616" s="1021" t="s">
        <v>2086</v>
      </c>
      <c r="O1616" s="1100">
        <v>149379207</v>
      </c>
      <c r="P1616" s="1100">
        <f>O1616</f>
        <v>149379207</v>
      </c>
      <c r="Q1616" s="1101"/>
      <c r="R1616" s="1068">
        <v>42278</v>
      </c>
      <c r="S1616" s="116"/>
      <c r="T1616" s="117"/>
      <c r="U1616" s="117"/>
      <c r="V1616" s="117">
        <f>P1616</f>
        <v>149379207</v>
      </c>
      <c r="W1616" s="1101"/>
      <c r="X1616" s="113"/>
      <c r="Y1616" s="108" t="s">
        <v>2087</v>
      </c>
      <c r="Z1616" s="103"/>
      <c r="AA1616" s="103"/>
      <c r="AB1616" s="126">
        <f t="shared" si="131"/>
        <v>0</v>
      </c>
      <c r="AC1616" s="97">
        <v>42615</v>
      </c>
      <c r="AD1616" s="83">
        <v>28450415.100000001</v>
      </c>
      <c r="AE1616" s="1021" t="s">
        <v>2086</v>
      </c>
      <c r="AF1616" s="1023">
        <f>SUM(AD1616:AD1618)</f>
        <v>114647994.97000001</v>
      </c>
      <c r="AG1616" s="1124"/>
      <c r="AH1616" s="1124"/>
      <c r="AI1616" s="1124"/>
      <c r="AJ1616" s="1124"/>
      <c r="AK1616" s="1023">
        <f>O1616-V1616</f>
        <v>0</v>
      </c>
      <c r="AL1616" s="103"/>
      <c r="AM1616" s="103"/>
      <c r="AN1616" s="112"/>
      <c r="AO1616" s="1104"/>
      <c r="AQ1616" s="934"/>
    </row>
    <row r="1617" spans="1:44" s="4" customFormat="1" ht="15" customHeight="1">
      <c r="A1617" s="1031"/>
      <c r="B1617" s="1069"/>
      <c r="C1617" s="1033"/>
      <c r="D1617" s="1033"/>
      <c r="E1617" s="1033"/>
      <c r="F1617" s="1033"/>
      <c r="G1617" s="1033"/>
      <c r="H1617" s="1033"/>
      <c r="I1617" s="1033"/>
      <c r="J1617" s="1033"/>
      <c r="K1617" s="1033"/>
      <c r="L1617" s="113"/>
      <c r="M1617" s="1039"/>
      <c r="N1617" s="1022"/>
      <c r="O1617" s="1102"/>
      <c r="P1617" s="1102"/>
      <c r="Q1617" s="1102"/>
      <c r="R1617" s="1069"/>
      <c r="S1617" s="116"/>
      <c r="T1617" s="117"/>
      <c r="U1617" s="117"/>
      <c r="V1617" s="117"/>
      <c r="W1617" s="1101"/>
      <c r="X1617" s="113"/>
      <c r="Y1617" s="108" t="s">
        <v>2085</v>
      </c>
      <c r="Z1617" s="103"/>
      <c r="AA1617" s="103"/>
      <c r="AB1617" s="126">
        <f t="shared" si="131"/>
        <v>0</v>
      </c>
      <c r="AC1617" s="97">
        <v>42823</v>
      </c>
      <c r="AD1617" s="83">
        <v>42677998.200000003</v>
      </c>
      <c r="AE1617" s="1022"/>
      <c r="AF1617" s="1124"/>
      <c r="AG1617" s="1124"/>
      <c r="AH1617" s="1124"/>
      <c r="AI1617" s="1124"/>
      <c r="AJ1617" s="1124"/>
      <c r="AK1617" s="1124"/>
      <c r="AL1617" s="103"/>
      <c r="AM1617" s="103"/>
      <c r="AN1617" s="112"/>
      <c r="AO1617" s="1104"/>
      <c r="AQ1617" s="934"/>
    </row>
    <row r="1618" spans="1:44" s="4" customFormat="1" ht="15" customHeight="1">
      <c r="A1618" s="1031"/>
      <c r="B1618" s="1070"/>
      <c r="C1618" s="1012"/>
      <c r="D1618" s="1012"/>
      <c r="E1618" s="1012"/>
      <c r="F1618" s="1012"/>
      <c r="G1618" s="1012"/>
      <c r="H1618" s="1012"/>
      <c r="I1618" s="1012"/>
      <c r="J1618" s="1012"/>
      <c r="K1618" s="1012"/>
      <c r="L1618" s="113"/>
      <c r="M1618" s="1039"/>
      <c r="N1618" s="1022"/>
      <c r="O1618" s="117"/>
      <c r="P1618" s="117"/>
      <c r="Q1618" s="117"/>
      <c r="R1618" s="1070"/>
      <c r="S1618" s="116"/>
      <c r="T1618" s="117"/>
      <c r="U1618" s="117"/>
      <c r="V1618" s="117"/>
      <c r="W1618" s="1101"/>
      <c r="X1618" s="113"/>
      <c r="Y1618" s="108" t="s">
        <v>2084</v>
      </c>
      <c r="Z1618" s="103"/>
      <c r="AA1618" s="103"/>
      <c r="AB1618" s="126">
        <f t="shared" si="131"/>
        <v>0</v>
      </c>
      <c r="AC1618" s="97">
        <v>43039</v>
      </c>
      <c r="AD1618" s="83">
        <v>43519581.670000002</v>
      </c>
      <c r="AE1618" s="1022"/>
      <c r="AF1618" s="1024"/>
      <c r="AG1618" s="1024"/>
      <c r="AH1618" s="1024"/>
      <c r="AI1618" s="1024"/>
      <c r="AJ1618" s="1024"/>
      <c r="AK1618" s="1024"/>
      <c r="AL1618" s="103"/>
      <c r="AM1618" s="103"/>
      <c r="AN1618" s="112"/>
      <c r="AO1618" s="1105"/>
      <c r="AQ1618" s="934"/>
    </row>
    <row r="1619" spans="1:44" s="4" customFormat="1" ht="15" customHeight="1">
      <c r="A1619" s="1031"/>
      <c r="B1619" s="736"/>
      <c r="C1619" s="720"/>
      <c r="D1619" s="720"/>
      <c r="E1619" s="720"/>
      <c r="F1619" s="720"/>
      <c r="G1619" s="720"/>
      <c r="H1619" s="720"/>
      <c r="I1619" s="720"/>
      <c r="J1619" s="720"/>
      <c r="K1619" s="720"/>
      <c r="L1619" s="719"/>
      <c r="M1619" s="1039"/>
      <c r="N1619" s="1022"/>
      <c r="O1619" s="766"/>
      <c r="P1619" s="766"/>
      <c r="Q1619" s="766"/>
      <c r="R1619" s="736"/>
      <c r="S1619" s="779"/>
      <c r="T1619" s="766"/>
      <c r="U1619" s="766"/>
      <c r="V1619" s="766"/>
      <c r="W1619" s="1101"/>
      <c r="X1619" s="719"/>
      <c r="Y1619" s="728" t="s">
        <v>2721</v>
      </c>
      <c r="Z1619" s="762">
        <v>10087827.59</v>
      </c>
      <c r="AA1619" s="914">
        <v>0</v>
      </c>
      <c r="AB1619" s="774">
        <v>10087827.59</v>
      </c>
      <c r="AC1619" s="740">
        <v>43160</v>
      </c>
      <c r="AD1619" s="83">
        <f>+AB1619</f>
        <v>10087827.59</v>
      </c>
      <c r="AE1619" s="1022"/>
      <c r="AF1619" s="758"/>
      <c r="AG1619" s="758"/>
      <c r="AH1619" s="759"/>
      <c r="AI1619" s="758"/>
      <c r="AJ1619" s="758"/>
      <c r="AK1619" s="758"/>
      <c r="AL1619" s="913"/>
      <c r="AM1619" s="913"/>
      <c r="AN1619" s="730"/>
      <c r="AO1619" s="752"/>
      <c r="AQ1619" s="934"/>
    </row>
    <row r="1620" spans="1:44" s="4" customFormat="1" ht="15" customHeight="1">
      <c r="A1620" s="1032"/>
      <c r="B1620" s="736"/>
      <c r="C1620" s="720"/>
      <c r="D1620" s="720"/>
      <c r="E1620" s="720"/>
      <c r="F1620" s="720"/>
      <c r="G1620" s="720"/>
      <c r="H1620" s="720"/>
      <c r="I1620" s="720"/>
      <c r="J1620" s="720"/>
      <c r="K1620" s="720"/>
      <c r="L1620" s="719"/>
      <c r="M1620" s="1010"/>
      <c r="N1620" s="1038"/>
      <c r="O1620" s="766"/>
      <c r="P1620" s="766"/>
      <c r="Q1620" s="766"/>
      <c r="R1620" s="736"/>
      <c r="S1620" s="779"/>
      <c r="T1620" s="766"/>
      <c r="U1620" s="766"/>
      <c r="V1620" s="766"/>
      <c r="W1620" s="1102"/>
      <c r="X1620" s="719"/>
      <c r="Y1620" s="728"/>
      <c r="Z1620" s="762"/>
      <c r="AA1620" s="762"/>
      <c r="AB1620" s="774"/>
      <c r="AC1620" s="740"/>
      <c r="AD1620" s="83"/>
      <c r="AE1620" s="1038"/>
      <c r="AF1620" s="758"/>
      <c r="AG1620" s="758"/>
      <c r="AH1620" s="759"/>
      <c r="AI1620" s="758"/>
      <c r="AJ1620" s="758"/>
      <c r="AK1620" s="758"/>
      <c r="AL1620" s="913"/>
      <c r="AM1620" s="913"/>
      <c r="AN1620" s="730"/>
      <c r="AO1620" s="752"/>
      <c r="AQ1620" s="934"/>
    </row>
    <row r="1621" spans="1:44" s="203" customFormat="1" ht="15" customHeight="1">
      <c r="A1621" s="1015" t="s">
        <v>2228</v>
      </c>
      <c r="B1621" s="1136">
        <v>42387</v>
      </c>
      <c r="C1621" s="1015" t="s">
        <v>35</v>
      </c>
      <c r="D1621" s="1015" t="s">
        <v>2227</v>
      </c>
      <c r="E1621" s="1140">
        <v>900922061</v>
      </c>
      <c r="F1621" s="1140">
        <v>0</v>
      </c>
      <c r="G1621" s="1015" t="s">
        <v>2226</v>
      </c>
      <c r="H1621" s="1015" t="s">
        <v>72</v>
      </c>
      <c r="I1621" s="1015" t="s">
        <v>206</v>
      </c>
      <c r="J1621" s="1015" t="s">
        <v>66</v>
      </c>
      <c r="K1621" s="1015" t="s">
        <v>183</v>
      </c>
      <c r="L1621" s="1015" t="s">
        <v>2225</v>
      </c>
      <c r="M1621" s="1138">
        <v>6</v>
      </c>
      <c r="N1621" s="1056" t="s">
        <v>160</v>
      </c>
      <c r="O1621" s="1087">
        <v>60000000</v>
      </c>
      <c r="P1621" s="1087">
        <v>60000000</v>
      </c>
      <c r="Q1621" s="1087">
        <f>P1621+P1624+P1626+P1629+P1632+P1635+P1638+P1640+P1642+P1645+P1648+P1651+P1654+P1657+P1660+P1663+P1666+P1669</f>
        <v>1080000000</v>
      </c>
      <c r="R1621" s="1136">
        <v>42164</v>
      </c>
      <c r="S1621" s="1106">
        <f>T1621</f>
        <v>60000000</v>
      </c>
      <c r="T1621" s="1106">
        <v>60000000</v>
      </c>
      <c r="U1621" s="1106">
        <f>P1621-T1621</f>
        <v>0</v>
      </c>
      <c r="V1621" s="1106">
        <v>59979733.329999998</v>
      </c>
      <c r="W1621" s="1106">
        <v>1079635200</v>
      </c>
      <c r="X1621" s="1015" t="s">
        <v>2224</v>
      </c>
      <c r="Y1621" s="197" t="s">
        <v>2208</v>
      </c>
      <c r="Z1621" s="198">
        <v>0</v>
      </c>
      <c r="AA1621" s="198">
        <v>5997973.3300000001</v>
      </c>
      <c r="AB1621" s="198">
        <f t="shared" ref="AB1621:AB1652" si="132">Z1621+AA1621</f>
        <v>5997973.3300000001</v>
      </c>
      <c r="AC1621" s="199">
        <v>42557</v>
      </c>
      <c r="AD1621" s="200">
        <v>5997973.3300000001</v>
      </c>
      <c r="AE1621" s="201" t="s">
        <v>160</v>
      </c>
      <c r="AF1621" s="1059">
        <f>SUM(AD1621:AD1623)</f>
        <v>59979733.329999998</v>
      </c>
      <c r="AG1621" s="1059">
        <f>AF1621+AF1624+AF1626+AF1629+AF1632+AF1635+AF1638+AF1640+AF1642+AF1645+AF1648+AF1651+AF1654+AF1657+AF1660+AF1663+AF1666+AF1669</f>
        <v>1051348757.7600002</v>
      </c>
      <c r="AH1621" s="202">
        <f t="shared" ref="AH1621:AH1652" si="133">AB1621-AD1621</f>
        <v>0</v>
      </c>
      <c r="AI1621" s="1059">
        <f>P1621-AF1621</f>
        <v>20266.670000001788</v>
      </c>
      <c r="AJ1621" s="1087">
        <f>SUM(Z1621:Z1671)-SUM(AD1621:AD1671)</f>
        <v>159999.99999976158</v>
      </c>
      <c r="AK1621" s="1087">
        <f>P1621-V1621</f>
        <v>20266.670000001788</v>
      </c>
      <c r="AL1621" s="1087">
        <f>V1621-SUM(Z1621:Z1623)</f>
        <v>0</v>
      </c>
      <c r="AM1621" s="1087">
        <f>AK1621+AL1621</f>
        <v>20266.670000001788</v>
      </c>
      <c r="AN1621" s="1112"/>
      <c r="AO1621" s="1112" t="s">
        <v>2223</v>
      </c>
      <c r="AP1621" s="204">
        <v>20266.669999999998</v>
      </c>
      <c r="AQ1621" s="934"/>
      <c r="AR1621" s="207"/>
    </row>
    <row r="1622" spans="1:44" s="203" customFormat="1" ht="15" customHeight="1">
      <c r="A1622" s="1050"/>
      <c r="B1622" s="1137"/>
      <c r="C1622" s="1050"/>
      <c r="D1622" s="1050"/>
      <c r="E1622" s="1141"/>
      <c r="F1622" s="1141"/>
      <c r="G1622" s="1050"/>
      <c r="H1622" s="1050"/>
      <c r="I1622" s="1050"/>
      <c r="J1622" s="1050"/>
      <c r="K1622" s="1050"/>
      <c r="L1622" s="1050"/>
      <c r="M1622" s="1139"/>
      <c r="N1622" s="1057"/>
      <c r="O1622" s="1088"/>
      <c r="P1622" s="1088"/>
      <c r="Q1622" s="1088"/>
      <c r="R1622" s="1137"/>
      <c r="S1622" s="1107"/>
      <c r="T1622" s="1107"/>
      <c r="U1622" s="1107"/>
      <c r="V1622" s="1107"/>
      <c r="W1622" s="1107"/>
      <c r="X1622" s="1050"/>
      <c r="Y1622" s="197" t="s">
        <v>2222</v>
      </c>
      <c r="Z1622" s="198">
        <v>39514648.32</v>
      </c>
      <c r="AA1622" s="198">
        <v>-3723199</v>
      </c>
      <c r="AB1622" s="198">
        <f t="shared" si="132"/>
        <v>35791449.32</v>
      </c>
      <c r="AC1622" s="199">
        <v>42787</v>
      </c>
      <c r="AD1622" s="200">
        <v>35791449.32</v>
      </c>
      <c r="AE1622" s="201" t="s">
        <v>160</v>
      </c>
      <c r="AF1622" s="1060"/>
      <c r="AG1622" s="1060"/>
      <c r="AH1622" s="202">
        <f t="shared" si="133"/>
        <v>0</v>
      </c>
      <c r="AI1622" s="1060"/>
      <c r="AJ1622" s="1088"/>
      <c r="AK1622" s="1088"/>
      <c r="AL1622" s="1088"/>
      <c r="AM1622" s="1088"/>
      <c r="AN1622" s="1135"/>
      <c r="AO1622" s="1135"/>
      <c r="AP1622" s="61"/>
      <c r="AQ1622" s="934"/>
    </row>
    <row r="1623" spans="1:44" s="203" customFormat="1" ht="15" customHeight="1">
      <c r="A1623" s="1050"/>
      <c r="B1623" s="1137"/>
      <c r="C1623" s="1050"/>
      <c r="D1623" s="1050"/>
      <c r="E1623" s="1141"/>
      <c r="F1623" s="1141"/>
      <c r="G1623" s="1050"/>
      <c r="H1623" s="1050"/>
      <c r="I1623" s="1050"/>
      <c r="J1623" s="1050"/>
      <c r="K1623" s="1050"/>
      <c r="L1623" s="1050"/>
      <c r="M1623" s="1139"/>
      <c r="N1623" s="1057"/>
      <c r="O1623" s="1088"/>
      <c r="P1623" s="1088"/>
      <c r="Q1623" s="1088"/>
      <c r="R1623" s="1137"/>
      <c r="S1623" s="1107"/>
      <c r="T1623" s="1107"/>
      <c r="U1623" s="1107"/>
      <c r="V1623" s="1107"/>
      <c r="W1623" s="1107"/>
      <c r="X1623" s="1050"/>
      <c r="Y1623" s="197" t="s">
        <v>2206</v>
      </c>
      <c r="Z1623" s="198">
        <v>20465085.010000002</v>
      </c>
      <c r="AA1623" s="198">
        <v>-2274774.33</v>
      </c>
      <c r="AB1623" s="198">
        <f t="shared" si="132"/>
        <v>18190310.68</v>
      </c>
      <c r="AC1623" s="199">
        <v>42998</v>
      </c>
      <c r="AD1623" s="200">
        <v>18190310.68</v>
      </c>
      <c r="AE1623" s="201" t="s">
        <v>160</v>
      </c>
      <c r="AF1623" s="1060"/>
      <c r="AG1623" s="1060"/>
      <c r="AH1623" s="202">
        <f t="shared" si="133"/>
        <v>0</v>
      </c>
      <c r="AI1623" s="1060"/>
      <c r="AJ1623" s="1088"/>
      <c r="AK1623" s="1088"/>
      <c r="AL1623" s="1088"/>
      <c r="AM1623" s="1088"/>
      <c r="AN1623" s="1135"/>
      <c r="AO1623" s="1135"/>
      <c r="AP1623" s="61"/>
      <c r="AQ1623" s="934"/>
    </row>
    <row r="1624" spans="1:44" s="203" customFormat="1" ht="15" customHeight="1">
      <c r="A1624" s="1050"/>
      <c r="B1624" s="1137"/>
      <c r="C1624" s="1015" t="s">
        <v>13</v>
      </c>
      <c r="D1624" s="1050"/>
      <c r="E1624" s="1141"/>
      <c r="F1624" s="1141"/>
      <c r="G1624" s="1050"/>
      <c r="H1624" s="1050"/>
      <c r="I1624" s="1050"/>
      <c r="J1624" s="1050"/>
      <c r="K1624" s="1050"/>
      <c r="L1624" s="1050"/>
      <c r="M1624" s="1138">
        <v>5</v>
      </c>
      <c r="N1624" s="1056" t="s">
        <v>133</v>
      </c>
      <c r="O1624" s="1087">
        <v>60000000</v>
      </c>
      <c r="P1624" s="1087">
        <v>60000000</v>
      </c>
      <c r="Q1624" s="1088"/>
      <c r="R1624" s="1136">
        <v>42164</v>
      </c>
      <c r="S1624" s="1106">
        <f>T1624</f>
        <v>60000000</v>
      </c>
      <c r="T1624" s="1106">
        <v>60000000</v>
      </c>
      <c r="U1624" s="1106">
        <f>P1624-T1624</f>
        <v>0</v>
      </c>
      <c r="V1624" s="1059">
        <v>59979733.329999998</v>
      </c>
      <c r="W1624" s="1107"/>
      <c r="X1624" s="1050"/>
      <c r="Y1624" s="197" t="s">
        <v>2208</v>
      </c>
      <c r="Z1624" s="198">
        <v>0</v>
      </c>
      <c r="AA1624" s="198">
        <v>5997973.3300000001</v>
      </c>
      <c r="AB1624" s="198">
        <f t="shared" si="132"/>
        <v>5997973.3300000001</v>
      </c>
      <c r="AC1624" s="199">
        <v>42557</v>
      </c>
      <c r="AD1624" s="200">
        <v>5997973.3300000001</v>
      </c>
      <c r="AE1624" s="201" t="s">
        <v>133</v>
      </c>
      <c r="AF1624" s="1059">
        <f>SUM(AD1624:AD1625)</f>
        <v>32017181.710000001</v>
      </c>
      <c r="AG1624" s="1060"/>
      <c r="AH1624" s="202">
        <f t="shared" si="133"/>
        <v>0</v>
      </c>
      <c r="AI1624" s="1059">
        <f>P1624-AF1624</f>
        <v>27982818.289999999</v>
      </c>
      <c r="AJ1624" s="1088"/>
      <c r="AK1624" s="1087">
        <f>P1624-V1624</f>
        <v>20266.670000001788</v>
      </c>
      <c r="AL1624" s="1087">
        <f>V1624-SUM(Z1624:Z1625)</f>
        <v>27962551.619999997</v>
      </c>
      <c r="AM1624" s="1087">
        <f>AK1624+AL1624</f>
        <v>27982818.289999999</v>
      </c>
      <c r="AN1624" s="1135"/>
      <c r="AO1624" s="1135"/>
      <c r="AP1624" s="1087">
        <v>27982818.289999999</v>
      </c>
      <c r="AQ1624" s="934"/>
    </row>
    <row r="1625" spans="1:44" s="203" customFormat="1" ht="15" customHeight="1">
      <c r="A1625" s="1050"/>
      <c r="B1625" s="1137"/>
      <c r="C1625" s="1050"/>
      <c r="D1625" s="1050"/>
      <c r="E1625" s="1141"/>
      <c r="F1625" s="1141"/>
      <c r="G1625" s="1050"/>
      <c r="H1625" s="1050"/>
      <c r="I1625" s="1050"/>
      <c r="J1625" s="1050"/>
      <c r="K1625" s="1050"/>
      <c r="L1625" s="1050"/>
      <c r="M1625" s="1139"/>
      <c r="N1625" s="1057"/>
      <c r="O1625" s="1088"/>
      <c r="P1625" s="1088"/>
      <c r="Q1625" s="1088"/>
      <c r="R1625" s="1137"/>
      <c r="S1625" s="1107"/>
      <c r="T1625" s="1107"/>
      <c r="U1625" s="1107"/>
      <c r="V1625" s="1060"/>
      <c r="W1625" s="1107"/>
      <c r="X1625" s="1050"/>
      <c r="Y1625" s="197" t="s">
        <v>2206</v>
      </c>
      <c r="Z1625" s="198">
        <v>32017181.710000001</v>
      </c>
      <c r="AA1625" s="198">
        <v>-5997973.3300000001</v>
      </c>
      <c r="AB1625" s="198">
        <f t="shared" si="132"/>
        <v>26019208.380000003</v>
      </c>
      <c r="AC1625" s="199">
        <v>42998</v>
      </c>
      <c r="AD1625" s="200">
        <v>26019208.379999999</v>
      </c>
      <c r="AE1625" s="201" t="s">
        <v>133</v>
      </c>
      <c r="AF1625" s="1060"/>
      <c r="AG1625" s="1060"/>
      <c r="AH1625" s="202">
        <f t="shared" si="133"/>
        <v>0</v>
      </c>
      <c r="AI1625" s="1060"/>
      <c r="AJ1625" s="1088"/>
      <c r="AK1625" s="1088"/>
      <c r="AL1625" s="1088"/>
      <c r="AM1625" s="1088"/>
      <c r="AN1625" s="1135"/>
      <c r="AO1625" s="1135"/>
      <c r="AP1625" s="1088"/>
      <c r="AQ1625" s="934"/>
    </row>
    <row r="1626" spans="1:44" s="203" customFormat="1" ht="15" customHeight="1">
      <c r="A1626" s="1050"/>
      <c r="B1626" s="1137"/>
      <c r="C1626" s="1015" t="s">
        <v>23</v>
      </c>
      <c r="D1626" s="1050"/>
      <c r="E1626" s="1141"/>
      <c r="F1626" s="1141"/>
      <c r="G1626" s="1050"/>
      <c r="H1626" s="1050"/>
      <c r="I1626" s="1050"/>
      <c r="J1626" s="1050"/>
      <c r="K1626" s="1050"/>
      <c r="L1626" s="1050"/>
      <c r="M1626" s="1138">
        <v>6</v>
      </c>
      <c r="N1626" s="1056" t="s">
        <v>146</v>
      </c>
      <c r="O1626" s="1087">
        <v>60000000</v>
      </c>
      <c r="P1626" s="1087">
        <v>60000000</v>
      </c>
      <c r="Q1626" s="1088"/>
      <c r="R1626" s="1136">
        <v>42164</v>
      </c>
      <c r="S1626" s="1106">
        <f>T1626</f>
        <v>60000000</v>
      </c>
      <c r="T1626" s="1106">
        <v>60000000</v>
      </c>
      <c r="U1626" s="1106">
        <f>P1626-T1626</f>
        <v>0</v>
      </c>
      <c r="V1626" s="1059">
        <v>59979733.329999998</v>
      </c>
      <c r="W1626" s="1107"/>
      <c r="X1626" s="1050"/>
      <c r="Y1626" s="197" t="s">
        <v>2208</v>
      </c>
      <c r="Z1626" s="198">
        <v>0</v>
      </c>
      <c r="AA1626" s="198">
        <v>5997973.3300000001</v>
      </c>
      <c r="AB1626" s="198">
        <f t="shared" si="132"/>
        <v>5997973.3300000001</v>
      </c>
      <c r="AC1626" s="199">
        <v>42557</v>
      </c>
      <c r="AD1626" s="200">
        <v>5997973.3300000001</v>
      </c>
      <c r="AE1626" s="201" t="s">
        <v>146</v>
      </c>
      <c r="AF1626" s="1059">
        <f>SUM(AD1626:AD1628)</f>
        <v>59979733.329999998</v>
      </c>
      <c r="AG1626" s="1060"/>
      <c r="AH1626" s="202">
        <f t="shared" si="133"/>
        <v>0</v>
      </c>
      <c r="AI1626" s="1059">
        <f>P1626-AF1626</f>
        <v>20266.670000001788</v>
      </c>
      <c r="AJ1626" s="1088"/>
      <c r="AK1626" s="1087">
        <f>P1626-V1626</f>
        <v>20266.670000001788</v>
      </c>
      <c r="AL1626" s="1087">
        <f>V1626-SUM(Z1626:Z1628)</f>
        <v>0</v>
      </c>
      <c r="AM1626" s="1087">
        <f>AK1626+AL1626</f>
        <v>20266.670000001788</v>
      </c>
      <c r="AN1626" s="1135"/>
      <c r="AO1626" s="1135"/>
      <c r="AP1626" s="204">
        <v>20266.669999999998</v>
      </c>
      <c r="AQ1626" s="934"/>
    </row>
    <row r="1627" spans="1:44" s="203" customFormat="1" ht="15" customHeight="1">
      <c r="A1627" s="1050"/>
      <c r="B1627" s="1137"/>
      <c r="C1627" s="1050"/>
      <c r="D1627" s="1050"/>
      <c r="E1627" s="1141"/>
      <c r="F1627" s="1141"/>
      <c r="G1627" s="1050"/>
      <c r="H1627" s="1050"/>
      <c r="I1627" s="1050"/>
      <c r="J1627" s="1050"/>
      <c r="K1627" s="1050"/>
      <c r="L1627" s="1050"/>
      <c r="M1627" s="1139"/>
      <c r="N1627" s="1057"/>
      <c r="O1627" s="1088"/>
      <c r="P1627" s="1088"/>
      <c r="Q1627" s="1088"/>
      <c r="R1627" s="1137"/>
      <c r="S1627" s="1107"/>
      <c r="T1627" s="1107"/>
      <c r="U1627" s="1107"/>
      <c r="V1627" s="1060"/>
      <c r="W1627" s="1107"/>
      <c r="X1627" s="1050"/>
      <c r="Y1627" s="197" t="s">
        <v>2221</v>
      </c>
      <c r="Z1627" s="198">
        <v>39514648.32</v>
      </c>
      <c r="AA1627" s="198">
        <v>-3723199</v>
      </c>
      <c r="AB1627" s="198">
        <f t="shared" si="132"/>
        <v>35791449.32</v>
      </c>
      <c r="AC1627" s="199">
        <v>42787</v>
      </c>
      <c r="AD1627" s="200">
        <v>35791449.32</v>
      </c>
      <c r="AE1627" s="201" t="s">
        <v>146</v>
      </c>
      <c r="AF1627" s="1060"/>
      <c r="AG1627" s="1060"/>
      <c r="AH1627" s="202">
        <f t="shared" si="133"/>
        <v>0</v>
      </c>
      <c r="AI1627" s="1060"/>
      <c r="AJ1627" s="1088"/>
      <c r="AK1627" s="1088"/>
      <c r="AL1627" s="1088"/>
      <c r="AM1627" s="1088"/>
      <c r="AN1627" s="1135"/>
      <c r="AO1627" s="1135"/>
      <c r="AP1627" s="61"/>
      <c r="AQ1627" s="934"/>
    </row>
    <row r="1628" spans="1:44" s="203" customFormat="1" ht="15" customHeight="1">
      <c r="A1628" s="1050"/>
      <c r="B1628" s="1137"/>
      <c r="C1628" s="1050"/>
      <c r="D1628" s="1050"/>
      <c r="E1628" s="1141"/>
      <c r="F1628" s="1141"/>
      <c r="G1628" s="1050"/>
      <c r="H1628" s="1050"/>
      <c r="I1628" s="1050"/>
      <c r="J1628" s="1050"/>
      <c r="K1628" s="1050"/>
      <c r="L1628" s="1050"/>
      <c r="M1628" s="1139"/>
      <c r="N1628" s="1057"/>
      <c r="O1628" s="1088"/>
      <c r="P1628" s="1088"/>
      <c r="Q1628" s="1088"/>
      <c r="R1628" s="1137"/>
      <c r="S1628" s="1107"/>
      <c r="T1628" s="1107"/>
      <c r="U1628" s="1107"/>
      <c r="V1628" s="1060"/>
      <c r="W1628" s="1107"/>
      <c r="X1628" s="1050"/>
      <c r="Y1628" s="197" t="s">
        <v>2206</v>
      </c>
      <c r="Z1628" s="198">
        <v>20465085.010000002</v>
      </c>
      <c r="AA1628" s="198">
        <v>-2274774.33</v>
      </c>
      <c r="AB1628" s="198">
        <f t="shared" si="132"/>
        <v>18190310.68</v>
      </c>
      <c r="AC1628" s="199">
        <v>42998</v>
      </c>
      <c r="AD1628" s="200">
        <v>18190310.68</v>
      </c>
      <c r="AE1628" s="201" t="s">
        <v>146</v>
      </c>
      <c r="AF1628" s="1060"/>
      <c r="AG1628" s="1060"/>
      <c r="AH1628" s="202">
        <f t="shared" si="133"/>
        <v>0</v>
      </c>
      <c r="AI1628" s="1060"/>
      <c r="AJ1628" s="1088"/>
      <c r="AK1628" s="1088"/>
      <c r="AL1628" s="1088"/>
      <c r="AM1628" s="1088"/>
      <c r="AN1628" s="1135"/>
      <c r="AO1628" s="1135"/>
      <c r="AP1628" s="61"/>
      <c r="AQ1628" s="934"/>
    </row>
    <row r="1629" spans="1:44" s="203" customFormat="1" ht="15" customHeight="1">
      <c r="A1629" s="1050"/>
      <c r="B1629" s="1137"/>
      <c r="C1629" s="1015" t="s">
        <v>39</v>
      </c>
      <c r="D1629" s="1050"/>
      <c r="E1629" s="1141"/>
      <c r="F1629" s="1141"/>
      <c r="G1629" s="1050"/>
      <c r="H1629" s="1050"/>
      <c r="I1629" s="1050"/>
      <c r="J1629" s="1050"/>
      <c r="K1629" s="1050"/>
      <c r="L1629" s="1050"/>
      <c r="M1629" s="1138">
        <v>7</v>
      </c>
      <c r="N1629" s="1056" t="s">
        <v>164</v>
      </c>
      <c r="O1629" s="1087">
        <v>60000000</v>
      </c>
      <c r="P1629" s="1087">
        <v>60000000</v>
      </c>
      <c r="Q1629" s="1088"/>
      <c r="R1629" s="1136">
        <v>42164</v>
      </c>
      <c r="S1629" s="1106">
        <f>T1629</f>
        <v>60000000</v>
      </c>
      <c r="T1629" s="1106">
        <v>60000000</v>
      </c>
      <c r="U1629" s="1106">
        <f>P1629-T1629</f>
        <v>0</v>
      </c>
      <c r="V1629" s="1059">
        <v>59979733.329999998</v>
      </c>
      <c r="W1629" s="1107"/>
      <c r="X1629" s="1050"/>
      <c r="Y1629" s="197" t="s">
        <v>2208</v>
      </c>
      <c r="Z1629" s="198">
        <v>0</v>
      </c>
      <c r="AA1629" s="198">
        <v>5997973.3300000001</v>
      </c>
      <c r="AB1629" s="198">
        <f t="shared" si="132"/>
        <v>5997973.3300000001</v>
      </c>
      <c r="AC1629" s="199">
        <v>42557</v>
      </c>
      <c r="AD1629" s="200">
        <v>5997973.3300000001</v>
      </c>
      <c r="AE1629" s="201" t="s">
        <v>164</v>
      </c>
      <c r="AF1629" s="1059">
        <f>SUM(AD1629:AD1631)</f>
        <v>59979733.329999998</v>
      </c>
      <c r="AG1629" s="1060"/>
      <c r="AH1629" s="202">
        <f t="shared" si="133"/>
        <v>0</v>
      </c>
      <c r="AI1629" s="1059">
        <f>P1629-AF1629</f>
        <v>20266.670000001788</v>
      </c>
      <c r="AJ1629" s="1088"/>
      <c r="AK1629" s="1087">
        <f>P1629-V1629</f>
        <v>20266.670000001788</v>
      </c>
      <c r="AL1629" s="1087">
        <f>V1629-SUM(Z1629:Z1631)</f>
        <v>0</v>
      </c>
      <c r="AM1629" s="1087">
        <f>AK1629+AL1629</f>
        <v>20266.670000001788</v>
      </c>
      <c r="AN1629" s="1135"/>
      <c r="AO1629" s="1135"/>
      <c r="AP1629" s="204">
        <v>20266.669999999998</v>
      </c>
      <c r="AQ1629" s="934"/>
    </row>
    <row r="1630" spans="1:44" s="203" customFormat="1" ht="15" customHeight="1">
      <c r="A1630" s="1050"/>
      <c r="B1630" s="1137"/>
      <c r="C1630" s="1050"/>
      <c r="D1630" s="1050"/>
      <c r="E1630" s="1141"/>
      <c r="F1630" s="1141"/>
      <c r="G1630" s="1050"/>
      <c r="H1630" s="1050"/>
      <c r="I1630" s="1050"/>
      <c r="J1630" s="1050"/>
      <c r="K1630" s="1050"/>
      <c r="L1630" s="1050"/>
      <c r="M1630" s="1139"/>
      <c r="N1630" s="1057"/>
      <c r="O1630" s="1088"/>
      <c r="P1630" s="1088"/>
      <c r="Q1630" s="1088"/>
      <c r="R1630" s="1137"/>
      <c r="S1630" s="1107"/>
      <c r="T1630" s="1107"/>
      <c r="U1630" s="1107"/>
      <c r="V1630" s="1060"/>
      <c r="W1630" s="1107"/>
      <c r="X1630" s="1050"/>
      <c r="Y1630" s="197" t="s">
        <v>2220</v>
      </c>
      <c r="Z1630" s="198">
        <v>53441942.399999999</v>
      </c>
      <c r="AA1630" s="198">
        <v>-3723200.46</v>
      </c>
      <c r="AB1630" s="198">
        <f t="shared" si="132"/>
        <v>49718741.939999998</v>
      </c>
      <c r="AC1630" s="199">
        <v>42787</v>
      </c>
      <c r="AD1630" s="200">
        <v>49718741.939999998</v>
      </c>
      <c r="AE1630" s="201" t="s">
        <v>164</v>
      </c>
      <c r="AF1630" s="1060"/>
      <c r="AG1630" s="1060"/>
      <c r="AH1630" s="202">
        <f t="shared" si="133"/>
        <v>0</v>
      </c>
      <c r="AI1630" s="1060"/>
      <c r="AJ1630" s="1088"/>
      <c r="AK1630" s="1088"/>
      <c r="AL1630" s="1088"/>
      <c r="AM1630" s="1088"/>
      <c r="AN1630" s="1135"/>
      <c r="AO1630" s="1135"/>
      <c r="AP1630" s="61"/>
      <c r="AQ1630" s="934"/>
    </row>
    <row r="1631" spans="1:44" s="203" customFormat="1" ht="15" customHeight="1">
      <c r="A1631" s="1050"/>
      <c r="B1631" s="1137"/>
      <c r="C1631" s="1050"/>
      <c r="D1631" s="1050"/>
      <c r="E1631" s="1141"/>
      <c r="F1631" s="1141"/>
      <c r="G1631" s="1050"/>
      <c r="H1631" s="1050"/>
      <c r="I1631" s="1050"/>
      <c r="J1631" s="1050"/>
      <c r="K1631" s="1050"/>
      <c r="L1631" s="1050"/>
      <c r="M1631" s="1139"/>
      <c r="N1631" s="1057"/>
      <c r="O1631" s="1088"/>
      <c r="P1631" s="1088"/>
      <c r="Q1631" s="1088"/>
      <c r="R1631" s="1137"/>
      <c r="S1631" s="1107"/>
      <c r="T1631" s="1107"/>
      <c r="U1631" s="1107"/>
      <c r="V1631" s="1060"/>
      <c r="W1631" s="1107"/>
      <c r="X1631" s="1050"/>
      <c r="Y1631" s="197" t="s">
        <v>2206</v>
      </c>
      <c r="Z1631" s="198">
        <v>6537790.9299999997</v>
      </c>
      <c r="AA1631" s="198">
        <v>-2274772.87</v>
      </c>
      <c r="AB1631" s="198">
        <f t="shared" si="132"/>
        <v>4263018.0599999996</v>
      </c>
      <c r="AC1631" s="199">
        <v>42998</v>
      </c>
      <c r="AD1631" s="200">
        <v>4263018.0599999996</v>
      </c>
      <c r="AE1631" s="201" t="s">
        <v>164</v>
      </c>
      <c r="AF1631" s="1060"/>
      <c r="AG1631" s="1060"/>
      <c r="AH1631" s="202">
        <f t="shared" si="133"/>
        <v>0</v>
      </c>
      <c r="AI1631" s="1060"/>
      <c r="AJ1631" s="1088"/>
      <c r="AK1631" s="1088"/>
      <c r="AL1631" s="1088"/>
      <c r="AM1631" s="1088"/>
      <c r="AN1631" s="1135"/>
      <c r="AO1631" s="1135"/>
      <c r="AP1631" s="61"/>
      <c r="AQ1631" s="934"/>
    </row>
    <row r="1632" spans="1:44" s="203" customFormat="1" ht="15" customHeight="1">
      <c r="A1632" s="1050"/>
      <c r="B1632" s="1137"/>
      <c r="C1632" s="1015" t="s">
        <v>41</v>
      </c>
      <c r="D1632" s="1050"/>
      <c r="E1632" s="1141"/>
      <c r="F1632" s="1141"/>
      <c r="G1632" s="1050"/>
      <c r="H1632" s="1050"/>
      <c r="I1632" s="1050"/>
      <c r="J1632" s="1050"/>
      <c r="K1632" s="1050"/>
      <c r="L1632" s="1050"/>
      <c r="M1632" s="1138">
        <v>8</v>
      </c>
      <c r="N1632" s="1056" t="s">
        <v>166</v>
      </c>
      <c r="O1632" s="1087">
        <v>60000000</v>
      </c>
      <c r="P1632" s="1087">
        <v>60000000</v>
      </c>
      <c r="Q1632" s="1088"/>
      <c r="R1632" s="1136">
        <v>42164</v>
      </c>
      <c r="S1632" s="1106">
        <f>T1632</f>
        <v>60000000</v>
      </c>
      <c r="T1632" s="1106">
        <v>60000000</v>
      </c>
      <c r="U1632" s="1106">
        <f>P1632-T1632</f>
        <v>0</v>
      </c>
      <c r="V1632" s="1059">
        <v>59979733.329999998</v>
      </c>
      <c r="W1632" s="1107"/>
      <c r="X1632" s="1050"/>
      <c r="Y1632" s="197" t="s">
        <v>2208</v>
      </c>
      <c r="Z1632" s="198">
        <v>0</v>
      </c>
      <c r="AA1632" s="198">
        <f>AD1632</f>
        <v>5997973.3300000001</v>
      </c>
      <c r="AB1632" s="198">
        <f t="shared" si="132"/>
        <v>5997973.3300000001</v>
      </c>
      <c r="AC1632" s="199">
        <v>42557</v>
      </c>
      <c r="AD1632" s="200">
        <v>5997973.3300000001</v>
      </c>
      <c r="AE1632" s="201" t="s">
        <v>166</v>
      </c>
      <c r="AF1632" s="1059">
        <f>SUM(AD1632:AD1634)</f>
        <v>59979733.329999998</v>
      </c>
      <c r="AG1632" s="1060"/>
      <c r="AH1632" s="202">
        <f t="shared" si="133"/>
        <v>0</v>
      </c>
      <c r="AI1632" s="1059">
        <f>P1632-AF1632</f>
        <v>20266.670000001788</v>
      </c>
      <c r="AJ1632" s="1088"/>
      <c r="AK1632" s="1087">
        <f>P1632-V1632</f>
        <v>20266.670000001788</v>
      </c>
      <c r="AL1632" s="1087">
        <f>V1632-SUM(Z1632:Z1634)</f>
        <v>100000</v>
      </c>
      <c r="AM1632" s="1087">
        <f>AK1632+AL1632</f>
        <v>120266.67000000179</v>
      </c>
      <c r="AN1632" s="1135"/>
      <c r="AO1632" s="1135"/>
      <c r="AP1632" s="204">
        <v>20266.669999999998</v>
      </c>
      <c r="AQ1632" s="934"/>
    </row>
    <row r="1633" spans="1:45" s="203" customFormat="1" ht="15" customHeight="1">
      <c r="A1633" s="1050"/>
      <c r="B1633" s="1137"/>
      <c r="C1633" s="1050"/>
      <c r="D1633" s="1050"/>
      <c r="E1633" s="1141"/>
      <c r="F1633" s="1141"/>
      <c r="G1633" s="1050"/>
      <c r="H1633" s="1050"/>
      <c r="I1633" s="1050"/>
      <c r="J1633" s="1050"/>
      <c r="K1633" s="1050"/>
      <c r="L1633" s="1050"/>
      <c r="M1633" s="1139"/>
      <c r="N1633" s="1057"/>
      <c r="O1633" s="1088"/>
      <c r="P1633" s="1088"/>
      <c r="Q1633" s="1088"/>
      <c r="R1633" s="1137"/>
      <c r="S1633" s="1107"/>
      <c r="T1633" s="1107"/>
      <c r="U1633" s="1107"/>
      <c r="V1633" s="1060"/>
      <c r="W1633" s="1107"/>
      <c r="X1633" s="1050"/>
      <c r="Y1633" s="197" t="s">
        <v>2219</v>
      </c>
      <c r="Z1633" s="198">
        <v>27862551.68</v>
      </c>
      <c r="AA1633" s="198">
        <v>-3623199</v>
      </c>
      <c r="AB1633" s="198">
        <f t="shared" si="132"/>
        <v>24239352.68</v>
      </c>
      <c r="AC1633" s="199">
        <v>42787</v>
      </c>
      <c r="AD1633" s="200">
        <v>24239352.68</v>
      </c>
      <c r="AE1633" s="201" t="s">
        <v>166</v>
      </c>
      <c r="AF1633" s="1060"/>
      <c r="AG1633" s="1060"/>
      <c r="AH1633" s="202">
        <f t="shared" si="133"/>
        <v>0</v>
      </c>
      <c r="AI1633" s="1060"/>
      <c r="AJ1633" s="1088"/>
      <c r="AK1633" s="1088"/>
      <c r="AL1633" s="1088"/>
      <c r="AM1633" s="1088"/>
      <c r="AN1633" s="1135"/>
      <c r="AO1633" s="1135"/>
      <c r="AP1633" s="61"/>
      <c r="AQ1633" s="934"/>
    </row>
    <row r="1634" spans="1:45" s="203" customFormat="1" ht="15" customHeight="1">
      <c r="A1634" s="1050"/>
      <c r="B1634" s="1137"/>
      <c r="C1634" s="1050"/>
      <c r="D1634" s="1050"/>
      <c r="E1634" s="1141"/>
      <c r="F1634" s="1141"/>
      <c r="G1634" s="1050"/>
      <c r="H1634" s="1050"/>
      <c r="I1634" s="1050"/>
      <c r="J1634" s="1050"/>
      <c r="K1634" s="1050"/>
      <c r="L1634" s="1050"/>
      <c r="M1634" s="1139"/>
      <c r="N1634" s="1057"/>
      <c r="O1634" s="1088"/>
      <c r="P1634" s="1088"/>
      <c r="Q1634" s="1088"/>
      <c r="R1634" s="1137"/>
      <c r="S1634" s="1107"/>
      <c r="T1634" s="1107"/>
      <c r="U1634" s="1107"/>
      <c r="V1634" s="1060"/>
      <c r="W1634" s="1107"/>
      <c r="X1634" s="1050"/>
      <c r="Y1634" s="197" t="s">
        <v>2206</v>
      </c>
      <c r="Z1634" s="198">
        <v>32017181.649999999</v>
      </c>
      <c r="AA1634" s="198">
        <v>-2274774.33</v>
      </c>
      <c r="AB1634" s="198">
        <f t="shared" si="132"/>
        <v>29742407.32</v>
      </c>
      <c r="AC1634" s="199">
        <v>42998</v>
      </c>
      <c r="AD1634" s="200">
        <v>29742407.32</v>
      </c>
      <c r="AE1634" s="201" t="s">
        <v>166</v>
      </c>
      <c r="AF1634" s="1060"/>
      <c r="AG1634" s="1060"/>
      <c r="AH1634" s="202">
        <f t="shared" si="133"/>
        <v>0</v>
      </c>
      <c r="AI1634" s="1060"/>
      <c r="AJ1634" s="1088"/>
      <c r="AK1634" s="1088"/>
      <c r="AL1634" s="1088"/>
      <c r="AM1634" s="1088"/>
      <c r="AN1634" s="1135"/>
      <c r="AO1634" s="1135"/>
      <c r="AP1634" s="61"/>
      <c r="AQ1634" s="934"/>
    </row>
    <row r="1635" spans="1:45" s="203" customFormat="1" ht="15" customHeight="1">
      <c r="A1635" s="1050"/>
      <c r="B1635" s="1137"/>
      <c r="C1635" s="1015" t="s">
        <v>12</v>
      </c>
      <c r="D1635" s="1050"/>
      <c r="E1635" s="1141"/>
      <c r="F1635" s="1141"/>
      <c r="G1635" s="1050"/>
      <c r="H1635" s="1050"/>
      <c r="I1635" s="1050"/>
      <c r="J1635" s="1050"/>
      <c r="K1635" s="1050"/>
      <c r="L1635" s="1050"/>
      <c r="M1635" s="1138">
        <v>8</v>
      </c>
      <c r="N1635" s="1056" t="s">
        <v>132</v>
      </c>
      <c r="O1635" s="1087">
        <v>60000000</v>
      </c>
      <c r="P1635" s="1087">
        <v>60000000</v>
      </c>
      <c r="Q1635" s="1088"/>
      <c r="R1635" s="1136">
        <v>42164</v>
      </c>
      <c r="S1635" s="1106">
        <f>T1635</f>
        <v>60000000</v>
      </c>
      <c r="T1635" s="1106">
        <v>60000000</v>
      </c>
      <c r="U1635" s="1106">
        <f>P1635-T1635</f>
        <v>0</v>
      </c>
      <c r="V1635" s="1106">
        <v>59979733.329999998</v>
      </c>
      <c r="W1635" s="1107"/>
      <c r="X1635" s="1050"/>
      <c r="Y1635" s="197" t="s">
        <v>2208</v>
      </c>
      <c r="Z1635" s="198">
        <v>0</v>
      </c>
      <c r="AA1635" s="198">
        <v>5997973.3300000001</v>
      </c>
      <c r="AB1635" s="198">
        <f t="shared" si="132"/>
        <v>5997973.3300000001</v>
      </c>
      <c r="AC1635" s="199">
        <v>42557</v>
      </c>
      <c r="AD1635" s="200">
        <v>5997973.3300000001</v>
      </c>
      <c r="AE1635" s="201" t="s">
        <v>132</v>
      </c>
      <c r="AF1635" s="1059">
        <f>SUM(AD1635:AD1637)</f>
        <v>59979733.329999998</v>
      </c>
      <c r="AG1635" s="1060"/>
      <c r="AH1635" s="202">
        <f t="shared" si="133"/>
        <v>0</v>
      </c>
      <c r="AI1635" s="1059">
        <f>P1635-AF1635</f>
        <v>20266.670000001788</v>
      </c>
      <c r="AJ1635" s="1088"/>
      <c r="AK1635" s="1087">
        <f>P1635-V1635</f>
        <v>20266.670000001788</v>
      </c>
      <c r="AL1635" s="1087">
        <f>V1635-SUM(Z1635:Z1637)</f>
        <v>100000</v>
      </c>
      <c r="AM1635" s="1087">
        <f>AK1635+AL1635</f>
        <v>120266.67000000179</v>
      </c>
      <c r="AN1635" s="1135"/>
      <c r="AO1635" s="1135"/>
      <c r="AP1635" s="204">
        <v>20266.669999999998</v>
      </c>
      <c r="AQ1635" s="934"/>
    </row>
    <row r="1636" spans="1:45" s="203" customFormat="1" ht="15" customHeight="1">
      <c r="A1636" s="1050"/>
      <c r="B1636" s="1137"/>
      <c r="C1636" s="1050"/>
      <c r="D1636" s="1050"/>
      <c r="E1636" s="1141"/>
      <c r="F1636" s="1141"/>
      <c r="G1636" s="1050"/>
      <c r="H1636" s="1050"/>
      <c r="I1636" s="1050"/>
      <c r="J1636" s="1050"/>
      <c r="K1636" s="1050"/>
      <c r="L1636" s="1050"/>
      <c r="M1636" s="1139"/>
      <c r="N1636" s="1057"/>
      <c r="O1636" s="1088"/>
      <c r="P1636" s="1088"/>
      <c r="Q1636" s="1088"/>
      <c r="R1636" s="1137"/>
      <c r="S1636" s="1107"/>
      <c r="T1636" s="1107"/>
      <c r="U1636" s="1107"/>
      <c r="V1636" s="1107"/>
      <c r="W1636" s="1107"/>
      <c r="X1636" s="1050"/>
      <c r="Y1636" s="197" t="s">
        <v>2218</v>
      </c>
      <c r="Z1636" s="198">
        <v>27862551.68</v>
      </c>
      <c r="AA1636" s="198">
        <v>-3623199</v>
      </c>
      <c r="AB1636" s="198">
        <f t="shared" si="132"/>
        <v>24239352.68</v>
      </c>
      <c r="AC1636" s="199">
        <v>42787</v>
      </c>
      <c r="AD1636" s="200">
        <v>24239352.68</v>
      </c>
      <c r="AE1636" s="201" t="s">
        <v>132</v>
      </c>
      <c r="AF1636" s="1060"/>
      <c r="AG1636" s="1060"/>
      <c r="AH1636" s="202">
        <f t="shared" si="133"/>
        <v>0</v>
      </c>
      <c r="AI1636" s="1060"/>
      <c r="AJ1636" s="1088"/>
      <c r="AK1636" s="1088"/>
      <c r="AL1636" s="1088"/>
      <c r="AM1636" s="1088"/>
      <c r="AN1636" s="1135"/>
      <c r="AO1636" s="1135"/>
      <c r="AP1636" s="61"/>
      <c r="AQ1636" s="934"/>
      <c r="AR1636" s="206"/>
    </row>
    <row r="1637" spans="1:45" s="203" customFormat="1" ht="15" customHeight="1">
      <c r="A1637" s="1050"/>
      <c r="B1637" s="1137"/>
      <c r="C1637" s="1050"/>
      <c r="D1637" s="1050"/>
      <c r="E1637" s="1141"/>
      <c r="F1637" s="1141"/>
      <c r="G1637" s="1050"/>
      <c r="H1637" s="1050"/>
      <c r="I1637" s="1050"/>
      <c r="J1637" s="1050"/>
      <c r="K1637" s="1050"/>
      <c r="L1637" s="1050"/>
      <c r="M1637" s="1139"/>
      <c r="N1637" s="1057"/>
      <c r="O1637" s="1088"/>
      <c r="P1637" s="1088"/>
      <c r="Q1637" s="1088"/>
      <c r="R1637" s="1137"/>
      <c r="S1637" s="1107"/>
      <c r="T1637" s="1107"/>
      <c r="U1637" s="1107"/>
      <c r="V1637" s="1107"/>
      <c r="W1637" s="1107"/>
      <c r="X1637" s="1050"/>
      <c r="Y1637" s="197" t="s">
        <v>2206</v>
      </c>
      <c r="Z1637" s="198">
        <v>32017181.649999999</v>
      </c>
      <c r="AA1637" s="198">
        <v>-2274774.33</v>
      </c>
      <c r="AB1637" s="198">
        <f t="shared" si="132"/>
        <v>29742407.32</v>
      </c>
      <c r="AC1637" s="199">
        <v>42998</v>
      </c>
      <c r="AD1637" s="200">
        <v>29742407.32</v>
      </c>
      <c r="AE1637" s="201" t="s">
        <v>132</v>
      </c>
      <c r="AF1637" s="1060"/>
      <c r="AG1637" s="1060"/>
      <c r="AH1637" s="202">
        <f t="shared" si="133"/>
        <v>0</v>
      </c>
      <c r="AI1637" s="1060"/>
      <c r="AJ1637" s="1088"/>
      <c r="AK1637" s="1088"/>
      <c r="AL1637" s="1088"/>
      <c r="AM1637" s="1088"/>
      <c r="AN1637" s="1135"/>
      <c r="AO1637" s="1135"/>
      <c r="AP1637" s="61"/>
      <c r="AQ1637" s="934"/>
    </row>
    <row r="1638" spans="1:45" s="203" customFormat="1" ht="15" customHeight="1">
      <c r="A1638" s="1050"/>
      <c r="B1638" s="1137"/>
      <c r="C1638" s="1015" t="s">
        <v>33</v>
      </c>
      <c r="D1638" s="1050"/>
      <c r="E1638" s="1141"/>
      <c r="F1638" s="1141"/>
      <c r="G1638" s="1050"/>
      <c r="H1638" s="1050"/>
      <c r="I1638" s="1050"/>
      <c r="J1638" s="1050"/>
      <c r="K1638" s="1050"/>
      <c r="L1638" s="1050"/>
      <c r="M1638" s="1138">
        <v>3</v>
      </c>
      <c r="N1638" s="1056" t="s">
        <v>158</v>
      </c>
      <c r="O1638" s="1087">
        <v>60000000</v>
      </c>
      <c r="P1638" s="1087">
        <v>60000000</v>
      </c>
      <c r="Q1638" s="1088"/>
      <c r="R1638" s="1136">
        <v>42164</v>
      </c>
      <c r="S1638" s="1106">
        <f>T1638</f>
        <v>60000000</v>
      </c>
      <c r="T1638" s="1106">
        <v>60000000</v>
      </c>
      <c r="U1638" s="1106">
        <f>P1638-T1638</f>
        <v>0</v>
      </c>
      <c r="V1638" s="1106">
        <v>59979733.329999998</v>
      </c>
      <c r="W1638" s="1107"/>
      <c r="X1638" s="1050"/>
      <c r="Y1638" s="197" t="s">
        <v>2208</v>
      </c>
      <c r="Z1638" s="198">
        <v>0</v>
      </c>
      <c r="AA1638" s="198">
        <v>5997973.3300000001</v>
      </c>
      <c r="AB1638" s="198">
        <f t="shared" si="132"/>
        <v>5997973.3300000001</v>
      </c>
      <c r="AC1638" s="199">
        <v>42557</v>
      </c>
      <c r="AD1638" s="200">
        <v>5997973.3300000001</v>
      </c>
      <c r="AE1638" s="201" t="s">
        <v>158</v>
      </c>
      <c r="AF1638" s="1059">
        <f>SUM(AD1638:AD1639)</f>
        <v>59979733.329999998</v>
      </c>
      <c r="AG1638" s="1060"/>
      <c r="AH1638" s="202">
        <f t="shared" si="133"/>
        <v>0</v>
      </c>
      <c r="AI1638" s="1059">
        <f>P1638-AF1638</f>
        <v>20266.670000001788</v>
      </c>
      <c r="AJ1638" s="1088"/>
      <c r="AK1638" s="1087">
        <f>P1638-V1638</f>
        <v>20266.670000001788</v>
      </c>
      <c r="AL1638" s="1087">
        <f>V1638-SUM(Z1638:Z1639)</f>
        <v>0</v>
      </c>
      <c r="AM1638" s="1087">
        <f>AK1638+AL1638</f>
        <v>20266.670000001788</v>
      </c>
      <c r="AN1638" s="1135"/>
      <c r="AO1638" s="1135"/>
      <c r="AP1638" s="204">
        <v>20266.669999999998</v>
      </c>
      <c r="AQ1638" s="934"/>
      <c r="AR1638" s="206"/>
    </row>
    <row r="1639" spans="1:45" s="203" customFormat="1" ht="15" customHeight="1">
      <c r="A1639" s="1050"/>
      <c r="B1639" s="1137"/>
      <c r="C1639" s="1050"/>
      <c r="D1639" s="1050"/>
      <c r="E1639" s="1141"/>
      <c r="F1639" s="1141"/>
      <c r="G1639" s="1050"/>
      <c r="H1639" s="1050"/>
      <c r="I1639" s="1050"/>
      <c r="J1639" s="1050"/>
      <c r="K1639" s="1050"/>
      <c r="L1639" s="1050"/>
      <c r="M1639" s="1139"/>
      <c r="N1639" s="1057"/>
      <c r="O1639" s="1088"/>
      <c r="P1639" s="1088"/>
      <c r="Q1639" s="1088"/>
      <c r="R1639" s="1137"/>
      <c r="S1639" s="1107"/>
      <c r="T1639" s="1107"/>
      <c r="U1639" s="1107"/>
      <c r="V1639" s="1107"/>
      <c r="W1639" s="1107"/>
      <c r="X1639" s="1050"/>
      <c r="Y1639" s="197" t="s">
        <v>2206</v>
      </c>
      <c r="Z1639" s="198">
        <v>59979733.329999998</v>
      </c>
      <c r="AA1639" s="198">
        <v>-5997973.3300000001</v>
      </c>
      <c r="AB1639" s="198">
        <f t="shared" si="132"/>
        <v>53981760</v>
      </c>
      <c r="AC1639" s="199">
        <v>42998</v>
      </c>
      <c r="AD1639" s="200">
        <v>53981760</v>
      </c>
      <c r="AE1639" s="201" t="s">
        <v>158</v>
      </c>
      <c r="AF1639" s="1060"/>
      <c r="AG1639" s="1060"/>
      <c r="AH1639" s="202">
        <f t="shared" si="133"/>
        <v>0</v>
      </c>
      <c r="AI1639" s="1060"/>
      <c r="AJ1639" s="1088"/>
      <c r="AK1639" s="1088"/>
      <c r="AL1639" s="1088"/>
      <c r="AM1639" s="1088"/>
      <c r="AN1639" s="1135"/>
      <c r="AO1639" s="1135"/>
      <c r="AP1639" s="61"/>
      <c r="AQ1639" s="934"/>
    </row>
    <row r="1640" spans="1:45" s="203" customFormat="1" ht="15" customHeight="1">
      <c r="A1640" s="1050"/>
      <c r="B1640" s="1137"/>
      <c r="C1640" s="1015" t="s">
        <v>37</v>
      </c>
      <c r="D1640" s="1050"/>
      <c r="E1640" s="1141"/>
      <c r="F1640" s="1141"/>
      <c r="G1640" s="1050"/>
      <c r="H1640" s="1050"/>
      <c r="I1640" s="1050"/>
      <c r="J1640" s="1050"/>
      <c r="K1640" s="1050"/>
      <c r="L1640" s="1050"/>
      <c r="M1640" s="1138">
        <v>8</v>
      </c>
      <c r="N1640" s="1056" t="s">
        <v>162</v>
      </c>
      <c r="O1640" s="1087">
        <v>60000000</v>
      </c>
      <c r="P1640" s="1087">
        <v>60000000</v>
      </c>
      <c r="Q1640" s="1088"/>
      <c r="R1640" s="1136">
        <v>42164</v>
      </c>
      <c r="S1640" s="1106">
        <f>T1640</f>
        <v>60000000</v>
      </c>
      <c r="T1640" s="1106">
        <v>60000000</v>
      </c>
      <c r="U1640" s="1106">
        <f>P1640-T1640</f>
        <v>0</v>
      </c>
      <c r="V1640" s="1106">
        <v>59979733.329999998</v>
      </c>
      <c r="W1640" s="1107"/>
      <c r="X1640" s="1050"/>
      <c r="Y1640" s="197" t="s">
        <v>2208</v>
      </c>
      <c r="Z1640" s="198">
        <v>0</v>
      </c>
      <c r="AA1640" s="198">
        <f>AD1640</f>
        <v>5997973.3300000001</v>
      </c>
      <c r="AB1640" s="198">
        <f t="shared" si="132"/>
        <v>5997973.3300000001</v>
      </c>
      <c r="AC1640" s="199">
        <v>42557</v>
      </c>
      <c r="AD1640" s="200">
        <v>5997973.3300000001</v>
      </c>
      <c r="AE1640" s="201" t="s">
        <v>162</v>
      </c>
      <c r="AF1640" s="1059">
        <f>SUM(AD1640:AD1641)</f>
        <v>59655842.769999996</v>
      </c>
      <c r="AG1640" s="1060"/>
      <c r="AH1640" s="202">
        <f t="shared" si="133"/>
        <v>0</v>
      </c>
      <c r="AI1640" s="1059">
        <f>P1640-AF1640</f>
        <v>344157.23000000417</v>
      </c>
      <c r="AJ1640" s="1088"/>
      <c r="AK1640" s="1087">
        <f>P1640-V1640</f>
        <v>20266.670000001788</v>
      </c>
      <c r="AL1640" s="1087">
        <f>V1640-SUM(Z1640:Z1641)</f>
        <v>323890.55999999493</v>
      </c>
      <c r="AM1640" s="1087">
        <f>AK1640+AL1640</f>
        <v>344157.22999999672</v>
      </c>
      <c r="AN1640" s="1135"/>
      <c r="AO1640" s="1135"/>
      <c r="AP1640" s="1087">
        <v>344157.22999999672</v>
      </c>
      <c r="AQ1640" s="934"/>
      <c r="AR1640" s="52"/>
    </row>
    <row r="1641" spans="1:45" s="203" customFormat="1" ht="15" customHeight="1">
      <c r="A1641" s="1050"/>
      <c r="B1641" s="1137"/>
      <c r="C1641" s="1050"/>
      <c r="D1641" s="1050"/>
      <c r="E1641" s="1141"/>
      <c r="F1641" s="1141"/>
      <c r="G1641" s="1050"/>
      <c r="H1641" s="1050"/>
      <c r="I1641" s="1050"/>
      <c r="J1641" s="1050"/>
      <c r="K1641" s="1050"/>
      <c r="L1641" s="1050"/>
      <c r="M1641" s="1139"/>
      <c r="N1641" s="1057"/>
      <c r="O1641" s="1088"/>
      <c r="P1641" s="1088"/>
      <c r="Q1641" s="1088"/>
      <c r="R1641" s="1137"/>
      <c r="S1641" s="1107"/>
      <c r="T1641" s="1107"/>
      <c r="U1641" s="1107"/>
      <c r="V1641" s="1107"/>
      <c r="W1641" s="1107"/>
      <c r="X1641" s="1050"/>
      <c r="Y1641" s="197" t="s">
        <v>2206</v>
      </c>
      <c r="Z1641" s="198">
        <v>59655842.770000003</v>
      </c>
      <c r="AA1641" s="198">
        <v>-5997973.3300000103</v>
      </c>
      <c r="AB1641" s="198">
        <f t="shared" si="132"/>
        <v>53657869.43999999</v>
      </c>
      <c r="AC1641" s="199">
        <v>42998</v>
      </c>
      <c r="AD1641" s="200">
        <v>53657869.439999998</v>
      </c>
      <c r="AE1641" s="201" t="s">
        <v>162</v>
      </c>
      <c r="AF1641" s="1060"/>
      <c r="AG1641" s="1060"/>
      <c r="AH1641" s="202">
        <f t="shared" si="133"/>
        <v>0</v>
      </c>
      <c r="AI1641" s="1060"/>
      <c r="AJ1641" s="1088"/>
      <c r="AK1641" s="1088"/>
      <c r="AL1641" s="1088"/>
      <c r="AM1641" s="1088"/>
      <c r="AN1641" s="1135"/>
      <c r="AO1641" s="1135"/>
      <c r="AP1641" s="1088"/>
      <c r="AQ1641" s="934"/>
      <c r="AR1641" s="52"/>
    </row>
    <row r="1642" spans="1:45" s="203" customFormat="1" ht="15" customHeight="1">
      <c r="A1642" s="1050"/>
      <c r="B1642" s="1137"/>
      <c r="C1642" s="1015" t="s">
        <v>45</v>
      </c>
      <c r="D1642" s="1050"/>
      <c r="E1642" s="1141"/>
      <c r="F1642" s="1141"/>
      <c r="G1642" s="1050"/>
      <c r="H1642" s="1050"/>
      <c r="I1642" s="1050"/>
      <c r="J1642" s="1050"/>
      <c r="K1642" s="1050"/>
      <c r="L1642" s="1050"/>
      <c r="M1642" s="1138">
        <v>16</v>
      </c>
      <c r="N1642" s="1056" t="s">
        <v>152</v>
      </c>
      <c r="O1642" s="1087">
        <v>60000000</v>
      </c>
      <c r="P1642" s="1087">
        <v>60000000</v>
      </c>
      <c r="Q1642" s="1088"/>
      <c r="R1642" s="1136">
        <v>42164</v>
      </c>
      <c r="S1642" s="1106">
        <f>T1642</f>
        <v>60000000</v>
      </c>
      <c r="T1642" s="1106">
        <v>60000000</v>
      </c>
      <c r="U1642" s="1106">
        <f>P1642-T1642</f>
        <v>0</v>
      </c>
      <c r="V1642" s="1059">
        <v>59979733.329999998</v>
      </c>
      <c r="W1642" s="1107"/>
      <c r="X1642" s="1050"/>
      <c r="Y1642" s="197" t="s">
        <v>2208</v>
      </c>
      <c r="Z1642" s="198">
        <v>0</v>
      </c>
      <c r="AA1642" s="198">
        <f>AD1642</f>
        <v>5997973.3300000001</v>
      </c>
      <c r="AB1642" s="198">
        <f t="shared" si="132"/>
        <v>5997973.3300000001</v>
      </c>
      <c r="AC1642" s="199">
        <v>42557</v>
      </c>
      <c r="AD1642" s="200">
        <v>5997973.3300000001</v>
      </c>
      <c r="AE1642" s="201" t="s">
        <v>152</v>
      </c>
      <c r="AF1642" s="1059">
        <f>SUM(AD1642:AD1644)</f>
        <v>59979733.329999998</v>
      </c>
      <c r="AG1642" s="1060"/>
      <c r="AH1642" s="202">
        <f t="shared" si="133"/>
        <v>0</v>
      </c>
      <c r="AI1642" s="1059">
        <f>P1642-AF1642</f>
        <v>20266.670000001788</v>
      </c>
      <c r="AJ1642" s="1088"/>
      <c r="AK1642" s="1087">
        <f>P1642-V1642</f>
        <v>20266.670000001788</v>
      </c>
      <c r="AL1642" s="1087">
        <f>V1642-SUM(Z1642:Z1644)</f>
        <v>-180000</v>
      </c>
      <c r="AM1642" s="1087">
        <f>AK1642+AL1642</f>
        <v>-159733.32999999821</v>
      </c>
      <c r="AN1642" s="1135"/>
      <c r="AO1642" s="1135"/>
      <c r="AP1642" s="204">
        <v>20266.669999999998</v>
      </c>
      <c r="AQ1642" s="934"/>
      <c r="AR1642" s="52"/>
    </row>
    <row r="1643" spans="1:45" s="203" customFormat="1" ht="15" customHeight="1">
      <c r="A1643" s="1050"/>
      <c r="B1643" s="1137"/>
      <c r="C1643" s="1050"/>
      <c r="D1643" s="1050"/>
      <c r="E1643" s="1141"/>
      <c r="F1643" s="1141"/>
      <c r="G1643" s="1050"/>
      <c r="H1643" s="1050"/>
      <c r="I1643" s="1050"/>
      <c r="J1643" s="1050"/>
      <c r="K1643" s="1050"/>
      <c r="L1643" s="1050"/>
      <c r="M1643" s="1139"/>
      <c r="N1643" s="1057"/>
      <c r="O1643" s="1088"/>
      <c r="P1643" s="1088"/>
      <c r="Q1643" s="1088"/>
      <c r="R1643" s="1137"/>
      <c r="S1643" s="1107"/>
      <c r="T1643" s="1107"/>
      <c r="U1643" s="1107"/>
      <c r="V1643" s="1060"/>
      <c r="W1643" s="1107"/>
      <c r="X1643" s="1050"/>
      <c r="Y1643" s="197" t="s">
        <v>2217</v>
      </c>
      <c r="Z1643" s="198">
        <v>39514648.32</v>
      </c>
      <c r="AA1643" s="198">
        <v>-3723199</v>
      </c>
      <c r="AB1643" s="198">
        <f t="shared" si="132"/>
        <v>35791449.32</v>
      </c>
      <c r="AC1643" s="199">
        <v>42787</v>
      </c>
      <c r="AD1643" s="200">
        <v>35791449.32</v>
      </c>
      <c r="AE1643" s="201" t="s">
        <v>152</v>
      </c>
      <c r="AF1643" s="1060"/>
      <c r="AG1643" s="1060"/>
      <c r="AH1643" s="202">
        <f t="shared" si="133"/>
        <v>0</v>
      </c>
      <c r="AI1643" s="1060"/>
      <c r="AJ1643" s="1088"/>
      <c r="AK1643" s="1088"/>
      <c r="AL1643" s="1088"/>
      <c r="AM1643" s="1088"/>
      <c r="AN1643" s="1135"/>
      <c r="AO1643" s="1135"/>
      <c r="AP1643" s="61"/>
      <c r="AQ1643" s="934"/>
      <c r="AR1643" s="206"/>
    </row>
    <row r="1644" spans="1:45" s="203" customFormat="1" ht="15" customHeight="1">
      <c r="A1644" s="1050"/>
      <c r="B1644" s="1137"/>
      <c r="C1644" s="1050"/>
      <c r="D1644" s="1050"/>
      <c r="E1644" s="1141"/>
      <c r="F1644" s="1141"/>
      <c r="G1644" s="1050"/>
      <c r="H1644" s="1050"/>
      <c r="I1644" s="1050"/>
      <c r="J1644" s="1050"/>
      <c r="K1644" s="1050"/>
      <c r="L1644" s="1050"/>
      <c r="M1644" s="1139"/>
      <c r="N1644" s="1057"/>
      <c r="O1644" s="1088"/>
      <c r="P1644" s="1088"/>
      <c r="Q1644" s="1088"/>
      <c r="R1644" s="1137"/>
      <c r="S1644" s="1107"/>
      <c r="T1644" s="1107"/>
      <c r="U1644" s="1107"/>
      <c r="V1644" s="1060"/>
      <c r="W1644" s="1107"/>
      <c r="X1644" s="1050"/>
      <c r="Y1644" s="197" t="s">
        <v>2206</v>
      </c>
      <c r="Z1644" s="198">
        <v>20645085.010000002</v>
      </c>
      <c r="AA1644" s="198">
        <v>-2454774.33</v>
      </c>
      <c r="AB1644" s="198">
        <f t="shared" si="132"/>
        <v>18190310.68</v>
      </c>
      <c r="AC1644" s="199">
        <v>42998</v>
      </c>
      <c r="AD1644" s="200">
        <v>18190310.68</v>
      </c>
      <c r="AE1644" s="201" t="s">
        <v>152</v>
      </c>
      <c r="AF1644" s="1060"/>
      <c r="AG1644" s="1060"/>
      <c r="AH1644" s="202">
        <f t="shared" si="133"/>
        <v>0</v>
      </c>
      <c r="AI1644" s="1060"/>
      <c r="AJ1644" s="1088"/>
      <c r="AK1644" s="1088"/>
      <c r="AL1644" s="1088"/>
      <c r="AM1644" s="1088"/>
      <c r="AN1644" s="1135"/>
      <c r="AO1644" s="1135"/>
      <c r="AP1644" s="61"/>
      <c r="AQ1644" s="934"/>
    </row>
    <row r="1645" spans="1:45" s="203" customFormat="1" ht="15" customHeight="1">
      <c r="A1645" s="1050"/>
      <c r="B1645" s="1137"/>
      <c r="C1645" s="1015" t="s">
        <v>24</v>
      </c>
      <c r="D1645" s="1050"/>
      <c r="E1645" s="1141"/>
      <c r="F1645" s="1141"/>
      <c r="G1645" s="1050"/>
      <c r="H1645" s="1050"/>
      <c r="I1645" s="1050"/>
      <c r="J1645" s="1050"/>
      <c r="K1645" s="1050"/>
      <c r="L1645" s="1050"/>
      <c r="M1645" s="1138">
        <v>16</v>
      </c>
      <c r="N1645" s="1056" t="s">
        <v>147</v>
      </c>
      <c r="O1645" s="1087">
        <v>60000000</v>
      </c>
      <c r="P1645" s="1087">
        <v>60000000</v>
      </c>
      <c r="Q1645" s="1088"/>
      <c r="R1645" s="1136">
        <v>42164</v>
      </c>
      <c r="S1645" s="1106">
        <f>T1645</f>
        <v>60000000</v>
      </c>
      <c r="T1645" s="1106">
        <v>60000000</v>
      </c>
      <c r="U1645" s="1106">
        <f>P1645-T1645</f>
        <v>0</v>
      </c>
      <c r="V1645" s="1059">
        <v>59979733.329999998</v>
      </c>
      <c r="W1645" s="1107"/>
      <c r="X1645" s="1050"/>
      <c r="Y1645" s="197" t="s">
        <v>2208</v>
      </c>
      <c r="Z1645" s="198">
        <v>0</v>
      </c>
      <c r="AA1645" s="198">
        <f>AD1645</f>
        <v>5997973.3300000001</v>
      </c>
      <c r="AB1645" s="198">
        <f t="shared" si="132"/>
        <v>5997973.3300000001</v>
      </c>
      <c r="AC1645" s="199">
        <v>42557</v>
      </c>
      <c r="AD1645" s="200">
        <v>5997973.3300000001</v>
      </c>
      <c r="AE1645" s="201" t="s">
        <v>147</v>
      </c>
      <c r="AF1645" s="1059">
        <f>SUM(AD1645:AD1647)</f>
        <v>59979733.329999998</v>
      </c>
      <c r="AG1645" s="1060"/>
      <c r="AH1645" s="202">
        <f t="shared" si="133"/>
        <v>0</v>
      </c>
      <c r="AI1645" s="1059">
        <f>P1645-AF1645</f>
        <v>20266.670000001788</v>
      </c>
      <c r="AJ1645" s="1088"/>
      <c r="AK1645" s="1087">
        <f>P1645-V1645</f>
        <v>20266.670000001788</v>
      </c>
      <c r="AL1645" s="1087">
        <f>V1645-SUM(Z1645:Z1647)</f>
        <v>-180000</v>
      </c>
      <c r="AM1645" s="1087">
        <f>AK1645+AL1645</f>
        <v>-159733.32999999821</v>
      </c>
      <c r="AN1645" s="1135"/>
      <c r="AO1645" s="1135"/>
      <c r="AP1645" s="204">
        <v>20266.669999999998</v>
      </c>
      <c r="AQ1645" s="934"/>
    </row>
    <row r="1646" spans="1:45" s="203" customFormat="1" ht="15" customHeight="1">
      <c r="A1646" s="1050"/>
      <c r="B1646" s="1137"/>
      <c r="C1646" s="1050"/>
      <c r="D1646" s="1050"/>
      <c r="E1646" s="1141"/>
      <c r="F1646" s="1141"/>
      <c r="G1646" s="1050"/>
      <c r="H1646" s="1050"/>
      <c r="I1646" s="1050"/>
      <c r="J1646" s="1050"/>
      <c r="K1646" s="1050"/>
      <c r="L1646" s="1050"/>
      <c r="M1646" s="1139"/>
      <c r="N1646" s="1057"/>
      <c r="O1646" s="1088"/>
      <c r="P1646" s="1088"/>
      <c r="Q1646" s="1088"/>
      <c r="R1646" s="1137"/>
      <c r="S1646" s="1107"/>
      <c r="T1646" s="1107"/>
      <c r="U1646" s="1107"/>
      <c r="V1646" s="1060"/>
      <c r="W1646" s="1107"/>
      <c r="X1646" s="1050"/>
      <c r="Y1646" s="197" t="s">
        <v>2216</v>
      </c>
      <c r="Z1646" s="198">
        <v>39514648.32</v>
      </c>
      <c r="AA1646" s="198">
        <v>-3723199</v>
      </c>
      <c r="AB1646" s="198">
        <f t="shared" si="132"/>
        <v>35791449.32</v>
      </c>
      <c r="AC1646" s="199">
        <v>42787</v>
      </c>
      <c r="AD1646" s="200">
        <v>35791449.32</v>
      </c>
      <c r="AE1646" s="201" t="s">
        <v>147</v>
      </c>
      <c r="AF1646" s="1060"/>
      <c r="AG1646" s="1060"/>
      <c r="AH1646" s="202">
        <f t="shared" si="133"/>
        <v>0</v>
      </c>
      <c r="AI1646" s="1060"/>
      <c r="AJ1646" s="1088"/>
      <c r="AK1646" s="1088"/>
      <c r="AL1646" s="1088"/>
      <c r="AM1646" s="1088"/>
      <c r="AN1646" s="1135"/>
      <c r="AO1646" s="1135"/>
      <c r="AP1646" s="61"/>
      <c r="AQ1646" s="934"/>
    </row>
    <row r="1647" spans="1:45" s="203" customFormat="1" ht="15" customHeight="1">
      <c r="A1647" s="1050"/>
      <c r="B1647" s="1137"/>
      <c r="C1647" s="1050"/>
      <c r="D1647" s="1050"/>
      <c r="E1647" s="1141"/>
      <c r="F1647" s="1141"/>
      <c r="G1647" s="1050"/>
      <c r="H1647" s="1050"/>
      <c r="I1647" s="1050"/>
      <c r="J1647" s="1050"/>
      <c r="K1647" s="1050"/>
      <c r="L1647" s="1050"/>
      <c r="M1647" s="1139"/>
      <c r="N1647" s="1057"/>
      <c r="O1647" s="1088"/>
      <c r="P1647" s="1088"/>
      <c r="Q1647" s="1088"/>
      <c r="R1647" s="1137"/>
      <c r="S1647" s="1107"/>
      <c r="T1647" s="1107"/>
      <c r="U1647" s="1107"/>
      <c r="V1647" s="1060"/>
      <c r="W1647" s="1107"/>
      <c r="X1647" s="1050"/>
      <c r="Y1647" s="197" t="s">
        <v>2206</v>
      </c>
      <c r="Z1647" s="198">
        <v>20645085.010000002</v>
      </c>
      <c r="AA1647" s="198">
        <v>-2454774.33</v>
      </c>
      <c r="AB1647" s="198">
        <f t="shared" si="132"/>
        <v>18190310.68</v>
      </c>
      <c r="AC1647" s="199">
        <v>42998</v>
      </c>
      <c r="AD1647" s="200">
        <v>18190310.68</v>
      </c>
      <c r="AE1647" s="201" t="s">
        <v>147</v>
      </c>
      <c r="AF1647" s="1060"/>
      <c r="AG1647" s="1060"/>
      <c r="AH1647" s="202">
        <f t="shared" si="133"/>
        <v>0</v>
      </c>
      <c r="AI1647" s="1060"/>
      <c r="AJ1647" s="1088"/>
      <c r="AK1647" s="1088"/>
      <c r="AL1647" s="1088"/>
      <c r="AM1647" s="1088"/>
      <c r="AN1647" s="1135"/>
      <c r="AO1647" s="1135"/>
      <c r="AP1647" s="61"/>
      <c r="AQ1647" s="934"/>
    </row>
    <row r="1648" spans="1:45" s="203" customFormat="1" ht="15" customHeight="1">
      <c r="A1648" s="1050"/>
      <c r="B1648" s="1137"/>
      <c r="C1648" s="1015" t="s">
        <v>28</v>
      </c>
      <c r="D1648" s="1050"/>
      <c r="E1648" s="1141"/>
      <c r="F1648" s="1141"/>
      <c r="G1648" s="1050"/>
      <c r="H1648" s="1050"/>
      <c r="I1648" s="1050"/>
      <c r="J1648" s="1050"/>
      <c r="K1648" s="1050"/>
      <c r="L1648" s="1050"/>
      <c r="M1648" s="1138">
        <v>4</v>
      </c>
      <c r="N1648" s="1056" t="s">
        <v>153</v>
      </c>
      <c r="O1648" s="1087">
        <v>60000000</v>
      </c>
      <c r="P1648" s="1087">
        <v>60000000</v>
      </c>
      <c r="Q1648" s="1088"/>
      <c r="R1648" s="1136">
        <v>42164</v>
      </c>
      <c r="S1648" s="1106">
        <f>T1648</f>
        <v>60000000</v>
      </c>
      <c r="T1648" s="1106">
        <v>60000000</v>
      </c>
      <c r="U1648" s="1106">
        <f>P1648-T1648</f>
        <v>0</v>
      </c>
      <c r="V1648" s="1106">
        <v>59979733.329999998</v>
      </c>
      <c r="W1648" s="1107"/>
      <c r="X1648" s="1050"/>
      <c r="Y1648" s="197" t="s">
        <v>2208</v>
      </c>
      <c r="Z1648" s="198">
        <v>0</v>
      </c>
      <c r="AA1648" s="198">
        <v>5997973.3300000001</v>
      </c>
      <c r="AB1648" s="198">
        <f t="shared" si="132"/>
        <v>5997973.3300000001</v>
      </c>
      <c r="AC1648" s="199">
        <v>42557</v>
      </c>
      <c r="AD1648" s="200">
        <v>5997973.3300000001</v>
      </c>
      <c r="AE1648" s="201" t="s">
        <v>153</v>
      </c>
      <c r="AF1648" s="1059">
        <f>SUM(AD1648:AD1650)</f>
        <v>59979733.329999998</v>
      </c>
      <c r="AG1648" s="1060"/>
      <c r="AH1648" s="202">
        <f t="shared" si="133"/>
        <v>0</v>
      </c>
      <c r="AI1648" s="1059">
        <f>P1648-AF1648</f>
        <v>20266.670000001788</v>
      </c>
      <c r="AJ1648" s="1088"/>
      <c r="AK1648" s="1062">
        <f>P1648-V1648</f>
        <v>20266.670000001788</v>
      </c>
      <c r="AL1648" s="1087">
        <f>V1648-SUM(Z1648:Z1650)</f>
        <v>0</v>
      </c>
      <c r="AM1648" s="1087">
        <f>AK1648+AL1648</f>
        <v>20266.670000001788</v>
      </c>
      <c r="AN1648" s="1135"/>
      <c r="AO1648" s="1135"/>
      <c r="AP1648" s="1087">
        <v>20266.670000001788</v>
      </c>
      <c r="AQ1648" s="1253">
        <v>43146</v>
      </c>
      <c r="AR1648" s="1119">
        <f>+AM1648</f>
        <v>20266.670000001788</v>
      </c>
      <c r="AS1648" s="1119" t="str">
        <f>+N1648</f>
        <v>Piamonte - SGP</v>
      </c>
    </row>
    <row r="1649" spans="1:45" s="203" customFormat="1" ht="15" customHeight="1">
      <c r="A1649" s="1050"/>
      <c r="B1649" s="1137"/>
      <c r="C1649" s="1050"/>
      <c r="D1649" s="1050"/>
      <c r="E1649" s="1141"/>
      <c r="F1649" s="1141"/>
      <c r="G1649" s="1050"/>
      <c r="H1649" s="1050"/>
      <c r="I1649" s="1050"/>
      <c r="J1649" s="1050"/>
      <c r="K1649" s="1050"/>
      <c r="L1649" s="1050"/>
      <c r="M1649" s="1139"/>
      <c r="N1649" s="1057"/>
      <c r="O1649" s="1088"/>
      <c r="P1649" s="1088"/>
      <c r="Q1649" s="1088"/>
      <c r="R1649" s="1137"/>
      <c r="S1649" s="1107"/>
      <c r="T1649" s="1107"/>
      <c r="U1649" s="1107"/>
      <c r="V1649" s="1107"/>
      <c r="W1649" s="1107"/>
      <c r="X1649" s="1050"/>
      <c r="Y1649" s="197" t="s">
        <v>2215</v>
      </c>
      <c r="Z1649" s="198">
        <v>323890.56</v>
      </c>
      <c r="AA1649" s="198">
        <v>0</v>
      </c>
      <c r="AB1649" s="198">
        <f t="shared" si="132"/>
        <v>323890.56</v>
      </c>
      <c r="AC1649" s="199">
        <v>42787</v>
      </c>
      <c r="AD1649" s="200">
        <v>323890.56</v>
      </c>
      <c r="AE1649" s="201" t="s">
        <v>153</v>
      </c>
      <c r="AF1649" s="1060"/>
      <c r="AG1649" s="1060"/>
      <c r="AH1649" s="202">
        <f t="shared" si="133"/>
        <v>0</v>
      </c>
      <c r="AI1649" s="1060"/>
      <c r="AJ1649" s="1088"/>
      <c r="AK1649" s="1063"/>
      <c r="AL1649" s="1088"/>
      <c r="AM1649" s="1088"/>
      <c r="AN1649" s="1135"/>
      <c r="AO1649" s="1135"/>
      <c r="AP1649" s="1088"/>
      <c r="AQ1649" s="1253"/>
      <c r="AR1649" s="1119"/>
      <c r="AS1649" s="1119"/>
    </row>
    <row r="1650" spans="1:45" s="203" customFormat="1" ht="15" customHeight="1">
      <c r="A1650" s="1050"/>
      <c r="B1650" s="1137"/>
      <c r="C1650" s="1050"/>
      <c r="D1650" s="1050"/>
      <c r="E1650" s="1141"/>
      <c r="F1650" s="1141"/>
      <c r="G1650" s="1050"/>
      <c r="H1650" s="1050"/>
      <c r="I1650" s="1050"/>
      <c r="J1650" s="1050"/>
      <c r="K1650" s="1050"/>
      <c r="L1650" s="1050"/>
      <c r="M1650" s="1139"/>
      <c r="N1650" s="1057"/>
      <c r="O1650" s="1088"/>
      <c r="P1650" s="1088"/>
      <c r="Q1650" s="1088"/>
      <c r="R1650" s="1137"/>
      <c r="S1650" s="1107"/>
      <c r="T1650" s="1107"/>
      <c r="U1650" s="1107"/>
      <c r="V1650" s="1107"/>
      <c r="W1650" s="1107"/>
      <c r="X1650" s="1050"/>
      <c r="Y1650" s="197" t="s">
        <v>2206</v>
      </c>
      <c r="Z1650" s="198">
        <v>59655842.770000003</v>
      </c>
      <c r="AA1650" s="198">
        <v>-5997973.3300000103</v>
      </c>
      <c r="AB1650" s="198">
        <f t="shared" si="132"/>
        <v>53657869.43999999</v>
      </c>
      <c r="AC1650" s="199">
        <v>42998</v>
      </c>
      <c r="AD1650" s="200">
        <v>53657869.439999998</v>
      </c>
      <c r="AE1650" s="201" t="s">
        <v>153</v>
      </c>
      <c r="AF1650" s="1060"/>
      <c r="AG1650" s="1060"/>
      <c r="AH1650" s="202">
        <f t="shared" si="133"/>
        <v>0</v>
      </c>
      <c r="AI1650" s="1060"/>
      <c r="AJ1650" s="1088"/>
      <c r="AK1650" s="1063"/>
      <c r="AL1650" s="1088"/>
      <c r="AM1650" s="1088"/>
      <c r="AN1650" s="1135"/>
      <c r="AO1650" s="1135"/>
      <c r="AP1650" s="1088"/>
      <c r="AQ1650" s="1253"/>
      <c r="AR1650" s="1119"/>
      <c r="AS1650" s="1119"/>
    </row>
    <row r="1651" spans="1:45" s="203" customFormat="1" ht="15" customHeight="1">
      <c r="A1651" s="1050"/>
      <c r="B1651" s="1137"/>
      <c r="C1651" s="1015" t="s">
        <v>15</v>
      </c>
      <c r="D1651" s="1050"/>
      <c r="E1651" s="1141"/>
      <c r="F1651" s="1141"/>
      <c r="G1651" s="1050"/>
      <c r="H1651" s="1050"/>
      <c r="I1651" s="1050"/>
      <c r="J1651" s="1050"/>
      <c r="K1651" s="1050"/>
      <c r="L1651" s="1050"/>
      <c r="M1651" s="1138">
        <v>6</v>
      </c>
      <c r="N1651" s="1056" t="s">
        <v>135</v>
      </c>
      <c r="O1651" s="1087">
        <v>60000000</v>
      </c>
      <c r="P1651" s="1087">
        <v>60000000</v>
      </c>
      <c r="Q1651" s="1088"/>
      <c r="R1651" s="1136">
        <v>42164</v>
      </c>
      <c r="S1651" s="1106">
        <f>T1651</f>
        <v>60000000</v>
      </c>
      <c r="T1651" s="1106">
        <v>60000000</v>
      </c>
      <c r="U1651" s="1106">
        <f>P1651-T1651</f>
        <v>0</v>
      </c>
      <c r="V1651" s="1059">
        <v>59979733.329999998</v>
      </c>
      <c r="W1651" s="1107"/>
      <c r="X1651" s="1050"/>
      <c r="Y1651" s="197" t="s">
        <v>2208</v>
      </c>
      <c r="Z1651" s="198">
        <v>0</v>
      </c>
      <c r="AA1651" s="198">
        <v>5997973.3300000001</v>
      </c>
      <c r="AB1651" s="198">
        <f t="shared" si="132"/>
        <v>5997973.3300000001</v>
      </c>
      <c r="AC1651" s="199">
        <v>42557</v>
      </c>
      <c r="AD1651" s="200">
        <v>5997973.3300000001</v>
      </c>
      <c r="AE1651" s="201" t="s">
        <v>135</v>
      </c>
      <c r="AF1651" s="1059">
        <f>SUM(AD1651:AD1653)</f>
        <v>59979733.329999998</v>
      </c>
      <c r="AG1651" s="1060"/>
      <c r="AH1651" s="202">
        <f t="shared" si="133"/>
        <v>0</v>
      </c>
      <c r="AI1651" s="1059">
        <f>P1651-AF1651</f>
        <v>20266.670000001788</v>
      </c>
      <c r="AJ1651" s="1088"/>
      <c r="AK1651" s="1087">
        <f>P1654-V1654</f>
        <v>20266.670000001788</v>
      </c>
      <c r="AL1651" s="1087">
        <f>V1651-SUM(Z1651:Z1653)</f>
        <v>0</v>
      </c>
      <c r="AM1651" s="1087">
        <f>AK1651+AL1651</f>
        <v>20266.670000001788</v>
      </c>
      <c r="AN1651" s="1135"/>
      <c r="AO1651" s="1135"/>
      <c r="AP1651" s="1087">
        <v>20266.670000001788</v>
      </c>
      <c r="AQ1651" s="1253">
        <v>43146</v>
      </c>
      <c r="AR1651" s="1119">
        <f>+AM1651</f>
        <v>20266.670000001788</v>
      </c>
      <c r="AS1651" s="1119" t="str">
        <f>+N1651</f>
        <v>Caloto - SGP</v>
      </c>
    </row>
    <row r="1652" spans="1:45" s="203" customFormat="1" ht="15" customHeight="1">
      <c r="A1652" s="1050"/>
      <c r="B1652" s="1137"/>
      <c r="C1652" s="1050"/>
      <c r="D1652" s="1050"/>
      <c r="E1652" s="1141"/>
      <c r="F1652" s="1141"/>
      <c r="G1652" s="1050"/>
      <c r="H1652" s="1050"/>
      <c r="I1652" s="1050"/>
      <c r="J1652" s="1050"/>
      <c r="K1652" s="1050"/>
      <c r="L1652" s="1050"/>
      <c r="M1652" s="1139"/>
      <c r="N1652" s="1057"/>
      <c r="O1652" s="1088"/>
      <c r="P1652" s="1088"/>
      <c r="Q1652" s="1088"/>
      <c r="R1652" s="1137"/>
      <c r="S1652" s="1107"/>
      <c r="T1652" s="1107"/>
      <c r="U1652" s="1107"/>
      <c r="V1652" s="1060"/>
      <c r="W1652" s="1107"/>
      <c r="X1652" s="1050"/>
      <c r="Y1652" s="197" t="s">
        <v>2214</v>
      </c>
      <c r="Z1652" s="198">
        <v>39514648.32</v>
      </c>
      <c r="AA1652" s="198">
        <v>-3723199</v>
      </c>
      <c r="AB1652" s="198">
        <f t="shared" si="132"/>
        <v>35791449.32</v>
      </c>
      <c r="AC1652" s="199">
        <v>42787</v>
      </c>
      <c r="AD1652" s="200">
        <v>35791449.32</v>
      </c>
      <c r="AE1652" s="201" t="s">
        <v>135</v>
      </c>
      <c r="AF1652" s="1060"/>
      <c r="AG1652" s="1060"/>
      <c r="AH1652" s="202">
        <f t="shared" si="133"/>
        <v>0</v>
      </c>
      <c r="AI1652" s="1060"/>
      <c r="AJ1652" s="1088"/>
      <c r="AK1652" s="1088"/>
      <c r="AL1652" s="1088"/>
      <c r="AM1652" s="1088"/>
      <c r="AN1652" s="1135"/>
      <c r="AO1652" s="1135"/>
      <c r="AP1652" s="1088"/>
      <c r="AQ1652" s="1253"/>
      <c r="AR1652" s="1119"/>
      <c r="AS1652" s="1119"/>
    </row>
    <row r="1653" spans="1:45" s="203" customFormat="1" ht="15" customHeight="1">
      <c r="A1653" s="1050"/>
      <c r="B1653" s="1137"/>
      <c r="C1653" s="1050"/>
      <c r="D1653" s="1050"/>
      <c r="E1653" s="1141"/>
      <c r="F1653" s="1141"/>
      <c r="G1653" s="1050"/>
      <c r="H1653" s="1050"/>
      <c r="I1653" s="1050"/>
      <c r="J1653" s="1050"/>
      <c r="K1653" s="1050"/>
      <c r="L1653" s="1050"/>
      <c r="M1653" s="1139"/>
      <c r="N1653" s="1057"/>
      <c r="O1653" s="1088"/>
      <c r="P1653" s="1088"/>
      <c r="Q1653" s="1088"/>
      <c r="R1653" s="1137"/>
      <c r="S1653" s="1107"/>
      <c r="T1653" s="1107"/>
      <c r="U1653" s="1107"/>
      <c r="V1653" s="1060"/>
      <c r="W1653" s="1107"/>
      <c r="X1653" s="1050"/>
      <c r="Y1653" s="197" t="s">
        <v>2206</v>
      </c>
      <c r="Z1653" s="198">
        <v>20465085.010000002</v>
      </c>
      <c r="AA1653" s="198">
        <v>-2274774.33</v>
      </c>
      <c r="AB1653" s="198">
        <f t="shared" ref="AB1653:AB1671" si="134">Z1653+AA1653</f>
        <v>18190310.68</v>
      </c>
      <c r="AC1653" s="199">
        <v>42998</v>
      </c>
      <c r="AD1653" s="200">
        <v>18190310.68</v>
      </c>
      <c r="AE1653" s="201" t="s">
        <v>135</v>
      </c>
      <c r="AF1653" s="1060"/>
      <c r="AG1653" s="1060"/>
      <c r="AH1653" s="202">
        <f t="shared" ref="AH1653:AH1671" si="135">AB1653-AD1653</f>
        <v>0</v>
      </c>
      <c r="AI1653" s="1060"/>
      <c r="AJ1653" s="1088"/>
      <c r="AK1653" s="1088"/>
      <c r="AL1653" s="1088"/>
      <c r="AM1653" s="1088"/>
      <c r="AN1653" s="1135"/>
      <c r="AO1653" s="1135"/>
      <c r="AP1653" s="1088"/>
      <c r="AQ1653" s="1253"/>
      <c r="AR1653" s="1119"/>
      <c r="AS1653" s="1119"/>
    </row>
    <row r="1654" spans="1:45" s="203" customFormat="1" ht="15" customHeight="1">
      <c r="A1654" s="1050"/>
      <c r="B1654" s="1137"/>
      <c r="C1654" s="1015" t="s">
        <v>9</v>
      </c>
      <c r="D1654" s="1050"/>
      <c r="E1654" s="1141"/>
      <c r="F1654" s="1141"/>
      <c r="G1654" s="1050"/>
      <c r="H1654" s="1050"/>
      <c r="I1654" s="1050"/>
      <c r="J1654" s="1050"/>
      <c r="K1654" s="1050"/>
      <c r="L1654" s="1050"/>
      <c r="M1654" s="1138">
        <v>18</v>
      </c>
      <c r="N1654" s="1056" t="s">
        <v>129</v>
      </c>
      <c r="O1654" s="1087">
        <v>60000000</v>
      </c>
      <c r="P1654" s="1087">
        <v>60000000</v>
      </c>
      <c r="Q1654" s="1088"/>
      <c r="R1654" s="1136">
        <v>42164</v>
      </c>
      <c r="S1654" s="1106">
        <f>T1654</f>
        <v>60000000</v>
      </c>
      <c r="T1654" s="1106">
        <v>60000000</v>
      </c>
      <c r="U1654" s="1106">
        <f>P1654-T1654</f>
        <v>0</v>
      </c>
      <c r="V1654" s="1106">
        <v>59979733.329999998</v>
      </c>
      <c r="W1654" s="1107"/>
      <c r="X1654" s="1050"/>
      <c r="Y1654" s="197" t="s">
        <v>2208</v>
      </c>
      <c r="Z1654" s="198">
        <v>0</v>
      </c>
      <c r="AA1654" s="198">
        <v>5997973.3300000001</v>
      </c>
      <c r="AB1654" s="198">
        <f t="shared" si="134"/>
        <v>5997973.3300000001</v>
      </c>
      <c r="AC1654" s="199">
        <v>42557</v>
      </c>
      <c r="AD1654" s="200">
        <v>5997973.3300000001</v>
      </c>
      <c r="AE1654" s="201" t="s">
        <v>129</v>
      </c>
      <c r="AF1654" s="1059">
        <f>SUM(AD1654:AD1656)</f>
        <v>59979733.329999998</v>
      </c>
      <c r="AG1654" s="1060"/>
      <c r="AH1654" s="202">
        <f t="shared" si="135"/>
        <v>0</v>
      </c>
      <c r="AI1654" s="1059">
        <f>P1654-AF1654</f>
        <v>20266.670000001788</v>
      </c>
      <c r="AJ1654" s="1088"/>
      <c r="AK1654" s="1087">
        <f>P1654-V1654</f>
        <v>20266.670000001788</v>
      </c>
      <c r="AL1654" s="1087">
        <f>V1654-SUM(Z1654:Z1656)</f>
        <v>0</v>
      </c>
      <c r="AM1654" s="1087">
        <f>AK1654+AL1654</f>
        <v>20266.670000001788</v>
      </c>
      <c r="AN1654" s="1135"/>
      <c r="AO1654" s="1135"/>
      <c r="AP1654" s="1087">
        <v>20266.670000001788</v>
      </c>
      <c r="AQ1654" s="1253">
        <v>43146</v>
      </c>
      <c r="AR1654" s="1119">
        <f>+AM1654</f>
        <v>20266.670000001788</v>
      </c>
      <c r="AS1654" s="1119" t="str">
        <f>+N1654</f>
        <v>Argelia - SGP</v>
      </c>
    </row>
    <row r="1655" spans="1:45" s="203" customFormat="1" ht="15" customHeight="1">
      <c r="A1655" s="1050"/>
      <c r="B1655" s="1137"/>
      <c r="C1655" s="1050"/>
      <c r="D1655" s="1050"/>
      <c r="E1655" s="1141"/>
      <c r="F1655" s="1141"/>
      <c r="G1655" s="1050"/>
      <c r="H1655" s="1050"/>
      <c r="I1655" s="1050"/>
      <c r="J1655" s="1050"/>
      <c r="K1655" s="1050"/>
      <c r="L1655" s="1050"/>
      <c r="M1655" s="1139"/>
      <c r="N1655" s="1057"/>
      <c r="O1655" s="1088"/>
      <c r="P1655" s="1088"/>
      <c r="Q1655" s="1088"/>
      <c r="R1655" s="1137"/>
      <c r="S1655" s="1107"/>
      <c r="T1655" s="1107"/>
      <c r="U1655" s="1107"/>
      <c r="V1655" s="1107"/>
      <c r="W1655" s="1107"/>
      <c r="X1655" s="1050"/>
      <c r="Y1655" s="197" t="s">
        <v>2213</v>
      </c>
      <c r="Z1655" s="198">
        <v>27962551.68</v>
      </c>
      <c r="AA1655" s="198">
        <v>-3723199</v>
      </c>
      <c r="AB1655" s="198">
        <f t="shared" si="134"/>
        <v>24239352.68</v>
      </c>
      <c r="AC1655" s="199">
        <v>42787</v>
      </c>
      <c r="AD1655" s="200">
        <v>24239352.68</v>
      </c>
      <c r="AE1655" s="201" t="s">
        <v>129</v>
      </c>
      <c r="AF1655" s="1060"/>
      <c r="AG1655" s="1060"/>
      <c r="AH1655" s="202">
        <f t="shared" si="135"/>
        <v>0</v>
      </c>
      <c r="AI1655" s="1060"/>
      <c r="AJ1655" s="1088"/>
      <c r="AK1655" s="1088"/>
      <c r="AL1655" s="1088"/>
      <c r="AM1655" s="1088"/>
      <c r="AN1655" s="1135"/>
      <c r="AO1655" s="1135"/>
      <c r="AP1655" s="1088"/>
      <c r="AQ1655" s="1253"/>
      <c r="AR1655" s="1119"/>
      <c r="AS1655" s="1119"/>
    </row>
    <row r="1656" spans="1:45" s="203" customFormat="1" ht="15" customHeight="1">
      <c r="A1656" s="1050"/>
      <c r="B1656" s="1137"/>
      <c r="C1656" s="1050"/>
      <c r="D1656" s="1050"/>
      <c r="E1656" s="1141"/>
      <c r="F1656" s="1141"/>
      <c r="G1656" s="1050"/>
      <c r="H1656" s="1050"/>
      <c r="I1656" s="1050"/>
      <c r="J1656" s="1050"/>
      <c r="K1656" s="1050"/>
      <c r="L1656" s="1050"/>
      <c r="M1656" s="1139"/>
      <c r="N1656" s="1057"/>
      <c r="O1656" s="1088"/>
      <c r="P1656" s="1088"/>
      <c r="Q1656" s="1088"/>
      <c r="R1656" s="1137"/>
      <c r="S1656" s="1107"/>
      <c r="T1656" s="1107"/>
      <c r="U1656" s="1107"/>
      <c r="V1656" s="1107"/>
      <c r="W1656" s="1107"/>
      <c r="X1656" s="1050"/>
      <c r="Y1656" s="197" t="s">
        <v>2206</v>
      </c>
      <c r="Z1656" s="198">
        <v>32017181.649999999</v>
      </c>
      <c r="AA1656" s="198">
        <v>-2274774.33</v>
      </c>
      <c r="AB1656" s="198">
        <f t="shared" si="134"/>
        <v>29742407.32</v>
      </c>
      <c r="AC1656" s="199">
        <v>42998</v>
      </c>
      <c r="AD1656" s="200">
        <v>29742407.32</v>
      </c>
      <c r="AE1656" s="201" t="s">
        <v>129</v>
      </c>
      <c r="AF1656" s="1060"/>
      <c r="AG1656" s="1060"/>
      <c r="AH1656" s="202">
        <f t="shared" si="135"/>
        <v>0</v>
      </c>
      <c r="AI1656" s="1060"/>
      <c r="AJ1656" s="1088"/>
      <c r="AK1656" s="1088"/>
      <c r="AL1656" s="1088"/>
      <c r="AM1656" s="1088"/>
      <c r="AN1656" s="1135"/>
      <c r="AO1656" s="1135"/>
      <c r="AP1656" s="1088"/>
      <c r="AQ1656" s="1253"/>
      <c r="AR1656" s="1119"/>
      <c r="AS1656" s="1119"/>
    </row>
    <row r="1657" spans="1:45" s="203" customFormat="1" ht="15" customHeight="1">
      <c r="A1657" s="1050"/>
      <c r="B1657" s="1137"/>
      <c r="C1657" s="1015" t="s">
        <v>43</v>
      </c>
      <c r="D1657" s="1050"/>
      <c r="E1657" s="1141"/>
      <c r="F1657" s="1141"/>
      <c r="G1657" s="1050"/>
      <c r="H1657" s="1050"/>
      <c r="I1657" s="1050"/>
      <c r="J1657" s="1050"/>
      <c r="K1657" s="1050"/>
      <c r="L1657" s="1050"/>
      <c r="M1657" s="1138">
        <v>10</v>
      </c>
      <c r="N1657" s="1056" t="s">
        <v>169</v>
      </c>
      <c r="O1657" s="1087">
        <v>60000000</v>
      </c>
      <c r="P1657" s="1087">
        <v>60000000</v>
      </c>
      <c r="Q1657" s="1088"/>
      <c r="R1657" s="1136">
        <v>42164</v>
      </c>
      <c r="S1657" s="1106">
        <f>T1657</f>
        <v>60000000</v>
      </c>
      <c r="T1657" s="1106">
        <v>60000000</v>
      </c>
      <c r="U1657" s="1106">
        <f>P1657-T1657</f>
        <v>0</v>
      </c>
      <c r="V1657" s="1059">
        <v>59979733.329999998</v>
      </c>
      <c r="W1657" s="1107"/>
      <c r="X1657" s="1050"/>
      <c r="Y1657" s="197" t="s">
        <v>2208</v>
      </c>
      <c r="Z1657" s="198">
        <v>0</v>
      </c>
      <c r="AA1657" s="198">
        <f>AD1657</f>
        <v>5997973.3300000001</v>
      </c>
      <c r="AB1657" s="198">
        <f t="shared" si="134"/>
        <v>5997973.3300000001</v>
      </c>
      <c r="AC1657" s="199">
        <v>42557</v>
      </c>
      <c r="AD1657" s="200">
        <v>5997973.3300000001</v>
      </c>
      <c r="AE1657" s="201" t="s">
        <v>169</v>
      </c>
      <c r="AF1657" s="1059">
        <f>SUM(AD1657:AD1659)</f>
        <v>59979733.329999998</v>
      </c>
      <c r="AG1657" s="1060"/>
      <c r="AH1657" s="202">
        <f t="shared" si="135"/>
        <v>0</v>
      </c>
      <c r="AI1657" s="1059">
        <f>P1657-AF1657</f>
        <v>20266.670000001788</v>
      </c>
      <c r="AJ1657" s="1088"/>
      <c r="AK1657" s="1087">
        <f>P1657-V1657</f>
        <v>20266.670000001788</v>
      </c>
      <c r="AL1657" s="1087">
        <f>V1657-SUM(Z1657:Z1659)</f>
        <v>0</v>
      </c>
      <c r="AM1657" s="1087">
        <f>AK1657+AL1657</f>
        <v>20266.670000001788</v>
      </c>
      <c r="AN1657" s="1135"/>
      <c r="AO1657" s="1135"/>
      <c r="AP1657" s="1087">
        <v>20266.670000001788</v>
      </c>
      <c r="AQ1657" s="1253">
        <v>43146</v>
      </c>
      <c r="AR1657" s="1119">
        <f>+AM1657</f>
        <v>20266.670000001788</v>
      </c>
      <c r="AS1657" s="1119" t="str">
        <f>+N1657</f>
        <v>Totoró - SGP</v>
      </c>
    </row>
    <row r="1658" spans="1:45" s="203" customFormat="1" ht="15" customHeight="1">
      <c r="A1658" s="1050"/>
      <c r="B1658" s="1137"/>
      <c r="C1658" s="1050"/>
      <c r="D1658" s="1050"/>
      <c r="E1658" s="1141"/>
      <c r="F1658" s="1141"/>
      <c r="G1658" s="1050"/>
      <c r="H1658" s="1050"/>
      <c r="I1658" s="1050"/>
      <c r="J1658" s="1050"/>
      <c r="K1658" s="1050"/>
      <c r="L1658" s="1050"/>
      <c r="M1658" s="1139"/>
      <c r="N1658" s="1057"/>
      <c r="O1658" s="1088"/>
      <c r="P1658" s="1088"/>
      <c r="Q1658" s="1088"/>
      <c r="R1658" s="1137"/>
      <c r="S1658" s="1107"/>
      <c r="T1658" s="1107"/>
      <c r="U1658" s="1107"/>
      <c r="V1658" s="1060"/>
      <c r="W1658" s="1107"/>
      <c r="X1658" s="1050"/>
      <c r="Y1658" s="197" t="s">
        <v>2212</v>
      </c>
      <c r="Z1658" s="198">
        <v>39514648.32</v>
      </c>
      <c r="AA1658" s="198">
        <v>-3723199</v>
      </c>
      <c r="AB1658" s="198">
        <f t="shared" si="134"/>
        <v>35791449.32</v>
      </c>
      <c r="AC1658" s="199">
        <v>42787</v>
      </c>
      <c r="AD1658" s="200">
        <v>35791449.32</v>
      </c>
      <c r="AE1658" s="201" t="s">
        <v>169</v>
      </c>
      <c r="AF1658" s="1060"/>
      <c r="AG1658" s="1060"/>
      <c r="AH1658" s="202">
        <f t="shared" si="135"/>
        <v>0</v>
      </c>
      <c r="AI1658" s="1060"/>
      <c r="AJ1658" s="1088"/>
      <c r="AK1658" s="1088"/>
      <c r="AL1658" s="1088"/>
      <c r="AM1658" s="1088"/>
      <c r="AN1658" s="1135"/>
      <c r="AO1658" s="1135"/>
      <c r="AP1658" s="1088"/>
      <c r="AQ1658" s="1253"/>
      <c r="AR1658" s="1119"/>
      <c r="AS1658" s="1119"/>
    </row>
    <row r="1659" spans="1:45" s="203" customFormat="1" ht="15" customHeight="1">
      <c r="A1659" s="1050"/>
      <c r="B1659" s="1137"/>
      <c r="C1659" s="1050"/>
      <c r="D1659" s="1050"/>
      <c r="E1659" s="1141"/>
      <c r="F1659" s="1141"/>
      <c r="G1659" s="1050"/>
      <c r="H1659" s="1050"/>
      <c r="I1659" s="1050"/>
      <c r="J1659" s="1050"/>
      <c r="K1659" s="1050"/>
      <c r="L1659" s="1050"/>
      <c r="M1659" s="1139"/>
      <c r="N1659" s="1057"/>
      <c r="O1659" s="1088"/>
      <c r="P1659" s="1088"/>
      <c r="Q1659" s="1088"/>
      <c r="R1659" s="1137"/>
      <c r="S1659" s="1107"/>
      <c r="T1659" s="1107"/>
      <c r="U1659" s="1107"/>
      <c r="V1659" s="1060"/>
      <c r="W1659" s="1107"/>
      <c r="X1659" s="1050"/>
      <c r="Y1659" s="197" t="s">
        <v>2206</v>
      </c>
      <c r="Z1659" s="198">
        <v>20465085.010000002</v>
      </c>
      <c r="AA1659" s="198">
        <v>-2274774.33</v>
      </c>
      <c r="AB1659" s="198">
        <f t="shared" si="134"/>
        <v>18190310.68</v>
      </c>
      <c r="AC1659" s="199">
        <v>42998</v>
      </c>
      <c r="AD1659" s="200">
        <v>18190310.68</v>
      </c>
      <c r="AE1659" s="201" t="s">
        <v>169</v>
      </c>
      <c r="AF1659" s="1060"/>
      <c r="AG1659" s="1060"/>
      <c r="AH1659" s="202">
        <f t="shared" si="135"/>
        <v>0</v>
      </c>
      <c r="AI1659" s="1060"/>
      <c r="AJ1659" s="1088"/>
      <c r="AK1659" s="1088"/>
      <c r="AL1659" s="1088"/>
      <c r="AM1659" s="1088"/>
      <c r="AN1659" s="1135"/>
      <c r="AO1659" s="1135"/>
      <c r="AP1659" s="1088"/>
      <c r="AQ1659" s="1253"/>
      <c r="AR1659" s="1119"/>
      <c r="AS1659" s="1119"/>
    </row>
    <row r="1660" spans="1:45" s="203" customFormat="1" ht="15" customHeight="1">
      <c r="A1660" s="1050"/>
      <c r="B1660" s="1137"/>
      <c r="C1660" s="1015" t="s">
        <v>22</v>
      </c>
      <c r="D1660" s="1050"/>
      <c r="E1660" s="1141"/>
      <c r="F1660" s="1141"/>
      <c r="G1660" s="1050"/>
      <c r="H1660" s="1050"/>
      <c r="I1660" s="1050"/>
      <c r="J1660" s="1050"/>
      <c r="K1660" s="1050"/>
      <c r="L1660" s="1050"/>
      <c r="M1660" s="1138">
        <v>9</v>
      </c>
      <c r="N1660" s="1056" t="s">
        <v>145</v>
      </c>
      <c r="O1660" s="1087">
        <v>60000000</v>
      </c>
      <c r="P1660" s="1087">
        <v>60000000</v>
      </c>
      <c r="Q1660" s="1088"/>
      <c r="R1660" s="1136">
        <v>42164</v>
      </c>
      <c r="S1660" s="1106">
        <f>T1660</f>
        <v>60000000</v>
      </c>
      <c r="T1660" s="1106">
        <v>60000000</v>
      </c>
      <c r="U1660" s="1106">
        <f>P1660-T1660</f>
        <v>0</v>
      </c>
      <c r="V1660" s="1106">
        <v>59979733.329999998</v>
      </c>
      <c r="W1660" s="1107"/>
      <c r="X1660" s="1050"/>
      <c r="Y1660" s="197" t="s">
        <v>2208</v>
      </c>
      <c r="Z1660" s="198">
        <v>0</v>
      </c>
      <c r="AA1660" s="198">
        <f>AD1660</f>
        <v>5997973.3300000001</v>
      </c>
      <c r="AB1660" s="198">
        <f t="shared" si="134"/>
        <v>5997973.3300000001</v>
      </c>
      <c r="AC1660" s="199">
        <v>42557</v>
      </c>
      <c r="AD1660" s="200">
        <v>5997973.3300000001</v>
      </c>
      <c r="AE1660" s="201" t="s">
        <v>145</v>
      </c>
      <c r="AF1660" s="1059">
        <f>SUM(AD1660:AD1662)</f>
        <v>59979733.329999998</v>
      </c>
      <c r="AG1660" s="1060"/>
      <c r="AH1660" s="202">
        <f t="shared" si="135"/>
        <v>0</v>
      </c>
      <c r="AI1660" s="1059">
        <f>P1660-AF1660</f>
        <v>20266.670000001788</v>
      </c>
      <c r="AJ1660" s="1088"/>
      <c r="AK1660" s="1087">
        <f>P1660-V1660</f>
        <v>20266.670000001788</v>
      </c>
      <c r="AL1660" s="1087">
        <f>V1660-SUM(Z1660:Z1662)</f>
        <v>0</v>
      </c>
      <c r="AM1660" s="1087">
        <f>AK1660+AL1660</f>
        <v>20266.670000001788</v>
      </c>
      <c r="AN1660" s="1135"/>
      <c r="AO1660" s="1135"/>
      <c r="AP1660" s="1087">
        <v>20266.670000001788</v>
      </c>
      <c r="AQ1660" s="1253">
        <v>43146</v>
      </c>
      <c r="AR1660" s="1119">
        <f t="shared" ref="AR1660" si="136">+AM1660</f>
        <v>20266.670000001788</v>
      </c>
      <c r="AS1660" s="1119" t="str">
        <f t="shared" ref="AS1660" si="137">+N1660</f>
        <v>La Vega - SGP</v>
      </c>
    </row>
    <row r="1661" spans="1:45" s="203" customFormat="1" ht="15" customHeight="1">
      <c r="A1661" s="1050"/>
      <c r="B1661" s="1137"/>
      <c r="C1661" s="1050"/>
      <c r="D1661" s="1050"/>
      <c r="E1661" s="1141"/>
      <c r="F1661" s="1141"/>
      <c r="G1661" s="1050"/>
      <c r="H1661" s="1050"/>
      <c r="I1661" s="1050"/>
      <c r="J1661" s="1050"/>
      <c r="K1661" s="1050"/>
      <c r="L1661" s="1050"/>
      <c r="M1661" s="1139"/>
      <c r="N1661" s="1057"/>
      <c r="O1661" s="1088"/>
      <c r="P1661" s="1088"/>
      <c r="Q1661" s="1088"/>
      <c r="R1661" s="1137"/>
      <c r="S1661" s="1107"/>
      <c r="T1661" s="1107"/>
      <c r="U1661" s="1107"/>
      <c r="V1661" s="1107"/>
      <c r="W1661" s="1107"/>
      <c r="X1661" s="1050"/>
      <c r="Y1661" s="197" t="s">
        <v>2211</v>
      </c>
      <c r="Z1661" s="198">
        <v>39514648.32</v>
      </c>
      <c r="AA1661" s="198">
        <v>-3723199</v>
      </c>
      <c r="AB1661" s="198">
        <f t="shared" si="134"/>
        <v>35791449.32</v>
      </c>
      <c r="AC1661" s="199">
        <v>42787</v>
      </c>
      <c r="AD1661" s="200">
        <v>35791449.32</v>
      </c>
      <c r="AE1661" s="201" t="s">
        <v>145</v>
      </c>
      <c r="AF1661" s="1060"/>
      <c r="AG1661" s="1060"/>
      <c r="AH1661" s="202">
        <f t="shared" si="135"/>
        <v>0</v>
      </c>
      <c r="AI1661" s="1060"/>
      <c r="AJ1661" s="1088"/>
      <c r="AK1661" s="1088"/>
      <c r="AL1661" s="1088"/>
      <c r="AM1661" s="1088"/>
      <c r="AN1661" s="1135"/>
      <c r="AO1661" s="1135"/>
      <c r="AP1661" s="1088"/>
      <c r="AQ1661" s="1253"/>
      <c r="AR1661" s="1119"/>
      <c r="AS1661" s="1119"/>
    </row>
    <row r="1662" spans="1:45" s="203" customFormat="1" ht="15" customHeight="1">
      <c r="A1662" s="1050"/>
      <c r="B1662" s="1137"/>
      <c r="C1662" s="1050"/>
      <c r="D1662" s="1050"/>
      <c r="E1662" s="1141"/>
      <c r="F1662" s="1141"/>
      <c r="G1662" s="1050"/>
      <c r="H1662" s="1050"/>
      <c r="I1662" s="1050"/>
      <c r="J1662" s="1050"/>
      <c r="K1662" s="1050"/>
      <c r="L1662" s="1050"/>
      <c r="M1662" s="1139"/>
      <c r="N1662" s="1057"/>
      <c r="O1662" s="1088"/>
      <c r="P1662" s="1088"/>
      <c r="Q1662" s="1088"/>
      <c r="R1662" s="1137"/>
      <c r="S1662" s="1107"/>
      <c r="T1662" s="1107"/>
      <c r="U1662" s="1107"/>
      <c r="V1662" s="1107"/>
      <c r="W1662" s="1107"/>
      <c r="X1662" s="1050"/>
      <c r="Y1662" s="197" t="s">
        <v>2206</v>
      </c>
      <c r="Z1662" s="198">
        <v>20465085.010000002</v>
      </c>
      <c r="AA1662" s="198">
        <v>-2274774.33</v>
      </c>
      <c r="AB1662" s="198">
        <f t="shared" si="134"/>
        <v>18190310.68</v>
      </c>
      <c r="AC1662" s="199">
        <v>42998</v>
      </c>
      <c r="AD1662" s="200">
        <v>18190310.68</v>
      </c>
      <c r="AE1662" s="201" t="s">
        <v>145</v>
      </c>
      <c r="AF1662" s="1060"/>
      <c r="AG1662" s="1060"/>
      <c r="AH1662" s="202">
        <f t="shared" si="135"/>
        <v>0</v>
      </c>
      <c r="AI1662" s="1060"/>
      <c r="AJ1662" s="1088"/>
      <c r="AK1662" s="1088"/>
      <c r="AL1662" s="1088"/>
      <c r="AM1662" s="1088"/>
      <c r="AN1662" s="1135"/>
      <c r="AO1662" s="1135"/>
      <c r="AP1662" s="1088"/>
      <c r="AQ1662" s="1253"/>
      <c r="AR1662" s="1119"/>
      <c r="AS1662" s="1119"/>
    </row>
    <row r="1663" spans="1:45" s="203" customFormat="1" ht="15" customHeight="1">
      <c r="A1663" s="1050"/>
      <c r="B1663" s="1137"/>
      <c r="C1663" s="1015" t="s">
        <v>19</v>
      </c>
      <c r="D1663" s="1050"/>
      <c r="E1663" s="1141"/>
      <c r="F1663" s="1141"/>
      <c r="G1663" s="1050"/>
      <c r="H1663" s="1050"/>
      <c r="I1663" s="1050"/>
      <c r="J1663" s="1050"/>
      <c r="K1663" s="1050"/>
      <c r="L1663" s="1050"/>
      <c r="M1663" s="1138">
        <v>8</v>
      </c>
      <c r="N1663" s="1056" t="s">
        <v>142</v>
      </c>
      <c r="O1663" s="1087">
        <v>60000000</v>
      </c>
      <c r="P1663" s="1087">
        <v>60000000</v>
      </c>
      <c r="Q1663" s="1088"/>
      <c r="R1663" s="1136">
        <v>42164</v>
      </c>
      <c r="S1663" s="1106">
        <f>T1663</f>
        <v>60000000</v>
      </c>
      <c r="T1663" s="1106">
        <v>60000000</v>
      </c>
      <c r="U1663" s="1106">
        <f>P1663-T1663</f>
        <v>0</v>
      </c>
      <c r="V1663" s="1106">
        <v>59979733.329999998</v>
      </c>
      <c r="W1663" s="1107"/>
      <c r="X1663" s="1050"/>
      <c r="Y1663" s="197" t="s">
        <v>2208</v>
      </c>
      <c r="Z1663" s="198">
        <v>0</v>
      </c>
      <c r="AA1663" s="198">
        <v>5997973.3300000001</v>
      </c>
      <c r="AB1663" s="198">
        <f t="shared" si="134"/>
        <v>5997973.3300000001</v>
      </c>
      <c r="AC1663" s="199">
        <v>42557</v>
      </c>
      <c r="AD1663" s="200">
        <v>5997973.3300000001</v>
      </c>
      <c r="AE1663" s="201" t="s">
        <v>142</v>
      </c>
      <c r="AF1663" s="1059">
        <f>SUM(AD1663:AD1665)</f>
        <v>59979733.329999998</v>
      </c>
      <c r="AG1663" s="1060"/>
      <c r="AH1663" s="202">
        <f t="shared" si="135"/>
        <v>0</v>
      </c>
      <c r="AI1663" s="1059">
        <f>P1663-AF1663</f>
        <v>20266.670000001788</v>
      </c>
      <c r="AJ1663" s="1088"/>
      <c r="AK1663" s="1087">
        <f>P1666-V1666</f>
        <v>20266.670000001788</v>
      </c>
      <c r="AL1663" s="1087">
        <f>V1663-SUM(Z1663:Z1665)</f>
        <v>0</v>
      </c>
      <c r="AM1663" s="1087">
        <f>AK1663+AL1663</f>
        <v>20266.670000001788</v>
      </c>
      <c r="AN1663" s="1135"/>
      <c r="AO1663" s="1135"/>
      <c r="AP1663" s="1087">
        <v>20266.670000001788</v>
      </c>
      <c r="AQ1663" s="1253">
        <v>43146</v>
      </c>
      <c r="AR1663" s="1119">
        <f t="shared" ref="AR1663" si="138">+AM1663</f>
        <v>20266.670000001788</v>
      </c>
      <c r="AS1663" s="1119" t="str">
        <f t="shared" ref="AS1663" si="139">+N1663</f>
        <v>Inzá - SGP</v>
      </c>
    </row>
    <row r="1664" spans="1:45" s="203" customFormat="1" ht="15" customHeight="1">
      <c r="A1664" s="1050"/>
      <c r="B1664" s="1137"/>
      <c r="C1664" s="1050"/>
      <c r="D1664" s="1050"/>
      <c r="E1664" s="1141"/>
      <c r="F1664" s="1141"/>
      <c r="G1664" s="1050"/>
      <c r="H1664" s="1050"/>
      <c r="I1664" s="1050"/>
      <c r="J1664" s="1050"/>
      <c r="K1664" s="1050"/>
      <c r="L1664" s="1050"/>
      <c r="M1664" s="1139"/>
      <c r="N1664" s="1057"/>
      <c r="O1664" s="1088"/>
      <c r="P1664" s="1088"/>
      <c r="Q1664" s="1088"/>
      <c r="R1664" s="1137"/>
      <c r="S1664" s="1107"/>
      <c r="T1664" s="1107"/>
      <c r="U1664" s="1107"/>
      <c r="V1664" s="1107"/>
      <c r="W1664" s="1107"/>
      <c r="X1664" s="1050"/>
      <c r="Y1664" s="197" t="s">
        <v>2210</v>
      </c>
      <c r="Z1664" s="198">
        <v>27962551.68</v>
      </c>
      <c r="AA1664" s="198">
        <v>-3723199</v>
      </c>
      <c r="AB1664" s="198">
        <f t="shared" si="134"/>
        <v>24239352.68</v>
      </c>
      <c r="AC1664" s="199">
        <v>42787</v>
      </c>
      <c r="AD1664" s="200">
        <v>24239352.68</v>
      </c>
      <c r="AE1664" s="201" t="s">
        <v>142</v>
      </c>
      <c r="AF1664" s="1060"/>
      <c r="AG1664" s="1060"/>
      <c r="AH1664" s="202">
        <f t="shared" si="135"/>
        <v>0</v>
      </c>
      <c r="AI1664" s="1060"/>
      <c r="AJ1664" s="1088"/>
      <c r="AK1664" s="1088"/>
      <c r="AL1664" s="1088"/>
      <c r="AM1664" s="1088"/>
      <c r="AN1664" s="1135"/>
      <c r="AO1664" s="1135"/>
      <c r="AP1664" s="1088"/>
      <c r="AQ1664" s="1253"/>
      <c r="AR1664" s="1119"/>
      <c r="AS1664" s="1119"/>
    </row>
    <row r="1665" spans="1:45" s="203" customFormat="1" ht="15" customHeight="1">
      <c r="A1665" s="1050"/>
      <c r="B1665" s="1137"/>
      <c r="C1665" s="1050"/>
      <c r="D1665" s="1050"/>
      <c r="E1665" s="1141"/>
      <c r="F1665" s="1141"/>
      <c r="G1665" s="1050"/>
      <c r="H1665" s="1050"/>
      <c r="I1665" s="1050"/>
      <c r="J1665" s="1050"/>
      <c r="K1665" s="1050"/>
      <c r="L1665" s="1050"/>
      <c r="M1665" s="1139"/>
      <c r="N1665" s="1057"/>
      <c r="O1665" s="1088"/>
      <c r="P1665" s="1088"/>
      <c r="Q1665" s="1088"/>
      <c r="R1665" s="1137"/>
      <c r="S1665" s="1107"/>
      <c r="T1665" s="1107"/>
      <c r="U1665" s="1107"/>
      <c r="V1665" s="1107"/>
      <c r="W1665" s="1107"/>
      <c r="X1665" s="1050"/>
      <c r="Y1665" s="197" t="s">
        <v>2206</v>
      </c>
      <c r="Z1665" s="198">
        <v>32017181.649999999</v>
      </c>
      <c r="AA1665" s="198">
        <v>-2274774.33</v>
      </c>
      <c r="AB1665" s="198">
        <f t="shared" si="134"/>
        <v>29742407.32</v>
      </c>
      <c r="AC1665" s="199">
        <v>42998</v>
      </c>
      <c r="AD1665" s="200">
        <v>29742407.32</v>
      </c>
      <c r="AE1665" s="201" t="s">
        <v>142</v>
      </c>
      <c r="AF1665" s="1060"/>
      <c r="AG1665" s="1060"/>
      <c r="AH1665" s="202">
        <f t="shared" si="135"/>
        <v>0</v>
      </c>
      <c r="AI1665" s="1060"/>
      <c r="AJ1665" s="1088"/>
      <c r="AK1665" s="1088"/>
      <c r="AL1665" s="1088"/>
      <c r="AM1665" s="1088"/>
      <c r="AN1665" s="1135"/>
      <c r="AO1665" s="1135"/>
      <c r="AP1665" s="1088"/>
      <c r="AQ1665" s="1253"/>
      <c r="AR1665" s="1119"/>
      <c r="AS1665" s="1119"/>
    </row>
    <row r="1666" spans="1:45" s="203" customFormat="1" ht="15" customHeight="1">
      <c r="A1666" s="1050"/>
      <c r="B1666" s="1137"/>
      <c r="C1666" s="1015" t="s">
        <v>47</v>
      </c>
      <c r="D1666" s="1050"/>
      <c r="E1666" s="1141"/>
      <c r="F1666" s="1141"/>
      <c r="G1666" s="1050"/>
      <c r="H1666" s="1050"/>
      <c r="I1666" s="1050"/>
      <c r="J1666" s="1050"/>
      <c r="K1666" s="1050"/>
      <c r="L1666" s="1050"/>
      <c r="M1666" s="1138">
        <v>7</v>
      </c>
      <c r="N1666" s="1056" t="s">
        <v>163</v>
      </c>
      <c r="O1666" s="1087">
        <v>60000000</v>
      </c>
      <c r="P1666" s="1087">
        <v>60000000</v>
      </c>
      <c r="Q1666" s="1088"/>
      <c r="R1666" s="1136">
        <v>42164</v>
      </c>
      <c r="S1666" s="1106">
        <f>T1666</f>
        <v>60000000</v>
      </c>
      <c r="T1666" s="1106">
        <v>60000000</v>
      </c>
      <c r="U1666" s="1106">
        <f>P1666-T1666</f>
        <v>0</v>
      </c>
      <c r="V1666" s="1106">
        <v>59979733.329999998</v>
      </c>
      <c r="W1666" s="1107"/>
      <c r="X1666" s="1050"/>
      <c r="Y1666" s="197" t="s">
        <v>2208</v>
      </c>
      <c r="Z1666" s="198">
        <v>0</v>
      </c>
      <c r="AA1666" s="198">
        <f>AD1666</f>
        <v>5997973.3300000001</v>
      </c>
      <c r="AB1666" s="198">
        <f t="shared" si="134"/>
        <v>5997973.3300000001</v>
      </c>
      <c r="AC1666" s="199">
        <v>42557</v>
      </c>
      <c r="AD1666" s="200">
        <v>5997973.3300000001</v>
      </c>
      <c r="AE1666" s="201" t="s">
        <v>163</v>
      </c>
      <c r="AF1666" s="1059">
        <f>SUM(AD1666:AD1668)</f>
        <v>59979733.329999998</v>
      </c>
      <c r="AG1666" s="1060"/>
      <c r="AH1666" s="202">
        <f t="shared" si="135"/>
        <v>0</v>
      </c>
      <c r="AI1666" s="1059">
        <f>P1666-AF1666</f>
        <v>20266.670000001788</v>
      </c>
      <c r="AJ1666" s="1088"/>
      <c r="AK1666" s="1087">
        <f>P1666-V1666</f>
        <v>20266.670000001788</v>
      </c>
      <c r="AL1666" s="1087">
        <f>V1666-SUM(Z1666:Z1668)</f>
        <v>0</v>
      </c>
      <c r="AM1666" s="1087">
        <f>AK1666+AL1666</f>
        <v>20266.670000001788</v>
      </c>
      <c r="AN1666" s="1135"/>
      <c r="AO1666" s="1135"/>
      <c r="AP1666" s="1087">
        <v>20266.670000001788</v>
      </c>
      <c r="AQ1666" s="1253">
        <v>43146</v>
      </c>
      <c r="AR1666" s="1119">
        <f t="shared" ref="AR1666" si="140">+AM1666</f>
        <v>20266.670000001788</v>
      </c>
      <c r="AS1666" s="1119" t="str">
        <f t="shared" ref="AS1666" si="141">+N1666</f>
        <v>Sotará - SGP</v>
      </c>
    </row>
    <row r="1667" spans="1:45" s="203" customFormat="1" ht="15" customHeight="1">
      <c r="A1667" s="1050"/>
      <c r="B1667" s="1137"/>
      <c r="C1667" s="1050"/>
      <c r="D1667" s="1050"/>
      <c r="E1667" s="1141"/>
      <c r="F1667" s="1141"/>
      <c r="G1667" s="1050"/>
      <c r="H1667" s="1050"/>
      <c r="I1667" s="1050"/>
      <c r="J1667" s="1050"/>
      <c r="K1667" s="1050"/>
      <c r="L1667" s="1050"/>
      <c r="M1667" s="1139"/>
      <c r="N1667" s="1057"/>
      <c r="O1667" s="1088"/>
      <c r="P1667" s="1088"/>
      <c r="Q1667" s="1088"/>
      <c r="R1667" s="1137"/>
      <c r="S1667" s="1107"/>
      <c r="T1667" s="1107"/>
      <c r="U1667" s="1107"/>
      <c r="V1667" s="1107"/>
      <c r="W1667" s="1107"/>
      <c r="X1667" s="1050"/>
      <c r="Y1667" s="197" t="s">
        <v>2209</v>
      </c>
      <c r="Z1667" s="198">
        <v>39514648.32</v>
      </c>
      <c r="AA1667" s="198">
        <v>-3723199</v>
      </c>
      <c r="AB1667" s="198">
        <f t="shared" si="134"/>
        <v>35791449.32</v>
      </c>
      <c r="AC1667" s="199">
        <v>42787</v>
      </c>
      <c r="AD1667" s="200">
        <v>35791449.32</v>
      </c>
      <c r="AE1667" s="201" t="s">
        <v>163</v>
      </c>
      <c r="AF1667" s="1060"/>
      <c r="AG1667" s="1060"/>
      <c r="AH1667" s="202">
        <f t="shared" si="135"/>
        <v>0</v>
      </c>
      <c r="AI1667" s="1060"/>
      <c r="AJ1667" s="1088"/>
      <c r="AK1667" s="1088"/>
      <c r="AL1667" s="1088"/>
      <c r="AM1667" s="1088"/>
      <c r="AN1667" s="1135"/>
      <c r="AO1667" s="1135"/>
      <c r="AP1667" s="1088"/>
      <c r="AQ1667" s="1253"/>
      <c r="AR1667" s="1119"/>
      <c r="AS1667" s="1119"/>
    </row>
    <row r="1668" spans="1:45" s="203" customFormat="1" ht="15" customHeight="1">
      <c r="A1668" s="1050"/>
      <c r="B1668" s="1137"/>
      <c r="C1668" s="1050"/>
      <c r="D1668" s="1050"/>
      <c r="E1668" s="1141"/>
      <c r="F1668" s="1141"/>
      <c r="G1668" s="1050"/>
      <c r="H1668" s="1050"/>
      <c r="I1668" s="1050"/>
      <c r="J1668" s="1050"/>
      <c r="K1668" s="1050"/>
      <c r="L1668" s="1050"/>
      <c r="M1668" s="1139"/>
      <c r="N1668" s="1057"/>
      <c r="O1668" s="1088"/>
      <c r="P1668" s="1088"/>
      <c r="Q1668" s="1088"/>
      <c r="R1668" s="1137"/>
      <c r="S1668" s="1107"/>
      <c r="T1668" s="1107"/>
      <c r="U1668" s="1107"/>
      <c r="V1668" s="1107"/>
      <c r="W1668" s="1107"/>
      <c r="X1668" s="1050"/>
      <c r="Y1668" s="197" t="s">
        <v>2206</v>
      </c>
      <c r="Z1668" s="198">
        <v>20465085.010000002</v>
      </c>
      <c r="AA1668" s="198">
        <v>-2274774.33</v>
      </c>
      <c r="AB1668" s="198">
        <f t="shared" si="134"/>
        <v>18190310.68</v>
      </c>
      <c r="AC1668" s="199">
        <v>42998</v>
      </c>
      <c r="AD1668" s="200">
        <v>18190310.68</v>
      </c>
      <c r="AE1668" s="201" t="s">
        <v>163</v>
      </c>
      <c r="AF1668" s="1060"/>
      <c r="AG1668" s="1060"/>
      <c r="AH1668" s="202">
        <f t="shared" si="135"/>
        <v>0</v>
      </c>
      <c r="AI1668" s="1060"/>
      <c r="AJ1668" s="1088"/>
      <c r="AK1668" s="1088"/>
      <c r="AL1668" s="1088"/>
      <c r="AM1668" s="1088"/>
      <c r="AN1668" s="1135"/>
      <c r="AO1668" s="1135"/>
      <c r="AP1668" s="1088"/>
      <c r="AQ1668" s="1253"/>
      <c r="AR1668" s="1119"/>
      <c r="AS1668" s="1119"/>
    </row>
    <row r="1669" spans="1:45" s="203" customFormat="1" ht="15" customHeight="1">
      <c r="A1669" s="1050"/>
      <c r="B1669" s="1137"/>
      <c r="C1669" s="1015" t="s">
        <v>44</v>
      </c>
      <c r="D1669" s="1050"/>
      <c r="E1669" s="1141"/>
      <c r="F1669" s="1141"/>
      <c r="G1669" s="1050"/>
      <c r="H1669" s="1050"/>
      <c r="I1669" s="1050"/>
      <c r="J1669" s="1050"/>
      <c r="K1669" s="1050"/>
      <c r="L1669" s="1050"/>
      <c r="M1669" s="1138">
        <v>7</v>
      </c>
      <c r="N1669" s="1056" t="s">
        <v>141</v>
      </c>
      <c r="O1669" s="1087">
        <v>60000000</v>
      </c>
      <c r="P1669" s="1087">
        <v>60000000</v>
      </c>
      <c r="Q1669" s="1088"/>
      <c r="R1669" s="1136">
        <v>42171</v>
      </c>
      <c r="S1669" s="1106">
        <f>T1669</f>
        <v>60000000</v>
      </c>
      <c r="T1669" s="1106">
        <v>60000000</v>
      </c>
      <c r="U1669" s="1106">
        <f>P1669-T1669</f>
        <v>0</v>
      </c>
      <c r="V1669" s="1106">
        <v>59979733.329999998</v>
      </c>
      <c r="W1669" s="1107"/>
      <c r="X1669" s="1050"/>
      <c r="Y1669" s="197" t="s">
        <v>2208</v>
      </c>
      <c r="Z1669" s="198">
        <v>0</v>
      </c>
      <c r="AA1669" s="198">
        <f>AD1669</f>
        <v>5997973.3300000001</v>
      </c>
      <c r="AB1669" s="198">
        <f t="shared" si="134"/>
        <v>5997973.3300000001</v>
      </c>
      <c r="AC1669" s="199">
        <v>42557</v>
      </c>
      <c r="AD1669" s="200">
        <v>5997973.3300000001</v>
      </c>
      <c r="AE1669" s="201" t="s">
        <v>141</v>
      </c>
      <c r="AF1669" s="1059">
        <f>SUM(AD1669:AD1671)</f>
        <v>59979733.329999998</v>
      </c>
      <c r="AG1669" s="1060"/>
      <c r="AH1669" s="202">
        <f t="shared" si="135"/>
        <v>0</v>
      </c>
      <c r="AI1669" s="1059">
        <f>P1669-AF1669</f>
        <v>20266.670000001788</v>
      </c>
      <c r="AJ1669" s="1088"/>
      <c r="AK1669" s="1087">
        <f>P1669-V1669</f>
        <v>20266.670000001788</v>
      </c>
      <c r="AL1669" s="1087">
        <f>V1669-SUM(Z1669:Z1671)</f>
        <v>0</v>
      </c>
      <c r="AM1669" s="1087">
        <f>AK1669+AL1669</f>
        <v>20266.670000001788</v>
      </c>
      <c r="AN1669" s="1135"/>
      <c r="AO1669" s="1135"/>
      <c r="AP1669" s="1087">
        <v>20266.670000001788</v>
      </c>
      <c r="AQ1669" s="1253">
        <v>43146</v>
      </c>
      <c r="AR1669" s="1119">
        <f t="shared" ref="AR1669" si="142">+AM1669</f>
        <v>20266.670000001788</v>
      </c>
      <c r="AS1669" s="1119" t="str">
        <f t="shared" ref="AS1669" si="143">+N1669</f>
        <v>Guapi - SGP</v>
      </c>
    </row>
    <row r="1670" spans="1:45" s="203" customFormat="1" ht="15" customHeight="1">
      <c r="A1670" s="1050"/>
      <c r="B1670" s="1137"/>
      <c r="C1670" s="1050"/>
      <c r="D1670" s="1050"/>
      <c r="E1670" s="1141"/>
      <c r="F1670" s="1141"/>
      <c r="G1670" s="1050"/>
      <c r="H1670" s="1050"/>
      <c r="I1670" s="1050"/>
      <c r="J1670" s="1050"/>
      <c r="K1670" s="1050"/>
      <c r="L1670" s="1050"/>
      <c r="M1670" s="1139"/>
      <c r="N1670" s="1057"/>
      <c r="O1670" s="1088"/>
      <c r="P1670" s="1088"/>
      <c r="Q1670" s="1088"/>
      <c r="R1670" s="1137"/>
      <c r="S1670" s="1107"/>
      <c r="T1670" s="1107"/>
      <c r="U1670" s="1107"/>
      <c r="V1670" s="1107"/>
      <c r="W1670" s="1107"/>
      <c r="X1670" s="1050"/>
      <c r="Y1670" s="197" t="s">
        <v>2207</v>
      </c>
      <c r="Z1670" s="198">
        <v>39514648.32</v>
      </c>
      <c r="AA1670" s="198">
        <v>-3723199</v>
      </c>
      <c r="AB1670" s="198">
        <f t="shared" si="134"/>
        <v>35791449.32</v>
      </c>
      <c r="AC1670" s="199">
        <v>42787</v>
      </c>
      <c r="AD1670" s="200">
        <v>35791449.32</v>
      </c>
      <c r="AE1670" s="201" t="s">
        <v>141</v>
      </c>
      <c r="AF1670" s="1060"/>
      <c r="AG1670" s="1060"/>
      <c r="AH1670" s="202">
        <f t="shared" si="135"/>
        <v>0</v>
      </c>
      <c r="AI1670" s="1060"/>
      <c r="AJ1670" s="1088"/>
      <c r="AK1670" s="1088"/>
      <c r="AL1670" s="1088"/>
      <c r="AM1670" s="1088"/>
      <c r="AN1670" s="1135"/>
      <c r="AO1670" s="1135"/>
      <c r="AP1670" s="1088"/>
      <c r="AQ1670" s="1253"/>
      <c r="AR1670" s="1119"/>
      <c r="AS1670" s="1119"/>
    </row>
    <row r="1671" spans="1:45" s="203" customFormat="1" ht="15" customHeight="1">
      <c r="A1671" s="1050"/>
      <c r="B1671" s="1137"/>
      <c r="C1671" s="1050"/>
      <c r="D1671" s="1050"/>
      <c r="E1671" s="1141"/>
      <c r="F1671" s="1141"/>
      <c r="G1671" s="1050"/>
      <c r="H1671" s="1050"/>
      <c r="I1671" s="1050"/>
      <c r="J1671" s="1050"/>
      <c r="K1671" s="1050"/>
      <c r="L1671" s="1050"/>
      <c r="M1671" s="1139"/>
      <c r="N1671" s="1057"/>
      <c r="O1671" s="1088"/>
      <c r="P1671" s="1088"/>
      <c r="Q1671" s="1088"/>
      <c r="R1671" s="1137"/>
      <c r="S1671" s="1107"/>
      <c r="T1671" s="1107"/>
      <c r="U1671" s="1107"/>
      <c r="V1671" s="1107"/>
      <c r="W1671" s="1107"/>
      <c r="X1671" s="1050"/>
      <c r="Y1671" s="197" t="s">
        <v>2206</v>
      </c>
      <c r="Z1671" s="198">
        <v>20465085.010000002</v>
      </c>
      <c r="AA1671" s="198">
        <v>-2274774.33</v>
      </c>
      <c r="AB1671" s="198">
        <f t="shared" si="134"/>
        <v>18190310.68</v>
      </c>
      <c r="AC1671" s="199">
        <v>42998</v>
      </c>
      <c r="AD1671" s="200">
        <v>18190310.68</v>
      </c>
      <c r="AE1671" s="201" t="s">
        <v>141</v>
      </c>
      <c r="AF1671" s="1060"/>
      <c r="AG1671" s="1061"/>
      <c r="AH1671" s="202">
        <f t="shared" si="135"/>
        <v>0</v>
      </c>
      <c r="AI1671" s="1060"/>
      <c r="AJ1671" s="1088"/>
      <c r="AK1671" s="1088"/>
      <c r="AL1671" s="1088"/>
      <c r="AM1671" s="1088"/>
      <c r="AN1671" s="1135"/>
      <c r="AO1671" s="1135"/>
      <c r="AP1671" s="1088"/>
      <c r="AQ1671" s="1253"/>
      <c r="AR1671" s="1119"/>
      <c r="AS1671" s="1119"/>
    </row>
    <row r="1672" spans="1:45" s="4" customFormat="1" ht="15" customHeight="1">
      <c r="A1672" s="1004" t="s">
        <v>2102</v>
      </c>
      <c r="B1672" s="97">
        <v>42425</v>
      </c>
      <c r="C1672" s="113" t="s">
        <v>35</v>
      </c>
      <c r="D1672" s="113" t="s">
        <v>2101</v>
      </c>
      <c r="E1672" s="120">
        <v>34545066</v>
      </c>
      <c r="F1672" s="120">
        <v>9</v>
      </c>
      <c r="G1672" s="113" t="s">
        <v>2100</v>
      </c>
      <c r="H1672" s="113" t="s">
        <v>71</v>
      </c>
      <c r="I1672" s="113" t="s">
        <v>70</v>
      </c>
      <c r="J1672" s="113" t="s">
        <v>66</v>
      </c>
      <c r="K1672" s="113" t="s">
        <v>183</v>
      </c>
      <c r="L1672" s="113" t="s">
        <v>2099</v>
      </c>
      <c r="M1672" s="102">
        <v>5</v>
      </c>
      <c r="N1672" s="94" t="s">
        <v>160</v>
      </c>
      <c r="O1672" s="117">
        <v>13430631</v>
      </c>
      <c r="P1672" s="117">
        <f>O1672</f>
        <v>13430631</v>
      </c>
      <c r="Q1672" s="117">
        <f>O1672</f>
        <v>13430631</v>
      </c>
      <c r="R1672" s="149">
        <v>42151</v>
      </c>
      <c r="S1672" s="116"/>
      <c r="T1672" s="117"/>
      <c r="U1672" s="117"/>
      <c r="V1672" s="117">
        <v>13000000</v>
      </c>
      <c r="W1672" s="117"/>
      <c r="X1672" s="113"/>
      <c r="Y1672" s="108" t="s">
        <v>2098</v>
      </c>
      <c r="Z1672" s="103">
        <v>13000000</v>
      </c>
      <c r="AA1672" s="103"/>
      <c r="AB1672" s="103">
        <f>Z1672</f>
        <v>13000000</v>
      </c>
      <c r="AC1672" s="97">
        <v>43011</v>
      </c>
      <c r="AD1672" s="83">
        <v>13000000</v>
      </c>
      <c r="AE1672" s="94" t="s">
        <v>160</v>
      </c>
      <c r="AF1672" s="96">
        <f>AD1672</f>
        <v>13000000</v>
      </c>
      <c r="AG1672" s="96">
        <f>AF1672</f>
        <v>13000000</v>
      </c>
      <c r="AH1672" s="96">
        <v>0</v>
      </c>
      <c r="AI1672" s="96">
        <v>0</v>
      </c>
      <c r="AJ1672" s="103">
        <v>0</v>
      </c>
      <c r="AK1672" s="103">
        <f>Q1672-V1672</f>
        <v>430631</v>
      </c>
      <c r="AL1672" s="103">
        <v>0</v>
      </c>
      <c r="AM1672" s="103">
        <f>AK1672+AL1672</f>
        <v>430631</v>
      </c>
      <c r="AN1672" s="112"/>
      <c r="AO1672" s="105" t="s">
        <v>2097</v>
      </c>
      <c r="AP1672" s="205">
        <f>SUM(AP1621:AP1671)</f>
        <v>28651242.240000024</v>
      </c>
      <c r="AQ1672" s="934"/>
    </row>
    <row r="1673" spans="1:45" ht="15" customHeight="1">
      <c r="A1673" s="1030" t="s">
        <v>2235</v>
      </c>
      <c r="B1673" s="1068">
        <v>42430</v>
      </c>
      <c r="C1673" s="1011" t="s">
        <v>30</v>
      </c>
      <c r="D1673" s="1011" t="s">
        <v>2234</v>
      </c>
      <c r="E1673" s="1071">
        <v>900941634</v>
      </c>
      <c r="F1673" s="1071">
        <v>1</v>
      </c>
      <c r="G1673" s="1011" t="s">
        <v>2233</v>
      </c>
      <c r="H1673" s="1011" t="s">
        <v>70</v>
      </c>
      <c r="I1673" s="1011" t="s">
        <v>206</v>
      </c>
      <c r="J1673" s="1011" t="s">
        <v>66</v>
      </c>
      <c r="K1673" s="1011" t="s">
        <v>48</v>
      </c>
      <c r="L1673" s="1011" t="s">
        <v>2232</v>
      </c>
      <c r="M1673" s="1009">
        <v>7</v>
      </c>
      <c r="N1673" s="1065" t="s">
        <v>156</v>
      </c>
      <c r="O1673" s="1062">
        <v>259972142</v>
      </c>
      <c r="P1673" s="1062">
        <v>259972142</v>
      </c>
      <c r="Q1673" s="1062">
        <v>259972142</v>
      </c>
      <c r="R1673" s="1068">
        <v>42256</v>
      </c>
      <c r="S1673" s="1092">
        <f>T1673</f>
        <v>259972142</v>
      </c>
      <c r="T1673" s="1092">
        <v>259972142</v>
      </c>
      <c r="U1673" s="1092">
        <f>P1673-T1673</f>
        <v>0</v>
      </c>
      <c r="V1673" s="1092">
        <v>259611480</v>
      </c>
      <c r="W1673" s="1092">
        <v>259611480</v>
      </c>
      <c r="X1673" s="1011" t="s">
        <v>2231</v>
      </c>
      <c r="Y1673" s="108" t="s">
        <v>2230</v>
      </c>
      <c r="Z1673" s="109">
        <v>0</v>
      </c>
      <c r="AA1673" s="109">
        <v>25961148</v>
      </c>
      <c r="AB1673" s="109">
        <f t="shared" ref="AB1673:AB1678" si="144">Z1673+AA1673</f>
        <v>25961148</v>
      </c>
      <c r="AC1673" s="97">
        <v>42922</v>
      </c>
      <c r="AD1673" s="119">
        <v>25961148</v>
      </c>
      <c r="AE1673" s="98" t="s">
        <v>156</v>
      </c>
      <c r="AF1673" s="1043">
        <f>SUM(AD1673:AD1676)</f>
        <v>210544910</v>
      </c>
      <c r="AG1673" s="1043"/>
      <c r="AH1673" s="111">
        <f t="shared" ref="AH1673:AH1689" si="145">AB1673-AD1673</f>
        <v>0</v>
      </c>
      <c r="AI1673" s="1043">
        <f>P1673-AF1673</f>
        <v>49427232</v>
      </c>
      <c r="AJ1673" s="1062">
        <f>SUM(Z1673:Z1676)-SUM(AD1673:AD1676)</f>
        <v>-5451841</v>
      </c>
      <c r="AK1673" s="1062">
        <f>P1673-V1673</f>
        <v>360662</v>
      </c>
      <c r="AL1673" s="1062">
        <f>V1673-SUM(Z1673:Z1676)</f>
        <v>54518411</v>
      </c>
      <c r="AM1673" s="1062"/>
      <c r="AN1673" s="1103"/>
      <c r="AO1673" s="1103" t="s">
        <v>2003</v>
      </c>
    </row>
    <row r="1674" spans="1:45" ht="15" customHeight="1">
      <c r="A1674" s="1031"/>
      <c r="B1674" s="1069"/>
      <c r="C1674" s="1033"/>
      <c r="D1674" s="1033"/>
      <c r="E1674" s="1072"/>
      <c r="F1674" s="1072"/>
      <c r="G1674" s="1033"/>
      <c r="H1674" s="1033"/>
      <c r="I1674" s="1033"/>
      <c r="J1674" s="1033"/>
      <c r="K1674" s="1033"/>
      <c r="L1674" s="1033"/>
      <c r="M1674" s="1039"/>
      <c r="N1674" s="1066"/>
      <c r="O1674" s="1063"/>
      <c r="P1674" s="1063"/>
      <c r="Q1674" s="1063"/>
      <c r="R1674" s="1069"/>
      <c r="S1674" s="1093"/>
      <c r="T1674" s="1093"/>
      <c r="U1674" s="1093"/>
      <c r="V1674" s="1093"/>
      <c r="W1674" s="1093"/>
      <c r="X1674" s="1033"/>
      <c r="Y1674" s="108" t="s">
        <v>2229</v>
      </c>
      <c r="Z1674" s="109">
        <v>150574658</v>
      </c>
      <c r="AA1674" s="109">
        <v>-15057466</v>
      </c>
      <c r="AB1674" s="109">
        <f t="shared" si="144"/>
        <v>135517192</v>
      </c>
      <c r="AC1674" s="97">
        <v>43074</v>
      </c>
      <c r="AD1674" s="119">
        <v>135517192</v>
      </c>
      <c r="AE1674" s="98" t="s">
        <v>156</v>
      </c>
      <c r="AF1674" s="1044"/>
      <c r="AG1674" s="1044"/>
      <c r="AH1674" s="111">
        <f t="shared" si="145"/>
        <v>0</v>
      </c>
      <c r="AI1674" s="1044"/>
      <c r="AJ1674" s="1063"/>
      <c r="AK1674" s="1063"/>
      <c r="AL1674" s="1063"/>
      <c r="AM1674" s="1063"/>
      <c r="AN1674" s="1104"/>
      <c r="AO1674" s="1104"/>
    </row>
    <row r="1675" spans="1:45" ht="15" customHeight="1">
      <c r="A1675" s="1031"/>
      <c r="B1675" s="1069"/>
      <c r="C1675" s="1033"/>
      <c r="D1675" s="1033"/>
      <c r="E1675" s="1072"/>
      <c r="F1675" s="1072"/>
      <c r="G1675" s="1033"/>
      <c r="H1675" s="1033"/>
      <c r="I1675" s="1033"/>
      <c r="J1675" s="1033"/>
      <c r="K1675" s="1033"/>
      <c r="L1675" s="1033"/>
      <c r="M1675" s="1039"/>
      <c r="N1675" s="1066"/>
      <c r="O1675" s="1063"/>
      <c r="P1675" s="1063"/>
      <c r="Q1675" s="1063"/>
      <c r="R1675" s="1069"/>
      <c r="S1675" s="1093"/>
      <c r="T1675" s="1093"/>
      <c r="U1675" s="1093"/>
      <c r="V1675" s="1093"/>
      <c r="W1675" s="1093"/>
      <c r="X1675" s="1033"/>
      <c r="Y1675" s="728" t="s">
        <v>2743</v>
      </c>
      <c r="Z1675" s="751">
        <v>54518411</v>
      </c>
      <c r="AA1675" s="751">
        <v>-5451841</v>
      </c>
      <c r="AB1675" s="751">
        <v>49066570</v>
      </c>
      <c r="AC1675" s="740">
        <v>43243</v>
      </c>
      <c r="AD1675" s="763">
        <f>+AB1675</f>
        <v>49066570</v>
      </c>
      <c r="AE1675" s="733" t="s">
        <v>156</v>
      </c>
      <c r="AF1675" s="1044"/>
      <c r="AG1675" s="1044"/>
      <c r="AH1675" s="734"/>
      <c r="AI1675" s="1044"/>
      <c r="AJ1675" s="1063"/>
      <c r="AK1675" s="1063"/>
      <c r="AL1675" s="1063"/>
      <c r="AM1675" s="1063"/>
      <c r="AN1675" s="1104"/>
      <c r="AO1675" s="1104"/>
    </row>
    <row r="1676" spans="1:45" ht="15" customHeight="1">
      <c r="A1676" s="1032"/>
      <c r="B1676" s="1070"/>
      <c r="C1676" s="1012"/>
      <c r="D1676" s="1012"/>
      <c r="E1676" s="1073"/>
      <c r="F1676" s="1073"/>
      <c r="G1676" s="1012"/>
      <c r="H1676" s="1012"/>
      <c r="I1676" s="1012"/>
      <c r="J1676" s="1012"/>
      <c r="K1676" s="1012"/>
      <c r="L1676" s="1012"/>
      <c r="M1676" s="1010"/>
      <c r="N1676" s="1067"/>
      <c r="O1676" s="1064"/>
      <c r="P1676" s="1064"/>
      <c r="Q1676" s="1064"/>
      <c r="R1676" s="1070"/>
      <c r="S1676" s="1094"/>
      <c r="T1676" s="1094"/>
      <c r="U1676" s="1094"/>
      <c r="V1676" s="1094"/>
      <c r="W1676" s="1094"/>
      <c r="X1676" s="1012"/>
      <c r="Y1676" s="108"/>
      <c r="Z1676" s="109"/>
      <c r="AA1676" s="109"/>
      <c r="AB1676" s="109">
        <f t="shared" si="144"/>
        <v>0</v>
      </c>
      <c r="AC1676" s="97"/>
      <c r="AD1676" s="119"/>
      <c r="AE1676" s="98"/>
      <c r="AF1676" s="1045"/>
      <c r="AG1676" s="1045"/>
      <c r="AH1676" s="111">
        <f t="shared" si="145"/>
        <v>0</v>
      </c>
      <c r="AI1676" s="1045"/>
      <c r="AJ1676" s="1064"/>
      <c r="AK1676" s="1064"/>
      <c r="AL1676" s="1064"/>
      <c r="AM1676" s="1064"/>
      <c r="AN1676" s="1105"/>
      <c r="AO1676" s="1105"/>
    </row>
    <row r="1677" spans="1:45" ht="15" customHeight="1">
      <c r="A1677" s="1030" t="s">
        <v>2251</v>
      </c>
      <c r="B1677" s="1068">
        <v>42639</v>
      </c>
      <c r="C1677" s="1011" t="s">
        <v>24</v>
      </c>
      <c r="D1677" s="1011" t="s">
        <v>2250</v>
      </c>
      <c r="E1677" s="1071">
        <v>900804023</v>
      </c>
      <c r="F1677" s="1071">
        <v>5</v>
      </c>
      <c r="G1677" s="1011" t="s">
        <v>2249</v>
      </c>
      <c r="H1677" s="1011" t="s">
        <v>71</v>
      </c>
      <c r="I1677" s="1011" t="s">
        <v>1235</v>
      </c>
      <c r="J1677" s="1011" t="s">
        <v>66</v>
      </c>
      <c r="K1677" s="1011" t="s">
        <v>50</v>
      </c>
      <c r="L1677" s="1011" t="s">
        <v>2248</v>
      </c>
      <c r="M1677" s="1009">
        <v>337</v>
      </c>
      <c r="N1677" s="1065" t="s">
        <v>7</v>
      </c>
      <c r="O1677" s="1062">
        <v>196348841</v>
      </c>
      <c r="P1677" s="1062">
        <v>196348841</v>
      </c>
      <c r="Q1677" s="1062">
        <v>196348841</v>
      </c>
      <c r="R1677" s="1068">
        <v>42534</v>
      </c>
      <c r="S1677" s="1092">
        <f>T1677</f>
        <v>196348841</v>
      </c>
      <c r="T1677" s="1092">
        <v>196348841</v>
      </c>
      <c r="U1677" s="1092">
        <f>O1677-T1677</f>
        <v>0</v>
      </c>
      <c r="V1677" s="1043">
        <v>193401134</v>
      </c>
      <c r="W1677" s="1043">
        <v>193401134</v>
      </c>
      <c r="X1677" s="1011" t="s">
        <v>2247</v>
      </c>
      <c r="Y1677" s="108" t="s">
        <v>2246</v>
      </c>
      <c r="Z1677" s="109">
        <v>0</v>
      </c>
      <c r="AA1677" s="109">
        <v>96700567</v>
      </c>
      <c r="AB1677" s="109">
        <f t="shared" si="144"/>
        <v>96700567</v>
      </c>
      <c r="AC1677" s="97">
        <v>43007</v>
      </c>
      <c r="AD1677" s="119">
        <v>96700567</v>
      </c>
      <c r="AE1677" s="98" t="s">
        <v>7</v>
      </c>
      <c r="AF1677" s="1043">
        <f>SUM(AD1677:AD1679)</f>
        <v>193401134</v>
      </c>
      <c r="AG1677" s="1043">
        <f>AF1677</f>
        <v>193401134</v>
      </c>
      <c r="AH1677" s="111">
        <f t="shared" si="145"/>
        <v>0</v>
      </c>
      <c r="AI1677" s="1043">
        <f>P1677-SUM(AD1677:AD1679)</f>
        <v>2947707</v>
      </c>
      <c r="AJ1677" s="1062">
        <f>SUM(Z1677:Z1679)-SUM(AD1677:AD1679)</f>
        <v>0</v>
      </c>
      <c r="AK1677" s="1062">
        <f>P1677-V1677</f>
        <v>2947707</v>
      </c>
      <c r="AL1677" s="1062">
        <f>V1677-SUM(Z1677:Z1679)+AJ1677</f>
        <v>0</v>
      </c>
      <c r="AM1677" s="1062"/>
      <c r="AN1677" s="1108" t="s">
        <v>2065</v>
      </c>
      <c r="AO1677" s="1103" t="s">
        <v>2245</v>
      </c>
      <c r="AP1677" s="1074" t="s">
        <v>2482</v>
      </c>
    </row>
    <row r="1678" spans="1:45" ht="15" customHeight="1">
      <c r="A1678" s="1031"/>
      <c r="B1678" s="1069"/>
      <c r="C1678" s="1033"/>
      <c r="D1678" s="1033"/>
      <c r="E1678" s="1072"/>
      <c r="F1678" s="1072"/>
      <c r="G1678" s="1033"/>
      <c r="H1678" s="1033"/>
      <c r="I1678" s="1033"/>
      <c r="J1678" s="1033"/>
      <c r="K1678" s="1033"/>
      <c r="L1678" s="1033"/>
      <c r="M1678" s="1039"/>
      <c r="N1678" s="1066"/>
      <c r="O1678" s="1063"/>
      <c r="P1678" s="1063"/>
      <c r="Q1678" s="1063"/>
      <c r="R1678" s="1069"/>
      <c r="S1678" s="1093"/>
      <c r="T1678" s="1093"/>
      <c r="U1678" s="1093"/>
      <c r="V1678" s="1044"/>
      <c r="W1678" s="1044"/>
      <c r="X1678" s="1033"/>
      <c r="Y1678" s="108" t="s">
        <v>2244</v>
      </c>
      <c r="Z1678" s="109">
        <v>163914789</v>
      </c>
      <c r="AA1678" s="109">
        <v>-81957395</v>
      </c>
      <c r="AB1678" s="109">
        <f t="shared" si="144"/>
        <v>81957394</v>
      </c>
      <c r="AC1678" s="97">
        <v>43095</v>
      </c>
      <c r="AD1678" s="119">
        <v>81957394</v>
      </c>
      <c r="AE1678" s="98" t="s">
        <v>7</v>
      </c>
      <c r="AF1678" s="1044"/>
      <c r="AG1678" s="1044"/>
      <c r="AH1678" s="111">
        <f t="shared" si="145"/>
        <v>0</v>
      </c>
      <c r="AI1678" s="1044"/>
      <c r="AJ1678" s="1063"/>
      <c r="AK1678" s="1063"/>
      <c r="AL1678" s="1063"/>
      <c r="AM1678" s="1063"/>
      <c r="AN1678" s="1109"/>
      <c r="AO1678" s="1104"/>
      <c r="AP1678" s="1074"/>
    </row>
    <row r="1679" spans="1:45" ht="15" customHeight="1">
      <c r="A1679" s="1032"/>
      <c r="B1679" s="1070"/>
      <c r="C1679" s="1012"/>
      <c r="D1679" s="1012"/>
      <c r="E1679" s="1073"/>
      <c r="F1679" s="1073"/>
      <c r="G1679" s="1012"/>
      <c r="H1679" s="1012"/>
      <c r="I1679" s="1012"/>
      <c r="J1679" s="1012"/>
      <c r="K1679" s="1012"/>
      <c r="L1679" s="1012"/>
      <c r="M1679" s="1010"/>
      <c r="N1679" s="1067"/>
      <c r="O1679" s="1064"/>
      <c r="P1679" s="1064"/>
      <c r="Q1679" s="1064"/>
      <c r="R1679" s="1070"/>
      <c r="S1679" s="1094"/>
      <c r="T1679" s="1094"/>
      <c r="U1679" s="1094"/>
      <c r="V1679" s="1045"/>
      <c r="W1679" s="1045"/>
      <c r="X1679" s="1012"/>
      <c r="Y1679" s="728" t="s">
        <v>2744</v>
      </c>
      <c r="Z1679" s="109">
        <v>29486345</v>
      </c>
      <c r="AA1679" s="109">
        <v>-14743172</v>
      </c>
      <c r="AB1679" s="109">
        <v>14743173</v>
      </c>
      <c r="AC1679" s="97"/>
      <c r="AD1679" s="119">
        <f>+AB1679</f>
        <v>14743173</v>
      </c>
      <c r="AE1679" s="98"/>
      <c r="AF1679" s="1045"/>
      <c r="AG1679" s="1045"/>
      <c r="AH1679" s="111">
        <f t="shared" si="145"/>
        <v>0</v>
      </c>
      <c r="AI1679" s="1045"/>
      <c r="AJ1679" s="1064"/>
      <c r="AK1679" s="1064"/>
      <c r="AL1679" s="1064"/>
      <c r="AM1679" s="1064"/>
      <c r="AN1679" s="1110"/>
      <c r="AO1679" s="1105"/>
      <c r="AP1679" s="1074"/>
    </row>
    <row r="1680" spans="1:45" s="4" customFormat="1" ht="15" customHeight="1">
      <c r="A1680" s="1030" t="s">
        <v>2243</v>
      </c>
      <c r="B1680" s="1068">
        <v>42639</v>
      </c>
      <c r="C1680" s="1011" t="s">
        <v>12</v>
      </c>
      <c r="D1680" s="1011" t="s">
        <v>2242</v>
      </c>
      <c r="E1680" s="1011">
        <v>901010575</v>
      </c>
      <c r="F1680" s="1011">
        <v>4</v>
      </c>
      <c r="G1680" s="1011" t="s">
        <v>2241</v>
      </c>
      <c r="H1680" s="1011" t="s">
        <v>71</v>
      </c>
      <c r="I1680" s="1011" t="s">
        <v>1235</v>
      </c>
      <c r="J1680" s="1011" t="s">
        <v>66</v>
      </c>
      <c r="K1680" s="1011" t="s">
        <v>183</v>
      </c>
      <c r="L1680" s="1011" t="s">
        <v>2240</v>
      </c>
      <c r="M1680" s="1009">
        <v>15</v>
      </c>
      <c r="N1680" s="1065" t="s">
        <v>132</v>
      </c>
      <c r="O1680" s="1062">
        <v>124042229</v>
      </c>
      <c r="P1680" s="1062">
        <v>124042229</v>
      </c>
      <c r="Q1680" s="1062">
        <f>P1680</f>
        <v>124042229</v>
      </c>
      <c r="R1680" s="1068">
        <v>42579</v>
      </c>
      <c r="S1680" s="1089">
        <f>T1680</f>
        <v>124042229</v>
      </c>
      <c r="T1680" s="1062">
        <v>124042229</v>
      </c>
      <c r="U1680" s="1089">
        <f>P1680-T1680</f>
        <v>0</v>
      </c>
      <c r="V1680" s="1062">
        <v>122925748</v>
      </c>
      <c r="W1680" s="1062">
        <v>122925748</v>
      </c>
      <c r="X1680" s="1011"/>
      <c r="Y1680" s="108" t="s">
        <v>2239</v>
      </c>
      <c r="Z1680" s="109">
        <v>0</v>
      </c>
      <c r="AA1680" s="109">
        <f>AD1680</f>
        <v>61462874</v>
      </c>
      <c r="AB1680" s="109">
        <f>SUM(Z1680:AA1680)</f>
        <v>61462874</v>
      </c>
      <c r="AC1680" s="97">
        <v>42810</v>
      </c>
      <c r="AD1680" s="119">
        <v>61462874</v>
      </c>
      <c r="AE1680" s="108" t="s">
        <v>132</v>
      </c>
      <c r="AF1680" s="1043">
        <f>SUM(AD1680:AD1682)</f>
        <v>122925747.99999999</v>
      </c>
      <c r="AG1680" s="1062">
        <f>AF1680</f>
        <v>122925747.99999999</v>
      </c>
      <c r="AH1680" s="109">
        <f t="shared" si="145"/>
        <v>0</v>
      </c>
      <c r="AI1680" s="1062">
        <f>P1680-AF1680</f>
        <v>1116481.0000000149</v>
      </c>
      <c r="AJ1680" s="1062">
        <f>SUM(Z1680:Z1682)-SUM(AD1680:AD1682)</f>
        <v>0</v>
      </c>
      <c r="AK1680" s="1062">
        <f>P1680-V1680</f>
        <v>1116481</v>
      </c>
      <c r="AL1680" s="1062">
        <f>V1680-SUM(Z1680:Z1682)</f>
        <v>0</v>
      </c>
      <c r="AM1680" s="1062">
        <f>AK1680+AL1680</f>
        <v>1116481</v>
      </c>
      <c r="AN1680" s="1100"/>
      <c r="AO1680" s="1114" t="s">
        <v>2238</v>
      </c>
      <c r="AQ1680" s="934"/>
    </row>
    <row r="1681" spans="1:45" s="4" customFormat="1" ht="15" customHeight="1">
      <c r="A1681" s="1031"/>
      <c r="B1681" s="1069"/>
      <c r="C1681" s="1033"/>
      <c r="D1681" s="1033"/>
      <c r="E1681" s="1033"/>
      <c r="F1681" s="1033"/>
      <c r="G1681" s="1033"/>
      <c r="H1681" s="1033"/>
      <c r="I1681" s="1033"/>
      <c r="J1681" s="1033"/>
      <c r="K1681" s="1033"/>
      <c r="L1681" s="1033"/>
      <c r="M1681" s="1039"/>
      <c r="N1681" s="1066"/>
      <c r="O1681" s="1063"/>
      <c r="P1681" s="1063"/>
      <c r="Q1681" s="1063"/>
      <c r="R1681" s="1069"/>
      <c r="S1681" s="1090"/>
      <c r="T1681" s="1063"/>
      <c r="U1681" s="1090"/>
      <c r="V1681" s="1063"/>
      <c r="W1681" s="1063"/>
      <c r="X1681" s="1033"/>
      <c r="Y1681" s="108" t="s">
        <v>2237</v>
      </c>
      <c r="Z1681" s="109">
        <v>110258796.76000001</v>
      </c>
      <c r="AA1681" s="109">
        <v>-55129398</v>
      </c>
      <c r="AB1681" s="109">
        <f>SUM(Z1681:AA1681)</f>
        <v>55129398.760000005</v>
      </c>
      <c r="AC1681" s="97">
        <v>42949</v>
      </c>
      <c r="AD1681" s="119">
        <v>55129398.759999998</v>
      </c>
      <c r="AE1681" s="108" t="s">
        <v>132</v>
      </c>
      <c r="AF1681" s="1044"/>
      <c r="AG1681" s="1063"/>
      <c r="AH1681" s="109">
        <f t="shared" si="145"/>
        <v>0</v>
      </c>
      <c r="AI1681" s="1063"/>
      <c r="AJ1681" s="1063"/>
      <c r="AK1681" s="1063"/>
      <c r="AL1681" s="1063"/>
      <c r="AM1681" s="1063"/>
      <c r="AN1681" s="1101"/>
      <c r="AO1681" s="1101"/>
      <c r="AQ1681" s="934"/>
      <c r="AR1681" s="205"/>
    </row>
    <row r="1682" spans="1:45" s="4" customFormat="1" ht="15" customHeight="1">
      <c r="A1682" s="1032"/>
      <c r="B1682" s="1070"/>
      <c r="C1682" s="1012"/>
      <c r="D1682" s="1012"/>
      <c r="E1682" s="1012"/>
      <c r="F1682" s="1012"/>
      <c r="G1682" s="1012"/>
      <c r="H1682" s="1012"/>
      <c r="I1682" s="1012"/>
      <c r="J1682" s="1012"/>
      <c r="K1682" s="1012"/>
      <c r="L1682" s="1012"/>
      <c r="M1682" s="1010"/>
      <c r="N1682" s="1067"/>
      <c r="O1682" s="1064"/>
      <c r="P1682" s="1064"/>
      <c r="Q1682" s="1064"/>
      <c r="R1682" s="1070"/>
      <c r="S1682" s="1091"/>
      <c r="T1682" s="1064"/>
      <c r="U1682" s="1091"/>
      <c r="V1682" s="1064"/>
      <c r="W1682" s="1064"/>
      <c r="X1682" s="1012"/>
      <c r="Y1682" s="108" t="s">
        <v>2236</v>
      </c>
      <c r="Z1682" s="109">
        <v>12666951.24</v>
      </c>
      <c r="AA1682" s="109">
        <v>-6333476</v>
      </c>
      <c r="AB1682" s="109">
        <f>SUM(Z1682:AA1682)</f>
        <v>6333475.2400000002</v>
      </c>
      <c r="AC1682" s="97">
        <v>43075</v>
      </c>
      <c r="AD1682" s="119">
        <v>6333475.2400000002</v>
      </c>
      <c r="AE1682" s="108" t="s">
        <v>132</v>
      </c>
      <c r="AF1682" s="1045"/>
      <c r="AG1682" s="1064"/>
      <c r="AH1682" s="109">
        <f t="shared" si="145"/>
        <v>0</v>
      </c>
      <c r="AI1682" s="1064"/>
      <c r="AJ1682" s="1064"/>
      <c r="AK1682" s="1064"/>
      <c r="AL1682" s="1064"/>
      <c r="AM1682" s="1064"/>
      <c r="AN1682" s="1102"/>
      <c r="AO1682" s="1102"/>
      <c r="AQ1682" s="934"/>
    </row>
    <row r="1683" spans="1:45" s="4" customFormat="1" ht="15" customHeight="1">
      <c r="A1683" s="1030" t="s">
        <v>2259</v>
      </c>
      <c r="B1683" s="1068">
        <v>42653</v>
      </c>
      <c r="C1683" s="1011" t="s">
        <v>30</v>
      </c>
      <c r="D1683" s="1011" t="s">
        <v>2258</v>
      </c>
      <c r="E1683" s="1097">
        <v>901017440</v>
      </c>
      <c r="F1683" s="1097"/>
      <c r="G1683" s="1011" t="s">
        <v>2257</v>
      </c>
      <c r="H1683" s="1011" t="s">
        <v>71</v>
      </c>
      <c r="I1683" s="1011" t="s">
        <v>1235</v>
      </c>
      <c r="J1683" s="1011" t="s">
        <v>66</v>
      </c>
      <c r="K1683" s="1011" t="s">
        <v>48</v>
      </c>
      <c r="L1683" s="1011"/>
      <c r="M1683" s="1009">
        <v>340</v>
      </c>
      <c r="N1683" s="1065" t="s">
        <v>137</v>
      </c>
      <c r="O1683" s="1062">
        <v>1397229365</v>
      </c>
      <c r="P1683" s="1062">
        <f>O1683</f>
        <v>1397229365</v>
      </c>
      <c r="Q1683" s="1062">
        <f>P1683+P1686</f>
        <v>3537257223</v>
      </c>
      <c r="R1683" s="1068">
        <v>42576</v>
      </c>
      <c r="S1683" s="1089">
        <f>T1683</f>
        <v>1397229365</v>
      </c>
      <c r="T1683" s="1089">
        <v>1397229365</v>
      </c>
      <c r="U1683" s="1089">
        <f>O1683-T1683</f>
        <v>0</v>
      </c>
      <c r="V1683" s="1062">
        <v>1339023888</v>
      </c>
      <c r="W1683" s="1062">
        <v>3479051746</v>
      </c>
      <c r="X1683" s="1011"/>
      <c r="Y1683" s="108" t="s">
        <v>2254</v>
      </c>
      <c r="Z1683" s="109">
        <v>0</v>
      </c>
      <c r="AA1683" s="109">
        <v>267804778</v>
      </c>
      <c r="AB1683" s="109">
        <f t="shared" ref="AB1683:AB1688" si="146">Z1683+AA1683</f>
        <v>267804778</v>
      </c>
      <c r="AC1683" s="97">
        <v>42844</v>
      </c>
      <c r="AD1683" s="200">
        <v>267804778</v>
      </c>
      <c r="AE1683" s="108" t="s">
        <v>137</v>
      </c>
      <c r="AF1683" s="1062">
        <f>SUM(AD1683:AD1685)</f>
        <v>1115732205</v>
      </c>
      <c r="AG1683" s="1043">
        <f>AF1683+AF1686</f>
        <v>2919516355</v>
      </c>
      <c r="AH1683" s="111">
        <f t="shared" si="145"/>
        <v>0</v>
      </c>
      <c r="AI1683" s="1043">
        <f>O1683-AF1683</f>
        <v>281497160</v>
      </c>
      <c r="AJ1683" s="1043">
        <f>SUM(Z1683:Z1685)-SUM(AD1683:AD1685)</f>
        <v>-55822921</v>
      </c>
      <c r="AK1683" s="1062">
        <f>O1683-V1683</f>
        <v>58205477</v>
      </c>
      <c r="AL1683" s="1062">
        <f>V1683-SUM(Z1683:Z1685)+AJ1683</f>
        <v>223291683</v>
      </c>
      <c r="AM1683" s="1062"/>
      <c r="AN1683" s="1100"/>
      <c r="AO1683" s="1100" t="s">
        <v>2256</v>
      </c>
      <c r="AQ1683" s="934"/>
    </row>
    <row r="1684" spans="1:45" s="4" customFormat="1" ht="15" customHeight="1">
      <c r="A1684" s="1031"/>
      <c r="B1684" s="1069"/>
      <c r="C1684" s="1033"/>
      <c r="D1684" s="1033"/>
      <c r="E1684" s="1098"/>
      <c r="F1684" s="1098"/>
      <c r="G1684" s="1033"/>
      <c r="H1684" s="1033"/>
      <c r="I1684" s="1033"/>
      <c r="J1684" s="1033"/>
      <c r="K1684" s="1033"/>
      <c r="L1684" s="1033"/>
      <c r="M1684" s="1039"/>
      <c r="N1684" s="1066"/>
      <c r="O1684" s="1063"/>
      <c r="P1684" s="1063"/>
      <c r="Q1684" s="1063"/>
      <c r="R1684" s="1069"/>
      <c r="S1684" s="1090"/>
      <c r="T1684" s="1090"/>
      <c r="U1684" s="1090"/>
      <c r="V1684" s="1063"/>
      <c r="W1684" s="1063"/>
      <c r="X1684" s="1033"/>
      <c r="Y1684" s="108" t="s">
        <v>2255</v>
      </c>
      <c r="Z1684" s="109">
        <v>772230260</v>
      </c>
      <c r="AA1684" s="109">
        <v>-154446052</v>
      </c>
      <c r="AB1684" s="109">
        <f t="shared" si="146"/>
        <v>617784208</v>
      </c>
      <c r="AC1684" s="97">
        <v>43047</v>
      </c>
      <c r="AD1684" s="119">
        <v>617784208</v>
      </c>
      <c r="AE1684" s="108" t="s">
        <v>137</v>
      </c>
      <c r="AF1684" s="1063"/>
      <c r="AG1684" s="1044"/>
      <c r="AH1684" s="111">
        <f t="shared" si="145"/>
        <v>0</v>
      </c>
      <c r="AI1684" s="1044"/>
      <c r="AJ1684" s="1044"/>
      <c r="AK1684" s="1063"/>
      <c r="AL1684" s="1063"/>
      <c r="AM1684" s="1063"/>
      <c r="AN1684" s="1101"/>
      <c r="AO1684" s="1101"/>
      <c r="AQ1684" s="934"/>
    </row>
    <row r="1685" spans="1:45" s="4" customFormat="1" ht="15" customHeight="1">
      <c r="A1685" s="1031"/>
      <c r="B1685" s="1069"/>
      <c r="C1685" s="1033"/>
      <c r="D1685" s="1033"/>
      <c r="E1685" s="1098"/>
      <c r="F1685" s="1098"/>
      <c r="G1685" s="1033"/>
      <c r="H1685" s="1033"/>
      <c r="I1685" s="1033"/>
      <c r="J1685" s="1033"/>
      <c r="K1685" s="1033"/>
      <c r="L1685" s="1033"/>
      <c r="M1685" s="1010"/>
      <c r="N1685" s="1067"/>
      <c r="O1685" s="1064"/>
      <c r="P1685" s="1064"/>
      <c r="Q1685" s="1063"/>
      <c r="R1685" s="1070"/>
      <c r="S1685" s="1091"/>
      <c r="T1685" s="1091"/>
      <c r="U1685" s="1091"/>
      <c r="V1685" s="1064"/>
      <c r="W1685" s="1063"/>
      <c r="X1685" s="1033"/>
      <c r="Y1685" s="108" t="s">
        <v>2252</v>
      </c>
      <c r="Z1685" s="109">
        <v>287679024</v>
      </c>
      <c r="AA1685" s="109">
        <v>-57535805</v>
      </c>
      <c r="AB1685" s="109">
        <f t="shared" si="146"/>
        <v>230143219</v>
      </c>
      <c r="AC1685" s="97">
        <v>43091</v>
      </c>
      <c r="AD1685" s="119">
        <v>230143219</v>
      </c>
      <c r="AE1685" s="108" t="s">
        <v>137</v>
      </c>
      <c r="AF1685" s="1064"/>
      <c r="AG1685" s="1044"/>
      <c r="AH1685" s="111">
        <f t="shared" si="145"/>
        <v>0</v>
      </c>
      <c r="AI1685" s="1045"/>
      <c r="AJ1685" s="1045"/>
      <c r="AK1685" s="1064"/>
      <c r="AL1685" s="1064"/>
      <c r="AM1685" s="1063"/>
      <c r="AN1685" s="1101"/>
      <c r="AO1685" s="1101"/>
      <c r="AQ1685" s="934"/>
    </row>
    <row r="1686" spans="1:45" s="4" customFormat="1" ht="15" customHeight="1">
      <c r="A1686" s="1031"/>
      <c r="B1686" s="1069"/>
      <c r="C1686" s="1033"/>
      <c r="D1686" s="1033"/>
      <c r="E1686" s="1098"/>
      <c r="F1686" s="1098"/>
      <c r="G1686" s="1033"/>
      <c r="H1686" s="1033"/>
      <c r="I1686" s="1033"/>
      <c r="J1686" s="1033"/>
      <c r="K1686" s="1033"/>
      <c r="L1686" s="1033"/>
      <c r="M1686" s="1009">
        <v>8</v>
      </c>
      <c r="N1686" s="1065" t="s">
        <v>156</v>
      </c>
      <c r="O1686" s="1062">
        <v>2140027858</v>
      </c>
      <c r="P1686" s="1062">
        <f>O1686</f>
        <v>2140027858</v>
      </c>
      <c r="Q1686" s="1063"/>
      <c r="R1686" s="1068">
        <v>42577</v>
      </c>
      <c r="S1686" s="1062">
        <f>T1686</f>
        <v>2140027858</v>
      </c>
      <c r="T1686" s="1062">
        <v>2140027858</v>
      </c>
      <c r="U1686" s="1062">
        <f>O1686-T1686</f>
        <v>0</v>
      </c>
      <c r="V1686" s="1062">
        <f>O1686</f>
        <v>2140027858</v>
      </c>
      <c r="W1686" s="1063"/>
      <c r="X1686" s="1033"/>
      <c r="Y1686" s="108" t="s">
        <v>2254</v>
      </c>
      <c r="Z1686" s="109">
        <v>0</v>
      </c>
      <c r="AA1686" s="109">
        <v>428005571</v>
      </c>
      <c r="AB1686" s="109">
        <f t="shared" si="146"/>
        <v>428005571</v>
      </c>
      <c r="AC1686" s="97">
        <v>42844</v>
      </c>
      <c r="AD1686" s="200">
        <v>428005571</v>
      </c>
      <c r="AE1686" s="108" t="s">
        <v>156</v>
      </c>
      <c r="AF1686" s="1062">
        <f>SUM(AD1686:AD1688)</f>
        <v>1803784150</v>
      </c>
      <c r="AG1686" s="1044"/>
      <c r="AH1686" s="111">
        <f t="shared" si="145"/>
        <v>0</v>
      </c>
      <c r="AI1686" s="1043">
        <f>O1686-AF1686</f>
        <v>336243708</v>
      </c>
      <c r="AJ1686" s="1043">
        <f>SUM(Z1686:Z1688)-SUM(AD1686:AD1688)</f>
        <v>-84060926</v>
      </c>
      <c r="AK1686" s="1062">
        <f>O1686-V1686</f>
        <v>0</v>
      </c>
      <c r="AL1686" s="1062">
        <f>V1686-SUM(Z1686:Z1688)+AJ1686</f>
        <v>336243708</v>
      </c>
      <c r="AM1686" s="1063"/>
      <c r="AN1686" s="1101"/>
      <c r="AO1686" s="1101"/>
      <c r="AQ1686" s="934"/>
    </row>
    <row r="1687" spans="1:45" s="4" customFormat="1" ht="15" customHeight="1">
      <c r="A1687" s="1031"/>
      <c r="B1687" s="1069"/>
      <c r="C1687" s="1033"/>
      <c r="D1687" s="1033"/>
      <c r="E1687" s="1098"/>
      <c r="F1687" s="1098"/>
      <c r="G1687" s="1033"/>
      <c r="H1687" s="1033"/>
      <c r="I1687" s="1033"/>
      <c r="J1687" s="1033"/>
      <c r="K1687" s="1033"/>
      <c r="L1687" s="1033"/>
      <c r="M1687" s="1039"/>
      <c r="N1687" s="1066"/>
      <c r="O1687" s="1063"/>
      <c r="P1687" s="1063"/>
      <c r="Q1687" s="1063"/>
      <c r="R1687" s="1069"/>
      <c r="S1687" s="1063"/>
      <c r="T1687" s="1063"/>
      <c r="U1687" s="1063"/>
      <c r="V1687" s="1063"/>
      <c r="W1687" s="1063"/>
      <c r="X1687" s="1033"/>
      <c r="Y1687" s="108" t="s">
        <v>2253</v>
      </c>
      <c r="Z1687" s="109">
        <v>1259954634</v>
      </c>
      <c r="AA1687" s="109">
        <v>-251990927</v>
      </c>
      <c r="AB1687" s="109">
        <f t="shared" si="146"/>
        <v>1007963707</v>
      </c>
      <c r="AC1687" s="97">
        <v>43047</v>
      </c>
      <c r="AD1687" s="119">
        <v>1007963707</v>
      </c>
      <c r="AE1687" s="108" t="s">
        <v>156</v>
      </c>
      <c r="AF1687" s="1063"/>
      <c r="AG1687" s="1044"/>
      <c r="AH1687" s="111">
        <f t="shared" si="145"/>
        <v>0</v>
      </c>
      <c r="AI1687" s="1044"/>
      <c r="AJ1687" s="1044"/>
      <c r="AK1687" s="1063"/>
      <c r="AL1687" s="1063"/>
      <c r="AM1687" s="1063"/>
      <c r="AN1687" s="1101"/>
      <c r="AO1687" s="1101"/>
      <c r="AQ1687" s="934"/>
    </row>
    <row r="1688" spans="1:45" s="4" customFormat="1" ht="15" customHeight="1">
      <c r="A1688" s="1032"/>
      <c r="B1688" s="1070"/>
      <c r="C1688" s="1012"/>
      <c r="D1688" s="1012"/>
      <c r="E1688" s="1099"/>
      <c r="F1688" s="1099"/>
      <c r="G1688" s="1012"/>
      <c r="H1688" s="1012"/>
      <c r="I1688" s="1012"/>
      <c r="J1688" s="1012"/>
      <c r="K1688" s="1012"/>
      <c r="L1688" s="1012"/>
      <c r="M1688" s="1010"/>
      <c r="N1688" s="1067"/>
      <c r="O1688" s="1064"/>
      <c r="P1688" s="1064"/>
      <c r="Q1688" s="1064"/>
      <c r="R1688" s="1070"/>
      <c r="S1688" s="1064"/>
      <c r="T1688" s="1064"/>
      <c r="U1688" s="1064"/>
      <c r="V1688" s="1064"/>
      <c r="W1688" s="1064"/>
      <c r="X1688" s="1012"/>
      <c r="Y1688" s="108" t="s">
        <v>2252</v>
      </c>
      <c r="Z1688" s="109">
        <v>459768590</v>
      </c>
      <c r="AA1688" s="109">
        <v>-91953718</v>
      </c>
      <c r="AB1688" s="109">
        <f t="shared" si="146"/>
        <v>367814872</v>
      </c>
      <c r="AC1688" s="97">
        <v>43091</v>
      </c>
      <c r="AD1688" s="119">
        <v>367814872</v>
      </c>
      <c r="AE1688" s="108" t="s">
        <v>156</v>
      </c>
      <c r="AF1688" s="1064"/>
      <c r="AG1688" s="1045"/>
      <c r="AH1688" s="111">
        <f t="shared" si="145"/>
        <v>0</v>
      </c>
      <c r="AI1688" s="1045"/>
      <c r="AJ1688" s="1045"/>
      <c r="AK1688" s="1064"/>
      <c r="AL1688" s="1064"/>
      <c r="AM1688" s="1064"/>
      <c r="AN1688" s="1102"/>
      <c r="AO1688" s="1102"/>
      <c r="AQ1688" s="934"/>
    </row>
    <row r="1689" spans="1:45" ht="15" customHeight="1">
      <c r="A1689" s="1003" t="s">
        <v>2272</v>
      </c>
      <c r="B1689" s="97">
        <v>42657</v>
      </c>
      <c r="C1689" s="113" t="s">
        <v>24</v>
      </c>
      <c r="D1689" s="113" t="s">
        <v>2271</v>
      </c>
      <c r="E1689" s="114">
        <v>901018975</v>
      </c>
      <c r="F1689" s="114">
        <v>3</v>
      </c>
      <c r="G1689" s="113" t="s">
        <v>2270</v>
      </c>
      <c r="H1689" s="113" t="s">
        <v>70</v>
      </c>
      <c r="I1689" s="113" t="s">
        <v>206</v>
      </c>
      <c r="J1689" s="113" t="s">
        <v>489</v>
      </c>
      <c r="K1689" s="113" t="s">
        <v>48</v>
      </c>
      <c r="L1689" s="113" t="s">
        <v>2269</v>
      </c>
      <c r="M1689" s="102">
        <v>338</v>
      </c>
      <c r="N1689" s="108" t="s">
        <v>7</v>
      </c>
      <c r="O1689" s="109">
        <v>13744419</v>
      </c>
      <c r="P1689" s="109">
        <v>13744419</v>
      </c>
      <c r="Q1689" s="109">
        <v>13744419</v>
      </c>
      <c r="R1689" s="97"/>
      <c r="S1689" s="110">
        <f>T1689</f>
        <v>13744419</v>
      </c>
      <c r="T1689" s="109">
        <v>13744419</v>
      </c>
      <c r="U1689" s="109">
        <f>P1689-T1689</f>
        <v>0</v>
      </c>
      <c r="V1689" s="111">
        <v>11780000</v>
      </c>
      <c r="W1689" s="111">
        <v>11780000</v>
      </c>
      <c r="X1689" s="113"/>
      <c r="Y1689" s="108"/>
      <c r="Z1689" s="109"/>
      <c r="AA1689" s="109"/>
      <c r="AB1689" s="109"/>
      <c r="AC1689" s="97"/>
      <c r="AD1689" s="119">
        <v>0</v>
      </c>
      <c r="AE1689" s="98"/>
      <c r="AF1689" s="111">
        <f>AD1689</f>
        <v>0</v>
      </c>
      <c r="AG1689" s="111">
        <f>AF1689</f>
        <v>0</v>
      </c>
      <c r="AH1689" s="111">
        <f t="shared" si="145"/>
        <v>0</v>
      </c>
      <c r="AI1689" s="111">
        <f>P1689-AF1689</f>
        <v>13744419</v>
      </c>
      <c r="AJ1689" s="109">
        <f>Z1689-AD1689</f>
        <v>0</v>
      </c>
      <c r="AK1689" s="109">
        <f>P1689-V1689</f>
        <v>1964419</v>
      </c>
      <c r="AL1689" s="109">
        <f>V1689-Z1689</f>
        <v>11780000</v>
      </c>
      <c r="AM1689" s="109"/>
      <c r="AN1689" s="112" t="s">
        <v>2268</v>
      </c>
      <c r="AO1689" s="105" t="s">
        <v>2267</v>
      </c>
    </row>
    <row r="1690" spans="1:45" s="203" customFormat="1" ht="15" customHeight="1">
      <c r="A1690" s="1030" t="s">
        <v>2266</v>
      </c>
      <c r="B1690" s="1126">
        <v>42657</v>
      </c>
      <c r="C1690" s="1030" t="s">
        <v>12</v>
      </c>
      <c r="D1690" s="1030" t="s">
        <v>2265</v>
      </c>
      <c r="E1690" s="1128">
        <v>10292075</v>
      </c>
      <c r="F1690" s="1128"/>
      <c r="G1690" s="1030" t="s">
        <v>2264</v>
      </c>
      <c r="H1690" s="1030" t="s">
        <v>70</v>
      </c>
      <c r="I1690" s="1030" t="s">
        <v>206</v>
      </c>
      <c r="J1690" s="1030" t="s">
        <v>66</v>
      </c>
      <c r="K1690" s="1030" t="s">
        <v>183</v>
      </c>
      <c r="L1690" s="1030" t="s">
        <v>2263</v>
      </c>
      <c r="M1690" s="1095">
        <v>16</v>
      </c>
      <c r="N1690" s="1130" t="s">
        <v>132</v>
      </c>
      <c r="O1690" s="1117">
        <v>8682956</v>
      </c>
      <c r="P1690" s="1117">
        <v>8682956</v>
      </c>
      <c r="Q1690" s="1117">
        <v>8682956</v>
      </c>
      <c r="R1690" s="1126">
        <v>42577</v>
      </c>
      <c r="S1690" s="1115">
        <f>T1690</f>
        <v>8682956</v>
      </c>
      <c r="T1690" s="1117">
        <v>8682956</v>
      </c>
      <c r="U1690" s="1115">
        <f>P1690-T1690</f>
        <v>0</v>
      </c>
      <c r="V1690" s="1117">
        <v>8000000</v>
      </c>
      <c r="W1690" s="1059">
        <v>8000000</v>
      </c>
      <c r="X1690" s="1056"/>
      <c r="Y1690" s="198" t="s">
        <v>2262</v>
      </c>
      <c r="Z1690" s="198">
        <v>7176000</v>
      </c>
      <c r="AA1690" s="198">
        <v>0</v>
      </c>
      <c r="AB1690" s="198">
        <f t="shared" ref="AB1690:AB1719" si="147">Z1690+AA1690</f>
        <v>7176000</v>
      </c>
      <c r="AC1690" s="199">
        <v>43082</v>
      </c>
      <c r="AD1690" s="200">
        <v>7176000</v>
      </c>
      <c r="AE1690" s="201" t="s">
        <v>132</v>
      </c>
      <c r="AF1690" s="1059">
        <f>AD1690+AD1691</f>
        <v>8000000</v>
      </c>
      <c r="AG1690" s="1059">
        <f>AF1690</f>
        <v>8000000</v>
      </c>
      <c r="AH1690" s="202">
        <f>AB1690+AD1690</f>
        <v>14352000</v>
      </c>
      <c r="AI1690" s="1059">
        <f>Q1690-AF1690</f>
        <v>682956</v>
      </c>
      <c r="AJ1690" s="1087">
        <f>SUM(Z1690:Z1691)-SUM(AD1690:AD1691)</f>
        <v>0</v>
      </c>
      <c r="AK1690" s="1087">
        <f>P1690-V1690</f>
        <v>682956</v>
      </c>
      <c r="AL1690" s="1087">
        <f>V1690-Z1690-Z1691</f>
        <v>0</v>
      </c>
      <c r="AM1690" s="1087">
        <f>AK1690+AL1690</f>
        <v>682956</v>
      </c>
      <c r="AN1690" s="1112" t="s">
        <v>2065</v>
      </c>
      <c r="AO1690" s="1112" t="s">
        <v>2261</v>
      </c>
      <c r="AQ1690" s="1120">
        <v>43146</v>
      </c>
      <c r="AR1690" s="1087">
        <f t="shared" ref="AR1690" si="148">+AM1690</f>
        <v>682956</v>
      </c>
      <c r="AS1690" s="1056" t="str">
        <f t="shared" ref="AS1690" si="149">+N1690</f>
        <v>Buenos Aires - SGP</v>
      </c>
    </row>
    <row r="1691" spans="1:45" s="203" customFormat="1" ht="15" customHeight="1">
      <c r="A1691" s="1032"/>
      <c r="B1691" s="1127"/>
      <c r="C1691" s="1032"/>
      <c r="D1691" s="1032"/>
      <c r="E1691" s="1129"/>
      <c r="F1691" s="1129"/>
      <c r="G1691" s="1032"/>
      <c r="H1691" s="1032"/>
      <c r="I1691" s="1032"/>
      <c r="J1691" s="1032"/>
      <c r="K1691" s="1032"/>
      <c r="L1691" s="1032"/>
      <c r="M1691" s="1096"/>
      <c r="N1691" s="1131"/>
      <c r="O1691" s="1118"/>
      <c r="P1691" s="1118"/>
      <c r="Q1691" s="1118"/>
      <c r="R1691" s="1127"/>
      <c r="S1691" s="1116"/>
      <c r="T1691" s="1118"/>
      <c r="U1691" s="1116"/>
      <c r="V1691" s="1118"/>
      <c r="W1691" s="1061"/>
      <c r="X1691" s="1058"/>
      <c r="Y1691" s="198" t="s">
        <v>2260</v>
      </c>
      <c r="Z1691" s="198">
        <v>824000</v>
      </c>
      <c r="AA1691" s="198">
        <v>0</v>
      </c>
      <c r="AB1691" s="198">
        <f t="shared" si="147"/>
        <v>824000</v>
      </c>
      <c r="AC1691" s="199">
        <v>43096</v>
      </c>
      <c r="AD1691" s="200">
        <v>824000</v>
      </c>
      <c r="AE1691" s="201" t="s">
        <v>132</v>
      </c>
      <c r="AF1691" s="1061"/>
      <c r="AG1691" s="1061"/>
      <c r="AH1691" s="202">
        <f>AB1691+AD1691</f>
        <v>1648000</v>
      </c>
      <c r="AI1691" s="1061"/>
      <c r="AJ1691" s="1111"/>
      <c r="AK1691" s="1111"/>
      <c r="AL1691" s="1111"/>
      <c r="AM1691" s="1111"/>
      <c r="AN1691" s="1113"/>
      <c r="AO1691" s="1113"/>
      <c r="AQ1691" s="1121"/>
      <c r="AR1691" s="1111"/>
      <c r="AS1691" s="1058"/>
    </row>
    <row r="1692" spans="1:45" ht="15" customHeight="1">
      <c r="A1692" s="1011" t="s">
        <v>2281</v>
      </c>
      <c r="B1692" s="1068">
        <v>42710</v>
      </c>
      <c r="C1692" s="1011" t="s">
        <v>15</v>
      </c>
      <c r="D1692" s="1011" t="s">
        <v>2280</v>
      </c>
      <c r="E1692" s="1071">
        <v>901031814</v>
      </c>
      <c r="F1692" s="1071">
        <v>1</v>
      </c>
      <c r="G1692" s="1011" t="s">
        <v>2279</v>
      </c>
      <c r="H1692" s="1011" t="s">
        <v>70</v>
      </c>
      <c r="I1692" s="1011" t="s">
        <v>206</v>
      </c>
      <c r="J1692" s="1011" t="s">
        <v>66</v>
      </c>
      <c r="K1692" s="1011" t="s">
        <v>48</v>
      </c>
      <c r="L1692" s="1011" t="s">
        <v>2278</v>
      </c>
      <c r="M1692" s="1009">
        <v>10</v>
      </c>
      <c r="N1692" s="1065" t="s">
        <v>135</v>
      </c>
      <c r="O1692" s="1062">
        <v>363258583</v>
      </c>
      <c r="P1692" s="1062">
        <v>363258583</v>
      </c>
      <c r="Q1692" s="1062">
        <v>363258583</v>
      </c>
      <c r="R1692" s="1068">
        <v>42641</v>
      </c>
      <c r="S1692" s="1092">
        <f>T1692</f>
        <v>363258583</v>
      </c>
      <c r="T1692" s="1062">
        <v>363258583</v>
      </c>
      <c r="U1692" s="1062">
        <f>P1692-T1692</f>
        <v>0</v>
      </c>
      <c r="V1692" s="1043">
        <v>341500543</v>
      </c>
      <c r="W1692" s="1043">
        <v>341500543</v>
      </c>
      <c r="X1692" s="1011" t="s">
        <v>2277</v>
      </c>
      <c r="Y1692" s="108" t="s">
        <v>2276</v>
      </c>
      <c r="Z1692" s="109">
        <v>0</v>
      </c>
      <c r="AA1692" s="109">
        <v>34150054</v>
      </c>
      <c r="AB1692" s="109">
        <f t="shared" si="147"/>
        <v>34150054</v>
      </c>
      <c r="AC1692" s="97">
        <v>42859</v>
      </c>
      <c r="AD1692" s="119">
        <v>34150054</v>
      </c>
      <c r="AE1692" s="98" t="s">
        <v>135</v>
      </c>
      <c r="AF1692" s="1043">
        <f>SUM(AD1692:AD1695)</f>
        <v>310765493.69999999</v>
      </c>
      <c r="AG1692" s="1043">
        <f>AF1692</f>
        <v>310765493.69999999</v>
      </c>
      <c r="AH1692" s="111">
        <f t="shared" ref="AH1692:AH1725" si="150">AB1692-AD1692</f>
        <v>0</v>
      </c>
      <c r="AI1692" s="1043">
        <f>P1692-AF1692</f>
        <v>52493089.300000012</v>
      </c>
      <c r="AJ1692" s="1062">
        <f>SUM(Z1692:Z1695)-SUM(AD1692:AD1695)</f>
        <v>-3415005</v>
      </c>
      <c r="AK1692" s="1062">
        <f>P1692-V1692</f>
        <v>21758040</v>
      </c>
      <c r="AL1692" s="1062">
        <f>V1692-SUM(Z1692:Z1695)+AJ1692</f>
        <v>30735049.300000012</v>
      </c>
      <c r="AM1692" s="1062"/>
      <c r="AN1692" s="1108" t="s">
        <v>2275</v>
      </c>
      <c r="AO1692" s="1103" t="s">
        <v>2274</v>
      </c>
      <c r="AQ1692" s="967"/>
      <c r="AR1692" s="929"/>
      <c r="AS1692" s="968"/>
    </row>
    <row r="1693" spans="1:45" ht="15" customHeight="1">
      <c r="A1693" s="1033"/>
      <c r="B1693" s="1069"/>
      <c r="C1693" s="1033"/>
      <c r="D1693" s="1033"/>
      <c r="E1693" s="1072"/>
      <c r="F1693" s="1072"/>
      <c r="G1693" s="1033"/>
      <c r="H1693" s="1033"/>
      <c r="I1693" s="1033"/>
      <c r="J1693" s="1033"/>
      <c r="K1693" s="1033"/>
      <c r="L1693" s="1033"/>
      <c r="M1693" s="1039"/>
      <c r="N1693" s="1066"/>
      <c r="O1693" s="1063"/>
      <c r="P1693" s="1063"/>
      <c r="Q1693" s="1063"/>
      <c r="R1693" s="1069"/>
      <c r="S1693" s="1093"/>
      <c r="T1693" s="1063"/>
      <c r="U1693" s="1063"/>
      <c r="V1693" s="1044"/>
      <c r="W1693" s="1044"/>
      <c r="X1693" s="1033"/>
      <c r="Y1693" s="108" t="s">
        <v>2193</v>
      </c>
      <c r="Z1693" s="109">
        <v>85375135.75</v>
      </c>
      <c r="AA1693" s="109">
        <v>-8537514</v>
      </c>
      <c r="AB1693" s="109">
        <f t="shared" si="147"/>
        <v>76837621.75</v>
      </c>
      <c r="AC1693" s="97">
        <v>42991</v>
      </c>
      <c r="AD1693" s="119">
        <v>76837621.75</v>
      </c>
      <c r="AE1693" s="98" t="s">
        <v>135</v>
      </c>
      <c r="AF1693" s="1044"/>
      <c r="AG1693" s="1044"/>
      <c r="AH1693" s="111">
        <f t="shared" si="150"/>
        <v>0</v>
      </c>
      <c r="AI1693" s="1044"/>
      <c r="AJ1693" s="1063"/>
      <c r="AK1693" s="1063"/>
      <c r="AL1693" s="1063"/>
      <c r="AM1693" s="1063"/>
      <c r="AN1693" s="1109"/>
      <c r="AO1693" s="1104"/>
    </row>
    <row r="1694" spans="1:45" ht="15" customHeight="1">
      <c r="A1694" s="1033"/>
      <c r="B1694" s="1069"/>
      <c r="C1694" s="1033"/>
      <c r="D1694" s="1033"/>
      <c r="E1694" s="1072"/>
      <c r="F1694" s="1072"/>
      <c r="G1694" s="1033"/>
      <c r="H1694" s="1033"/>
      <c r="I1694" s="1033"/>
      <c r="J1694" s="1033"/>
      <c r="K1694" s="1033"/>
      <c r="L1694" s="1033"/>
      <c r="M1694" s="1039"/>
      <c r="N1694" s="1066"/>
      <c r="O1694" s="1063"/>
      <c r="P1694" s="1063"/>
      <c r="Q1694" s="1063"/>
      <c r="R1694" s="1069"/>
      <c r="S1694" s="1093"/>
      <c r="T1694" s="1063"/>
      <c r="U1694" s="1063"/>
      <c r="V1694" s="1044"/>
      <c r="W1694" s="1044"/>
      <c r="X1694" s="1033"/>
      <c r="Y1694" s="108" t="s">
        <v>2273</v>
      </c>
      <c r="Z1694" s="109">
        <v>102450162.90000001</v>
      </c>
      <c r="AA1694" s="109">
        <v>-10245016</v>
      </c>
      <c r="AB1694" s="109">
        <f t="shared" si="147"/>
        <v>92205146.900000006</v>
      </c>
      <c r="AC1694" s="97">
        <v>43080</v>
      </c>
      <c r="AD1694" s="119">
        <v>92205146.900000006</v>
      </c>
      <c r="AE1694" s="98" t="s">
        <v>135</v>
      </c>
      <c r="AF1694" s="1044"/>
      <c r="AG1694" s="1044"/>
      <c r="AH1694" s="111">
        <f t="shared" si="150"/>
        <v>0</v>
      </c>
      <c r="AI1694" s="1044"/>
      <c r="AJ1694" s="1063"/>
      <c r="AK1694" s="1063"/>
      <c r="AL1694" s="1063"/>
      <c r="AM1694" s="1063"/>
      <c r="AN1694" s="1109"/>
      <c r="AO1694" s="1104"/>
    </row>
    <row r="1695" spans="1:45" ht="15" customHeight="1">
      <c r="A1695" s="1012"/>
      <c r="B1695" s="1070"/>
      <c r="C1695" s="1012"/>
      <c r="D1695" s="1012"/>
      <c r="E1695" s="1073"/>
      <c r="F1695" s="1073"/>
      <c r="G1695" s="1012"/>
      <c r="H1695" s="1012"/>
      <c r="I1695" s="1012"/>
      <c r="J1695" s="1012"/>
      <c r="K1695" s="1012"/>
      <c r="L1695" s="1012"/>
      <c r="M1695" s="1010"/>
      <c r="N1695" s="1067"/>
      <c r="O1695" s="1064"/>
      <c r="P1695" s="1064"/>
      <c r="Q1695" s="1064"/>
      <c r="R1695" s="1070"/>
      <c r="S1695" s="1094"/>
      <c r="T1695" s="1064"/>
      <c r="U1695" s="1064"/>
      <c r="V1695" s="1045"/>
      <c r="W1695" s="1045"/>
      <c r="X1695" s="1012"/>
      <c r="Y1695" s="728" t="s">
        <v>2722</v>
      </c>
      <c r="Z1695" s="109">
        <v>119525190.05</v>
      </c>
      <c r="AA1695" s="109">
        <v>-11952519</v>
      </c>
      <c r="AB1695" s="109">
        <v>107572671.05</v>
      </c>
      <c r="AC1695" s="740">
        <v>43200</v>
      </c>
      <c r="AD1695" s="119">
        <f>+AB1695</f>
        <v>107572671.05</v>
      </c>
      <c r="AE1695" s="733" t="s">
        <v>135</v>
      </c>
      <c r="AF1695" s="1045"/>
      <c r="AG1695" s="1045"/>
      <c r="AH1695" s="111">
        <f t="shared" si="150"/>
        <v>0</v>
      </c>
      <c r="AI1695" s="1045"/>
      <c r="AJ1695" s="1064"/>
      <c r="AK1695" s="1064"/>
      <c r="AL1695" s="1064"/>
      <c r="AM1695" s="1064"/>
      <c r="AN1695" s="1110"/>
      <c r="AO1695" s="1105"/>
    </row>
    <row r="1696" spans="1:45" s="4" customFormat="1" ht="15" customHeight="1">
      <c r="A1696" s="1015" t="s">
        <v>2301</v>
      </c>
      <c r="B1696" s="1068">
        <v>42711</v>
      </c>
      <c r="C1696" s="1011" t="s">
        <v>15</v>
      </c>
      <c r="D1696" s="1011" t="s">
        <v>2300</v>
      </c>
      <c r="E1696" s="1097">
        <v>901033472</v>
      </c>
      <c r="F1696" s="1097">
        <v>3</v>
      </c>
      <c r="G1696" s="1011" t="s">
        <v>2299</v>
      </c>
      <c r="H1696" s="1011" t="s">
        <v>71</v>
      </c>
      <c r="I1696" s="1011" t="s">
        <v>1235</v>
      </c>
      <c r="J1696" s="1011" t="s">
        <v>66</v>
      </c>
      <c r="K1696" s="1011" t="s">
        <v>48</v>
      </c>
      <c r="L1696" s="1011" t="s">
        <v>2298</v>
      </c>
      <c r="M1696" s="1009">
        <v>343</v>
      </c>
      <c r="N1696" s="1021" t="s">
        <v>137</v>
      </c>
      <c r="O1696" s="1062">
        <v>3304910063</v>
      </c>
      <c r="P1696" s="1062">
        <f>O1696+O1706</f>
        <v>3540668005</v>
      </c>
      <c r="Q1696" s="1062">
        <f>P1696+P1712</f>
        <v>4725563612</v>
      </c>
      <c r="R1696" s="1062"/>
      <c r="S1696" s="1089">
        <f>T1696+T1706</f>
        <v>0</v>
      </c>
      <c r="T1696" s="1062"/>
      <c r="U1696" s="1062">
        <f>P1696-T1696</f>
        <v>3540668005</v>
      </c>
      <c r="V1696" s="1062">
        <v>3304910063</v>
      </c>
      <c r="W1696" s="1062">
        <f>V1696+V1706+V1712</f>
        <v>4725563612</v>
      </c>
      <c r="X1696" s="1011"/>
      <c r="Y1696" s="1123" t="s">
        <v>2295</v>
      </c>
      <c r="Z1696" s="109">
        <v>0</v>
      </c>
      <c r="AA1696" s="109">
        <v>47151588</v>
      </c>
      <c r="AB1696" s="109">
        <f t="shared" si="147"/>
        <v>47151588</v>
      </c>
      <c r="AC1696" s="1068">
        <v>42844</v>
      </c>
      <c r="AD1696" s="119">
        <v>47151588</v>
      </c>
      <c r="AE1696" s="98" t="s">
        <v>7</v>
      </c>
      <c r="AF1696" s="1043">
        <f>SUM(AD1696:AD1711)</f>
        <v>2579750238.0799994</v>
      </c>
      <c r="AG1696" s="1043">
        <f>AF1696+AF1712</f>
        <v>3453579685.2999992</v>
      </c>
      <c r="AH1696" s="88">
        <f t="shared" si="150"/>
        <v>0</v>
      </c>
      <c r="AI1696" s="1043">
        <f>O1696-AD1697-AD1698-AD1700-AD1703-AD1705-AD1707-AD1709-AD1711</f>
        <v>867625534.39999998</v>
      </c>
      <c r="AJ1696" s="1043">
        <f>SUM(Z1696:Z1711)-SUM(AD1696:AD1711)</f>
        <v>-200979949.98000002</v>
      </c>
      <c r="AK1696" s="1043">
        <f>O1696-V1696</f>
        <v>0</v>
      </c>
      <c r="AL1696" s="1043">
        <f>SUM(V1696:V1711)-SUM(Z1696:Z1711)+AJ1696</f>
        <v>960917766.92000055</v>
      </c>
      <c r="AM1696" s="1043"/>
      <c r="AN1696" s="1023" t="s">
        <v>2297</v>
      </c>
      <c r="AO1696" s="1125" t="s">
        <v>2296</v>
      </c>
      <c r="AQ1696" s="934"/>
    </row>
    <row r="1697" spans="1:43" s="4" customFormat="1" ht="15" customHeight="1">
      <c r="A1697" s="1050"/>
      <c r="B1697" s="1069"/>
      <c r="C1697" s="1033"/>
      <c r="D1697" s="1033"/>
      <c r="E1697" s="1098"/>
      <c r="F1697" s="1098"/>
      <c r="G1697" s="1033"/>
      <c r="H1697" s="1033"/>
      <c r="I1697" s="1033"/>
      <c r="J1697" s="1033"/>
      <c r="K1697" s="1033"/>
      <c r="L1697" s="1033"/>
      <c r="M1697" s="1039"/>
      <c r="N1697" s="1022"/>
      <c r="O1697" s="1063"/>
      <c r="P1697" s="1063"/>
      <c r="Q1697" s="1063"/>
      <c r="R1697" s="1063"/>
      <c r="S1697" s="1090"/>
      <c r="T1697" s="1063"/>
      <c r="U1697" s="1063"/>
      <c r="V1697" s="1063"/>
      <c r="W1697" s="1063"/>
      <c r="X1697" s="1033"/>
      <c r="Y1697" s="1123"/>
      <c r="Z1697" s="109">
        <v>0</v>
      </c>
      <c r="AA1697" s="109">
        <v>660982012</v>
      </c>
      <c r="AB1697" s="109">
        <f t="shared" si="147"/>
        <v>660982012</v>
      </c>
      <c r="AC1697" s="1070"/>
      <c r="AD1697" s="119">
        <v>660982012</v>
      </c>
      <c r="AE1697" s="98" t="s">
        <v>137</v>
      </c>
      <c r="AF1697" s="1044"/>
      <c r="AG1697" s="1044"/>
      <c r="AH1697" s="88">
        <f t="shared" si="150"/>
        <v>0</v>
      </c>
      <c r="AI1697" s="1044"/>
      <c r="AJ1697" s="1044"/>
      <c r="AK1697" s="1044"/>
      <c r="AL1697" s="1044"/>
      <c r="AM1697" s="1044"/>
      <c r="AN1697" s="1124"/>
      <c r="AO1697" s="1124"/>
      <c r="AQ1697" s="934"/>
    </row>
    <row r="1698" spans="1:43" s="4" customFormat="1" ht="15" customHeight="1">
      <c r="A1698" s="1050"/>
      <c r="B1698" s="1069"/>
      <c r="C1698" s="1033"/>
      <c r="D1698" s="1033"/>
      <c r="E1698" s="1098"/>
      <c r="F1698" s="1098"/>
      <c r="G1698" s="1033"/>
      <c r="H1698" s="1033"/>
      <c r="I1698" s="1033"/>
      <c r="J1698" s="1033"/>
      <c r="K1698" s="1033"/>
      <c r="L1698" s="1033"/>
      <c r="M1698" s="1039"/>
      <c r="N1698" s="1022"/>
      <c r="O1698" s="1063"/>
      <c r="P1698" s="1063"/>
      <c r="Q1698" s="1063"/>
      <c r="R1698" s="1063"/>
      <c r="S1698" s="1090"/>
      <c r="T1698" s="1063"/>
      <c r="U1698" s="1063"/>
      <c r="V1698" s="1063"/>
      <c r="W1698" s="1063"/>
      <c r="X1698" s="1033"/>
      <c r="Y1698" s="1123" t="s">
        <v>2294</v>
      </c>
      <c r="Z1698" s="109">
        <v>274985517.82999998</v>
      </c>
      <c r="AA1698" s="109">
        <v>-54997103.43</v>
      </c>
      <c r="AB1698" s="109">
        <f t="shared" si="147"/>
        <v>219988414.39999998</v>
      </c>
      <c r="AC1698" s="1068">
        <v>42928</v>
      </c>
      <c r="AD1698" s="119">
        <v>219988414.40000001</v>
      </c>
      <c r="AE1698" s="98" t="s">
        <v>137</v>
      </c>
      <c r="AF1698" s="1044"/>
      <c r="AG1698" s="1044"/>
      <c r="AH1698" s="88">
        <f t="shared" si="150"/>
        <v>0</v>
      </c>
      <c r="AI1698" s="1044"/>
      <c r="AJ1698" s="1044"/>
      <c r="AK1698" s="1044"/>
      <c r="AL1698" s="1044"/>
      <c r="AM1698" s="1044"/>
      <c r="AN1698" s="1124"/>
      <c r="AO1698" s="1124"/>
      <c r="AQ1698" s="934"/>
    </row>
    <row r="1699" spans="1:43" s="4" customFormat="1" ht="15" customHeight="1">
      <c r="A1699" s="1050"/>
      <c r="B1699" s="1069"/>
      <c r="C1699" s="1033"/>
      <c r="D1699" s="1033"/>
      <c r="E1699" s="1098"/>
      <c r="F1699" s="1098"/>
      <c r="G1699" s="1033"/>
      <c r="H1699" s="1033"/>
      <c r="I1699" s="1033"/>
      <c r="J1699" s="1033"/>
      <c r="K1699" s="1033"/>
      <c r="L1699" s="1033"/>
      <c r="M1699" s="1039"/>
      <c r="N1699" s="1022"/>
      <c r="O1699" s="1063"/>
      <c r="P1699" s="1063"/>
      <c r="Q1699" s="1063"/>
      <c r="R1699" s="1063"/>
      <c r="S1699" s="1090"/>
      <c r="T1699" s="1063"/>
      <c r="U1699" s="1063"/>
      <c r="V1699" s="1063"/>
      <c r="W1699" s="1063"/>
      <c r="X1699" s="1033"/>
      <c r="Y1699" s="1123"/>
      <c r="Z1699" s="109">
        <v>19616273.52</v>
      </c>
      <c r="AA1699" s="109">
        <v>-3923254.69</v>
      </c>
      <c r="AB1699" s="109">
        <f t="shared" si="147"/>
        <v>15693018.83</v>
      </c>
      <c r="AC1699" s="1070"/>
      <c r="AD1699" s="119">
        <v>0</v>
      </c>
      <c r="AE1699" s="98" t="s">
        <v>7</v>
      </c>
      <c r="AF1699" s="1044"/>
      <c r="AG1699" s="1044"/>
      <c r="AH1699" s="88">
        <f t="shared" si="150"/>
        <v>15693018.83</v>
      </c>
      <c r="AI1699" s="1044"/>
      <c r="AJ1699" s="1044"/>
      <c r="AK1699" s="1044"/>
      <c r="AL1699" s="1044"/>
      <c r="AM1699" s="1044"/>
      <c r="AN1699" s="1124"/>
      <c r="AO1699" s="1124"/>
      <c r="AQ1699" s="934"/>
    </row>
    <row r="1700" spans="1:43" s="4" customFormat="1" ht="15" customHeight="1">
      <c r="A1700" s="1050"/>
      <c r="B1700" s="1069"/>
      <c r="C1700" s="1033"/>
      <c r="D1700" s="1033"/>
      <c r="E1700" s="1098"/>
      <c r="F1700" s="1098"/>
      <c r="G1700" s="1033"/>
      <c r="H1700" s="1033"/>
      <c r="I1700" s="1033"/>
      <c r="J1700" s="1033"/>
      <c r="K1700" s="1033"/>
      <c r="L1700" s="1033"/>
      <c r="M1700" s="1039"/>
      <c r="N1700" s="1022"/>
      <c r="O1700" s="1063"/>
      <c r="P1700" s="1063"/>
      <c r="Q1700" s="1063"/>
      <c r="R1700" s="1063"/>
      <c r="S1700" s="1090"/>
      <c r="T1700" s="1063"/>
      <c r="U1700" s="1063"/>
      <c r="V1700" s="1063"/>
      <c r="W1700" s="1063"/>
      <c r="X1700" s="1033"/>
      <c r="Y1700" s="1065" t="s">
        <v>2293</v>
      </c>
      <c r="Z1700" s="109">
        <v>275223022.64999998</v>
      </c>
      <c r="AA1700" s="109">
        <v>-55044604.530000001</v>
      </c>
      <c r="AB1700" s="109">
        <f t="shared" si="147"/>
        <v>220178418.11999997</v>
      </c>
      <c r="AC1700" s="1068">
        <v>42956</v>
      </c>
      <c r="AD1700" s="119">
        <v>220178418.12</v>
      </c>
      <c r="AE1700" s="98" t="s">
        <v>137</v>
      </c>
      <c r="AF1700" s="1044"/>
      <c r="AG1700" s="1044"/>
      <c r="AH1700" s="88">
        <f t="shared" si="150"/>
        <v>0</v>
      </c>
      <c r="AI1700" s="1044"/>
      <c r="AJ1700" s="1044"/>
      <c r="AK1700" s="1044"/>
      <c r="AL1700" s="1044"/>
      <c r="AM1700" s="1044"/>
      <c r="AN1700" s="1124"/>
      <c r="AO1700" s="1124"/>
      <c r="AQ1700" s="934"/>
    </row>
    <row r="1701" spans="1:43" s="4" customFormat="1" ht="15" customHeight="1">
      <c r="A1701" s="1050"/>
      <c r="B1701" s="1069"/>
      <c r="C1701" s="1033"/>
      <c r="D1701" s="1033"/>
      <c r="E1701" s="1098"/>
      <c r="F1701" s="1098"/>
      <c r="G1701" s="1033"/>
      <c r="H1701" s="1033"/>
      <c r="I1701" s="1033"/>
      <c r="J1701" s="1033"/>
      <c r="K1701" s="1033"/>
      <c r="L1701" s="1033"/>
      <c r="M1701" s="1039"/>
      <c r="N1701" s="1022"/>
      <c r="O1701" s="1063"/>
      <c r="P1701" s="1063"/>
      <c r="Q1701" s="1063"/>
      <c r="R1701" s="1063"/>
      <c r="S1701" s="1090"/>
      <c r="T1701" s="1063"/>
      <c r="U1701" s="1063"/>
      <c r="V1701" s="1063"/>
      <c r="W1701" s="1063"/>
      <c r="X1701" s="1033"/>
      <c r="Y1701" s="1067"/>
      <c r="Z1701" s="109">
        <v>19633216.09</v>
      </c>
      <c r="AA1701" s="109">
        <v>-3926643.22</v>
      </c>
      <c r="AB1701" s="109">
        <f t="shared" si="147"/>
        <v>15706572.869999999</v>
      </c>
      <c r="AC1701" s="1070"/>
      <c r="AD1701" s="119">
        <v>0</v>
      </c>
      <c r="AE1701" s="98" t="s">
        <v>7</v>
      </c>
      <c r="AF1701" s="1044"/>
      <c r="AG1701" s="1044"/>
      <c r="AH1701" s="88">
        <f t="shared" si="150"/>
        <v>15706572.869999999</v>
      </c>
      <c r="AI1701" s="1044"/>
      <c r="AJ1701" s="1044"/>
      <c r="AK1701" s="1044"/>
      <c r="AL1701" s="1044"/>
      <c r="AM1701" s="1044"/>
      <c r="AN1701" s="1124"/>
      <c r="AO1701" s="1124"/>
      <c r="AQ1701" s="934"/>
    </row>
    <row r="1702" spans="1:43" s="4" customFormat="1" ht="15" customHeight="1">
      <c r="A1702" s="1050"/>
      <c r="B1702" s="1069"/>
      <c r="C1702" s="1033"/>
      <c r="D1702" s="1033"/>
      <c r="E1702" s="1098"/>
      <c r="F1702" s="1098"/>
      <c r="G1702" s="1033"/>
      <c r="H1702" s="1033"/>
      <c r="I1702" s="1033"/>
      <c r="J1702" s="1033"/>
      <c r="K1702" s="1033"/>
      <c r="L1702" s="1033"/>
      <c r="M1702" s="1039"/>
      <c r="N1702" s="1022"/>
      <c r="O1702" s="1063"/>
      <c r="P1702" s="1063"/>
      <c r="Q1702" s="1063"/>
      <c r="R1702" s="1063"/>
      <c r="S1702" s="1090"/>
      <c r="T1702" s="1063"/>
      <c r="U1702" s="1063"/>
      <c r="V1702" s="1063"/>
      <c r="W1702" s="1063"/>
      <c r="X1702" s="1033"/>
      <c r="Y1702" s="1065" t="s">
        <v>2292</v>
      </c>
      <c r="Z1702" s="109">
        <v>21229208.52</v>
      </c>
      <c r="AA1702" s="109">
        <v>-4245841.7</v>
      </c>
      <c r="AB1702" s="109">
        <f t="shared" si="147"/>
        <v>16983366.82</v>
      </c>
      <c r="AC1702" s="1068">
        <v>43004</v>
      </c>
      <c r="AD1702" s="119">
        <v>16983366.82</v>
      </c>
      <c r="AE1702" s="98" t="s">
        <v>7</v>
      </c>
      <c r="AF1702" s="1044"/>
      <c r="AG1702" s="1044"/>
      <c r="AH1702" s="88">
        <f t="shared" si="150"/>
        <v>0</v>
      </c>
      <c r="AI1702" s="1044"/>
      <c r="AJ1702" s="1044"/>
      <c r="AK1702" s="1044"/>
      <c r="AL1702" s="1044"/>
      <c r="AM1702" s="1044"/>
      <c r="AN1702" s="1124"/>
      <c r="AO1702" s="1124"/>
      <c r="AQ1702" s="934"/>
    </row>
    <row r="1703" spans="1:43" s="4" customFormat="1" ht="15" customHeight="1">
      <c r="A1703" s="1050"/>
      <c r="B1703" s="1069"/>
      <c r="C1703" s="1033"/>
      <c r="D1703" s="1033"/>
      <c r="E1703" s="1098"/>
      <c r="F1703" s="1098"/>
      <c r="G1703" s="1033"/>
      <c r="H1703" s="1033"/>
      <c r="I1703" s="1033"/>
      <c r="J1703" s="1033"/>
      <c r="K1703" s="1033"/>
      <c r="L1703" s="1033"/>
      <c r="M1703" s="1039"/>
      <c r="N1703" s="1022"/>
      <c r="O1703" s="1063"/>
      <c r="P1703" s="1063"/>
      <c r="Q1703" s="1063"/>
      <c r="R1703" s="1063"/>
      <c r="S1703" s="1090"/>
      <c r="T1703" s="1063"/>
      <c r="U1703" s="1063"/>
      <c r="V1703" s="1063"/>
      <c r="W1703" s="1063"/>
      <c r="X1703" s="1033"/>
      <c r="Y1703" s="1067"/>
      <c r="Z1703" s="109">
        <v>297596018.44</v>
      </c>
      <c r="AA1703" s="109">
        <v>-59519203.689999998</v>
      </c>
      <c r="AB1703" s="109">
        <f t="shared" si="147"/>
        <v>238076814.75</v>
      </c>
      <c r="AC1703" s="1070"/>
      <c r="AD1703" s="119">
        <v>238076814.75</v>
      </c>
      <c r="AE1703" s="98" t="s">
        <v>137</v>
      </c>
      <c r="AF1703" s="1044"/>
      <c r="AG1703" s="1044"/>
      <c r="AH1703" s="88">
        <f t="shared" si="150"/>
        <v>0</v>
      </c>
      <c r="AI1703" s="1044"/>
      <c r="AJ1703" s="1044"/>
      <c r="AK1703" s="1044"/>
      <c r="AL1703" s="1044"/>
      <c r="AM1703" s="1044"/>
      <c r="AN1703" s="1124"/>
      <c r="AO1703" s="1124"/>
      <c r="AQ1703" s="934"/>
    </row>
    <row r="1704" spans="1:43" s="4" customFormat="1" ht="15" customHeight="1">
      <c r="A1704" s="1050"/>
      <c r="B1704" s="1069"/>
      <c r="C1704" s="1033"/>
      <c r="D1704" s="1033"/>
      <c r="E1704" s="1098"/>
      <c r="F1704" s="1098"/>
      <c r="G1704" s="1033"/>
      <c r="H1704" s="1033"/>
      <c r="I1704" s="1033"/>
      <c r="J1704" s="1033"/>
      <c r="K1704" s="1033"/>
      <c r="L1704" s="1033"/>
      <c r="M1704" s="1039"/>
      <c r="N1704" s="1022"/>
      <c r="O1704" s="1063"/>
      <c r="P1704" s="1063"/>
      <c r="Q1704" s="1063"/>
      <c r="R1704" s="1063"/>
      <c r="S1704" s="1090"/>
      <c r="T1704" s="1063"/>
      <c r="U1704" s="1063"/>
      <c r="V1704" s="1063"/>
      <c r="W1704" s="1063"/>
      <c r="X1704" s="1033"/>
      <c r="Y1704" s="1065" t="s">
        <v>2291</v>
      </c>
      <c r="Z1704" s="109">
        <v>24903399.210000001</v>
      </c>
      <c r="AA1704" s="109">
        <v>-4980679.66</v>
      </c>
      <c r="AB1704" s="109">
        <f t="shared" si="147"/>
        <v>19922719.550000001</v>
      </c>
      <c r="AC1704" s="1068">
        <v>43007</v>
      </c>
      <c r="AD1704" s="119">
        <v>19922719.350000001</v>
      </c>
      <c r="AE1704" s="98" t="s">
        <v>7</v>
      </c>
      <c r="AF1704" s="1044"/>
      <c r="AG1704" s="1044"/>
      <c r="AH1704" s="88">
        <f t="shared" si="150"/>
        <v>0.19999999925494194</v>
      </c>
      <c r="AI1704" s="1044"/>
      <c r="AJ1704" s="1044"/>
      <c r="AK1704" s="1044"/>
      <c r="AL1704" s="1044"/>
      <c r="AM1704" s="1044"/>
      <c r="AN1704" s="1124"/>
      <c r="AO1704" s="1124"/>
      <c r="AQ1704" s="934"/>
    </row>
    <row r="1705" spans="1:43" s="4" customFormat="1" ht="15" customHeight="1">
      <c r="A1705" s="1050"/>
      <c r="B1705" s="1069"/>
      <c r="C1705" s="1033"/>
      <c r="D1705" s="1033"/>
      <c r="E1705" s="1098"/>
      <c r="F1705" s="1098"/>
      <c r="G1705" s="1033"/>
      <c r="H1705" s="1033"/>
      <c r="I1705" s="1033"/>
      <c r="J1705" s="1033"/>
      <c r="K1705" s="1033"/>
      <c r="L1705" s="1033"/>
      <c r="M1705" s="1039"/>
      <c r="N1705" s="1038"/>
      <c r="O1705" s="1064"/>
      <c r="P1705" s="1063"/>
      <c r="Q1705" s="1063"/>
      <c r="R1705" s="1063"/>
      <c r="S1705" s="1090"/>
      <c r="T1705" s="1064"/>
      <c r="U1705" s="1064"/>
      <c r="V1705" s="1064"/>
      <c r="W1705" s="1063"/>
      <c r="X1705" s="1033"/>
      <c r="Y1705" s="1067"/>
      <c r="Z1705" s="109">
        <v>349101684.38</v>
      </c>
      <c r="AA1705" s="109">
        <v>-69820337.159999996</v>
      </c>
      <c r="AB1705" s="109">
        <f t="shared" si="147"/>
        <v>279281347.22000003</v>
      </c>
      <c r="AC1705" s="1070"/>
      <c r="AD1705" s="119">
        <v>279281347.22000003</v>
      </c>
      <c r="AE1705" s="98" t="s">
        <v>137</v>
      </c>
      <c r="AF1705" s="1044"/>
      <c r="AG1705" s="1044"/>
      <c r="AH1705" s="88">
        <f t="shared" si="150"/>
        <v>0</v>
      </c>
      <c r="AI1705" s="1045"/>
      <c r="AJ1705" s="1044"/>
      <c r="AK1705" s="1045"/>
      <c r="AL1705" s="1044"/>
      <c r="AM1705" s="1044"/>
      <c r="AN1705" s="1124"/>
      <c r="AO1705" s="1124"/>
      <c r="AQ1705" s="934"/>
    </row>
    <row r="1706" spans="1:43" s="4" customFormat="1" ht="15" customHeight="1">
      <c r="A1706" s="1050"/>
      <c r="B1706" s="1069"/>
      <c r="C1706" s="1033"/>
      <c r="D1706" s="1033"/>
      <c r="E1706" s="1098"/>
      <c r="F1706" s="1098"/>
      <c r="G1706" s="1033"/>
      <c r="H1706" s="1033"/>
      <c r="I1706" s="1033"/>
      <c r="J1706" s="1033"/>
      <c r="K1706" s="1033"/>
      <c r="L1706" s="1033"/>
      <c r="M1706" s="1039"/>
      <c r="N1706" s="1122" t="s">
        <v>7</v>
      </c>
      <c r="O1706" s="1062">
        <v>235757942</v>
      </c>
      <c r="P1706" s="1063"/>
      <c r="Q1706" s="1063"/>
      <c r="R1706" s="1063"/>
      <c r="S1706" s="1090"/>
      <c r="T1706" s="1062"/>
      <c r="U1706" s="1062">
        <f>O1706-T1706</f>
        <v>235757942</v>
      </c>
      <c r="V1706" s="1062">
        <v>235757942</v>
      </c>
      <c r="W1706" s="1063"/>
      <c r="X1706" s="1033"/>
      <c r="Y1706" s="1065" t="s">
        <v>2290</v>
      </c>
      <c r="Z1706" s="109">
        <v>23293362.870000001</v>
      </c>
      <c r="AA1706" s="109">
        <v>-4658672.55</v>
      </c>
      <c r="AB1706" s="109">
        <f t="shared" si="147"/>
        <v>18634690.32</v>
      </c>
      <c r="AC1706" s="1068">
        <v>43038</v>
      </c>
      <c r="AD1706" s="119">
        <v>18634690.32</v>
      </c>
      <c r="AE1706" s="98" t="s">
        <v>7</v>
      </c>
      <c r="AF1706" s="1044"/>
      <c r="AG1706" s="1044"/>
      <c r="AH1706" s="88">
        <f t="shared" si="150"/>
        <v>0</v>
      </c>
      <c r="AI1706" s="1043">
        <f>O1706-AD1696-AD1699-AD1701-AD1702-AD1704-AD1706-AD1708-AD1710</f>
        <v>93292232.520000026</v>
      </c>
      <c r="AJ1706" s="1044"/>
      <c r="AK1706" s="1043">
        <f>O1706-V1706</f>
        <v>0</v>
      </c>
      <c r="AL1706" s="1044"/>
      <c r="AM1706" s="1044"/>
      <c r="AN1706" s="1124"/>
      <c r="AO1706" s="1124"/>
      <c r="AQ1706" s="934"/>
    </row>
    <row r="1707" spans="1:43" s="4" customFormat="1" ht="15" customHeight="1">
      <c r="A1707" s="1050"/>
      <c r="B1707" s="1069"/>
      <c r="C1707" s="1033"/>
      <c r="D1707" s="1033"/>
      <c r="E1707" s="1098"/>
      <c r="F1707" s="1098"/>
      <c r="G1707" s="1033"/>
      <c r="H1707" s="1033"/>
      <c r="I1707" s="1033"/>
      <c r="J1707" s="1033"/>
      <c r="K1707" s="1033"/>
      <c r="L1707" s="1033"/>
      <c r="M1707" s="1039"/>
      <c r="N1707" s="1122"/>
      <c r="O1707" s="1063"/>
      <c r="P1707" s="1063"/>
      <c r="Q1707" s="1063"/>
      <c r="R1707" s="1063"/>
      <c r="S1707" s="1090"/>
      <c r="T1707" s="1063"/>
      <c r="U1707" s="1063"/>
      <c r="V1707" s="1063"/>
      <c r="W1707" s="1063"/>
      <c r="X1707" s="1033"/>
      <c r="Y1707" s="1067"/>
      <c r="Z1707" s="109">
        <v>326531817.75999999</v>
      </c>
      <c r="AA1707" s="109">
        <v>-65306363.530000001</v>
      </c>
      <c r="AB1707" s="109">
        <f t="shared" si="147"/>
        <v>261225454.22999999</v>
      </c>
      <c r="AC1707" s="1070"/>
      <c r="AD1707" s="119">
        <v>261225454.22999999</v>
      </c>
      <c r="AE1707" s="98" t="s">
        <v>137</v>
      </c>
      <c r="AF1707" s="1044"/>
      <c r="AG1707" s="1044"/>
      <c r="AH1707" s="88">
        <f t="shared" si="150"/>
        <v>0</v>
      </c>
      <c r="AI1707" s="1044"/>
      <c r="AJ1707" s="1044"/>
      <c r="AK1707" s="1044"/>
      <c r="AL1707" s="1044"/>
      <c r="AM1707" s="1044"/>
      <c r="AN1707" s="1124"/>
      <c r="AO1707" s="1124"/>
      <c r="AQ1707" s="934"/>
    </row>
    <row r="1708" spans="1:43" s="4" customFormat="1" ht="15" customHeight="1">
      <c r="A1708" s="1050"/>
      <c r="B1708" s="1069"/>
      <c r="C1708" s="1033"/>
      <c r="D1708" s="1033"/>
      <c r="E1708" s="1098"/>
      <c r="F1708" s="1098"/>
      <c r="G1708" s="1033"/>
      <c r="H1708" s="1033"/>
      <c r="I1708" s="1033"/>
      <c r="J1708" s="1033"/>
      <c r="K1708" s="1033"/>
      <c r="L1708" s="1033"/>
      <c r="M1708" s="1039"/>
      <c r="N1708" s="1122"/>
      <c r="O1708" s="1063"/>
      <c r="P1708" s="1063"/>
      <c r="Q1708" s="1063"/>
      <c r="R1708" s="1063"/>
      <c r="S1708" s="1090"/>
      <c r="T1708" s="1063"/>
      <c r="U1708" s="1063"/>
      <c r="V1708" s="1063"/>
      <c r="W1708" s="1063"/>
      <c r="X1708" s="1033"/>
      <c r="Y1708" s="1065" t="s">
        <v>2289</v>
      </c>
      <c r="Z1708" s="109">
        <v>22693936.260000002</v>
      </c>
      <c r="AA1708" s="109">
        <v>-4538787.2699999996</v>
      </c>
      <c r="AB1708" s="109">
        <f t="shared" si="147"/>
        <v>18155148.990000002</v>
      </c>
      <c r="AC1708" s="1068">
        <v>42344</v>
      </c>
      <c r="AD1708" s="119">
        <v>18155148.989999998</v>
      </c>
      <c r="AE1708" s="98" t="s">
        <v>7</v>
      </c>
      <c r="AF1708" s="1044"/>
      <c r="AG1708" s="1044"/>
      <c r="AH1708" s="88">
        <f t="shared" si="150"/>
        <v>0</v>
      </c>
      <c r="AI1708" s="1044"/>
      <c r="AJ1708" s="1044"/>
      <c r="AK1708" s="1044"/>
      <c r="AL1708" s="1044"/>
      <c r="AM1708" s="1044"/>
      <c r="AN1708" s="1124"/>
      <c r="AO1708" s="1124"/>
      <c r="AQ1708" s="934"/>
    </row>
    <row r="1709" spans="1:43" s="4" customFormat="1" ht="15" customHeight="1">
      <c r="A1709" s="1050"/>
      <c r="B1709" s="1069"/>
      <c r="C1709" s="1033"/>
      <c r="D1709" s="1033"/>
      <c r="E1709" s="1098"/>
      <c r="F1709" s="1098"/>
      <c r="G1709" s="1033"/>
      <c r="H1709" s="1033"/>
      <c r="I1709" s="1033"/>
      <c r="J1709" s="1033"/>
      <c r="K1709" s="1033"/>
      <c r="L1709" s="1033"/>
      <c r="M1709" s="1039"/>
      <c r="N1709" s="1122"/>
      <c r="O1709" s="1063"/>
      <c r="P1709" s="1063"/>
      <c r="Q1709" s="1063"/>
      <c r="R1709" s="1063"/>
      <c r="S1709" s="1090"/>
      <c r="T1709" s="1063"/>
      <c r="U1709" s="1063"/>
      <c r="V1709" s="1063"/>
      <c r="W1709" s="1063"/>
      <c r="X1709" s="1033"/>
      <c r="Y1709" s="1067"/>
      <c r="Z1709" s="109">
        <v>318128915.01999998</v>
      </c>
      <c r="AA1709" s="109">
        <v>-63625783.280000001</v>
      </c>
      <c r="AB1709" s="109">
        <f t="shared" si="147"/>
        <v>254503131.73999998</v>
      </c>
      <c r="AC1709" s="1070"/>
      <c r="AD1709" s="119">
        <v>254503131.74000001</v>
      </c>
      <c r="AE1709" s="98" t="s">
        <v>137</v>
      </c>
      <c r="AF1709" s="1044"/>
      <c r="AG1709" s="1044"/>
      <c r="AH1709" s="88">
        <f t="shared" si="150"/>
        <v>0</v>
      </c>
      <c r="AI1709" s="1044"/>
      <c r="AJ1709" s="1044"/>
      <c r="AK1709" s="1044"/>
      <c r="AL1709" s="1044"/>
      <c r="AM1709" s="1044"/>
      <c r="AN1709" s="1124"/>
      <c r="AO1709" s="1124"/>
      <c r="AQ1709" s="934"/>
    </row>
    <row r="1710" spans="1:43" s="4" customFormat="1" ht="15" customHeight="1">
      <c r="A1710" s="1050"/>
      <c r="B1710" s="1069"/>
      <c r="C1710" s="1033"/>
      <c r="D1710" s="1033"/>
      <c r="E1710" s="1098"/>
      <c r="F1710" s="1098"/>
      <c r="G1710" s="1033"/>
      <c r="H1710" s="1033"/>
      <c r="I1710" s="1033"/>
      <c r="J1710" s="1033"/>
      <c r="K1710" s="1033"/>
      <c r="L1710" s="1033"/>
      <c r="M1710" s="1039"/>
      <c r="N1710" s="1122"/>
      <c r="O1710" s="1063"/>
      <c r="P1710" s="1063"/>
      <c r="Q1710" s="1063"/>
      <c r="R1710" s="1063"/>
      <c r="S1710" s="1090"/>
      <c r="T1710" s="1063"/>
      <c r="U1710" s="1063"/>
      <c r="V1710" s="1063"/>
      <c r="W1710" s="1063"/>
      <c r="X1710" s="1033"/>
      <c r="Y1710" s="1065" t="s">
        <v>2288</v>
      </c>
      <c r="Z1710" s="109">
        <v>27022745.02</v>
      </c>
      <c r="AA1710" s="109">
        <v>-5404549.0199999996</v>
      </c>
      <c r="AB1710" s="109">
        <f t="shared" si="147"/>
        <v>21618196</v>
      </c>
      <c r="AC1710" s="1068">
        <v>43096</v>
      </c>
      <c r="AD1710" s="119">
        <v>21618196</v>
      </c>
      <c r="AE1710" s="98" t="s">
        <v>7</v>
      </c>
      <c r="AF1710" s="1044"/>
      <c r="AG1710" s="1044"/>
      <c r="AH1710" s="88">
        <f t="shared" si="150"/>
        <v>0</v>
      </c>
      <c r="AI1710" s="1044"/>
      <c r="AJ1710" s="1044"/>
      <c r="AK1710" s="1044"/>
      <c r="AL1710" s="1044"/>
      <c r="AM1710" s="1044"/>
      <c r="AN1710" s="1124"/>
      <c r="AO1710" s="1124"/>
      <c r="AQ1710" s="934"/>
    </row>
    <row r="1711" spans="1:43" s="4" customFormat="1" ht="15" customHeight="1">
      <c r="A1711" s="1050"/>
      <c r="B1711" s="1069"/>
      <c r="C1711" s="1033"/>
      <c r="D1711" s="1033"/>
      <c r="E1711" s="1098"/>
      <c r="F1711" s="1098"/>
      <c r="G1711" s="1033"/>
      <c r="H1711" s="1033"/>
      <c r="I1711" s="1033"/>
      <c r="J1711" s="1033"/>
      <c r="K1711" s="1033"/>
      <c r="L1711" s="1033"/>
      <c r="M1711" s="1039"/>
      <c r="N1711" s="1122"/>
      <c r="O1711" s="1063"/>
      <c r="P1711" s="1064"/>
      <c r="Q1711" s="1063"/>
      <c r="R1711" s="1064"/>
      <c r="S1711" s="1091"/>
      <c r="T1711" s="1064"/>
      <c r="U1711" s="1064"/>
      <c r="V1711" s="1064"/>
      <c r="W1711" s="1063"/>
      <c r="X1711" s="1033"/>
      <c r="Y1711" s="1067"/>
      <c r="Z1711" s="109">
        <v>378811170.52999997</v>
      </c>
      <c r="AA1711" s="109">
        <v>-75762234.390000001</v>
      </c>
      <c r="AB1711" s="109">
        <f t="shared" si="147"/>
        <v>303048936.13999999</v>
      </c>
      <c r="AC1711" s="1070"/>
      <c r="AD1711" s="119">
        <v>303048936.13999999</v>
      </c>
      <c r="AE1711" s="98" t="s">
        <v>137</v>
      </c>
      <c r="AF1711" s="1045"/>
      <c r="AG1711" s="1044"/>
      <c r="AH1711" s="88">
        <f t="shared" si="150"/>
        <v>0</v>
      </c>
      <c r="AI1711" s="1045"/>
      <c r="AJ1711" s="1045"/>
      <c r="AK1711" s="1045"/>
      <c r="AL1711" s="1045"/>
      <c r="AM1711" s="1045"/>
      <c r="AN1711" s="1124"/>
      <c r="AO1711" s="1124"/>
      <c r="AQ1711" s="934"/>
    </row>
    <row r="1712" spans="1:43" s="4" customFormat="1" ht="15" customHeight="1">
      <c r="A1712" s="1050"/>
      <c r="B1712" s="1069"/>
      <c r="C1712" s="1033"/>
      <c r="D1712" s="1033"/>
      <c r="E1712" s="1098"/>
      <c r="F1712" s="1098"/>
      <c r="G1712" s="1033"/>
      <c r="H1712" s="1033"/>
      <c r="I1712" s="1033"/>
      <c r="J1712" s="1033"/>
      <c r="K1712" s="1033"/>
      <c r="L1712" s="1033"/>
      <c r="M1712" s="1009">
        <v>9</v>
      </c>
      <c r="N1712" s="1065" t="s">
        <v>135</v>
      </c>
      <c r="O1712" s="1062">
        <v>1184895607</v>
      </c>
      <c r="P1712" s="1062">
        <f>O1712</f>
        <v>1184895607</v>
      </c>
      <c r="Q1712" s="1063"/>
      <c r="R1712" s="1132">
        <v>42641</v>
      </c>
      <c r="S1712" s="1089">
        <f>T1712</f>
        <v>0</v>
      </c>
      <c r="T1712" s="1089"/>
      <c r="U1712" s="1089">
        <f>P1712-T1712</f>
        <v>1184895607</v>
      </c>
      <c r="V1712" s="1062">
        <v>1184895607</v>
      </c>
      <c r="W1712" s="1063"/>
      <c r="X1712" s="1033"/>
      <c r="Y1712" s="108" t="s">
        <v>2295</v>
      </c>
      <c r="Z1712" s="109">
        <v>0</v>
      </c>
      <c r="AA1712" s="109">
        <v>236979122</v>
      </c>
      <c r="AB1712" s="109">
        <f t="shared" si="147"/>
        <v>236979122</v>
      </c>
      <c r="AC1712" s="97">
        <v>42844</v>
      </c>
      <c r="AD1712" s="119">
        <v>236979122</v>
      </c>
      <c r="AE1712" s="1065" t="s">
        <v>135</v>
      </c>
      <c r="AF1712" s="1043">
        <f>SUM(AD1712:AD1719)</f>
        <v>873829447.22000003</v>
      </c>
      <c r="AG1712" s="1044"/>
      <c r="AH1712" s="88">
        <f t="shared" si="150"/>
        <v>0</v>
      </c>
      <c r="AI1712" s="1043">
        <f>V1712-AF1712</f>
        <v>311066159.77999997</v>
      </c>
      <c r="AJ1712" s="1043">
        <f>SUM(Z1712:Z1719)-SUM(AD1712:AD1719)</f>
        <v>-77766540.319999933</v>
      </c>
      <c r="AK1712" s="1062">
        <f>P1712-V1712</f>
        <v>0</v>
      </c>
      <c r="AL1712" s="1062">
        <f>V1712-SUM(Z1712:Z1719)+AJ1712</f>
        <v>311066159.77999997</v>
      </c>
      <c r="AM1712" s="1062"/>
      <c r="AN1712" s="1124"/>
      <c r="AO1712" s="1124"/>
      <c r="AQ1712" s="934"/>
    </row>
    <row r="1713" spans="1:43" s="4" customFormat="1" ht="15" customHeight="1">
      <c r="A1713" s="1050"/>
      <c r="B1713" s="1069"/>
      <c r="C1713" s="1033"/>
      <c r="D1713" s="1033"/>
      <c r="E1713" s="1098"/>
      <c r="F1713" s="1098"/>
      <c r="G1713" s="1033"/>
      <c r="H1713" s="1033"/>
      <c r="I1713" s="1033"/>
      <c r="J1713" s="1033"/>
      <c r="K1713" s="1033"/>
      <c r="L1713" s="1033"/>
      <c r="M1713" s="1039"/>
      <c r="N1713" s="1066"/>
      <c r="O1713" s="1063"/>
      <c r="P1713" s="1063"/>
      <c r="Q1713" s="1063"/>
      <c r="R1713" s="1133"/>
      <c r="S1713" s="1090"/>
      <c r="T1713" s="1090"/>
      <c r="U1713" s="1090"/>
      <c r="V1713" s="1063"/>
      <c r="W1713" s="1063"/>
      <c r="X1713" s="1033"/>
      <c r="Y1713" s="108" t="s">
        <v>2294</v>
      </c>
      <c r="Z1713" s="109">
        <v>98589409.650000006</v>
      </c>
      <c r="AA1713" s="109">
        <v>-19717881.879999999</v>
      </c>
      <c r="AB1713" s="109">
        <f t="shared" si="147"/>
        <v>78871527.770000011</v>
      </c>
      <c r="AC1713" s="97">
        <v>42928</v>
      </c>
      <c r="AD1713" s="119">
        <v>78871527.769999996</v>
      </c>
      <c r="AE1713" s="1066"/>
      <c r="AF1713" s="1044"/>
      <c r="AG1713" s="1044"/>
      <c r="AH1713" s="88">
        <f t="shared" si="150"/>
        <v>0</v>
      </c>
      <c r="AI1713" s="1044"/>
      <c r="AJ1713" s="1044"/>
      <c r="AK1713" s="1063"/>
      <c r="AL1713" s="1063"/>
      <c r="AM1713" s="1063"/>
      <c r="AN1713" s="1124"/>
      <c r="AO1713" s="1124"/>
      <c r="AQ1713" s="934"/>
    </row>
    <row r="1714" spans="1:43" s="4" customFormat="1" ht="15" customHeight="1">
      <c r="A1714" s="1050"/>
      <c r="B1714" s="1069"/>
      <c r="C1714" s="1033"/>
      <c r="D1714" s="1033"/>
      <c r="E1714" s="1098"/>
      <c r="F1714" s="1098"/>
      <c r="G1714" s="1033"/>
      <c r="H1714" s="1033"/>
      <c r="I1714" s="1033"/>
      <c r="J1714" s="1033"/>
      <c r="K1714" s="1033"/>
      <c r="L1714" s="1033"/>
      <c r="M1714" s="1039"/>
      <c r="N1714" s="1066"/>
      <c r="O1714" s="1063"/>
      <c r="P1714" s="1063"/>
      <c r="Q1714" s="1063"/>
      <c r="R1714" s="1133"/>
      <c r="S1714" s="1090"/>
      <c r="T1714" s="1090"/>
      <c r="U1714" s="1090"/>
      <c r="V1714" s="1063"/>
      <c r="W1714" s="1063"/>
      <c r="X1714" s="1033"/>
      <c r="Y1714" s="108" t="s">
        <v>2293</v>
      </c>
      <c r="Z1714" s="109">
        <v>98674561.260000005</v>
      </c>
      <c r="AA1714" s="109">
        <v>-19734912.25</v>
      </c>
      <c r="AB1714" s="109">
        <f t="shared" si="147"/>
        <v>78939649.010000005</v>
      </c>
      <c r="AC1714" s="97">
        <v>42956</v>
      </c>
      <c r="AD1714" s="119">
        <v>78939649.010000005</v>
      </c>
      <c r="AE1714" s="1066"/>
      <c r="AF1714" s="1044"/>
      <c r="AG1714" s="1044"/>
      <c r="AH1714" s="88">
        <f t="shared" si="150"/>
        <v>0</v>
      </c>
      <c r="AI1714" s="1044"/>
      <c r="AJ1714" s="1044"/>
      <c r="AK1714" s="1063"/>
      <c r="AL1714" s="1063"/>
      <c r="AM1714" s="1063"/>
      <c r="AN1714" s="1124"/>
      <c r="AO1714" s="1124"/>
      <c r="AQ1714" s="934"/>
    </row>
    <row r="1715" spans="1:43" s="4" customFormat="1" ht="15" customHeight="1">
      <c r="A1715" s="1050"/>
      <c r="B1715" s="1069"/>
      <c r="C1715" s="1033"/>
      <c r="D1715" s="1033"/>
      <c r="E1715" s="1098"/>
      <c r="F1715" s="1098"/>
      <c r="G1715" s="1033"/>
      <c r="H1715" s="1033"/>
      <c r="I1715" s="1033"/>
      <c r="J1715" s="1033"/>
      <c r="K1715" s="1033"/>
      <c r="L1715" s="1033"/>
      <c r="M1715" s="1039"/>
      <c r="N1715" s="1066"/>
      <c r="O1715" s="1063"/>
      <c r="P1715" s="1063"/>
      <c r="Q1715" s="1063"/>
      <c r="R1715" s="1133"/>
      <c r="S1715" s="1090"/>
      <c r="T1715" s="1090"/>
      <c r="U1715" s="1090"/>
      <c r="V1715" s="1063"/>
      <c r="W1715" s="1063"/>
      <c r="X1715" s="1033"/>
      <c r="Y1715" s="108" t="s">
        <v>2292</v>
      </c>
      <c r="Z1715" s="109">
        <v>106695858.04000001</v>
      </c>
      <c r="AA1715" s="109">
        <v>-21339171.609999999</v>
      </c>
      <c r="AB1715" s="109">
        <f t="shared" si="147"/>
        <v>85356686.430000007</v>
      </c>
      <c r="AC1715" s="97">
        <v>43004</v>
      </c>
      <c r="AD1715" s="119">
        <v>85356686.430000007</v>
      </c>
      <c r="AE1715" s="1066"/>
      <c r="AF1715" s="1044"/>
      <c r="AG1715" s="1044"/>
      <c r="AH1715" s="88">
        <f t="shared" si="150"/>
        <v>0</v>
      </c>
      <c r="AI1715" s="1044"/>
      <c r="AJ1715" s="1044"/>
      <c r="AK1715" s="1063"/>
      <c r="AL1715" s="1063"/>
      <c r="AM1715" s="1063"/>
      <c r="AN1715" s="1124"/>
      <c r="AO1715" s="1124"/>
      <c r="AQ1715" s="934"/>
    </row>
    <row r="1716" spans="1:43" s="4" customFormat="1" ht="15" customHeight="1">
      <c r="A1716" s="1050"/>
      <c r="B1716" s="1069"/>
      <c r="C1716" s="1033"/>
      <c r="D1716" s="1033"/>
      <c r="E1716" s="1098"/>
      <c r="F1716" s="1098"/>
      <c r="G1716" s="1033"/>
      <c r="H1716" s="1033"/>
      <c r="I1716" s="1033"/>
      <c r="J1716" s="1033"/>
      <c r="K1716" s="1033"/>
      <c r="L1716" s="1033"/>
      <c r="M1716" s="1039"/>
      <c r="N1716" s="1066"/>
      <c r="O1716" s="1063"/>
      <c r="P1716" s="1063"/>
      <c r="Q1716" s="1063"/>
      <c r="R1716" s="1133"/>
      <c r="S1716" s="1090"/>
      <c r="T1716" s="1090"/>
      <c r="U1716" s="1090"/>
      <c r="V1716" s="1063"/>
      <c r="W1716" s="1063"/>
      <c r="X1716" s="1033"/>
      <c r="Y1716" s="108" t="s">
        <v>2291</v>
      </c>
      <c r="Z1716" s="109">
        <v>125161969.41</v>
      </c>
      <c r="AA1716" s="109">
        <v>-25032393.98</v>
      </c>
      <c r="AB1716" s="109">
        <f t="shared" si="147"/>
        <v>100129575.42999999</v>
      </c>
      <c r="AC1716" s="97">
        <v>43007</v>
      </c>
      <c r="AD1716" s="119">
        <v>100129575.43000001</v>
      </c>
      <c r="AE1716" s="1066"/>
      <c r="AF1716" s="1044"/>
      <c r="AG1716" s="1044"/>
      <c r="AH1716" s="88">
        <f t="shared" si="150"/>
        <v>0</v>
      </c>
      <c r="AI1716" s="1044"/>
      <c r="AJ1716" s="1044"/>
      <c r="AK1716" s="1063"/>
      <c r="AL1716" s="1063"/>
      <c r="AM1716" s="1063"/>
      <c r="AN1716" s="1124"/>
      <c r="AO1716" s="1124"/>
      <c r="AQ1716" s="934"/>
    </row>
    <row r="1717" spans="1:43" s="4" customFormat="1" ht="15" customHeight="1">
      <c r="A1717" s="1050"/>
      <c r="B1717" s="1069"/>
      <c r="C1717" s="1033"/>
      <c r="D1717" s="1033"/>
      <c r="E1717" s="1098"/>
      <c r="F1717" s="1098"/>
      <c r="G1717" s="1033"/>
      <c r="H1717" s="1033"/>
      <c r="I1717" s="1033"/>
      <c r="J1717" s="1033"/>
      <c r="K1717" s="1033"/>
      <c r="L1717" s="1033"/>
      <c r="M1717" s="1039"/>
      <c r="N1717" s="1066"/>
      <c r="O1717" s="1063"/>
      <c r="P1717" s="1063"/>
      <c r="Q1717" s="1063"/>
      <c r="R1717" s="1133"/>
      <c r="S1717" s="1090"/>
      <c r="T1717" s="1090"/>
      <c r="U1717" s="1090"/>
      <c r="V1717" s="1063"/>
      <c r="W1717" s="1063"/>
      <c r="X1717" s="1033"/>
      <c r="Y1717" s="108" t="s">
        <v>2290</v>
      </c>
      <c r="Z1717" s="109">
        <v>117070089.37</v>
      </c>
      <c r="AA1717" s="109">
        <v>-23414017.920000002</v>
      </c>
      <c r="AB1717" s="109">
        <f t="shared" si="147"/>
        <v>93656071.450000003</v>
      </c>
      <c r="AC1717" s="97">
        <v>43038</v>
      </c>
      <c r="AD1717" s="119">
        <v>93656071.450000003</v>
      </c>
      <c r="AE1717" s="1066"/>
      <c r="AF1717" s="1044"/>
      <c r="AG1717" s="1044"/>
      <c r="AH1717" s="88">
        <f t="shared" si="150"/>
        <v>0</v>
      </c>
      <c r="AI1717" s="1044"/>
      <c r="AJ1717" s="1044"/>
      <c r="AK1717" s="1063"/>
      <c r="AL1717" s="1063"/>
      <c r="AM1717" s="1063"/>
      <c r="AN1717" s="1124"/>
      <c r="AO1717" s="1124"/>
      <c r="AQ1717" s="934"/>
    </row>
    <row r="1718" spans="1:43" s="4" customFormat="1" ht="15" customHeight="1">
      <c r="A1718" s="1050"/>
      <c r="B1718" s="1069"/>
      <c r="C1718" s="1033"/>
      <c r="D1718" s="1033"/>
      <c r="E1718" s="1098"/>
      <c r="F1718" s="1098"/>
      <c r="G1718" s="1033"/>
      <c r="H1718" s="1033"/>
      <c r="I1718" s="1033"/>
      <c r="J1718" s="1033"/>
      <c r="K1718" s="1033"/>
      <c r="L1718" s="1033"/>
      <c r="M1718" s="1039"/>
      <c r="N1718" s="1066"/>
      <c r="O1718" s="1063"/>
      <c r="P1718" s="1063"/>
      <c r="Q1718" s="1063"/>
      <c r="R1718" s="1133"/>
      <c r="S1718" s="1090"/>
      <c r="T1718" s="1090"/>
      <c r="U1718" s="1090"/>
      <c r="V1718" s="1063"/>
      <c r="W1718" s="1063"/>
      <c r="X1718" s="1033"/>
      <c r="Y1718" s="108" t="s">
        <v>2289</v>
      </c>
      <c r="Z1718" s="109">
        <v>114057431.72</v>
      </c>
      <c r="AA1718" s="109">
        <v>-22811486.449999999</v>
      </c>
      <c r="AB1718" s="109">
        <f t="shared" si="147"/>
        <v>91245945.269999996</v>
      </c>
      <c r="AC1718" s="97">
        <v>43075</v>
      </c>
      <c r="AD1718" s="119">
        <v>91245945.269999996</v>
      </c>
      <c r="AE1718" s="1066"/>
      <c r="AF1718" s="1044"/>
      <c r="AG1718" s="1044"/>
      <c r="AH1718" s="88">
        <f t="shared" si="150"/>
        <v>0</v>
      </c>
      <c r="AI1718" s="1044"/>
      <c r="AJ1718" s="1044"/>
      <c r="AK1718" s="1063"/>
      <c r="AL1718" s="1063"/>
      <c r="AM1718" s="1063"/>
      <c r="AN1718" s="1124"/>
      <c r="AO1718" s="1124"/>
      <c r="AQ1718" s="934"/>
    </row>
    <row r="1719" spans="1:43" s="4" customFormat="1" ht="15" customHeight="1">
      <c r="A1719" s="1050"/>
      <c r="B1719" s="1070"/>
      <c r="C1719" s="1012"/>
      <c r="D1719" s="1012"/>
      <c r="E1719" s="1099"/>
      <c r="F1719" s="1099"/>
      <c r="G1719" s="1012"/>
      <c r="H1719" s="1012"/>
      <c r="I1719" s="1012"/>
      <c r="J1719" s="1012"/>
      <c r="K1719" s="1012"/>
      <c r="L1719" s="1012"/>
      <c r="M1719" s="1039"/>
      <c r="N1719" s="1066"/>
      <c r="O1719" s="1063"/>
      <c r="P1719" s="1064"/>
      <c r="Q1719" s="1064"/>
      <c r="R1719" s="1133"/>
      <c r="S1719" s="1091"/>
      <c r="T1719" s="1091"/>
      <c r="U1719" s="1091"/>
      <c r="V1719" s="1063"/>
      <c r="W1719" s="1063"/>
      <c r="X1719" s="1012"/>
      <c r="Y1719" s="108" t="s">
        <v>2288</v>
      </c>
      <c r="Z1719" s="109">
        <v>135813587.44999999</v>
      </c>
      <c r="AA1719" s="109">
        <v>-27162717.59</v>
      </c>
      <c r="AB1719" s="109">
        <f t="shared" si="147"/>
        <v>108650869.85999998</v>
      </c>
      <c r="AC1719" s="97">
        <v>43096</v>
      </c>
      <c r="AD1719" s="119">
        <v>108650869.86</v>
      </c>
      <c r="AE1719" s="1066"/>
      <c r="AF1719" s="1045"/>
      <c r="AG1719" s="1045"/>
      <c r="AH1719" s="88">
        <f t="shared" si="150"/>
        <v>0</v>
      </c>
      <c r="AI1719" s="1045"/>
      <c r="AJ1719" s="1045"/>
      <c r="AK1719" s="1064"/>
      <c r="AL1719" s="1064"/>
      <c r="AM1719" s="1064"/>
      <c r="AN1719" s="1024"/>
      <c r="AO1719" s="1024"/>
      <c r="AQ1719" s="934"/>
    </row>
    <row r="1720" spans="1:43" s="4" customFormat="1" ht="15" customHeight="1">
      <c r="A1720" s="1050"/>
      <c r="B1720" s="711"/>
      <c r="C1720" s="705"/>
      <c r="D1720" s="705"/>
      <c r="E1720" s="712"/>
      <c r="F1720" s="712"/>
      <c r="G1720" s="705"/>
      <c r="H1720" s="705"/>
      <c r="I1720" s="705"/>
      <c r="J1720" s="705"/>
      <c r="K1720" s="705"/>
      <c r="L1720" s="705"/>
      <c r="M1720" s="1039"/>
      <c r="N1720" s="1066"/>
      <c r="O1720" s="1063"/>
      <c r="P1720" s="708"/>
      <c r="Q1720" s="708"/>
      <c r="R1720" s="1133"/>
      <c r="S1720" s="709"/>
      <c r="T1720" s="709"/>
      <c r="U1720" s="709"/>
      <c r="V1720" s="1063"/>
      <c r="W1720" s="1063"/>
      <c r="X1720" s="705"/>
      <c r="Y1720" s="710" t="s">
        <v>2718</v>
      </c>
      <c r="Z1720" s="714">
        <v>138859911.25</v>
      </c>
      <c r="AA1720" s="714">
        <v>-27771982.25</v>
      </c>
      <c r="AB1720" s="714">
        <f>+Z1720+AA1720</f>
        <v>111087929</v>
      </c>
      <c r="AC1720" s="713">
        <v>43151</v>
      </c>
      <c r="AD1720" s="715">
        <f>+AB1720</f>
        <v>111087929</v>
      </c>
      <c r="AE1720" s="1066"/>
      <c r="AF1720" s="707"/>
      <c r="AG1720" s="707"/>
      <c r="AH1720" s="706"/>
      <c r="AI1720" s="707"/>
      <c r="AJ1720" s="707"/>
      <c r="AK1720" s="708"/>
      <c r="AL1720" s="708"/>
      <c r="AM1720" s="708"/>
      <c r="AN1720" s="704"/>
      <c r="AO1720" s="704"/>
      <c r="AQ1720" s="934"/>
    </row>
    <row r="1721" spans="1:43" s="4" customFormat="1" ht="15" customHeight="1">
      <c r="A1721" s="1016"/>
      <c r="B1721" s="711"/>
      <c r="C1721" s="705"/>
      <c r="D1721" s="705"/>
      <c r="E1721" s="712"/>
      <c r="F1721" s="712"/>
      <c r="G1721" s="705"/>
      <c r="H1721" s="705"/>
      <c r="I1721" s="705"/>
      <c r="J1721" s="705"/>
      <c r="K1721" s="705"/>
      <c r="L1721" s="705"/>
      <c r="M1721" s="1010"/>
      <c r="N1721" s="1067"/>
      <c r="O1721" s="1064"/>
      <c r="P1721" s="708"/>
      <c r="Q1721" s="708"/>
      <c r="R1721" s="1134"/>
      <c r="S1721" s="709"/>
      <c r="T1721" s="709"/>
      <c r="U1721" s="709"/>
      <c r="V1721" s="1064"/>
      <c r="W1721" s="1064"/>
      <c r="X1721" s="705"/>
      <c r="Y1721" s="710" t="s">
        <v>2719</v>
      </c>
      <c r="Z1721" s="714">
        <v>124146316.3</v>
      </c>
      <c r="AA1721" s="714">
        <v>-24829263.16</v>
      </c>
      <c r="AB1721" s="714">
        <f>+Z1721+AA1721</f>
        <v>99317053.140000001</v>
      </c>
      <c r="AC1721" s="713">
        <v>43187</v>
      </c>
      <c r="AD1721" s="715">
        <f>+AB1721</f>
        <v>99317053.140000001</v>
      </c>
      <c r="AE1721" s="1067"/>
      <c r="AF1721" s="707"/>
      <c r="AG1721" s="707"/>
      <c r="AH1721" s="706"/>
      <c r="AI1721" s="707"/>
      <c r="AJ1721" s="707"/>
      <c r="AK1721" s="708"/>
      <c r="AL1721" s="708"/>
      <c r="AM1721" s="708"/>
      <c r="AN1721" s="704"/>
      <c r="AO1721" s="704"/>
      <c r="AQ1721" s="934"/>
    </row>
    <row r="1722" spans="1:43" s="4" customFormat="1" ht="15" customHeight="1">
      <c r="A1722" s="1030" t="s">
        <v>2287</v>
      </c>
      <c r="B1722" s="1068">
        <v>42843</v>
      </c>
      <c r="C1722" s="1011" t="s">
        <v>22</v>
      </c>
      <c r="D1722" s="1011" t="s">
        <v>2286</v>
      </c>
      <c r="E1722" s="1097">
        <v>16581715</v>
      </c>
      <c r="F1722" s="1097"/>
      <c r="G1722" s="1011" t="s">
        <v>2879</v>
      </c>
      <c r="H1722" s="1011" t="s">
        <v>72</v>
      </c>
      <c r="I1722" s="1011" t="s">
        <v>206</v>
      </c>
      <c r="J1722" s="1011" t="s">
        <v>66</v>
      </c>
      <c r="K1722" s="1011" t="s">
        <v>48</v>
      </c>
      <c r="L1722" s="1011"/>
      <c r="M1722" s="1009">
        <v>11</v>
      </c>
      <c r="N1722" s="1065" t="s">
        <v>145</v>
      </c>
      <c r="O1722" s="1062">
        <v>35780000</v>
      </c>
      <c r="P1722" s="1062">
        <v>35780000</v>
      </c>
      <c r="Q1722" s="1062">
        <f>SUM(P1722:P1725)</f>
        <v>40833230</v>
      </c>
      <c r="R1722" s="1068">
        <v>42705</v>
      </c>
      <c r="S1722" s="1089">
        <f>T1722</f>
        <v>35780000</v>
      </c>
      <c r="T1722" s="1089">
        <v>35780000</v>
      </c>
      <c r="U1722" s="1089">
        <f>P1722-T1722</f>
        <v>0</v>
      </c>
      <c r="V1722" s="1089">
        <v>35780000</v>
      </c>
      <c r="W1722" s="1062">
        <f>V1722+V1724</f>
        <v>40833200</v>
      </c>
      <c r="X1722" s="1011"/>
      <c r="Y1722" s="108" t="s">
        <v>2284</v>
      </c>
      <c r="Z1722" s="109">
        <v>10940860</v>
      </c>
      <c r="AA1722" s="109">
        <v>0</v>
      </c>
      <c r="AB1722" s="109">
        <f>SUM(Z1722:AA1722)</f>
        <v>10940860</v>
      </c>
      <c r="AC1722" s="97">
        <v>42993</v>
      </c>
      <c r="AD1722" s="119">
        <v>10940860</v>
      </c>
      <c r="AE1722" s="108" t="s">
        <v>145</v>
      </c>
      <c r="AF1722" s="1043">
        <f>SUM(AD1722:AD1723)</f>
        <v>10940860</v>
      </c>
      <c r="AG1722" s="1043">
        <f>AF1722+AF1724</f>
        <v>10940860</v>
      </c>
      <c r="AH1722" s="88">
        <f t="shared" si="150"/>
        <v>0</v>
      </c>
      <c r="AI1722" s="1043">
        <f>P1722-AF1722</f>
        <v>24839140</v>
      </c>
      <c r="AJ1722" s="1043">
        <f>SUM(Z1722:Z1725)-SUM(AD1722:AD1725)</f>
        <v>0</v>
      </c>
      <c r="AK1722" s="1043">
        <f>P1722-V1722</f>
        <v>0</v>
      </c>
      <c r="AL1722" s="1043">
        <f>V1722-Z1722-Z1723</f>
        <v>24839140</v>
      </c>
      <c r="AM1722" s="1062"/>
      <c r="AN1722" s="1108" t="s">
        <v>2283</v>
      </c>
      <c r="AO1722" s="1108" t="s">
        <v>2282</v>
      </c>
      <c r="AQ1722" s="934"/>
    </row>
    <row r="1723" spans="1:43" s="4" customFormat="1" ht="15" customHeight="1">
      <c r="A1723" s="1031"/>
      <c r="B1723" s="1069"/>
      <c r="C1723" s="1033"/>
      <c r="D1723" s="1033"/>
      <c r="E1723" s="1098"/>
      <c r="F1723" s="1098"/>
      <c r="G1723" s="1033"/>
      <c r="H1723" s="1033"/>
      <c r="I1723" s="1033"/>
      <c r="J1723" s="1012"/>
      <c r="K1723" s="1033"/>
      <c r="L1723" s="1033"/>
      <c r="M1723" s="1010"/>
      <c r="N1723" s="1067"/>
      <c r="O1723" s="1064"/>
      <c r="P1723" s="1064"/>
      <c r="Q1723" s="1063"/>
      <c r="R1723" s="1070"/>
      <c r="S1723" s="1091"/>
      <c r="T1723" s="1091"/>
      <c r="U1723" s="1091"/>
      <c r="V1723" s="1091"/>
      <c r="W1723" s="1063"/>
      <c r="X1723" s="1033"/>
      <c r="Y1723" s="108"/>
      <c r="Z1723" s="109"/>
      <c r="AA1723" s="109"/>
      <c r="AB1723" s="109">
        <f>SUM(Z1723:AA1723)</f>
        <v>0</v>
      </c>
      <c r="AC1723" s="97"/>
      <c r="AD1723" s="119"/>
      <c r="AE1723" s="108"/>
      <c r="AF1723" s="1045"/>
      <c r="AG1723" s="1044"/>
      <c r="AH1723" s="88">
        <f t="shared" si="150"/>
        <v>0</v>
      </c>
      <c r="AI1723" s="1045"/>
      <c r="AJ1723" s="1044"/>
      <c r="AK1723" s="1045"/>
      <c r="AL1723" s="1045"/>
      <c r="AM1723" s="1063"/>
      <c r="AN1723" s="1109"/>
      <c r="AO1723" s="1109"/>
      <c r="AQ1723" s="934"/>
    </row>
    <row r="1724" spans="1:43" s="4" customFormat="1" ht="15" customHeight="1">
      <c r="A1724" s="1031"/>
      <c r="B1724" s="1069"/>
      <c r="C1724" s="1033"/>
      <c r="D1724" s="1033"/>
      <c r="E1724" s="1098"/>
      <c r="F1724" s="1098"/>
      <c r="G1724" s="1033"/>
      <c r="H1724" s="1033"/>
      <c r="I1724" s="1033"/>
      <c r="J1724" s="1011" t="s">
        <v>67</v>
      </c>
      <c r="K1724" s="1033"/>
      <c r="L1724" s="1033"/>
      <c r="M1724" s="1009">
        <v>3564</v>
      </c>
      <c r="N1724" s="1065" t="s">
        <v>145</v>
      </c>
      <c r="O1724" s="1062">
        <v>5053230</v>
      </c>
      <c r="P1724" s="1062">
        <v>5053230</v>
      </c>
      <c r="Q1724" s="1063"/>
      <c r="R1724" s="1068"/>
      <c r="S1724" s="1062">
        <f>T1724</f>
        <v>5053200</v>
      </c>
      <c r="T1724" s="1062">
        <v>5053200</v>
      </c>
      <c r="U1724" s="1062">
        <f>P1724-T1724</f>
        <v>30</v>
      </c>
      <c r="V1724" s="1062">
        <v>5053200</v>
      </c>
      <c r="W1724" s="1063"/>
      <c r="X1724" s="1033"/>
      <c r="Y1724" s="108"/>
      <c r="Z1724" s="109"/>
      <c r="AA1724" s="109"/>
      <c r="AB1724" s="109">
        <f>SUM(Z1724:AA1724)</f>
        <v>0</v>
      </c>
      <c r="AC1724" s="97"/>
      <c r="AD1724" s="119"/>
      <c r="AE1724" s="108"/>
      <c r="AF1724" s="1043">
        <f>SUM(AD1724:AD1725)</f>
        <v>0</v>
      </c>
      <c r="AG1724" s="1044"/>
      <c r="AH1724" s="88">
        <f t="shared" si="150"/>
        <v>0</v>
      </c>
      <c r="AI1724" s="1043">
        <f>P1724-AF1724</f>
        <v>5053230</v>
      </c>
      <c r="AJ1724" s="1044"/>
      <c r="AK1724" s="1043">
        <f>P1724-V1724</f>
        <v>30</v>
      </c>
      <c r="AL1724" s="1043">
        <f>V1724-Z1724-Z1725</f>
        <v>5053200</v>
      </c>
      <c r="AM1724" s="1063"/>
      <c r="AN1724" s="1109"/>
      <c r="AO1724" s="1109"/>
      <c r="AQ1724" s="934"/>
    </row>
    <row r="1725" spans="1:43" s="4" customFormat="1" ht="15" customHeight="1">
      <c r="A1725" s="1032"/>
      <c r="B1725" s="1070"/>
      <c r="C1725" s="1012"/>
      <c r="D1725" s="1012"/>
      <c r="E1725" s="1099"/>
      <c r="F1725" s="1099"/>
      <c r="G1725" s="1012"/>
      <c r="H1725" s="1012"/>
      <c r="I1725" s="1012"/>
      <c r="J1725" s="1012"/>
      <c r="K1725" s="1012"/>
      <c r="L1725" s="1012"/>
      <c r="M1725" s="1010"/>
      <c r="N1725" s="1067"/>
      <c r="O1725" s="1064"/>
      <c r="P1725" s="1064"/>
      <c r="Q1725" s="1064"/>
      <c r="R1725" s="1070"/>
      <c r="S1725" s="1064"/>
      <c r="T1725" s="1064"/>
      <c r="U1725" s="1064"/>
      <c r="V1725" s="1064"/>
      <c r="W1725" s="1064"/>
      <c r="X1725" s="1012"/>
      <c r="Y1725" s="108"/>
      <c r="Z1725" s="109"/>
      <c r="AA1725" s="109"/>
      <c r="AB1725" s="109">
        <f>SUM(Z1725:AA1725)</f>
        <v>0</v>
      </c>
      <c r="AC1725" s="97"/>
      <c r="AD1725" s="119"/>
      <c r="AE1725" s="108"/>
      <c r="AF1725" s="1045"/>
      <c r="AG1725" s="1045"/>
      <c r="AH1725" s="88">
        <f t="shared" si="150"/>
        <v>0</v>
      </c>
      <c r="AI1725" s="1045"/>
      <c r="AJ1725" s="1045"/>
      <c r="AK1725" s="1045"/>
      <c r="AL1725" s="1045"/>
      <c r="AM1725" s="1064"/>
      <c r="AN1725" s="1110"/>
      <c r="AO1725" s="1110"/>
      <c r="AQ1725" s="934"/>
    </row>
    <row r="1726" spans="1:43" ht="15" customHeight="1">
      <c r="A1726" s="1030" t="s">
        <v>2302</v>
      </c>
      <c r="B1726" s="1068">
        <v>42429</v>
      </c>
      <c r="C1726" s="1011" t="s">
        <v>26</v>
      </c>
      <c r="D1726" s="1011" t="s">
        <v>2303</v>
      </c>
      <c r="E1726" s="1366">
        <v>900939488</v>
      </c>
      <c r="F1726" s="1071">
        <v>6</v>
      </c>
      <c r="G1726" s="1011" t="s">
        <v>2304</v>
      </c>
      <c r="H1726" s="1011" t="s">
        <v>71</v>
      </c>
      <c r="I1726" s="1011" t="s">
        <v>206</v>
      </c>
      <c r="J1726" s="1011" t="s">
        <v>66</v>
      </c>
      <c r="K1726" s="1011" t="s">
        <v>48</v>
      </c>
      <c r="L1726" s="155"/>
      <c r="M1726" s="1009">
        <v>6</v>
      </c>
      <c r="N1726" s="1065" t="s">
        <v>149</v>
      </c>
      <c r="O1726" s="1062">
        <v>879570000</v>
      </c>
      <c r="P1726" s="1062">
        <f>O1726</f>
        <v>879570000</v>
      </c>
      <c r="Q1726" s="158"/>
      <c r="R1726" s="156"/>
      <c r="S1726" s="161"/>
      <c r="T1726" s="158"/>
      <c r="U1726" s="158"/>
      <c r="V1726" s="161">
        <v>57458750</v>
      </c>
      <c r="W1726" s="159">
        <f>SUM(V1726:V1729)</f>
        <v>87088379</v>
      </c>
      <c r="X1726" s="155"/>
      <c r="Y1726" s="160" t="s">
        <v>2305</v>
      </c>
      <c r="Z1726" s="158"/>
      <c r="AA1726" s="158"/>
      <c r="AB1726" s="158"/>
      <c r="AC1726" s="156">
        <v>43082</v>
      </c>
      <c r="AD1726" s="163">
        <v>41018627</v>
      </c>
      <c r="AE1726" s="164" t="s">
        <v>149</v>
      </c>
      <c r="AF1726" s="159"/>
      <c r="AG1726" s="159"/>
      <c r="AH1726" s="159"/>
      <c r="AI1726" s="159"/>
      <c r="AJ1726" s="158"/>
      <c r="AK1726" s="158"/>
      <c r="AL1726" s="158"/>
      <c r="AM1726" s="158"/>
      <c r="AN1726" s="162"/>
      <c r="AO1726" s="1103" t="s">
        <v>2314</v>
      </c>
    </row>
    <row r="1727" spans="1:43" ht="15" customHeight="1">
      <c r="A1727" s="1031"/>
      <c r="B1727" s="1069"/>
      <c r="C1727" s="1033"/>
      <c r="D1727" s="1033"/>
      <c r="E1727" s="1367"/>
      <c r="F1727" s="1072"/>
      <c r="G1727" s="1033"/>
      <c r="H1727" s="1033"/>
      <c r="I1727" s="1033"/>
      <c r="J1727" s="1033"/>
      <c r="K1727" s="1033"/>
      <c r="L1727" s="155"/>
      <c r="M1727" s="1039"/>
      <c r="N1727" s="1066"/>
      <c r="O1727" s="1063"/>
      <c r="P1727" s="1063"/>
      <c r="Q1727" s="158"/>
      <c r="R1727" s="156"/>
      <c r="S1727" s="161"/>
      <c r="T1727" s="158"/>
      <c r="U1727" s="158"/>
      <c r="V1727" s="159"/>
      <c r="W1727" s="158"/>
      <c r="X1727" s="155"/>
      <c r="Y1727" s="160"/>
      <c r="Z1727" s="158"/>
      <c r="AA1727" s="158"/>
      <c r="AB1727" s="158"/>
      <c r="AC1727" s="156"/>
      <c r="AD1727" s="163"/>
      <c r="AE1727" s="164"/>
      <c r="AF1727" s="159"/>
      <c r="AG1727" s="159"/>
      <c r="AH1727" s="159"/>
      <c r="AI1727" s="159"/>
      <c r="AJ1727" s="158"/>
      <c r="AK1727" s="158"/>
      <c r="AL1727" s="158"/>
      <c r="AM1727" s="158"/>
      <c r="AN1727" s="162"/>
      <c r="AO1727" s="1104"/>
    </row>
    <row r="1728" spans="1:43" ht="15" customHeight="1">
      <c r="A1728" s="1031"/>
      <c r="B1728" s="1069"/>
      <c r="C1728" s="1033"/>
      <c r="D1728" s="1033"/>
      <c r="E1728" s="1367"/>
      <c r="F1728" s="1072"/>
      <c r="G1728" s="1033"/>
      <c r="H1728" s="1033"/>
      <c r="I1728" s="1033"/>
      <c r="J1728" s="1012"/>
      <c r="K1728" s="1033"/>
      <c r="L1728" s="155"/>
      <c r="M1728" s="1010"/>
      <c r="N1728" s="1067"/>
      <c r="O1728" s="1064"/>
      <c r="P1728" s="1064"/>
      <c r="Q1728" s="158"/>
      <c r="R1728" s="156"/>
      <c r="S1728" s="161"/>
      <c r="T1728" s="158"/>
      <c r="U1728" s="158"/>
      <c r="V1728" s="159"/>
      <c r="W1728" s="158"/>
      <c r="X1728" s="155"/>
      <c r="Y1728" s="160"/>
      <c r="Z1728" s="158"/>
      <c r="AA1728" s="158"/>
      <c r="AB1728" s="158"/>
      <c r="AC1728" s="156"/>
      <c r="AD1728" s="163"/>
      <c r="AE1728" s="164"/>
      <c r="AF1728" s="159"/>
      <c r="AG1728" s="159"/>
      <c r="AH1728" s="159"/>
      <c r="AI1728" s="159"/>
      <c r="AJ1728" s="158"/>
      <c r="AK1728" s="158"/>
      <c r="AL1728" s="158"/>
      <c r="AM1728" s="158"/>
      <c r="AN1728" s="162"/>
      <c r="AO1728" s="1104"/>
    </row>
    <row r="1729" spans="1:46" ht="15" customHeight="1">
      <c r="A1729" s="1031"/>
      <c r="B1729" s="1069"/>
      <c r="C1729" s="1033"/>
      <c r="D1729" s="1033"/>
      <c r="E1729" s="1367"/>
      <c r="F1729" s="1072"/>
      <c r="G1729" s="1033"/>
      <c r="H1729" s="1033"/>
      <c r="I1729" s="1033"/>
      <c r="J1729" s="1011" t="s">
        <v>67</v>
      </c>
      <c r="K1729" s="1033"/>
      <c r="L1729" s="155"/>
      <c r="M1729" s="1009">
        <v>9</v>
      </c>
      <c r="N1729" s="1065" t="s">
        <v>154</v>
      </c>
      <c r="O1729" s="1062">
        <v>19259259</v>
      </c>
      <c r="P1729" s="1062">
        <f>O1729</f>
        <v>19259259</v>
      </c>
      <c r="Q1729" s="158"/>
      <c r="R1729" s="156"/>
      <c r="S1729" s="161"/>
      <c r="T1729" s="158"/>
      <c r="U1729" s="158"/>
      <c r="V1729" s="159">
        <f>SUM(O1729:O1731)</f>
        <v>29629629</v>
      </c>
      <c r="W1729" s="158"/>
      <c r="X1729" s="155"/>
      <c r="Y1729" s="160"/>
      <c r="Z1729" s="158"/>
      <c r="AA1729" s="158"/>
      <c r="AB1729" s="158"/>
      <c r="AC1729" s="156"/>
      <c r="AD1729" s="163"/>
      <c r="AE1729" s="164"/>
      <c r="AF1729" s="159"/>
      <c r="AG1729" s="159"/>
      <c r="AH1729" s="159"/>
      <c r="AI1729" s="159"/>
      <c r="AJ1729" s="158"/>
      <c r="AK1729" s="158"/>
      <c r="AL1729" s="158"/>
      <c r="AM1729" s="158"/>
      <c r="AN1729" s="162"/>
      <c r="AO1729" s="1104"/>
    </row>
    <row r="1730" spans="1:46" ht="15" customHeight="1">
      <c r="A1730" s="1031"/>
      <c r="B1730" s="1069"/>
      <c r="C1730" s="1033"/>
      <c r="D1730" s="1033"/>
      <c r="E1730" s="1367"/>
      <c r="F1730" s="1072"/>
      <c r="G1730" s="1033"/>
      <c r="H1730" s="1033"/>
      <c r="I1730" s="1033"/>
      <c r="J1730" s="1033"/>
      <c r="K1730" s="1033"/>
      <c r="L1730" s="155"/>
      <c r="M1730" s="1010"/>
      <c r="N1730" s="1067"/>
      <c r="O1730" s="1064"/>
      <c r="P1730" s="1064"/>
      <c r="Q1730" s="158"/>
      <c r="R1730" s="156"/>
      <c r="S1730" s="161"/>
      <c r="T1730" s="158"/>
      <c r="U1730" s="158"/>
      <c r="V1730" s="159"/>
      <c r="W1730" s="158"/>
      <c r="X1730" s="155"/>
      <c r="Y1730" s="160"/>
      <c r="Z1730" s="158"/>
      <c r="AA1730" s="158"/>
      <c r="AB1730" s="158"/>
      <c r="AC1730" s="156"/>
      <c r="AD1730" s="163"/>
      <c r="AE1730" s="164"/>
      <c r="AF1730" s="159"/>
      <c r="AG1730" s="159"/>
      <c r="AH1730" s="159"/>
      <c r="AI1730" s="159"/>
      <c r="AJ1730" s="158"/>
      <c r="AK1730" s="158"/>
      <c r="AL1730" s="158"/>
      <c r="AM1730" s="158"/>
      <c r="AN1730" s="162"/>
      <c r="AO1730" s="1104"/>
    </row>
    <row r="1731" spans="1:46" ht="15" customHeight="1">
      <c r="A1731" s="1032"/>
      <c r="B1731" s="1070"/>
      <c r="C1731" s="1012"/>
      <c r="D1731" s="1012"/>
      <c r="E1731" s="1368"/>
      <c r="F1731" s="1073"/>
      <c r="G1731" s="1012"/>
      <c r="H1731" s="1012"/>
      <c r="I1731" s="1012"/>
      <c r="J1731" s="1012"/>
      <c r="K1731" s="1012"/>
      <c r="L1731" s="155"/>
      <c r="M1731" s="165">
        <v>14</v>
      </c>
      <c r="N1731" s="160" t="s">
        <v>164</v>
      </c>
      <c r="O1731" s="158">
        <v>10370370</v>
      </c>
      <c r="P1731" s="158">
        <f>O1731</f>
        <v>10370370</v>
      </c>
      <c r="Q1731" s="158"/>
      <c r="R1731" s="156"/>
      <c r="S1731" s="161"/>
      <c r="T1731" s="158"/>
      <c r="U1731" s="158"/>
      <c r="V1731" s="159"/>
      <c r="W1731" s="158"/>
      <c r="X1731" s="155"/>
      <c r="Y1731" s="160"/>
      <c r="Z1731" s="158"/>
      <c r="AA1731" s="158"/>
      <c r="AB1731" s="158"/>
      <c r="AC1731" s="156"/>
      <c r="AD1731" s="163"/>
      <c r="AE1731" s="164"/>
      <c r="AF1731" s="159"/>
      <c r="AG1731" s="159"/>
      <c r="AH1731" s="159"/>
      <c r="AI1731" s="159"/>
      <c r="AJ1731" s="158"/>
      <c r="AK1731" s="158"/>
      <c r="AL1731" s="158"/>
      <c r="AM1731" s="158"/>
      <c r="AN1731" s="162"/>
      <c r="AO1731" s="1104"/>
    </row>
    <row r="1732" spans="1:46" s="196" customFormat="1" ht="15" customHeight="1">
      <c r="A1732" s="1015" t="s">
        <v>2306</v>
      </c>
      <c r="B1732" s="179"/>
      <c r="C1732" s="1379" t="s">
        <v>26</v>
      </c>
      <c r="D1732" s="1382" t="s">
        <v>2652</v>
      </c>
      <c r="E1732" s="182"/>
      <c r="F1732" s="183"/>
      <c r="G1732" s="1379" t="s">
        <v>2307</v>
      </c>
      <c r="H1732" s="181"/>
      <c r="I1732" s="181"/>
      <c r="J1732" s="181"/>
      <c r="K1732" s="181"/>
      <c r="L1732" s="180"/>
      <c r="M1732" s="1046">
        <v>6</v>
      </c>
      <c r="N1732" s="1048" t="s">
        <v>149</v>
      </c>
      <c r="O1732" s="1051">
        <v>879570000</v>
      </c>
      <c r="P1732" s="186"/>
      <c r="Q1732" s="186"/>
      <c r="R1732" s="187"/>
      <c r="S1732" s="188"/>
      <c r="T1732" s="186"/>
      <c r="U1732" s="186"/>
      <c r="V1732" s="189"/>
      <c r="W1732" s="186"/>
      <c r="X1732" s="180"/>
      <c r="Y1732" s="190" t="s">
        <v>2653</v>
      </c>
      <c r="Z1732" s="186"/>
      <c r="AA1732" s="596">
        <v>410578935</v>
      </c>
      <c r="AB1732" s="186">
        <f>+Z1732+AA1732</f>
        <v>410578935</v>
      </c>
      <c r="AC1732" s="589">
        <v>42599</v>
      </c>
      <c r="AD1732" s="596">
        <v>410578935</v>
      </c>
      <c r="AE1732" s="1048" t="s">
        <v>149</v>
      </c>
      <c r="AF1732" s="189"/>
      <c r="AG1732" s="189"/>
      <c r="AH1732" s="189"/>
      <c r="AI1732" s="189"/>
      <c r="AJ1732" s="186"/>
      <c r="AK1732" s="186"/>
      <c r="AL1732" s="186"/>
      <c r="AM1732" s="186"/>
      <c r="AN1732" s="194"/>
      <c r="AO1732" s="1105"/>
      <c r="AQ1732" s="934"/>
    </row>
    <row r="1733" spans="1:46" s="196" customFormat="1" ht="15" customHeight="1">
      <c r="A1733" s="1050"/>
      <c r="B1733" s="179"/>
      <c r="C1733" s="1380"/>
      <c r="D1733" s="1383"/>
      <c r="E1733" s="630"/>
      <c r="F1733" s="183"/>
      <c r="G1733" s="1380"/>
      <c r="H1733" s="178"/>
      <c r="I1733" s="178"/>
      <c r="J1733" s="178"/>
      <c r="K1733" s="178"/>
      <c r="L1733" s="180"/>
      <c r="M1733" s="1047"/>
      <c r="N1733" s="1049"/>
      <c r="O1733" s="1052"/>
      <c r="P1733" s="186"/>
      <c r="Q1733" s="186"/>
      <c r="R1733" s="187"/>
      <c r="S1733" s="188"/>
      <c r="T1733" s="186"/>
      <c r="U1733" s="186"/>
      <c r="V1733" s="632"/>
      <c r="W1733" s="186"/>
      <c r="X1733" s="180"/>
      <c r="Y1733" s="190" t="s">
        <v>2654</v>
      </c>
      <c r="Z1733" s="186">
        <v>562162216</v>
      </c>
      <c r="AA1733" s="637">
        <v>-281081108</v>
      </c>
      <c r="AB1733" s="186">
        <f>+Z1733+AA1733</f>
        <v>281081108</v>
      </c>
      <c r="AC1733" s="589">
        <v>43053</v>
      </c>
      <c r="AD1733" s="596">
        <v>281081108</v>
      </c>
      <c r="AE1733" s="1049"/>
      <c r="AF1733" s="189"/>
      <c r="AG1733" s="189"/>
      <c r="AH1733" s="189"/>
      <c r="AI1733" s="189"/>
      <c r="AJ1733" s="186"/>
      <c r="AK1733" s="186"/>
      <c r="AL1733" s="186"/>
      <c r="AM1733" s="186"/>
      <c r="AN1733" s="194"/>
      <c r="AO1733" s="585"/>
      <c r="AQ1733" s="934"/>
    </row>
    <row r="1734" spans="1:46" s="196" customFormat="1" ht="15" customHeight="1">
      <c r="A1734" s="1050"/>
      <c r="B1734" s="179"/>
      <c r="C1734" s="1380"/>
      <c r="D1734" s="1383"/>
      <c r="E1734" s="630"/>
      <c r="F1734" s="183"/>
      <c r="G1734" s="1380"/>
      <c r="H1734" s="178"/>
      <c r="I1734" s="178"/>
      <c r="J1734" s="178"/>
      <c r="K1734" s="178"/>
      <c r="L1734" s="180"/>
      <c r="M1734" s="633">
        <v>8</v>
      </c>
      <c r="N1734" s="634" t="s">
        <v>154</v>
      </c>
      <c r="O1734" s="631">
        <v>240740741</v>
      </c>
      <c r="P1734" s="186"/>
      <c r="Q1734" s="186"/>
      <c r="R1734" s="187"/>
      <c r="S1734" s="188"/>
      <c r="T1734" s="186"/>
      <c r="U1734" s="186"/>
      <c r="V1734" s="638">
        <f>+O1734</f>
        <v>240740741</v>
      </c>
      <c r="W1734" s="186"/>
      <c r="X1734" s="180"/>
      <c r="Y1734" s="190" t="s">
        <v>2655</v>
      </c>
      <c r="Z1734" s="186"/>
      <c r="AA1734" s="596">
        <v>120370370</v>
      </c>
      <c r="AB1734" s="186">
        <f>+Z1734+AA1734</f>
        <v>120370370</v>
      </c>
      <c r="AC1734" s="589">
        <v>43049</v>
      </c>
      <c r="AD1734" s="596"/>
      <c r="AE1734" s="635"/>
      <c r="AF1734" s="189"/>
      <c r="AG1734" s="189"/>
      <c r="AH1734" s="189"/>
      <c r="AI1734" s="189"/>
      <c r="AJ1734" s="186"/>
      <c r="AK1734" s="186"/>
      <c r="AL1734" s="186"/>
      <c r="AM1734" s="186"/>
      <c r="AN1734" s="194"/>
      <c r="AO1734" s="585"/>
      <c r="AQ1734" s="934"/>
    </row>
    <row r="1735" spans="1:46" s="196" customFormat="1" ht="15" customHeight="1">
      <c r="A1735" s="1050"/>
      <c r="B1735" s="179"/>
      <c r="C1735" s="1380"/>
      <c r="D1735" s="1383"/>
      <c r="E1735" s="630"/>
      <c r="F1735" s="183"/>
      <c r="G1735" s="1380"/>
      <c r="H1735" s="178"/>
      <c r="I1735" s="178"/>
      <c r="J1735" s="178"/>
      <c r="K1735" s="178"/>
      <c r="L1735" s="180"/>
      <c r="M1735" s="633"/>
      <c r="N1735" s="634"/>
      <c r="O1735" s="631"/>
      <c r="P1735" s="186"/>
      <c r="Q1735" s="186"/>
      <c r="R1735" s="187"/>
      <c r="S1735" s="188"/>
      <c r="T1735" s="186"/>
      <c r="U1735" s="186"/>
      <c r="V1735" s="632"/>
      <c r="W1735" s="186"/>
      <c r="X1735" s="180"/>
      <c r="Y1735" s="190"/>
      <c r="Z1735" s="186"/>
      <c r="AA1735" s="186"/>
      <c r="AB1735" s="186">
        <f t="shared" ref="AB1735:AB1737" si="151">+Z1735+AA1735</f>
        <v>0</v>
      </c>
      <c r="AC1735" s="589"/>
      <c r="AD1735" s="596"/>
      <c r="AE1735" s="635"/>
      <c r="AF1735" s="189"/>
      <c r="AG1735" s="189"/>
      <c r="AH1735" s="189"/>
      <c r="AI1735" s="189"/>
      <c r="AJ1735" s="186"/>
      <c r="AK1735" s="186"/>
      <c r="AL1735" s="186"/>
      <c r="AM1735" s="186"/>
      <c r="AN1735" s="194"/>
      <c r="AO1735" s="585"/>
      <c r="AQ1735" s="934"/>
    </row>
    <row r="1736" spans="1:46" s="196" customFormat="1" ht="15" customHeight="1">
      <c r="A1736" s="1050"/>
      <c r="B1736" s="179"/>
      <c r="C1736" s="1380"/>
      <c r="D1736" s="1383"/>
      <c r="E1736" s="630"/>
      <c r="F1736" s="183"/>
      <c r="G1736" s="1380"/>
      <c r="H1736" s="178"/>
      <c r="I1736" s="178"/>
      <c r="J1736" s="178"/>
      <c r="K1736" s="178"/>
      <c r="L1736" s="180"/>
      <c r="M1736" s="633">
        <v>13</v>
      </c>
      <c r="N1736" s="586" t="s">
        <v>164</v>
      </c>
      <c r="O1736" s="636">
        <v>129629630</v>
      </c>
      <c r="P1736" s="186"/>
      <c r="Q1736" s="186"/>
      <c r="R1736" s="187"/>
      <c r="S1736" s="188"/>
      <c r="T1736" s="186"/>
      <c r="U1736" s="186"/>
      <c r="V1736" s="632">
        <f>+O1736</f>
        <v>129629630</v>
      </c>
      <c r="W1736" s="186"/>
      <c r="X1736" s="180"/>
      <c r="Y1736" s="190" t="s">
        <v>2655</v>
      </c>
      <c r="Z1736" s="186"/>
      <c r="AA1736" s="639">
        <v>64814815</v>
      </c>
      <c r="AB1736" s="186">
        <f t="shared" si="151"/>
        <v>64814815</v>
      </c>
      <c r="AC1736" s="589">
        <v>43049</v>
      </c>
      <c r="AD1736" s="596"/>
      <c r="AE1736" s="635"/>
      <c r="AF1736" s="189"/>
      <c r="AG1736" s="189"/>
      <c r="AH1736" s="189"/>
      <c r="AI1736" s="189"/>
      <c r="AJ1736" s="186"/>
      <c r="AK1736" s="186"/>
      <c r="AL1736" s="186"/>
      <c r="AM1736" s="186"/>
      <c r="AN1736" s="194"/>
      <c r="AO1736" s="585"/>
      <c r="AQ1736" s="934"/>
    </row>
    <row r="1737" spans="1:46" s="196" customFormat="1" ht="15" customHeight="1">
      <c r="A1737" s="1016"/>
      <c r="B1737" s="179"/>
      <c r="C1737" s="1381"/>
      <c r="D1737" s="1384"/>
      <c r="E1737" s="630"/>
      <c r="F1737" s="183"/>
      <c r="G1737" s="1381"/>
      <c r="H1737" s="178"/>
      <c r="I1737" s="178"/>
      <c r="J1737" s="178"/>
      <c r="K1737" s="178"/>
      <c r="L1737" s="180"/>
      <c r="M1737" s="633"/>
      <c r="N1737" s="634"/>
      <c r="O1737" s="631"/>
      <c r="P1737" s="186"/>
      <c r="Q1737" s="186"/>
      <c r="R1737" s="187"/>
      <c r="S1737" s="188"/>
      <c r="T1737" s="186"/>
      <c r="U1737" s="186"/>
      <c r="V1737" s="632"/>
      <c r="W1737" s="186"/>
      <c r="X1737" s="180"/>
      <c r="Y1737" s="190"/>
      <c r="Z1737" s="186"/>
      <c r="AA1737" s="186"/>
      <c r="AB1737" s="186">
        <f t="shared" si="151"/>
        <v>0</v>
      </c>
      <c r="AC1737" s="589"/>
      <c r="AD1737" s="596"/>
      <c r="AE1737" s="635"/>
      <c r="AF1737" s="189"/>
      <c r="AG1737" s="189"/>
      <c r="AH1737" s="189"/>
      <c r="AI1737" s="189"/>
      <c r="AJ1737" s="186"/>
      <c r="AK1737" s="186"/>
      <c r="AL1737" s="186"/>
      <c r="AM1737" s="186"/>
      <c r="AN1737" s="194"/>
      <c r="AO1737" s="585"/>
      <c r="AQ1737" s="934"/>
    </row>
    <row r="1738" spans="1:46" ht="15" customHeight="1">
      <c r="A1738" s="1056" t="s">
        <v>2308</v>
      </c>
      <c r="B1738" s="1068">
        <v>42436</v>
      </c>
      <c r="C1738" s="1011" t="s">
        <v>21</v>
      </c>
      <c r="D1738" s="1011" t="s">
        <v>2309</v>
      </c>
      <c r="E1738" s="1011">
        <v>10541182</v>
      </c>
      <c r="F1738" s="157"/>
      <c r="G1738" s="1065" t="s">
        <v>2877</v>
      </c>
      <c r="H1738" s="1065" t="s">
        <v>71</v>
      </c>
      <c r="I1738" s="1065" t="s">
        <v>70</v>
      </c>
      <c r="J1738" s="1065" t="s">
        <v>66</v>
      </c>
      <c r="K1738" s="1065" t="s">
        <v>48</v>
      </c>
      <c r="L1738" s="155"/>
      <c r="M1738" s="1009">
        <v>10</v>
      </c>
      <c r="N1738" s="1065" t="s">
        <v>144</v>
      </c>
      <c r="O1738" s="1043">
        <v>73260696</v>
      </c>
      <c r="P1738" s="158"/>
      <c r="Q1738" s="158"/>
      <c r="R1738" s="1068">
        <v>42278</v>
      </c>
      <c r="S1738" s="161"/>
      <c r="T1738" s="158"/>
      <c r="U1738" s="158"/>
      <c r="V1738" s="1043">
        <v>73245242</v>
      </c>
      <c r="W1738" s="158"/>
      <c r="X1738" s="155"/>
      <c r="Y1738" s="160" t="s">
        <v>2311</v>
      </c>
      <c r="Z1738" s="158"/>
      <c r="AA1738" s="158"/>
      <c r="AB1738" s="158"/>
      <c r="AC1738" s="156">
        <v>42599</v>
      </c>
      <c r="AD1738" s="163">
        <v>7324524</v>
      </c>
      <c r="AE1738" s="1065" t="s">
        <v>144</v>
      </c>
      <c r="AF1738" s="159"/>
      <c r="AG1738" s="159"/>
      <c r="AH1738" s="159"/>
      <c r="AI1738" s="159"/>
      <c r="AJ1738" s="158"/>
      <c r="AK1738" s="158"/>
      <c r="AL1738" s="158"/>
      <c r="AM1738" s="158"/>
      <c r="AN1738" s="162"/>
      <c r="AO1738" s="1103" t="s">
        <v>2315</v>
      </c>
    </row>
    <row r="1739" spans="1:46" ht="15" customHeight="1">
      <c r="A1739" s="1057"/>
      <c r="B1739" s="1069"/>
      <c r="C1739" s="1033"/>
      <c r="D1739" s="1033"/>
      <c r="E1739" s="1033"/>
      <c r="F1739" s="157"/>
      <c r="G1739" s="1066"/>
      <c r="H1739" s="1066"/>
      <c r="I1739" s="1066"/>
      <c r="J1739" s="1066"/>
      <c r="K1739" s="1066"/>
      <c r="L1739" s="155"/>
      <c r="M1739" s="1039"/>
      <c r="N1739" s="1066"/>
      <c r="O1739" s="1044"/>
      <c r="P1739" s="158"/>
      <c r="Q1739" s="158"/>
      <c r="R1739" s="1069"/>
      <c r="S1739" s="161"/>
      <c r="T1739" s="158"/>
      <c r="U1739" s="158"/>
      <c r="V1739" s="1044"/>
      <c r="W1739" s="158"/>
      <c r="X1739" s="155"/>
      <c r="Y1739" s="160" t="s">
        <v>2312</v>
      </c>
      <c r="Z1739" s="158">
        <v>31694681</v>
      </c>
      <c r="AA1739" s="158">
        <v>-3521631</v>
      </c>
      <c r="AB1739" s="158">
        <f>Z1739+AA1739</f>
        <v>28173050</v>
      </c>
      <c r="AC1739" s="156">
        <v>42790</v>
      </c>
      <c r="AD1739" s="163">
        <v>28173050</v>
      </c>
      <c r="AE1739" s="1066"/>
      <c r="AF1739" s="159"/>
      <c r="AG1739" s="159"/>
      <c r="AH1739" s="159"/>
      <c r="AI1739" s="159"/>
      <c r="AJ1739" s="158"/>
      <c r="AK1739" s="158"/>
      <c r="AL1739" s="158"/>
      <c r="AM1739" s="158"/>
      <c r="AN1739" s="162"/>
      <c r="AO1739" s="1104"/>
    </row>
    <row r="1740" spans="1:46" ht="15" customHeight="1">
      <c r="A1740" s="1058"/>
      <c r="B1740" s="1070"/>
      <c r="C1740" s="1012"/>
      <c r="D1740" s="1012"/>
      <c r="E1740" s="1012"/>
      <c r="F1740" s="157"/>
      <c r="G1740" s="1067"/>
      <c r="H1740" s="1067"/>
      <c r="I1740" s="1067"/>
      <c r="J1740" s="1067"/>
      <c r="K1740" s="1067"/>
      <c r="L1740" s="155"/>
      <c r="M1740" s="1010"/>
      <c r="N1740" s="1067"/>
      <c r="O1740" s="1045"/>
      <c r="P1740" s="158"/>
      <c r="Q1740" s="158"/>
      <c r="R1740" s="1070"/>
      <c r="S1740" s="161"/>
      <c r="T1740" s="158"/>
      <c r="U1740" s="158"/>
      <c r="V1740" s="1045"/>
      <c r="W1740" s="158"/>
      <c r="X1740" s="155"/>
      <c r="Y1740" s="160" t="s">
        <v>2313</v>
      </c>
      <c r="Z1740" s="158">
        <v>21336339</v>
      </c>
      <c r="AA1740" s="158">
        <v>-2133634</v>
      </c>
      <c r="AB1740" s="158">
        <f>Z1740+AA1740</f>
        <v>19202705</v>
      </c>
      <c r="AC1740" s="156">
        <v>43040</v>
      </c>
      <c r="AD1740" s="163">
        <v>19202705</v>
      </c>
      <c r="AE1740" s="1067"/>
      <c r="AF1740" s="159"/>
      <c r="AG1740" s="159"/>
      <c r="AH1740" s="159"/>
      <c r="AI1740" s="159"/>
      <c r="AJ1740" s="158"/>
      <c r="AK1740" s="158"/>
      <c r="AL1740" s="158"/>
      <c r="AM1740" s="158"/>
      <c r="AN1740" s="162"/>
      <c r="AO1740" s="1105"/>
    </row>
    <row r="1741" spans="1:46" ht="15" customHeight="1">
      <c r="A1741" s="1075" t="s">
        <v>2450</v>
      </c>
      <c r="B1741" s="1076"/>
      <c r="C1741" s="1076"/>
      <c r="D1741" s="1076" t="s">
        <v>2388</v>
      </c>
      <c r="E1741" s="1076" t="s">
        <v>2458</v>
      </c>
      <c r="M1741" s="1079">
        <v>116</v>
      </c>
      <c r="N1741" s="1077" t="s">
        <v>137</v>
      </c>
      <c r="O1741" s="1081">
        <v>3999000000</v>
      </c>
      <c r="V1741" s="970">
        <f>1995432000*2</f>
        <v>3990864000</v>
      </c>
      <c r="Y1741" s="49" t="s">
        <v>2412</v>
      </c>
      <c r="Z1741" s="255"/>
      <c r="AA1741" s="260">
        <v>1995432000</v>
      </c>
      <c r="AB1741" s="255">
        <f>AD1741</f>
        <v>1995432000</v>
      </c>
      <c r="AC1741" s="259">
        <v>40506</v>
      </c>
      <c r="AD1741" s="256">
        <v>1995432000</v>
      </c>
      <c r="AE1741" s="1077" t="s">
        <v>137</v>
      </c>
      <c r="AF1741" s="1083">
        <f>SUM(AD1741:AD1745)</f>
        <v>2940636633</v>
      </c>
      <c r="AG1741" s="1084"/>
      <c r="AH1741" s="1084"/>
      <c r="AI1741" s="1084"/>
      <c r="AJ1741" s="1084"/>
      <c r="AK1741" s="1084">
        <f>O1741-V1741</f>
        <v>8136000</v>
      </c>
      <c r="AL1741" s="1084">
        <f>V1741-Z1746-AA1746</f>
        <v>1050227367</v>
      </c>
      <c r="AM1741" s="1084">
        <f>O1741-AF1741</f>
        <v>1058363367</v>
      </c>
      <c r="AN1741" s="1085"/>
      <c r="AO1741" s="1085"/>
      <c r="AP1741" s="1085"/>
      <c r="AR1741" s="1085"/>
      <c r="AS1741" s="1085"/>
      <c r="AT1741" s="1085"/>
    </row>
    <row r="1742" spans="1:46" ht="15" customHeight="1">
      <c r="A1742" s="1075"/>
      <c r="B1742" s="1076"/>
      <c r="C1742" s="1076"/>
      <c r="D1742" s="1076"/>
      <c r="E1742" s="1076"/>
      <c r="M1742" s="1080"/>
      <c r="N1742" s="1078"/>
      <c r="O1742" s="1082"/>
      <c r="V1742" s="971"/>
      <c r="Y1742" s="49" t="s">
        <v>2414</v>
      </c>
      <c r="Z1742" s="255">
        <v>210045474</v>
      </c>
      <c r="AA1742" s="256">
        <v>-105022737</v>
      </c>
      <c r="AB1742" s="255">
        <f>AD1742</f>
        <v>105022737</v>
      </c>
      <c r="AC1742" s="259">
        <v>40807</v>
      </c>
      <c r="AD1742" s="256">
        <v>105022737</v>
      </c>
      <c r="AE1742" s="1078"/>
      <c r="AF1742" s="1083"/>
      <c r="AG1742" s="1084"/>
      <c r="AH1742" s="1084"/>
      <c r="AI1742" s="1084"/>
      <c r="AJ1742" s="1084"/>
      <c r="AK1742" s="1084"/>
      <c r="AL1742" s="1084"/>
      <c r="AM1742" s="1084"/>
      <c r="AN1742" s="1086"/>
      <c r="AO1742" s="1086"/>
      <c r="AP1742" s="1086"/>
      <c r="AR1742" s="1086"/>
      <c r="AS1742" s="1086"/>
      <c r="AT1742" s="1086"/>
    </row>
    <row r="1743" spans="1:46" ht="15" customHeight="1">
      <c r="A1743" s="1075"/>
      <c r="B1743" s="1076"/>
      <c r="C1743" s="1076"/>
      <c r="D1743" s="1076"/>
      <c r="E1743" s="1076"/>
      <c r="M1743" s="1080"/>
      <c r="N1743" s="1078"/>
      <c r="O1743" s="1082"/>
      <c r="V1743" s="971"/>
      <c r="Y1743" s="49" t="s">
        <v>2395</v>
      </c>
      <c r="Z1743" s="255">
        <v>210045474</v>
      </c>
      <c r="AA1743" s="256">
        <v>-105022737</v>
      </c>
      <c r="AB1743" s="255">
        <f>AD1743</f>
        <v>105022737</v>
      </c>
      <c r="AC1743" s="259">
        <v>40807</v>
      </c>
      <c r="AD1743" s="256">
        <v>105022737</v>
      </c>
      <c r="AE1743" s="1078"/>
      <c r="AF1743" s="1083"/>
      <c r="AG1743" s="1084"/>
      <c r="AH1743" s="1084"/>
      <c r="AI1743" s="1084"/>
      <c r="AJ1743" s="1084"/>
      <c r="AK1743" s="1084"/>
      <c r="AL1743" s="1084"/>
      <c r="AM1743" s="1084"/>
      <c r="AN1743" s="1086"/>
      <c r="AO1743" s="1086"/>
      <c r="AP1743" s="1086"/>
      <c r="AR1743" s="1086"/>
      <c r="AS1743" s="1086"/>
      <c r="AT1743" s="1086"/>
    </row>
    <row r="1744" spans="1:46" ht="15" customHeight="1">
      <c r="A1744" s="1075"/>
      <c r="B1744" s="1076"/>
      <c r="C1744" s="1076"/>
      <c r="D1744" s="1076"/>
      <c r="E1744" s="1076"/>
      <c r="M1744" s="1080"/>
      <c r="N1744" s="1078"/>
      <c r="O1744" s="1082"/>
      <c r="V1744" s="971"/>
      <c r="Y1744" s="49" t="s">
        <v>2415</v>
      </c>
      <c r="Z1744" s="255">
        <v>210045474</v>
      </c>
      <c r="AA1744" s="256">
        <v>-105022737</v>
      </c>
      <c r="AB1744" s="255">
        <f>AD1744</f>
        <v>105022737</v>
      </c>
      <c r="AC1744" s="259">
        <v>40807</v>
      </c>
      <c r="AD1744" s="256">
        <v>105022737</v>
      </c>
      <c r="AE1744" s="1078"/>
      <c r="AF1744" s="1083"/>
      <c r="AG1744" s="1084"/>
      <c r="AH1744" s="1084"/>
      <c r="AI1744" s="1084"/>
      <c r="AJ1744" s="1084"/>
      <c r="AK1744" s="1084"/>
      <c r="AL1744" s="1084"/>
      <c r="AM1744" s="1084"/>
      <c r="AN1744" s="1086"/>
      <c r="AO1744" s="1086"/>
      <c r="AP1744" s="1086"/>
      <c r="AR1744" s="1086"/>
      <c r="AS1744" s="1086"/>
      <c r="AT1744" s="1086"/>
    </row>
    <row r="1745" spans="1:46" ht="15" customHeight="1">
      <c r="A1745" s="1075"/>
      <c r="B1745" s="1076"/>
      <c r="C1745" s="1076"/>
      <c r="D1745" s="1076"/>
      <c r="E1745" s="1076"/>
      <c r="M1745" s="1080"/>
      <c r="N1745" s="1078"/>
      <c r="O1745" s="1082"/>
      <c r="V1745" s="971"/>
      <c r="Y1745" s="49" t="s">
        <v>2413</v>
      </c>
      <c r="Z1745" s="255">
        <v>1260272844</v>
      </c>
      <c r="AA1745" s="256">
        <v>-630136422</v>
      </c>
      <c r="AB1745" s="255">
        <f>AD1745</f>
        <v>630136422</v>
      </c>
      <c r="AC1745" s="259">
        <v>41255</v>
      </c>
      <c r="AD1745" s="256">
        <v>630136422</v>
      </c>
      <c r="AE1745" s="1078"/>
      <c r="AF1745" s="1083"/>
      <c r="AG1745" s="1084"/>
      <c r="AH1745" s="1084"/>
      <c r="AI1745" s="1084"/>
      <c r="AJ1745" s="1084"/>
      <c r="AK1745" s="1084"/>
      <c r="AL1745" s="1084"/>
      <c r="AM1745" s="1084"/>
      <c r="AN1745" s="1086"/>
      <c r="AO1745" s="1086"/>
      <c r="AP1745" s="1086"/>
      <c r="AR1745" s="1086"/>
      <c r="AS1745" s="1086"/>
      <c r="AT1745" s="1086"/>
    </row>
    <row r="1746" spans="1:46" ht="15" customHeight="1" thickBot="1">
      <c r="A1746" s="1075"/>
      <c r="B1746" s="1076"/>
      <c r="C1746" s="1076"/>
      <c r="D1746" s="1076"/>
      <c r="E1746" s="1076"/>
      <c r="M1746" s="1080"/>
      <c r="N1746" s="1078"/>
      <c r="O1746" s="1082"/>
      <c r="V1746" s="972"/>
      <c r="Y1746" s="49" t="s">
        <v>2451</v>
      </c>
      <c r="Z1746" s="257">
        <f>SUM(Z1742:Z1745)</f>
        <v>1890409266</v>
      </c>
      <c r="AA1746" s="257">
        <f>SUM(AA1741:AA1745)</f>
        <v>1050227367</v>
      </c>
      <c r="AB1746" s="257">
        <f>SUM(AB1741:AB1745)</f>
        <v>2940636633</v>
      </c>
      <c r="AC1746" s="257"/>
      <c r="AD1746" s="257">
        <f>SUM(AD1741:AD1745)</f>
        <v>2940636633</v>
      </c>
      <c r="AE1746" s="1078"/>
      <c r="AF1746" s="258"/>
    </row>
    <row r="1747" spans="1:46" ht="15" customHeight="1" thickTop="1">
      <c r="A1747" s="1007" t="s">
        <v>2470</v>
      </c>
      <c r="B1747" s="487">
        <v>42941</v>
      </c>
      <c r="C1747" s="485"/>
      <c r="D1747" s="485" t="s">
        <v>2517</v>
      </c>
      <c r="E1747" s="488">
        <v>901098249</v>
      </c>
      <c r="F1747" s="488"/>
      <c r="G1747" s="495" t="s">
        <v>2564</v>
      </c>
      <c r="H1747" s="485"/>
      <c r="I1747" s="485" t="s">
        <v>2536</v>
      </c>
      <c r="J1747" s="485"/>
      <c r="K1747" s="485"/>
      <c r="L1747" s="485"/>
      <c r="M1747" s="496">
        <v>2370</v>
      </c>
      <c r="N1747" s="485" t="s">
        <v>2565</v>
      </c>
      <c r="O1747" s="482">
        <v>416475824</v>
      </c>
      <c r="P1747" s="482">
        <f>O1747</f>
        <v>416475824</v>
      </c>
      <c r="Q1747" s="482"/>
      <c r="R1747" s="487">
        <v>42822</v>
      </c>
      <c r="S1747" s="484"/>
      <c r="T1747" s="482"/>
      <c r="U1747" s="482"/>
      <c r="V1747" s="483">
        <v>411889195</v>
      </c>
      <c r="W1747" s="483">
        <v>411889195</v>
      </c>
      <c r="X1747" s="485"/>
      <c r="Y1747" s="489" t="s">
        <v>2566</v>
      </c>
      <c r="Z1747" s="482"/>
      <c r="AA1747" s="482"/>
      <c r="AB1747" s="482"/>
      <c r="AC1747" s="487">
        <v>43210</v>
      </c>
      <c r="AD1747" s="256">
        <v>207271285</v>
      </c>
      <c r="AE1747" s="927" t="s">
        <v>2565</v>
      </c>
      <c r="AF1747" s="483"/>
      <c r="AG1747" s="483"/>
      <c r="AH1747" s="483"/>
      <c r="AI1747" s="483"/>
      <c r="AJ1747" s="482"/>
      <c r="AK1747" s="482"/>
      <c r="AL1747" s="482"/>
      <c r="AM1747" s="482"/>
      <c r="AN1747" s="490"/>
      <c r="AO1747" s="486"/>
    </row>
    <row r="1748" spans="1:46" ht="15" customHeight="1">
      <c r="A1748" s="1007" t="s">
        <v>2544</v>
      </c>
      <c r="B1748" s="487">
        <v>42944</v>
      </c>
      <c r="C1748" s="485"/>
      <c r="D1748" s="485" t="s">
        <v>2518</v>
      </c>
      <c r="E1748" s="488">
        <v>901096328</v>
      </c>
      <c r="F1748" s="488"/>
      <c r="G1748" s="495" t="s">
        <v>2567</v>
      </c>
      <c r="H1748" s="485"/>
      <c r="I1748" s="485" t="s">
        <v>2537</v>
      </c>
      <c r="J1748" s="485"/>
      <c r="K1748" s="485"/>
      <c r="L1748" s="485"/>
      <c r="M1748" s="496">
        <v>2392</v>
      </c>
      <c r="N1748" s="485" t="s">
        <v>2568</v>
      </c>
      <c r="O1748" s="482">
        <v>111111111</v>
      </c>
      <c r="P1748" s="482">
        <f>O1748</f>
        <v>111111111</v>
      </c>
      <c r="Q1748" s="482"/>
      <c r="R1748" s="487">
        <v>42824</v>
      </c>
      <c r="S1748" s="484"/>
      <c r="T1748" s="482"/>
      <c r="U1748" s="482"/>
      <c r="V1748" s="483">
        <v>92071000</v>
      </c>
      <c r="W1748" s="483">
        <v>92071000</v>
      </c>
      <c r="X1748" s="485"/>
      <c r="Y1748" s="489" t="s">
        <v>2569</v>
      </c>
      <c r="Z1748" s="482"/>
      <c r="AA1748" s="596">
        <v>27621300</v>
      </c>
      <c r="AB1748" s="482"/>
      <c r="AC1748" s="487">
        <v>43060</v>
      </c>
      <c r="AD1748" s="491">
        <v>27621300</v>
      </c>
      <c r="AE1748" s="927" t="s">
        <v>2568</v>
      </c>
      <c r="AF1748" s="483"/>
      <c r="AG1748" s="483"/>
      <c r="AH1748" s="483"/>
      <c r="AI1748" s="483"/>
      <c r="AJ1748" s="482"/>
      <c r="AK1748" s="482"/>
      <c r="AL1748" s="482"/>
      <c r="AM1748" s="482"/>
      <c r="AN1748" s="490"/>
      <c r="AO1748" s="486"/>
    </row>
    <row r="1749" spans="1:46" s="480" customFormat="1" ht="15" customHeight="1">
      <c r="A1749" s="1385" t="s">
        <v>2474</v>
      </c>
      <c r="B1749" s="1388">
        <v>42951</v>
      </c>
      <c r="C1749" s="469"/>
      <c r="D1749" s="1385" t="s">
        <v>2519</v>
      </c>
      <c r="E1749" s="1391">
        <v>901102657</v>
      </c>
      <c r="F1749" s="471"/>
      <c r="G1749" s="1011" t="s">
        <v>2570</v>
      </c>
      <c r="H1749" s="469"/>
      <c r="I1749" s="469" t="s">
        <v>2538</v>
      </c>
      <c r="J1749" s="469"/>
      <c r="K1749" s="469"/>
      <c r="L1749" s="469"/>
      <c r="M1749" s="1397">
        <v>2379</v>
      </c>
      <c r="N1749" s="1395" t="s">
        <v>129</v>
      </c>
      <c r="O1749" s="473">
        <v>1661603591</v>
      </c>
      <c r="P1749" s="473">
        <f>O1749</f>
        <v>1661603591</v>
      </c>
      <c r="Q1749" s="1370">
        <f>SUM(P1749:P1752)</f>
        <v>4203830687</v>
      </c>
      <c r="R1749" s="470">
        <v>42822</v>
      </c>
      <c r="S1749" s="474"/>
      <c r="T1749" s="473"/>
      <c r="U1749" s="473"/>
      <c r="V1749" s="475">
        <v>1661603591</v>
      </c>
      <c r="W1749" s="475">
        <f>SUM(V1749:V1752)</f>
        <v>4203830687</v>
      </c>
      <c r="X1749" s="469"/>
      <c r="Y1749" s="472" t="s">
        <v>2563</v>
      </c>
      <c r="Z1749" s="473">
        <v>0</v>
      </c>
      <c r="AA1749" s="473">
        <v>827475300.20000005</v>
      </c>
      <c r="AB1749" s="473"/>
      <c r="AC1749" s="470">
        <v>43096</v>
      </c>
      <c r="AD1749" s="476">
        <v>327240913.19999999</v>
      </c>
      <c r="AE1749" s="1395" t="s">
        <v>129</v>
      </c>
      <c r="AF1749" s="475"/>
      <c r="AG1749" s="475"/>
      <c r="AH1749" s="475"/>
      <c r="AI1749" s="475"/>
      <c r="AJ1749" s="473"/>
      <c r="AK1749" s="473"/>
      <c r="AL1749" s="473"/>
      <c r="AM1749" s="473"/>
      <c r="AN1749" s="478"/>
      <c r="AO1749" s="479"/>
      <c r="AQ1749" s="934"/>
    </row>
    <row r="1750" spans="1:46" s="480" customFormat="1" ht="15" customHeight="1">
      <c r="A1750" s="1386"/>
      <c r="B1750" s="1389"/>
      <c r="C1750" s="469"/>
      <c r="D1750" s="1386"/>
      <c r="E1750" s="1392"/>
      <c r="F1750" s="471"/>
      <c r="G1750" s="1033"/>
      <c r="H1750" s="469"/>
      <c r="I1750" s="469"/>
      <c r="J1750" s="469"/>
      <c r="K1750" s="469"/>
      <c r="L1750" s="469"/>
      <c r="M1750" s="1398"/>
      <c r="N1750" s="1396"/>
      <c r="O1750" s="473"/>
      <c r="P1750" s="473"/>
      <c r="Q1750" s="1371"/>
      <c r="R1750" s="470"/>
      <c r="S1750" s="474"/>
      <c r="T1750" s="473"/>
      <c r="U1750" s="473"/>
      <c r="V1750" s="475"/>
      <c r="W1750" s="475"/>
      <c r="X1750" s="469"/>
      <c r="Y1750" s="472" t="s">
        <v>2745</v>
      </c>
      <c r="Z1750" s="473">
        <v>395201971.60000002</v>
      </c>
      <c r="AA1750" s="473">
        <v>-79040394.319999993</v>
      </c>
      <c r="AB1750" s="473">
        <v>316161577.28000003</v>
      </c>
      <c r="AC1750" s="470"/>
      <c r="AD1750" s="476">
        <f>+AB1750</f>
        <v>316161577.28000003</v>
      </c>
      <c r="AE1750" s="1396"/>
      <c r="AF1750" s="475"/>
      <c r="AG1750" s="475"/>
      <c r="AH1750" s="475"/>
      <c r="AI1750" s="475"/>
      <c r="AJ1750" s="473"/>
      <c r="AK1750" s="473"/>
      <c r="AL1750" s="473"/>
      <c r="AM1750" s="473"/>
      <c r="AN1750" s="478"/>
      <c r="AO1750" s="479"/>
      <c r="AQ1750" s="934"/>
    </row>
    <row r="1751" spans="1:46" s="480" customFormat="1" ht="15" customHeight="1">
      <c r="A1751" s="1386"/>
      <c r="B1751" s="1389"/>
      <c r="C1751" s="469"/>
      <c r="D1751" s="1386"/>
      <c r="E1751" s="1392"/>
      <c r="F1751" s="471"/>
      <c r="G1751" s="1033"/>
      <c r="H1751" s="469"/>
      <c r="I1751" s="469"/>
      <c r="J1751" s="469"/>
      <c r="K1751" s="469"/>
      <c r="L1751" s="469"/>
      <c r="M1751" s="481"/>
      <c r="N1751" s="472"/>
      <c r="O1751" s="473"/>
      <c r="P1751" s="473"/>
      <c r="Q1751" s="1371"/>
      <c r="R1751" s="470"/>
      <c r="S1751" s="474"/>
      <c r="T1751" s="473"/>
      <c r="U1751" s="473"/>
      <c r="V1751" s="475"/>
      <c r="W1751" s="475"/>
      <c r="X1751" s="469"/>
      <c r="Y1751" s="472"/>
      <c r="Z1751" s="473"/>
      <c r="AA1751" s="473"/>
      <c r="AB1751" s="473"/>
      <c r="AC1751" s="470"/>
      <c r="AD1751" s="476"/>
      <c r="AE1751" s="472"/>
      <c r="AF1751" s="475"/>
      <c r="AG1751" s="475"/>
      <c r="AH1751" s="475"/>
      <c r="AI1751" s="475"/>
      <c r="AJ1751" s="473"/>
      <c r="AK1751" s="473"/>
      <c r="AL1751" s="473"/>
      <c r="AM1751" s="473"/>
      <c r="AN1751" s="478"/>
      <c r="AO1751" s="479"/>
      <c r="AQ1751" s="934"/>
    </row>
    <row r="1752" spans="1:46" s="480" customFormat="1" ht="15" customHeight="1">
      <c r="A1752" s="1386"/>
      <c r="B1752" s="1389"/>
      <c r="C1752" s="469"/>
      <c r="D1752" s="1386"/>
      <c r="E1752" s="1392"/>
      <c r="F1752" s="471"/>
      <c r="G1752" s="1033"/>
      <c r="H1752" s="469"/>
      <c r="I1752" s="469"/>
      <c r="J1752" s="469"/>
      <c r="K1752" s="469"/>
      <c r="L1752" s="469"/>
      <c r="M1752" s="1397">
        <v>2380</v>
      </c>
      <c r="N1752" s="1395" t="s">
        <v>137</v>
      </c>
      <c r="O1752" s="473">
        <v>2542227096</v>
      </c>
      <c r="P1752" s="473">
        <f>O1752</f>
        <v>2542227096</v>
      </c>
      <c r="Q1752" s="1371"/>
      <c r="R1752" s="470">
        <v>42822</v>
      </c>
      <c r="S1752" s="474"/>
      <c r="T1752" s="473"/>
      <c r="U1752" s="473"/>
      <c r="V1752" s="475">
        <v>2542227096</v>
      </c>
      <c r="W1752" s="475"/>
      <c r="X1752" s="469"/>
      <c r="Y1752" s="472" t="s">
        <v>2563</v>
      </c>
      <c r="Z1752" s="473"/>
      <c r="AA1752" s="473"/>
      <c r="AB1752" s="473"/>
      <c r="AC1752" s="470">
        <v>43096</v>
      </c>
      <c r="AD1752" s="476">
        <v>500234387</v>
      </c>
      <c r="AE1752" s="1395" t="s">
        <v>137</v>
      </c>
      <c r="AF1752" s="475"/>
      <c r="AG1752" s="475"/>
      <c r="AH1752" s="475"/>
      <c r="AI1752" s="475"/>
      <c r="AJ1752" s="473"/>
      <c r="AK1752" s="473"/>
      <c r="AL1752" s="473"/>
      <c r="AM1752" s="473"/>
      <c r="AN1752" s="478"/>
      <c r="AO1752" s="479"/>
      <c r="AQ1752" s="934"/>
    </row>
    <row r="1753" spans="1:46" s="480" customFormat="1" ht="15" customHeight="1">
      <c r="A1753" s="1386"/>
      <c r="B1753" s="1389"/>
      <c r="C1753" s="469"/>
      <c r="D1753" s="1386"/>
      <c r="E1753" s="1392"/>
      <c r="F1753" s="471"/>
      <c r="G1753" s="1033"/>
      <c r="H1753" s="469"/>
      <c r="I1753" s="469"/>
      <c r="J1753" s="469"/>
      <c r="K1753" s="469"/>
      <c r="L1753" s="469"/>
      <c r="M1753" s="1398"/>
      <c r="N1753" s="1396"/>
      <c r="O1753" s="473"/>
      <c r="P1753" s="473"/>
      <c r="Q1753" s="1371"/>
      <c r="R1753" s="470"/>
      <c r="S1753" s="474"/>
      <c r="T1753" s="473"/>
      <c r="U1753" s="473"/>
      <c r="V1753" s="475"/>
      <c r="W1753" s="475"/>
      <c r="X1753" s="469"/>
      <c r="Y1753" s="472"/>
      <c r="Z1753" s="473">
        <v>592802957.39999998</v>
      </c>
      <c r="AA1753" s="473">
        <v>-118560591.48</v>
      </c>
      <c r="AB1753" s="473">
        <v>474242365.91999996</v>
      </c>
      <c r="AC1753" s="470"/>
      <c r="AD1753" s="476">
        <f>+AB1753</f>
        <v>474242365.91999996</v>
      </c>
      <c r="AE1753" s="1396"/>
      <c r="AF1753" s="475"/>
      <c r="AG1753" s="475"/>
      <c r="AH1753" s="475"/>
      <c r="AI1753" s="475"/>
      <c r="AJ1753" s="473"/>
      <c r="AK1753" s="473"/>
      <c r="AL1753" s="473"/>
      <c r="AM1753" s="473"/>
      <c r="AN1753" s="478"/>
      <c r="AO1753" s="479"/>
      <c r="AQ1753" s="934"/>
    </row>
    <row r="1754" spans="1:46" s="480" customFormat="1" ht="15" customHeight="1">
      <c r="A1754" s="1387"/>
      <c r="B1754" s="1390"/>
      <c r="C1754" s="469"/>
      <c r="D1754" s="1387"/>
      <c r="E1754" s="1393"/>
      <c r="F1754" s="471"/>
      <c r="G1754" s="1012"/>
      <c r="H1754" s="469"/>
      <c r="I1754" s="469"/>
      <c r="J1754" s="469"/>
      <c r="K1754" s="469"/>
      <c r="L1754" s="469"/>
      <c r="M1754" s="472"/>
      <c r="N1754" s="472"/>
      <c r="O1754" s="473"/>
      <c r="P1754" s="473"/>
      <c r="Q1754" s="1372"/>
      <c r="R1754" s="470"/>
      <c r="S1754" s="474"/>
      <c r="T1754" s="473"/>
      <c r="U1754" s="473"/>
      <c r="V1754" s="475"/>
      <c r="W1754" s="475"/>
      <c r="X1754" s="469"/>
      <c r="Y1754" s="472"/>
      <c r="Z1754" s="473"/>
      <c r="AA1754" s="473"/>
      <c r="AB1754" s="473"/>
      <c r="AC1754" s="470"/>
      <c r="AD1754" s="476"/>
      <c r="AE1754" s="472"/>
      <c r="AF1754" s="475"/>
      <c r="AG1754" s="475"/>
      <c r="AH1754" s="475"/>
      <c r="AI1754" s="475"/>
      <c r="AJ1754" s="473"/>
      <c r="AK1754" s="473"/>
      <c r="AL1754" s="473"/>
      <c r="AM1754" s="473"/>
      <c r="AN1754" s="478"/>
      <c r="AO1754" s="479"/>
      <c r="AQ1754" s="934"/>
    </row>
    <row r="1755" spans="1:46" ht="15" customHeight="1">
      <c r="A1755" s="1007" t="s">
        <v>2545</v>
      </c>
      <c r="B1755" s="487">
        <v>42951</v>
      </c>
      <c r="C1755" s="485"/>
      <c r="D1755" s="485" t="s">
        <v>2520</v>
      </c>
      <c r="E1755" s="488">
        <v>901102524</v>
      </c>
      <c r="F1755" s="488"/>
      <c r="G1755" s="495" t="s">
        <v>2571</v>
      </c>
      <c r="H1755" s="485"/>
      <c r="I1755" s="485" t="s">
        <v>2539</v>
      </c>
      <c r="J1755" s="485"/>
      <c r="K1755" s="485"/>
      <c r="L1755" s="485"/>
      <c r="M1755" s="496">
        <v>2394</v>
      </c>
      <c r="N1755" s="489" t="s">
        <v>2572</v>
      </c>
      <c r="O1755" s="482">
        <v>66980720</v>
      </c>
      <c r="P1755" s="482"/>
      <c r="Q1755" s="482"/>
      <c r="R1755" s="487">
        <v>42824</v>
      </c>
      <c r="S1755" s="484"/>
      <c r="T1755" s="482"/>
      <c r="U1755" s="482"/>
      <c r="V1755" s="482">
        <v>66980701</v>
      </c>
      <c r="W1755" s="483">
        <v>66980701</v>
      </c>
      <c r="X1755" s="485"/>
      <c r="Y1755" s="489" t="s">
        <v>2573</v>
      </c>
      <c r="Z1755" s="482"/>
      <c r="AA1755" s="596">
        <v>20094210</v>
      </c>
      <c r="AB1755" s="482"/>
      <c r="AC1755" s="487">
        <v>43060</v>
      </c>
      <c r="AD1755" s="491">
        <v>20094210</v>
      </c>
      <c r="AE1755" s="924" t="s">
        <v>2572</v>
      </c>
      <c r="AF1755" s="483"/>
      <c r="AG1755" s="483"/>
      <c r="AH1755" s="483"/>
      <c r="AI1755" s="483"/>
      <c r="AJ1755" s="482"/>
      <c r="AK1755" s="482"/>
      <c r="AL1755" s="482"/>
      <c r="AM1755" s="482"/>
      <c r="AN1755" s="490"/>
      <c r="AO1755" s="486"/>
    </row>
    <row r="1756" spans="1:46" ht="15" customHeight="1">
      <c r="A1756" s="1015" t="s">
        <v>2656</v>
      </c>
      <c r="B1756" s="589"/>
      <c r="C1756" s="582"/>
      <c r="D1756" s="1053" t="s">
        <v>2657</v>
      </c>
      <c r="E1756" s="588"/>
      <c r="F1756" s="595"/>
      <c r="G1756" s="640"/>
      <c r="H1756" s="582"/>
      <c r="I1756" s="582"/>
      <c r="J1756" s="582"/>
      <c r="K1756" s="582"/>
      <c r="L1756" s="582"/>
      <c r="M1756" s="591">
        <v>2475</v>
      </c>
      <c r="N1756" s="586" t="s">
        <v>161</v>
      </c>
      <c r="O1756" s="590">
        <v>533166482</v>
      </c>
      <c r="P1756" s="590"/>
      <c r="Q1756" s="590"/>
      <c r="R1756" s="589">
        <v>42842</v>
      </c>
      <c r="S1756" s="592"/>
      <c r="T1756" s="590"/>
      <c r="U1756" s="590"/>
      <c r="V1756" s="590">
        <v>533000000</v>
      </c>
      <c r="W1756" s="1043">
        <f>SUM(V1756:V1758)</f>
        <v>1344300000</v>
      </c>
      <c r="X1756" s="582"/>
      <c r="Y1756" s="584" t="s">
        <v>2658</v>
      </c>
      <c r="Z1756" s="590">
        <v>533000000</v>
      </c>
      <c r="AA1756" s="590"/>
      <c r="AB1756" s="590"/>
      <c r="AC1756" s="589">
        <v>43053</v>
      </c>
      <c r="AD1756" s="596">
        <v>533000000</v>
      </c>
      <c r="AE1756" s="924" t="s">
        <v>161</v>
      </c>
      <c r="AF1756" s="583"/>
      <c r="AG1756" s="583"/>
      <c r="AH1756" s="583"/>
      <c r="AI1756" s="583"/>
      <c r="AJ1756" s="590"/>
      <c r="AK1756" s="590"/>
      <c r="AL1756" s="590"/>
      <c r="AM1756" s="590"/>
      <c r="AN1756" s="593"/>
      <c r="AO1756" s="594"/>
    </row>
    <row r="1757" spans="1:46" ht="15" customHeight="1">
      <c r="A1757" s="1050"/>
      <c r="B1757" s="589"/>
      <c r="C1757" s="582"/>
      <c r="D1757" s="1054"/>
      <c r="E1757" s="588"/>
      <c r="F1757" s="595"/>
      <c r="G1757" s="640"/>
      <c r="H1757" s="582"/>
      <c r="I1757" s="582"/>
      <c r="J1757" s="582"/>
      <c r="K1757" s="582"/>
      <c r="L1757" s="582"/>
      <c r="M1757" s="641">
        <v>2476</v>
      </c>
      <c r="N1757" s="586" t="s">
        <v>147</v>
      </c>
      <c r="O1757" s="590">
        <v>416547708</v>
      </c>
      <c r="P1757" s="590"/>
      <c r="Q1757" s="590"/>
      <c r="R1757" s="589">
        <v>42842</v>
      </c>
      <c r="S1757" s="592"/>
      <c r="T1757" s="590"/>
      <c r="U1757" s="590"/>
      <c r="V1757" s="590">
        <v>416500000</v>
      </c>
      <c r="W1757" s="1044"/>
      <c r="X1757" s="582"/>
      <c r="Y1757" s="584" t="s">
        <v>2659</v>
      </c>
      <c r="Z1757" s="590">
        <v>416500000</v>
      </c>
      <c r="AA1757" s="590"/>
      <c r="AB1757" s="590"/>
      <c r="AC1757" s="589"/>
      <c r="AD1757" s="596">
        <v>416500000</v>
      </c>
      <c r="AE1757" s="924" t="s">
        <v>147</v>
      </c>
      <c r="AF1757" s="583"/>
      <c r="AG1757" s="583"/>
      <c r="AH1757" s="583"/>
      <c r="AI1757" s="583"/>
      <c r="AJ1757" s="590"/>
      <c r="AK1757" s="590"/>
      <c r="AL1757" s="590"/>
      <c r="AM1757" s="590"/>
      <c r="AN1757" s="593"/>
      <c r="AO1757" s="594"/>
    </row>
    <row r="1758" spans="1:46" ht="15" customHeight="1">
      <c r="A1758" s="1050"/>
      <c r="B1758" s="589"/>
      <c r="C1758" s="582"/>
      <c r="D1758" s="1054"/>
      <c r="E1758" s="588"/>
      <c r="F1758" s="595"/>
      <c r="G1758" s="640"/>
      <c r="H1758" s="582"/>
      <c r="I1758" s="582"/>
      <c r="J1758" s="582"/>
      <c r="K1758" s="582"/>
      <c r="L1758" s="582"/>
      <c r="M1758" s="641">
        <v>2477</v>
      </c>
      <c r="N1758" s="586" t="s">
        <v>133</v>
      </c>
      <c r="O1758" s="590">
        <v>394886890</v>
      </c>
      <c r="P1758" s="590"/>
      <c r="Q1758" s="590"/>
      <c r="R1758" s="589">
        <v>42842</v>
      </c>
      <c r="S1758" s="592"/>
      <c r="T1758" s="590"/>
      <c r="U1758" s="590"/>
      <c r="V1758" s="590">
        <v>394800000</v>
      </c>
      <c r="W1758" s="1045"/>
      <c r="X1758" s="582"/>
      <c r="Y1758" s="584" t="s">
        <v>2660</v>
      </c>
      <c r="Z1758" s="590">
        <v>394800000</v>
      </c>
      <c r="AA1758" s="590"/>
      <c r="AB1758" s="590"/>
      <c r="AC1758" s="589"/>
      <c r="AD1758" s="596">
        <v>394800000</v>
      </c>
      <c r="AE1758" s="924" t="s">
        <v>133</v>
      </c>
      <c r="AF1758" s="583"/>
      <c r="AG1758" s="583"/>
      <c r="AH1758" s="583"/>
      <c r="AI1758" s="583"/>
      <c r="AJ1758" s="590"/>
      <c r="AK1758" s="590"/>
      <c r="AL1758" s="590"/>
      <c r="AM1758" s="590"/>
      <c r="AN1758" s="593"/>
      <c r="AO1758" s="594"/>
    </row>
    <row r="1759" spans="1:46" ht="15" customHeight="1">
      <c r="A1759" s="1016"/>
      <c r="B1759" s="589"/>
      <c r="C1759" s="582"/>
      <c r="D1759" s="1055"/>
      <c r="E1759" s="588"/>
      <c r="F1759" s="595"/>
      <c r="G1759" s="640"/>
      <c r="H1759" s="582"/>
      <c r="I1759" s="582"/>
      <c r="J1759" s="582"/>
      <c r="K1759" s="582"/>
      <c r="L1759" s="582"/>
      <c r="M1759" s="591"/>
      <c r="N1759" s="586"/>
      <c r="O1759" s="590"/>
      <c r="P1759" s="590"/>
      <c r="Q1759" s="590"/>
      <c r="R1759" s="589"/>
      <c r="S1759" s="592"/>
      <c r="T1759" s="590"/>
      <c r="U1759" s="590"/>
      <c r="V1759" s="590"/>
      <c r="W1759" s="587"/>
      <c r="X1759" s="582"/>
      <c r="Y1759" s="584"/>
      <c r="Z1759" s="590"/>
      <c r="AA1759" s="590"/>
      <c r="AB1759" s="590"/>
      <c r="AC1759" s="589"/>
      <c r="AD1759" s="596"/>
      <c r="AE1759" s="924"/>
      <c r="AF1759" s="583"/>
      <c r="AG1759" s="583"/>
      <c r="AH1759" s="583"/>
      <c r="AI1759" s="583"/>
      <c r="AJ1759" s="590"/>
      <c r="AK1759" s="590"/>
      <c r="AL1759" s="590"/>
      <c r="AM1759" s="590"/>
      <c r="AN1759" s="593"/>
      <c r="AO1759" s="594"/>
    </row>
    <row r="1760" spans="1:46" ht="15" customHeight="1">
      <c r="A1760" s="1015" t="s">
        <v>2472</v>
      </c>
      <c r="B1760" s="487">
        <v>42956</v>
      </c>
      <c r="C1760" s="485"/>
      <c r="D1760" s="1011" t="s">
        <v>2521</v>
      </c>
      <c r="E1760" s="1011">
        <v>901102695</v>
      </c>
      <c r="F1760" s="488"/>
      <c r="G1760" s="1011" t="s">
        <v>2514</v>
      </c>
      <c r="H1760" s="485"/>
      <c r="I1760" s="485" t="s">
        <v>2538</v>
      </c>
      <c r="J1760" s="485"/>
      <c r="K1760" s="485"/>
      <c r="L1760" s="485"/>
      <c r="M1760" s="528">
        <v>2372</v>
      </c>
      <c r="N1760" s="1395" t="s">
        <v>132</v>
      </c>
      <c r="O1760" s="482">
        <v>1123524327</v>
      </c>
      <c r="P1760" s="482"/>
      <c r="Q1760" s="482"/>
      <c r="R1760" s="470">
        <v>42822</v>
      </c>
      <c r="S1760" s="484"/>
      <c r="T1760" s="482"/>
      <c r="U1760" s="482"/>
      <c r="V1760" s="483">
        <v>1105085163</v>
      </c>
      <c r="W1760" s="1043">
        <v>3088986262</v>
      </c>
      <c r="X1760" s="485"/>
      <c r="Y1760" s="725" t="s">
        <v>2574</v>
      </c>
      <c r="Z1760" s="482"/>
      <c r="AA1760" s="482"/>
      <c r="AB1760" s="482"/>
      <c r="AC1760" s="487">
        <v>43096</v>
      </c>
      <c r="AD1760" s="491">
        <v>221017032.46000001</v>
      </c>
      <c r="AE1760" s="1395" t="s">
        <v>132</v>
      </c>
      <c r="AF1760" s="483"/>
      <c r="AG1760" s="483"/>
      <c r="AH1760" s="483"/>
      <c r="AI1760" s="483"/>
      <c r="AJ1760" s="482"/>
      <c r="AK1760" s="482"/>
      <c r="AL1760" s="482"/>
      <c r="AM1760" s="482"/>
      <c r="AN1760" s="490"/>
      <c r="AO1760" s="486"/>
    </row>
    <row r="1761" spans="1:41" ht="15" customHeight="1">
      <c r="A1761" s="1050"/>
      <c r="B1761" s="740"/>
      <c r="C1761" s="739"/>
      <c r="D1761" s="1033"/>
      <c r="E1761" s="1033"/>
      <c r="F1761" s="741"/>
      <c r="G1761" s="1033"/>
      <c r="H1761" s="739"/>
      <c r="I1761" s="739"/>
      <c r="J1761" s="739"/>
      <c r="K1761" s="739"/>
      <c r="L1761" s="739"/>
      <c r="M1761" s="528"/>
      <c r="N1761" s="1396"/>
      <c r="O1761" s="751"/>
      <c r="P1761" s="751"/>
      <c r="Q1761" s="751"/>
      <c r="R1761" s="470"/>
      <c r="S1761" s="757"/>
      <c r="T1761" s="751"/>
      <c r="U1761" s="751"/>
      <c r="V1761" s="734"/>
      <c r="W1761" s="1044"/>
      <c r="X1761" s="739"/>
      <c r="Y1761" s="916" t="s">
        <v>2732</v>
      </c>
      <c r="Z1761" s="751">
        <v>68723886.25</v>
      </c>
      <c r="AA1761" s="751">
        <v>-13744777.32</v>
      </c>
      <c r="AB1761" s="751">
        <v>54979108.93</v>
      </c>
      <c r="AC1761" s="740">
        <v>43222</v>
      </c>
      <c r="AD1761" s="763">
        <f>+AB1761</f>
        <v>54979108.93</v>
      </c>
      <c r="AE1761" s="1396"/>
      <c r="AF1761" s="734"/>
      <c r="AG1761" s="734"/>
      <c r="AH1761" s="734"/>
      <c r="AI1761" s="734"/>
      <c r="AJ1761" s="751"/>
      <c r="AK1761" s="751"/>
      <c r="AL1761" s="751"/>
      <c r="AM1761" s="751"/>
      <c r="AN1761" s="761"/>
      <c r="AO1761" s="738"/>
    </row>
    <row r="1762" spans="1:41" ht="15" customHeight="1">
      <c r="A1762" s="1050"/>
      <c r="B1762" s="740"/>
      <c r="C1762" s="739"/>
      <c r="D1762" s="1033"/>
      <c r="E1762" s="1033"/>
      <c r="F1762" s="741"/>
      <c r="G1762" s="1033"/>
      <c r="H1762" s="739"/>
      <c r="I1762" s="739"/>
      <c r="J1762" s="739"/>
      <c r="K1762" s="739"/>
      <c r="L1762" s="739"/>
      <c r="M1762" s="528"/>
      <c r="N1762" s="529"/>
      <c r="O1762" s="751"/>
      <c r="P1762" s="751"/>
      <c r="Q1762" s="751"/>
      <c r="R1762" s="470"/>
      <c r="S1762" s="757"/>
      <c r="T1762" s="751"/>
      <c r="U1762" s="751"/>
      <c r="V1762" s="734"/>
      <c r="W1762" s="1044"/>
      <c r="X1762" s="739"/>
      <c r="Y1762" s="725"/>
      <c r="Z1762" s="751"/>
      <c r="AA1762" s="751"/>
      <c r="AB1762" s="751"/>
      <c r="AC1762" s="740"/>
      <c r="AD1762" s="763"/>
      <c r="AE1762" s="529"/>
      <c r="AF1762" s="734"/>
      <c r="AG1762" s="734"/>
      <c r="AH1762" s="734"/>
      <c r="AI1762" s="734"/>
      <c r="AJ1762" s="751"/>
      <c r="AK1762" s="751"/>
      <c r="AL1762" s="751"/>
      <c r="AM1762" s="751"/>
      <c r="AN1762" s="761"/>
      <c r="AO1762" s="738"/>
    </row>
    <row r="1763" spans="1:41" ht="15" customHeight="1">
      <c r="A1763" s="1050"/>
      <c r="B1763" s="487"/>
      <c r="C1763" s="485"/>
      <c r="D1763" s="1012"/>
      <c r="E1763" s="1012"/>
      <c r="F1763" s="488"/>
      <c r="G1763" s="1012"/>
      <c r="H1763" s="485"/>
      <c r="I1763" s="485"/>
      <c r="J1763" s="485"/>
      <c r="K1763" s="485"/>
      <c r="L1763" s="485"/>
      <c r="M1763" s="528">
        <v>2373</v>
      </c>
      <c r="N1763" s="1395" t="s">
        <v>137</v>
      </c>
      <c r="O1763" s="482">
        <v>2016874187</v>
      </c>
      <c r="P1763" s="482"/>
      <c r="Q1763" s="482"/>
      <c r="R1763" s="470">
        <v>42822</v>
      </c>
      <c r="S1763" s="484"/>
      <c r="T1763" s="482"/>
      <c r="U1763" s="482"/>
      <c r="V1763" s="483">
        <v>1983901099</v>
      </c>
      <c r="W1763" s="1045"/>
      <c r="X1763" s="485"/>
      <c r="Y1763" s="725" t="s">
        <v>2574</v>
      </c>
      <c r="Z1763" s="482"/>
      <c r="AA1763" s="482"/>
      <c r="AB1763" s="482"/>
      <c r="AC1763" s="487">
        <v>43096</v>
      </c>
      <c r="AD1763" s="491">
        <v>396780219.54000002</v>
      </c>
      <c r="AE1763" s="1395" t="s">
        <v>137</v>
      </c>
      <c r="AF1763" s="483"/>
      <c r="AG1763" s="483"/>
      <c r="AH1763" s="483"/>
      <c r="AI1763" s="483"/>
      <c r="AJ1763" s="482"/>
      <c r="AK1763" s="482"/>
      <c r="AL1763" s="482"/>
      <c r="AM1763" s="482"/>
      <c r="AN1763" s="490"/>
      <c r="AO1763" s="486"/>
    </row>
    <row r="1764" spans="1:41" ht="15" customHeight="1">
      <c r="A1764" s="1050"/>
      <c r="B1764" s="740"/>
      <c r="C1764" s="739"/>
      <c r="D1764" s="721"/>
      <c r="E1764" s="721"/>
      <c r="F1764" s="741"/>
      <c r="G1764" s="721"/>
      <c r="H1764" s="739"/>
      <c r="I1764" s="739"/>
      <c r="J1764" s="739"/>
      <c r="K1764" s="739"/>
      <c r="L1764" s="739"/>
      <c r="M1764" s="528"/>
      <c r="N1764" s="1396"/>
      <c r="O1764" s="751"/>
      <c r="P1764" s="751"/>
      <c r="Q1764" s="751"/>
      <c r="R1764" s="470"/>
      <c r="S1764" s="757"/>
      <c r="T1764" s="751"/>
      <c r="U1764" s="751"/>
      <c r="V1764" s="734"/>
      <c r="W1764" s="718"/>
      <c r="X1764" s="739"/>
      <c r="Y1764" s="916" t="s">
        <v>2732</v>
      </c>
      <c r="Z1764" s="751">
        <v>123376367.75</v>
      </c>
      <c r="AA1764" s="751">
        <v>-24675273.68</v>
      </c>
      <c r="AB1764" s="751">
        <v>98701094.069999993</v>
      </c>
      <c r="AC1764" s="740">
        <v>43222</v>
      </c>
      <c r="AD1764" s="763">
        <f>+AB1764</f>
        <v>98701094.069999993</v>
      </c>
      <c r="AE1764" s="1396"/>
      <c r="AF1764" s="734"/>
      <c r="AG1764" s="734"/>
      <c r="AH1764" s="734"/>
      <c r="AI1764" s="734"/>
      <c r="AJ1764" s="751"/>
      <c r="AK1764" s="751"/>
      <c r="AL1764" s="751"/>
      <c r="AM1764" s="751"/>
      <c r="AN1764" s="761"/>
      <c r="AO1764" s="738"/>
    </row>
    <row r="1765" spans="1:41" ht="15" customHeight="1">
      <c r="A1765" s="1016"/>
      <c r="B1765" s="740"/>
      <c r="C1765" s="739"/>
      <c r="D1765" s="721"/>
      <c r="E1765" s="721"/>
      <c r="F1765" s="741"/>
      <c r="G1765" s="721"/>
      <c r="H1765" s="739"/>
      <c r="I1765" s="739"/>
      <c r="J1765" s="739"/>
      <c r="K1765" s="739"/>
      <c r="L1765" s="739"/>
      <c r="M1765" s="528"/>
      <c r="N1765" s="529"/>
      <c r="O1765" s="751"/>
      <c r="P1765" s="751"/>
      <c r="Q1765" s="751"/>
      <c r="R1765" s="470"/>
      <c r="S1765" s="757"/>
      <c r="T1765" s="751"/>
      <c r="U1765" s="751"/>
      <c r="V1765" s="734"/>
      <c r="W1765" s="718"/>
      <c r="X1765" s="739"/>
      <c r="Y1765" s="726"/>
      <c r="Z1765" s="751"/>
      <c r="AA1765" s="751"/>
      <c r="AB1765" s="751"/>
      <c r="AC1765" s="740"/>
      <c r="AD1765" s="763"/>
      <c r="AE1765" s="529"/>
      <c r="AF1765" s="734"/>
      <c r="AG1765" s="734"/>
      <c r="AH1765" s="734"/>
      <c r="AI1765" s="734"/>
      <c r="AJ1765" s="751"/>
      <c r="AK1765" s="751"/>
      <c r="AL1765" s="751"/>
      <c r="AM1765" s="751"/>
      <c r="AN1765" s="761"/>
      <c r="AO1765" s="738"/>
    </row>
    <row r="1766" spans="1:41" ht="15" customHeight="1">
      <c r="A1766" s="1007" t="s">
        <v>2516</v>
      </c>
      <c r="B1766" s="487">
        <v>42965</v>
      </c>
      <c r="C1766" s="485"/>
      <c r="D1766" s="485" t="s">
        <v>2522</v>
      </c>
      <c r="E1766" s="488">
        <v>76305303</v>
      </c>
      <c r="F1766" s="488"/>
      <c r="G1766" s="495" t="s">
        <v>2575</v>
      </c>
      <c r="H1766" s="485"/>
      <c r="I1766" s="485" t="s">
        <v>177</v>
      </c>
      <c r="J1766" s="485"/>
      <c r="K1766" s="485"/>
      <c r="L1766" s="485"/>
      <c r="M1766" s="496">
        <v>22</v>
      </c>
      <c r="N1766" s="489" t="s">
        <v>129</v>
      </c>
      <c r="O1766" s="482">
        <v>92592593</v>
      </c>
      <c r="P1766" s="482"/>
      <c r="Q1766" s="482"/>
      <c r="R1766" s="487">
        <v>42706</v>
      </c>
      <c r="S1766" s="484"/>
      <c r="T1766" s="482"/>
      <c r="U1766" s="482"/>
      <c r="V1766" s="483"/>
      <c r="W1766" s="483">
        <v>92592593</v>
      </c>
      <c r="X1766" s="485"/>
      <c r="Y1766" s="489"/>
      <c r="Z1766" s="482"/>
      <c r="AA1766" s="482"/>
      <c r="AB1766" s="482"/>
      <c r="AC1766" s="487"/>
      <c r="AD1766" s="491"/>
      <c r="AE1766" s="924" t="s">
        <v>129</v>
      </c>
      <c r="AF1766" s="483"/>
      <c r="AG1766" s="483"/>
      <c r="AH1766" s="483"/>
      <c r="AI1766" s="483"/>
      <c r="AJ1766" s="482"/>
      <c r="AK1766" s="482"/>
      <c r="AL1766" s="482"/>
      <c r="AM1766" s="482"/>
      <c r="AN1766" s="490"/>
      <c r="AO1766" s="486"/>
    </row>
    <row r="1767" spans="1:41" ht="15" customHeight="1">
      <c r="A1767" s="1007" t="s">
        <v>2513</v>
      </c>
      <c r="B1767" s="487">
        <v>42978</v>
      </c>
      <c r="C1767" s="485"/>
      <c r="D1767" s="485" t="s">
        <v>2523</v>
      </c>
      <c r="E1767" s="488"/>
      <c r="F1767" s="488"/>
      <c r="G1767" s="495" t="s">
        <v>2576</v>
      </c>
      <c r="H1767" s="485"/>
      <c r="I1767" s="485" t="s">
        <v>2540</v>
      </c>
      <c r="J1767" s="485"/>
      <c r="K1767" s="485"/>
      <c r="L1767" s="485"/>
      <c r="M1767" s="496">
        <v>2371</v>
      </c>
      <c r="N1767" s="489" t="s">
        <v>163</v>
      </c>
      <c r="O1767" s="482">
        <v>29153286</v>
      </c>
      <c r="P1767" s="482"/>
      <c r="Q1767" s="482"/>
      <c r="R1767" s="487" t="s">
        <v>2577</v>
      </c>
      <c r="S1767" s="484"/>
      <c r="T1767" s="482"/>
      <c r="U1767" s="482"/>
      <c r="V1767" s="483"/>
      <c r="W1767" s="483">
        <v>19500000</v>
      </c>
      <c r="X1767" s="485"/>
      <c r="Y1767" s="489"/>
      <c r="Z1767" s="482"/>
      <c r="AA1767" s="482"/>
      <c r="AB1767" s="482"/>
      <c r="AC1767" s="487"/>
      <c r="AD1767" s="491"/>
      <c r="AE1767" s="924" t="s">
        <v>163</v>
      </c>
      <c r="AF1767" s="483"/>
      <c r="AG1767" s="483"/>
      <c r="AH1767" s="483"/>
      <c r="AI1767" s="483"/>
      <c r="AJ1767" s="482"/>
      <c r="AK1767" s="482"/>
      <c r="AL1767" s="482"/>
      <c r="AM1767" s="482"/>
      <c r="AN1767" s="490"/>
      <c r="AO1767" s="486"/>
    </row>
    <row r="1768" spans="1:41" ht="15" customHeight="1">
      <c r="A1768" s="1007" t="s">
        <v>2468</v>
      </c>
      <c r="B1768" s="487">
        <v>42993</v>
      </c>
      <c r="C1768" s="485"/>
      <c r="D1768" s="485" t="s">
        <v>2524</v>
      </c>
      <c r="E1768" s="488">
        <v>901112565</v>
      </c>
      <c r="F1768" s="488"/>
      <c r="G1768" s="495" t="s">
        <v>2578</v>
      </c>
      <c r="H1768" s="485"/>
      <c r="I1768" s="485" t="s">
        <v>2541</v>
      </c>
      <c r="J1768" s="485"/>
      <c r="K1768" s="485"/>
      <c r="L1768" s="485"/>
      <c r="M1768" s="530">
        <v>2366</v>
      </c>
      <c r="N1768" s="489" t="s">
        <v>2579</v>
      </c>
      <c r="O1768" s="482">
        <v>1527790515</v>
      </c>
      <c r="P1768" s="482"/>
      <c r="Q1768" s="482"/>
      <c r="R1768" s="487" t="s">
        <v>2577</v>
      </c>
      <c r="S1768" s="484"/>
      <c r="T1768" s="482"/>
      <c r="U1768" s="482"/>
      <c r="V1768" s="483">
        <v>1330523484</v>
      </c>
      <c r="W1768" s="483">
        <v>1330523484</v>
      </c>
      <c r="X1768" s="485"/>
      <c r="Y1768" s="489" t="s">
        <v>2580</v>
      </c>
      <c r="Z1768" s="482"/>
      <c r="AA1768" s="482"/>
      <c r="AB1768" s="482"/>
      <c r="AC1768" s="487">
        <v>43151</v>
      </c>
      <c r="AD1768" s="491">
        <v>266104697</v>
      </c>
      <c r="AE1768" s="924" t="s">
        <v>2579</v>
      </c>
      <c r="AF1768" s="483"/>
      <c r="AG1768" s="483"/>
      <c r="AH1768" s="483"/>
      <c r="AI1768" s="483"/>
      <c r="AJ1768" s="482"/>
      <c r="AK1768" s="482"/>
      <c r="AL1768" s="482"/>
      <c r="AM1768" s="482">
        <f>AK1741+AL1741</f>
        <v>1058363367</v>
      </c>
      <c r="AN1768" s="490"/>
      <c r="AO1768" s="486"/>
    </row>
    <row r="1769" spans="1:41" ht="15" customHeight="1">
      <c r="A1769" s="1075" t="s">
        <v>2546</v>
      </c>
      <c r="B1769" s="487">
        <v>42993</v>
      </c>
      <c r="C1769" s="485"/>
      <c r="D1769" s="1076" t="s">
        <v>2525</v>
      </c>
      <c r="E1769" s="1076">
        <v>10541981</v>
      </c>
      <c r="F1769" s="488"/>
      <c r="G1769" s="1076" t="s">
        <v>2815</v>
      </c>
      <c r="H1769" s="485"/>
      <c r="I1769" s="1076" t="s">
        <v>2540</v>
      </c>
      <c r="J1769" s="485"/>
      <c r="K1769" s="485"/>
      <c r="L1769" s="485"/>
      <c r="M1769" s="496">
        <v>2387</v>
      </c>
      <c r="N1769" s="489" t="s">
        <v>130</v>
      </c>
      <c r="O1769" s="482">
        <v>11111111</v>
      </c>
      <c r="P1769" s="482"/>
      <c r="Q1769" s="1062">
        <f>O1769+O1770+O1771</f>
        <v>29840118</v>
      </c>
      <c r="R1769" s="487">
        <v>42824</v>
      </c>
      <c r="S1769" s="484"/>
      <c r="T1769" s="482"/>
      <c r="U1769" s="482"/>
      <c r="V1769" s="483"/>
      <c r="W1769" s="1062">
        <v>25125660</v>
      </c>
      <c r="X1769" s="485"/>
      <c r="Y1769" s="489"/>
      <c r="Z1769" s="482"/>
      <c r="AA1769" s="482"/>
      <c r="AB1769" s="482"/>
      <c r="AC1769" s="487"/>
      <c r="AD1769" s="491"/>
      <c r="AE1769" s="924" t="s">
        <v>130</v>
      </c>
      <c r="AF1769" s="483"/>
      <c r="AG1769" s="483"/>
      <c r="AH1769" s="483"/>
      <c r="AI1769" s="483"/>
      <c r="AJ1769" s="482"/>
      <c r="AK1769" s="482"/>
      <c r="AL1769" s="482"/>
      <c r="AM1769" s="482"/>
      <c r="AN1769" s="490"/>
      <c r="AO1769" s="486"/>
    </row>
    <row r="1770" spans="1:41" ht="15" customHeight="1">
      <c r="A1770" s="1075"/>
      <c r="B1770" s="487"/>
      <c r="C1770" s="485"/>
      <c r="D1770" s="1076"/>
      <c r="E1770" s="1076"/>
      <c r="F1770" s="488"/>
      <c r="G1770" s="1076"/>
      <c r="H1770" s="485"/>
      <c r="I1770" s="1076"/>
      <c r="J1770" s="485"/>
      <c r="K1770" s="485"/>
      <c r="L1770" s="485"/>
      <c r="M1770" s="496">
        <v>2385</v>
      </c>
      <c r="N1770" s="489" t="s">
        <v>2582</v>
      </c>
      <c r="O1770" s="482">
        <v>7407407</v>
      </c>
      <c r="P1770" s="482"/>
      <c r="Q1770" s="1063"/>
      <c r="R1770" s="487">
        <v>42824</v>
      </c>
      <c r="S1770" s="484"/>
      <c r="T1770" s="482"/>
      <c r="U1770" s="482"/>
      <c r="V1770" s="483"/>
      <c r="W1770" s="1063"/>
      <c r="X1770" s="485"/>
      <c r="Y1770" s="489"/>
      <c r="Z1770" s="482"/>
      <c r="AA1770" s="482"/>
      <c r="AB1770" s="482"/>
      <c r="AC1770" s="487"/>
      <c r="AD1770" s="491"/>
      <c r="AE1770" s="924" t="s">
        <v>2582</v>
      </c>
      <c r="AF1770" s="483"/>
      <c r="AG1770" s="483"/>
      <c r="AH1770" s="483"/>
      <c r="AI1770" s="483"/>
      <c r="AJ1770" s="482"/>
      <c r="AK1770" s="482"/>
      <c r="AL1770" s="482"/>
      <c r="AM1770" s="482"/>
      <c r="AN1770" s="490"/>
      <c r="AO1770" s="486"/>
    </row>
    <row r="1771" spans="1:41" ht="15" customHeight="1">
      <c r="A1771" s="1075"/>
      <c r="B1771" s="487"/>
      <c r="C1771" s="485"/>
      <c r="D1771" s="1076"/>
      <c r="E1771" s="1076"/>
      <c r="F1771" s="488"/>
      <c r="G1771" s="1076"/>
      <c r="H1771" s="485"/>
      <c r="I1771" s="1076"/>
      <c r="J1771" s="485"/>
      <c r="K1771" s="485"/>
      <c r="L1771" s="485"/>
      <c r="M1771" s="496">
        <v>2879</v>
      </c>
      <c r="N1771" s="531" t="s">
        <v>144</v>
      </c>
      <c r="O1771" s="482">
        <v>11321600</v>
      </c>
      <c r="P1771" s="482"/>
      <c r="Q1771" s="1064"/>
      <c r="R1771" s="487">
        <v>42908</v>
      </c>
      <c r="S1771" s="484"/>
      <c r="T1771" s="482"/>
      <c r="U1771" s="482"/>
      <c r="V1771" s="483"/>
      <c r="W1771" s="1064"/>
      <c r="X1771" s="485"/>
      <c r="Y1771" s="489"/>
      <c r="Z1771" s="482"/>
      <c r="AA1771" s="482"/>
      <c r="AB1771" s="482"/>
      <c r="AC1771" s="487"/>
      <c r="AD1771" s="491"/>
      <c r="AE1771" s="531" t="s">
        <v>144</v>
      </c>
      <c r="AF1771" s="483"/>
      <c r="AG1771" s="483"/>
      <c r="AH1771" s="483"/>
      <c r="AI1771" s="483"/>
      <c r="AJ1771" s="482"/>
      <c r="AK1771" s="482"/>
      <c r="AL1771" s="482"/>
      <c r="AM1771" s="482"/>
      <c r="AN1771" s="490"/>
      <c r="AO1771" s="486"/>
    </row>
    <row r="1772" spans="1:41" ht="15" customHeight="1">
      <c r="A1772" s="1007" t="s">
        <v>2547</v>
      </c>
      <c r="B1772" s="487">
        <v>42993</v>
      </c>
      <c r="C1772" s="485"/>
      <c r="D1772" s="485" t="s">
        <v>2522</v>
      </c>
      <c r="E1772" s="488">
        <v>76305303</v>
      </c>
      <c r="F1772" s="488"/>
      <c r="G1772" s="495" t="s">
        <v>2583</v>
      </c>
      <c r="H1772" s="485"/>
      <c r="I1772" s="485" t="s">
        <v>177</v>
      </c>
      <c r="J1772" s="485"/>
      <c r="K1772" s="485"/>
      <c r="L1772" s="485"/>
      <c r="M1772" s="496">
        <v>2884</v>
      </c>
      <c r="N1772" s="489" t="s">
        <v>2584</v>
      </c>
      <c r="O1772" s="482">
        <v>24900000</v>
      </c>
      <c r="P1772" s="482"/>
      <c r="Q1772" s="482"/>
      <c r="R1772" s="487">
        <v>42908</v>
      </c>
      <c r="S1772" s="484"/>
      <c r="T1772" s="482"/>
      <c r="U1772" s="482"/>
      <c r="V1772" s="483"/>
      <c r="W1772" s="483">
        <v>21156240</v>
      </c>
      <c r="X1772" s="485"/>
      <c r="Y1772" s="489"/>
      <c r="Z1772" s="482"/>
      <c r="AA1772" s="482"/>
      <c r="AB1772" s="482"/>
      <c r="AC1772" s="487"/>
      <c r="AD1772" s="491"/>
      <c r="AE1772" s="924" t="s">
        <v>2584</v>
      </c>
      <c r="AF1772" s="483"/>
      <c r="AG1772" s="483"/>
      <c r="AH1772" s="483"/>
      <c r="AI1772" s="483"/>
      <c r="AJ1772" s="482"/>
      <c r="AK1772" s="482"/>
      <c r="AL1772" s="482"/>
      <c r="AM1772" s="482"/>
      <c r="AN1772" s="490"/>
      <c r="AO1772" s="486"/>
    </row>
    <row r="1773" spans="1:41" ht="15" customHeight="1">
      <c r="A1773" s="1008" t="s">
        <v>2548</v>
      </c>
      <c r="B1773" s="487">
        <v>42998</v>
      </c>
      <c r="C1773" s="485"/>
      <c r="D1773" s="485" t="s">
        <v>2526</v>
      </c>
      <c r="E1773" s="488">
        <v>10526522</v>
      </c>
      <c r="F1773" s="488"/>
      <c r="G1773" s="495" t="s">
        <v>2585</v>
      </c>
      <c r="H1773" s="485"/>
      <c r="I1773" s="485" t="s">
        <v>2542</v>
      </c>
      <c r="J1773" s="485"/>
      <c r="K1773" s="485"/>
      <c r="L1773" s="485"/>
      <c r="M1773" s="489">
        <v>2384</v>
      </c>
      <c r="N1773" s="650" t="s">
        <v>152</v>
      </c>
      <c r="O1773" s="482">
        <v>92595593</v>
      </c>
      <c r="P1773" s="482"/>
      <c r="Q1773" s="482"/>
      <c r="R1773" s="487">
        <v>42824</v>
      </c>
      <c r="S1773" s="484"/>
      <c r="T1773" s="482"/>
      <c r="U1773" s="482"/>
      <c r="V1773" s="483"/>
      <c r="W1773" s="483">
        <v>92591520</v>
      </c>
      <c r="X1773" s="485"/>
      <c r="Y1773" s="650" t="s">
        <v>2698</v>
      </c>
      <c r="Z1773" s="482"/>
      <c r="AA1773" s="702">
        <v>27777456</v>
      </c>
      <c r="AB1773" s="482">
        <f>+Z1773+AA1773</f>
        <v>27777456</v>
      </c>
      <c r="AC1773" s="487">
        <v>43091</v>
      </c>
      <c r="AD1773" s="491">
        <f>+AB1773</f>
        <v>27777456</v>
      </c>
      <c r="AE1773" s="924" t="s">
        <v>152</v>
      </c>
      <c r="AF1773" s="483"/>
      <c r="AG1773" s="483"/>
      <c r="AH1773" s="483"/>
      <c r="AI1773" s="483"/>
      <c r="AJ1773" s="482"/>
      <c r="AK1773" s="482"/>
      <c r="AL1773" s="482"/>
      <c r="AM1773" s="482"/>
      <c r="AN1773" s="490"/>
      <c r="AO1773" s="486"/>
    </row>
    <row r="1774" spans="1:41" ht="15" customHeight="1">
      <c r="A1774" s="1007" t="s">
        <v>2549</v>
      </c>
      <c r="B1774" s="487">
        <v>42998</v>
      </c>
      <c r="C1774" s="485"/>
      <c r="D1774" s="485" t="s">
        <v>2527</v>
      </c>
      <c r="E1774" s="488">
        <v>91446937</v>
      </c>
      <c r="F1774" s="488"/>
      <c r="G1774" s="495" t="s">
        <v>2586</v>
      </c>
      <c r="H1774" s="485"/>
      <c r="I1774" s="485" t="s">
        <v>2542</v>
      </c>
      <c r="J1774" s="485"/>
      <c r="K1774" s="485"/>
      <c r="L1774" s="485"/>
      <c r="M1774" s="530">
        <v>2386</v>
      </c>
      <c r="N1774" s="531" t="s">
        <v>130</v>
      </c>
      <c r="O1774" s="482">
        <v>138888889</v>
      </c>
      <c r="P1774" s="482"/>
      <c r="Q1774" s="482"/>
      <c r="R1774" s="487">
        <v>42824</v>
      </c>
      <c r="S1774" s="484"/>
      <c r="T1774" s="482"/>
      <c r="U1774" s="482"/>
      <c r="V1774" s="483">
        <v>138813500</v>
      </c>
      <c r="W1774" s="483">
        <v>138813500</v>
      </c>
      <c r="X1774" s="485"/>
      <c r="Y1774" s="710" t="s">
        <v>2698</v>
      </c>
      <c r="Z1774" s="482"/>
      <c r="AA1774" s="702">
        <f>+[2]O.P.2018!$AD$5</f>
        <v>41644050</v>
      </c>
      <c r="AB1774" s="482">
        <f>+AA1774</f>
        <v>41644050</v>
      </c>
      <c r="AC1774" s="487">
        <v>43144</v>
      </c>
      <c r="AD1774" s="491">
        <f>+AB1774</f>
        <v>41644050</v>
      </c>
      <c r="AE1774" s="531" t="s">
        <v>130</v>
      </c>
      <c r="AF1774" s="483"/>
      <c r="AG1774" s="483"/>
      <c r="AH1774" s="483"/>
      <c r="AI1774" s="483"/>
      <c r="AJ1774" s="482"/>
      <c r="AK1774" s="482"/>
      <c r="AL1774" s="482"/>
      <c r="AM1774" s="482"/>
      <c r="AN1774" s="490"/>
      <c r="AO1774" s="486"/>
    </row>
    <row r="1775" spans="1:41" ht="15" customHeight="1">
      <c r="A1775" s="1007" t="s">
        <v>2550</v>
      </c>
      <c r="B1775" s="487">
        <v>42998</v>
      </c>
      <c r="C1775" s="485"/>
      <c r="D1775" s="485" t="s">
        <v>2527</v>
      </c>
      <c r="E1775" s="488">
        <v>91446937</v>
      </c>
      <c r="F1775" s="488"/>
      <c r="G1775" s="495" t="s">
        <v>2587</v>
      </c>
      <c r="H1775" s="485"/>
      <c r="I1775" s="485" t="s">
        <v>2542</v>
      </c>
      <c r="J1775" s="485"/>
      <c r="K1775" s="485"/>
      <c r="L1775" s="485"/>
      <c r="M1775" s="530">
        <v>2878</v>
      </c>
      <c r="N1775" s="531" t="s">
        <v>144</v>
      </c>
      <c r="O1775" s="482">
        <v>141520000</v>
      </c>
      <c r="P1775" s="482"/>
      <c r="Q1775" s="482"/>
      <c r="R1775" s="487">
        <v>42908</v>
      </c>
      <c r="S1775" s="484"/>
      <c r="T1775" s="482"/>
      <c r="U1775" s="482"/>
      <c r="V1775" s="483">
        <v>141372000</v>
      </c>
      <c r="W1775" s="483">
        <v>141520000</v>
      </c>
      <c r="X1775" s="485"/>
      <c r="Y1775" s="710" t="s">
        <v>2698</v>
      </c>
      <c r="Z1775" s="482"/>
      <c r="AA1775" s="702">
        <v>42411600</v>
      </c>
      <c r="AB1775" s="482">
        <f>+AA1775</f>
        <v>42411600</v>
      </c>
      <c r="AC1775" s="487">
        <v>43151</v>
      </c>
      <c r="AD1775" s="491">
        <f>+AB1775</f>
        <v>42411600</v>
      </c>
      <c r="AE1775" s="531" t="s">
        <v>144</v>
      </c>
      <c r="AF1775" s="483"/>
      <c r="AG1775" s="483"/>
      <c r="AH1775" s="483"/>
      <c r="AI1775" s="483"/>
      <c r="AJ1775" s="482"/>
      <c r="AK1775" s="482"/>
      <c r="AL1775" s="482"/>
      <c r="AM1775" s="482"/>
      <c r="AN1775" s="490"/>
      <c r="AO1775" s="486"/>
    </row>
    <row r="1776" spans="1:41" ht="15" customHeight="1">
      <c r="A1776" s="1007" t="s">
        <v>2551</v>
      </c>
      <c r="B1776" s="487">
        <v>43018</v>
      </c>
      <c r="C1776" s="485"/>
      <c r="D1776" s="485" t="s">
        <v>2528</v>
      </c>
      <c r="E1776" s="488">
        <v>901120590</v>
      </c>
      <c r="F1776" s="488"/>
      <c r="G1776" s="495" t="s">
        <v>2588</v>
      </c>
      <c r="H1776" s="485"/>
      <c r="I1776" s="485" t="s">
        <v>2540</v>
      </c>
      <c r="J1776" s="485"/>
      <c r="K1776" s="485"/>
      <c r="L1776" s="485"/>
      <c r="M1776" s="489"/>
      <c r="N1776" s="489"/>
      <c r="O1776" s="482"/>
      <c r="P1776" s="482"/>
      <c r="Q1776" s="482"/>
      <c r="R1776" s="487"/>
      <c r="S1776" s="484"/>
      <c r="T1776" s="482"/>
      <c r="U1776" s="482"/>
      <c r="V1776" s="483"/>
      <c r="W1776" s="483">
        <v>17800000</v>
      </c>
      <c r="X1776" s="485"/>
      <c r="Y1776" s="489"/>
      <c r="Z1776" s="482"/>
      <c r="AA1776" s="702"/>
      <c r="AB1776" s="482"/>
      <c r="AC1776" s="487"/>
      <c r="AD1776" s="491"/>
      <c r="AE1776" s="924"/>
      <c r="AF1776" s="483"/>
      <c r="AG1776" s="483"/>
      <c r="AH1776" s="483"/>
      <c r="AI1776" s="483"/>
      <c r="AJ1776" s="482"/>
      <c r="AK1776" s="482"/>
      <c r="AL1776" s="482"/>
      <c r="AM1776" s="482"/>
      <c r="AN1776" s="490"/>
      <c r="AO1776" s="486"/>
    </row>
    <row r="1777" spans="1:41" ht="15" customHeight="1">
      <c r="A1777" s="1007" t="s">
        <v>2552</v>
      </c>
      <c r="B1777" s="487">
        <v>43027</v>
      </c>
      <c r="C1777" s="485"/>
      <c r="D1777" s="485" t="s">
        <v>2529</v>
      </c>
      <c r="E1777" s="488">
        <v>901123855</v>
      </c>
      <c r="F1777" s="488"/>
      <c r="G1777" s="495" t="s">
        <v>2589</v>
      </c>
      <c r="H1777" s="485"/>
      <c r="I1777" s="485" t="s">
        <v>2540</v>
      </c>
      <c r="J1777" s="485"/>
      <c r="K1777" s="485"/>
      <c r="L1777" s="485"/>
      <c r="M1777" s="530">
        <v>2367</v>
      </c>
      <c r="N1777" s="531" t="s">
        <v>141</v>
      </c>
      <c r="O1777" s="751">
        <v>122223241</v>
      </c>
      <c r="P1777" s="482"/>
      <c r="Q1777" s="482"/>
      <c r="R1777" s="487">
        <v>42822</v>
      </c>
      <c r="S1777" s="484"/>
      <c r="T1777" s="482"/>
      <c r="U1777" s="482"/>
      <c r="V1777" s="483">
        <v>107466520</v>
      </c>
      <c r="W1777" s="483">
        <v>107466520</v>
      </c>
      <c r="X1777" s="485"/>
      <c r="Y1777" s="728" t="s">
        <v>2698</v>
      </c>
      <c r="Z1777" s="482"/>
      <c r="AA1777" s="702">
        <v>10746652</v>
      </c>
      <c r="AB1777" s="482">
        <f>+AA1777</f>
        <v>10746652</v>
      </c>
      <c r="AC1777" s="487">
        <v>43166</v>
      </c>
      <c r="AD1777" s="491">
        <f>+AA1777</f>
        <v>10746652</v>
      </c>
      <c r="AE1777" s="531" t="s">
        <v>141</v>
      </c>
      <c r="AF1777" s="483"/>
      <c r="AG1777" s="483"/>
      <c r="AH1777" s="483"/>
      <c r="AI1777" s="483"/>
      <c r="AJ1777" s="482"/>
      <c r="AK1777" s="482"/>
      <c r="AL1777" s="482"/>
      <c r="AM1777" s="482"/>
      <c r="AN1777" s="490"/>
      <c r="AO1777" s="486"/>
    </row>
    <row r="1778" spans="1:41" ht="15" customHeight="1">
      <c r="A1778" s="1007" t="s">
        <v>2553</v>
      </c>
      <c r="B1778" s="487">
        <v>43032</v>
      </c>
      <c r="C1778" s="485"/>
      <c r="D1778" s="485" t="s">
        <v>2527</v>
      </c>
      <c r="E1778" s="488">
        <v>91446937</v>
      </c>
      <c r="F1778" s="488"/>
      <c r="G1778" s="495" t="s">
        <v>2590</v>
      </c>
      <c r="H1778" s="485"/>
      <c r="I1778" s="485" t="s">
        <v>2543</v>
      </c>
      <c r="J1778" s="485"/>
      <c r="K1778" s="485"/>
      <c r="L1778" s="485"/>
      <c r="M1778" s="489"/>
      <c r="N1778" s="489"/>
      <c r="O1778" s="482"/>
      <c r="P1778" s="482"/>
      <c r="Q1778" s="482"/>
      <c r="R1778" s="487"/>
      <c r="S1778" s="484"/>
      <c r="T1778" s="482"/>
      <c r="U1778" s="482"/>
      <c r="V1778" s="483"/>
      <c r="W1778" s="483">
        <v>146905500</v>
      </c>
      <c r="X1778" s="485"/>
      <c r="Y1778" s="489"/>
      <c r="Z1778" s="482"/>
      <c r="AA1778" s="702"/>
      <c r="AB1778" s="482"/>
      <c r="AC1778" s="487"/>
      <c r="AD1778" s="491"/>
      <c r="AE1778" s="924"/>
      <c r="AF1778" s="483"/>
      <c r="AG1778" s="483"/>
      <c r="AH1778" s="483"/>
      <c r="AI1778" s="483"/>
      <c r="AJ1778" s="482"/>
      <c r="AK1778" s="482"/>
      <c r="AL1778" s="482"/>
      <c r="AM1778" s="482"/>
      <c r="AN1778" s="490"/>
      <c r="AO1778" s="486"/>
    </row>
    <row r="1779" spans="1:41" ht="15" customHeight="1">
      <c r="A1779" s="1007" t="s">
        <v>2554</v>
      </c>
      <c r="B1779" s="487">
        <v>43040</v>
      </c>
      <c r="C1779" s="485"/>
      <c r="D1779" s="485" t="s">
        <v>2530</v>
      </c>
      <c r="E1779" s="488">
        <v>901124978</v>
      </c>
      <c r="F1779" s="488"/>
      <c r="G1779" s="495" t="s">
        <v>2591</v>
      </c>
      <c r="H1779" s="485"/>
      <c r="I1779" s="485" t="s">
        <v>2540</v>
      </c>
      <c r="J1779" s="485"/>
      <c r="K1779" s="485"/>
      <c r="L1779" s="485"/>
      <c r="M1779" s="530">
        <v>2374</v>
      </c>
      <c r="N1779" s="531" t="s">
        <v>132</v>
      </c>
      <c r="O1779" s="482">
        <v>226475673</v>
      </c>
      <c r="P1779" s="482"/>
      <c r="Q1779" s="482"/>
      <c r="R1779" s="740">
        <v>42822</v>
      </c>
      <c r="S1779" s="484"/>
      <c r="T1779" s="482"/>
      <c r="U1779" s="482"/>
      <c r="V1779" s="483">
        <v>224872515</v>
      </c>
      <c r="W1779" s="483">
        <v>224872515</v>
      </c>
      <c r="X1779" s="485"/>
      <c r="Y1779" s="710" t="s">
        <v>2698</v>
      </c>
      <c r="Z1779" s="482"/>
      <c r="AA1779" s="702">
        <v>22487251.5</v>
      </c>
      <c r="AB1779" s="482">
        <f>+AA1779</f>
        <v>22487251.5</v>
      </c>
      <c r="AC1779" s="487">
        <v>43159</v>
      </c>
      <c r="AD1779" s="491">
        <f>+AB1779</f>
        <v>22487251.5</v>
      </c>
      <c r="AE1779" s="531" t="s">
        <v>132</v>
      </c>
      <c r="AF1779" s="483"/>
      <c r="AG1779" s="483"/>
      <c r="AH1779" s="483"/>
      <c r="AI1779" s="483"/>
      <c r="AJ1779" s="482"/>
      <c r="AK1779" s="482"/>
      <c r="AL1779" s="482"/>
      <c r="AM1779" s="482"/>
      <c r="AN1779" s="490"/>
      <c r="AO1779" s="486"/>
    </row>
    <row r="1780" spans="1:41" ht="15" customHeight="1">
      <c r="A1780" s="1007" t="s">
        <v>2555</v>
      </c>
      <c r="B1780" s="487">
        <v>43040</v>
      </c>
      <c r="C1780" s="485"/>
      <c r="D1780" s="485" t="s">
        <v>2530</v>
      </c>
      <c r="E1780" s="488">
        <v>901124978</v>
      </c>
      <c r="F1780" s="488"/>
      <c r="G1780" s="495" t="s">
        <v>2592</v>
      </c>
      <c r="H1780" s="485"/>
      <c r="I1780" s="485" t="s">
        <v>2540</v>
      </c>
      <c r="J1780" s="485"/>
      <c r="K1780" s="485"/>
      <c r="L1780" s="485"/>
      <c r="M1780" s="489">
        <v>2381</v>
      </c>
      <c r="N1780" s="650" t="s">
        <v>2702</v>
      </c>
      <c r="O1780" s="482">
        <v>238396409</v>
      </c>
      <c r="P1780" s="482"/>
      <c r="Q1780" s="482"/>
      <c r="R1780" s="487">
        <v>42822</v>
      </c>
      <c r="S1780" s="484"/>
      <c r="T1780" s="482"/>
      <c r="U1780" s="482"/>
      <c r="V1780" s="483">
        <v>237262795</v>
      </c>
      <c r="W1780" s="483">
        <v>237262795</v>
      </c>
      <c r="X1780" s="485"/>
      <c r="Y1780" s="650" t="s">
        <v>2698</v>
      </c>
      <c r="Z1780" s="482"/>
      <c r="AA1780" s="482">
        <v>23726279.5</v>
      </c>
      <c r="AB1780" s="482">
        <f>+AA1780</f>
        <v>23726279.5</v>
      </c>
      <c r="AC1780" s="487">
        <v>43096</v>
      </c>
      <c r="AD1780" s="491">
        <f>+AB1780</f>
        <v>23726279.5</v>
      </c>
      <c r="AE1780" s="924" t="s">
        <v>2702</v>
      </c>
      <c r="AF1780" s="483"/>
      <c r="AG1780" s="483"/>
      <c r="AH1780" s="483"/>
      <c r="AI1780" s="483"/>
      <c r="AJ1780" s="482"/>
      <c r="AK1780" s="482"/>
      <c r="AL1780" s="482"/>
      <c r="AM1780" s="482"/>
      <c r="AN1780" s="490"/>
      <c r="AO1780" s="486"/>
    </row>
    <row r="1781" spans="1:41" ht="15" customHeight="1">
      <c r="A1781" s="1015" t="s">
        <v>2593</v>
      </c>
      <c r="B1781" s="487"/>
      <c r="C1781" s="485"/>
      <c r="D1781" s="485" t="s">
        <v>2594</v>
      </c>
      <c r="E1781" s="488"/>
      <c r="F1781" s="488"/>
      <c r="G1781" s="495" t="s">
        <v>2595</v>
      </c>
      <c r="H1781" s="485"/>
      <c r="I1781" s="485"/>
      <c r="J1781" s="485"/>
      <c r="K1781" s="485"/>
      <c r="L1781" s="485"/>
      <c r="M1781" s="1017">
        <v>4030</v>
      </c>
      <c r="N1781" s="1011" t="s">
        <v>141</v>
      </c>
      <c r="O1781" s="1019">
        <v>148750000</v>
      </c>
      <c r="P1781" s="482"/>
      <c r="Q1781" s="482"/>
      <c r="R1781" s="487"/>
      <c r="S1781" s="484"/>
      <c r="T1781" s="482"/>
      <c r="U1781" s="482"/>
      <c r="V1781" s="483">
        <f>+O1781</f>
        <v>148750000</v>
      </c>
      <c r="W1781" s="483">
        <f>+V1781</f>
        <v>148750000</v>
      </c>
      <c r="X1781" s="485"/>
      <c r="Y1781" s="650" t="s">
        <v>2698</v>
      </c>
      <c r="Z1781" s="482"/>
      <c r="AA1781" s="482">
        <f>+AD1781</f>
        <v>74375000</v>
      </c>
      <c r="AB1781" s="482">
        <f>+AA1781</f>
        <v>74375000</v>
      </c>
      <c r="AC1781" s="487"/>
      <c r="AD1781" s="491">
        <v>74375000</v>
      </c>
      <c r="AE1781" s="1011" t="s">
        <v>141</v>
      </c>
      <c r="AF1781" s="483"/>
      <c r="AG1781" s="483"/>
      <c r="AH1781" s="483"/>
      <c r="AI1781" s="483"/>
      <c r="AJ1781" s="482"/>
      <c r="AK1781" s="482"/>
      <c r="AL1781" s="482"/>
      <c r="AM1781" s="482"/>
      <c r="AN1781" s="490"/>
      <c r="AO1781" s="486"/>
    </row>
    <row r="1782" spans="1:41" ht="15" customHeight="1">
      <c r="A1782" s="1016"/>
      <c r="B1782" s="665"/>
      <c r="C1782" s="647"/>
      <c r="D1782" s="647"/>
      <c r="E1782" s="671"/>
      <c r="F1782" s="671"/>
      <c r="G1782" s="686"/>
      <c r="H1782" s="647"/>
      <c r="I1782" s="647"/>
      <c r="J1782" s="647"/>
      <c r="K1782" s="647"/>
      <c r="L1782" s="647"/>
      <c r="M1782" s="1018"/>
      <c r="N1782" s="1012"/>
      <c r="O1782" s="1020"/>
      <c r="P1782" s="666"/>
      <c r="Q1782" s="666"/>
      <c r="R1782" s="665"/>
      <c r="S1782" s="668"/>
      <c r="T1782" s="666"/>
      <c r="U1782" s="666"/>
      <c r="V1782" s="648"/>
      <c r="W1782" s="648"/>
      <c r="X1782" s="647"/>
      <c r="Y1782" s="650" t="s">
        <v>2699</v>
      </c>
      <c r="Z1782" s="666">
        <f>+AA1781*2</f>
        <v>148750000</v>
      </c>
      <c r="AA1782" s="666">
        <f>-AA1781</f>
        <v>-74375000</v>
      </c>
      <c r="AB1782" s="666">
        <f>+Z1782+AA1782</f>
        <v>74375000</v>
      </c>
      <c r="AC1782" s="665">
        <v>43182</v>
      </c>
      <c r="AD1782" s="672">
        <f>+AD1781</f>
        <v>74375000</v>
      </c>
      <c r="AE1782" s="1012"/>
      <c r="AF1782" s="648"/>
      <c r="AG1782" s="648"/>
      <c r="AH1782" s="648"/>
      <c r="AI1782" s="648"/>
      <c r="AJ1782" s="666"/>
      <c r="AK1782" s="666"/>
      <c r="AL1782" s="666"/>
      <c r="AM1782" s="666"/>
      <c r="AN1782" s="669"/>
      <c r="AO1782" s="670"/>
    </row>
    <row r="1783" spans="1:41" ht="15" customHeight="1">
      <c r="A1783" s="1007" t="s">
        <v>2556</v>
      </c>
      <c r="B1783" s="487">
        <v>43059</v>
      </c>
      <c r="C1783" s="485"/>
      <c r="D1783" s="485" t="s">
        <v>2531</v>
      </c>
      <c r="E1783" s="488">
        <v>901130961</v>
      </c>
      <c r="F1783" s="488"/>
      <c r="G1783" s="495" t="s">
        <v>2596</v>
      </c>
      <c r="H1783" s="485"/>
      <c r="I1783" s="485" t="s">
        <v>177</v>
      </c>
      <c r="J1783" s="485"/>
      <c r="K1783" s="485"/>
      <c r="L1783" s="485"/>
      <c r="M1783" s="489"/>
      <c r="N1783" s="489"/>
      <c r="O1783" s="482"/>
      <c r="P1783" s="482"/>
      <c r="Q1783" s="482"/>
      <c r="R1783" s="487"/>
      <c r="S1783" s="484"/>
      <c r="T1783" s="482"/>
      <c r="U1783" s="482"/>
      <c r="V1783" s="483"/>
      <c r="W1783" s="483">
        <v>522172000</v>
      </c>
      <c r="X1783" s="485"/>
      <c r="Y1783" s="489"/>
      <c r="Z1783" s="482"/>
      <c r="AA1783" s="482"/>
      <c r="AB1783" s="482"/>
      <c r="AC1783" s="487"/>
      <c r="AD1783" s="491"/>
      <c r="AE1783" s="924"/>
      <c r="AF1783" s="483"/>
      <c r="AG1783" s="483"/>
      <c r="AH1783" s="483"/>
      <c r="AI1783" s="483"/>
      <c r="AJ1783" s="482"/>
      <c r="AK1783" s="482"/>
      <c r="AL1783" s="482"/>
      <c r="AM1783" s="482"/>
      <c r="AN1783" s="490"/>
      <c r="AO1783" s="486"/>
    </row>
    <row r="1784" spans="1:41" ht="15" customHeight="1">
      <c r="A1784" s="1007" t="s">
        <v>2557</v>
      </c>
      <c r="B1784" s="487">
        <v>43059</v>
      </c>
      <c r="C1784" s="485"/>
      <c r="D1784" s="485" t="s">
        <v>2532</v>
      </c>
      <c r="E1784" s="488">
        <v>10292075</v>
      </c>
      <c r="F1784" s="488"/>
      <c r="G1784" s="495" t="s">
        <v>2816</v>
      </c>
      <c r="H1784" s="485"/>
      <c r="I1784" s="485" t="s">
        <v>2540</v>
      </c>
      <c r="J1784" s="485"/>
      <c r="K1784" s="485"/>
      <c r="L1784" s="485"/>
      <c r="M1784" s="489"/>
      <c r="N1784" s="489"/>
      <c r="O1784" s="482"/>
      <c r="P1784" s="482"/>
      <c r="Q1784" s="482"/>
      <c r="R1784" s="487"/>
      <c r="S1784" s="484"/>
      <c r="T1784" s="482"/>
      <c r="U1784" s="482"/>
      <c r="V1784" s="483"/>
      <c r="W1784" s="483">
        <v>11630000</v>
      </c>
      <c r="X1784" s="485"/>
      <c r="Y1784" s="489"/>
      <c r="Z1784" s="482"/>
      <c r="AA1784" s="482"/>
      <c r="AB1784" s="482"/>
      <c r="AC1784" s="487"/>
      <c r="AD1784" s="491"/>
      <c r="AE1784" s="924"/>
      <c r="AF1784" s="483"/>
      <c r="AG1784" s="483"/>
      <c r="AH1784" s="483"/>
      <c r="AI1784" s="483"/>
      <c r="AJ1784" s="482"/>
      <c r="AK1784" s="482"/>
      <c r="AL1784" s="482"/>
      <c r="AM1784" s="482"/>
      <c r="AN1784" s="490"/>
      <c r="AO1784" s="486"/>
    </row>
    <row r="1785" spans="1:41" ht="15" customHeight="1">
      <c r="A1785" s="1007" t="s">
        <v>2558</v>
      </c>
      <c r="B1785" s="487">
        <v>43059</v>
      </c>
      <c r="C1785" s="485"/>
      <c r="D1785" s="485" t="s">
        <v>2532</v>
      </c>
      <c r="E1785" s="488">
        <v>10292075</v>
      </c>
      <c r="F1785" s="488"/>
      <c r="G1785" s="495" t="s">
        <v>2598</v>
      </c>
      <c r="H1785" s="485"/>
      <c r="I1785" s="485" t="s">
        <v>2540</v>
      </c>
      <c r="J1785" s="485"/>
      <c r="K1785" s="485"/>
      <c r="L1785" s="485"/>
      <c r="M1785" s="489"/>
      <c r="N1785" s="489"/>
      <c r="O1785" s="482"/>
      <c r="P1785" s="482"/>
      <c r="Q1785" s="482"/>
      <c r="R1785" s="487"/>
      <c r="S1785" s="484"/>
      <c r="T1785" s="482"/>
      <c r="U1785" s="482"/>
      <c r="V1785" s="483"/>
      <c r="W1785" s="483">
        <v>21170000</v>
      </c>
      <c r="X1785" s="485"/>
      <c r="Y1785" s="489"/>
      <c r="Z1785" s="482"/>
      <c r="AA1785" s="482"/>
      <c r="AB1785" s="482"/>
      <c r="AC1785" s="487"/>
      <c r="AD1785" s="491"/>
      <c r="AE1785" s="924"/>
      <c r="AF1785" s="483"/>
      <c r="AG1785" s="483"/>
      <c r="AH1785" s="483"/>
      <c r="AI1785" s="483"/>
      <c r="AJ1785" s="482"/>
      <c r="AK1785" s="482"/>
      <c r="AL1785" s="482"/>
      <c r="AM1785" s="482"/>
      <c r="AN1785" s="490"/>
      <c r="AO1785" s="486"/>
    </row>
    <row r="1786" spans="1:41" ht="15" customHeight="1">
      <c r="A1786" s="1007" t="s">
        <v>2559</v>
      </c>
      <c r="B1786" s="487"/>
      <c r="C1786" s="485"/>
      <c r="D1786" s="485" t="s">
        <v>2599</v>
      </c>
      <c r="E1786" s="488"/>
      <c r="F1786" s="488"/>
      <c r="G1786" s="495" t="s">
        <v>2600</v>
      </c>
      <c r="H1786" s="485"/>
      <c r="I1786" s="485" t="s">
        <v>177</v>
      </c>
      <c r="J1786" s="485"/>
      <c r="K1786" s="485"/>
      <c r="L1786" s="485"/>
      <c r="M1786" s="489">
        <v>4343</v>
      </c>
      <c r="N1786" s="489" t="s">
        <v>2601</v>
      </c>
      <c r="O1786" s="482">
        <v>7639800</v>
      </c>
      <c r="P1786" s="482"/>
      <c r="Q1786" s="482"/>
      <c r="R1786" s="470" t="s">
        <v>2602</v>
      </c>
      <c r="S1786" s="484"/>
      <c r="T1786" s="482"/>
      <c r="U1786" s="482"/>
      <c r="V1786" s="483"/>
      <c r="W1786" s="483"/>
      <c r="X1786" s="485"/>
      <c r="Y1786" s="489"/>
      <c r="Z1786" s="482"/>
      <c r="AA1786" s="482"/>
      <c r="AB1786" s="482"/>
      <c r="AC1786" s="487"/>
      <c r="AD1786" s="491"/>
      <c r="AE1786" s="924" t="s">
        <v>2601</v>
      </c>
      <c r="AF1786" s="483"/>
      <c r="AG1786" s="483"/>
      <c r="AH1786" s="483"/>
      <c r="AI1786" s="483"/>
      <c r="AJ1786" s="482"/>
      <c r="AK1786" s="482"/>
      <c r="AL1786" s="482"/>
      <c r="AM1786" s="482"/>
      <c r="AN1786" s="490"/>
      <c r="AO1786" s="486"/>
    </row>
    <row r="1787" spans="1:41" ht="15" customHeight="1">
      <c r="A1787" s="1007" t="s">
        <v>2560</v>
      </c>
      <c r="B1787" s="487">
        <v>43096</v>
      </c>
      <c r="C1787" s="485"/>
      <c r="D1787" s="485" t="s">
        <v>2533</v>
      </c>
      <c r="E1787" s="488">
        <v>901141739</v>
      </c>
      <c r="F1787" s="488"/>
      <c r="G1787" s="495" t="s">
        <v>2850</v>
      </c>
      <c r="H1787" s="485"/>
      <c r="I1787" s="485" t="s">
        <v>177</v>
      </c>
      <c r="J1787" s="485"/>
      <c r="K1787" s="485"/>
      <c r="L1787" s="485"/>
      <c r="M1787" s="489"/>
      <c r="N1787" s="489"/>
      <c r="O1787" s="482"/>
      <c r="P1787" s="482"/>
      <c r="Q1787" s="482"/>
      <c r="R1787" s="470"/>
      <c r="S1787" s="484"/>
      <c r="T1787" s="482"/>
      <c r="U1787" s="482"/>
      <c r="V1787" s="483"/>
      <c r="W1787" s="483">
        <v>355203100</v>
      </c>
      <c r="X1787" s="485"/>
      <c r="Y1787" s="489"/>
      <c r="Z1787" s="482"/>
      <c r="AA1787" s="482"/>
      <c r="AB1787" s="482"/>
      <c r="AC1787" s="487"/>
      <c r="AD1787" s="491"/>
      <c r="AE1787" s="924"/>
      <c r="AF1787" s="483"/>
      <c r="AG1787" s="483"/>
      <c r="AH1787" s="483"/>
      <c r="AI1787" s="483"/>
      <c r="AJ1787" s="482"/>
      <c r="AK1787" s="482"/>
      <c r="AL1787" s="482"/>
      <c r="AM1787" s="482"/>
      <c r="AN1787" s="490"/>
      <c r="AO1787" s="486"/>
    </row>
    <row r="1788" spans="1:41" ht="15" customHeight="1">
      <c r="A1788" s="1007" t="s">
        <v>2604</v>
      </c>
      <c r="B1788" s="487"/>
      <c r="C1788" s="485"/>
      <c r="D1788" s="485" t="s">
        <v>2605</v>
      </c>
      <c r="E1788" s="488"/>
      <c r="F1788" s="488"/>
      <c r="G1788" s="495"/>
      <c r="H1788" s="485"/>
      <c r="I1788" s="485" t="s">
        <v>2150</v>
      </c>
      <c r="J1788" s="485"/>
      <c r="K1788" s="485"/>
      <c r="L1788" s="485"/>
      <c r="M1788" s="496">
        <v>3986</v>
      </c>
      <c r="N1788" s="489" t="s">
        <v>2606</v>
      </c>
      <c r="O1788" s="482">
        <v>419602900</v>
      </c>
      <c r="P1788" s="482"/>
      <c r="Q1788" s="482"/>
      <c r="R1788" s="487"/>
      <c r="S1788" s="484"/>
      <c r="T1788" s="482"/>
      <c r="U1788" s="482"/>
      <c r="V1788" s="483"/>
      <c r="W1788" s="483"/>
      <c r="X1788" s="485"/>
      <c r="Y1788" s="489"/>
      <c r="Z1788" s="482">
        <f>+[2]O.P.2018!$AD$35</f>
        <v>405800000</v>
      </c>
      <c r="AA1788" s="482"/>
      <c r="AB1788" s="482">
        <f>+Z1788</f>
        <v>405800000</v>
      </c>
      <c r="AC1788" s="740">
        <v>43251</v>
      </c>
      <c r="AD1788" s="491">
        <f>+AB1788</f>
        <v>405800000</v>
      </c>
      <c r="AE1788" s="924" t="s">
        <v>2606</v>
      </c>
      <c r="AF1788" s="483"/>
      <c r="AG1788" s="483"/>
      <c r="AH1788" s="483"/>
      <c r="AI1788" s="483"/>
      <c r="AJ1788" s="482"/>
      <c r="AK1788" s="482"/>
      <c r="AL1788" s="482"/>
      <c r="AM1788" s="482"/>
      <c r="AN1788" s="490"/>
      <c r="AO1788" s="486"/>
    </row>
    <row r="1789" spans="1:41" ht="15" customHeight="1">
      <c r="A1789" s="485"/>
      <c r="B1789" s="487"/>
      <c r="C1789" s="485"/>
      <c r="D1789" s="485"/>
      <c r="E1789" s="488"/>
      <c r="F1789" s="488"/>
      <c r="G1789" s="495"/>
      <c r="H1789" s="485"/>
      <c r="I1789" s="485"/>
      <c r="J1789" s="485"/>
      <c r="K1789" s="485"/>
      <c r="L1789" s="485"/>
      <c r="M1789" s="496">
        <v>3976</v>
      </c>
      <c r="N1789" s="489" t="s">
        <v>2607</v>
      </c>
      <c r="O1789" s="482">
        <v>190000000</v>
      </c>
      <c r="P1789" s="482"/>
      <c r="Q1789" s="482"/>
      <c r="R1789" s="487"/>
      <c r="S1789" s="484"/>
      <c r="T1789" s="482"/>
      <c r="U1789" s="482"/>
      <c r="V1789" s="483"/>
      <c r="W1789" s="483"/>
      <c r="X1789" s="485"/>
      <c r="Y1789" s="489"/>
      <c r="Z1789" s="482">
        <f>+[2]O.P.2018!$AF$32</f>
        <v>181650000</v>
      </c>
      <c r="AA1789" s="482"/>
      <c r="AB1789" s="751">
        <f t="shared" ref="AB1789:AB1792" si="152">+Z1789</f>
        <v>181650000</v>
      </c>
      <c r="AC1789" s="740">
        <v>43251</v>
      </c>
      <c r="AD1789" s="763">
        <f t="shared" ref="AD1789:AD1792" si="153">+AB1789</f>
        <v>181650000</v>
      </c>
      <c r="AE1789" s="924" t="s">
        <v>2607</v>
      </c>
      <c r="AF1789" s="483"/>
      <c r="AG1789" s="483"/>
      <c r="AH1789" s="483"/>
      <c r="AI1789" s="483"/>
      <c r="AJ1789" s="482"/>
      <c r="AK1789" s="482"/>
      <c r="AL1789" s="482"/>
      <c r="AM1789" s="482"/>
      <c r="AN1789" s="490"/>
      <c r="AO1789" s="486"/>
    </row>
    <row r="1790" spans="1:41" ht="15" customHeight="1">
      <c r="A1790" s="485"/>
      <c r="B1790" s="487"/>
      <c r="C1790" s="485"/>
      <c r="D1790" s="485"/>
      <c r="E1790" s="488"/>
      <c r="F1790" s="488"/>
      <c r="G1790" s="495"/>
      <c r="H1790" s="485"/>
      <c r="I1790" s="485"/>
      <c r="J1790" s="485"/>
      <c r="K1790" s="485"/>
      <c r="L1790" s="485"/>
      <c r="M1790" s="496">
        <v>3975</v>
      </c>
      <c r="N1790" s="489" t="s">
        <v>158</v>
      </c>
      <c r="O1790" s="482">
        <v>190000000</v>
      </c>
      <c r="P1790" s="482"/>
      <c r="Q1790" s="482"/>
      <c r="R1790" s="487"/>
      <c r="S1790" s="484"/>
      <c r="T1790" s="482"/>
      <c r="U1790" s="482"/>
      <c r="V1790" s="483"/>
      <c r="W1790" s="483"/>
      <c r="X1790" s="485"/>
      <c r="Y1790" s="489"/>
      <c r="Z1790" s="482">
        <f>+[2]O.P.2018!$AF$31</f>
        <v>181650000</v>
      </c>
      <c r="AA1790" s="482"/>
      <c r="AB1790" s="751">
        <f t="shared" si="152"/>
        <v>181650000</v>
      </c>
      <c r="AC1790" s="740">
        <v>43251</v>
      </c>
      <c r="AD1790" s="763">
        <f t="shared" si="153"/>
        <v>181650000</v>
      </c>
      <c r="AE1790" s="924" t="s">
        <v>158</v>
      </c>
      <c r="AF1790" s="483"/>
      <c r="AG1790" s="483"/>
      <c r="AH1790" s="483"/>
      <c r="AI1790" s="483"/>
      <c r="AJ1790" s="482"/>
      <c r="AK1790" s="482"/>
      <c r="AL1790" s="482"/>
      <c r="AM1790" s="482"/>
      <c r="AN1790" s="490"/>
      <c r="AO1790" s="486"/>
    </row>
    <row r="1791" spans="1:41" ht="15" customHeight="1">
      <c r="A1791" s="485"/>
      <c r="B1791" s="487"/>
      <c r="C1791" s="485"/>
      <c r="D1791" s="485"/>
      <c r="E1791" s="488"/>
      <c r="F1791" s="488"/>
      <c r="G1791" s="495"/>
      <c r="H1791" s="485"/>
      <c r="I1791" s="485"/>
      <c r="J1791" s="485"/>
      <c r="K1791" s="485"/>
      <c r="L1791" s="485"/>
      <c r="M1791" s="496">
        <v>3977</v>
      </c>
      <c r="N1791" s="489" t="s">
        <v>169</v>
      </c>
      <c r="O1791" s="482">
        <v>373000000</v>
      </c>
      <c r="P1791" s="482"/>
      <c r="Q1791" s="482"/>
      <c r="R1791" s="487"/>
      <c r="S1791" s="484"/>
      <c r="T1791" s="482"/>
      <c r="U1791" s="482"/>
      <c r="V1791" s="483"/>
      <c r="W1791" s="483"/>
      <c r="X1791" s="485"/>
      <c r="Y1791" s="489"/>
      <c r="Z1791" s="482">
        <f>+[2]O.P.2018!$AF$33</f>
        <v>356600000</v>
      </c>
      <c r="AA1791" s="482"/>
      <c r="AB1791" s="751">
        <f t="shared" si="152"/>
        <v>356600000</v>
      </c>
      <c r="AC1791" s="740">
        <v>43251</v>
      </c>
      <c r="AD1791" s="763">
        <f t="shared" si="153"/>
        <v>356600000</v>
      </c>
      <c r="AE1791" s="924" t="s">
        <v>169</v>
      </c>
      <c r="AF1791" s="483"/>
      <c r="AG1791" s="483"/>
      <c r="AH1791" s="483"/>
      <c r="AI1791" s="483"/>
      <c r="AJ1791" s="482"/>
      <c r="AK1791" s="482"/>
      <c r="AL1791" s="482"/>
      <c r="AM1791" s="482"/>
      <c r="AN1791" s="490"/>
      <c r="AO1791" s="486"/>
    </row>
    <row r="1792" spans="1:41" ht="15" customHeight="1">
      <c r="A1792" s="485"/>
      <c r="B1792" s="487"/>
      <c r="C1792" s="485"/>
      <c r="D1792" s="485"/>
      <c r="E1792" s="488"/>
      <c r="F1792" s="488"/>
      <c r="G1792" s="495"/>
      <c r="H1792" s="485"/>
      <c r="I1792" s="485"/>
      <c r="J1792" s="485"/>
      <c r="K1792" s="485"/>
      <c r="L1792" s="485"/>
      <c r="M1792" s="496">
        <v>3978</v>
      </c>
      <c r="N1792" s="489" t="s">
        <v>153</v>
      </c>
      <c r="O1792" s="482">
        <v>380000000</v>
      </c>
      <c r="P1792" s="482"/>
      <c r="Q1792" s="482"/>
      <c r="R1792" s="487"/>
      <c r="S1792" s="484"/>
      <c r="T1792" s="482"/>
      <c r="U1792" s="482"/>
      <c r="V1792" s="483"/>
      <c r="W1792" s="483"/>
      <c r="X1792" s="485"/>
      <c r="Y1792" s="489"/>
      <c r="Z1792" s="482">
        <f>+[2]O.P.2018!$AF$34</f>
        <v>363300000</v>
      </c>
      <c r="AA1792" s="482"/>
      <c r="AB1792" s="751">
        <f t="shared" si="152"/>
        <v>363300000</v>
      </c>
      <c r="AC1792" s="740">
        <v>43251</v>
      </c>
      <c r="AD1792" s="763">
        <f t="shared" si="153"/>
        <v>363300000</v>
      </c>
      <c r="AE1792" s="924" t="s">
        <v>153</v>
      </c>
      <c r="AF1792" s="483"/>
      <c r="AG1792" s="483"/>
      <c r="AH1792" s="483"/>
      <c r="AI1792" s="483"/>
      <c r="AJ1792" s="482"/>
      <c r="AK1792" s="482"/>
      <c r="AL1792" s="482"/>
      <c r="AM1792" s="482"/>
      <c r="AN1792" s="490"/>
      <c r="AO1792" s="486"/>
    </row>
    <row r="1793" spans="1:41" ht="15" customHeight="1">
      <c r="A1793" s="485"/>
      <c r="B1793" s="487"/>
      <c r="C1793" s="485"/>
      <c r="D1793" s="485"/>
      <c r="E1793" s="488"/>
      <c r="F1793" s="488"/>
      <c r="G1793" s="495"/>
      <c r="H1793" s="485"/>
      <c r="I1793" s="485"/>
      <c r="J1793" s="485"/>
      <c r="K1793" s="485"/>
      <c r="L1793" s="485"/>
      <c r="M1793" s="496"/>
      <c r="N1793" s="489"/>
      <c r="O1793" s="482"/>
      <c r="P1793" s="482"/>
      <c r="Q1793" s="482"/>
      <c r="R1793" s="487"/>
      <c r="S1793" s="484"/>
      <c r="T1793" s="482"/>
      <c r="U1793" s="482"/>
      <c r="V1793" s="483"/>
      <c r="W1793" s="483"/>
      <c r="X1793" s="485"/>
      <c r="Y1793" s="489"/>
      <c r="Z1793" s="482"/>
      <c r="AA1793" s="482"/>
      <c r="AB1793" s="482"/>
      <c r="AC1793" s="487"/>
      <c r="AD1793" s="491"/>
      <c r="AE1793" s="492"/>
      <c r="AF1793" s="483"/>
      <c r="AG1793" s="483"/>
      <c r="AH1793" s="483"/>
      <c r="AI1793" s="483"/>
      <c r="AJ1793" s="482"/>
      <c r="AK1793" s="482"/>
      <c r="AL1793" s="482"/>
      <c r="AM1793" s="482"/>
      <c r="AN1793" s="490"/>
      <c r="AO1793" s="486"/>
    </row>
    <row r="1794" spans="1:41" ht="15" customHeight="1">
      <c r="A1794" s="485"/>
      <c r="B1794" s="487"/>
      <c r="C1794" s="485"/>
      <c r="D1794" s="485"/>
      <c r="E1794" s="488"/>
      <c r="F1794" s="488"/>
      <c r="G1794" s="495"/>
      <c r="H1794" s="485"/>
      <c r="I1794" s="485"/>
      <c r="J1794" s="485"/>
      <c r="K1794" s="485"/>
      <c r="L1794" s="485"/>
      <c r="M1794" s="496"/>
      <c r="N1794" s="489"/>
      <c r="O1794" s="482"/>
      <c r="P1794" s="482"/>
      <c r="Q1794" s="482"/>
      <c r="R1794" s="487"/>
      <c r="S1794" s="484"/>
      <c r="T1794" s="482"/>
      <c r="U1794" s="482"/>
      <c r="V1794" s="483"/>
      <c r="W1794" s="483"/>
      <c r="X1794" s="485"/>
      <c r="Y1794" s="489"/>
      <c r="Z1794" s="482"/>
      <c r="AA1794" s="482"/>
      <c r="AB1794" s="482"/>
      <c r="AC1794" s="487"/>
      <c r="AD1794" s="491"/>
      <c r="AE1794" s="492"/>
      <c r="AF1794" s="483"/>
      <c r="AG1794" s="483"/>
      <c r="AH1794" s="483"/>
      <c r="AI1794" s="483"/>
      <c r="AJ1794" s="482"/>
      <c r="AK1794" s="482"/>
      <c r="AL1794" s="482"/>
      <c r="AM1794" s="482"/>
      <c r="AN1794" s="490"/>
      <c r="AO1794" s="486"/>
    </row>
    <row r="1795" spans="1:41" ht="15" customHeight="1">
      <c r="A1795" s="485" t="s">
        <v>2561</v>
      </c>
      <c r="B1795" s="487">
        <v>43097</v>
      </c>
      <c r="C1795" s="485"/>
      <c r="D1795" s="485" t="s">
        <v>2534</v>
      </c>
      <c r="E1795" s="488">
        <v>901141975</v>
      </c>
      <c r="F1795" s="488"/>
      <c r="G1795" s="495" t="s">
        <v>2608</v>
      </c>
      <c r="H1795" s="485"/>
      <c r="I1795" s="485" t="s">
        <v>177</v>
      </c>
      <c r="J1795" s="485"/>
      <c r="K1795" s="485"/>
      <c r="L1795" s="485"/>
      <c r="M1795" s="489"/>
      <c r="N1795" s="489"/>
      <c r="O1795" s="482"/>
      <c r="P1795" s="482"/>
      <c r="Q1795" s="482"/>
      <c r="R1795" s="487"/>
      <c r="S1795" s="484"/>
      <c r="T1795" s="482"/>
      <c r="U1795" s="482"/>
      <c r="V1795" s="483"/>
      <c r="W1795" s="483">
        <v>285219200</v>
      </c>
      <c r="X1795" s="485"/>
      <c r="Y1795" s="489"/>
      <c r="Z1795" s="482"/>
      <c r="AA1795" s="482"/>
      <c r="AB1795" s="482"/>
      <c r="AC1795" s="487"/>
      <c r="AD1795" s="491"/>
      <c r="AE1795" s="492"/>
      <c r="AF1795" s="483"/>
      <c r="AG1795" s="483"/>
      <c r="AH1795" s="483"/>
      <c r="AI1795" s="483"/>
      <c r="AJ1795" s="482"/>
      <c r="AK1795" s="482"/>
      <c r="AL1795" s="482"/>
      <c r="AM1795" s="482"/>
      <c r="AN1795" s="490"/>
      <c r="AO1795" s="486"/>
    </row>
    <row r="1796" spans="1:41" ht="15" customHeight="1">
      <c r="A1796" s="485" t="s">
        <v>2562</v>
      </c>
      <c r="B1796" s="487">
        <v>43097</v>
      </c>
      <c r="C1796" s="485"/>
      <c r="D1796" s="485" t="s">
        <v>2535</v>
      </c>
      <c r="E1796" s="488">
        <v>901141767</v>
      </c>
      <c r="F1796" s="488"/>
      <c r="G1796" s="495" t="s">
        <v>2878</v>
      </c>
      <c r="H1796" s="485"/>
      <c r="I1796" s="485" t="s">
        <v>2540</v>
      </c>
      <c r="J1796" s="485"/>
      <c r="K1796" s="485"/>
      <c r="L1796" s="485"/>
      <c r="M1796" s="489"/>
      <c r="N1796" s="489"/>
      <c r="O1796" s="482"/>
      <c r="P1796" s="482"/>
      <c r="Q1796" s="482"/>
      <c r="R1796" s="487"/>
      <c r="S1796" s="484"/>
      <c r="T1796" s="482"/>
      <c r="U1796" s="482"/>
      <c r="V1796" s="483"/>
      <c r="W1796" s="483">
        <v>107753310</v>
      </c>
      <c r="X1796" s="485"/>
      <c r="Y1796" s="489"/>
      <c r="Z1796" s="482"/>
      <c r="AA1796" s="482"/>
      <c r="AB1796" s="482"/>
      <c r="AC1796" s="487"/>
      <c r="AD1796" s="491"/>
      <c r="AE1796" s="492"/>
      <c r="AF1796" s="483"/>
      <c r="AG1796" s="483"/>
      <c r="AH1796" s="483"/>
      <c r="AI1796" s="483"/>
      <c r="AJ1796" s="482"/>
      <c r="AK1796" s="482"/>
      <c r="AL1796" s="482"/>
      <c r="AM1796" s="482"/>
      <c r="AN1796" s="490"/>
      <c r="AO1796" s="486"/>
    </row>
    <row r="1797" spans="1:41" ht="15" customHeight="1">
      <c r="A1797" s="46" t="s">
        <v>2746</v>
      </c>
    </row>
  </sheetData>
  <autoFilter ref="A2:AO1544"/>
  <mergeCells count="10600">
    <mergeCell ref="V43:V44"/>
    <mergeCell ref="W43:W44"/>
    <mergeCell ref="Q43:Q44"/>
    <mergeCell ref="P43:P44"/>
    <mergeCell ref="O43:O44"/>
    <mergeCell ref="AQ49:AQ52"/>
    <mergeCell ref="AO43:AO44"/>
    <mergeCell ref="AQ43:AQ44"/>
    <mergeCell ref="AR43:AR44"/>
    <mergeCell ref="AS43:AS44"/>
    <mergeCell ref="AF71:AF73"/>
    <mergeCell ref="AQ71:AQ72"/>
    <mergeCell ref="AR71:AR72"/>
    <mergeCell ref="AS71:AS72"/>
    <mergeCell ref="AE1781:AE1782"/>
    <mergeCell ref="M1752:M1753"/>
    <mergeCell ref="N1752:N1753"/>
    <mergeCell ref="AE1752:AE1753"/>
    <mergeCell ref="N1760:N1761"/>
    <mergeCell ref="AE1760:AE1761"/>
    <mergeCell ref="N1763:N1764"/>
    <mergeCell ref="AE1763:AE1764"/>
    <mergeCell ref="AQ1:AS1"/>
    <mergeCell ref="AS1648:AS1650"/>
    <mergeCell ref="AR1648:AR1650"/>
    <mergeCell ref="AQ1648:AQ1650"/>
    <mergeCell ref="AQ1651:AQ1653"/>
    <mergeCell ref="AS1651:AS1653"/>
    <mergeCell ref="AR1651:AR1653"/>
    <mergeCell ref="AQ1654:AQ1656"/>
    <mergeCell ref="AR1654:AR1656"/>
    <mergeCell ref="AS1654:AS1656"/>
    <mergeCell ref="AQ1657:AQ1659"/>
    <mergeCell ref="AS1657:AS1659"/>
    <mergeCell ref="AQ1660:AQ1662"/>
    <mergeCell ref="AQ1663:AQ1665"/>
    <mergeCell ref="AS1660:AS1662"/>
    <mergeCell ref="AS1663:AS1665"/>
    <mergeCell ref="AS1666:AS1668"/>
    <mergeCell ref="AS1669:AS1671"/>
    <mergeCell ref="AR1660:AR1662"/>
    <mergeCell ref="AR1663:AR1665"/>
    <mergeCell ref="AR1666:AR1668"/>
    <mergeCell ref="AR1669:AR1671"/>
    <mergeCell ref="AQ1666:AQ1668"/>
    <mergeCell ref="AQ1669:AQ1671"/>
    <mergeCell ref="AR1690:AR1691"/>
    <mergeCell ref="AS1690:AS1691"/>
    <mergeCell ref="AE3:AE6"/>
    <mergeCell ref="AE7:AE8"/>
    <mergeCell ref="AE9:AE11"/>
    <mergeCell ref="AE12:AE13"/>
    <mergeCell ref="AE14:AE15"/>
    <mergeCell ref="AE22:AE23"/>
    <mergeCell ref="AE25:AE27"/>
    <mergeCell ref="AE37:AE40"/>
    <mergeCell ref="AE45:AE48"/>
    <mergeCell ref="AE49:AE51"/>
    <mergeCell ref="AE53:AE54"/>
    <mergeCell ref="AE55:AE57"/>
    <mergeCell ref="AE69:AE70"/>
    <mergeCell ref="AE71:AE73"/>
    <mergeCell ref="AE76:AE78"/>
    <mergeCell ref="AE79:AE80"/>
    <mergeCell ref="M1322:M1324"/>
    <mergeCell ref="N1322:N1324"/>
    <mergeCell ref="AE1322:AE1324"/>
    <mergeCell ref="R1322:R1324"/>
    <mergeCell ref="AF1322:AF1324"/>
    <mergeCell ref="A1301:A1308"/>
    <mergeCell ref="M1305:M1308"/>
    <mergeCell ref="N1305:N1308"/>
    <mergeCell ref="A1760:A1765"/>
    <mergeCell ref="N1515:N1520"/>
    <mergeCell ref="AE1515:AE1520"/>
    <mergeCell ref="AE1521:AE1527"/>
    <mergeCell ref="M1528:M1534"/>
    <mergeCell ref="N1528:N1534"/>
    <mergeCell ref="O1528:O1534"/>
    <mergeCell ref="A1515:A1537"/>
    <mergeCell ref="N1372:N1379"/>
    <mergeCell ref="N1388:N1395"/>
    <mergeCell ref="M1388:M1395"/>
    <mergeCell ref="D1760:D1763"/>
    <mergeCell ref="E1760:E1763"/>
    <mergeCell ref="G1760:G1763"/>
    <mergeCell ref="W1760:W1763"/>
    <mergeCell ref="K996:K997"/>
    <mergeCell ref="L996:L997"/>
    <mergeCell ref="A921:A926"/>
    <mergeCell ref="B921:B926"/>
    <mergeCell ref="C921:C926"/>
    <mergeCell ref="D921:D926"/>
    <mergeCell ref="N921:N926"/>
    <mergeCell ref="O921:O926"/>
    <mergeCell ref="P921:P926"/>
    <mergeCell ref="Q921:Q926"/>
    <mergeCell ref="E921:E926"/>
    <mergeCell ref="F921:F926"/>
    <mergeCell ref="G921:G926"/>
    <mergeCell ref="H921:H926"/>
    <mergeCell ref="I921:I926"/>
    <mergeCell ref="J921:J926"/>
    <mergeCell ref="K921:K926"/>
    <mergeCell ref="L921:L926"/>
    <mergeCell ref="M921:M926"/>
    <mergeCell ref="AC949:AC953"/>
    <mergeCell ref="R921:R926"/>
    <mergeCell ref="AE1334:AE1335"/>
    <mergeCell ref="AE1354:AE1357"/>
    <mergeCell ref="N1597:N1605"/>
    <mergeCell ref="AE1597:AE1605"/>
    <mergeCell ref="AE1738:AE1740"/>
    <mergeCell ref="AE1741:AE1746"/>
    <mergeCell ref="N1749:N1750"/>
    <mergeCell ref="M1749:M1750"/>
    <mergeCell ref="AE1749:AE1750"/>
    <mergeCell ref="AE1208:AE1209"/>
    <mergeCell ref="AE1234:AE1235"/>
    <mergeCell ref="AE1236:AE1237"/>
    <mergeCell ref="AE1305:AE1308"/>
    <mergeCell ref="AE1325:AE1327"/>
    <mergeCell ref="M988:M989"/>
    <mergeCell ref="N988:N989"/>
    <mergeCell ref="O988:O989"/>
    <mergeCell ref="P988:P989"/>
    <mergeCell ref="Q984:Q989"/>
    <mergeCell ref="T988:T989"/>
    <mergeCell ref="AE41:AE42"/>
    <mergeCell ref="AE1147:AE1148"/>
    <mergeCell ref="AE1145:AE1146"/>
    <mergeCell ref="AE1238:AE1242"/>
    <mergeCell ref="C1732:C1737"/>
    <mergeCell ref="D1732:D1737"/>
    <mergeCell ref="G1732:G1737"/>
    <mergeCell ref="A1749:A1754"/>
    <mergeCell ref="B1749:B1754"/>
    <mergeCell ref="D1749:D1754"/>
    <mergeCell ref="E1749:E1754"/>
    <mergeCell ref="G1749:G1754"/>
    <mergeCell ref="AO1035:AO1036"/>
    <mergeCell ref="AN1035:AN1036"/>
    <mergeCell ref="AM1035:AM1036"/>
    <mergeCell ref="AL1035:AL1036"/>
    <mergeCell ref="AK1035:AK1036"/>
    <mergeCell ref="AJ1035:AJ1036"/>
    <mergeCell ref="AI1035:AI1036"/>
    <mergeCell ref="AF1035:AF1036"/>
    <mergeCell ref="AG1035:AG1036"/>
    <mergeCell ref="M1035:M1036"/>
    <mergeCell ref="A1325:A1333"/>
    <mergeCell ref="D1325:D1333"/>
    <mergeCell ref="N1325:N1327"/>
    <mergeCell ref="M1325:M1327"/>
    <mergeCell ref="M1328:M1330"/>
    <mergeCell ref="N1328:N1330"/>
    <mergeCell ref="M1331:M1333"/>
    <mergeCell ref="N1331:N1333"/>
    <mergeCell ref="AE1589:AE1592"/>
    <mergeCell ref="AE1593:AE1596"/>
    <mergeCell ref="O1597:O1598"/>
    <mergeCell ref="AC1021:AC1022"/>
    <mergeCell ref="AM1017:AM1026"/>
    <mergeCell ref="R1032:R1034"/>
    <mergeCell ref="V1032:V1034"/>
    <mergeCell ref="W1007:W1034"/>
    <mergeCell ref="T1007:T1011"/>
    <mergeCell ref="A1035:A1036"/>
    <mergeCell ref="AE105:AE106"/>
    <mergeCell ref="AE107:AE110"/>
    <mergeCell ref="AE111:AE114"/>
    <mergeCell ref="AE115:AE116"/>
    <mergeCell ref="AE117:AE118"/>
    <mergeCell ref="AE120:AE122"/>
    <mergeCell ref="AE124:AE125"/>
    <mergeCell ref="I1035:I1036"/>
    <mergeCell ref="J1035:J1036"/>
    <mergeCell ref="K1035:K1036"/>
    <mergeCell ref="B1035:B1036"/>
    <mergeCell ref="C1035:C1036"/>
    <mergeCell ref="D1035:D1036"/>
    <mergeCell ref="E1035:E1036"/>
    <mergeCell ref="F1035:F1036"/>
    <mergeCell ref="G1035:G1036"/>
    <mergeCell ref="H1035:H1036"/>
    <mergeCell ref="R1037:R1039"/>
    <mergeCell ref="X1035:X1036"/>
    <mergeCell ref="AK996:AK997"/>
    <mergeCell ref="V996:V997"/>
    <mergeCell ref="W996:W997"/>
    <mergeCell ref="X996:X997"/>
    <mergeCell ref="AJ996:AJ997"/>
    <mergeCell ref="AP37:AP42"/>
    <mergeCell ref="AP175:AP200"/>
    <mergeCell ref="AP628:AP632"/>
    <mergeCell ref="A1738:A1740"/>
    <mergeCell ref="B1738:B1740"/>
    <mergeCell ref="D1738:D1740"/>
    <mergeCell ref="E1738:E1740"/>
    <mergeCell ref="G1738:G1740"/>
    <mergeCell ref="H1738:H1740"/>
    <mergeCell ref="I1738:I1740"/>
    <mergeCell ref="J1738:J1740"/>
    <mergeCell ref="K1738:K1740"/>
    <mergeCell ref="M1738:M1740"/>
    <mergeCell ref="N1738:N1740"/>
    <mergeCell ref="O1738:O1740"/>
    <mergeCell ref="R1738:R1740"/>
    <mergeCell ref="V1738:V1740"/>
    <mergeCell ref="C1738:C1740"/>
    <mergeCell ref="X1037:X1039"/>
    <mergeCell ref="AO1065:AO1069"/>
    <mergeCell ref="A1065:A1069"/>
    <mergeCell ref="B1065:B1069"/>
    <mergeCell ref="D1065:D1069"/>
    <mergeCell ref="E1065:E1069"/>
    <mergeCell ref="F1065:F1069"/>
    <mergeCell ref="G1065:G1069"/>
    <mergeCell ref="H1065:H1069"/>
    <mergeCell ref="I1065:I1069"/>
    <mergeCell ref="K1065:K1069"/>
    <mergeCell ref="L1065:L1069"/>
    <mergeCell ref="AE394:AE396"/>
    <mergeCell ref="AE397:AE399"/>
    <mergeCell ref="W1037:W1039"/>
    <mergeCell ref="AG1004:AG1006"/>
    <mergeCell ref="AI1004:AI1005"/>
    <mergeCell ref="AJ1004:AJ1006"/>
    <mergeCell ref="Y1007:Y1008"/>
    <mergeCell ref="Y1009:Y1010"/>
    <mergeCell ref="AP579:AP584"/>
    <mergeCell ref="AP1677:AP1679"/>
    <mergeCell ref="AI1007:AI1011"/>
    <mergeCell ref="AG1065:AG1069"/>
    <mergeCell ref="AJ1065:AJ1069"/>
    <mergeCell ref="AN1065:AN1069"/>
    <mergeCell ref="AM1065:AM1066"/>
    <mergeCell ref="AM1067:AM1068"/>
    <mergeCell ref="AL1067:AL1068"/>
    <mergeCell ref="AK1067:AK1068"/>
    <mergeCell ref="AK1065:AK1066"/>
    <mergeCell ref="AO1037:AO1039"/>
    <mergeCell ref="AE81:AE82"/>
    <mergeCell ref="AE95:AE97"/>
    <mergeCell ref="AE98:AE99"/>
    <mergeCell ref="AE100:AE102"/>
    <mergeCell ref="AE103:AE104"/>
    <mergeCell ref="AE1328:AE1330"/>
    <mergeCell ref="AE1331:AE1333"/>
    <mergeCell ref="AO1007:AO1034"/>
    <mergeCell ref="AF1007:AF1016"/>
    <mergeCell ref="AF1017:AF1026"/>
    <mergeCell ref="AF1027:AF1031"/>
    <mergeCell ref="X1007:X1034"/>
    <mergeCell ref="AF1032:AF1034"/>
    <mergeCell ref="V1007:V1011"/>
    <mergeCell ref="A1769:A1771"/>
    <mergeCell ref="D1769:D1771"/>
    <mergeCell ref="E1769:E1771"/>
    <mergeCell ref="G1769:G1771"/>
    <mergeCell ref="I1769:I1771"/>
    <mergeCell ref="Q1769:Q1771"/>
    <mergeCell ref="W1769:W1771"/>
    <mergeCell ref="V1151:V1156"/>
    <mergeCell ref="V1157:V1163"/>
    <mergeCell ref="V1164:V1169"/>
    <mergeCell ref="V1170:V1172"/>
    <mergeCell ref="V1173:V1175"/>
    <mergeCell ref="N49:N51"/>
    <mergeCell ref="M49:M51"/>
    <mergeCell ref="M1372:M1387"/>
    <mergeCell ref="N1380:N1387"/>
    <mergeCell ref="O1372:O1377"/>
    <mergeCell ref="O1380:O1387"/>
    <mergeCell ref="O1388:O1393"/>
    <mergeCell ref="Q1749:Q1754"/>
    <mergeCell ref="N1035:N1036"/>
    <mergeCell ref="O1035:O1036"/>
    <mergeCell ref="P1035:P1036"/>
    <mergeCell ref="Q1035:Q1036"/>
    <mergeCell ref="R1035:R1036"/>
    <mergeCell ref="S1035:S1036"/>
    <mergeCell ref="T1035:T1036"/>
    <mergeCell ref="U1035:U1036"/>
    <mergeCell ref="V1035:V1036"/>
    <mergeCell ref="W1035:W1036"/>
    <mergeCell ref="Y1011:Y1012"/>
    <mergeCell ref="Y1013:Y1014"/>
    <mergeCell ref="Q1065:Q1069"/>
    <mergeCell ref="W1065:W1069"/>
    <mergeCell ref="X1065:X1069"/>
    <mergeCell ref="V1065:V1066"/>
    <mergeCell ref="V1067:V1068"/>
    <mergeCell ref="C1065:C1066"/>
    <mergeCell ref="C1067:C1068"/>
    <mergeCell ref="A1037:A1039"/>
    <mergeCell ref="B1037:B1039"/>
    <mergeCell ref="C1037:C1039"/>
    <mergeCell ref="D1037:D1039"/>
    <mergeCell ref="O1027:O1031"/>
    <mergeCell ref="P1027:P1031"/>
    <mergeCell ref="R1027:R1031"/>
    <mergeCell ref="V1022:V1026"/>
    <mergeCell ref="V1027:V1031"/>
    <mergeCell ref="I1007:I1034"/>
    <mergeCell ref="J1007:J1031"/>
    <mergeCell ref="L1035:L1036"/>
    <mergeCell ref="H996:H997"/>
    <mergeCell ref="I996:I997"/>
    <mergeCell ref="J996:J997"/>
    <mergeCell ref="X1004:X1006"/>
    <mergeCell ref="G1007:G1034"/>
    <mergeCell ref="H1007:H1034"/>
    <mergeCell ref="M1007:M1016"/>
    <mergeCell ref="N1007:N1011"/>
    <mergeCell ref="N1012:N1016"/>
    <mergeCell ref="O1007:O1011"/>
    <mergeCell ref="A1372:A1399"/>
    <mergeCell ref="N681:N688"/>
    <mergeCell ref="A1310:A1324"/>
    <mergeCell ref="AP22:AP24"/>
    <mergeCell ref="AP346:AP349"/>
    <mergeCell ref="AP599:AP603"/>
    <mergeCell ref="AP71:AP72"/>
    <mergeCell ref="AP450:AP456"/>
    <mergeCell ref="AP839:AP843"/>
    <mergeCell ref="AP848:AP851"/>
    <mergeCell ref="AP115:AP119"/>
    <mergeCell ref="AP659:AP663"/>
    <mergeCell ref="AP418:AP421"/>
    <mergeCell ref="AP74:AP76"/>
    <mergeCell ref="AP442:AP445"/>
    <mergeCell ref="AP49:AP52"/>
    <mergeCell ref="AP681:AP698"/>
    <mergeCell ref="A1726:A1731"/>
    <mergeCell ref="B1726:B1731"/>
    <mergeCell ref="D1726:D1731"/>
    <mergeCell ref="E1726:E1731"/>
    <mergeCell ref="F1726:F1731"/>
    <mergeCell ref="G1726:G1731"/>
    <mergeCell ref="H1726:H1731"/>
    <mergeCell ref="I1726:I1731"/>
    <mergeCell ref="J1726:J1728"/>
    <mergeCell ref="K1726:K1731"/>
    <mergeCell ref="M1726:M1728"/>
    <mergeCell ref="N1726:N1728"/>
    <mergeCell ref="O1726:O1728"/>
    <mergeCell ref="P1726:P1728"/>
    <mergeCell ref="J1729:J1731"/>
    <mergeCell ref="M1729:M1730"/>
    <mergeCell ref="N1729:N1730"/>
    <mergeCell ref="O1729:O1730"/>
    <mergeCell ref="P1729:P1730"/>
    <mergeCell ref="E1037:E1039"/>
    <mergeCell ref="F1037:F1039"/>
    <mergeCell ref="G1037:G1039"/>
    <mergeCell ref="H1037:H1039"/>
    <mergeCell ref="I1037:I1039"/>
    <mergeCell ref="J1037:J1039"/>
    <mergeCell ref="K1037:K1039"/>
    <mergeCell ref="L1037:L1039"/>
    <mergeCell ref="Q1037:Q1039"/>
    <mergeCell ref="S1037:S1039"/>
    <mergeCell ref="T1037:T1039"/>
    <mergeCell ref="U1037:U1039"/>
    <mergeCell ref="V1037:V1039"/>
    <mergeCell ref="AF1037:AF1039"/>
    <mergeCell ref="AG1037:AG1039"/>
    <mergeCell ref="M1037:M1039"/>
    <mergeCell ref="N1037:N1039"/>
    <mergeCell ref="AN1037:AN1039"/>
    <mergeCell ref="AM1037:AM1039"/>
    <mergeCell ref="AL1037:AL1039"/>
    <mergeCell ref="V921:V926"/>
    <mergeCell ref="W921:W926"/>
    <mergeCell ref="X921:X926"/>
    <mergeCell ref="AF921:AF926"/>
    <mergeCell ref="O1037:O1039"/>
    <mergeCell ref="P1037:P1039"/>
    <mergeCell ref="AL1065:AL1066"/>
    <mergeCell ref="AF1065:AF1066"/>
    <mergeCell ref="AO998:AO1003"/>
    <mergeCell ref="C1726:C1731"/>
    <mergeCell ref="S1067:S1068"/>
    <mergeCell ref="AK1037:AK1039"/>
    <mergeCell ref="AJ1037:AJ1039"/>
    <mergeCell ref="AI1037:AI1039"/>
    <mergeCell ref="V1012:V1016"/>
    <mergeCell ref="V1017:V1021"/>
    <mergeCell ref="AN1007:AN1034"/>
    <mergeCell ref="AJ1007:AJ1034"/>
    <mergeCell ref="AK1007:AK1011"/>
    <mergeCell ref="AK1012:AK1016"/>
    <mergeCell ref="AK1017:AK1021"/>
    <mergeCell ref="AK1022:AK1026"/>
    <mergeCell ref="AK1027:AK1031"/>
    <mergeCell ref="AL1027:AL1031"/>
    <mergeCell ref="AM1027:AM1031"/>
    <mergeCell ref="AM1032:AM1034"/>
    <mergeCell ref="AL1032:AL1034"/>
    <mergeCell ref="AK1032:AK1034"/>
    <mergeCell ref="AI1017:AI1021"/>
    <mergeCell ref="AI1022:AI1026"/>
    <mergeCell ref="AI1027:AI1031"/>
    <mergeCell ref="AL1007:AL1016"/>
    <mergeCell ref="AM1007:AM1016"/>
    <mergeCell ref="AL1017:AL1026"/>
    <mergeCell ref="O1012:O1016"/>
    <mergeCell ref="P1007:P1016"/>
    <mergeCell ref="R1007:R1016"/>
    <mergeCell ref="M1017:M1026"/>
    <mergeCell ref="N1017:N1021"/>
    <mergeCell ref="N1022:N1026"/>
    <mergeCell ref="O1017:O1021"/>
    <mergeCell ref="O1022:O1026"/>
    <mergeCell ref="U1017:U1021"/>
    <mergeCell ref="AK1002:AK1003"/>
    <mergeCell ref="AJ998:AJ1003"/>
    <mergeCell ref="AI1002:AI1003"/>
    <mergeCell ref="AG998:AG1003"/>
    <mergeCell ref="AF1002:AF1003"/>
    <mergeCell ref="X998:X1003"/>
    <mergeCell ref="M998:M1001"/>
    <mergeCell ref="N998:N1001"/>
    <mergeCell ref="O998:O1001"/>
    <mergeCell ref="P998:P1001"/>
    <mergeCell ref="AF998:AF1001"/>
    <mergeCell ref="AI998:AI1001"/>
    <mergeCell ref="AK998:AK1001"/>
    <mergeCell ref="V1002:V1003"/>
    <mergeCell ref="W998:W1003"/>
    <mergeCell ref="O1002:O1003"/>
    <mergeCell ref="P1002:P1003"/>
    <mergeCell ref="Q998:Q1003"/>
    <mergeCell ref="AO996:AO997"/>
    <mergeCell ref="AL1002:AL1003"/>
    <mergeCell ref="AL998:AL1001"/>
    <mergeCell ref="AM998:AM1001"/>
    <mergeCell ref="AO1004:AO1006"/>
    <mergeCell ref="AN1004:AN1006"/>
    <mergeCell ref="AM1004:AM1005"/>
    <mergeCell ref="AN998:AN1003"/>
    <mergeCell ref="AM1002:AM1003"/>
    <mergeCell ref="AI1012:AI1016"/>
    <mergeCell ref="P1017:P1026"/>
    <mergeCell ref="R1017:R1026"/>
    <mergeCell ref="M1027:M1031"/>
    <mergeCell ref="N1027:N1031"/>
    <mergeCell ref="Y1021:Y1022"/>
    <mergeCell ref="Y1023:Y1024"/>
    <mergeCell ref="Y1025:Y1026"/>
    <mergeCell ref="AI1032:AI1034"/>
    <mergeCell ref="AC1007:AC1008"/>
    <mergeCell ref="AC1009:AC1010"/>
    <mergeCell ref="AC1011:AC1012"/>
    <mergeCell ref="AC1013:AC1014"/>
    <mergeCell ref="AC1015:AC1016"/>
    <mergeCell ref="AC1017:AC1018"/>
    <mergeCell ref="AL1004:AL1005"/>
    <mergeCell ref="AK1004:AK1005"/>
    <mergeCell ref="AF1004:AF1005"/>
    <mergeCell ref="AC1019:AC1020"/>
    <mergeCell ref="P996:P997"/>
    <mergeCell ref="Q996:Q997"/>
    <mergeCell ref="R996:R997"/>
    <mergeCell ref="S996:S997"/>
    <mergeCell ref="T996:T997"/>
    <mergeCell ref="U996:U997"/>
    <mergeCell ref="AL996:AL997"/>
    <mergeCell ref="U1032:U1034"/>
    <mergeCell ref="T1032:T1034"/>
    <mergeCell ref="S1032:S1034"/>
    <mergeCell ref="S1007:S1016"/>
    <mergeCell ref="S1017:S1026"/>
    <mergeCell ref="AI996:AI997"/>
    <mergeCell ref="AG996:AG997"/>
    <mergeCell ref="AF996:AF997"/>
    <mergeCell ref="AG1007:AG1034"/>
    <mergeCell ref="U1007:U1011"/>
    <mergeCell ref="U1012:U1016"/>
    <mergeCell ref="T1012:T1016"/>
    <mergeCell ref="Q1007:Q1034"/>
    <mergeCell ref="U988:U989"/>
    <mergeCell ref="AM996:AM997"/>
    <mergeCell ref="AN996:AN997"/>
    <mergeCell ref="A1007:A1034"/>
    <mergeCell ref="B1007:B1034"/>
    <mergeCell ref="C1007:C1034"/>
    <mergeCell ref="D1007:D1034"/>
    <mergeCell ref="E1007:E1034"/>
    <mergeCell ref="F1007:F1034"/>
    <mergeCell ref="U998:U1001"/>
    <mergeCell ref="V998:V1001"/>
    <mergeCell ref="J998:J1001"/>
    <mergeCell ref="M1002:M1003"/>
    <mergeCell ref="J1002:J1003"/>
    <mergeCell ref="N1002:N1003"/>
    <mergeCell ref="M1004:M1005"/>
    <mergeCell ref="N1004:N1005"/>
    <mergeCell ref="O1004:O1005"/>
    <mergeCell ref="P1004:P1005"/>
    <mergeCell ref="R1004:R1005"/>
    <mergeCell ref="U1002:U1003"/>
    <mergeCell ref="A998:A1003"/>
    <mergeCell ref="B998:B1003"/>
    <mergeCell ref="C998:C1003"/>
    <mergeCell ref="D998:D1003"/>
    <mergeCell ref="E998:E1003"/>
    <mergeCell ref="F998:F1003"/>
    <mergeCell ref="G998:G1003"/>
    <mergeCell ref="H998:H1003"/>
    <mergeCell ref="I998:I1003"/>
    <mergeCell ref="K998:K1003"/>
    <mergeCell ref="L998:L1003"/>
    <mergeCell ref="R998:R1001"/>
    <mergeCell ref="S998:S1001"/>
    <mergeCell ref="T998:T1001"/>
    <mergeCell ref="S1004:S1005"/>
    <mergeCell ref="T1004:T1005"/>
    <mergeCell ref="D990:D995"/>
    <mergeCell ref="E990:E995"/>
    <mergeCell ref="R1002:R1003"/>
    <mergeCell ref="S1002:S1003"/>
    <mergeCell ref="T1002:T1003"/>
    <mergeCell ref="U1022:U1026"/>
    <mergeCell ref="T1022:T1026"/>
    <mergeCell ref="S1027:S1031"/>
    <mergeCell ref="T1027:T1031"/>
    <mergeCell ref="U1027:U1031"/>
    <mergeCell ref="Y1015:Y1016"/>
    <mergeCell ref="Y1017:Y1018"/>
    <mergeCell ref="Y1019:Y1020"/>
    <mergeCell ref="J1032:J1034"/>
    <mergeCell ref="K1007:K1034"/>
    <mergeCell ref="L1007:L1034"/>
    <mergeCell ref="A996:A997"/>
    <mergeCell ref="B996:B997"/>
    <mergeCell ref="C996:C997"/>
    <mergeCell ref="D996:D997"/>
    <mergeCell ref="E996:E997"/>
    <mergeCell ref="F996:F997"/>
    <mergeCell ref="G996:G997"/>
    <mergeCell ref="T986:T987"/>
    <mergeCell ref="F990:F995"/>
    <mergeCell ref="G990:G995"/>
    <mergeCell ref="T1017:T1021"/>
    <mergeCell ref="AC1023:AC1024"/>
    <mergeCell ref="AC1025:AC1026"/>
    <mergeCell ref="M1032:M1034"/>
    <mergeCell ref="N1032:N1034"/>
    <mergeCell ref="O1032:O1034"/>
    <mergeCell ref="P1032:P1034"/>
    <mergeCell ref="H990:H995"/>
    <mergeCell ref="I990:I995"/>
    <mergeCell ref="J990:J995"/>
    <mergeCell ref="K990:K995"/>
    <mergeCell ref="A990:A995"/>
    <mergeCell ref="B990:B995"/>
    <mergeCell ref="C990:C995"/>
    <mergeCell ref="AO954:AO959"/>
    <mergeCell ref="AN954:AN959"/>
    <mergeCell ref="AM958:AM959"/>
    <mergeCell ref="AK958:AK959"/>
    <mergeCell ref="AL958:AL959"/>
    <mergeCell ref="AJ954:AJ959"/>
    <mergeCell ref="AI958:AI959"/>
    <mergeCell ref="AG954:AG959"/>
    <mergeCell ref="AF958:AF959"/>
    <mergeCell ref="AF954:AF957"/>
    <mergeCell ref="V954:V957"/>
    <mergeCell ref="AK954:AK957"/>
    <mergeCell ref="AL954:AL957"/>
    <mergeCell ref="AM954:AM957"/>
    <mergeCell ref="AI954:AI957"/>
    <mergeCell ref="AM960:AM964"/>
    <mergeCell ref="AO960:AO964"/>
    <mergeCell ref="AN960:AN964"/>
    <mergeCell ref="X960:X964"/>
    <mergeCell ref="T975:T981"/>
    <mergeCell ref="U975:U981"/>
    <mergeCell ref="AF975:AF981"/>
    <mergeCell ref="AI975:AI981"/>
    <mergeCell ref="AM988:AM989"/>
    <mergeCell ref="AN984:AN989"/>
    <mergeCell ref="AO984:AO989"/>
    <mergeCell ref="V988:V989"/>
    <mergeCell ref="W984:W989"/>
    <mergeCell ref="C984:C989"/>
    <mergeCell ref="D984:D989"/>
    <mergeCell ref="E984:E989"/>
    <mergeCell ref="F984:F989"/>
    <mergeCell ref="G984:G989"/>
    <mergeCell ref="H984:H989"/>
    <mergeCell ref="I984:I989"/>
    <mergeCell ref="J988:J989"/>
    <mergeCell ref="K984:K989"/>
    <mergeCell ref="L984:L989"/>
    <mergeCell ref="P984:P987"/>
    <mergeCell ref="R984:R987"/>
    <mergeCell ref="AF984:AF987"/>
    <mergeCell ref="AM984:AM985"/>
    <mergeCell ref="AM986:AM987"/>
    <mergeCell ref="AC984:AC985"/>
    <mergeCell ref="J984:J987"/>
    <mergeCell ref="R988:R989"/>
    <mergeCell ref="S988:S989"/>
    <mergeCell ref="N986:N987"/>
    <mergeCell ref="O984:O985"/>
    <mergeCell ref="O986:O987"/>
    <mergeCell ref="S984:S987"/>
    <mergeCell ref="T984:T985"/>
    <mergeCell ref="U984:U985"/>
    <mergeCell ref="AO968:AO983"/>
    <mergeCell ref="AN968:AN983"/>
    <mergeCell ref="AJ968:AJ983"/>
    <mergeCell ref="AK982:AK983"/>
    <mergeCell ref="AL982:AL983"/>
    <mergeCell ref="AL988:AL989"/>
    <mergeCell ref="AF968:AF974"/>
    <mergeCell ref="AI968:AI974"/>
    <mergeCell ref="Y984:Y985"/>
    <mergeCell ref="Y986:Y987"/>
    <mergeCell ref="V984:V985"/>
    <mergeCell ref="AG921:AG926"/>
    <mergeCell ref="AI921:AI926"/>
    <mergeCell ref="AJ921:AJ926"/>
    <mergeCell ref="AK921:AK926"/>
    <mergeCell ref="AC936:AC942"/>
    <mergeCell ref="AC927:AC935"/>
    <mergeCell ref="Z944:Z948"/>
    <mergeCell ref="AA944:AA948"/>
    <mergeCell ref="AC944:AC948"/>
    <mergeCell ref="Y944:Y948"/>
    <mergeCell ref="A927:A953"/>
    <mergeCell ref="B927:B953"/>
    <mergeCell ref="C927:C929"/>
    <mergeCell ref="C930:C932"/>
    <mergeCell ref="C933:C935"/>
    <mergeCell ref="C936:C939"/>
    <mergeCell ref="C940:C943"/>
    <mergeCell ref="C944:C947"/>
    <mergeCell ref="C948:C953"/>
    <mergeCell ref="D927:D953"/>
    <mergeCell ref="Q954:Q959"/>
    <mergeCell ref="R954:R957"/>
    <mergeCell ref="R958:R959"/>
    <mergeCell ref="S954:S957"/>
    <mergeCell ref="T954:T957"/>
    <mergeCell ref="U954:U957"/>
    <mergeCell ref="U958:U959"/>
    <mergeCell ref="T958:T959"/>
    <mergeCell ref="S958:S959"/>
    <mergeCell ref="J954:J957"/>
    <mergeCell ref="M954:M957"/>
    <mergeCell ref="N954:N957"/>
    <mergeCell ref="O954:O957"/>
    <mergeCell ref="P954:P957"/>
    <mergeCell ref="A954:A959"/>
    <mergeCell ref="B954:B959"/>
    <mergeCell ref="C954:C959"/>
    <mergeCell ref="D954:D959"/>
    <mergeCell ref="E954:E959"/>
    <mergeCell ref="F954:F959"/>
    <mergeCell ref="G954:G959"/>
    <mergeCell ref="H954:H959"/>
    <mergeCell ref="I954:I959"/>
    <mergeCell ref="J958:J959"/>
    <mergeCell ref="K954:K959"/>
    <mergeCell ref="AC986:AC987"/>
    <mergeCell ref="U986:U987"/>
    <mergeCell ref="H927:H953"/>
    <mergeCell ref="I927:I953"/>
    <mergeCell ref="J927:J953"/>
    <mergeCell ref="K927:K953"/>
    <mergeCell ref="L927:L953"/>
    <mergeCell ref="M927:M953"/>
    <mergeCell ref="N927:N953"/>
    <mergeCell ref="O927:O953"/>
    <mergeCell ref="AO927:AO953"/>
    <mergeCell ref="V927:V953"/>
    <mergeCell ref="W927:W953"/>
    <mergeCell ref="X927:X953"/>
    <mergeCell ref="AF927:AF953"/>
    <mergeCell ref="AG927:AG953"/>
    <mergeCell ref="AI927:AI953"/>
    <mergeCell ref="AJ927:AJ953"/>
    <mergeCell ref="AK927:AK953"/>
    <mergeCell ref="AL927:AL953"/>
    <mergeCell ref="AM927:AM953"/>
    <mergeCell ref="AN927:AN953"/>
    <mergeCell ref="Y936:Y942"/>
    <mergeCell ref="F892:F896"/>
    <mergeCell ref="K892:K896"/>
    <mergeCell ref="L892:L896"/>
    <mergeCell ref="P892:P893"/>
    <mergeCell ref="P894:P895"/>
    <mergeCell ref="R892:R893"/>
    <mergeCell ref="R894:R895"/>
    <mergeCell ref="S892:S893"/>
    <mergeCell ref="S894:S895"/>
    <mergeCell ref="T892:T893"/>
    <mergeCell ref="T894:T895"/>
    <mergeCell ref="U892:U893"/>
    <mergeCell ref="U894:U895"/>
    <mergeCell ref="AK892:AK893"/>
    <mergeCell ref="AK894:AK895"/>
    <mergeCell ref="AL892:AL893"/>
    <mergeCell ref="AL894:AL895"/>
    <mergeCell ref="AM892:AM893"/>
    <mergeCell ref="AM894:AM895"/>
    <mergeCell ref="V892:V893"/>
    <mergeCell ref="V894:V895"/>
    <mergeCell ref="O892:O893"/>
    <mergeCell ref="AF894:AF895"/>
    <mergeCell ref="AJ892:AJ896"/>
    <mergeCell ref="AN892:AN896"/>
    <mergeCell ref="AF892:AF893"/>
    <mergeCell ref="AG892:AG896"/>
    <mergeCell ref="O909:O916"/>
    <mergeCell ref="P909:P916"/>
    <mergeCell ref="Q900:Q916"/>
    <mergeCell ref="R909:R916"/>
    <mergeCell ref="S909:S916"/>
    <mergeCell ref="AO897:AO899"/>
    <mergeCell ref="W897:W899"/>
    <mergeCell ref="X897:X899"/>
    <mergeCell ref="AF897:AF899"/>
    <mergeCell ref="AG897:AG899"/>
    <mergeCell ref="AI897:AI899"/>
    <mergeCell ref="AJ897:AJ899"/>
    <mergeCell ref="AK897:AK899"/>
    <mergeCell ref="AL897:AL899"/>
    <mergeCell ref="AM897:AM899"/>
    <mergeCell ref="AN897:AN899"/>
    <mergeCell ref="AA936:AA942"/>
    <mergeCell ref="AA949:AA953"/>
    <mergeCell ref="Z949:Z953"/>
    <mergeCell ref="Y949:Y953"/>
    <mergeCell ref="A855:A857"/>
    <mergeCell ref="B855:B857"/>
    <mergeCell ref="C855:C857"/>
    <mergeCell ref="D855:D857"/>
    <mergeCell ref="E855:E857"/>
    <mergeCell ref="F855:F857"/>
    <mergeCell ref="G855:G857"/>
    <mergeCell ref="H855:H857"/>
    <mergeCell ref="I855:I857"/>
    <mergeCell ref="J855:J857"/>
    <mergeCell ref="K855:K857"/>
    <mergeCell ref="L855:L857"/>
    <mergeCell ref="M855:M857"/>
    <mergeCell ref="N855:N857"/>
    <mergeCell ref="O855:O857"/>
    <mergeCell ref="P855:P857"/>
    <mergeCell ref="Q855:Q857"/>
    <mergeCell ref="R855:R857"/>
    <mergeCell ref="S855:S857"/>
    <mergeCell ref="T855:T857"/>
    <mergeCell ref="U855:U857"/>
    <mergeCell ref="AO855:AO857"/>
    <mergeCell ref="AN855:AN857"/>
    <mergeCell ref="AM855:AM857"/>
    <mergeCell ref="AL855:AL857"/>
    <mergeCell ref="AK855:AK857"/>
    <mergeCell ref="AJ855:AJ857"/>
    <mergeCell ref="AI855:AI857"/>
    <mergeCell ref="AG855:AG857"/>
    <mergeCell ref="AF855:AF857"/>
    <mergeCell ref="X855:X857"/>
    <mergeCell ref="W855:W857"/>
    <mergeCell ref="V855:V857"/>
    <mergeCell ref="AO858:AO860"/>
    <mergeCell ref="AN858:AN860"/>
    <mergeCell ref="AM858:AM860"/>
    <mergeCell ref="AL858:AL860"/>
    <mergeCell ref="AK886:AK888"/>
    <mergeCell ref="AL886:AL888"/>
    <mergeCell ref="AM886:AM888"/>
    <mergeCell ref="AK889:AK891"/>
    <mergeCell ref="AL889:AL891"/>
    <mergeCell ref="AM889:AM891"/>
    <mergeCell ref="AI883:AI885"/>
    <mergeCell ref="AI886:AI888"/>
    <mergeCell ref="P927:P953"/>
    <mergeCell ref="Q927:Q953"/>
    <mergeCell ref="R927:R953"/>
    <mergeCell ref="S927:S953"/>
    <mergeCell ref="T858:T860"/>
    <mergeCell ref="U858:U860"/>
    <mergeCell ref="V858:V860"/>
    <mergeCell ref="W858:W860"/>
    <mergeCell ref="X858:X860"/>
    <mergeCell ref="J883:J891"/>
    <mergeCell ref="AO883:AO891"/>
    <mergeCell ref="AN883:AN891"/>
    <mergeCell ref="AK883:AK885"/>
    <mergeCell ref="AL883:AL885"/>
    <mergeCell ref="AM883:AM885"/>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N852:N854"/>
    <mergeCell ref="O852:O854"/>
    <mergeCell ref="P852:P854"/>
    <mergeCell ref="Q852:Q854"/>
    <mergeCell ref="R852:R854"/>
    <mergeCell ref="S852:S854"/>
    <mergeCell ref="T852:T854"/>
    <mergeCell ref="U852:U854"/>
    <mergeCell ref="V852:V854"/>
    <mergeCell ref="W852:W854"/>
    <mergeCell ref="X852:X854"/>
    <mergeCell ref="AO852:AO854"/>
    <mergeCell ref="AN852:AN854"/>
    <mergeCell ref="AM852:AM854"/>
    <mergeCell ref="AL852:AL854"/>
    <mergeCell ref="AK852:AK854"/>
    <mergeCell ref="AJ852:AJ854"/>
    <mergeCell ref="AI852:AI854"/>
    <mergeCell ref="AG852:AG854"/>
    <mergeCell ref="AF852:AF854"/>
    <mergeCell ref="D844:D847"/>
    <mergeCell ref="E844:E847"/>
    <mergeCell ref="F844:F847"/>
    <mergeCell ref="G844:G847"/>
    <mergeCell ref="H844:H847"/>
    <mergeCell ref="I844:I847"/>
    <mergeCell ref="J844:J847"/>
    <mergeCell ref="K844:K847"/>
    <mergeCell ref="L844:L847"/>
    <mergeCell ref="M844:M847"/>
    <mergeCell ref="N844:N847"/>
    <mergeCell ref="O844:O847"/>
    <mergeCell ref="P844:P847"/>
    <mergeCell ref="Q844:Q847"/>
    <mergeCell ref="R844:R847"/>
    <mergeCell ref="S844:S847"/>
    <mergeCell ref="T844:T847"/>
    <mergeCell ref="U844:U847"/>
    <mergeCell ref="V844:V847"/>
    <mergeCell ref="W844:W847"/>
    <mergeCell ref="X844:X847"/>
    <mergeCell ref="AO844:AO847"/>
    <mergeCell ref="AN844:AN847"/>
    <mergeCell ref="AM844:AM847"/>
    <mergeCell ref="AL844:AL847"/>
    <mergeCell ref="AJ844:AJ847"/>
    <mergeCell ref="AK844:AK847"/>
    <mergeCell ref="AF844:AF847"/>
    <mergeCell ref="AG844:AG847"/>
    <mergeCell ref="AI844:AI847"/>
    <mergeCell ref="A848:A851"/>
    <mergeCell ref="B848:B851"/>
    <mergeCell ref="C848:C851"/>
    <mergeCell ref="D848:D851"/>
    <mergeCell ref="E848:E851"/>
    <mergeCell ref="F848:F851"/>
    <mergeCell ref="G848:G851"/>
    <mergeCell ref="H848:H851"/>
    <mergeCell ref="I848:I851"/>
    <mergeCell ref="J848:J851"/>
    <mergeCell ref="K848:K851"/>
    <mergeCell ref="L848:L851"/>
    <mergeCell ref="M848:M851"/>
    <mergeCell ref="N848:N851"/>
    <mergeCell ref="O848:O851"/>
    <mergeCell ref="P848:P851"/>
    <mergeCell ref="Q848:Q851"/>
    <mergeCell ref="R848:R851"/>
    <mergeCell ref="S848:S851"/>
    <mergeCell ref="T848:T851"/>
    <mergeCell ref="U848:U851"/>
    <mergeCell ref="V848:V851"/>
    <mergeCell ref="W848:W851"/>
    <mergeCell ref="X848:X851"/>
    <mergeCell ref="AO848:AO851"/>
    <mergeCell ref="AN848:AN851"/>
    <mergeCell ref="AJ848:AJ851"/>
    <mergeCell ref="AK848:AK851"/>
    <mergeCell ref="AL848:AL851"/>
    <mergeCell ref="AM848:AM851"/>
    <mergeCell ref="A844:A847"/>
    <mergeCell ref="B844:B847"/>
    <mergeCell ref="C844:C847"/>
    <mergeCell ref="C836:C838"/>
    <mergeCell ref="D836:D838"/>
    <mergeCell ref="E836:E838"/>
    <mergeCell ref="F836:F838"/>
    <mergeCell ref="G836:G838"/>
    <mergeCell ref="AG834:AG835"/>
    <mergeCell ref="H836:H838"/>
    <mergeCell ref="I836:I838"/>
    <mergeCell ref="J836:J838"/>
    <mergeCell ref="K836:K838"/>
    <mergeCell ref="L836:L838"/>
    <mergeCell ref="AG836:AG838"/>
    <mergeCell ref="N836:N838"/>
    <mergeCell ref="O836:O838"/>
    <mergeCell ref="S834:S835"/>
    <mergeCell ref="T834:T835"/>
    <mergeCell ref="T836:T838"/>
    <mergeCell ref="U836:U838"/>
    <mergeCell ref="F834:F835"/>
    <mergeCell ref="A834:A835"/>
    <mergeCell ref="B834:B835"/>
    <mergeCell ref="C834:C835"/>
    <mergeCell ref="D834:D835"/>
    <mergeCell ref="E834:E835"/>
    <mergeCell ref="R834:R835"/>
    <mergeCell ref="G834:G835"/>
    <mergeCell ref="H834:H835"/>
    <mergeCell ref="I834:I835"/>
    <mergeCell ref="J834:J835"/>
    <mergeCell ref="K834:K835"/>
    <mergeCell ref="A827:A829"/>
    <mergeCell ref="B827:B829"/>
    <mergeCell ref="C827:C829"/>
    <mergeCell ref="D827:D829"/>
    <mergeCell ref="E827:E829"/>
    <mergeCell ref="F827:F829"/>
    <mergeCell ref="G827:G829"/>
    <mergeCell ref="H827:H829"/>
    <mergeCell ref="A831:A833"/>
    <mergeCell ref="B831:B833"/>
    <mergeCell ref="C831:C833"/>
    <mergeCell ref="D831:D833"/>
    <mergeCell ref="E831:E833"/>
    <mergeCell ref="F831:F833"/>
    <mergeCell ref="G831:G833"/>
    <mergeCell ref="H831:H833"/>
    <mergeCell ref="I831:I833"/>
    <mergeCell ref="I827:I829"/>
    <mergeCell ref="X834:X835"/>
    <mergeCell ref="X836:X838"/>
    <mergeCell ref="AN825:AN826"/>
    <mergeCell ref="W825:W826"/>
    <mergeCell ref="X825:X826"/>
    <mergeCell ref="AO819:AO821"/>
    <mergeCell ref="AK819:AK821"/>
    <mergeCell ref="U819:U821"/>
    <mergeCell ref="AL822:AL824"/>
    <mergeCell ref="AM822:AM824"/>
    <mergeCell ref="AN822:AN824"/>
    <mergeCell ref="W822:W824"/>
    <mergeCell ref="X822:X824"/>
    <mergeCell ref="AF822:AF824"/>
    <mergeCell ref="AG822:AG824"/>
    <mergeCell ref="AI825:AI826"/>
    <mergeCell ref="AJ825:AJ826"/>
    <mergeCell ref="AK825:AK826"/>
    <mergeCell ref="AL825:AL826"/>
    <mergeCell ref="AM825:AM826"/>
    <mergeCell ref="V819:V821"/>
    <mergeCell ref="AF827:AF828"/>
    <mergeCell ref="AG827:AG829"/>
    <mergeCell ref="AJ827:AJ829"/>
    <mergeCell ref="AI827:AI828"/>
    <mergeCell ref="W819:W821"/>
    <mergeCell ref="X819:X821"/>
    <mergeCell ref="AL819:AL821"/>
    <mergeCell ref="Y820:Y821"/>
    <mergeCell ref="Z820:Z821"/>
    <mergeCell ref="AA820:AA821"/>
    <mergeCell ref="AB820:AB821"/>
    <mergeCell ref="AF819:AF821"/>
    <mergeCell ref="AG819:AG821"/>
    <mergeCell ref="AI819:AI821"/>
    <mergeCell ref="AJ819:AJ821"/>
    <mergeCell ref="E825:E826"/>
    <mergeCell ref="N805:N812"/>
    <mergeCell ref="A825:A826"/>
    <mergeCell ref="B825:B826"/>
    <mergeCell ref="C825:C826"/>
    <mergeCell ref="D825:D826"/>
    <mergeCell ref="G825:G826"/>
    <mergeCell ref="A822:A824"/>
    <mergeCell ref="B822:B824"/>
    <mergeCell ref="C822:C824"/>
    <mergeCell ref="A819:A821"/>
    <mergeCell ref="C819:C821"/>
    <mergeCell ref="D819:D821"/>
    <mergeCell ref="A797:A816"/>
    <mergeCell ref="B797:B816"/>
    <mergeCell ref="D797:D816"/>
    <mergeCell ref="D822:D824"/>
    <mergeCell ref="E822:E824"/>
    <mergeCell ref="F822:F824"/>
    <mergeCell ref="G822:G824"/>
    <mergeCell ref="G819:G821"/>
    <mergeCell ref="H819:H821"/>
    <mergeCell ref="I819:I821"/>
    <mergeCell ref="R819:R821"/>
    <mergeCell ref="H825:H826"/>
    <mergeCell ref="I825:I826"/>
    <mergeCell ref="J825:J826"/>
    <mergeCell ref="P822:P824"/>
    <mergeCell ref="N822:N824"/>
    <mergeCell ref="O822:O824"/>
    <mergeCell ref="P825:P826"/>
    <mergeCell ref="H822:H824"/>
    <mergeCell ref="I822:I824"/>
    <mergeCell ref="J822:J824"/>
    <mergeCell ref="K822:K824"/>
    <mergeCell ref="L822:L824"/>
    <mergeCell ref="M822:M824"/>
    <mergeCell ref="J819:J821"/>
    <mergeCell ref="K819:K821"/>
    <mergeCell ref="L819:L821"/>
    <mergeCell ref="M819:M821"/>
    <mergeCell ref="J797:J812"/>
    <mergeCell ref="J813:J814"/>
    <mergeCell ref="N819:N821"/>
    <mergeCell ref="B819:B821"/>
    <mergeCell ref="E819:E821"/>
    <mergeCell ref="F819:F821"/>
    <mergeCell ref="P819:P821"/>
    <mergeCell ref="Q819:Q821"/>
    <mergeCell ref="E797:E816"/>
    <mergeCell ref="F797:F816"/>
    <mergeCell ref="G797:G816"/>
    <mergeCell ref="H797:H816"/>
    <mergeCell ref="I797:I816"/>
    <mergeCell ref="C797:C804"/>
    <mergeCell ref="C805:C814"/>
    <mergeCell ref="C815:C816"/>
    <mergeCell ref="K797:K816"/>
    <mergeCell ref="L797:L816"/>
    <mergeCell ref="O813:O814"/>
    <mergeCell ref="R797:R804"/>
    <mergeCell ref="R805:R812"/>
    <mergeCell ref="R813:R814"/>
    <mergeCell ref="F825:F826"/>
    <mergeCell ref="AO797:AO816"/>
    <mergeCell ref="AM813:AM814"/>
    <mergeCell ref="AM797:AM804"/>
    <mergeCell ref="P827:P828"/>
    <mergeCell ref="V827:V828"/>
    <mergeCell ref="W827:W829"/>
    <mergeCell ref="X827:X829"/>
    <mergeCell ref="O819:O821"/>
    <mergeCell ref="O815:O816"/>
    <mergeCell ref="AI822:AI824"/>
    <mergeCell ref="AJ822:AJ824"/>
    <mergeCell ref="AK822:AK824"/>
    <mergeCell ref="J827:J828"/>
    <mergeCell ref="K827:K829"/>
    <mergeCell ref="L827:L829"/>
    <mergeCell ref="M827:M828"/>
    <mergeCell ref="N827:N828"/>
    <mergeCell ref="O827:O828"/>
    <mergeCell ref="R825:R826"/>
    <mergeCell ref="S825:S826"/>
    <mergeCell ref="T825:T826"/>
    <mergeCell ref="U825:U826"/>
    <mergeCell ref="U827:U828"/>
    <mergeCell ref="T827:T828"/>
    <mergeCell ref="S827:S828"/>
    <mergeCell ref="R827:R828"/>
    <mergeCell ref="K825:K826"/>
    <mergeCell ref="L825:L826"/>
    <mergeCell ref="M825:M826"/>
    <mergeCell ref="N825:N826"/>
    <mergeCell ref="O825:O826"/>
    <mergeCell ref="Q827:Q829"/>
    <mergeCell ref="S819:S821"/>
    <mergeCell ref="T819:T821"/>
    <mergeCell ref="U805:U812"/>
    <mergeCell ref="T805:T812"/>
    <mergeCell ref="AO817:AO818"/>
    <mergeCell ref="AN817:AN818"/>
    <mergeCell ref="AM817:AM818"/>
    <mergeCell ref="AL817:AL818"/>
    <mergeCell ref="AK817:AK818"/>
    <mergeCell ref="AJ817:AJ818"/>
    <mergeCell ref="AF817:AF818"/>
    <mergeCell ref="AG817:AG818"/>
    <mergeCell ref="AI817:AI818"/>
    <mergeCell ref="Q822:Q824"/>
    <mergeCell ref="R822:R824"/>
    <mergeCell ref="S822:S824"/>
    <mergeCell ref="T822:T824"/>
    <mergeCell ref="U822:U824"/>
    <mergeCell ref="V822:V824"/>
    <mergeCell ref="Q825:Q826"/>
    <mergeCell ref="AF825:AF826"/>
    <mergeCell ref="AG825:AG826"/>
    <mergeCell ref="V825:V826"/>
    <mergeCell ref="AN827:AN829"/>
    <mergeCell ref="AO827:AO829"/>
    <mergeCell ref="AM819:AM821"/>
    <mergeCell ref="AN819:AN821"/>
    <mergeCell ref="AK827:AK828"/>
    <mergeCell ref="AM827:AM828"/>
    <mergeCell ref="AL827:AL828"/>
    <mergeCell ref="AO822:AO824"/>
    <mergeCell ref="AO825:AO826"/>
    <mergeCell ref="A789:A796"/>
    <mergeCell ref="B789:B796"/>
    <mergeCell ref="C789:C796"/>
    <mergeCell ref="D789:D796"/>
    <mergeCell ref="E789:E796"/>
    <mergeCell ref="F789:F796"/>
    <mergeCell ref="G789:G796"/>
    <mergeCell ref="H789:H796"/>
    <mergeCell ref="I789:I796"/>
    <mergeCell ref="R789:R796"/>
    <mergeCell ref="S789:S796"/>
    <mergeCell ref="T789:T796"/>
    <mergeCell ref="U789:U796"/>
    <mergeCell ref="L761:L780"/>
    <mergeCell ref="O767:O771"/>
    <mergeCell ref="O772:O776"/>
    <mergeCell ref="P767:P776"/>
    <mergeCell ref="T767:T771"/>
    <mergeCell ref="U767:U771"/>
    <mergeCell ref="M777:M780"/>
    <mergeCell ref="N777:N780"/>
    <mergeCell ref="O777:O780"/>
    <mergeCell ref="R767:R776"/>
    <mergeCell ref="A761:A780"/>
    <mergeCell ref="M767:M776"/>
    <mergeCell ref="J761:J776"/>
    <mergeCell ref="S761:S766"/>
    <mergeCell ref="T761:T766"/>
    <mergeCell ref="U761:U766"/>
    <mergeCell ref="B761:B780"/>
    <mergeCell ref="C761:C780"/>
    <mergeCell ref="D761:D780"/>
    <mergeCell ref="M761:M766"/>
    <mergeCell ref="N761:N766"/>
    <mergeCell ref="O761:O766"/>
    <mergeCell ref="P761:P766"/>
    <mergeCell ref="U777:U780"/>
    <mergeCell ref="U772:U776"/>
    <mergeCell ref="P789:P796"/>
    <mergeCell ref="Q789:Q796"/>
    <mergeCell ref="A781:A788"/>
    <mergeCell ref="B781:B788"/>
    <mergeCell ref="C781:C788"/>
    <mergeCell ref="D781:D788"/>
    <mergeCell ref="E781:E788"/>
    <mergeCell ref="F781:F788"/>
    <mergeCell ref="G781:G788"/>
    <mergeCell ref="H781:H788"/>
    <mergeCell ref="I781:I788"/>
    <mergeCell ref="A739:A744"/>
    <mergeCell ref="B739:B744"/>
    <mergeCell ref="C739:C744"/>
    <mergeCell ref="D739:D744"/>
    <mergeCell ref="E739:E744"/>
    <mergeCell ref="F739:F744"/>
    <mergeCell ref="G739:G744"/>
    <mergeCell ref="H739:H744"/>
    <mergeCell ref="I739:I744"/>
    <mergeCell ref="J739:J744"/>
    <mergeCell ref="K739:K744"/>
    <mergeCell ref="L739:L744"/>
    <mergeCell ref="M742:M744"/>
    <mergeCell ref="N742:N744"/>
    <mergeCell ref="O742:O744"/>
    <mergeCell ref="P742:P744"/>
    <mergeCell ref="Q739:Q744"/>
    <mergeCell ref="E761:E780"/>
    <mergeCell ref="F761:F780"/>
    <mergeCell ref="G761:G780"/>
    <mergeCell ref="H761:H780"/>
    <mergeCell ref="I761:I780"/>
    <mergeCell ref="J777:J780"/>
    <mergeCell ref="K761:K780"/>
    <mergeCell ref="N767:N771"/>
    <mergeCell ref="N772:N776"/>
    <mergeCell ref="P777:P780"/>
    <mergeCell ref="T772:T776"/>
    <mergeCell ref="S767:S776"/>
    <mergeCell ref="Q761:Q780"/>
    <mergeCell ref="R777:R780"/>
    <mergeCell ref="S777:S780"/>
    <mergeCell ref="T777:T780"/>
    <mergeCell ref="B745:B760"/>
    <mergeCell ref="C745:C760"/>
    <mergeCell ref="D745:D760"/>
    <mergeCell ref="E745:E760"/>
    <mergeCell ref="F745:F760"/>
    <mergeCell ref="G745:G760"/>
    <mergeCell ref="H745:H760"/>
    <mergeCell ref="I745:I760"/>
    <mergeCell ref="N745:N752"/>
    <mergeCell ref="N755:N759"/>
    <mergeCell ref="L745:L760"/>
    <mergeCell ref="M739:M741"/>
    <mergeCell ref="A745:A760"/>
    <mergeCell ref="AM767:AM771"/>
    <mergeCell ref="AM772:AM776"/>
    <mergeCell ref="AL772:AL776"/>
    <mergeCell ref="AK772:AK776"/>
    <mergeCell ref="AI761:AI766"/>
    <mergeCell ref="K745:K760"/>
    <mergeCell ref="J745:J759"/>
    <mergeCell ref="M745:M754"/>
    <mergeCell ref="M755:M759"/>
    <mergeCell ref="AC745:AC746"/>
    <mergeCell ref="AC747:AC748"/>
    <mergeCell ref="AC749:AC750"/>
    <mergeCell ref="AC751:AC752"/>
    <mergeCell ref="AC753:AC754"/>
    <mergeCell ref="AF745:AF754"/>
    <mergeCell ref="U745:U752"/>
    <mergeCell ref="U753:U754"/>
    <mergeCell ref="U755:U759"/>
    <mergeCell ref="AO745:AO760"/>
    <mergeCell ref="AK755:AK759"/>
    <mergeCell ref="AL755:AL759"/>
    <mergeCell ref="AM755:AM759"/>
    <mergeCell ref="AF755:AF759"/>
    <mergeCell ref="AJ745:AJ760"/>
    <mergeCell ref="AK753:AK754"/>
    <mergeCell ref="AL745:AL754"/>
    <mergeCell ref="Y747:Y748"/>
    <mergeCell ref="Y749:Y750"/>
    <mergeCell ref="Y751:Y752"/>
    <mergeCell ref="Y753:Y754"/>
    <mergeCell ref="X745:X760"/>
    <mergeCell ref="AI755:AI759"/>
    <mergeCell ref="V767:V771"/>
    <mergeCell ref="AI767:AI771"/>
    <mergeCell ref="AI772:AI776"/>
    <mergeCell ref="AO761:AO780"/>
    <mergeCell ref="AN761:AN780"/>
    <mergeCell ref="AM777:AM780"/>
    <mergeCell ref="AL777:AL780"/>
    <mergeCell ref="AK777:AK780"/>
    <mergeCell ref="AJ761:AJ780"/>
    <mergeCell ref="AF777:AF780"/>
    <mergeCell ref="AG761:AG780"/>
    <mergeCell ref="AI777:AI780"/>
    <mergeCell ref="AH765:AH766"/>
    <mergeCell ref="AC765:AC766"/>
    <mergeCell ref="AC767:AC768"/>
    <mergeCell ref="AC769:AC770"/>
    <mergeCell ref="AC771:AC772"/>
    <mergeCell ref="AC773:AC774"/>
    <mergeCell ref="AC775:AC776"/>
    <mergeCell ref="Z765:Z766"/>
    <mergeCell ref="AA765:AA766"/>
    <mergeCell ref="AB765:AB766"/>
    <mergeCell ref="X761:X780"/>
    <mergeCell ref="W761:W780"/>
    <mergeCell ref="V777:V780"/>
    <mergeCell ref="Y765:Y766"/>
    <mergeCell ref="AM761:AM766"/>
    <mergeCell ref="AF761:AF766"/>
    <mergeCell ref="AM739:AM741"/>
    <mergeCell ref="AM742:AM744"/>
    <mergeCell ref="AJ739:AJ744"/>
    <mergeCell ref="AN739:AN744"/>
    <mergeCell ref="AO739:AO744"/>
    <mergeCell ref="W739:W744"/>
    <mergeCell ref="V742:V744"/>
    <mergeCell ref="N753:N754"/>
    <mergeCell ref="O753:O754"/>
    <mergeCell ref="AN745:AN760"/>
    <mergeCell ref="O755:O759"/>
    <mergeCell ref="P755:P759"/>
    <mergeCell ref="V755:V759"/>
    <mergeCell ref="W745:W760"/>
    <mergeCell ref="V745:V752"/>
    <mergeCell ref="V753:V754"/>
    <mergeCell ref="T745:T752"/>
    <mergeCell ref="T753:T754"/>
    <mergeCell ref="S745:S754"/>
    <mergeCell ref="T755:T759"/>
    <mergeCell ref="S755:S759"/>
    <mergeCell ref="R745:R754"/>
    <mergeCell ref="R755:R759"/>
    <mergeCell ref="Y745:Y746"/>
    <mergeCell ref="O745:O752"/>
    <mergeCell ref="P745:P754"/>
    <mergeCell ref="Q745:Q760"/>
    <mergeCell ref="AM745:AM754"/>
    <mergeCell ref="AG745:AG760"/>
    <mergeCell ref="AI745:AI752"/>
    <mergeCell ref="AI753:AI754"/>
    <mergeCell ref="AK745:AK752"/>
    <mergeCell ref="AK739:AK741"/>
    <mergeCell ref="AK742:AK744"/>
    <mergeCell ref="AL739:AL741"/>
    <mergeCell ref="AL742:AL744"/>
    <mergeCell ref="U739:U741"/>
    <mergeCell ref="U742:U744"/>
    <mergeCell ref="T742:T744"/>
    <mergeCell ref="S742:S744"/>
    <mergeCell ref="S739:S741"/>
    <mergeCell ref="T739:T741"/>
    <mergeCell ref="V739:V741"/>
    <mergeCell ref="R739:R741"/>
    <mergeCell ref="R742:R744"/>
    <mergeCell ref="N739:N741"/>
    <mergeCell ref="O739:O741"/>
    <mergeCell ref="P739:P741"/>
    <mergeCell ref="AM805:AM812"/>
    <mergeCell ref="AL815:AL816"/>
    <mergeCell ref="N797:N804"/>
    <mergeCell ref="O797:O804"/>
    <mergeCell ref="P797:P804"/>
    <mergeCell ref="Q797:Q816"/>
    <mergeCell ref="N815:N816"/>
    <mergeCell ref="AI813:AI814"/>
    <mergeCell ref="AI815:AI816"/>
    <mergeCell ref="AL797:AL804"/>
    <mergeCell ref="AL813:AL814"/>
    <mergeCell ref="AK805:AK812"/>
    <mergeCell ref="AF797:AF804"/>
    <mergeCell ref="AG797:AG816"/>
    <mergeCell ref="AJ797:AJ816"/>
    <mergeCell ref="AF815:AF816"/>
    <mergeCell ref="AF805:AF812"/>
    <mergeCell ref="T813:T814"/>
    <mergeCell ref="T815:T816"/>
    <mergeCell ref="U815:U816"/>
    <mergeCell ref="V797:V804"/>
    <mergeCell ref="V805:V812"/>
    <mergeCell ref="P815:P816"/>
    <mergeCell ref="X797:X816"/>
    <mergeCell ref="AC798:AC800"/>
    <mergeCell ref="U813:U814"/>
    <mergeCell ref="R815:R816"/>
    <mergeCell ref="AI797:AI804"/>
    <mergeCell ref="AI805:AI812"/>
    <mergeCell ref="AN797:AN816"/>
    <mergeCell ref="T797:T804"/>
    <mergeCell ref="U797:U804"/>
    <mergeCell ref="V813:V814"/>
    <mergeCell ref="AL805:AL812"/>
    <mergeCell ref="S797:S804"/>
    <mergeCell ref="S805:S812"/>
    <mergeCell ref="S813:S814"/>
    <mergeCell ref="S815:S816"/>
    <mergeCell ref="AK815:AK816"/>
    <mergeCell ref="AM815:AM816"/>
    <mergeCell ref="A817:A818"/>
    <mergeCell ref="B817:B818"/>
    <mergeCell ref="L781:L788"/>
    <mergeCell ref="J781:J788"/>
    <mergeCell ref="K781:K788"/>
    <mergeCell ref="M781:M788"/>
    <mergeCell ref="J817:J818"/>
    <mergeCell ref="K817:K818"/>
    <mergeCell ref="L817:L818"/>
    <mergeCell ref="M817:M818"/>
    <mergeCell ref="N817:N818"/>
    <mergeCell ref="O817:O818"/>
    <mergeCell ref="P817:P818"/>
    <mergeCell ref="Q817:Q818"/>
    <mergeCell ref="J789:J796"/>
    <mergeCell ref="K789:K796"/>
    <mergeCell ref="L789:L796"/>
    <mergeCell ref="M789:M796"/>
    <mergeCell ref="N789:N796"/>
    <mergeCell ref="O789:O796"/>
    <mergeCell ref="J815:J816"/>
    <mergeCell ref="N813:N814"/>
    <mergeCell ref="M813:M814"/>
    <mergeCell ref="P813:P814"/>
    <mergeCell ref="C817:C818"/>
    <mergeCell ref="D817:D818"/>
    <mergeCell ref="E817:E818"/>
    <mergeCell ref="F817:F818"/>
    <mergeCell ref="G817:G818"/>
    <mergeCell ref="H817:H818"/>
    <mergeCell ref="I817:I818"/>
    <mergeCell ref="R817:R818"/>
    <mergeCell ref="AO789:AO796"/>
    <mergeCell ref="AN789:AN796"/>
    <mergeCell ref="AM789:AM796"/>
    <mergeCell ref="X789:X796"/>
    <mergeCell ref="AG789:AG796"/>
    <mergeCell ref="AF789:AF796"/>
    <mergeCell ref="AC791:AC792"/>
    <mergeCell ref="AC794:AC795"/>
    <mergeCell ref="V789:V796"/>
    <mergeCell ref="AO781:AO788"/>
    <mergeCell ref="N781:N788"/>
    <mergeCell ref="O781:O788"/>
    <mergeCell ref="P781:P788"/>
    <mergeCell ref="Q781:Q788"/>
    <mergeCell ref="AM781:AM788"/>
    <mergeCell ref="AN781:AN788"/>
    <mergeCell ref="W781:W788"/>
    <mergeCell ref="X781:X788"/>
    <mergeCell ref="AF781:AF788"/>
    <mergeCell ref="AG781:AG788"/>
    <mergeCell ref="R781:R788"/>
    <mergeCell ref="S781:S788"/>
    <mergeCell ref="T781:T788"/>
    <mergeCell ref="U781:U788"/>
    <mergeCell ref="V781:V788"/>
    <mergeCell ref="W789:W796"/>
    <mergeCell ref="AF813:AF814"/>
    <mergeCell ref="AK813:AK814"/>
    <mergeCell ref="AK797:AK804"/>
    <mergeCell ref="M805:M812"/>
    <mergeCell ref="AC801:AC803"/>
    <mergeCell ref="AC806:AC808"/>
    <mergeCell ref="AM831:AM833"/>
    <mergeCell ref="AO831:AO833"/>
    <mergeCell ref="AN831:AN833"/>
    <mergeCell ref="X831:X833"/>
    <mergeCell ref="AF834:AF835"/>
    <mergeCell ref="AN836:AN838"/>
    <mergeCell ref="AO836:AO838"/>
    <mergeCell ref="AN834:AN835"/>
    <mergeCell ref="AO834:AO835"/>
    <mergeCell ref="AM834:AM835"/>
    <mergeCell ref="AK836:AK838"/>
    <mergeCell ref="AL836:AL838"/>
    <mergeCell ref="AM836:AM838"/>
    <mergeCell ref="S831:S833"/>
    <mergeCell ref="T831:T833"/>
    <mergeCell ref="U831:U833"/>
    <mergeCell ref="V831:V833"/>
    <mergeCell ref="W831:W833"/>
    <mergeCell ref="AF831:AF833"/>
    <mergeCell ref="AG831:AG833"/>
    <mergeCell ref="AI831:AI833"/>
    <mergeCell ref="J831:J833"/>
    <mergeCell ref="K831:K833"/>
    <mergeCell ref="L831:L833"/>
    <mergeCell ref="M831:M833"/>
    <mergeCell ref="N831:N833"/>
    <mergeCell ref="O831:O833"/>
    <mergeCell ref="P831:P833"/>
    <mergeCell ref="Q831:Q833"/>
    <mergeCell ref="R831:R833"/>
    <mergeCell ref="V836:V838"/>
    <mergeCell ref="U834:U835"/>
    <mergeCell ref="V834:V835"/>
    <mergeCell ref="W836:W838"/>
    <mergeCell ref="AF836:AF838"/>
    <mergeCell ref="W834:W835"/>
    <mergeCell ref="M836:M838"/>
    <mergeCell ref="AI836:AI838"/>
    <mergeCell ref="AJ836:AJ838"/>
    <mergeCell ref="P836:P838"/>
    <mergeCell ref="Q836:Q838"/>
    <mergeCell ref="R836:R838"/>
    <mergeCell ref="S836:S838"/>
    <mergeCell ref="L834:L835"/>
    <mergeCell ref="M834:M835"/>
    <mergeCell ref="N834:N835"/>
    <mergeCell ref="O834:O835"/>
    <mergeCell ref="P834:P835"/>
    <mergeCell ref="Q834:Q835"/>
    <mergeCell ref="AI834:AI835"/>
    <mergeCell ref="AM839:AM843"/>
    <mergeCell ref="AN839:AN843"/>
    <mergeCell ref="AO839:AO843"/>
    <mergeCell ref="Y841:Y842"/>
    <mergeCell ref="A836:A838"/>
    <mergeCell ref="B836:B838"/>
    <mergeCell ref="A883:A891"/>
    <mergeCell ref="B883:B891"/>
    <mergeCell ref="D883:D891"/>
    <mergeCell ref="E883:E891"/>
    <mergeCell ref="F883:F891"/>
    <mergeCell ref="P886:P888"/>
    <mergeCell ref="P889:P891"/>
    <mergeCell ref="AF886:AF888"/>
    <mergeCell ref="Q883:Q891"/>
    <mergeCell ref="A873:A882"/>
    <mergeCell ref="AF883:AF885"/>
    <mergeCell ref="G873:G882"/>
    <mergeCell ref="X873:X882"/>
    <mergeCell ref="AF878:AF882"/>
    <mergeCell ref="AG873:AG882"/>
    <mergeCell ref="AI873:AI877"/>
    <mergeCell ref="AI878:AI882"/>
    <mergeCell ref="A839:A843"/>
    <mergeCell ref="B839:B843"/>
    <mergeCell ref="C839:C843"/>
    <mergeCell ref="D839:D843"/>
    <mergeCell ref="E839:E843"/>
    <mergeCell ref="F839:F843"/>
    <mergeCell ref="G839:G843"/>
    <mergeCell ref="H839:H843"/>
    <mergeCell ref="I839:I843"/>
    <mergeCell ref="J842:J843"/>
    <mergeCell ref="K839:K843"/>
    <mergeCell ref="L839:L843"/>
    <mergeCell ref="M839:M843"/>
    <mergeCell ref="N839:N843"/>
    <mergeCell ref="O839:O843"/>
    <mergeCell ref="P839:P843"/>
    <mergeCell ref="V839:V841"/>
    <mergeCell ref="S839:S843"/>
    <mergeCell ref="T839:T843"/>
    <mergeCell ref="U839:U843"/>
    <mergeCell ref="V842:V843"/>
    <mergeCell ref="J839:J841"/>
    <mergeCell ref="Q839:Q843"/>
    <mergeCell ref="R839:R843"/>
    <mergeCell ref="W839:W843"/>
    <mergeCell ref="X839:X843"/>
    <mergeCell ref="Z841:Z842"/>
    <mergeCell ref="AA841:AA842"/>
    <mergeCell ref="AB841:AB842"/>
    <mergeCell ref="AC841:AC842"/>
    <mergeCell ref="AF839:AF843"/>
    <mergeCell ref="J858:J860"/>
    <mergeCell ref="K858:K860"/>
    <mergeCell ref="L858:L860"/>
    <mergeCell ref="M858:M860"/>
    <mergeCell ref="N858:N860"/>
    <mergeCell ref="O858:O860"/>
    <mergeCell ref="P858:P860"/>
    <mergeCell ref="Q858:Q860"/>
    <mergeCell ref="R858:R860"/>
    <mergeCell ref="S858:S860"/>
    <mergeCell ref="H873:H882"/>
    <mergeCell ref="B873:B882"/>
    <mergeCell ref="C873:C882"/>
    <mergeCell ref="D873:D882"/>
    <mergeCell ref="E873:E882"/>
    <mergeCell ref="K883:K891"/>
    <mergeCell ref="L883:L891"/>
    <mergeCell ref="N883:N885"/>
    <mergeCell ref="N886:N888"/>
    <mergeCell ref="N889:N891"/>
    <mergeCell ref="O883:O885"/>
    <mergeCell ref="O886:O888"/>
    <mergeCell ref="O889:O891"/>
    <mergeCell ref="P883:P885"/>
    <mergeCell ref="C883:C888"/>
    <mergeCell ref="C889:C891"/>
    <mergeCell ref="I883:I891"/>
    <mergeCell ref="AI889:AI891"/>
    <mergeCell ref="R883:R885"/>
    <mergeCell ref="R886:R888"/>
    <mergeCell ref="R889:R891"/>
    <mergeCell ref="S883:S885"/>
    <mergeCell ref="S886:S888"/>
    <mergeCell ref="S889:S891"/>
    <mergeCell ref="J873:J882"/>
    <mergeCell ref="AL878:AL882"/>
    <mergeCell ref="AM878:AM882"/>
    <mergeCell ref="M883:M885"/>
    <mergeCell ref="M886:M888"/>
    <mergeCell ref="M889:M891"/>
    <mergeCell ref="A858:A860"/>
    <mergeCell ref="B858:B860"/>
    <mergeCell ref="C858:C860"/>
    <mergeCell ref="D858:D860"/>
    <mergeCell ref="E858:E860"/>
    <mergeCell ref="F858:F860"/>
    <mergeCell ref="G858:G860"/>
    <mergeCell ref="H858:H860"/>
    <mergeCell ref="I858:I860"/>
    <mergeCell ref="AL871:AL872"/>
    <mergeCell ref="Y865:Y866"/>
    <mergeCell ref="Y867:Y868"/>
    <mergeCell ref="Y869:Y870"/>
    <mergeCell ref="AM862:AM864"/>
    <mergeCell ref="AM865:AM867"/>
    <mergeCell ref="AM868:AM870"/>
    <mergeCell ref="AM871:AM872"/>
    <mergeCell ref="L873:L882"/>
    <mergeCell ref="Q873:Q882"/>
    <mergeCell ref="N871:N872"/>
    <mergeCell ref="O871:O872"/>
    <mergeCell ref="P871:P872"/>
    <mergeCell ref="L862:L872"/>
    <mergeCell ref="N868:N870"/>
    <mergeCell ref="O868:O870"/>
    <mergeCell ref="F873:F882"/>
    <mergeCell ref="I873:I882"/>
    <mergeCell ref="K873:K882"/>
    <mergeCell ref="W862:W872"/>
    <mergeCell ref="X862:X872"/>
    <mergeCell ref="AF862:AF864"/>
    <mergeCell ref="AG862:AG872"/>
    <mergeCell ref="AF865:AF870"/>
    <mergeCell ref="H862:H872"/>
    <mergeCell ref="AO892:AO896"/>
    <mergeCell ref="AJ883:AJ891"/>
    <mergeCell ref="X883:X891"/>
    <mergeCell ref="U883:U885"/>
    <mergeCell ref="W883:W891"/>
    <mergeCell ref="V883:V885"/>
    <mergeCell ref="V886:V888"/>
    <mergeCell ref="V889:V891"/>
    <mergeCell ref="AJ878:AJ882"/>
    <mergeCell ref="AK878:AK882"/>
    <mergeCell ref="AI862:AI864"/>
    <mergeCell ref="AI865:AI867"/>
    <mergeCell ref="AI868:AI870"/>
    <mergeCell ref="AO873:AO882"/>
    <mergeCell ref="AN873:AN882"/>
    <mergeCell ref="AJ873:AJ877"/>
    <mergeCell ref="AK873:AK877"/>
    <mergeCell ref="AL873:AL877"/>
    <mergeCell ref="AN862:AN872"/>
    <mergeCell ref="AO862:AO872"/>
    <mergeCell ref="M865:M870"/>
    <mergeCell ref="N865:N867"/>
    <mergeCell ref="AI871:AI872"/>
    <mergeCell ref="AK862:AK864"/>
    <mergeCell ref="AC865:AC866"/>
    <mergeCell ref="AC867:AC868"/>
    <mergeCell ref="AC869:AC870"/>
    <mergeCell ref="AF871:AF872"/>
    <mergeCell ref="AM873:AM877"/>
    <mergeCell ref="M873:M877"/>
    <mergeCell ref="N873:N877"/>
    <mergeCell ref="O873:O877"/>
    <mergeCell ref="P873:P877"/>
    <mergeCell ref="R873:R877"/>
    <mergeCell ref="S873:S877"/>
    <mergeCell ref="T873:T877"/>
    <mergeCell ref="U873:U877"/>
    <mergeCell ref="AF873:AF877"/>
    <mergeCell ref="M878:M882"/>
    <mergeCell ref="N878:N882"/>
    <mergeCell ref="O878:O882"/>
    <mergeCell ref="P878:P882"/>
    <mergeCell ref="R878:R882"/>
    <mergeCell ref="S878:S882"/>
    <mergeCell ref="T878:T882"/>
    <mergeCell ref="U878:U882"/>
    <mergeCell ref="V873:V877"/>
    <mergeCell ref="V878:V882"/>
    <mergeCell ref="W873:W882"/>
    <mergeCell ref="T889:T891"/>
    <mergeCell ref="AF889:AF891"/>
    <mergeCell ref="AG883:AG891"/>
    <mergeCell ref="U889:U891"/>
    <mergeCell ref="T886:T888"/>
    <mergeCell ref="U886:U888"/>
    <mergeCell ref="T883:T885"/>
    <mergeCell ref="AE871:AE872"/>
    <mergeCell ref="C894:C895"/>
    <mergeCell ref="N894:N895"/>
    <mergeCell ref="W892:W896"/>
    <mergeCell ref="X892:X896"/>
    <mergeCell ref="H892:H896"/>
    <mergeCell ref="I892:I896"/>
    <mergeCell ref="J892:J895"/>
    <mergeCell ref="N892:N893"/>
    <mergeCell ref="Q892:Q896"/>
    <mergeCell ref="G892:G896"/>
    <mergeCell ref="M892:M893"/>
    <mergeCell ref="M894:M895"/>
    <mergeCell ref="AN921:AN926"/>
    <mergeCell ref="AO921:AO926"/>
    <mergeCell ref="Y927:Y935"/>
    <mergeCell ref="Z927:Z935"/>
    <mergeCell ref="AA927:AA935"/>
    <mergeCell ref="E927:E953"/>
    <mergeCell ref="F927:F953"/>
    <mergeCell ref="G927:G953"/>
    <mergeCell ref="V958:V959"/>
    <mergeCell ref="W954:W959"/>
    <mergeCell ref="X954:X959"/>
    <mergeCell ref="AG900:AG916"/>
    <mergeCell ref="AF900:AF908"/>
    <mergeCell ref="AF909:AF916"/>
    <mergeCell ref="AK871:AK872"/>
    <mergeCell ref="AK865:AK867"/>
    <mergeCell ref="AK868:AK870"/>
    <mergeCell ref="AJ862:AJ872"/>
    <mergeCell ref="V871:V872"/>
    <mergeCell ref="R871:R872"/>
    <mergeCell ref="S865:S870"/>
    <mergeCell ref="T865:T867"/>
    <mergeCell ref="T868:T870"/>
    <mergeCell ref="U865:U867"/>
    <mergeCell ref="U868:U870"/>
    <mergeCell ref="S871:S872"/>
    <mergeCell ref="T871:T872"/>
    <mergeCell ref="U871:U872"/>
    <mergeCell ref="V865:V867"/>
    <mergeCell ref="V868:V870"/>
    <mergeCell ref="R865:R870"/>
    <mergeCell ref="S862:S864"/>
    <mergeCell ref="T862:T864"/>
    <mergeCell ref="U862:U864"/>
    <mergeCell ref="V862:V864"/>
    <mergeCell ref="F862:F872"/>
    <mergeCell ref="G883:G891"/>
    <mergeCell ref="H883:H891"/>
    <mergeCell ref="E917:E920"/>
    <mergeCell ref="F917:F920"/>
    <mergeCell ref="G917:G920"/>
    <mergeCell ref="H917:H920"/>
    <mergeCell ref="I917:I920"/>
    <mergeCell ref="J917:J920"/>
    <mergeCell ref="K917:K920"/>
    <mergeCell ref="L917:L920"/>
    <mergeCell ref="M917:M918"/>
    <mergeCell ref="M919:M920"/>
    <mergeCell ref="N917:N918"/>
    <mergeCell ref="N919:N920"/>
    <mergeCell ref="O917:O918"/>
    <mergeCell ref="O919:O920"/>
    <mergeCell ref="C900:C908"/>
    <mergeCell ref="C909:C916"/>
    <mergeCell ref="A900:A916"/>
    <mergeCell ref="B900:B916"/>
    <mergeCell ref="D900:D916"/>
    <mergeCell ref="E900:E916"/>
    <mergeCell ref="F900:F916"/>
    <mergeCell ref="G900:G916"/>
    <mergeCell ref="H900:H916"/>
    <mergeCell ref="I900:I916"/>
    <mergeCell ref="J900:J916"/>
    <mergeCell ref="K900:K916"/>
    <mergeCell ref="L900:L916"/>
    <mergeCell ref="W900:W916"/>
    <mergeCell ref="X900:X916"/>
    <mergeCell ref="AO900:AO916"/>
    <mergeCell ref="AN900:AN916"/>
    <mergeCell ref="AM900:AM908"/>
    <mergeCell ref="AL900:AL908"/>
    <mergeCell ref="AK900:AK908"/>
    <mergeCell ref="AK909:AK916"/>
    <mergeCell ref="AL909:AL916"/>
    <mergeCell ref="AM909:AM916"/>
    <mergeCell ref="AI900:AI908"/>
    <mergeCell ref="A917:A920"/>
    <mergeCell ref="AO917:AO920"/>
    <mergeCell ref="AN917:AN920"/>
    <mergeCell ref="AM917:AM918"/>
    <mergeCell ref="AM919:AM920"/>
    <mergeCell ref="AJ917:AJ920"/>
    <mergeCell ref="AK917:AK918"/>
    <mergeCell ref="AL917:AL918"/>
    <mergeCell ref="AL919:AL920"/>
    <mergeCell ref="AK919:AK920"/>
    <mergeCell ref="V917:V918"/>
    <mergeCell ref="V919:V920"/>
    <mergeCell ref="AI917:AI918"/>
    <mergeCell ref="AI919:AI920"/>
    <mergeCell ref="AG917:AG920"/>
    <mergeCell ref="AF917:AF918"/>
    <mergeCell ref="AF919:AF920"/>
    <mergeCell ref="B917:B920"/>
    <mergeCell ref="C917:C920"/>
    <mergeCell ref="D917:D920"/>
    <mergeCell ref="X917:X920"/>
    <mergeCell ref="M900:M908"/>
    <mergeCell ref="N900:N908"/>
    <mergeCell ref="O900:O908"/>
    <mergeCell ref="P900:P908"/>
    <mergeCell ref="R900:R908"/>
    <mergeCell ref="S900:S908"/>
    <mergeCell ref="T900:T908"/>
    <mergeCell ref="T909:T916"/>
    <mergeCell ref="U909:U916"/>
    <mergeCell ref="V900:V908"/>
    <mergeCell ref="V909:V916"/>
    <mergeCell ref="M909:M916"/>
    <mergeCell ref="N909:N916"/>
    <mergeCell ref="P917:P918"/>
    <mergeCell ref="P919:P920"/>
    <mergeCell ref="Q917:Q920"/>
    <mergeCell ref="R917:R918"/>
    <mergeCell ref="R919:R920"/>
    <mergeCell ref="S917:S918"/>
    <mergeCell ref="V982:V983"/>
    <mergeCell ref="W968:W983"/>
    <mergeCell ref="X968:X983"/>
    <mergeCell ref="R968:R974"/>
    <mergeCell ref="S968:S974"/>
    <mergeCell ref="T968:T974"/>
    <mergeCell ref="U968:U974"/>
    <mergeCell ref="Q968:Q983"/>
    <mergeCell ref="R982:R983"/>
    <mergeCell ref="S982:S983"/>
    <mergeCell ref="R975:R981"/>
    <mergeCell ref="S975:S981"/>
    <mergeCell ref="A960:A964"/>
    <mergeCell ref="B960:B964"/>
    <mergeCell ref="C960:C964"/>
    <mergeCell ref="D960:D964"/>
    <mergeCell ref="E960:E964"/>
    <mergeCell ref="F960:F964"/>
    <mergeCell ref="G960:G964"/>
    <mergeCell ref="H960:H964"/>
    <mergeCell ref="I960:I964"/>
    <mergeCell ref="J960:J964"/>
    <mergeCell ref="K960:K964"/>
    <mergeCell ref="L960:L964"/>
    <mergeCell ref="M960:M964"/>
    <mergeCell ref="N960:N964"/>
    <mergeCell ref="O960:O964"/>
    <mergeCell ref="P960:P964"/>
    <mergeCell ref="Q960:Q964"/>
    <mergeCell ref="V960:V964"/>
    <mergeCell ref="W960:W964"/>
    <mergeCell ref="M965:M966"/>
    <mergeCell ref="N965:N966"/>
    <mergeCell ref="A965:A966"/>
    <mergeCell ref="D965:D966"/>
    <mergeCell ref="G965:G966"/>
    <mergeCell ref="R960:R964"/>
    <mergeCell ref="L954:L959"/>
    <mergeCell ref="M958:M959"/>
    <mergeCell ref="N958:N959"/>
    <mergeCell ref="O958:O959"/>
    <mergeCell ref="P958:P959"/>
    <mergeCell ref="T927:T953"/>
    <mergeCell ref="U927:U953"/>
    <mergeCell ref="AM982:AM983"/>
    <mergeCell ref="AF982:AF983"/>
    <mergeCell ref="AG968:AG983"/>
    <mergeCell ref="AI982:AI983"/>
    <mergeCell ref="V975:V981"/>
    <mergeCell ref="AK975:AK981"/>
    <mergeCell ref="AL975:AL981"/>
    <mergeCell ref="AM975:AM981"/>
    <mergeCell ref="AM968:AM974"/>
    <mergeCell ref="U1004:U1005"/>
    <mergeCell ref="V1004:V1005"/>
    <mergeCell ref="W1004:W1006"/>
    <mergeCell ref="A1004:A1006"/>
    <mergeCell ref="B1004:B1006"/>
    <mergeCell ref="C1004:C1006"/>
    <mergeCell ref="D1004:D1006"/>
    <mergeCell ref="E1004:E1006"/>
    <mergeCell ref="F1004:F1006"/>
    <mergeCell ref="G1004:G1006"/>
    <mergeCell ref="H1004:H1006"/>
    <mergeCell ref="I1004:I1006"/>
    <mergeCell ref="J1004:J1005"/>
    <mergeCell ref="K1004:K1006"/>
    <mergeCell ref="L1004:L1006"/>
    <mergeCell ref="Q1004:Q1006"/>
    <mergeCell ref="AK984:AK985"/>
    <mergeCell ref="AK986:AK987"/>
    <mergeCell ref="AF988:AF989"/>
    <mergeCell ref="AG984:AG989"/>
    <mergeCell ref="AI988:AI989"/>
    <mergeCell ref="AJ984:AJ989"/>
    <mergeCell ref="AK988:AK989"/>
    <mergeCell ref="A968:A983"/>
    <mergeCell ref="B968:B983"/>
    <mergeCell ref="C968:C983"/>
    <mergeCell ref="D968:D983"/>
    <mergeCell ref="E968:E983"/>
    <mergeCell ref="F968:F983"/>
    <mergeCell ref="G968:G983"/>
    <mergeCell ref="H968:H983"/>
    <mergeCell ref="I968:I983"/>
    <mergeCell ref="J982:J983"/>
    <mergeCell ref="J968:J981"/>
    <mergeCell ref="K968:K983"/>
    <mergeCell ref="L968:L983"/>
    <mergeCell ref="M982:M983"/>
    <mergeCell ref="N982:N983"/>
    <mergeCell ref="O982:O983"/>
    <mergeCell ref="X984:X989"/>
    <mergeCell ref="V968:V974"/>
    <mergeCell ref="AM990:AM995"/>
    <mergeCell ref="M968:M974"/>
    <mergeCell ref="N968:N974"/>
    <mergeCell ref="O968:O974"/>
    <mergeCell ref="P968:P974"/>
    <mergeCell ref="T982:T983"/>
    <mergeCell ref="U982:U983"/>
    <mergeCell ref="V986:V987"/>
    <mergeCell ref="M996:M997"/>
    <mergeCell ref="N996:N997"/>
    <mergeCell ref="O996:O997"/>
    <mergeCell ref="AI984:AI985"/>
    <mergeCell ref="AI986:AI987"/>
    <mergeCell ref="P982:P983"/>
    <mergeCell ref="M975:M981"/>
    <mergeCell ref="N975:N981"/>
    <mergeCell ref="O975:O981"/>
    <mergeCell ref="P975:P981"/>
    <mergeCell ref="M984:M987"/>
    <mergeCell ref="N984:N985"/>
    <mergeCell ref="A727:A738"/>
    <mergeCell ref="B727:B738"/>
    <mergeCell ref="C727:C738"/>
    <mergeCell ref="D727:D738"/>
    <mergeCell ref="E727:E738"/>
    <mergeCell ref="F727:F738"/>
    <mergeCell ref="G727:G738"/>
    <mergeCell ref="H727:H738"/>
    <mergeCell ref="I727:I738"/>
    <mergeCell ref="J727:J738"/>
    <mergeCell ref="K727:K738"/>
    <mergeCell ref="M727:M734"/>
    <mergeCell ref="N727:N732"/>
    <mergeCell ref="O727:O732"/>
    <mergeCell ref="P727:P734"/>
    <mergeCell ref="Q727:Q738"/>
    <mergeCell ref="M735:M738"/>
    <mergeCell ref="O735:O738"/>
    <mergeCell ref="P735:P738"/>
    <mergeCell ref="O733:O734"/>
    <mergeCell ref="A984:A989"/>
    <mergeCell ref="B984:B989"/>
    <mergeCell ref="F897:F899"/>
    <mergeCell ref="A897:A899"/>
    <mergeCell ref="B897:B899"/>
    <mergeCell ref="C897:C899"/>
    <mergeCell ref="D897:D899"/>
    <mergeCell ref="E897:E899"/>
    <mergeCell ref="V897:V899"/>
    <mergeCell ref="G897:G899"/>
    <mergeCell ref="H897:H899"/>
    <mergeCell ref="I897:I899"/>
    <mergeCell ref="J897:J899"/>
    <mergeCell ref="K897:K899"/>
    <mergeCell ref="L897:L899"/>
    <mergeCell ref="M897:M899"/>
    <mergeCell ref="N897:N899"/>
    <mergeCell ref="O897:O899"/>
    <mergeCell ref="P897:P899"/>
    <mergeCell ref="Q897:Q899"/>
    <mergeCell ref="A892:A896"/>
    <mergeCell ref="B892:B896"/>
    <mergeCell ref="C892:C893"/>
    <mergeCell ref="D892:D896"/>
    <mergeCell ref="E892:E896"/>
    <mergeCell ref="A862:A872"/>
    <mergeCell ref="B862:B872"/>
    <mergeCell ref="C862:C872"/>
    <mergeCell ref="D862:D872"/>
    <mergeCell ref="E862:E872"/>
    <mergeCell ref="G862:G872"/>
    <mergeCell ref="I862:I872"/>
    <mergeCell ref="J862:J870"/>
    <mergeCell ref="K862:K872"/>
    <mergeCell ref="M862:M864"/>
    <mergeCell ref="N862:N864"/>
    <mergeCell ref="O862:O864"/>
    <mergeCell ref="P862:P864"/>
    <mergeCell ref="Q862:Q872"/>
    <mergeCell ref="O865:O867"/>
    <mergeCell ref="P865:P870"/>
    <mergeCell ref="J871:J872"/>
    <mergeCell ref="M871:M872"/>
    <mergeCell ref="AJ839:AJ843"/>
    <mergeCell ref="AK839:AK843"/>
    <mergeCell ref="AL839:AL843"/>
    <mergeCell ref="AJ834:AJ835"/>
    <mergeCell ref="AK834:AK835"/>
    <mergeCell ref="AL834:AL835"/>
    <mergeCell ref="AF724:AF726"/>
    <mergeCell ref="W720:W723"/>
    <mergeCell ref="X720:X723"/>
    <mergeCell ref="AG720:AG723"/>
    <mergeCell ref="AJ720:AJ723"/>
    <mergeCell ref="AL984:AL987"/>
    <mergeCell ref="S960:S964"/>
    <mergeCell ref="T960:T964"/>
    <mergeCell ref="U960:U964"/>
    <mergeCell ref="AF767:AF776"/>
    <mergeCell ref="Y773:Y774"/>
    <mergeCell ref="Y775:Y776"/>
    <mergeCell ref="V761:V766"/>
    <mergeCell ref="V772:V776"/>
    <mergeCell ref="Y767:Y768"/>
    <mergeCell ref="Y769:Y770"/>
    <mergeCell ref="Y771:Y772"/>
    <mergeCell ref="V815:V816"/>
    <mergeCell ref="AF848:AF851"/>
    <mergeCell ref="AG848:AG851"/>
    <mergeCell ref="AI848:AI851"/>
    <mergeCell ref="Z936:Z942"/>
    <mergeCell ref="AK858:AK860"/>
    <mergeCell ref="AJ858:AJ860"/>
    <mergeCell ref="AI858:AI860"/>
    <mergeCell ref="AF858:AF860"/>
    <mergeCell ref="AG858:AG860"/>
    <mergeCell ref="AL862:AL864"/>
    <mergeCell ref="AL865:AL867"/>
    <mergeCell ref="AL868:AL870"/>
    <mergeCell ref="AL789:AL796"/>
    <mergeCell ref="AK789:AK796"/>
    <mergeCell ref="AJ789:AJ796"/>
    <mergeCell ref="AI789:AI796"/>
    <mergeCell ref="AL761:AL766"/>
    <mergeCell ref="AI739:AI741"/>
    <mergeCell ref="AI742:AI744"/>
    <mergeCell ref="AC727:AC728"/>
    <mergeCell ref="AL960:AL964"/>
    <mergeCell ref="AK960:AK964"/>
    <mergeCell ref="AJ960:AJ964"/>
    <mergeCell ref="AI960:AI964"/>
    <mergeCell ref="AK968:AK974"/>
    <mergeCell ref="AL968:AL974"/>
    <mergeCell ref="S921:S926"/>
    <mergeCell ref="T921:T926"/>
    <mergeCell ref="U921:U926"/>
    <mergeCell ref="AI781:AI788"/>
    <mergeCell ref="AJ781:AJ788"/>
    <mergeCell ref="AK781:AK788"/>
    <mergeCell ref="AL781:AL788"/>
    <mergeCell ref="AK761:AK766"/>
    <mergeCell ref="AL720:AL722"/>
    <mergeCell ref="U900:U908"/>
    <mergeCell ref="AI839:AI843"/>
    <mergeCell ref="AC809:AC811"/>
    <mergeCell ref="AK767:AK771"/>
    <mergeCell ref="AL767:AL771"/>
    <mergeCell ref="L727:L738"/>
    <mergeCell ref="T735:T738"/>
    <mergeCell ref="U735:U738"/>
    <mergeCell ref="Y727:Y728"/>
    <mergeCell ref="T733:T734"/>
    <mergeCell ref="U733:U734"/>
    <mergeCell ref="X727:X738"/>
    <mergeCell ref="T727:T732"/>
    <mergeCell ref="U727:U732"/>
    <mergeCell ref="Y729:Y730"/>
    <mergeCell ref="Y731:Y732"/>
    <mergeCell ref="Y733:Y734"/>
    <mergeCell ref="V727:V732"/>
    <mergeCell ref="W727:W738"/>
    <mergeCell ref="V733:V734"/>
    <mergeCell ref="R727:R734"/>
    <mergeCell ref="R735:R738"/>
    <mergeCell ref="V735:V738"/>
    <mergeCell ref="S727:S734"/>
    <mergeCell ref="S735:S738"/>
    <mergeCell ref="N733:N734"/>
    <mergeCell ref="N735:N738"/>
    <mergeCell ref="W724:W726"/>
    <mergeCell ref="S720:S722"/>
    <mergeCell ref="AG724:AG726"/>
    <mergeCell ref="X724:X726"/>
    <mergeCell ref="S919:S920"/>
    <mergeCell ref="T917:T918"/>
    <mergeCell ref="T919:T920"/>
    <mergeCell ref="U917:U918"/>
    <mergeCell ref="U919:U920"/>
    <mergeCell ref="W917:W920"/>
    <mergeCell ref="O894:O895"/>
    <mergeCell ref="AI892:AI893"/>
    <mergeCell ref="AI894:AI895"/>
    <mergeCell ref="AG839:AG843"/>
    <mergeCell ref="AJ831:AJ833"/>
    <mergeCell ref="AK831:AK833"/>
    <mergeCell ref="AL831:AL833"/>
    <mergeCell ref="O805:O812"/>
    <mergeCell ref="P805:P812"/>
    <mergeCell ref="W797:W816"/>
    <mergeCell ref="S817:S818"/>
    <mergeCell ref="T817:T818"/>
    <mergeCell ref="M797:M804"/>
    <mergeCell ref="M815:M816"/>
    <mergeCell ref="AF727:AF734"/>
    <mergeCell ref="AG727:AG738"/>
    <mergeCell ref="AI727:AI732"/>
    <mergeCell ref="U720:U722"/>
    <mergeCell ref="V720:V722"/>
    <mergeCell ref="Q720:Q723"/>
    <mergeCell ref="AM735:AM738"/>
    <mergeCell ref="AL727:AL734"/>
    <mergeCell ref="AM727:AM734"/>
    <mergeCell ref="AO724:AO726"/>
    <mergeCell ref="AN724:AN726"/>
    <mergeCell ref="AJ724:AJ726"/>
    <mergeCell ref="AK724:AK726"/>
    <mergeCell ref="AL724:AL726"/>
    <mergeCell ref="AO717:AO719"/>
    <mergeCell ref="AF681:AF696"/>
    <mergeCell ref="AG681:AG698"/>
    <mergeCell ref="AF697:AF698"/>
    <mergeCell ref="AN720:AN723"/>
    <mergeCell ref="T720:T722"/>
    <mergeCell ref="AM717:AM718"/>
    <mergeCell ref="AC731:AC732"/>
    <mergeCell ref="AC733:AC734"/>
    <mergeCell ref="AN727:AN738"/>
    <mergeCell ref="AF735:AF738"/>
    <mergeCell ref="T699:T703"/>
    <mergeCell ref="AI724:AI726"/>
    <mergeCell ref="AI704:AI705"/>
    <mergeCell ref="X681:X698"/>
    <mergeCell ref="AK704:AK705"/>
    <mergeCell ref="W712:W713"/>
    <mergeCell ref="AF710:AF711"/>
    <mergeCell ref="AO681:AO698"/>
    <mergeCell ref="AO699:AO705"/>
    <mergeCell ref="AO710:AO711"/>
    <mergeCell ref="AO706:AO709"/>
    <mergeCell ref="V706:V709"/>
    <mergeCell ref="W706:W709"/>
    <mergeCell ref="X706:X709"/>
    <mergeCell ref="W681:W698"/>
    <mergeCell ref="U689:U696"/>
    <mergeCell ref="T681:T686"/>
    <mergeCell ref="U681:U686"/>
    <mergeCell ref="Y683:Y684"/>
    <mergeCell ref="AC729:AC730"/>
    <mergeCell ref="AK720:AK722"/>
    <mergeCell ref="AK717:AK718"/>
    <mergeCell ref="AL717:AL718"/>
    <mergeCell ref="AK714:AK716"/>
    <mergeCell ref="X714:X716"/>
    <mergeCell ref="AO720:AO723"/>
    <mergeCell ref="AI710:AI711"/>
    <mergeCell ref="X712:X713"/>
    <mergeCell ref="AJ699:AJ705"/>
    <mergeCell ref="AJ714:AJ716"/>
    <mergeCell ref="AE681:AE688"/>
    <mergeCell ref="AE689:AE696"/>
    <mergeCell ref="AK697:AK698"/>
    <mergeCell ref="AM681:AM696"/>
    <mergeCell ref="AL704:AL705"/>
    <mergeCell ref="V699:V703"/>
    <mergeCell ref="AN710:AN711"/>
    <mergeCell ref="AM710:AM711"/>
    <mergeCell ref="AL710:AL711"/>
    <mergeCell ref="AK710:AK711"/>
    <mergeCell ref="AL712:AL713"/>
    <mergeCell ref="AK712:AK713"/>
    <mergeCell ref="AJ712:AJ713"/>
    <mergeCell ref="AI712:AI713"/>
    <mergeCell ref="AJ710:AJ711"/>
    <mergeCell ref="AM706:AM709"/>
    <mergeCell ref="AN706:AN709"/>
    <mergeCell ref="AF706:AF709"/>
    <mergeCell ref="AG706:AG709"/>
    <mergeCell ref="AI706:AI709"/>
    <mergeCell ref="AJ706:AJ709"/>
    <mergeCell ref="AK706:AK709"/>
    <mergeCell ref="AL706:AL709"/>
    <mergeCell ref="S706:S709"/>
    <mergeCell ref="T706:T709"/>
    <mergeCell ref="U706:U709"/>
    <mergeCell ref="AM704:AM705"/>
    <mergeCell ref="AI681:AI686"/>
    <mergeCell ref="AI689:AI696"/>
    <mergeCell ref="AI697:AI698"/>
    <mergeCell ref="T697:T698"/>
    <mergeCell ref="U697:U698"/>
    <mergeCell ref="R681:R696"/>
    <mergeCell ref="R697:R698"/>
    <mergeCell ref="T689:T696"/>
    <mergeCell ref="O706:O709"/>
    <mergeCell ref="A549:A561"/>
    <mergeCell ref="B549:B561"/>
    <mergeCell ref="C549:C561"/>
    <mergeCell ref="D549:D561"/>
    <mergeCell ref="E549:E561"/>
    <mergeCell ref="F549:F561"/>
    <mergeCell ref="G549:G561"/>
    <mergeCell ref="H549:H561"/>
    <mergeCell ref="I549:I561"/>
    <mergeCell ref="K549:K561"/>
    <mergeCell ref="L549:L561"/>
    <mergeCell ref="M549:M554"/>
    <mergeCell ref="N549:N550"/>
    <mergeCell ref="O549:O550"/>
    <mergeCell ref="J672:J674"/>
    <mergeCell ref="K672:K674"/>
    <mergeCell ref="O669:O671"/>
    <mergeCell ref="M574:M575"/>
    <mergeCell ref="C570:C576"/>
    <mergeCell ref="I579:I584"/>
    <mergeCell ref="J579:J584"/>
    <mergeCell ref="K579:K584"/>
    <mergeCell ref="L579:L584"/>
    <mergeCell ref="N582:N584"/>
    <mergeCell ref="O579:O581"/>
    <mergeCell ref="M579:M581"/>
    <mergeCell ref="M582:M584"/>
    <mergeCell ref="N579:N581"/>
    <mergeCell ref="B579:B584"/>
    <mergeCell ref="C579:C584"/>
    <mergeCell ref="D579:D584"/>
    <mergeCell ref="E579:E584"/>
    <mergeCell ref="J669:J671"/>
    <mergeCell ref="K669:K671"/>
    <mergeCell ref="M669:M671"/>
    <mergeCell ref="N669:N671"/>
    <mergeCell ref="O612:O615"/>
    <mergeCell ref="A669:A671"/>
    <mergeCell ref="B669:B671"/>
    <mergeCell ref="C669:C671"/>
    <mergeCell ref="D669:D671"/>
    <mergeCell ref="A633:A635"/>
    <mergeCell ref="A562:A578"/>
    <mergeCell ref="A25:A28"/>
    <mergeCell ref="B25:B28"/>
    <mergeCell ref="C25:C28"/>
    <mergeCell ref="D25:D28"/>
    <mergeCell ref="A616:A618"/>
    <mergeCell ref="B616:B618"/>
    <mergeCell ref="C616:C618"/>
    <mergeCell ref="D616:D618"/>
    <mergeCell ref="E616:E618"/>
    <mergeCell ref="F616:F618"/>
    <mergeCell ref="A591:A596"/>
    <mergeCell ref="B591:B596"/>
    <mergeCell ref="C591:C596"/>
    <mergeCell ref="D591:D596"/>
    <mergeCell ref="AI331:AI333"/>
    <mergeCell ref="AG331:AG337"/>
    <mergeCell ref="AI290:AI291"/>
    <mergeCell ref="X289:X301"/>
    <mergeCell ref="AC281:AC282"/>
    <mergeCell ref="V259:V261"/>
    <mergeCell ref="V262:V263"/>
    <mergeCell ref="V264:V267"/>
    <mergeCell ref="V268:V270"/>
    <mergeCell ref="V271:V273"/>
    <mergeCell ref="V274:V277"/>
    <mergeCell ref="V278:V281"/>
    <mergeCell ref="V282:V284"/>
    <mergeCell ref="Y352:Y353"/>
    <mergeCell ref="V352:V353"/>
    <mergeCell ref="A302:A330"/>
    <mergeCell ref="B302:B330"/>
    <mergeCell ref="N287:N288"/>
    <mergeCell ref="O287:O288"/>
    <mergeCell ref="B331:B337"/>
    <mergeCell ref="O343:O345"/>
    <mergeCell ref="G338:G345"/>
    <mergeCell ref="H338:H345"/>
    <mergeCell ref="I338:I345"/>
    <mergeCell ref="J338:J345"/>
    <mergeCell ref="K338:K345"/>
    <mergeCell ref="J331:J336"/>
    <mergeCell ref="L331:L337"/>
    <mergeCell ref="M331:M336"/>
    <mergeCell ref="N331:N333"/>
    <mergeCell ref="O331:O333"/>
    <mergeCell ref="N334:N336"/>
    <mergeCell ref="O334:O336"/>
    <mergeCell ref="AC279:AC280"/>
    <mergeCell ref="E418:E421"/>
    <mergeCell ref="F418:F421"/>
    <mergeCell ref="G360:G361"/>
    <mergeCell ref="H360:H361"/>
    <mergeCell ref="I360:I361"/>
    <mergeCell ref="J360:J361"/>
    <mergeCell ref="K360:K361"/>
    <mergeCell ref="L360:L361"/>
    <mergeCell ref="C360:C361"/>
    <mergeCell ref="Y281:Y282"/>
    <mergeCell ref="Y269:Y270"/>
    <mergeCell ref="Y276:Y277"/>
    <mergeCell ref="Y283:Y284"/>
    <mergeCell ref="L302:L330"/>
    <mergeCell ref="T262:T263"/>
    <mergeCell ref="U296:U297"/>
    <mergeCell ref="A9:A13"/>
    <mergeCell ref="B9:B13"/>
    <mergeCell ref="C9:C13"/>
    <mergeCell ref="D9:D13"/>
    <mergeCell ref="E9:E13"/>
    <mergeCell ref="F9:F13"/>
    <mergeCell ref="A18:A21"/>
    <mergeCell ref="B18:B21"/>
    <mergeCell ref="C18:C21"/>
    <mergeCell ref="D18:D21"/>
    <mergeCell ref="E18:E21"/>
    <mergeCell ref="F18:F21"/>
    <mergeCell ref="Q18:Q21"/>
    <mergeCell ref="R18:R20"/>
    <mergeCell ref="S18:S20"/>
    <mergeCell ref="J18:J20"/>
    <mergeCell ref="K18:K21"/>
    <mergeCell ref="L18:L21"/>
    <mergeCell ref="M18:M20"/>
    <mergeCell ref="N18:N20"/>
    <mergeCell ref="O18:O20"/>
    <mergeCell ref="P18:P20"/>
    <mergeCell ref="T18:T20"/>
    <mergeCell ref="U18:U20"/>
    <mergeCell ref="V18:V20"/>
    <mergeCell ref="W18:W21"/>
    <mergeCell ref="X18:X21"/>
    <mergeCell ref="AF18:AF20"/>
    <mergeCell ref="AG18:AG21"/>
    <mergeCell ref="AH18:AH21"/>
    <mergeCell ref="AI18:AI21"/>
    <mergeCell ref="AJ18:AJ21"/>
    <mergeCell ref="AK18:AK21"/>
    <mergeCell ref="H7:H8"/>
    <mergeCell ref="J7:J8"/>
    <mergeCell ref="M7:M8"/>
    <mergeCell ref="N7:N8"/>
    <mergeCell ref="O7:O8"/>
    <mergeCell ref="P7:P8"/>
    <mergeCell ref="G9:G13"/>
    <mergeCell ref="H9:H13"/>
    <mergeCell ref="I9:I13"/>
    <mergeCell ref="AN1:AO1"/>
    <mergeCell ref="A3:A8"/>
    <mergeCell ref="B3:B8"/>
    <mergeCell ref="C3:C8"/>
    <mergeCell ref="D3:D8"/>
    <mergeCell ref="E3:E8"/>
    <mergeCell ref="F3:F8"/>
    <mergeCell ref="G3:G8"/>
    <mergeCell ref="H3:H6"/>
    <mergeCell ref="I3:I8"/>
    <mergeCell ref="A1:L1"/>
    <mergeCell ref="M1:R1"/>
    <mergeCell ref="S1:U1"/>
    <mergeCell ref="V1:X1"/>
    <mergeCell ref="Y1:AI1"/>
    <mergeCell ref="AJ1:AM1"/>
    <mergeCell ref="AL3:AL6"/>
    <mergeCell ref="AL7:AL8"/>
    <mergeCell ref="AM7:AM8"/>
    <mergeCell ref="AF3:AF6"/>
    <mergeCell ref="AG3:AG8"/>
    <mergeCell ref="AH3:AH6"/>
    <mergeCell ref="AI3:AI6"/>
    <mergeCell ref="AJ3:AJ8"/>
    <mergeCell ref="AK3:AK6"/>
    <mergeCell ref="AF7:AF8"/>
    <mergeCell ref="AH7:AH8"/>
    <mergeCell ref="AI7:AI8"/>
    <mergeCell ref="AK7:AK8"/>
    <mergeCell ref="P3:P6"/>
    <mergeCell ref="Q3:Q8"/>
    <mergeCell ref="R3:R6"/>
    <mergeCell ref="V7:V8"/>
    <mergeCell ref="AM3:AM6"/>
    <mergeCell ref="AN3:AN8"/>
    <mergeCell ref="AO3:AO8"/>
    <mergeCell ref="AO9:AO13"/>
    <mergeCell ref="J12:J13"/>
    <mergeCell ref="M12:M13"/>
    <mergeCell ref="N12:N13"/>
    <mergeCell ref="O12:O13"/>
    <mergeCell ref="P12:P13"/>
    <mergeCell ref="R12:R13"/>
    <mergeCell ref="V12:V13"/>
    <mergeCell ref="AI9:AI11"/>
    <mergeCell ref="AJ9:AJ13"/>
    <mergeCell ref="AK9:AK11"/>
    <mergeCell ref="AL9:AL11"/>
    <mergeCell ref="AM9:AM11"/>
    <mergeCell ref="AN9:AN13"/>
    <mergeCell ref="AI12:AI13"/>
    <mergeCell ref="AK12:AK13"/>
    <mergeCell ref="AL12:AL13"/>
    <mergeCell ref="AM12:AM13"/>
    <mergeCell ref="J3:J6"/>
    <mergeCell ref="K3:K8"/>
    <mergeCell ref="L3:L8"/>
    <mergeCell ref="M3:M6"/>
    <mergeCell ref="N3:N6"/>
    <mergeCell ref="O3:O6"/>
    <mergeCell ref="V9:V11"/>
    <mergeCell ref="W9:W13"/>
    <mergeCell ref="X9:X13"/>
    <mergeCell ref="AF9:AF11"/>
    <mergeCell ref="AG9:AG13"/>
    <mergeCell ref="AH9:AH11"/>
    <mergeCell ref="AF12:AF13"/>
    <mergeCell ref="AH12:AH13"/>
    <mergeCell ref="M9:M11"/>
    <mergeCell ref="N9:N11"/>
    <mergeCell ref="O9:O11"/>
    <mergeCell ref="P9:P11"/>
    <mergeCell ref="Q9:Q13"/>
    <mergeCell ref="R9:R11"/>
    <mergeCell ref="J9:J11"/>
    <mergeCell ref="K9:K13"/>
    <mergeCell ref="L9:L13"/>
    <mergeCell ref="V3:V6"/>
    <mergeCell ref="W3:W8"/>
    <mergeCell ref="X3:X8"/>
    <mergeCell ref="R7:R8"/>
    <mergeCell ref="AO14:AO16"/>
    <mergeCell ref="A22:A24"/>
    <mergeCell ref="B22:B24"/>
    <mergeCell ref="C22:C24"/>
    <mergeCell ref="D22:D24"/>
    <mergeCell ref="E22:E24"/>
    <mergeCell ref="F22:F24"/>
    <mergeCell ref="G22:G24"/>
    <mergeCell ref="AI14:AI15"/>
    <mergeCell ref="AJ14:AJ16"/>
    <mergeCell ref="AK14:AK15"/>
    <mergeCell ref="AL14:AL15"/>
    <mergeCell ref="AM14:AM15"/>
    <mergeCell ref="AN14:AN16"/>
    <mergeCell ref="V14:V15"/>
    <mergeCell ref="W14:W16"/>
    <mergeCell ref="X14:X16"/>
    <mergeCell ref="AF14:AF15"/>
    <mergeCell ref="AG14:AG16"/>
    <mergeCell ref="AH14:AH15"/>
    <mergeCell ref="M14:M15"/>
    <mergeCell ref="N14:N15"/>
    <mergeCell ref="O14:O15"/>
    <mergeCell ref="P14:P15"/>
    <mergeCell ref="Q14:Q16"/>
    <mergeCell ref="R14:R15"/>
    <mergeCell ref="G14:G16"/>
    <mergeCell ref="H14:H15"/>
    <mergeCell ref="I14:I16"/>
    <mergeCell ref="J14:J15"/>
    <mergeCell ref="K14:K16"/>
    <mergeCell ref="L14:L16"/>
    <mergeCell ref="A14:A16"/>
    <mergeCell ref="B14:B16"/>
    <mergeCell ref="C14:C16"/>
    <mergeCell ref="D14:D16"/>
    <mergeCell ref="E14:E16"/>
    <mergeCell ref="F14:F16"/>
    <mergeCell ref="E25:E28"/>
    <mergeCell ref="F25:F28"/>
    <mergeCell ref="G25:G28"/>
    <mergeCell ref="H25:H28"/>
    <mergeCell ref="AJ22:AJ24"/>
    <mergeCell ref="AK22:AK23"/>
    <mergeCell ref="AL22:AL23"/>
    <mergeCell ref="AM22:AM23"/>
    <mergeCell ref="AN22:AN24"/>
    <mergeCell ref="AO22:AO24"/>
    <mergeCell ref="W22:W24"/>
    <mergeCell ref="X22:X24"/>
    <mergeCell ref="AF22:AF23"/>
    <mergeCell ref="AG22:AG24"/>
    <mergeCell ref="AH22:AH23"/>
    <mergeCell ref="AI22:AI23"/>
    <mergeCell ref="N22:N23"/>
    <mergeCell ref="O22:O23"/>
    <mergeCell ref="P22:P23"/>
    <mergeCell ref="Q22:Q24"/>
    <mergeCell ref="R22:R23"/>
    <mergeCell ref="V22:V23"/>
    <mergeCell ref="H22:H23"/>
    <mergeCell ref="I22:I24"/>
    <mergeCell ref="J22:J23"/>
    <mergeCell ref="K22:K24"/>
    <mergeCell ref="L22:L24"/>
    <mergeCell ref="M22:M23"/>
    <mergeCell ref="AM45:AM48"/>
    <mergeCell ref="AN45:AN48"/>
    <mergeCell ref="AO45:AO48"/>
    <mergeCell ref="E29:E32"/>
    <mergeCell ref="F29:F32"/>
    <mergeCell ref="G29:G32"/>
    <mergeCell ref="G37:G42"/>
    <mergeCell ref="H37:H42"/>
    <mergeCell ref="I37:I42"/>
    <mergeCell ref="J41:J42"/>
    <mergeCell ref="J37:J40"/>
    <mergeCell ref="K37:K42"/>
    <mergeCell ref="AK25:AK27"/>
    <mergeCell ref="AL25:AL27"/>
    <mergeCell ref="AM25:AM27"/>
    <mergeCell ref="AN25:AN28"/>
    <mergeCell ref="AO25:AO28"/>
    <mergeCell ref="X25:X28"/>
    <mergeCell ref="AF25:AF27"/>
    <mergeCell ref="AG25:AG28"/>
    <mergeCell ref="AH25:AH27"/>
    <mergeCell ref="AI25:AI27"/>
    <mergeCell ref="AJ25:AJ28"/>
    <mergeCell ref="O25:O27"/>
    <mergeCell ref="P25:P27"/>
    <mergeCell ref="Q25:Q28"/>
    <mergeCell ref="R25:R27"/>
    <mergeCell ref="V25:V27"/>
    <mergeCell ref="W25:W28"/>
    <mergeCell ref="I25:I28"/>
    <mergeCell ref="J25:J27"/>
    <mergeCell ref="K25:K28"/>
    <mergeCell ref="L25:L28"/>
    <mergeCell ref="M25:M27"/>
    <mergeCell ref="N25:N27"/>
    <mergeCell ref="AJ37:AJ40"/>
    <mergeCell ref="A37:A42"/>
    <mergeCell ref="B37:B42"/>
    <mergeCell ref="C37:C42"/>
    <mergeCell ref="D37:D42"/>
    <mergeCell ref="E37:E42"/>
    <mergeCell ref="F37:F42"/>
    <mergeCell ref="H33:H36"/>
    <mergeCell ref="I33:I36"/>
    <mergeCell ref="J33:J36"/>
    <mergeCell ref="G33:G36"/>
    <mergeCell ref="H29:H32"/>
    <mergeCell ref="K33:K36"/>
    <mergeCell ref="L29:L32"/>
    <mergeCell ref="M33:M36"/>
    <mergeCell ref="L33:L36"/>
    <mergeCell ref="I29:I32"/>
    <mergeCell ref="J29:J32"/>
    <mergeCell ref="K29:K32"/>
    <mergeCell ref="M37:M40"/>
    <mergeCell ref="M41:M42"/>
    <mergeCell ref="AF45:AF48"/>
    <mergeCell ref="AG45:AG48"/>
    <mergeCell ref="AH45:AH48"/>
    <mergeCell ref="AI45:AI48"/>
    <mergeCell ref="AJ45:AJ48"/>
    <mergeCell ref="AK45:AK48"/>
    <mergeCell ref="P45:P48"/>
    <mergeCell ref="Q45:Q48"/>
    <mergeCell ref="R45:R48"/>
    <mergeCell ref="V45:V48"/>
    <mergeCell ref="W45:W48"/>
    <mergeCell ref="X45:X48"/>
    <mergeCell ref="J45:J48"/>
    <mergeCell ref="K45:K48"/>
    <mergeCell ref="L45:L48"/>
    <mergeCell ref="M45:M48"/>
    <mergeCell ref="N45:N48"/>
    <mergeCell ref="O45:O48"/>
    <mergeCell ref="A45:A48"/>
    <mergeCell ref="B45:B48"/>
    <mergeCell ref="C45:C48"/>
    <mergeCell ref="D45:D48"/>
    <mergeCell ref="E45:E48"/>
    <mergeCell ref="F45:F48"/>
    <mergeCell ref="G45:G48"/>
    <mergeCell ref="H45:H48"/>
    <mergeCell ref="I45:I48"/>
    <mergeCell ref="X29:X32"/>
    <mergeCell ref="W29:W32"/>
    <mergeCell ref="V29:V32"/>
    <mergeCell ref="AI29:AI32"/>
    <mergeCell ref="A29:A32"/>
    <mergeCell ref="B29:B32"/>
    <mergeCell ref="C29:C32"/>
    <mergeCell ref="D29:D32"/>
    <mergeCell ref="W33:W36"/>
    <mergeCell ref="X33:X36"/>
    <mergeCell ref="Q37:Q42"/>
    <mergeCell ref="N37:N40"/>
    <mergeCell ref="O37:O40"/>
    <mergeCell ref="N41:N42"/>
    <mergeCell ref="A33:A36"/>
    <mergeCell ref="B33:B36"/>
    <mergeCell ref="C33:C36"/>
    <mergeCell ref="AO49:AO52"/>
    <mergeCell ref="A53:A54"/>
    <mergeCell ref="B53:B54"/>
    <mergeCell ref="C53:C54"/>
    <mergeCell ref="D53:D54"/>
    <mergeCell ref="E53:E54"/>
    <mergeCell ref="F53:F54"/>
    <mergeCell ref="G53:G54"/>
    <mergeCell ref="AI49:AI50"/>
    <mergeCell ref="AJ49:AJ52"/>
    <mergeCell ref="AK49:AK50"/>
    <mergeCell ref="AL49:AL50"/>
    <mergeCell ref="AM49:AM50"/>
    <mergeCell ref="AN49:AN52"/>
    <mergeCell ref="V49:V50"/>
    <mergeCell ref="W49:W52"/>
    <mergeCell ref="X49:X52"/>
    <mergeCell ref="AF49:AF50"/>
    <mergeCell ref="O49:O50"/>
    <mergeCell ref="P49:P50"/>
    <mergeCell ref="Q49:Q52"/>
    <mergeCell ref="R49:R50"/>
    <mergeCell ref="G49:G52"/>
    <mergeCell ref="H49:H52"/>
    <mergeCell ref="I49:I52"/>
    <mergeCell ref="J49:J50"/>
    <mergeCell ref="K49:K52"/>
    <mergeCell ref="L49:L52"/>
    <mergeCell ref="A49:A52"/>
    <mergeCell ref="B49:B52"/>
    <mergeCell ref="C49:C52"/>
    <mergeCell ref="D49:D52"/>
    <mergeCell ref="E49:E52"/>
    <mergeCell ref="F49:F52"/>
    <mergeCell ref="AM53:AM54"/>
    <mergeCell ref="AN53:AN54"/>
    <mergeCell ref="AO53:AO54"/>
    <mergeCell ref="W53:W54"/>
    <mergeCell ref="X53:X54"/>
    <mergeCell ref="AF53:AF54"/>
    <mergeCell ref="AG53:AG54"/>
    <mergeCell ref="AH53:AH54"/>
    <mergeCell ref="AI53:AI54"/>
    <mergeCell ref="N53:N54"/>
    <mergeCell ref="O53:O54"/>
    <mergeCell ref="P53:P54"/>
    <mergeCell ref="Q53:Q54"/>
    <mergeCell ref="R53:R54"/>
    <mergeCell ref="V53:V54"/>
    <mergeCell ref="H53:H54"/>
    <mergeCell ref="I53:I54"/>
    <mergeCell ref="J53:J54"/>
    <mergeCell ref="K53:K54"/>
    <mergeCell ref="L53:L54"/>
    <mergeCell ref="M53:M54"/>
    <mergeCell ref="AM71:AM72"/>
    <mergeCell ref="AN71:AN72"/>
    <mergeCell ref="AO71:AO72"/>
    <mergeCell ref="S62:S64"/>
    <mergeCell ref="X65:X68"/>
    <mergeCell ref="M65:M67"/>
    <mergeCell ref="W65:W68"/>
    <mergeCell ref="AI69:AI70"/>
    <mergeCell ref="AF69:AF70"/>
    <mergeCell ref="AG69:AG70"/>
    <mergeCell ref="AH69:AH70"/>
    <mergeCell ref="W69:W70"/>
    <mergeCell ref="X69:X70"/>
    <mergeCell ref="R65:R67"/>
    <mergeCell ref="S65:S67"/>
    <mergeCell ref="T65:T67"/>
    <mergeCell ref="J65:J67"/>
    <mergeCell ref="I65:I68"/>
    <mergeCell ref="L65:L68"/>
    <mergeCell ref="Q65:Q68"/>
    <mergeCell ref="N65:N67"/>
    <mergeCell ref="O65:O67"/>
    <mergeCell ref="P65:P67"/>
    <mergeCell ref="AI55:AI57"/>
    <mergeCell ref="AJ55:AJ57"/>
    <mergeCell ref="O55:O57"/>
    <mergeCell ref="P55:P57"/>
    <mergeCell ref="Q55:Q57"/>
    <mergeCell ref="R55:R57"/>
    <mergeCell ref="V55:V57"/>
    <mergeCell ref="W55:W57"/>
    <mergeCell ref="I55:I57"/>
    <mergeCell ref="J55:J57"/>
    <mergeCell ref="K55:K57"/>
    <mergeCell ref="L55:L57"/>
    <mergeCell ref="M55:M57"/>
    <mergeCell ref="N55:N57"/>
    <mergeCell ref="T69:T70"/>
    <mergeCell ref="I69:I70"/>
    <mergeCell ref="J69:J70"/>
    <mergeCell ref="K69:K70"/>
    <mergeCell ref="J58:J61"/>
    <mergeCell ref="M58:M61"/>
    <mergeCell ref="O58:O61"/>
    <mergeCell ref="P58:P61"/>
    <mergeCell ref="AK58:AK61"/>
    <mergeCell ref="AL58:AL61"/>
    <mergeCell ref="A95:A106"/>
    <mergeCell ref="B95:B106"/>
    <mergeCell ref="C95:C99"/>
    <mergeCell ref="D95:D106"/>
    <mergeCell ref="E95:E106"/>
    <mergeCell ref="F95:F106"/>
    <mergeCell ref="G95:G106"/>
    <mergeCell ref="AI81:AI82"/>
    <mergeCell ref="AJ81:AJ82"/>
    <mergeCell ref="AK81:AK82"/>
    <mergeCell ref="AL81:AL82"/>
    <mergeCell ref="AM81:AM82"/>
    <mergeCell ref="AN81:AN82"/>
    <mergeCell ref="V81:V82"/>
    <mergeCell ref="W81:W82"/>
    <mergeCell ref="X81:X82"/>
    <mergeCell ref="O95:O97"/>
    <mergeCell ref="P95:P99"/>
    <mergeCell ref="Q95:Q106"/>
    <mergeCell ref="R95:R99"/>
    <mergeCell ref="V95:V97"/>
    <mergeCell ref="N98:N99"/>
    <mergeCell ref="O98:O99"/>
    <mergeCell ref="V98:V99"/>
    <mergeCell ref="V100:V104"/>
    <mergeCell ref="H95:H106"/>
    <mergeCell ref="I95:I106"/>
    <mergeCell ref="J95:J104"/>
    <mergeCell ref="A81:A82"/>
    <mergeCell ref="B81:B82"/>
    <mergeCell ref="C81:C82"/>
    <mergeCell ref="D81:D82"/>
    <mergeCell ref="E81:E82"/>
    <mergeCell ref="F81:F82"/>
    <mergeCell ref="K81:K82"/>
    <mergeCell ref="L81:L82"/>
    <mergeCell ref="AJ95:AJ106"/>
    <mergeCell ref="AK95:AK97"/>
    <mergeCell ref="AL95:AL99"/>
    <mergeCell ref="AM95:AM97"/>
    <mergeCell ref="AN95:AN106"/>
    <mergeCell ref="J105:J106"/>
    <mergeCell ref="M105:M106"/>
    <mergeCell ref="Y83:Y84"/>
    <mergeCell ref="A83:A94"/>
    <mergeCell ref="B83:B94"/>
    <mergeCell ref="D83:D94"/>
    <mergeCell ref="E83:E94"/>
    <mergeCell ref="F83:F94"/>
    <mergeCell ref="G83:G94"/>
    <mergeCell ref="H83:H94"/>
    <mergeCell ref="P87:P90"/>
    <mergeCell ref="AL87:AL90"/>
    <mergeCell ref="AM87:AM90"/>
    <mergeCell ref="L76:L80"/>
    <mergeCell ref="AF81:AF82"/>
    <mergeCell ref="AC85:AC86"/>
    <mergeCell ref="AG81:AG82"/>
    <mergeCell ref="AH81:AH82"/>
    <mergeCell ref="M81:M82"/>
    <mergeCell ref="N81:N82"/>
    <mergeCell ref="O81:O82"/>
    <mergeCell ref="P81:P82"/>
    <mergeCell ref="Q81:Q82"/>
    <mergeCell ref="R81:R82"/>
    <mergeCell ref="AE91:AE92"/>
    <mergeCell ref="AC83:AC84"/>
    <mergeCell ref="V83:V85"/>
    <mergeCell ref="Q83:Q94"/>
    <mergeCell ref="M83:M86"/>
    <mergeCell ref="A55:A57"/>
    <mergeCell ref="B55:B57"/>
    <mergeCell ref="C55:C57"/>
    <mergeCell ref="D55:D57"/>
    <mergeCell ref="E55:E57"/>
    <mergeCell ref="F55:F57"/>
    <mergeCell ref="G55:G57"/>
    <mergeCell ref="H55:H57"/>
    <mergeCell ref="AJ53:AJ54"/>
    <mergeCell ref="AK53:AK54"/>
    <mergeCell ref="AL53:AL54"/>
    <mergeCell ref="A69:A70"/>
    <mergeCell ref="B69:B70"/>
    <mergeCell ref="C69:C70"/>
    <mergeCell ref="D69:D70"/>
    <mergeCell ref="E69:E70"/>
    <mergeCell ref="F69:F70"/>
    <mergeCell ref="G76:G80"/>
    <mergeCell ref="H76:H80"/>
    <mergeCell ref="L69:L70"/>
    <mergeCell ref="M69:M70"/>
    <mergeCell ref="P69:P70"/>
    <mergeCell ref="Q69:Q70"/>
    <mergeCell ref="I76:I80"/>
    <mergeCell ref="A76:A80"/>
    <mergeCell ref="B76:B80"/>
    <mergeCell ref="C76:C80"/>
    <mergeCell ref="D76:D80"/>
    <mergeCell ref="E76:E80"/>
    <mergeCell ref="F76:F80"/>
    <mergeCell ref="AL71:AL72"/>
    <mergeCell ref="X58:X64"/>
    <mergeCell ref="Q58:Q64"/>
    <mergeCell ref="G81:G82"/>
    <mergeCell ref="H81:H82"/>
    <mergeCell ref="I81:I82"/>
    <mergeCell ref="J81:J82"/>
    <mergeCell ref="A71:A73"/>
    <mergeCell ref="M71:M73"/>
    <mergeCell ref="J71:J72"/>
    <mergeCell ref="K71:K72"/>
    <mergeCell ref="L71:L72"/>
    <mergeCell ref="B71:B72"/>
    <mergeCell ref="C71:C72"/>
    <mergeCell ref="D71:D72"/>
    <mergeCell ref="E71:E72"/>
    <mergeCell ref="F71:F72"/>
    <mergeCell ref="G71:G72"/>
    <mergeCell ref="AO76:AO80"/>
    <mergeCell ref="J79:J80"/>
    <mergeCell ref="M79:M80"/>
    <mergeCell ref="N79:N80"/>
    <mergeCell ref="O79:O80"/>
    <mergeCell ref="P79:P80"/>
    <mergeCell ref="R79:R80"/>
    <mergeCell ref="V79:V80"/>
    <mergeCell ref="AI76:AI80"/>
    <mergeCell ref="AJ76:AJ80"/>
    <mergeCell ref="AK76:AK78"/>
    <mergeCell ref="AL76:AL78"/>
    <mergeCell ref="AM76:AM78"/>
    <mergeCell ref="AN76:AN80"/>
    <mergeCell ref="AK79:AK80"/>
    <mergeCell ref="AL79:AL80"/>
    <mergeCell ref="AM79:AM80"/>
    <mergeCell ref="X76:X80"/>
    <mergeCell ref="AF76:AF78"/>
    <mergeCell ref="AG76:AG80"/>
    <mergeCell ref="AH76:AH80"/>
    <mergeCell ref="AF79:AF80"/>
    <mergeCell ref="M76:M78"/>
    <mergeCell ref="N76:N78"/>
    <mergeCell ref="O76:O78"/>
    <mergeCell ref="P76:P78"/>
    <mergeCell ref="Q76:Q80"/>
    <mergeCell ref="R76:R78"/>
    <mergeCell ref="J76:J78"/>
    <mergeCell ref="K76:K80"/>
    <mergeCell ref="V76:V78"/>
    <mergeCell ref="W76:W80"/>
    <mergeCell ref="B107:B114"/>
    <mergeCell ref="C107:C114"/>
    <mergeCell ref="D107:D114"/>
    <mergeCell ref="E107:E114"/>
    <mergeCell ref="V105:V106"/>
    <mergeCell ref="Y105:Y106"/>
    <mergeCell ref="Z105:Z106"/>
    <mergeCell ref="AA105:AA106"/>
    <mergeCell ref="AB105:AB106"/>
    <mergeCell ref="AF105:AF106"/>
    <mergeCell ref="K95:K106"/>
    <mergeCell ref="L95:L106"/>
    <mergeCell ref="M95:M99"/>
    <mergeCell ref="AB111:AB112"/>
    <mergeCell ref="AC111:AC112"/>
    <mergeCell ref="AA113:AA114"/>
    <mergeCell ref="R107:R114"/>
    <mergeCell ref="V107:V114"/>
    <mergeCell ref="W107:W114"/>
    <mergeCell ref="X107:X114"/>
    <mergeCell ref="N103:N104"/>
    <mergeCell ref="O103:O104"/>
    <mergeCell ref="C100:C106"/>
    <mergeCell ref="M100:M104"/>
    <mergeCell ref="Y96:Y99"/>
    <mergeCell ref="Z96:Z99"/>
    <mergeCell ref="AA96:AA99"/>
    <mergeCell ref="AB96:AB99"/>
    <mergeCell ref="AI98:AI99"/>
    <mergeCell ref="AK98:AK99"/>
    <mergeCell ref="AM98:AM99"/>
    <mergeCell ref="AF100:AF104"/>
    <mergeCell ref="AO95:AO106"/>
    <mergeCell ref="AK100:AK104"/>
    <mergeCell ref="AL100:AL104"/>
    <mergeCell ref="AM100:AM104"/>
    <mergeCell ref="AF95:AF99"/>
    <mergeCell ref="AH105:AH106"/>
    <mergeCell ref="AI105:AI106"/>
    <mergeCell ref="AI95:AI97"/>
    <mergeCell ref="AI100:AI102"/>
    <mergeCell ref="AI103:AI104"/>
    <mergeCell ref="AH95:AH99"/>
    <mergeCell ref="AH100:AH104"/>
    <mergeCell ref="N100:N102"/>
    <mergeCell ref="O100:O102"/>
    <mergeCell ref="P100:P104"/>
    <mergeCell ref="R100:R104"/>
    <mergeCell ref="N107:N110"/>
    <mergeCell ref="O107:O110"/>
    <mergeCell ref="P107:P114"/>
    <mergeCell ref="Q107:Q114"/>
    <mergeCell ref="N111:N114"/>
    <mergeCell ref="O111:O114"/>
    <mergeCell ref="AG107:AG114"/>
    <mergeCell ref="Y107:Y108"/>
    <mergeCell ref="Z107:Z108"/>
    <mergeCell ref="Y113:Y114"/>
    <mergeCell ref="V127:V129"/>
    <mergeCell ref="T135:T137"/>
    <mergeCell ref="U135:U137"/>
    <mergeCell ref="V135:V137"/>
    <mergeCell ref="AI131:AI133"/>
    <mergeCell ref="X120:X142"/>
    <mergeCell ref="AL115:AL116"/>
    <mergeCell ref="AM115:AM116"/>
    <mergeCell ref="Z113:Z114"/>
    <mergeCell ref="AB113:AB114"/>
    <mergeCell ref="AC113:AC114"/>
    <mergeCell ref="AG95:AG106"/>
    <mergeCell ref="Y101:Y104"/>
    <mergeCell ref="Z101:Z104"/>
    <mergeCell ref="AA101:AA104"/>
    <mergeCell ref="AB101:AB104"/>
    <mergeCell ref="R105:R106"/>
    <mergeCell ref="W95:W106"/>
    <mergeCell ref="X95:X106"/>
    <mergeCell ref="N95:N97"/>
    <mergeCell ref="AK105:AK106"/>
    <mergeCell ref="AL105:AL106"/>
    <mergeCell ref="AM105:AM106"/>
    <mergeCell ref="N105:N106"/>
    <mergeCell ref="O105:O106"/>
    <mergeCell ref="P105:P106"/>
    <mergeCell ref="Y109:Y110"/>
    <mergeCell ref="Z109:Z110"/>
    <mergeCell ref="AA109:AA110"/>
    <mergeCell ref="AB109:AB110"/>
    <mergeCell ref="AC109:AC110"/>
    <mergeCell ref="Y111:Y112"/>
    <mergeCell ref="Z111:Z112"/>
    <mergeCell ref="AI107:AI110"/>
    <mergeCell ref="AJ107:AJ114"/>
    <mergeCell ref="AK107:AK114"/>
    <mergeCell ref="AL107:AL114"/>
    <mergeCell ref="AM107:AM114"/>
    <mergeCell ref="AO107:AO114"/>
    <mergeCell ref="O115:O116"/>
    <mergeCell ref="P115:P118"/>
    <mergeCell ref="Q115:Q119"/>
    <mergeCell ref="D115:D119"/>
    <mergeCell ref="E115:E119"/>
    <mergeCell ref="F115:F119"/>
    <mergeCell ref="G115:G119"/>
    <mergeCell ref="O151:O154"/>
    <mergeCell ref="N155:N158"/>
    <mergeCell ref="O155:O158"/>
    <mergeCell ref="P151:P158"/>
    <mergeCell ref="S151:S158"/>
    <mergeCell ref="T143:T146"/>
    <mergeCell ref="T147:T150"/>
    <mergeCell ref="U143:U146"/>
    <mergeCell ref="V151:V154"/>
    <mergeCell ref="AO165:AO174"/>
    <mergeCell ref="AB165:AB166"/>
    <mergeCell ref="AC165:AC166"/>
    <mergeCell ref="AF165:AF172"/>
    <mergeCell ref="AG165:AG174"/>
    <mergeCell ref="AH165:AH172"/>
    <mergeCell ref="AI165:AI168"/>
    <mergeCell ref="AB169:AB170"/>
    <mergeCell ref="AC169:AC170"/>
    <mergeCell ref="AI169:AI172"/>
    <mergeCell ref="Y171:Y172"/>
    <mergeCell ref="Z171:Z172"/>
    <mergeCell ref="AA171:AA172"/>
    <mergeCell ref="AA165:AA166"/>
    <mergeCell ref="AO160:AO164"/>
    <mergeCell ref="F107:F114"/>
    <mergeCell ref="G107:G114"/>
    <mergeCell ref="J107:J114"/>
    <mergeCell ref="K107:K114"/>
    <mergeCell ref="AE127:AE129"/>
    <mergeCell ref="AE131:AE133"/>
    <mergeCell ref="AE135:AE137"/>
    <mergeCell ref="AE139:AE141"/>
    <mergeCell ref="AE160:AE161"/>
    <mergeCell ref="AE162:AE163"/>
    <mergeCell ref="AE165:AE168"/>
    <mergeCell ref="AO143:AO159"/>
    <mergeCell ref="AN143:AN159"/>
    <mergeCell ref="I115:I119"/>
    <mergeCell ref="J115:J118"/>
    <mergeCell ref="K115:K119"/>
    <mergeCell ref="L115:L119"/>
    <mergeCell ref="AF120:AF123"/>
    <mergeCell ref="V120:V122"/>
    <mergeCell ref="W120:W142"/>
    <mergeCell ref="O147:O150"/>
    <mergeCell ref="M151:M158"/>
    <mergeCell ref="J120:J142"/>
    <mergeCell ref="AM120:AM123"/>
    <mergeCell ref="AF143:AF150"/>
    <mergeCell ref="G165:G174"/>
    <mergeCell ref="H165:H174"/>
    <mergeCell ref="I165:I174"/>
    <mergeCell ref="J165:J172"/>
    <mergeCell ref="AN115:AN119"/>
    <mergeCell ref="AO115:AO119"/>
    <mergeCell ref="Y149:Y150"/>
    <mergeCell ref="AK162:AK163"/>
    <mergeCell ref="AL162:AL163"/>
    <mergeCell ref="AE143:AE146"/>
    <mergeCell ref="AE147:AE150"/>
    <mergeCell ref="AE151:AE154"/>
    <mergeCell ref="AE155:AE158"/>
    <mergeCell ref="AF151:AF158"/>
    <mergeCell ref="O143:O146"/>
    <mergeCell ref="N147:N150"/>
    <mergeCell ref="AK143:AK150"/>
    <mergeCell ref="AH191:AH198"/>
    <mergeCell ref="AI191:AI198"/>
    <mergeCell ref="AJ191:AJ198"/>
    <mergeCell ref="AL183:AL190"/>
    <mergeCell ref="AI143:AI146"/>
    <mergeCell ref="AI151:AI154"/>
    <mergeCell ref="M208:M211"/>
    <mergeCell ref="M212:M215"/>
    <mergeCell ref="M216:M219"/>
    <mergeCell ref="M220:M223"/>
    <mergeCell ref="AM162:AM163"/>
    <mergeCell ref="AA160:AA161"/>
    <mergeCell ref="AB160:AB161"/>
    <mergeCell ref="AC160:AC161"/>
    <mergeCell ref="AF160:AF163"/>
    <mergeCell ref="AN107:AN114"/>
    <mergeCell ref="AI111:AI114"/>
    <mergeCell ref="AA107:AA108"/>
    <mergeCell ref="AB107:AB108"/>
    <mergeCell ref="AC107:AC108"/>
    <mergeCell ref="AF107:AF114"/>
    <mergeCell ref="AH107:AH114"/>
    <mergeCell ref="AA111:AA112"/>
    <mergeCell ref="AI175:AI182"/>
    <mergeCell ref="AH183:AH190"/>
    <mergeCell ref="V162:V163"/>
    <mergeCell ref="Y162:Y163"/>
    <mergeCell ref="Z162:Z163"/>
    <mergeCell ref="AA162:AA163"/>
    <mergeCell ref="AB162:AB163"/>
    <mergeCell ref="AI160:AI161"/>
    <mergeCell ref="AJ160:AJ164"/>
    <mergeCell ref="AK160:AK161"/>
    <mergeCell ref="AL160:AL161"/>
    <mergeCell ref="AM160:AM161"/>
    <mergeCell ref="AN160:AN164"/>
    <mergeCell ref="AK208:AK211"/>
    <mergeCell ref="AL216:AL219"/>
    <mergeCell ref="AK216:AK219"/>
    <mergeCell ref="AJ216:AJ219"/>
    <mergeCell ref="AJ220:AJ223"/>
    <mergeCell ref="AI220:AI221"/>
    <mergeCell ref="Y221:Y222"/>
    <mergeCell ref="O175:O178"/>
    <mergeCell ref="N179:N182"/>
    <mergeCell ref="O179:O182"/>
    <mergeCell ref="V175:V178"/>
    <mergeCell ref="V179:V182"/>
    <mergeCell ref="AJ203:AJ204"/>
    <mergeCell ref="AK203:AK204"/>
    <mergeCell ref="AL203:AL204"/>
    <mergeCell ref="AE169:AE172"/>
    <mergeCell ref="AE175:AE178"/>
    <mergeCell ref="AK165:AK172"/>
    <mergeCell ref="A160:A164"/>
    <mergeCell ref="B160:B164"/>
    <mergeCell ref="C160:C164"/>
    <mergeCell ref="D160:D164"/>
    <mergeCell ref="C203:C204"/>
    <mergeCell ref="M203:M204"/>
    <mergeCell ref="P203:P204"/>
    <mergeCell ref="R203:R204"/>
    <mergeCell ref="S203:S204"/>
    <mergeCell ref="X201:X207"/>
    <mergeCell ref="W165:W174"/>
    <mergeCell ref="X165:X174"/>
    <mergeCell ref="Y165:Y166"/>
    <mergeCell ref="C271:C277"/>
    <mergeCell ref="C278:C284"/>
    <mergeCell ref="D259:D288"/>
    <mergeCell ref="E259:E288"/>
    <mergeCell ref="F259:F288"/>
    <mergeCell ref="J285:J286"/>
    <mergeCell ref="AK285:AK286"/>
    <mergeCell ref="AL285:AL286"/>
    <mergeCell ref="AC272:AC273"/>
    <mergeCell ref="AC274:AC275"/>
    <mergeCell ref="AC267:AC268"/>
    <mergeCell ref="AC265:AC266"/>
    <mergeCell ref="AC260:AC261"/>
    <mergeCell ref="AC262:AC263"/>
    <mergeCell ref="S264:S270"/>
    <mergeCell ref="R259:R263"/>
    <mergeCell ref="S259:S263"/>
    <mergeCell ref="AJ243:AJ245"/>
    <mergeCell ref="AK243:AK245"/>
    <mergeCell ref="AJ240:AJ242"/>
    <mergeCell ref="O210:O211"/>
    <mergeCell ref="O214:O215"/>
    <mergeCell ref="N214:N215"/>
    <mergeCell ref="AE179:AE182"/>
    <mergeCell ref="AE183:AE186"/>
    <mergeCell ref="AE187:AE190"/>
    <mergeCell ref="AE191:AE194"/>
    <mergeCell ref="AE195:AE198"/>
    <mergeCell ref="C205:C206"/>
    <mergeCell ref="AK191:AK198"/>
    <mergeCell ref="D165:D174"/>
    <mergeCell ref="E165:E174"/>
    <mergeCell ref="F165:F174"/>
    <mergeCell ref="N222:N223"/>
    <mergeCell ref="R208:R211"/>
    <mergeCell ref="R212:R215"/>
    <mergeCell ref="R216:R219"/>
    <mergeCell ref="AC221:AC222"/>
    <mergeCell ref="Y189:Y190"/>
    <mergeCell ref="Y183:Y184"/>
    <mergeCell ref="Z183:Z184"/>
    <mergeCell ref="AA183:AA184"/>
    <mergeCell ref="AB183:AB184"/>
    <mergeCell ref="AC191:AC192"/>
    <mergeCell ref="AC183:AC184"/>
    <mergeCell ref="S205:S206"/>
    <mergeCell ref="AF205:AF206"/>
    <mergeCell ref="AF203:AF204"/>
    <mergeCell ref="M201:M202"/>
    <mergeCell ref="P201:P202"/>
    <mergeCell ref="Q201:Q207"/>
    <mergeCell ref="X259:X288"/>
    <mergeCell ref="M259:M263"/>
    <mergeCell ref="P259:P263"/>
    <mergeCell ref="N259:N261"/>
    <mergeCell ref="N262:N263"/>
    <mergeCell ref="O262:O263"/>
    <mergeCell ref="O259:O261"/>
    <mergeCell ref="U259:U261"/>
    <mergeCell ref="U262:U263"/>
    <mergeCell ref="T290:T291"/>
    <mergeCell ref="U290:U291"/>
    <mergeCell ref="R289:R291"/>
    <mergeCell ref="S289:S291"/>
    <mergeCell ref="S292:S294"/>
    <mergeCell ref="R292:R294"/>
    <mergeCell ref="R295:R297"/>
    <mergeCell ref="S295:S297"/>
    <mergeCell ref="S298:S300"/>
    <mergeCell ref="R298:R300"/>
    <mergeCell ref="T296:T297"/>
    <mergeCell ref="T299:T300"/>
    <mergeCell ref="M298:M300"/>
    <mergeCell ref="O312:O313"/>
    <mergeCell ref="P306:P309"/>
    <mergeCell ref="G302:G330"/>
    <mergeCell ref="H302:H330"/>
    <mergeCell ref="I302:I330"/>
    <mergeCell ref="M292:M294"/>
    <mergeCell ref="M295:M297"/>
    <mergeCell ref="U293:U294"/>
    <mergeCell ref="P329:P330"/>
    <mergeCell ref="O322:O323"/>
    <mergeCell ref="AL165:AL172"/>
    <mergeCell ref="G259:G288"/>
    <mergeCell ref="H259:H288"/>
    <mergeCell ref="I259:I288"/>
    <mergeCell ref="K259:K288"/>
    <mergeCell ref="L259:L288"/>
    <mergeCell ref="V246:V247"/>
    <mergeCell ref="Z167:Z168"/>
    <mergeCell ref="AA167:AA168"/>
    <mergeCell ref="AB167:AB168"/>
    <mergeCell ref="AC167:AC168"/>
    <mergeCell ref="Y169:Y170"/>
    <mergeCell ref="Z169:Z170"/>
    <mergeCell ref="AA169:AA170"/>
    <mergeCell ref="V165:V168"/>
    <mergeCell ref="V191:V194"/>
    <mergeCell ref="AF191:AF198"/>
    <mergeCell ref="AF175:AF182"/>
    <mergeCell ref="O191:O194"/>
    <mergeCell ref="P191:P198"/>
    <mergeCell ref="N187:N190"/>
    <mergeCell ref="O187:O190"/>
    <mergeCell ref="R191:R198"/>
    <mergeCell ref="X175:X200"/>
    <mergeCell ref="AI271:AI273"/>
    <mergeCell ref="AI274:AI277"/>
    <mergeCell ref="AF271:AF277"/>
    <mergeCell ref="AF264:AF270"/>
    <mergeCell ref="AI264:AI267"/>
    <mergeCell ref="AI268:AI270"/>
    <mergeCell ref="AL295:AL297"/>
    <mergeCell ref="AJ298:AJ300"/>
    <mergeCell ref="P338:P345"/>
    <mergeCell ref="N343:N345"/>
    <mergeCell ref="C302:C305"/>
    <mergeCell ref="D302:D330"/>
    <mergeCell ref="E302:E330"/>
    <mergeCell ref="F302:F330"/>
    <mergeCell ref="C314:C317"/>
    <mergeCell ref="C295:C301"/>
    <mergeCell ref="C285:C288"/>
    <mergeCell ref="M285:M286"/>
    <mergeCell ref="A201:A207"/>
    <mergeCell ref="B201:B207"/>
    <mergeCell ref="A208:A239"/>
    <mergeCell ref="B208:B239"/>
    <mergeCell ref="O238:O239"/>
    <mergeCell ref="C232:C235"/>
    <mergeCell ref="I208:I239"/>
    <mergeCell ref="J208:J235"/>
    <mergeCell ref="J237:J238"/>
    <mergeCell ref="K208:K239"/>
    <mergeCell ref="C220:C231"/>
    <mergeCell ref="N302:N303"/>
    <mergeCell ref="O302:O303"/>
    <mergeCell ref="P302:P305"/>
    <mergeCell ref="J302:J326"/>
    <mergeCell ref="G289:G301"/>
    <mergeCell ref="N285:N286"/>
    <mergeCell ref="O285:O286"/>
    <mergeCell ref="P285:P286"/>
    <mergeCell ref="O306:O307"/>
    <mergeCell ref="Q259:Q288"/>
    <mergeCell ref="W259:W288"/>
    <mergeCell ref="M271:M277"/>
    <mergeCell ref="N271:N273"/>
    <mergeCell ref="O274:O277"/>
    <mergeCell ref="P271:P277"/>
    <mergeCell ref="R271:R277"/>
    <mergeCell ref="S271:S277"/>
    <mergeCell ref="T271:T273"/>
    <mergeCell ref="T274:T277"/>
    <mergeCell ref="U274:U277"/>
    <mergeCell ref="U271:U273"/>
    <mergeCell ref="A259:A288"/>
    <mergeCell ref="B259:B288"/>
    <mergeCell ref="A240:A258"/>
    <mergeCell ref="B240:B258"/>
    <mergeCell ref="C240:C248"/>
    <mergeCell ref="D240:D258"/>
    <mergeCell ref="E240:E258"/>
    <mergeCell ref="F240:F258"/>
    <mergeCell ref="V343:V345"/>
    <mergeCell ref="U299:U300"/>
    <mergeCell ref="T293:T294"/>
    <mergeCell ref="T331:T333"/>
    <mergeCell ref="U331:U333"/>
    <mergeCell ref="W350:W351"/>
    <mergeCell ref="X350:X351"/>
    <mergeCell ref="Y350:Y351"/>
    <mergeCell ref="Y290:Y291"/>
    <mergeCell ref="AK298:AK300"/>
    <mergeCell ref="AL298:AL300"/>
    <mergeCell ref="AM298:AM300"/>
    <mergeCell ref="V299:V300"/>
    <mergeCell ref="AF318:AF319"/>
    <mergeCell ref="AE327:AE328"/>
    <mergeCell ref="AF327:AF328"/>
    <mergeCell ref="AM287:AM288"/>
    <mergeCell ref="AL287:AL288"/>
    <mergeCell ref="AK287:AK288"/>
    <mergeCell ref="AJ259:AJ288"/>
    <mergeCell ref="AF287:AF288"/>
    <mergeCell ref="AK346:AK349"/>
    <mergeCell ref="AL346:AL349"/>
    <mergeCell ref="U352:U353"/>
    <mergeCell ref="C259:C270"/>
    <mergeCell ref="N327:N328"/>
    <mergeCell ref="O327:O328"/>
    <mergeCell ref="AK292:AK294"/>
    <mergeCell ref="AL292:AL294"/>
    <mergeCell ref="AM292:AM294"/>
    <mergeCell ref="M302:M305"/>
    <mergeCell ref="A354:A359"/>
    <mergeCell ref="B354:B359"/>
    <mergeCell ref="C354:C359"/>
    <mergeCell ref="D354:D359"/>
    <mergeCell ref="E354:E359"/>
    <mergeCell ref="F354:F359"/>
    <mergeCell ref="S354:S358"/>
    <mergeCell ref="T354:T355"/>
    <mergeCell ref="U354:U355"/>
    <mergeCell ref="V356:V358"/>
    <mergeCell ref="Y356:Y357"/>
    <mergeCell ref="AC356:AC357"/>
    <mergeCell ref="AC354:AC355"/>
    <mergeCell ref="K354:K359"/>
    <mergeCell ref="L354:L359"/>
    <mergeCell ref="V287:V288"/>
    <mergeCell ref="P287:P288"/>
    <mergeCell ref="R287:R288"/>
    <mergeCell ref="S287:S288"/>
    <mergeCell ref="T287:T288"/>
    <mergeCell ref="U287:U288"/>
    <mergeCell ref="N356:N358"/>
    <mergeCell ref="O356:O358"/>
    <mergeCell ref="T356:T358"/>
    <mergeCell ref="U356:U358"/>
    <mergeCell ref="A331:A337"/>
    <mergeCell ref="W338:W345"/>
    <mergeCell ref="C331:C337"/>
    <mergeCell ref="J346:J349"/>
    <mergeCell ref="K346:K349"/>
    <mergeCell ref="I350:I353"/>
    <mergeCell ref="J350:J353"/>
    <mergeCell ref="L350:L353"/>
    <mergeCell ref="C310:C313"/>
    <mergeCell ref="C318:C321"/>
    <mergeCell ref="M338:M345"/>
    <mergeCell ref="N338:N342"/>
    <mergeCell ref="O338:O342"/>
    <mergeCell ref="Y354:Y355"/>
    <mergeCell ref="V354:V355"/>
    <mergeCell ref="W354:W359"/>
    <mergeCell ref="X354:X359"/>
    <mergeCell ref="AO369:AO374"/>
    <mergeCell ref="AN369:AN374"/>
    <mergeCell ref="AI369:AI370"/>
    <mergeCell ref="AL354:AL358"/>
    <mergeCell ref="AM365:AM368"/>
    <mergeCell ref="X365:X368"/>
    <mergeCell ref="Y365:Y366"/>
    <mergeCell ref="AN365:AN368"/>
    <mergeCell ref="AO365:AO368"/>
    <mergeCell ref="AF365:AF368"/>
    <mergeCell ref="R365:R368"/>
    <mergeCell ref="S365:S368"/>
    <mergeCell ref="T365:T366"/>
    <mergeCell ref="AO360:AO361"/>
    <mergeCell ref="AN360:AN361"/>
    <mergeCell ref="Y360:Y361"/>
    <mergeCell ref="AJ360:AJ361"/>
    <mergeCell ref="AK360:AK361"/>
    <mergeCell ref="AL360:AL361"/>
    <mergeCell ref="X360:X361"/>
    <mergeCell ref="AF360:AF361"/>
    <mergeCell ref="Y367:Y368"/>
    <mergeCell ref="AO289:AO301"/>
    <mergeCell ref="AG289:AG301"/>
    <mergeCell ref="AN289:AN301"/>
    <mergeCell ref="AM289:AM291"/>
    <mergeCell ref="AC346:AC347"/>
    <mergeCell ref="W346:W347"/>
    <mergeCell ref="Y348:Y349"/>
    <mergeCell ref="AF346:AF349"/>
    <mergeCell ref="AN346:AN349"/>
    <mergeCell ref="AN302:AN330"/>
    <mergeCell ref="AO302:AO330"/>
    <mergeCell ref="AM339:AM345"/>
    <mergeCell ref="AM346:AM349"/>
    <mergeCell ref="AH350:AH351"/>
    <mergeCell ref="AM350:AM353"/>
    <mergeCell ref="AG346:AG349"/>
    <mergeCell ref="AI346:AI347"/>
    <mergeCell ref="AC342:AC343"/>
    <mergeCell ref="Y344:Y345"/>
    <mergeCell ref="AK350:AK353"/>
    <mergeCell ref="AL350:AL353"/>
    <mergeCell ref="AC350:AC351"/>
    <mergeCell ref="V290:V291"/>
    <mergeCell ref="V293:V294"/>
    <mergeCell ref="AC331:AC332"/>
    <mergeCell ref="V327:V328"/>
    <mergeCell ref="AK331:AK336"/>
    <mergeCell ref="AL331:AL336"/>
    <mergeCell ref="AM331:AM336"/>
    <mergeCell ref="AC335:AC336"/>
    <mergeCell ref="AL289:AL291"/>
    <mergeCell ref="AK354:AK358"/>
    <mergeCell ref="AG354:AG359"/>
    <mergeCell ref="AJ354:AJ358"/>
    <mergeCell ref="AI356:AI358"/>
    <mergeCell ref="V350:V351"/>
    <mergeCell ref="AN331:AN337"/>
    <mergeCell ref="AO331:AO337"/>
    <mergeCell ref="P346:P349"/>
    <mergeCell ref="Q346:Q349"/>
    <mergeCell ref="R346:R349"/>
    <mergeCell ref="S346:S349"/>
    <mergeCell ref="T346:T347"/>
    <mergeCell ref="T348:T349"/>
    <mergeCell ref="AC405:AC406"/>
    <mergeCell ref="AF405:AF406"/>
    <mergeCell ref="AG405:AG406"/>
    <mergeCell ref="AH405:AH406"/>
    <mergeCell ref="AI405:AI406"/>
    <mergeCell ref="AF407:AF410"/>
    <mergeCell ref="W405:W406"/>
    <mergeCell ref="V331:V333"/>
    <mergeCell ref="W331:W337"/>
    <mergeCell ref="X331:X337"/>
    <mergeCell ref="Y331:Y332"/>
    <mergeCell ref="AJ331:AJ336"/>
    <mergeCell ref="Y333:Y334"/>
    <mergeCell ref="AC333:AC334"/>
    <mergeCell ref="U383:U384"/>
    <mergeCell ref="T383:T384"/>
    <mergeCell ref="AG375:AG384"/>
    <mergeCell ref="R360:R361"/>
    <mergeCell ref="S360:S361"/>
    <mergeCell ref="R381:R382"/>
    <mergeCell ref="Q302:Q330"/>
    <mergeCell ref="R302:R305"/>
    <mergeCell ref="V302:V303"/>
    <mergeCell ref="O304:O305"/>
    <mergeCell ref="V324:V325"/>
    <mergeCell ref="AE324:AE325"/>
    <mergeCell ref="AF324:AF325"/>
    <mergeCell ref="Y371:Y372"/>
    <mergeCell ref="AJ381:AJ382"/>
    <mergeCell ref="O365:O366"/>
    <mergeCell ref="U381:U382"/>
    <mergeCell ref="U378:U380"/>
    <mergeCell ref="T381:T382"/>
    <mergeCell ref="W362:W364"/>
    <mergeCell ref="X338:X345"/>
    <mergeCell ref="T343:T345"/>
    <mergeCell ref="S392:S393"/>
    <mergeCell ref="T371:T374"/>
    <mergeCell ref="AI392:AI393"/>
    <mergeCell ref="AJ394:AJ400"/>
    <mergeCell ref="T338:T342"/>
    <mergeCell ref="V367:V368"/>
    <mergeCell ref="Q331:Q337"/>
    <mergeCell ref="S338:S345"/>
    <mergeCell ref="V334:V336"/>
    <mergeCell ref="P331:P336"/>
    <mergeCell ref="R331:R336"/>
    <mergeCell ref="S331:S336"/>
    <mergeCell ref="P327:P328"/>
    <mergeCell ref="P318:P321"/>
    <mergeCell ref="W302:W330"/>
    <mergeCell ref="AE302:AE303"/>
    <mergeCell ref="AF302:AF303"/>
    <mergeCell ref="V320:V321"/>
    <mergeCell ref="AE320:AE321"/>
    <mergeCell ref="T334:T336"/>
    <mergeCell ref="U334:U336"/>
    <mergeCell ref="AI334:AI336"/>
    <mergeCell ref="O314:O315"/>
    <mergeCell ref="P314:P317"/>
    <mergeCell ref="R314:R317"/>
    <mergeCell ref="O316:O317"/>
    <mergeCell ref="M306:M309"/>
    <mergeCell ref="N306:N307"/>
    <mergeCell ref="O329:O330"/>
    <mergeCell ref="N290:N291"/>
    <mergeCell ref="N293:N294"/>
    <mergeCell ref="N296:N297"/>
    <mergeCell ref="V296:V297"/>
    <mergeCell ref="W289:W301"/>
    <mergeCell ref="AF289:AF291"/>
    <mergeCell ref="AF292:AF294"/>
    <mergeCell ref="AF295:AF297"/>
    <mergeCell ref="AF298:AF300"/>
    <mergeCell ref="O290:O291"/>
    <mergeCell ref="O293:O294"/>
    <mergeCell ref="O296:O297"/>
    <mergeCell ref="O318:O319"/>
    <mergeCell ref="N320:N321"/>
    <mergeCell ref="O320:O321"/>
    <mergeCell ref="J327:J330"/>
    <mergeCell ref="M327:M328"/>
    <mergeCell ref="AK246:AK248"/>
    <mergeCell ref="AJ252:AJ254"/>
    <mergeCell ref="AK252:AK254"/>
    <mergeCell ref="AL252:AL254"/>
    <mergeCell ref="AM252:AM254"/>
    <mergeCell ref="V249:V250"/>
    <mergeCell ref="AF249:AF251"/>
    <mergeCell ref="AI249:AI250"/>
    <mergeCell ref="AJ249:AJ251"/>
    <mergeCell ref="AK249:AK251"/>
    <mergeCell ref="AL249:AL251"/>
    <mergeCell ref="AM246:AM248"/>
    <mergeCell ref="Y247:Y248"/>
    <mergeCell ref="AC247:AC248"/>
    <mergeCell ref="AF252:AF254"/>
    <mergeCell ref="Y256:Y257"/>
    <mergeCell ref="AC256:AC257"/>
    <mergeCell ref="X240:X257"/>
    <mergeCell ref="U285:U286"/>
    <mergeCell ref="V285:V286"/>
    <mergeCell ref="U278:U281"/>
    <mergeCell ref="U282:U284"/>
    <mergeCell ref="O264:O267"/>
    <mergeCell ref="O268:O270"/>
    <mergeCell ref="P264:P270"/>
    <mergeCell ref="R264:R270"/>
    <mergeCell ref="T264:T267"/>
    <mergeCell ref="U264:U267"/>
    <mergeCell ref="U268:U270"/>
    <mergeCell ref="T268:T270"/>
    <mergeCell ref="AI296:AI297"/>
    <mergeCell ref="AF259:AF263"/>
    <mergeCell ref="AI259:AI261"/>
    <mergeCell ref="AI262:AI263"/>
    <mergeCell ref="AF278:AF284"/>
    <mergeCell ref="AI278:AI281"/>
    <mergeCell ref="AI282:AI284"/>
    <mergeCell ref="P310:P313"/>
    <mergeCell ref="R310:R313"/>
    <mergeCell ref="V310:V311"/>
    <mergeCell ref="C249:C257"/>
    <mergeCell ref="V255:V256"/>
    <mergeCell ref="AF255:AF257"/>
    <mergeCell ref="AI255:AI256"/>
    <mergeCell ref="O249:O250"/>
    <mergeCell ref="P249:P251"/>
    <mergeCell ref="AK240:AK242"/>
    <mergeCell ref="AL240:AL242"/>
    <mergeCell ref="AM240:AM242"/>
    <mergeCell ref="O253:O254"/>
    <mergeCell ref="V253:V254"/>
    <mergeCell ref="Y253:Y254"/>
    <mergeCell ref="M249:M251"/>
    <mergeCell ref="N249:N250"/>
    <mergeCell ref="AI246:AI247"/>
    <mergeCell ref="K240:K258"/>
    <mergeCell ref="L240:L258"/>
    <mergeCell ref="N255:N256"/>
    <mergeCell ref="M252:M254"/>
    <mergeCell ref="AM249:AM251"/>
    <mergeCell ref="AL246:AL248"/>
    <mergeCell ref="R249:R251"/>
    <mergeCell ref="R240:R242"/>
    <mergeCell ref="R246:R248"/>
    <mergeCell ref="M240:M242"/>
    <mergeCell ref="N253:N254"/>
    <mergeCell ref="AM243:AM245"/>
    <mergeCell ref="V244:V245"/>
    <mergeCell ref="Y244:Y245"/>
    <mergeCell ref="AC244:AC245"/>
    <mergeCell ref="Y241:Y242"/>
    <mergeCell ref="AC241:AC242"/>
    <mergeCell ref="M243:M245"/>
    <mergeCell ref="P243:P245"/>
    <mergeCell ref="R243:R245"/>
    <mergeCell ref="AF243:AF245"/>
    <mergeCell ref="P252:P254"/>
    <mergeCell ref="R252:R254"/>
    <mergeCell ref="AL143:AL150"/>
    <mergeCell ref="AM143:AM150"/>
    <mergeCell ref="AN201:AN207"/>
    <mergeCell ref="AO201:AO207"/>
    <mergeCell ref="AJ201:AJ202"/>
    <mergeCell ref="AK201:AK202"/>
    <mergeCell ref="AL201:AL202"/>
    <mergeCell ref="AL205:AL206"/>
    <mergeCell ref="N208:N209"/>
    <mergeCell ref="O208:O209"/>
    <mergeCell ref="N212:N213"/>
    <mergeCell ref="V208:V209"/>
    <mergeCell ref="V212:V213"/>
    <mergeCell ref="V210:V211"/>
    <mergeCell ref="V214:V215"/>
    <mergeCell ref="L208:L239"/>
    <mergeCell ref="M237:M239"/>
    <mergeCell ref="C208:C211"/>
    <mergeCell ref="C212:C215"/>
    <mergeCell ref="C216:C219"/>
    <mergeCell ref="Y209:Y210"/>
    <mergeCell ref="AC209:AC210"/>
    <mergeCell ref="AI212:AI213"/>
    <mergeCell ref="AG208:AG239"/>
    <mergeCell ref="AI208:AI209"/>
    <mergeCell ref="AI216:AI217"/>
    <mergeCell ref="Y217:Y218"/>
    <mergeCell ref="AC217:AC218"/>
    <mergeCell ref="AI226:AI227"/>
    <mergeCell ref="AI230:AI231"/>
    <mergeCell ref="AN208:AN239"/>
    <mergeCell ref="AO208:AO239"/>
    <mergeCell ref="Y213:Y214"/>
    <mergeCell ref="AC213:AC214"/>
    <mergeCell ref="M224:M227"/>
    <mergeCell ref="M228:M231"/>
    <mergeCell ref="O222:O223"/>
    <mergeCell ref="AK228:AK231"/>
    <mergeCell ref="AL228:AL231"/>
    <mergeCell ref="AM228:AM231"/>
    <mergeCell ref="AM220:AM223"/>
    <mergeCell ref="AL208:AL211"/>
    <mergeCell ref="AM208:AM211"/>
    <mergeCell ref="AJ212:AJ215"/>
    <mergeCell ref="AK212:AK215"/>
    <mergeCell ref="AL212:AL215"/>
    <mergeCell ref="AM212:AM215"/>
    <mergeCell ref="AF212:AF215"/>
    <mergeCell ref="AF216:AF219"/>
    <mergeCell ref="F201:F207"/>
    <mergeCell ref="AM203:AM204"/>
    <mergeCell ref="X208:X239"/>
    <mergeCell ref="AF201:AF202"/>
    <mergeCell ref="AG201:AG207"/>
    <mergeCell ref="AI210:AI211"/>
    <mergeCell ref="AI214:AI215"/>
    <mergeCell ref="AI218:AI219"/>
    <mergeCell ref="AI222:AI223"/>
    <mergeCell ref="L201:L207"/>
    <mergeCell ref="R201:R202"/>
    <mergeCell ref="M205:M206"/>
    <mergeCell ref="P205:P206"/>
    <mergeCell ref="AM216:AM219"/>
    <mergeCell ref="AK220:AK223"/>
    <mergeCell ref="C201:C202"/>
    <mergeCell ref="D201:D207"/>
    <mergeCell ref="E201:E207"/>
    <mergeCell ref="G201:G207"/>
    <mergeCell ref="H201:H207"/>
    <mergeCell ref="I201:I207"/>
    <mergeCell ref="J201:J206"/>
    <mergeCell ref="K201:K207"/>
    <mergeCell ref="S201:S202"/>
    <mergeCell ref="W201:W207"/>
    <mergeCell ref="AM183:AM190"/>
    <mergeCell ref="Y185:Y186"/>
    <mergeCell ref="AC185:AC186"/>
    <mergeCell ref="Y187:Y188"/>
    <mergeCell ref="AC187:AC188"/>
    <mergeCell ref="Y175:Y176"/>
    <mergeCell ref="N232:N233"/>
    <mergeCell ref="O232:O233"/>
    <mergeCell ref="N216:N217"/>
    <mergeCell ref="O216:O217"/>
    <mergeCell ref="N228:N229"/>
    <mergeCell ref="O228:O229"/>
    <mergeCell ref="N220:N221"/>
    <mergeCell ref="O220:O221"/>
    <mergeCell ref="O218:O219"/>
    <mergeCell ref="N226:N227"/>
    <mergeCell ref="O226:O227"/>
    <mergeCell ref="V216:V217"/>
    <mergeCell ref="V222:V223"/>
    <mergeCell ref="V232:V233"/>
    <mergeCell ref="M232:M235"/>
    <mergeCell ref="N210:N211"/>
    <mergeCell ref="D208:D239"/>
    <mergeCell ref="E208:E239"/>
    <mergeCell ref="F208:F239"/>
    <mergeCell ref="O212:O213"/>
    <mergeCell ref="N224:N225"/>
    <mergeCell ref="O224:O225"/>
    <mergeCell ref="G208:G239"/>
    <mergeCell ref="H208:H239"/>
    <mergeCell ref="N230:N231"/>
    <mergeCell ref="AL220:AL223"/>
    <mergeCell ref="AM205:AM206"/>
    <mergeCell ref="AI183:AI190"/>
    <mergeCell ref="AJ183:AJ190"/>
    <mergeCell ref="AK183:AK190"/>
    <mergeCell ref="AK175:AK182"/>
    <mergeCell ref="AL175:AL182"/>
    <mergeCell ref="Y177:Y178"/>
    <mergeCell ref="AC177:AC178"/>
    <mergeCell ref="Y179:Y180"/>
    <mergeCell ref="AC179:AC180"/>
    <mergeCell ref="Y181:Y182"/>
    <mergeCell ref="R232:R235"/>
    <mergeCell ref="R205:R206"/>
    <mergeCell ref="AF228:AF231"/>
    <mergeCell ref="AK151:AK158"/>
    <mergeCell ref="AM151:AM158"/>
    <mergeCell ref="AF115:AF118"/>
    <mergeCell ref="AG115:AG119"/>
    <mergeCell ref="AH115:AH118"/>
    <mergeCell ref="AI115:AI116"/>
    <mergeCell ref="AJ115:AJ119"/>
    <mergeCell ref="AK115:AK116"/>
    <mergeCell ref="X115:X119"/>
    <mergeCell ref="Y115:Y116"/>
    <mergeCell ref="Z115:Z116"/>
    <mergeCell ref="AA115:AA116"/>
    <mergeCell ref="AB115:AB116"/>
    <mergeCell ref="AC115:AC116"/>
    <mergeCell ref="Y117:Y118"/>
    <mergeCell ref="Z117:Z118"/>
    <mergeCell ref="AA117:AA118"/>
    <mergeCell ref="AB117:AB118"/>
    <mergeCell ref="AM117:AM118"/>
    <mergeCell ref="AC117:AC118"/>
    <mergeCell ref="AI117:AI118"/>
    <mergeCell ref="AK117:AK118"/>
    <mergeCell ref="AL117:AL118"/>
    <mergeCell ref="AI139:AI141"/>
    <mergeCell ref="AH160:AH163"/>
    <mergeCell ref="AC162:AC163"/>
    <mergeCell ref="AL18:AL20"/>
    <mergeCell ref="N127:N129"/>
    <mergeCell ref="O127:O129"/>
    <mergeCell ref="P127:P130"/>
    <mergeCell ref="N120:N122"/>
    <mergeCell ref="O120:O122"/>
    <mergeCell ref="N139:N141"/>
    <mergeCell ref="O139:O141"/>
    <mergeCell ref="P139:P142"/>
    <mergeCell ref="S139:S142"/>
    <mergeCell ref="Q120:Q142"/>
    <mergeCell ref="Y140:Y141"/>
    <mergeCell ref="AC140:AC141"/>
    <mergeCell ref="AF135:AF138"/>
    <mergeCell ref="AI135:AI137"/>
    <mergeCell ref="Y137:Y138"/>
    <mergeCell ref="AC137:AC138"/>
    <mergeCell ref="T120:T122"/>
    <mergeCell ref="U120:U122"/>
    <mergeCell ref="T124:T125"/>
    <mergeCell ref="U124:U125"/>
    <mergeCell ref="N135:N137"/>
    <mergeCell ref="O135:O137"/>
    <mergeCell ref="P135:P138"/>
    <mergeCell ref="S135:S138"/>
    <mergeCell ref="S124:S126"/>
    <mergeCell ref="AI155:AI158"/>
    <mergeCell ref="AG49:AG52"/>
    <mergeCell ref="AL29:AL32"/>
    <mergeCell ref="AJ33:AJ36"/>
    <mergeCell ref="AJ29:AJ32"/>
    <mergeCell ref="AK37:AK40"/>
    <mergeCell ref="AK41:AK42"/>
    <mergeCell ref="S143:S150"/>
    <mergeCell ref="T155:T158"/>
    <mergeCell ref="T151:T154"/>
    <mergeCell ref="AJ151:AJ158"/>
    <mergeCell ref="AL151:AL158"/>
    <mergeCell ref="AO81:AO82"/>
    <mergeCell ref="AG71:AG72"/>
    <mergeCell ref="AH71:AH72"/>
    <mergeCell ref="AI71:AI72"/>
    <mergeCell ref="AJ71:AJ72"/>
    <mergeCell ref="AK71:AK72"/>
    <mergeCell ref="P71:P72"/>
    <mergeCell ref="Q71:Q72"/>
    <mergeCell ref="R71:R72"/>
    <mergeCell ref="V71:V72"/>
    <mergeCell ref="W71:W72"/>
    <mergeCell ref="X71:X72"/>
    <mergeCell ref="O71:O72"/>
    <mergeCell ref="AK55:AK57"/>
    <mergeCell ref="AL55:AL57"/>
    <mergeCell ref="AM55:AM57"/>
    <mergeCell ref="AN55:AN57"/>
    <mergeCell ref="AO55:AO57"/>
    <mergeCell ref="X55:X57"/>
    <mergeCell ref="AF55:AF57"/>
    <mergeCell ref="AG55:AG57"/>
    <mergeCell ref="AH55:AH57"/>
    <mergeCell ref="P91:P94"/>
    <mergeCell ref="N69:N70"/>
    <mergeCell ref="O69:O70"/>
    <mergeCell ref="P33:P36"/>
    <mergeCell ref="Q33:Q36"/>
    <mergeCell ref="AF58:AF61"/>
    <mergeCell ref="N29:N32"/>
    <mergeCell ref="S29:S32"/>
    <mergeCell ref="T29:T32"/>
    <mergeCell ref="U29:U32"/>
    <mergeCell ref="AF29:AF32"/>
    <mergeCell ref="O29:O32"/>
    <mergeCell ref="P29:P32"/>
    <mergeCell ref="R29:R32"/>
    <mergeCell ref="V33:V36"/>
    <mergeCell ref="AH49:AH50"/>
    <mergeCell ref="AJ58:AJ61"/>
    <mergeCell ref="T58:T61"/>
    <mergeCell ref="AF33:AF36"/>
    <mergeCell ref="AG33:AG36"/>
    <mergeCell ref="AI33:AI36"/>
    <mergeCell ref="S33:S36"/>
    <mergeCell ref="T33:T36"/>
    <mergeCell ref="U33:U36"/>
    <mergeCell ref="S58:S61"/>
    <mergeCell ref="U87:U89"/>
    <mergeCell ref="AJ91:AJ94"/>
    <mergeCell ref="AK91:AK93"/>
    <mergeCell ref="U58:U61"/>
    <mergeCell ref="V58:V61"/>
    <mergeCell ref="AG58:AG64"/>
    <mergeCell ref="V62:V64"/>
    <mergeCell ref="W58:W64"/>
    <mergeCell ref="AF62:AF64"/>
    <mergeCell ref="U62:U64"/>
    <mergeCell ref="U37:U40"/>
    <mergeCell ref="AF37:AF40"/>
    <mergeCell ref="AF41:AF42"/>
    <mergeCell ref="AG37:AG42"/>
    <mergeCell ref="AI37:AI40"/>
    <mergeCell ref="AJ41:AJ42"/>
    <mergeCell ref="S41:S42"/>
    <mergeCell ref="A107:A114"/>
    <mergeCell ref="F120:F142"/>
    <mergeCell ref="G120:G142"/>
    <mergeCell ref="H120:H142"/>
    <mergeCell ref="L120:L142"/>
    <mergeCell ref="M135:M138"/>
    <mergeCell ref="M131:M134"/>
    <mergeCell ref="N131:N133"/>
    <mergeCell ref="O131:O133"/>
    <mergeCell ref="P131:P134"/>
    <mergeCell ref="R120:R142"/>
    <mergeCell ref="S120:S123"/>
    <mergeCell ref="S131:S134"/>
    <mergeCell ref="P120:P123"/>
    <mergeCell ref="M127:M130"/>
    <mergeCell ref="S127:S130"/>
    <mergeCell ref="AC129:AC130"/>
    <mergeCell ref="M124:M126"/>
    <mergeCell ref="AK124:AK126"/>
    <mergeCell ref="AF124:AF126"/>
    <mergeCell ref="AI124:AI125"/>
    <mergeCell ref="AL131:AL134"/>
    <mergeCell ref="AM131:AM134"/>
    <mergeCell ref="Y133:Y134"/>
    <mergeCell ref="AC133:AC134"/>
    <mergeCell ref="T139:T141"/>
    <mergeCell ref="U139:U141"/>
    <mergeCell ref="AL124:AL126"/>
    <mergeCell ref="AM124:AM126"/>
    <mergeCell ref="AG120:AG142"/>
    <mergeCell ref="AI120:AI122"/>
    <mergeCell ref="AJ120:AJ142"/>
    <mergeCell ref="AL135:AL138"/>
    <mergeCell ref="AM135:AM138"/>
    <mergeCell ref="AL139:AL142"/>
    <mergeCell ref="M120:M123"/>
    <mergeCell ref="I120:I142"/>
    <mergeCell ref="V131:V133"/>
    <mergeCell ref="AF131:AF134"/>
    <mergeCell ref="M115:M118"/>
    <mergeCell ref="N115:N116"/>
    <mergeCell ref="N117:N118"/>
    <mergeCell ref="H107:H114"/>
    <mergeCell ref="I107:I114"/>
    <mergeCell ref="L107:L114"/>
    <mergeCell ref="M107:M114"/>
    <mergeCell ref="K120:K142"/>
    <mergeCell ref="V124:V125"/>
    <mergeCell ref="T127:T129"/>
    <mergeCell ref="U127:U129"/>
    <mergeCell ref="T131:T133"/>
    <mergeCell ref="U131:U133"/>
    <mergeCell ref="AK139:AK142"/>
    <mergeCell ref="AK120:AK123"/>
    <mergeCell ref="Y121:Y122"/>
    <mergeCell ref="AC121:AC122"/>
    <mergeCell ref="AM139:AM142"/>
    <mergeCell ref="AM127:AM130"/>
    <mergeCell ref="G18:G21"/>
    <mergeCell ref="AM18:AM21"/>
    <mergeCell ref="AN18:AN21"/>
    <mergeCell ref="AO18:AO21"/>
    <mergeCell ref="Y129:Y130"/>
    <mergeCell ref="AN120:AN142"/>
    <mergeCell ref="AO120:AO142"/>
    <mergeCell ref="N124:N125"/>
    <mergeCell ref="O124:O125"/>
    <mergeCell ref="P124:P126"/>
    <mergeCell ref="AK135:AK138"/>
    <mergeCell ref="AK131:AK134"/>
    <mergeCell ref="AL120:AL123"/>
    <mergeCell ref="H18:H21"/>
    <mergeCell ref="I18:I21"/>
    <mergeCell ref="V115:V116"/>
    <mergeCell ref="W115:W119"/>
    <mergeCell ref="O117:O118"/>
    <mergeCell ref="V117:V118"/>
    <mergeCell ref="H115:H119"/>
    <mergeCell ref="A115:A119"/>
    <mergeCell ref="B115:B119"/>
    <mergeCell ref="C115:C119"/>
    <mergeCell ref="T282:T284"/>
    <mergeCell ref="T259:T261"/>
    <mergeCell ref="A175:A200"/>
    <mergeCell ref="B175:B200"/>
    <mergeCell ref="C175:C182"/>
    <mergeCell ref="D175:D200"/>
    <mergeCell ref="E175:E200"/>
    <mergeCell ref="F175:F200"/>
    <mergeCell ref="G175:G200"/>
    <mergeCell ref="H175:H200"/>
    <mergeCell ref="I175:I200"/>
    <mergeCell ref="M165:M172"/>
    <mergeCell ref="N165:N168"/>
    <mergeCell ref="O165:O168"/>
    <mergeCell ref="P165:P172"/>
    <mergeCell ref="Q165:Q174"/>
    <mergeCell ref="C183:C200"/>
    <mergeCell ref="J175:J198"/>
    <mergeCell ref="K175:K200"/>
    <mergeCell ref="L175:L200"/>
    <mergeCell ref="M175:M182"/>
    <mergeCell ref="N175:N178"/>
    <mergeCell ref="J199:J200"/>
    <mergeCell ref="AM175:AM182"/>
    <mergeCell ref="AJ175:AJ182"/>
    <mergeCell ref="V139:V141"/>
    <mergeCell ref="AF139:AF142"/>
    <mergeCell ref="AF127:AF130"/>
    <mergeCell ref="AI127:AI129"/>
    <mergeCell ref="AK127:AK130"/>
    <mergeCell ref="AL127:AL130"/>
    <mergeCell ref="A120:A142"/>
    <mergeCell ref="B120:B142"/>
    <mergeCell ref="C120:C123"/>
    <mergeCell ref="D120:D142"/>
    <mergeCell ref="E120:E142"/>
    <mergeCell ref="C139:C142"/>
    <mergeCell ref="M139:M142"/>
    <mergeCell ref="C124:C138"/>
    <mergeCell ref="V195:V198"/>
    <mergeCell ref="V183:V186"/>
    <mergeCell ref="K143:K159"/>
    <mergeCell ref="L143:L159"/>
    <mergeCell ref="R175:R182"/>
    <mergeCell ref="AC171:AC172"/>
    <mergeCell ref="AB171:AB172"/>
    <mergeCell ref="M183:M190"/>
    <mergeCell ref="O183:O186"/>
    <mergeCell ref="P175:P182"/>
    <mergeCell ref="Q175:Q200"/>
    <mergeCell ref="AC193:AC194"/>
    <mergeCell ref="L165:L174"/>
    <mergeCell ref="Y195:Y196"/>
    <mergeCell ref="AC195:AC196"/>
    <mergeCell ref="Y197:Y198"/>
    <mergeCell ref="AC197:AC198"/>
    <mergeCell ref="AB191:AB192"/>
    <mergeCell ref="R160:R163"/>
    <mergeCell ref="V160:V161"/>
    <mergeCell ref="W160:W164"/>
    <mergeCell ref="X160:X164"/>
    <mergeCell ref="Y160:Y161"/>
    <mergeCell ref="Z160:Z161"/>
    <mergeCell ref="L160:L164"/>
    <mergeCell ref="M160:M163"/>
    <mergeCell ref="Z165:Z166"/>
    <mergeCell ref="A165:A174"/>
    <mergeCell ref="B165:B174"/>
    <mergeCell ref="V143:V146"/>
    <mergeCell ref="V147:V150"/>
    <mergeCell ref="F160:F164"/>
    <mergeCell ref="G160:G164"/>
    <mergeCell ref="H160:H164"/>
    <mergeCell ref="I160:I164"/>
    <mergeCell ref="J160:J163"/>
    <mergeCell ref="K160:K164"/>
    <mergeCell ref="R165:R172"/>
    <mergeCell ref="N169:N172"/>
    <mergeCell ref="O169:O172"/>
    <mergeCell ref="N195:N198"/>
    <mergeCell ref="O195:O198"/>
    <mergeCell ref="Z175:Z176"/>
    <mergeCell ref="AA175:AA176"/>
    <mergeCell ref="AB175:AB176"/>
    <mergeCell ref="AC175:AC176"/>
    <mergeCell ref="AC181:AC182"/>
    <mergeCell ref="W175:W200"/>
    <mergeCell ref="Y193:Y194"/>
    <mergeCell ref="Y147:Y148"/>
    <mergeCell ref="V169:V172"/>
    <mergeCell ref="K165:K174"/>
    <mergeCell ref="Y167:Y168"/>
    <mergeCell ref="V187:V190"/>
    <mergeCell ref="P183:P190"/>
    <mergeCell ref="R183:R190"/>
    <mergeCell ref="M191:M198"/>
    <mergeCell ref="N191:N194"/>
    <mergeCell ref="N183:N186"/>
    <mergeCell ref="E160:E164"/>
    <mergeCell ref="A143:A159"/>
    <mergeCell ref="B143:B159"/>
    <mergeCell ref="C143:C159"/>
    <mergeCell ref="D143:D159"/>
    <mergeCell ref="AC189:AC190"/>
    <mergeCell ref="C165:C174"/>
    <mergeCell ref="P238:P239"/>
    <mergeCell ref="Q208:Q239"/>
    <mergeCell ref="P208:P211"/>
    <mergeCell ref="P212:P215"/>
    <mergeCell ref="P216:P219"/>
    <mergeCell ref="P220:P223"/>
    <mergeCell ref="P224:P227"/>
    <mergeCell ref="P228:P231"/>
    <mergeCell ref="V234:V235"/>
    <mergeCell ref="V224:V225"/>
    <mergeCell ref="R220:R223"/>
    <mergeCell ref="N244:N245"/>
    <mergeCell ref="O244:O245"/>
    <mergeCell ref="AJ205:AJ206"/>
    <mergeCell ref="W208:W239"/>
    <mergeCell ref="M143:M150"/>
    <mergeCell ref="N143:N146"/>
    <mergeCell ref="AG143:AG159"/>
    <mergeCell ref="AJ143:AJ150"/>
    <mergeCell ref="AI147:AI150"/>
    <mergeCell ref="AF183:AF190"/>
    <mergeCell ref="AG160:AG164"/>
    <mergeCell ref="AJ165:AJ174"/>
    <mergeCell ref="AI162:AI163"/>
    <mergeCell ref="V240:V241"/>
    <mergeCell ref="AI244:AI245"/>
    <mergeCell ref="W240:W258"/>
    <mergeCell ref="AF246:AF248"/>
    <mergeCell ref="AJ255:AJ257"/>
    <mergeCell ref="AJ246:AJ248"/>
    <mergeCell ref="AI240:AI241"/>
    <mergeCell ref="AF237:AF239"/>
    <mergeCell ref="O230:O231"/>
    <mergeCell ref="AF220:AF223"/>
    <mergeCell ref="N218:N219"/>
    <mergeCell ref="Y233:Y234"/>
    <mergeCell ref="Y250:Y251"/>
    <mergeCell ref="O246:O247"/>
    <mergeCell ref="R255:R257"/>
    <mergeCell ref="Y225:Y226"/>
    <mergeCell ref="AF224:AF227"/>
    <mergeCell ref="O255:O256"/>
    <mergeCell ref="P255:P257"/>
    <mergeCell ref="Y191:Y192"/>
    <mergeCell ref="Z191:Z192"/>
    <mergeCell ref="AA191:AA192"/>
    <mergeCell ref="AG175:AG200"/>
    <mergeCell ref="AH175:AH182"/>
    <mergeCell ref="AE234:AE235"/>
    <mergeCell ref="N160:N161"/>
    <mergeCell ref="O160:O161"/>
    <mergeCell ref="P160:P163"/>
    <mergeCell ref="Q160:Q164"/>
    <mergeCell ref="N162:N163"/>
    <mergeCell ref="O162:O163"/>
    <mergeCell ref="O240:O241"/>
    <mergeCell ref="P240:P242"/>
    <mergeCell ref="Q240:Q258"/>
    <mergeCell ref="J259:J284"/>
    <mergeCell ref="P246:P248"/>
    <mergeCell ref="AI234:AI235"/>
    <mergeCell ref="AI237:AI239"/>
    <mergeCell ref="M246:M248"/>
    <mergeCell ref="N246:N247"/>
    <mergeCell ref="U338:U345"/>
    <mergeCell ref="AJ292:AJ294"/>
    <mergeCell ref="AJ295:AJ297"/>
    <mergeCell ref="Y293:Y294"/>
    <mergeCell ref="Y296:Y297"/>
    <mergeCell ref="Y299:Y300"/>
    <mergeCell ref="AJ338:AJ345"/>
    <mergeCell ref="M278:M284"/>
    <mergeCell ref="N278:N281"/>
    <mergeCell ref="N282:N284"/>
    <mergeCell ref="O278:O281"/>
    <mergeCell ref="O282:O284"/>
    <mergeCell ref="N274:N277"/>
    <mergeCell ref="O271:O273"/>
    <mergeCell ref="M264:M270"/>
    <mergeCell ref="P278:P284"/>
    <mergeCell ref="R278:R284"/>
    <mergeCell ref="M310:M313"/>
    <mergeCell ref="M318:M321"/>
    <mergeCell ref="N318:N319"/>
    <mergeCell ref="M322:M325"/>
    <mergeCell ref="N322:N323"/>
    <mergeCell ref="N299:N300"/>
    <mergeCell ref="J289:J300"/>
    <mergeCell ref="AI299:AI300"/>
    <mergeCell ref="M314:M317"/>
    <mergeCell ref="R338:R345"/>
    <mergeCell ref="R318:R321"/>
    <mergeCell ref="P322:P325"/>
    <mergeCell ref="R322:R325"/>
    <mergeCell ref="V322:V323"/>
    <mergeCell ref="AE322:AE323"/>
    <mergeCell ref="AF322:AF323"/>
    <mergeCell ref="N324:N325"/>
    <mergeCell ref="O324:O325"/>
    <mergeCell ref="AG302:AG330"/>
    <mergeCell ref="AH302:AH330"/>
    <mergeCell ref="AI302:AI330"/>
    <mergeCell ref="AJ302:AJ330"/>
    <mergeCell ref="AE310:AE311"/>
    <mergeCell ref="AF310:AF311"/>
    <mergeCell ref="AE312:AE313"/>
    <mergeCell ref="AF312:AF313"/>
    <mergeCell ref="AE314:AE315"/>
    <mergeCell ref="AF314:AF315"/>
    <mergeCell ref="AF316:AF317"/>
    <mergeCell ref="AJ289:AJ291"/>
    <mergeCell ref="AJ232:AJ235"/>
    <mergeCell ref="N240:N241"/>
    <mergeCell ref="N234:N235"/>
    <mergeCell ref="O234:O235"/>
    <mergeCell ref="N237:N239"/>
    <mergeCell ref="V238:V239"/>
    <mergeCell ref="R237:R239"/>
    <mergeCell ref="P232:P235"/>
    <mergeCell ref="A362:A364"/>
    <mergeCell ref="B362:B364"/>
    <mergeCell ref="A338:A345"/>
    <mergeCell ref="B338:B345"/>
    <mergeCell ref="C338:C345"/>
    <mergeCell ref="D338:D345"/>
    <mergeCell ref="E338:E345"/>
    <mergeCell ref="G240:G258"/>
    <mergeCell ref="H240:H258"/>
    <mergeCell ref="I240:I258"/>
    <mergeCell ref="J240:J257"/>
    <mergeCell ref="R369:R374"/>
    <mergeCell ref="R401:R404"/>
    <mergeCell ref="F350:F353"/>
    <mergeCell ref="G350:G353"/>
    <mergeCell ref="H350:H353"/>
    <mergeCell ref="G375:G384"/>
    <mergeCell ref="F362:F364"/>
    <mergeCell ref="K302:K330"/>
    <mergeCell ref="H289:H301"/>
    <mergeCell ref="G331:G337"/>
    <mergeCell ref="H331:H337"/>
    <mergeCell ref="I331:I337"/>
    <mergeCell ref="N346:N347"/>
    <mergeCell ref="O346:O347"/>
    <mergeCell ref="I354:I359"/>
    <mergeCell ref="F338:F345"/>
    <mergeCell ref="J354:J358"/>
    <mergeCell ref="O381:O382"/>
    <mergeCell ref="N375:N377"/>
    <mergeCell ref="N378:N380"/>
    <mergeCell ref="O375:O377"/>
    <mergeCell ref="N308:N309"/>
    <mergeCell ref="O308:O309"/>
    <mergeCell ref="M329:M330"/>
    <mergeCell ref="N329:N330"/>
    <mergeCell ref="M255:M257"/>
    <mergeCell ref="Q394:Q400"/>
    <mergeCell ref="A289:A301"/>
    <mergeCell ref="B289:B301"/>
    <mergeCell ref="D289:D301"/>
    <mergeCell ref="E289:E301"/>
    <mergeCell ref="F289:F301"/>
    <mergeCell ref="A350:A353"/>
    <mergeCell ref="J287:J288"/>
    <mergeCell ref="M287:M288"/>
    <mergeCell ref="C289:C294"/>
    <mergeCell ref="C306:C309"/>
    <mergeCell ref="G365:G368"/>
    <mergeCell ref="P381:P382"/>
    <mergeCell ref="L365:L368"/>
    <mergeCell ref="P375:P380"/>
    <mergeCell ref="G354:G359"/>
    <mergeCell ref="H354:H359"/>
    <mergeCell ref="B350:B353"/>
    <mergeCell ref="K289:K301"/>
    <mergeCell ref="L289:L301"/>
    <mergeCell ref="Q289:Q301"/>
    <mergeCell ref="D331:D337"/>
    <mergeCell ref="E331:E337"/>
    <mergeCell ref="F331:F337"/>
    <mergeCell ref="G346:G349"/>
    <mergeCell ref="Q338:Q345"/>
    <mergeCell ref="R306:R309"/>
    <mergeCell ref="E385:E388"/>
    <mergeCell ref="J412:J417"/>
    <mergeCell ref="K412:K417"/>
    <mergeCell ref="E394:E400"/>
    <mergeCell ref="F394:F400"/>
    <mergeCell ref="O378:O380"/>
    <mergeCell ref="O383:O384"/>
    <mergeCell ref="N422:N423"/>
    <mergeCell ref="P407:P410"/>
    <mergeCell ref="K385:K388"/>
    <mergeCell ref="L385:L388"/>
    <mergeCell ref="H431:H435"/>
    <mergeCell ref="M369:M374"/>
    <mergeCell ref="C457:C460"/>
    <mergeCell ref="D457:D460"/>
    <mergeCell ref="E457:E460"/>
    <mergeCell ref="H457:H460"/>
    <mergeCell ref="J457:J460"/>
    <mergeCell ref="C431:C435"/>
    <mergeCell ref="D431:D435"/>
    <mergeCell ref="G431:G435"/>
    <mergeCell ref="E431:E435"/>
    <mergeCell ref="F431:F435"/>
    <mergeCell ref="M431:M434"/>
    <mergeCell ref="N431:N432"/>
    <mergeCell ref="C375:C384"/>
    <mergeCell ref="D375:D384"/>
    <mergeCell ref="C350:C353"/>
    <mergeCell ref="D350:D353"/>
    <mergeCell ref="E350:E353"/>
    <mergeCell ref="D360:D361"/>
    <mergeCell ref="E360:E361"/>
    <mergeCell ref="D369:D374"/>
    <mergeCell ref="E369:E374"/>
    <mergeCell ref="F365:F368"/>
    <mergeCell ref="L369:L374"/>
    <mergeCell ref="I457:I460"/>
    <mergeCell ref="N409:N410"/>
    <mergeCell ref="F360:F361"/>
    <mergeCell ref="H422:H425"/>
    <mergeCell ref="P385:P388"/>
    <mergeCell ref="O397:O399"/>
    <mergeCell ref="P418:P421"/>
    <mergeCell ref="O453:O454"/>
    <mergeCell ref="M455:M456"/>
    <mergeCell ref="D446:D449"/>
    <mergeCell ref="E446:E449"/>
    <mergeCell ref="F446:F449"/>
    <mergeCell ref="I446:I449"/>
    <mergeCell ref="K446:K449"/>
    <mergeCell ref="L446:L449"/>
    <mergeCell ref="I389:I393"/>
    <mergeCell ref="J389:J391"/>
    <mergeCell ref="O354:O355"/>
    <mergeCell ref="N354:N355"/>
    <mergeCell ref="P354:P358"/>
    <mergeCell ref="AL697:AL698"/>
    <mergeCell ref="AO362:AO364"/>
    <mergeCell ref="AM422:AM425"/>
    <mergeCell ref="AC401:AC402"/>
    <mergeCell ref="AC403:AC404"/>
    <mergeCell ref="Y426:Y427"/>
    <mergeCell ref="Y429:Y430"/>
    <mergeCell ref="AI428:AI430"/>
    <mergeCell ref="AJ426:AJ430"/>
    <mergeCell ref="AK426:AK430"/>
    <mergeCell ref="AM720:AM722"/>
    <mergeCell ref="AF720:AF722"/>
    <mergeCell ref="L699:L705"/>
    <mergeCell ref="R699:R703"/>
    <mergeCell ref="M699:M703"/>
    <mergeCell ref="N699:N703"/>
    <mergeCell ref="J699:J703"/>
    <mergeCell ref="O699:O703"/>
    <mergeCell ref="J704:J705"/>
    <mergeCell ref="G699:G705"/>
    <mergeCell ref="S699:S703"/>
    <mergeCell ref="N363:N364"/>
    <mergeCell ref="V424:V425"/>
    <mergeCell ref="W422:W425"/>
    <mergeCell ref="H699:H705"/>
    <mergeCell ref="AJ365:AJ368"/>
    <mergeCell ref="P394:P399"/>
    <mergeCell ref="N394:N396"/>
    <mergeCell ref="O394:O396"/>
    <mergeCell ref="J405:J406"/>
    <mergeCell ref="K405:K406"/>
    <mergeCell ref="R549:R554"/>
    <mergeCell ref="R556:R557"/>
    <mergeCell ref="R558:R559"/>
    <mergeCell ref="X549:X561"/>
    <mergeCell ref="M704:M705"/>
    <mergeCell ref="N704:N705"/>
    <mergeCell ref="O704:O705"/>
    <mergeCell ref="P704:P705"/>
    <mergeCell ref="R704:R705"/>
    <mergeCell ref="Q699:Q705"/>
    <mergeCell ref="P699:P703"/>
    <mergeCell ref="I699:I705"/>
    <mergeCell ref="K699:K705"/>
    <mergeCell ref="J369:J374"/>
    <mergeCell ref="K369:K374"/>
    <mergeCell ref="AM699:AM703"/>
    <mergeCell ref="AL699:AL703"/>
    <mergeCell ref="AK699:AK703"/>
    <mergeCell ref="AI699:AI703"/>
    <mergeCell ref="AF699:AF703"/>
    <mergeCell ref="W699:W705"/>
    <mergeCell ref="U699:U703"/>
    <mergeCell ref="AF431:AF434"/>
    <mergeCell ref="V431:V432"/>
    <mergeCell ref="S381:S382"/>
    <mergeCell ref="Y431:Y432"/>
    <mergeCell ref="AC431:AC432"/>
    <mergeCell ref="AI422:AI425"/>
    <mergeCell ref="AK378:AK380"/>
    <mergeCell ref="W633:W635"/>
    <mergeCell ref="N551:N554"/>
    <mergeCell ref="N424:N425"/>
    <mergeCell ref="O424:O425"/>
    <mergeCell ref="AJ681:AJ696"/>
    <mergeCell ref="Y693:Y694"/>
    <mergeCell ref="Y681:Y682"/>
    <mergeCell ref="AC528:AC529"/>
    <mergeCell ref="AC530:AC531"/>
    <mergeCell ref="AM549:AM561"/>
    <mergeCell ref="AO609:AO611"/>
    <mergeCell ref="AN609:AN611"/>
    <mergeCell ref="AO612:AO615"/>
    <mergeCell ref="AG612:AG615"/>
    <mergeCell ref="AI378:AI380"/>
    <mergeCell ref="AC407:AC408"/>
    <mergeCell ref="Y385:Y386"/>
    <mergeCell ref="Y387:Y388"/>
    <mergeCell ref="AN669:AN671"/>
    <mergeCell ref="AO669:AO671"/>
    <mergeCell ref="AF669:AF671"/>
    <mergeCell ref="AG669:AG671"/>
    <mergeCell ref="AI669:AI671"/>
    <mergeCell ref="AJ669:AJ671"/>
    <mergeCell ref="AK669:AK671"/>
    <mergeCell ref="AL669:AL671"/>
    <mergeCell ref="AM653:AM655"/>
    <mergeCell ref="AL653:AL655"/>
    <mergeCell ref="AJ650:AJ652"/>
    <mergeCell ref="AK650:AK652"/>
    <mergeCell ref="AL650:AL652"/>
    <mergeCell ref="AG633:AG635"/>
    <mergeCell ref="AA612:AA613"/>
    <mergeCell ref="AB612:AB613"/>
    <mergeCell ref="Y612:Y613"/>
    <mergeCell ref="AO385:AO388"/>
    <mergeCell ref="AN375:AN384"/>
    <mergeCell ref="AK448:AK449"/>
    <mergeCell ref="AF426:AF430"/>
    <mergeCell ref="AG426:AG430"/>
    <mergeCell ref="AF381:AF382"/>
    <mergeCell ref="AF383:AF384"/>
    <mergeCell ref="AN385:AN388"/>
    <mergeCell ref="AC379:AC380"/>
    <mergeCell ref="AN394:AN400"/>
    <mergeCell ref="AC543:AC544"/>
    <mergeCell ref="Y476:Y477"/>
    <mergeCell ref="Y478:Y479"/>
    <mergeCell ref="AK530:AK533"/>
    <mergeCell ref="AL549:AL561"/>
    <mergeCell ref="AJ549:AJ561"/>
    <mergeCell ref="AK541:AK543"/>
    <mergeCell ref="AJ526:AJ533"/>
    <mergeCell ref="AL526:AL533"/>
    <mergeCell ref="AO426:AO430"/>
    <mergeCell ref="AN426:AN430"/>
    <mergeCell ref="AM381:AM382"/>
    <mergeCell ref="AO375:AO384"/>
    <mergeCell ref="AO389:AO393"/>
    <mergeCell ref="AO446:AO449"/>
    <mergeCell ref="AM450:AM454"/>
    <mergeCell ref="AC457:AC458"/>
    <mergeCell ref="AO450:AO456"/>
    <mergeCell ref="AO506:AO525"/>
    <mergeCell ref="AN493:AN502"/>
    <mergeCell ref="AN405:AN406"/>
    <mergeCell ref="AK390:AK391"/>
    <mergeCell ref="AL389:AL391"/>
    <mergeCell ref="AM650:AM652"/>
    <mergeCell ref="AO405:AO406"/>
    <mergeCell ref="AO407:AO411"/>
    <mergeCell ref="AJ422:AJ425"/>
    <mergeCell ref="AL422:AL425"/>
    <mergeCell ref="AL412:AL417"/>
    <mergeCell ref="AM412:AM417"/>
    <mergeCell ref="AK412:AK413"/>
    <mergeCell ref="AK414:AK417"/>
    <mergeCell ref="AN407:AN411"/>
    <mergeCell ref="Y409:Y410"/>
    <mergeCell ref="AK420:AK421"/>
    <mergeCell ref="AN681:AN698"/>
    <mergeCell ref="AK681:AK686"/>
    <mergeCell ref="AK689:AK696"/>
    <mergeCell ref="AM697:AM698"/>
    <mergeCell ref="Q636:Q637"/>
    <mergeCell ref="R636:R637"/>
    <mergeCell ref="O633:O635"/>
    <mergeCell ref="P633:P635"/>
    <mergeCell ref="Q633:Q635"/>
    <mergeCell ref="R633:R635"/>
    <mergeCell ref="P619:P621"/>
    <mergeCell ref="U666:U668"/>
    <mergeCell ref="R669:R671"/>
    <mergeCell ref="S669:S671"/>
    <mergeCell ref="T669:T671"/>
    <mergeCell ref="P669:P671"/>
    <mergeCell ref="Q669:Q671"/>
    <mergeCell ref="Q717:Q719"/>
    <mergeCell ref="V653:V655"/>
    <mergeCell ref="U633:U635"/>
    <mergeCell ref="V633:V635"/>
    <mergeCell ref="S704:S705"/>
    <mergeCell ref="O666:O668"/>
    <mergeCell ref="P666:P668"/>
    <mergeCell ref="Q666:Q668"/>
    <mergeCell ref="R666:R668"/>
    <mergeCell ref="S666:S668"/>
    <mergeCell ref="T666:T668"/>
    <mergeCell ref="U714:U716"/>
    <mergeCell ref="S717:S718"/>
    <mergeCell ref="T717:T718"/>
    <mergeCell ref="V666:V668"/>
    <mergeCell ref="P659:P663"/>
    <mergeCell ref="V681:V688"/>
    <mergeCell ref="AI633:AI635"/>
    <mergeCell ref="V710:V711"/>
    <mergeCell ref="W710:W711"/>
    <mergeCell ref="AI714:AI716"/>
    <mergeCell ref="AF714:AF716"/>
    <mergeCell ref="AG714:AG716"/>
    <mergeCell ref="W717:W719"/>
    <mergeCell ref="X717:X719"/>
    <mergeCell ref="U717:U718"/>
    <mergeCell ref="V717:V718"/>
    <mergeCell ref="W714:W716"/>
    <mergeCell ref="O717:O718"/>
    <mergeCell ref="AG712:AG713"/>
    <mergeCell ref="S714:S716"/>
    <mergeCell ref="T714:T716"/>
    <mergeCell ref="AJ612:AJ615"/>
    <mergeCell ref="AJ697:AJ698"/>
    <mergeCell ref="AL681:AL696"/>
    <mergeCell ref="AF712:AF713"/>
    <mergeCell ref="S712:S713"/>
    <mergeCell ref="T712:T713"/>
    <mergeCell ref="U712:U713"/>
    <mergeCell ref="V714:V716"/>
    <mergeCell ref="R717:R718"/>
    <mergeCell ref="O712:O713"/>
    <mergeCell ref="P712:P713"/>
    <mergeCell ref="O714:O716"/>
    <mergeCell ref="P714:P716"/>
    <mergeCell ref="Q714:Q716"/>
    <mergeCell ref="O710:O711"/>
    <mergeCell ref="P710:P711"/>
    <mergeCell ref="Q710:Q711"/>
    <mergeCell ref="T710:T711"/>
    <mergeCell ref="U710:U711"/>
    <mergeCell ref="A724:A726"/>
    <mergeCell ref="B724:B726"/>
    <mergeCell ref="C724:C726"/>
    <mergeCell ref="A720:A723"/>
    <mergeCell ref="B720:B723"/>
    <mergeCell ref="C720:C723"/>
    <mergeCell ref="K717:K719"/>
    <mergeCell ref="L717:L719"/>
    <mergeCell ref="D724:D726"/>
    <mergeCell ref="E724:E726"/>
    <mergeCell ref="F724:F726"/>
    <mergeCell ref="D720:D723"/>
    <mergeCell ref="E720:E723"/>
    <mergeCell ref="M717:M718"/>
    <mergeCell ref="N717:N718"/>
    <mergeCell ref="J717:J718"/>
    <mergeCell ref="A717:A719"/>
    <mergeCell ref="B717:B719"/>
    <mergeCell ref="C717:C719"/>
    <mergeCell ref="D717:D719"/>
    <mergeCell ref="E717:E719"/>
    <mergeCell ref="F717:F719"/>
    <mergeCell ref="G717:G719"/>
    <mergeCell ref="G724:G726"/>
    <mergeCell ref="I717:I719"/>
    <mergeCell ref="M724:M726"/>
    <mergeCell ref="N724:N726"/>
    <mergeCell ref="K712:K713"/>
    <mergeCell ref="L712:L713"/>
    <mergeCell ref="M712:M713"/>
    <mergeCell ref="N712:N713"/>
    <mergeCell ref="F720:F723"/>
    <mergeCell ref="G720:G723"/>
    <mergeCell ref="H720:H723"/>
    <mergeCell ref="I720:I723"/>
    <mergeCell ref="K720:K723"/>
    <mergeCell ref="L720:L723"/>
    <mergeCell ref="J720:J722"/>
    <mergeCell ref="G714:G716"/>
    <mergeCell ref="H714:H716"/>
    <mergeCell ref="I714:I716"/>
    <mergeCell ref="J714:J716"/>
    <mergeCell ref="I712:I713"/>
    <mergeCell ref="J712:J713"/>
    <mergeCell ref="L714:L716"/>
    <mergeCell ref="H724:H726"/>
    <mergeCell ref="M720:M722"/>
    <mergeCell ref="N720:N722"/>
    <mergeCell ref="M714:M716"/>
    <mergeCell ref="C714:C716"/>
    <mergeCell ref="D714:D716"/>
    <mergeCell ref="E714:E716"/>
    <mergeCell ref="F714:F716"/>
    <mergeCell ref="K714:K716"/>
    <mergeCell ref="A714:A716"/>
    <mergeCell ref="B714:B716"/>
    <mergeCell ref="A712:A713"/>
    <mergeCell ref="B712:B713"/>
    <mergeCell ref="C712:C713"/>
    <mergeCell ref="J436:J441"/>
    <mergeCell ref="I289:I301"/>
    <mergeCell ref="O299:O300"/>
    <mergeCell ref="L338:L345"/>
    <mergeCell ref="M350:M353"/>
    <mergeCell ref="M360:M361"/>
    <mergeCell ref="P360:P361"/>
    <mergeCell ref="P422:P425"/>
    <mergeCell ref="M346:M349"/>
    <mergeCell ref="N403:N404"/>
    <mergeCell ref="M476:M483"/>
    <mergeCell ref="N480:N483"/>
    <mergeCell ref="J426:J430"/>
    <mergeCell ref="K426:K430"/>
    <mergeCell ref="AC362:AC363"/>
    <mergeCell ref="X362:X364"/>
    <mergeCell ref="Y362:Y363"/>
    <mergeCell ref="R389:R391"/>
    <mergeCell ref="S389:S391"/>
    <mergeCell ref="S442:S445"/>
    <mergeCell ref="S461:S468"/>
    <mergeCell ref="J422:J425"/>
    <mergeCell ref="K422:K425"/>
    <mergeCell ref="V381:V382"/>
    <mergeCell ref="K375:K384"/>
    <mergeCell ref="L375:L384"/>
    <mergeCell ref="M383:M384"/>
    <mergeCell ref="N383:N384"/>
    <mergeCell ref="I362:I364"/>
    <mergeCell ref="J383:J384"/>
    <mergeCell ref="M354:M358"/>
    <mergeCell ref="I365:I368"/>
    <mergeCell ref="N367:N368"/>
    <mergeCell ref="K365:K368"/>
    <mergeCell ref="J381:J382"/>
    <mergeCell ref="M381:M382"/>
    <mergeCell ref="V403:V404"/>
    <mergeCell ref="Y420:Y421"/>
    <mergeCell ref="J375:J380"/>
    <mergeCell ref="P389:P391"/>
    <mergeCell ref="N365:N366"/>
    <mergeCell ref="O422:O423"/>
    <mergeCell ref="Q401:Q404"/>
    <mergeCell ref="V365:V366"/>
    <mergeCell ref="L422:L425"/>
    <mergeCell ref="M422:M425"/>
    <mergeCell ref="Q422:Q425"/>
    <mergeCell ref="U439:U441"/>
    <mergeCell ref="Y465:Y466"/>
    <mergeCell ref="B426:B430"/>
    <mergeCell ref="C426:C430"/>
    <mergeCell ref="F426:F430"/>
    <mergeCell ref="G426:G430"/>
    <mergeCell ref="D712:D713"/>
    <mergeCell ref="E712:E713"/>
    <mergeCell ref="F712:F713"/>
    <mergeCell ref="G712:G713"/>
    <mergeCell ref="V506:V508"/>
    <mergeCell ref="U509:U511"/>
    <mergeCell ref="N509:N511"/>
    <mergeCell ref="O509:O511"/>
    <mergeCell ref="R518:R523"/>
    <mergeCell ref="S518:S523"/>
    <mergeCell ref="Q506:Q525"/>
    <mergeCell ref="AC418:AC419"/>
    <mergeCell ref="Q431:Q435"/>
    <mergeCell ref="I431:I435"/>
    <mergeCell ref="J431:J435"/>
    <mergeCell ref="K431:K435"/>
    <mergeCell ref="Q656:Q658"/>
    <mergeCell ref="R656:R658"/>
    <mergeCell ref="S656:S658"/>
    <mergeCell ref="T656:T658"/>
    <mergeCell ref="V638:V640"/>
    <mergeCell ref="P706:P709"/>
    <mergeCell ref="Q706:Q709"/>
    <mergeCell ref="S681:S696"/>
    <mergeCell ref="S697:S698"/>
    <mergeCell ref="O551:O554"/>
    <mergeCell ref="R493:R500"/>
    <mergeCell ref="U534:U537"/>
    <mergeCell ref="T503:T505"/>
    <mergeCell ref="U503:U505"/>
    <mergeCell ref="M633:M635"/>
    <mergeCell ref="N638:N640"/>
    <mergeCell ref="S653:S655"/>
    <mergeCell ref="T633:T635"/>
    <mergeCell ref="E633:E635"/>
    <mergeCell ref="F633:F635"/>
    <mergeCell ref="G633:G635"/>
    <mergeCell ref="E526:E548"/>
    <mergeCell ref="M622:M624"/>
    <mergeCell ref="O556:O557"/>
    <mergeCell ref="P556:P557"/>
    <mergeCell ref="N420:N421"/>
    <mergeCell ref="V619:V621"/>
    <mergeCell ref="K442:K445"/>
    <mergeCell ref="L442:L445"/>
    <mergeCell ref="M442:M445"/>
    <mergeCell ref="N442:N443"/>
    <mergeCell ref="N444:N445"/>
    <mergeCell ref="H426:H430"/>
    <mergeCell ref="E461:E470"/>
    <mergeCell ref="I485:I492"/>
    <mergeCell ref="F461:F470"/>
    <mergeCell ref="G461:G470"/>
    <mergeCell ref="H461:H470"/>
    <mergeCell ref="I461:I470"/>
    <mergeCell ref="J469:J470"/>
    <mergeCell ref="M469:M470"/>
    <mergeCell ref="M461:M468"/>
    <mergeCell ref="J461:J468"/>
    <mergeCell ref="N474:N475"/>
    <mergeCell ref="L471:L475"/>
    <mergeCell ref="D562:D578"/>
    <mergeCell ref="M568:M569"/>
    <mergeCell ref="N574:N575"/>
    <mergeCell ref="E143:E159"/>
    <mergeCell ref="F526:F548"/>
    <mergeCell ref="G526:G548"/>
    <mergeCell ref="H526:H548"/>
    <mergeCell ref="A526:A548"/>
    <mergeCell ref="A636:A637"/>
    <mergeCell ref="B636:B637"/>
    <mergeCell ref="C636:C637"/>
    <mergeCell ref="D636:D637"/>
    <mergeCell ref="E636:E637"/>
    <mergeCell ref="F636:F637"/>
    <mergeCell ref="F143:F159"/>
    <mergeCell ref="G143:G159"/>
    <mergeCell ref="H143:H159"/>
    <mergeCell ref="I143:I159"/>
    <mergeCell ref="J143:J158"/>
    <mergeCell ref="F369:F374"/>
    <mergeCell ref="H369:H374"/>
    <mergeCell ref="I369:I374"/>
    <mergeCell ref="J365:J368"/>
    <mergeCell ref="P547:P548"/>
    <mergeCell ref="M534:M537"/>
    <mergeCell ref="N534:N537"/>
    <mergeCell ref="N446:N447"/>
    <mergeCell ref="L412:L417"/>
    <mergeCell ref="N526:N529"/>
    <mergeCell ref="O538:O540"/>
    <mergeCell ref="A365:A368"/>
    <mergeCell ref="B365:B368"/>
    <mergeCell ref="C365:C368"/>
    <mergeCell ref="P526:P533"/>
    <mergeCell ref="O534:O537"/>
    <mergeCell ref="P534:P537"/>
    <mergeCell ref="I616:I618"/>
    <mergeCell ref="J506:J523"/>
    <mergeCell ref="K526:K548"/>
    <mergeCell ref="M365:M368"/>
    <mergeCell ref="P289:P291"/>
    <mergeCell ref="P292:P294"/>
    <mergeCell ref="P295:P297"/>
    <mergeCell ref="P298:P300"/>
    <mergeCell ref="A360:A361"/>
    <mergeCell ref="B360:B361"/>
    <mergeCell ref="H362:H364"/>
    <mergeCell ref="H365:H368"/>
    <mergeCell ref="E365:E368"/>
    <mergeCell ref="G362:G364"/>
    <mergeCell ref="I636:I637"/>
    <mergeCell ref="L604:L608"/>
    <mergeCell ref="M604:M606"/>
    <mergeCell ref="N604:N606"/>
    <mergeCell ref="K331:K337"/>
    <mergeCell ref="B369:B374"/>
    <mergeCell ref="C369:C374"/>
    <mergeCell ref="B526:B548"/>
    <mergeCell ref="C526:C548"/>
    <mergeCell ref="N352:N353"/>
    <mergeCell ref="O352:O353"/>
    <mergeCell ref="O350:O351"/>
    <mergeCell ref="P350:P353"/>
    <mergeCell ref="N350:N351"/>
    <mergeCell ref="B471:B475"/>
    <mergeCell ref="N264:N267"/>
    <mergeCell ref="N268:N270"/>
    <mergeCell ref="L346:L349"/>
    <mergeCell ref="N348:N349"/>
    <mergeCell ref="O348:O349"/>
    <mergeCell ref="M362:M364"/>
    <mergeCell ref="M289:M291"/>
    <mergeCell ref="L401:L404"/>
    <mergeCell ref="M401:M404"/>
    <mergeCell ref="A375:A384"/>
    <mergeCell ref="B375:B384"/>
    <mergeCell ref="P442:P445"/>
    <mergeCell ref="M625:M627"/>
    <mergeCell ref="C346:C349"/>
    <mergeCell ref="D346:D349"/>
    <mergeCell ref="E346:E349"/>
    <mergeCell ref="F346:F349"/>
    <mergeCell ref="AI612:AI615"/>
    <mergeCell ref="D365:D368"/>
    <mergeCell ref="H407:H411"/>
    <mergeCell ref="N636:N637"/>
    <mergeCell ref="N628:N632"/>
    <mergeCell ref="X633:X635"/>
    <mergeCell ref="L669:L671"/>
    <mergeCell ref="M653:M655"/>
    <mergeCell ref="P697:P698"/>
    <mergeCell ref="Q681:Q698"/>
    <mergeCell ref="E669:E671"/>
    <mergeCell ref="A369:A374"/>
    <mergeCell ref="M526:M533"/>
    <mergeCell ref="AF558:AF559"/>
    <mergeCell ref="AE549:AE550"/>
    <mergeCell ref="AF549:AF554"/>
    <mergeCell ref="AC499:AC500"/>
    <mergeCell ref="I609:I611"/>
    <mergeCell ref="J609:J611"/>
    <mergeCell ref="K609:K611"/>
    <mergeCell ref="AI544:AI546"/>
    <mergeCell ref="P582:P584"/>
    <mergeCell ref="O582:O584"/>
    <mergeCell ref="Q579:Q584"/>
    <mergeCell ref="AE551:AE554"/>
    <mergeCell ref="AI551:AI554"/>
    <mergeCell ref="AF538:AF540"/>
    <mergeCell ref="Q591:Q596"/>
    <mergeCell ref="H506:H525"/>
    <mergeCell ref="I506:I525"/>
    <mergeCell ref="M509:M514"/>
    <mergeCell ref="N588:N590"/>
    <mergeCell ref="O588:O590"/>
    <mergeCell ref="P585:P590"/>
    <mergeCell ref="Q585:Q590"/>
    <mergeCell ref="H597:H598"/>
    <mergeCell ref="I597:I598"/>
    <mergeCell ref="X599:X603"/>
    <mergeCell ref="AF599:AF601"/>
    <mergeCell ref="AF602:AF603"/>
    <mergeCell ref="I503:I505"/>
    <mergeCell ref="M524:M525"/>
    <mergeCell ref="O574:O575"/>
    <mergeCell ref="L461:L470"/>
    <mergeCell ref="N407:N408"/>
    <mergeCell ref="M375:M380"/>
    <mergeCell ref="N381:N382"/>
    <mergeCell ref="K350:K353"/>
    <mergeCell ref="M426:M430"/>
    <mergeCell ref="P717:P718"/>
    <mergeCell ref="J616:J618"/>
    <mergeCell ref="K616:K618"/>
    <mergeCell ref="L616:L618"/>
    <mergeCell ref="N616:N618"/>
    <mergeCell ref="O616:O618"/>
    <mergeCell ref="M616:M618"/>
    <mergeCell ref="I476:I484"/>
    <mergeCell ref="O433:O434"/>
    <mergeCell ref="P431:P434"/>
    <mergeCell ref="V375:V377"/>
    <mergeCell ref="W375:W384"/>
    <mergeCell ref="Y369:Y370"/>
    <mergeCell ref="A457:A460"/>
    <mergeCell ref="B457:B460"/>
    <mergeCell ref="A346:A349"/>
    <mergeCell ref="B346:B349"/>
    <mergeCell ref="H346:H349"/>
    <mergeCell ref="I346:I349"/>
    <mergeCell ref="A471:A475"/>
    <mergeCell ref="U409:U410"/>
    <mergeCell ref="X375:X384"/>
    <mergeCell ref="J476:J483"/>
    <mergeCell ref="K476:K484"/>
    <mergeCell ref="G493:G502"/>
    <mergeCell ref="H485:H492"/>
    <mergeCell ref="N448:N449"/>
    <mergeCell ref="O448:O449"/>
    <mergeCell ref="D418:D421"/>
    <mergeCell ref="K418:K421"/>
    <mergeCell ref="D485:D492"/>
    <mergeCell ref="E485:E492"/>
    <mergeCell ref="F485:F492"/>
    <mergeCell ref="G485:G492"/>
    <mergeCell ref="O485:O488"/>
    <mergeCell ref="O436:O438"/>
    <mergeCell ref="I418:I421"/>
    <mergeCell ref="I422:I425"/>
    <mergeCell ref="R616:R618"/>
    <mergeCell ref="I442:I445"/>
    <mergeCell ref="J442:J445"/>
    <mergeCell ref="P493:P500"/>
    <mergeCell ref="S612:S615"/>
    <mergeCell ref="X503:X505"/>
    <mergeCell ref="Y493:Y494"/>
    <mergeCell ref="Y495:Y496"/>
    <mergeCell ref="Y497:Y498"/>
    <mergeCell ref="H503:H505"/>
    <mergeCell ref="M609:M611"/>
    <mergeCell ref="N609:N611"/>
    <mergeCell ref="O609:O611"/>
    <mergeCell ref="M538:M540"/>
    <mergeCell ref="P609:P611"/>
    <mergeCell ref="Q526:Q548"/>
    <mergeCell ref="W503:W505"/>
    <mergeCell ref="L526:L548"/>
    <mergeCell ref="M547:M548"/>
    <mergeCell ref="N547:N548"/>
    <mergeCell ref="O547:O548"/>
    <mergeCell ref="M558:M559"/>
    <mergeCell ref="P558:P559"/>
    <mergeCell ref="W549:W561"/>
    <mergeCell ref="P549:P554"/>
    <mergeCell ref="H609:H611"/>
    <mergeCell ref="H493:H502"/>
    <mergeCell ref="I493:I502"/>
    <mergeCell ref="N493:N497"/>
    <mergeCell ref="M556:M557"/>
    <mergeCell ref="N556:N557"/>
    <mergeCell ref="T512:T514"/>
    <mergeCell ref="S503:S505"/>
    <mergeCell ref="E375:E384"/>
    <mergeCell ref="F375:F384"/>
    <mergeCell ref="L418:L421"/>
    <mergeCell ref="M418:M421"/>
    <mergeCell ref="S609:S611"/>
    <mergeCell ref="O571:O573"/>
    <mergeCell ref="R407:R410"/>
    <mergeCell ref="C362:C364"/>
    <mergeCell ref="D362:D364"/>
    <mergeCell ref="E362:E364"/>
    <mergeCell ref="G418:G421"/>
    <mergeCell ref="M405:M406"/>
    <mergeCell ref="T394:T396"/>
    <mergeCell ref="N397:N399"/>
    <mergeCell ref="R405:R406"/>
    <mergeCell ref="E442:E445"/>
    <mergeCell ref="F442:F445"/>
    <mergeCell ref="J485:J490"/>
    <mergeCell ref="N489:N490"/>
    <mergeCell ref="M491:M492"/>
    <mergeCell ref="M485:M490"/>
    <mergeCell ref="R501:R502"/>
    <mergeCell ref="N466:N468"/>
    <mergeCell ref="H375:H384"/>
    <mergeCell ref="I375:I384"/>
    <mergeCell ref="J362:J364"/>
    <mergeCell ref="K362:K364"/>
    <mergeCell ref="L362:L364"/>
    <mergeCell ref="O363:O364"/>
    <mergeCell ref="O385:O386"/>
    <mergeCell ref="O387:O388"/>
    <mergeCell ref="N385:N386"/>
    <mergeCell ref="O407:O408"/>
    <mergeCell ref="N390:N391"/>
    <mergeCell ref="M407:M410"/>
    <mergeCell ref="P405:P406"/>
    <mergeCell ref="T401:T402"/>
    <mergeCell ref="R385:R388"/>
    <mergeCell ref="C471:C475"/>
    <mergeCell ref="D471:D475"/>
    <mergeCell ref="E471:E475"/>
    <mergeCell ref="F471:F475"/>
    <mergeCell ref="T367:T368"/>
    <mergeCell ref="O367:O368"/>
    <mergeCell ref="P365:P368"/>
    <mergeCell ref="Q365:Q368"/>
    <mergeCell ref="P362:P364"/>
    <mergeCell ref="Q362:Q364"/>
    <mergeCell ref="N418:N419"/>
    <mergeCell ref="N371:N374"/>
    <mergeCell ref="O371:O374"/>
    <mergeCell ref="P369:P374"/>
    <mergeCell ref="O392:O393"/>
    <mergeCell ref="P392:P393"/>
    <mergeCell ref="N401:N402"/>
    <mergeCell ref="I426:I430"/>
    <mergeCell ref="P426:P430"/>
    <mergeCell ref="AL541:AL546"/>
    <mergeCell ref="AK534:AK537"/>
    <mergeCell ref="AL534:AL537"/>
    <mergeCell ref="AM534:AM537"/>
    <mergeCell ref="AF526:AF533"/>
    <mergeCell ref="AM538:AM540"/>
    <mergeCell ref="AL369:AL374"/>
    <mergeCell ref="AF240:AF242"/>
    <mergeCell ref="AM201:AM202"/>
    <mergeCell ref="AK237:AK239"/>
    <mergeCell ref="AI232:AI233"/>
    <mergeCell ref="AI228:AI229"/>
    <mergeCell ref="AF208:AF211"/>
    <mergeCell ref="AM224:AM227"/>
    <mergeCell ref="AL224:AL227"/>
    <mergeCell ref="AK224:AK227"/>
    <mergeCell ref="AJ224:AJ227"/>
    <mergeCell ref="AM259:AM263"/>
    <mergeCell ref="AM264:AM270"/>
    <mergeCell ref="AI224:AI225"/>
    <mergeCell ref="AM461:AM468"/>
    <mergeCell ref="AI253:AI254"/>
    <mergeCell ref="AI450:AI452"/>
    <mergeCell ref="AI453:AI454"/>
    <mergeCell ref="AI455:AI456"/>
    <mergeCell ref="AC450:AC451"/>
    <mergeCell ref="AC452:AC453"/>
    <mergeCell ref="AK455:AK456"/>
    <mergeCell ref="AI474:AI475"/>
    <mergeCell ref="AJ471:AJ475"/>
    <mergeCell ref="AJ476:AJ483"/>
    <mergeCell ref="AK544:AK546"/>
    <mergeCell ref="Y272:Y273"/>
    <mergeCell ref="AK205:AK206"/>
    <mergeCell ref="AM237:AM239"/>
    <mergeCell ref="AL237:AL239"/>
    <mergeCell ref="AM232:AM235"/>
    <mergeCell ref="AL232:AL235"/>
    <mergeCell ref="AK232:AK235"/>
    <mergeCell ref="AC225:AC226"/>
    <mergeCell ref="Y229:Y230"/>
    <mergeCell ref="AC229:AC230"/>
    <mergeCell ref="Y335:Y336"/>
    <mergeCell ref="AC344:AC345"/>
    <mergeCell ref="Z338:Z339"/>
    <mergeCell ref="AF354:AF358"/>
    <mergeCell ref="AC338:AC339"/>
    <mergeCell ref="Y340:Y341"/>
    <mergeCell ref="AC340:AC341"/>
    <mergeCell ref="Y342:Y343"/>
    <mergeCell ref="Y338:Y339"/>
    <mergeCell ref="AF338:AF345"/>
    <mergeCell ref="AG338:AG345"/>
    <mergeCell ref="AH338:AH345"/>
    <mergeCell ref="AI339:AI345"/>
    <mergeCell ref="AK339:AK345"/>
    <mergeCell ref="Y346:Y347"/>
    <mergeCell ref="AI348:AI349"/>
    <mergeCell ref="AF331:AF336"/>
    <mergeCell ref="AL338:AL345"/>
    <mergeCell ref="AJ362:AJ364"/>
    <mergeCell ref="AL375:AL380"/>
    <mergeCell ref="AK365:AK368"/>
    <mergeCell ref="AG365:AG368"/>
    <mergeCell ref="AM493:AM500"/>
    <mergeCell ref="AI362:AI364"/>
    <mergeCell ref="AF418:AF421"/>
    <mergeCell ref="AF285:AF286"/>
    <mergeCell ref="AI285:AI286"/>
    <mergeCell ref="AK255:AK257"/>
    <mergeCell ref="AL255:AL257"/>
    <mergeCell ref="AM255:AM257"/>
    <mergeCell ref="AO436:AO441"/>
    <mergeCell ref="AL271:AL277"/>
    <mergeCell ref="AL278:AL284"/>
    <mergeCell ref="AN175:AN200"/>
    <mergeCell ref="AO175:AO200"/>
    <mergeCell ref="AJ208:AJ211"/>
    <mergeCell ref="AO240:AO258"/>
    <mergeCell ref="AL243:AL245"/>
    <mergeCell ref="AO259:AO288"/>
    <mergeCell ref="AN259:AN288"/>
    <mergeCell ref="AN240:AN258"/>
    <mergeCell ref="AC365:AC366"/>
    <mergeCell ref="AC367:AC368"/>
    <mergeCell ref="W365:W368"/>
    <mergeCell ref="AL365:AL368"/>
    <mergeCell ref="Y424:Y425"/>
    <mergeCell ref="AC424:AC425"/>
    <mergeCell ref="AC422:AC423"/>
    <mergeCell ref="AO442:AO445"/>
    <mergeCell ref="X426:X430"/>
    <mergeCell ref="AM436:AM441"/>
    <mergeCell ref="AL436:AL441"/>
    <mergeCell ref="Y436:Y437"/>
    <mergeCell ref="AF422:AF425"/>
    <mergeCell ref="AK436:AK441"/>
    <mergeCell ref="AF436:AF441"/>
    <mergeCell ref="AG436:AG441"/>
    <mergeCell ref="AI439:AI441"/>
    <mergeCell ref="AN450:AN456"/>
    <mergeCell ref="AL455:AL456"/>
    <mergeCell ref="AM455:AM456"/>
    <mergeCell ref="AJ455:AJ456"/>
    <mergeCell ref="AN461:AN470"/>
    <mergeCell ref="AO461:AO470"/>
    <mergeCell ref="AL191:AL198"/>
    <mergeCell ref="AM191:AM198"/>
    <mergeCell ref="AO338:AO345"/>
    <mergeCell ref="AO350:AO353"/>
    <mergeCell ref="AN350:AN353"/>
    <mergeCell ref="X346:X347"/>
    <mergeCell ref="AO354:AO359"/>
    <mergeCell ref="AN354:AN359"/>
    <mergeCell ref="W401:W404"/>
    <mergeCell ref="AI365:AI368"/>
    <mergeCell ref="AI350:AI351"/>
    <mergeCell ref="AB362:AB363"/>
    <mergeCell ref="AA362:AA363"/>
    <mergeCell ref="AJ346:AJ349"/>
    <mergeCell ref="AK362:AK364"/>
    <mergeCell ref="AL362:AL364"/>
    <mergeCell ref="AM360:AM361"/>
    <mergeCell ref="AN362:AN364"/>
    <mergeCell ref="W360:W361"/>
    <mergeCell ref="AM362:AM364"/>
    <mergeCell ref="AF362:AF364"/>
    <mergeCell ref="AH362:AH364"/>
    <mergeCell ref="AM457:AM460"/>
    <mergeCell ref="AC459:AC460"/>
    <mergeCell ref="AL457:AL460"/>
    <mergeCell ref="AF461:AF468"/>
    <mergeCell ref="AL461:AL468"/>
    <mergeCell ref="AI469:AI470"/>
    <mergeCell ref="AG461:AG470"/>
    <mergeCell ref="AC461:AC462"/>
    <mergeCell ref="AC463:AC464"/>
    <mergeCell ref="AC465:AC466"/>
    <mergeCell ref="AC467:AC468"/>
    <mergeCell ref="AN165:AN174"/>
    <mergeCell ref="AO346:AO349"/>
    <mergeCell ref="AI293:AI294"/>
    <mergeCell ref="AJ228:AJ231"/>
    <mergeCell ref="AF232:AF235"/>
    <mergeCell ref="AE306:AE307"/>
    <mergeCell ref="AF306:AF307"/>
    <mergeCell ref="AE308:AE309"/>
    <mergeCell ref="AF308:AF309"/>
    <mergeCell ref="AE316:AE317"/>
    <mergeCell ref="AG362:AG364"/>
    <mergeCell ref="AM407:AM410"/>
    <mergeCell ref="AJ405:AJ406"/>
    <mergeCell ref="AK405:AK406"/>
    <mergeCell ref="AM405:AM406"/>
    <mergeCell ref="AJ237:AJ239"/>
    <mergeCell ref="AC233:AC234"/>
    <mergeCell ref="AK289:AK291"/>
    <mergeCell ref="AK295:AK297"/>
    <mergeCell ref="AK302:AK330"/>
    <mergeCell ref="AL302:AL330"/>
    <mergeCell ref="AI354:AI355"/>
    <mergeCell ref="AC253:AC254"/>
    <mergeCell ref="AG394:AG400"/>
    <mergeCell ref="AM369:AM374"/>
    <mergeCell ref="AG369:AG374"/>
    <mergeCell ref="AI371:AI374"/>
    <mergeCell ref="AJ369:AJ374"/>
    <mergeCell ref="AG418:AG421"/>
    <mergeCell ref="AI383:AI384"/>
    <mergeCell ref="AC371:AC372"/>
    <mergeCell ref="AM354:AM358"/>
    <mergeCell ref="AN338:AN345"/>
    <mergeCell ref="AC360:AC361"/>
    <mergeCell ref="AM271:AM277"/>
    <mergeCell ref="AM278:AM284"/>
    <mergeCell ref="AF350:AF353"/>
    <mergeCell ref="AG350:AG353"/>
    <mergeCell ref="AJ350:AJ353"/>
    <mergeCell ref="AM295:AM297"/>
    <mergeCell ref="AE274:AE277"/>
    <mergeCell ref="AE282:AE284"/>
    <mergeCell ref="AM285:AM286"/>
    <mergeCell ref="AG259:AG288"/>
    <mergeCell ref="AI287:AI288"/>
    <mergeCell ref="AK259:AK263"/>
    <mergeCell ref="AK264:AK270"/>
    <mergeCell ref="AK271:AK277"/>
    <mergeCell ref="AK278:AK284"/>
    <mergeCell ref="AL259:AL263"/>
    <mergeCell ref="AL264:AL270"/>
    <mergeCell ref="AF320:AF321"/>
    <mergeCell ref="AL401:AL404"/>
    <mergeCell ref="AI412:AI413"/>
    <mergeCell ref="AI414:AI417"/>
    <mergeCell ref="AC412:AC413"/>
    <mergeCell ref="AC414:AC415"/>
    <mergeCell ref="AC416:AC417"/>
    <mergeCell ref="Y416:Y417"/>
    <mergeCell ref="Q369:Q374"/>
    <mergeCell ref="V397:V399"/>
    <mergeCell ref="V394:V396"/>
    <mergeCell ref="AC389:AC390"/>
    <mergeCell ref="AF392:AF393"/>
    <mergeCell ref="AF385:AF388"/>
    <mergeCell ref="AC385:AC386"/>
    <mergeCell ref="Y389:Y390"/>
    <mergeCell ref="AJ412:AJ417"/>
    <mergeCell ref="R392:R393"/>
    <mergeCell ref="AG407:AG411"/>
    <mergeCell ref="W385:W388"/>
    <mergeCell ref="AI407:AI408"/>
    <mergeCell ref="AI409:AI410"/>
    <mergeCell ref="AJ407:AJ410"/>
    <mergeCell ref="AK407:AK410"/>
    <mergeCell ref="AL407:AL410"/>
    <mergeCell ref="X401:X404"/>
    <mergeCell ref="V407:V408"/>
    <mergeCell ref="V409:V410"/>
    <mergeCell ref="V401:V402"/>
    <mergeCell ref="S285:S286"/>
    <mergeCell ref="T285:T286"/>
    <mergeCell ref="S278:S284"/>
    <mergeCell ref="T278:T281"/>
    <mergeCell ref="AM165:AM172"/>
    <mergeCell ref="AG240:AG258"/>
    <mergeCell ref="V306:V307"/>
    <mergeCell ref="V308:V309"/>
    <mergeCell ref="U348:U349"/>
    <mergeCell ref="R224:R227"/>
    <mergeCell ref="R228:R231"/>
    <mergeCell ref="V218:V219"/>
    <mergeCell ref="V226:V227"/>
    <mergeCell ref="V230:V231"/>
    <mergeCell ref="V220:V221"/>
    <mergeCell ref="V228:V229"/>
    <mergeCell ref="R327:R328"/>
    <mergeCell ref="R329:R330"/>
    <mergeCell ref="V338:V342"/>
    <mergeCell ref="V346:V347"/>
    <mergeCell ref="V348:V349"/>
    <mergeCell ref="U365:U366"/>
    <mergeCell ref="U367:U368"/>
    <mergeCell ref="U346:U347"/>
    <mergeCell ref="Q350:Q353"/>
    <mergeCell ref="R350:R353"/>
    <mergeCell ref="S350:S353"/>
    <mergeCell ref="T350:T351"/>
    <mergeCell ref="T352:T353"/>
    <mergeCell ref="U350:U351"/>
    <mergeCell ref="U401:U402"/>
    <mergeCell ref="T403:T404"/>
    <mergeCell ref="S401:S404"/>
    <mergeCell ref="U403:U404"/>
    <mergeCell ref="Q385:Q388"/>
    <mergeCell ref="V385:V386"/>
    <mergeCell ref="AK375:AK377"/>
    <mergeCell ref="AI420:AI421"/>
    <mergeCell ref="AJ418:AJ421"/>
    <mergeCell ref="AH422:AH425"/>
    <mergeCell ref="W431:W435"/>
    <mergeCell ref="Y433:Y434"/>
    <mergeCell ref="AC433:AC434"/>
    <mergeCell ref="AG431:AG435"/>
    <mergeCell ref="X418:X421"/>
    <mergeCell ref="AI397:AI399"/>
    <mergeCell ref="V433:V434"/>
    <mergeCell ref="T420:T421"/>
    <mergeCell ref="U420:U421"/>
    <mergeCell ref="U418:U419"/>
    <mergeCell ref="V387:V388"/>
    <mergeCell ref="AK381:AK382"/>
    <mergeCell ref="AJ383:AJ384"/>
    <mergeCell ref="AJ385:AJ388"/>
    <mergeCell ref="AI381:AI382"/>
    <mergeCell ref="W389:W393"/>
    <mergeCell ref="X389:X393"/>
    <mergeCell ref="Y260:Y261"/>
    <mergeCell ref="Y262:Y263"/>
    <mergeCell ref="Y265:Y266"/>
    <mergeCell ref="Y267:Y268"/>
    <mergeCell ref="Y274:Y275"/>
    <mergeCell ref="Y279:Y280"/>
    <mergeCell ref="R285:R286"/>
    <mergeCell ref="V412:V413"/>
    <mergeCell ref="AK418:AK419"/>
    <mergeCell ref="S375:S380"/>
    <mergeCell ref="T418:T419"/>
    <mergeCell ref="Q407:Q411"/>
    <mergeCell ref="Y401:Y402"/>
    <mergeCell ref="U375:U377"/>
    <mergeCell ref="AJ375:AJ380"/>
    <mergeCell ref="V378:V380"/>
    <mergeCell ref="T375:T377"/>
    <mergeCell ref="T378:T380"/>
    <mergeCell ref="AF369:AF374"/>
    <mergeCell ref="S369:S374"/>
    <mergeCell ref="V369:V370"/>
    <mergeCell ref="AC369:AC370"/>
    <mergeCell ref="U371:U374"/>
    <mergeCell ref="V371:V374"/>
    <mergeCell ref="W369:W374"/>
    <mergeCell ref="X369:X374"/>
    <mergeCell ref="U369:U370"/>
    <mergeCell ref="AK369:AK370"/>
    <mergeCell ref="AK371:AK374"/>
    <mergeCell ref="Q375:Q384"/>
    <mergeCell ref="R383:R384"/>
    <mergeCell ref="S383:S384"/>
    <mergeCell ref="V422:V423"/>
    <mergeCell ref="U422:U423"/>
    <mergeCell ref="U424:U425"/>
    <mergeCell ref="S385:S388"/>
    <mergeCell ref="Q354:Q359"/>
    <mergeCell ref="R354:R358"/>
    <mergeCell ref="R362:R364"/>
    <mergeCell ref="S362:S364"/>
    <mergeCell ref="T363:T364"/>
    <mergeCell ref="U363:U364"/>
    <mergeCell ref="V363:V364"/>
    <mergeCell ref="AO422:AO425"/>
    <mergeCell ref="AG422:AG425"/>
    <mergeCell ref="V420:V421"/>
    <mergeCell ref="W418:W421"/>
    <mergeCell ref="AM389:AM391"/>
    <mergeCell ref="AK385:AK388"/>
    <mergeCell ref="AL385:AL388"/>
    <mergeCell ref="AL426:AL430"/>
    <mergeCell ref="AM426:AM430"/>
    <mergeCell ref="AM431:AM435"/>
    <mergeCell ref="AN431:AN435"/>
    <mergeCell ref="Y377:Y378"/>
    <mergeCell ref="T414:T417"/>
    <mergeCell ref="Y405:Y406"/>
    <mergeCell ref="X405:X406"/>
    <mergeCell ref="AO431:AO435"/>
    <mergeCell ref="AO394:AO400"/>
    <mergeCell ref="AN401:AN404"/>
    <mergeCell ref="AO401:AO404"/>
    <mergeCell ref="AN412:AN417"/>
    <mergeCell ref="Y403:Y404"/>
    <mergeCell ref="AF412:AF417"/>
    <mergeCell ref="AG412:AG417"/>
    <mergeCell ref="Y412:Y413"/>
    <mergeCell ref="AM394:AM399"/>
    <mergeCell ref="Y375:Y376"/>
    <mergeCell ref="Y379:Y380"/>
    <mergeCell ref="AL381:AL382"/>
    <mergeCell ref="AN389:AN393"/>
    <mergeCell ref="Y407:Y408"/>
    <mergeCell ref="AJ401:AJ404"/>
    <mergeCell ref="AK401:AK404"/>
    <mergeCell ref="AM385:AM388"/>
    <mergeCell ref="AK392:AK393"/>
    <mergeCell ref="AL392:AL393"/>
    <mergeCell ref="AM392:AM393"/>
    <mergeCell ref="AM383:AM384"/>
    <mergeCell ref="AM375:AM380"/>
    <mergeCell ref="AL383:AL384"/>
    <mergeCell ref="AI385:AI386"/>
    <mergeCell ref="T385:T386"/>
    <mergeCell ref="AL418:AL421"/>
    <mergeCell ref="AI418:AI419"/>
    <mergeCell ref="AK422:AK423"/>
    <mergeCell ref="U394:U396"/>
    <mergeCell ref="V392:V393"/>
    <mergeCell ref="W407:W411"/>
    <mergeCell ref="X407:X411"/>
    <mergeCell ref="AF394:AF399"/>
    <mergeCell ref="AI394:AI396"/>
    <mergeCell ref="AI390:AI391"/>
    <mergeCell ref="AF389:AF391"/>
    <mergeCell ref="T390:T391"/>
    <mergeCell ref="U390:U391"/>
    <mergeCell ref="V390:V391"/>
    <mergeCell ref="U392:U393"/>
    <mergeCell ref="AM418:AM421"/>
    <mergeCell ref="AK383:AK384"/>
    <mergeCell ref="T431:T432"/>
    <mergeCell ref="T433:T434"/>
    <mergeCell ref="U431:U432"/>
    <mergeCell ref="U433:U434"/>
    <mergeCell ref="AC409:AC410"/>
    <mergeCell ref="AM401:AM404"/>
    <mergeCell ref="AN422:AN425"/>
    <mergeCell ref="T436:T438"/>
    <mergeCell ref="AJ436:AJ441"/>
    <mergeCell ref="D426:D430"/>
    <mergeCell ref="E426:E430"/>
    <mergeCell ref="AI442:AI443"/>
    <mergeCell ref="AI444:AI445"/>
    <mergeCell ref="V436:V438"/>
    <mergeCell ref="AC436:AC437"/>
    <mergeCell ref="Y446:Y447"/>
    <mergeCell ref="AL446:AL449"/>
    <mergeCell ref="AH431:AH435"/>
    <mergeCell ref="AL431:AL435"/>
    <mergeCell ref="T426:T427"/>
    <mergeCell ref="AJ450:AJ454"/>
    <mergeCell ref="H450:H456"/>
    <mergeCell ref="B450:B456"/>
    <mergeCell ref="V455:V456"/>
    <mergeCell ref="U455:U456"/>
    <mergeCell ref="O455:O456"/>
    <mergeCell ref="N453:N454"/>
    <mergeCell ref="A426:A430"/>
    <mergeCell ref="T442:T443"/>
    <mergeCell ref="T444:T445"/>
    <mergeCell ref="S446:S449"/>
    <mergeCell ref="R450:R454"/>
    <mergeCell ref="T455:T456"/>
    <mergeCell ref="P450:P454"/>
    <mergeCell ref="G442:G445"/>
    <mergeCell ref="H442:H445"/>
    <mergeCell ref="N436:N438"/>
    <mergeCell ref="M436:M441"/>
    <mergeCell ref="N439:N441"/>
    <mergeCell ref="O439:O441"/>
    <mergeCell ref="P436:P441"/>
    <mergeCell ref="G436:G441"/>
    <mergeCell ref="H436:H441"/>
    <mergeCell ref="A436:A441"/>
    <mergeCell ref="B436:B441"/>
    <mergeCell ref="C436:C441"/>
    <mergeCell ref="AN436:AN441"/>
    <mergeCell ref="I450:I456"/>
    <mergeCell ref="S426:S430"/>
    <mergeCell ref="AK453:AK454"/>
    <mergeCell ref="AL450:AL454"/>
    <mergeCell ref="AC438:AC439"/>
    <mergeCell ref="AC442:AC443"/>
    <mergeCell ref="AI436:AI438"/>
    <mergeCell ref="AF442:AF445"/>
    <mergeCell ref="AG442:AG445"/>
    <mergeCell ref="O426:O427"/>
    <mergeCell ref="O428:O430"/>
    <mergeCell ref="L431:L435"/>
    <mergeCell ref="AM446:AM449"/>
    <mergeCell ref="AN446:AN449"/>
    <mergeCell ref="Q442:Q445"/>
    <mergeCell ref="AG450:AG456"/>
    <mergeCell ref="AK450:AK452"/>
    <mergeCell ref="P461:P468"/>
    <mergeCell ref="N476:N479"/>
    <mergeCell ref="R503:R505"/>
    <mergeCell ref="M503:M505"/>
    <mergeCell ref="J503:J505"/>
    <mergeCell ref="K503:K505"/>
    <mergeCell ref="L503:L505"/>
    <mergeCell ref="N503:N505"/>
    <mergeCell ref="O503:O505"/>
    <mergeCell ref="P503:P505"/>
    <mergeCell ref="A493:A502"/>
    <mergeCell ref="B493:B502"/>
    <mergeCell ref="C493:C502"/>
    <mergeCell ref="D493:D502"/>
    <mergeCell ref="E493:E502"/>
    <mergeCell ref="A476:A484"/>
    <mergeCell ref="B476:B484"/>
    <mergeCell ref="AN442:AN445"/>
    <mergeCell ref="AJ442:AJ445"/>
    <mergeCell ref="A450:A456"/>
    <mergeCell ref="U457:U458"/>
    <mergeCell ref="Y459:Y460"/>
    <mergeCell ref="J446:J449"/>
    <mergeCell ref="X457:X460"/>
    <mergeCell ref="O457:O458"/>
    <mergeCell ref="AI457:AI458"/>
    <mergeCell ref="AG457:AG460"/>
    <mergeCell ref="C476:C484"/>
    <mergeCell ref="D476:D484"/>
    <mergeCell ref="E476:E484"/>
    <mergeCell ref="F476:F484"/>
    <mergeCell ref="G476:G484"/>
    <mergeCell ref="H476:H484"/>
    <mergeCell ref="A442:A445"/>
    <mergeCell ref="B442:B445"/>
    <mergeCell ref="C442:C445"/>
    <mergeCell ref="D442:D445"/>
    <mergeCell ref="C450:C456"/>
    <mergeCell ref="D450:D456"/>
    <mergeCell ref="U442:U443"/>
    <mergeCell ref="A461:A470"/>
    <mergeCell ref="B461:B470"/>
    <mergeCell ref="C461:C470"/>
    <mergeCell ref="D461:D470"/>
    <mergeCell ref="N469:N470"/>
    <mergeCell ref="N471:N473"/>
    <mergeCell ref="N461:N465"/>
    <mergeCell ref="F457:F460"/>
    <mergeCell ref="G457:G460"/>
    <mergeCell ref="K461:K470"/>
    <mergeCell ref="L476:L484"/>
    <mergeCell ref="A485:A492"/>
    <mergeCell ref="B485:B492"/>
    <mergeCell ref="C485:C492"/>
    <mergeCell ref="I471:I475"/>
    <mergeCell ref="K457:K460"/>
    <mergeCell ref="L457:L460"/>
    <mergeCell ref="K471:K475"/>
    <mergeCell ref="M457:M460"/>
    <mergeCell ref="N369:N370"/>
    <mergeCell ref="O369:O370"/>
    <mergeCell ref="T369:T370"/>
    <mergeCell ref="U385:U386"/>
    <mergeCell ref="U412:U413"/>
    <mergeCell ref="V414:V417"/>
    <mergeCell ref="Y418:Y419"/>
    <mergeCell ref="AC377:AC378"/>
    <mergeCell ref="M385:M388"/>
    <mergeCell ref="Y414:Y415"/>
    <mergeCell ref="N412:N413"/>
    <mergeCell ref="AI375:AI377"/>
    <mergeCell ref="AF375:AF380"/>
    <mergeCell ref="S405:S406"/>
    <mergeCell ref="L405:L406"/>
    <mergeCell ref="I401:I404"/>
    <mergeCell ref="J401:J404"/>
    <mergeCell ref="K401:K404"/>
    <mergeCell ref="I412:I417"/>
    <mergeCell ref="G389:G393"/>
    <mergeCell ref="H389:H393"/>
    <mergeCell ref="V457:V458"/>
    <mergeCell ref="U459:U460"/>
    <mergeCell ref="Y457:Y458"/>
    <mergeCell ref="Q503:Q505"/>
    <mergeCell ref="P501:P502"/>
    <mergeCell ref="Q493:Q502"/>
    <mergeCell ref="N498:N500"/>
    <mergeCell ref="A503:A505"/>
    <mergeCell ref="B503:B505"/>
    <mergeCell ref="C503:C505"/>
    <mergeCell ref="D503:D505"/>
    <mergeCell ref="E503:E505"/>
    <mergeCell ref="F503:F505"/>
    <mergeCell ref="G503:G505"/>
    <mergeCell ref="F493:F502"/>
    <mergeCell ref="J493:J502"/>
    <mergeCell ref="K493:K502"/>
    <mergeCell ref="L493:L502"/>
    <mergeCell ref="M501:M502"/>
    <mergeCell ref="K485:K492"/>
    <mergeCell ref="L485:L492"/>
    <mergeCell ref="V428:V430"/>
    <mergeCell ref="U414:U417"/>
    <mergeCell ref="T407:T408"/>
    <mergeCell ref="T409:T410"/>
    <mergeCell ref="T392:T393"/>
    <mergeCell ref="R375:R380"/>
    <mergeCell ref="H418:H421"/>
    <mergeCell ref="O418:O419"/>
    <mergeCell ref="O420:O421"/>
    <mergeCell ref="F412:F417"/>
    <mergeCell ref="F385:F388"/>
    <mergeCell ref="G385:G388"/>
    <mergeCell ref="H385:H388"/>
    <mergeCell ref="I385:I388"/>
    <mergeCell ref="J392:J393"/>
    <mergeCell ref="F407:F411"/>
    <mergeCell ref="J385:J388"/>
    <mergeCell ref="H412:H417"/>
    <mergeCell ref="AF501:AF502"/>
    <mergeCell ref="AG493:AG502"/>
    <mergeCell ref="AI501:AI502"/>
    <mergeCell ref="AI489:AI490"/>
    <mergeCell ref="D407:D411"/>
    <mergeCell ref="E407:E411"/>
    <mergeCell ref="L436:L441"/>
    <mergeCell ref="M446:M449"/>
    <mergeCell ref="U444:U445"/>
    <mergeCell ref="X442:X445"/>
    <mergeCell ref="U426:U427"/>
    <mergeCell ref="U428:U430"/>
    <mergeCell ref="V418:V419"/>
    <mergeCell ref="AJ392:AJ393"/>
    <mergeCell ref="C407:C411"/>
    <mergeCell ref="D436:D441"/>
    <mergeCell ref="A431:A435"/>
    <mergeCell ref="E436:E441"/>
    <mergeCell ref="F436:F441"/>
    <mergeCell ref="I436:I441"/>
    <mergeCell ref="P446:P449"/>
    <mergeCell ref="K436:K441"/>
    <mergeCell ref="A446:A449"/>
    <mergeCell ref="B446:B449"/>
    <mergeCell ref="C446:C449"/>
    <mergeCell ref="Q418:Q421"/>
    <mergeCell ref="R418:R421"/>
    <mergeCell ref="S422:S425"/>
    <mergeCell ref="G369:G374"/>
    <mergeCell ref="K407:K411"/>
    <mergeCell ref="L407:L411"/>
    <mergeCell ref="X422:X425"/>
    <mergeCell ref="Y422:Y423"/>
    <mergeCell ref="AI426:AI427"/>
    <mergeCell ref="W426:W430"/>
    <mergeCell ref="P383:P384"/>
    <mergeCell ref="AG385:AG388"/>
    <mergeCell ref="AI387:AI388"/>
    <mergeCell ref="B389:B393"/>
    <mergeCell ref="C389:C393"/>
    <mergeCell ref="B385:B388"/>
    <mergeCell ref="C401:C404"/>
    <mergeCell ref="D401:D404"/>
    <mergeCell ref="E401:E404"/>
    <mergeCell ref="B412:B417"/>
    <mergeCell ref="C412:C417"/>
    <mergeCell ref="B394:B400"/>
    <mergeCell ref="D412:D417"/>
    <mergeCell ref="B405:B406"/>
    <mergeCell ref="T387:T388"/>
    <mergeCell ref="T422:T423"/>
    <mergeCell ref="T424:T425"/>
    <mergeCell ref="B422:B425"/>
    <mergeCell ref="C422:C425"/>
    <mergeCell ref="D422:D425"/>
    <mergeCell ref="E422:E425"/>
    <mergeCell ref="J418:J421"/>
    <mergeCell ref="D389:D393"/>
    <mergeCell ref="E389:E393"/>
    <mergeCell ref="F389:F393"/>
    <mergeCell ref="AC375:AC376"/>
    <mergeCell ref="N414:N417"/>
    <mergeCell ref="X412:X417"/>
    <mergeCell ref="W412:W417"/>
    <mergeCell ref="S412:S417"/>
    <mergeCell ref="T412:T413"/>
    <mergeCell ref="U387:U388"/>
    <mergeCell ref="AC387:AC388"/>
    <mergeCell ref="E450:E456"/>
    <mergeCell ref="J450:J456"/>
    <mergeCell ref="B431:B435"/>
    <mergeCell ref="AK457:AK460"/>
    <mergeCell ref="AF457:AF460"/>
    <mergeCell ref="W450:W456"/>
    <mergeCell ref="AI431:AI435"/>
    <mergeCell ref="AJ431:AJ435"/>
    <mergeCell ref="AK431:AK435"/>
    <mergeCell ref="Y442:Y443"/>
    <mergeCell ref="Y438:Y439"/>
    <mergeCell ref="V442:V443"/>
    <mergeCell ref="V439:V441"/>
    <mergeCell ref="X436:X441"/>
    <mergeCell ref="Y440:Y441"/>
    <mergeCell ref="U436:U438"/>
    <mergeCell ref="AI446:AI447"/>
    <mergeCell ref="AI448:AI449"/>
    <mergeCell ref="Y452:Y453"/>
    <mergeCell ref="V426:V427"/>
    <mergeCell ref="Y444:Y445"/>
    <mergeCell ref="A385:A388"/>
    <mergeCell ref="A394:A400"/>
    <mergeCell ref="A401:A404"/>
    <mergeCell ref="B401:B404"/>
    <mergeCell ref="O403:O404"/>
    <mergeCell ref="P401:P404"/>
    <mergeCell ref="F401:F404"/>
    <mergeCell ref="A389:A393"/>
    <mergeCell ref="A405:A406"/>
    <mergeCell ref="A407:A411"/>
    <mergeCell ref="A412:A417"/>
    <mergeCell ref="B407:B411"/>
    <mergeCell ref="H405:H406"/>
    <mergeCell ref="T428:T430"/>
    <mergeCell ref="T448:T449"/>
    <mergeCell ref="U446:U447"/>
    <mergeCell ref="U448:U449"/>
    <mergeCell ref="AJ446:AJ449"/>
    <mergeCell ref="AG446:AG449"/>
    <mergeCell ref="AF446:AF449"/>
    <mergeCell ref="V446:V447"/>
    <mergeCell ref="V448:V449"/>
    <mergeCell ref="Y448:Y449"/>
    <mergeCell ref="X446:X449"/>
    <mergeCell ref="T446:T447"/>
    <mergeCell ref="W446:W449"/>
    <mergeCell ref="W436:W441"/>
    <mergeCell ref="X431:X435"/>
    <mergeCell ref="A418:A421"/>
    <mergeCell ref="K394:K400"/>
    <mergeCell ref="L394:L400"/>
    <mergeCell ref="B418:B421"/>
    <mergeCell ref="C418:C421"/>
    <mergeCell ref="A422:A425"/>
    <mergeCell ref="N387:N388"/>
    <mergeCell ref="F422:F425"/>
    <mergeCell ref="G422:G425"/>
    <mergeCell ref="X394:X400"/>
    <mergeCell ref="K389:K393"/>
    <mergeCell ref="L389:L393"/>
    <mergeCell ref="C405:C406"/>
    <mergeCell ref="D405:D406"/>
    <mergeCell ref="E405:E406"/>
    <mergeCell ref="J394:J399"/>
    <mergeCell ref="M394:M399"/>
    <mergeCell ref="R394:R399"/>
    <mergeCell ref="R422:R425"/>
    <mergeCell ref="N457:N458"/>
    <mergeCell ref="T459:T460"/>
    <mergeCell ref="AI459:AI460"/>
    <mergeCell ref="V444:V445"/>
    <mergeCell ref="W442:W445"/>
    <mergeCell ref="O442:O443"/>
    <mergeCell ref="O444:O445"/>
    <mergeCell ref="R442:R445"/>
    <mergeCell ref="N455:N456"/>
    <mergeCell ref="AK446:AK447"/>
    <mergeCell ref="Q405:Q406"/>
    <mergeCell ref="I405:I406"/>
    <mergeCell ref="Q412:Q417"/>
    <mergeCell ref="R412:R417"/>
    <mergeCell ref="M389:M391"/>
    <mergeCell ref="G401:G404"/>
    <mergeCell ref="H401:H404"/>
    <mergeCell ref="AF401:AF404"/>
    <mergeCell ref="AG401:AG404"/>
    <mergeCell ref="O390:O391"/>
    <mergeCell ref="H394:H400"/>
    <mergeCell ref="I394:I400"/>
    <mergeCell ref="W394:W400"/>
    <mergeCell ref="Q389:Q393"/>
    <mergeCell ref="O401:O402"/>
    <mergeCell ref="T397:T399"/>
    <mergeCell ref="M392:M393"/>
    <mergeCell ref="N392:N393"/>
    <mergeCell ref="N433:N434"/>
    <mergeCell ref="G412:G417"/>
    <mergeCell ref="S418:S421"/>
    <mergeCell ref="S394:S399"/>
    <mergeCell ref="Q446:Q449"/>
    <mergeCell ref="R446:R449"/>
    <mergeCell ref="Q450:Q456"/>
    <mergeCell ref="R455:R456"/>
    <mergeCell ref="S450:S454"/>
    <mergeCell ref="S455:S456"/>
    <mergeCell ref="R426:R430"/>
    <mergeCell ref="Q426:Q430"/>
    <mergeCell ref="Q436:Q441"/>
    <mergeCell ref="R436:R441"/>
    <mergeCell ref="S436:S441"/>
    <mergeCell ref="T439:T441"/>
    <mergeCell ref="R431:R434"/>
    <mergeCell ref="S431:S434"/>
    <mergeCell ref="L426:L430"/>
    <mergeCell ref="N426:N427"/>
    <mergeCell ref="N428:N430"/>
    <mergeCell ref="K450:K456"/>
    <mergeCell ref="P455:P456"/>
    <mergeCell ref="N450:N452"/>
    <mergeCell ref="M450:M454"/>
    <mergeCell ref="O446:O447"/>
    <mergeCell ref="O409:O410"/>
    <mergeCell ref="N515:N517"/>
    <mergeCell ref="W485:W492"/>
    <mergeCell ref="X485:X492"/>
    <mergeCell ref="U491:U492"/>
    <mergeCell ref="R461:R468"/>
    <mergeCell ref="S469:S470"/>
    <mergeCell ref="T469:T470"/>
    <mergeCell ref="V491:V492"/>
    <mergeCell ref="T474:T475"/>
    <mergeCell ref="U474:U475"/>
    <mergeCell ref="N506:N508"/>
    <mergeCell ref="O506:O508"/>
    <mergeCell ref="P506:P508"/>
    <mergeCell ref="N491:N492"/>
    <mergeCell ref="N485:N488"/>
    <mergeCell ref="J491:J492"/>
    <mergeCell ref="V476:V479"/>
    <mergeCell ref="V480:V483"/>
    <mergeCell ref="P515:P517"/>
    <mergeCell ref="X506:X525"/>
    <mergeCell ref="R509:R514"/>
    <mergeCell ref="R469:R470"/>
    <mergeCell ref="L450:L456"/>
    <mergeCell ref="T450:T452"/>
    <mergeCell ref="S485:S490"/>
    <mergeCell ref="N501:N502"/>
    <mergeCell ref="O501:O502"/>
    <mergeCell ref="O493:O497"/>
    <mergeCell ref="O498:O500"/>
    <mergeCell ref="V498:V500"/>
    <mergeCell ref="W493:W502"/>
    <mergeCell ref="X493:X502"/>
    <mergeCell ref="S493:S500"/>
    <mergeCell ref="O491:O492"/>
    <mergeCell ref="N459:N460"/>
    <mergeCell ref="O459:O460"/>
    <mergeCell ref="N512:N514"/>
    <mergeCell ref="R524:R525"/>
    <mergeCell ref="O515:O517"/>
    <mergeCell ref="O469:O470"/>
    <mergeCell ref="W457:W460"/>
    <mergeCell ref="K506:K525"/>
    <mergeCell ref="J524:J525"/>
    <mergeCell ref="L506:L525"/>
    <mergeCell ref="R457:R460"/>
    <mergeCell ref="S457:S460"/>
    <mergeCell ref="V459:V460"/>
    <mergeCell ref="P457:P460"/>
    <mergeCell ref="Q457:Q460"/>
    <mergeCell ref="P469:P470"/>
    <mergeCell ref="Q461:Q470"/>
    <mergeCell ref="T461:T465"/>
    <mergeCell ref="T466:T468"/>
    <mergeCell ref="P518:P523"/>
    <mergeCell ref="P509:P514"/>
    <mergeCell ref="O512:O514"/>
    <mergeCell ref="T509:T511"/>
    <mergeCell ref="M515:M517"/>
    <mergeCell ref="W476:W484"/>
    <mergeCell ref="O524:O525"/>
    <mergeCell ref="P524:P525"/>
    <mergeCell ref="M506:M508"/>
    <mergeCell ref="O489:O490"/>
    <mergeCell ref="P485:P490"/>
    <mergeCell ref="G471:G475"/>
    <mergeCell ref="H471:H475"/>
    <mergeCell ref="S509:S514"/>
    <mergeCell ref="U512:U514"/>
    <mergeCell ref="AK476:AK483"/>
    <mergeCell ref="Y480:Y481"/>
    <mergeCell ref="Y482:Y483"/>
    <mergeCell ref="M471:M475"/>
    <mergeCell ref="AI480:AI483"/>
    <mergeCell ref="T476:T479"/>
    <mergeCell ref="T480:T483"/>
    <mergeCell ref="AC478:AC479"/>
    <mergeCell ref="AC480:AC481"/>
    <mergeCell ref="AC482:AC483"/>
    <mergeCell ref="AC476:AC477"/>
    <mergeCell ref="AN485:AN492"/>
    <mergeCell ref="U501:U502"/>
    <mergeCell ref="V501:V502"/>
    <mergeCell ref="S407:S410"/>
    <mergeCell ref="F405:F406"/>
    <mergeCell ref="AC446:AC447"/>
    <mergeCell ref="T457:T458"/>
    <mergeCell ref="O450:O452"/>
    <mergeCell ref="AJ457:AJ460"/>
    <mergeCell ref="V453:V454"/>
    <mergeCell ref="X450:X456"/>
    <mergeCell ref="V518:V521"/>
    <mergeCell ref="V522:V523"/>
    <mergeCell ref="W506:W525"/>
    <mergeCell ref="U506:U508"/>
    <mergeCell ref="X461:X470"/>
    <mergeCell ref="W461:W470"/>
    <mergeCell ref="Y461:Y462"/>
    <mergeCell ref="Y463:Y464"/>
    <mergeCell ref="G446:G449"/>
    <mergeCell ref="F450:F456"/>
    <mergeCell ref="G450:G456"/>
    <mergeCell ref="U450:U452"/>
    <mergeCell ref="U453:U454"/>
    <mergeCell ref="T453:T454"/>
    <mergeCell ref="H446:H449"/>
    <mergeCell ref="AK442:AK445"/>
    <mergeCell ref="AL442:AL445"/>
    <mergeCell ref="AM442:AM445"/>
    <mergeCell ref="AF455:AF456"/>
    <mergeCell ref="AF450:AF454"/>
    <mergeCell ref="AK424:AK425"/>
    <mergeCell ref="AN418:AN421"/>
    <mergeCell ref="U407:U408"/>
    <mergeCell ref="AN457:AN460"/>
    <mergeCell ref="Y450:Y451"/>
    <mergeCell ref="U461:U465"/>
    <mergeCell ref="U466:U468"/>
    <mergeCell ref="V461:V465"/>
    <mergeCell ref="V466:V468"/>
    <mergeCell ref="AF469:AF470"/>
    <mergeCell ref="U469:U470"/>
    <mergeCell ref="V469:V470"/>
    <mergeCell ref="AJ461:AJ468"/>
    <mergeCell ref="AJ469:AJ470"/>
    <mergeCell ref="AI515:AI517"/>
    <mergeCell ref="S524:S525"/>
    <mergeCell ref="O518:O521"/>
    <mergeCell ref="O522:O523"/>
    <mergeCell ref="AO493:AO502"/>
    <mergeCell ref="AK485:AK490"/>
    <mergeCell ref="AL485:AL490"/>
    <mergeCell ref="AM485:AM490"/>
    <mergeCell ref="AK491:AK492"/>
    <mergeCell ref="AK493:AK500"/>
    <mergeCell ref="AM501:AM502"/>
    <mergeCell ref="AO471:AO475"/>
    <mergeCell ref="AN471:AN475"/>
    <mergeCell ref="AI471:AI473"/>
    <mergeCell ref="Y520:Y521"/>
    <mergeCell ref="V509:V511"/>
    <mergeCell ref="A506:A525"/>
    <mergeCell ref="B506:B525"/>
    <mergeCell ref="C506:C525"/>
    <mergeCell ref="D506:D525"/>
    <mergeCell ref="E506:E525"/>
    <mergeCell ref="F506:F525"/>
    <mergeCell ref="S515:S517"/>
    <mergeCell ref="AN506:AN525"/>
    <mergeCell ref="AK518:AK523"/>
    <mergeCell ref="AK524:AK525"/>
    <mergeCell ref="AG506:AG525"/>
    <mergeCell ref="AK394:AK399"/>
    <mergeCell ref="AL394:AL399"/>
    <mergeCell ref="X471:X475"/>
    <mergeCell ref="AC471:AC472"/>
    <mergeCell ref="Y471:Y472"/>
    <mergeCell ref="T518:T521"/>
    <mergeCell ref="T522:T523"/>
    <mergeCell ref="U518:U521"/>
    <mergeCell ref="U522:U523"/>
    <mergeCell ref="Y513:Y514"/>
    <mergeCell ref="AC513:AC514"/>
    <mergeCell ref="V515:V517"/>
    <mergeCell ref="Y473:Y474"/>
    <mergeCell ref="AI485:AI488"/>
    <mergeCell ref="G506:G525"/>
    <mergeCell ref="C394:C400"/>
    <mergeCell ref="D394:D400"/>
    <mergeCell ref="G394:G400"/>
    <mergeCell ref="I407:I411"/>
    <mergeCell ref="M412:M417"/>
    <mergeCell ref="AO457:AO460"/>
    <mergeCell ref="G405:G406"/>
    <mergeCell ref="G407:G411"/>
    <mergeCell ref="J407:J410"/>
    <mergeCell ref="E412:E417"/>
    <mergeCell ref="O412:O413"/>
    <mergeCell ref="O414:O417"/>
    <mergeCell ref="P412:P417"/>
    <mergeCell ref="P471:P475"/>
    <mergeCell ref="Q471:Q475"/>
    <mergeCell ref="AC522:AC523"/>
    <mergeCell ref="U515:U517"/>
    <mergeCell ref="M518:M523"/>
    <mergeCell ref="N518:N521"/>
    <mergeCell ref="J471:J475"/>
    <mergeCell ref="U397:U399"/>
    <mergeCell ref="Y467:Y468"/>
    <mergeCell ref="R515:R517"/>
    <mergeCell ref="O431:O432"/>
    <mergeCell ref="AG476:AG484"/>
    <mergeCell ref="AI476:AI479"/>
    <mergeCell ref="AK503:AK505"/>
    <mergeCell ref="AL503:AL505"/>
    <mergeCell ref="V503:V505"/>
    <mergeCell ref="P491:P492"/>
    <mergeCell ref="Q476:Q484"/>
    <mergeCell ref="O476:O479"/>
    <mergeCell ref="O480:O483"/>
    <mergeCell ref="P476:P483"/>
    <mergeCell ref="AC511:AC512"/>
    <mergeCell ref="AK506:AK508"/>
    <mergeCell ref="AK509:AK514"/>
    <mergeCell ref="Y511:Y512"/>
    <mergeCell ref="AF506:AF508"/>
    <mergeCell ref="T501:T502"/>
    <mergeCell ref="AI509:AI511"/>
    <mergeCell ref="AI512:AI514"/>
    <mergeCell ref="AI466:AI468"/>
    <mergeCell ref="AJ491:AJ492"/>
    <mergeCell ref="AJ485:AJ490"/>
    <mergeCell ref="AF471:AF475"/>
    <mergeCell ref="AG471:AG475"/>
    <mergeCell ref="AI503:AI505"/>
    <mergeCell ref="AJ503:AJ505"/>
    <mergeCell ref="AF509:AF514"/>
    <mergeCell ref="AF515:AF517"/>
    <mergeCell ref="U476:U479"/>
    <mergeCell ref="U480:U483"/>
    <mergeCell ref="AI491:AI492"/>
    <mergeCell ref="T493:T497"/>
    <mergeCell ref="T498:T500"/>
    <mergeCell ref="U493:U497"/>
    <mergeCell ref="U498:U500"/>
    <mergeCell ref="V493:V497"/>
    <mergeCell ref="S491:S492"/>
    <mergeCell ref="T491:T492"/>
    <mergeCell ref="Q485:Q492"/>
    <mergeCell ref="X476:X484"/>
    <mergeCell ref="Y499:Y500"/>
    <mergeCell ref="AC509:AC510"/>
    <mergeCell ref="T515:T517"/>
    <mergeCell ref="V489:V490"/>
    <mergeCell ref="S501:S502"/>
    <mergeCell ref="AL493:AL500"/>
    <mergeCell ref="AI493:AI497"/>
    <mergeCell ref="AI498:AI500"/>
    <mergeCell ref="AK501:AK502"/>
    <mergeCell ref="AL501:AL502"/>
    <mergeCell ref="AF493:AF500"/>
    <mergeCell ref="AC493:AC494"/>
    <mergeCell ref="AC495:AC496"/>
    <mergeCell ref="AC497:AC498"/>
    <mergeCell ref="AJ493:AJ500"/>
    <mergeCell ref="AJ501:AJ502"/>
    <mergeCell ref="AL491:AL492"/>
    <mergeCell ref="AK461:AK468"/>
    <mergeCell ref="AL471:AL475"/>
    <mergeCell ref="AM491:AM492"/>
    <mergeCell ref="Y485:Y486"/>
    <mergeCell ref="Y487:Y488"/>
    <mergeCell ref="Y489:Y490"/>
    <mergeCell ref="AF485:AF490"/>
    <mergeCell ref="AO485:AO492"/>
    <mergeCell ref="O461:O465"/>
    <mergeCell ref="O466:O468"/>
    <mergeCell ref="AI461:AI465"/>
    <mergeCell ref="O471:O473"/>
    <mergeCell ref="T471:T473"/>
    <mergeCell ref="U471:U473"/>
    <mergeCell ref="S471:S475"/>
    <mergeCell ref="O474:O475"/>
    <mergeCell ref="V474:V475"/>
    <mergeCell ref="AC518:AC519"/>
    <mergeCell ref="AC520:AC521"/>
    <mergeCell ref="T489:T490"/>
    <mergeCell ref="R485:R490"/>
    <mergeCell ref="AM541:AM546"/>
    <mergeCell ref="AK547:AK548"/>
    <mergeCell ref="AL547:AL548"/>
    <mergeCell ref="J549:J557"/>
    <mergeCell ref="J558:J561"/>
    <mergeCell ref="T544:T546"/>
    <mergeCell ref="O526:O529"/>
    <mergeCell ref="O530:O533"/>
    <mergeCell ref="R534:R537"/>
    <mergeCell ref="S526:S533"/>
    <mergeCell ref="AI541:AI543"/>
    <mergeCell ref="V549:V550"/>
    <mergeCell ref="N524:N525"/>
    <mergeCell ref="AI547:AI548"/>
    <mergeCell ref="AK469:AK470"/>
    <mergeCell ref="AL469:AL470"/>
    <mergeCell ref="AJ547:AJ548"/>
    <mergeCell ref="AF518:AF523"/>
    <mergeCell ref="AF524:AF525"/>
    <mergeCell ref="R526:R533"/>
    <mergeCell ref="W471:W475"/>
    <mergeCell ref="V471:V473"/>
    <mergeCell ref="AK471:AK475"/>
    <mergeCell ref="R471:R475"/>
    <mergeCell ref="M493:M500"/>
    <mergeCell ref="T485:T488"/>
    <mergeCell ref="AM503:AM505"/>
    <mergeCell ref="Y509:Y510"/>
    <mergeCell ref="Y518:Y519"/>
    <mergeCell ref="Y522:Y523"/>
    <mergeCell ref="AL506:AL525"/>
    <mergeCell ref="AM506:AM525"/>
    <mergeCell ref="N522:N523"/>
    <mergeCell ref="R476:R483"/>
    <mergeCell ref="S476:S483"/>
    <mergeCell ref="AM476:AM483"/>
    <mergeCell ref="AL476:AL483"/>
    <mergeCell ref="AF491:AF492"/>
    <mergeCell ref="AG485:AG492"/>
    <mergeCell ref="U485:U488"/>
    <mergeCell ref="AO550:AO552"/>
    <mergeCell ref="AM547:AM548"/>
    <mergeCell ref="U544:U546"/>
    <mergeCell ref="V541:V543"/>
    <mergeCell ref="AJ506:AJ525"/>
    <mergeCell ref="J526:J537"/>
    <mergeCell ref="M541:M546"/>
    <mergeCell ref="P541:P546"/>
    <mergeCell ref="P538:P540"/>
    <mergeCell ref="N538:N540"/>
    <mergeCell ref="T541:T543"/>
    <mergeCell ref="J538:J546"/>
    <mergeCell ref="Q562:Q578"/>
    <mergeCell ref="T526:T529"/>
    <mergeCell ref="T530:T533"/>
    <mergeCell ref="U526:U529"/>
    <mergeCell ref="U530:U533"/>
    <mergeCell ref="R538:R540"/>
    <mergeCell ref="R541:R546"/>
    <mergeCell ref="S538:S540"/>
    <mergeCell ref="T538:T540"/>
    <mergeCell ref="U538:U540"/>
    <mergeCell ref="S541:S546"/>
    <mergeCell ref="T547:T548"/>
    <mergeCell ref="U547:U548"/>
    <mergeCell ref="D526:D548"/>
    <mergeCell ref="AC541:AC542"/>
    <mergeCell ref="N541:N543"/>
    <mergeCell ref="N544:N546"/>
    <mergeCell ref="O541:O543"/>
    <mergeCell ref="U541:U543"/>
    <mergeCell ref="Y530:Y531"/>
    <mergeCell ref="Y532:Y533"/>
    <mergeCell ref="Y541:Y542"/>
    <mergeCell ref="Y543:Y544"/>
    <mergeCell ref="AC526:AC527"/>
    <mergeCell ref="E562:E578"/>
    <mergeCell ref="O562:O563"/>
    <mergeCell ref="P562:P563"/>
    <mergeCell ref="R562:R563"/>
    <mergeCell ref="V526:V529"/>
    <mergeCell ref="N530:N533"/>
    <mergeCell ref="R574:R575"/>
    <mergeCell ref="O544:O546"/>
    <mergeCell ref="I526:I548"/>
    <mergeCell ref="J547:J548"/>
    <mergeCell ref="V530:V533"/>
    <mergeCell ref="V547:V548"/>
    <mergeCell ref="V534:V537"/>
    <mergeCell ref="S574:S575"/>
    <mergeCell ref="S570:S573"/>
    <mergeCell ref="T571:T573"/>
    <mergeCell ref="R570:R573"/>
    <mergeCell ref="V544:V546"/>
    <mergeCell ref="V538:V540"/>
    <mergeCell ref="Y526:Y527"/>
    <mergeCell ref="Y528:Y529"/>
    <mergeCell ref="AC545:AC546"/>
    <mergeCell ref="X526:X548"/>
    <mergeCell ref="V551:V554"/>
    <mergeCell ref="R547:R548"/>
    <mergeCell ref="S547:S548"/>
    <mergeCell ref="AM564:AM567"/>
    <mergeCell ref="AM568:AM569"/>
    <mergeCell ref="AK562:AK563"/>
    <mergeCell ref="P574:P575"/>
    <mergeCell ref="F579:F584"/>
    <mergeCell ref="H579:H584"/>
    <mergeCell ref="AF570:AF573"/>
    <mergeCell ref="S564:S567"/>
    <mergeCell ref="T565:T567"/>
    <mergeCell ref="U565:U567"/>
    <mergeCell ref="U568:U569"/>
    <mergeCell ref="M570:M573"/>
    <mergeCell ref="T568:T569"/>
    <mergeCell ref="M564:M567"/>
    <mergeCell ref="N565:N567"/>
    <mergeCell ref="O565:O567"/>
    <mergeCell ref="K562:K578"/>
    <mergeCell ref="P568:P569"/>
    <mergeCell ref="R568:R569"/>
    <mergeCell ref="S568:S569"/>
    <mergeCell ref="F562:F578"/>
    <mergeCell ref="G562:G578"/>
    <mergeCell ref="U579:U581"/>
    <mergeCell ref="U571:U573"/>
    <mergeCell ref="V571:V573"/>
    <mergeCell ref="R564:R567"/>
    <mergeCell ref="M562:M563"/>
    <mergeCell ref="V568:V569"/>
    <mergeCell ref="T562:T563"/>
    <mergeCell ref="U562:U563"/>
    <mergeCell ref="T574:T575"/>
    <mergeCell ref="U574:U575"/>
    <mergeCell ref="X562:X578"/>
    <mergeCell ref="Y564:Y565"/>
    <mergeCell ref="Y570:Y571"/>
    <mergeCell ref="Y572:Y573"/>
    <mergeCell ref="G579:G584"/>
    <mergeCell ref="N562:N563"/>
    <mergeCell ref="H562:H578"/>
    <mergeCell ref="I562:I578"/>
    <mergeCell ref="J562:J575"/>
    <mergeCell ref="J576:J578"/>
    <mergeCell ref="S562:S563"/>
    <mergeCell ref="A585:A590"/>
    <mergeCell ref="B585:B590"/>
    <mergeCell ref="C585:C590"/>
    <mergeCell ref="D585:D590"/>
    <mergeCell ref="E585:E590"/>
    <mergeCell ref="F585:F590"/>
    <mergeCell ref="AF574:AF575"/>
    <mergeCell ref="A579:A584"/>
    <mergeCell ref="R585:R590"/>
    <mergeCell ref="W591:W596"/>
    <mergeCell ref="S591:S596"/>
    <mergeCell ref="V591:V596"/>
    <mergeCell ref="U582:U584"/>
    <mergeCell ref="T582:T584"/>
    <mergeCell ref="AI579:AI581"/>
    <mergeCell ref="AI582:AI584"/>
    <mergeCell ref="S579:S581"/>
    <mergeCell ref="T579:T581"/>
    <mergeCell ref="L562:L578"/>
    <mergeCell ref="W562:W578"/>
    <mergeCell ref="G585:G590"/>
    <mergeCell ref="K591:K596"/>
    <mergeCell ref="L591:L596"/>
    <mergeCell ref="N591:N596"/>
    <mergeCell ref="O591:O596"/>
    <mergeCell ref="P591:P596"/>
    <mergeCell ref="M591:M596"/>
    <mergeCell ref="M585:M590"/>
    <mergeCell ref="N585:N587"/>
    <mergeCell ref="AC564:AC565"/>
    <mergeCell ref="AC566:AC567"/>
    <mergeCell ref="AF564:AF567"/>
    <mergeCell ref="V574:V575"/>
    <mergeCell ref="E591:E596"/>
    <mergeCell ref="F591:F596"/>
    <mergeCell ref="O568:O569"/>
    <mergeCell ref="O585:O587"/>
    <mergeCell ref="S582:S584"/>
    <mergeCell ref="R582:R584"/>
    <mergeCell ref="H585:H590"/>
    <mergeCell ref="N571:N573"/>
    <mergeCell ref="AI588:AI590"/>
    <mergeCell ref="X579:X584"/>
    <mergeCell ref="W579:W584"/>
    <mergeCell ref="V579:V581"/>
    <mergeCell ref="V582:V584"/>
    <mergeCell ref="AF562:AF563"/>
    <mergeCell ref="AF568:AF569"/>
    <mergeCell ref="P564:P567"/>
    <mergeCell ref="N568:N569"/>
    <mergeCell ref="V562:V563"/>
    <mergeCell ref="AC570:AC571"/>
    <mergeCell ref="AC572:AC573"/>
    <mergeCell ref="AF579:AF581"/>
    <mergeCell ref="AF582:AF584"/>
    <mergeCell ref="I585:I590"/>
    <mergeCell ref="J585:J590"/>
    <mergeCell ref="K585:K590"/>
    <mergeCell ref="L585:L590"/>
    <mergeCell ref="C562:C567"/>
    <mergeCell ref="B562:B578"/>
    <mergeCell ref="C568:C569"/>
    <mergeCell ref="D609:D611"/>
    <mergeCell ref="E609:E611"/>
    <mergeCell ref="G591:G596"/>
    <mergeCell ref="A599:A603"/>
    <mergeCell ref="M599:M601"/>
    <mergeCell ref="M602:M603"/>
    <mergeCell ref="E612:E615"/>
    <mergeCell ref="F612:F615"/>
    <mergeCell ref="N602:N603"/>
    <mergeCell ref="V602:V603"/>
    <mergeCell ref="S602:S603"/>
    <mergeCell ref="T602:T603"/>
    <mergeCell ref="U602:U603"/>
    <mergeCell ref="T599:T601"/>
    <mergeCell ref="U599:U601"/>
    <mergeCell ref="O602:O603"/>
    <mergeCell ref="P602:P603"/>
    <mergeCell ref="O599:O601"/>
    <mergeCell ref="P599:P601"/>
    <mergeCell ref="R599:R601"/>
    <mergeCell ref="B599:B603"/>
    <mergeCell ref="C599:C603"/>
    <mergeCell ref="D599:D603"/>
    <mergeCell ref="E599:E603"/>
    <mergeCell ref="F599:F603"/>
    <mergeCell ref="P597:P598"/>
    <mergeCell ref="Q597:Q598"/>
    <mergeCell ref="R597:R598"/>
    <mergeCell ref="S597:S598"/>
    <mergeCell ref="T597:T598"/>
    <mergeCell ref="U597:U598"/>
    <mergeCell ref="J597:J598"/>
    <mergeCell ref="K597:K598"/>
    <mergeCell ref="L597:L598"/>
    <mergeCell ref="M597:M598"/>
    <mergeCell ref="N597:N598"/>
    <mergeCell ref="H591:H596"/>
    <mergeCell ref="G612:G615"/>
    <mergeCell ref="H599:H603"/>
    <mergeCell ref="A597:A598"/>
    <mergeCell ref="B597:B598"/>
    <mergeCell ref="C597:C598"/>
    <mergeCell ref="K612:K615"/>
    <mergeCell ref="M612:M615"/>
    <mergeCell ref="G599:G603"/>
    <mergeCell ref="J602:J603"/>
    <mergeCell ref="K599:K603"/>
    <mergeCell ref="L599:L603"/>
    <mergeCell ref="L609:L611"/>
    <mergeCell ref="G604:G608"/>
    <mergeCell ref="V609:V611"/>
    <mergeCell ref="N599:N601"/>
    <mergeCell ref="R591:R596"/>
    <mergeCell ref="I591:I596"/>
    <mergeCell ref="J591:J596"/>
    <mergeCell ref="Q609:Q611"/>
    <mergeCell ref="S599:S601"/>
    <mergeCell ref="V599:V601"/>
    <mergeCell ref="T591:T596"/>
    <mergeCell ref="U591:U596"/>
    <mergeCell ref="V612:V615"/>
    <mergeCell ref="T612:T615"/>
    <mergeCell ref="U612:U615"/>
    <mergeCell ref="F609:F611"/>
    <mergeCell ref="D33:D36"/>
    <mergeCell ref="E33:E36"/>
    <mergeCell ref="F33:F36"/>
    <mergeCell ref="T653:T655"/>
    <mergeCell ref="P644:P646"/>
    <mergeCell ref="R644:R646"/>
    <mergeCell ref="S644:S646"/>
    <mergeCell ref="T644:T646"/>
    <mergeCell ref="N647:N649"/>
    <mergeCell ref="R653:R655"/>
    <mergeCell ref="M638:M643"/>
    <mergeCell ref="M644:M646"/>
    <mergeCell ref="N644:N646"/>
    <mergeCell ref="O644:O646"/>
    <mergeCell ref="M647:M649"/>
    <mergeCell ref="V644:V646"/>
    <mergeCell ref="P638:P643"/>
    <mergeCell ref="S638:S643"/>
    <mergeCell ref="T638:T640"/>
    <mergeCell ref="N653:N655"/>
    <mergeCell ref="O653:O655"/>
    <mergeCell ref="P653:P655"/>
    <mergeCell ref="A628:A632"/>
    <mergeCell ref="A638:A655"/>
    <mergeCell ref="B638:B655"/>
    <mergeCell ref="C644:C652"/>
    <mergeCell ref="C653:C655"/>
    <mergeCell ref="I638:I655"/>
    <mergeCell ref="J638:J655"/>
    <mergeCell ref="K638:K655"/>
    <mergeCell ref="K619:K627"/>
    <mergeCell ref="L619:L627"/>
    <mergeCell ref="N622:N624"/>
    <mergeCell ref="N625:N627"/>
    <mergeCell ref="G628:G632"/>
    <mergeCell ref="O622:O624"/>
    <mergeCell ref="O625:O627"/>
    <mergeCell ref="M619:M621"/>
    <mergeCell ref="N619:N621"/>
    <mergeCell ref="O619:O621"/>
    <mergeCell ref="E619:E627"/>
    <mergeCell ref="F619:F627"/>
    <mergeCell ref="G619:G627"/>
    <mergeCell ref="M636:M637"/>
    <mergeCell ref="A619:A627"/>
    <mergeCell ref="B619:B627"/>
    <mergeCell ref="C619:C621"/>
    <mergeCell ref="C622:C627"/>
    <mergeCell ref="D619:D627"/>
    <mergeCell ref="B628:B632"/>
    <mergeCell ref="C628:C632"/>
    <mergeCell ref="D628:D632"/>
    <mergeCell ref="E628:E632"/>
    <mergeCell ref="F628:F632"/>
    <mergeCell ref="N33:N36"/>
    <mergeCell ref="O33:O36"/>
    <mergeCell ref="O597:O598"/>
    <mergeCell ref="R612:R615"/>
    <mergeCell ref="H612:H615"/>
    <mergeCell ref="I612:I615"/>
    <mergeCell ref="J612:J615"/>
    <mergeCell ref="U83:U85"/>
    <mergeCell ref="T83:T85"/>
    <mergeCell ref="O647:O649"/>
    <mergeCell ref="T41:T42"/>
    <mergeCell ref="U41:U42"/>
    <mergeCell ref="R58:R61"/>
    <mergeCell ref="AF65:AF67"/>
    <mergeCell ref="AG65:AG68"/>
    <mergeCell ref="AI65:AI67"/>
    <mergeCell ref="N58:N61"/>
    <mergeCell ref="W612:W615"/>
    <mergeCell ref="X612:X615"/>
    <mergeCell ref="AJ647:AJ649"/>
    <mergeCell ref="Q638:Q655"/>
    <mergeCell ref="O638:O640"/>
    <mergeCell ref="O641:O643"/>
    <mergeCell ref="U644:U646"/>
    <mergeCell ref="N312:N313"/>
    <mergeCell ref="U69:U70"/>
    <mergeCell ref="X616:X618"/>
    <mergeCell ref="U628:U632"/>
    <mergeCell ref="V628:V632"/>
    <mergeCell ref="AB629:AB631"/>
    <mergeCell ref="Y629:Y631"/>
    <mergeCell ref="AA629:AA631"/>
    <mergeCell ref="Z629:Z631"/>
    <mergeCell ref="AF616:AF618"/>
    <mergeCell ref="AG616:AG618"/>
    <mergeCell ref="AI616:AI618"/>
    <mergeCell ref="X619:X627"/>
    <mergeCell ref="W619:W627"/>
    <mergeCell ref="X628:X632"/>
    <mergeCell ref="AF591:AF596"/>
    <mergeCell ref="AG591:AG596"/>
    <mergeCell ref="AG585:AG590"/>
    <mergeCell ref="AF585:AF590"/>
    <mergeCell ref="Y585:Y586"/>
    <mergeCell ref="Y587:Y588"/>
    <mergeCell ref="T585:T587"/>
    <mergeCell ref="T588:T590"/>
    <mergeCell ref="U585:U587"/>
    <mergeCell ref="U588:U590"/>
    <mergeCell ref="V585:V587"/>
    <mergeCell ref="V588:V590"/>
    <mergeCell ref="N71:N73"/>
    <mergeCell ref="N314:N315"/>
    <mergeCell ref="N316:N317"/>
    <mergeCell ref="T641:T643"/>
    <mergeCell ref="U638:U640"/>
    <mergeCell ref="AJ628:AJ632"/>
    <mergeCell ref="AF534:AF537"/>
    <mergeCell ref="AI534:AI537"/>
    <mergeCell ref="AJ619:AJ621"/>
    <mergeCell ref="AJ625:AJ627"/>
    <mergeCell ref="AI636:AI637"/>
    <mergeCell ref="W636:W637"/>
    <mergeCell ref="R69:R70"/>
    <mergeCell ref="AI41:AI42"/>
    <mergeCell ref="Q549:Q561"/>
    <mergeCell ref="S616:S618"/>
    <mergeCell ref="AG599:AG603"/>
    <mergeCell ref="AJ534:AJ537"/>
    <mergeCell ref="N43:N44"/>
    <mergeCell ref="AI568:AI569"/>
    <mergeCell ref="AI562:AI563"/>
    <mergeCell ref="R506:R508"/>
    <mergeCell ref="S506:S508"/>
    <mergeCell ref="AN591:AN596"/>
    <mergeCell ref="AO591:AO596"/>
    <mergeCell ref="AK597:AK598"/>
    <mergeCell ref="AL597:AL598"/>
    <mergeCell ref="AM597:AM598"/>
    <mergeCell ref="AN597:AN598"/>
    <mergeCell ref="AL604:AL606"/>
    <mergeCell ref="AM604:AM606"/>
    <mergeCell ref="AN604:AN608"/>
    <mergeCell ref="AN599:AN603"/>
    <mergeCell ref="V329:V330"/>
    <mergeCell ref="AE329:AE330"/>
    <mergeCell ref="AF329:AF330"/>
    <mergeCell ref="AO604:AO608"/>
    <mergeCell ref="T604:T606"/>
    <mergeCell ref="AK599:AK601"/>
    <mergeCell ref="AK602:AK603"/>
    <mergeCell ref="AK564:AK567"/>
    <mergeCell ref="AJ538:AJ540"/>
    <mergeCell ref="AK538:AK540"/>
    <mergeCell ref="AL538:AL540"/>
    <mergeCell ref="AC532:AC533"/>
    <mergeCell ref="V524:V525"/>
    <mergeCell ref="AM471:AM475"/>
    <mergeCell ref="AC473:AC474"/>
    <mergeCell ref="V512:V514"/>
    <mergeCell ref="V450:V452"/>
    <mergeCell ref="AO418:AO421"/>
    <mergeCell ref="AC429:AC430"/>
    <mergeCell ref="AC426:AC427"/>
    <mergeCell ref="V383:V384"/>
    <mergeCell ref="AO412:AO417"/>
    <mergeCell ref="AK568:AK569"/>
    <mergeCell ref="W599:W603"/>
    <mergeCell ref="X591:X596"/>
    <mergeCell ref="X585:X590"/>
    <mergeCell ref="W585:W590"/>
    <mergeCell ref="AC585:AC586"/>
    <mergeCell ref="AC587:AC588"/>
    <mergeCell ref="AC589:AC590"/>
    <mergeCell ref="AG597:AG598"/>
    <mergeCell ref="AI585:AI587"/>
    <mergeCell ref="AI599:AI601"/>
    <mergeCell ref="AI602:AI603"/>
    <mergeCell ref="AG562:AG578"/>
    <mergeCell ref="AF541:AF546"/>
    <mergeCell ref="AI506:AI508"/>
    <mergeCell ref="AF476:AF483"/>
    <mergeCell ref="AC485:AC486"/>
    <mergeCell ref="AC487:AC488"/>
    <mergeCell ref="AC489:AC490"/>
    <mergeCell ref="U489:U490"/>
    <mergeCell ref="V485:V488"/>
    <mergeCell ref="AI571:AI573"/>
    <mergeCell ref="AI574:AI575"/>
    <mergeCell ref="T506:T508"/>
    <mergeCell ref="V597:V598"/>
    <mergeCell ref="W597:W598"/>
    <mergeCell ref="AM526:AM533"/>
    <mergeCell ref="AJ541:AJ546"/>
    <mergeCell ref="AI526:AI529"/>
    <mergeCell ref="AI530:AI533"/>
    <mergeCell ref="AK526:AK529"/>
    <mergeCell ref="AM562:AM563"/>
    <mergeCell ref="AL45:AL48"/>
    <mergeCell ref="AM29:AM32"/>
    <mergeCell ref="AN29:AN32"/>
    <mergeCell ref="AO29:AO32"/>
    <mergeCell ref="AK29:AK32"/>
    <mergeCell ref="AL62:AL64"/>
    <mergeCell ref="AK62:AK64"/>
    <mergeCell ref="AJ62:AJ64"/>
    <mergeCell ref="AM62:AM64"/>
    <mergeCell ref="AM37:AM40"/>
    <mergeCell ref="AM41:AM42"/>
    <mergeCell ref="AN37:AN42"/>
    <mergeCell ref="AO37:AO42"/>
    <mergeCell ref="AO65:AO68"/>
    <mergeCell ref="AN65:AN68"/>
    <mergeCell ref="AJ65:AJ67"/>
    <mergeCell ref="AK65:AK67"/>
    <mergeCell ref="AM58:AM61"/>
    <mergeCell ref="AM83:AM86"/>
    <mergeCell ref="AJ87:AJ90"/>
    <mergeCell ref="AK515:AK517"/>
    <mergeCell ref="AM302:AM330"/>
    <mergeCell ref="AO562:AO578"/>
    <mergeCell ref="AO33:AO36"/>
    <mergeCell ref="AN33:AN36"/>
    <mergeCell ref="AM33:AM36"/>
    <mergeCell ref="AL33:AL36"/>
    <mergeCell ref="AK33:AK36"/>
    <mergeCell ref="AL591:AL596"/>
    <mergeCell ref="AM591:AM596"/>
    <mergeCell ref="AJ591:AJ596"/>
    <mergeCell ref="AK591:AK596"/>
    <mergeCell ref="AL579:AL581"/>
    <mergeCell ref="AL582:AL584"/>
    <mergeCell ref="AM579:AM581"/>
    <mergeCell ref="AM582:AM584"/>
    <mergeCell ref="AK579:AK581"/>
    <mergeCell ref="AK582:AK584"/>
    <mergeCell ref="AJ579:AJ581"/>
    <mergeCell ref="AJ582:AJ584"/>
    <mergeCell ref="AJ564:AJ567"/>
    <mergeCell ref="AJ568:AJ569"/>
    <mergeCell ref="AJ570:AJ573"/>
    <mergeCell ref="AJ574:AJ575"/>
    <mergeCell ref="AM469:AM470"/>
    <mergeCell ref="AO476:AO484"/>
    <mergeCell ref="AN476:AN484"/>
    <mergeCell ref="AO503:AO505"/>
    <mergeCell ref="AN503:AN505"/>
    <mergeCell ref="AN562:AN578"/>
    <mergeCell ref="AN526:AN548"/>
    <mergeCell ref="AO526:AO548"/>
    <mergeCell ref="AL562:AL563"/>
    <mergeCell ref="AL564:AL567"/>
    <mergeCell ref="AL568:AL569"/>
    <mergeCell ref="AN585:AN590"/>
    <mergeCell ref="AK585:AK590"/>
    <mergeCell ref="AL585:AL590"/>
    <mergeCell ref="AM585:AM590"/>
    <mergeCell ref="AK570:AK573"/>
    <mergeCell ref="AK574:AK575"/>
    <mergeCell ref="AO579:AO584"/>
    <mergeCell ref="AN579:AN584"/>
    <mergeCell ref="AN549:AN561"/>
    <mergeCell ref="C322:C330"/>
    <mergeCell ref="V304:V305"/>
    <mergeCell ref="AE304:AE305"/>
    <mergeCell ref="M29:M32"/>
    <mergeCell ref="L37:L42"/>
    <mergeCell ref="V37:V40"/>
    <mergeCell ref="V41:V42"/>
    <mergeCell ref="AG29:AG32"/>
    <mergeCell ref="AO69:AO70"/>
    <mergeCell ref="AN69:AN70"/>
    <mergeCell ref="AM69:AM70"/>
    <mergeCell ref="AL69:AL70"/>
    <mergeCell ref="AK69:AK70"/>
    <mergeCell ref="AJ69:AJ70"/>
    <mergeCell ref="T62:T64"/>
    <mergeCell ref="V69:V70"/>
    <mergeCell ref="A65:A68"/>
    <mergeCell ref="B65:B68"/>
    <mergeCell ref="D65:D68"/>
    <mergeCell ref="E65:E68"/>
    <mergeCell ref="F65:F68"/>
    <mergeCell ref="G65:G68"/>
    <mergeCell ref="G69:G70"/>
    <mergeCell ref="H69:H70"/>
    <mergeCell ref="G58:G64"/>
    <mergeCell ref="H58:H64"/>
    <mergeCell ref="I58:I64"/>
    <mergeCell ref="J62:J64"/>
    <mergeCell ref="K58:K64"/>
    <mergeCell ref="L58:L64"/>
    <mergeCell ref="A58:A64"/>
    <mergeCell ref="B58:B64"/>
    <mergeCell ref="C58:C64"/>
    <mergeCell ref="D58:D64"/>
    <mergeCell ref="E58:E64"/>
    <mergeCell ref="F58:F64"/>
    <mergeCell ref="S69:S70"/>
    <mergeCell ref="W37:W42"/>
    <mergeCell ref="X37:X42"/>
    <mergeCell ref="O41:O42"/>
    <mergeCell ref="P37:P40"/>
    <mergeCell ref="P41:P42"/>
    <mergeCell ref="R37:R40"/>
    <mergeCell ref="R41:R42"/>
    <mergeCell ref="S37:S40"/>
    <mergeCell ref="T37:T40"/>
    <mergeCell ref="AL41:AL42"/>
    <mergeCell ref="AL37:AL40"/>
    <mergeCell ref="H65:H68"/>
    <mergeCell ref="K65:K68"/>
    <mergeCell ref="C65:C67"/>
    <mergeCell ref="AO58:AO64"/>
    <mergeCell ref="AN58:AN64"/>
    <mergeCell ref="AL65:AL67"/>
    <mergeCell ref="AM65:AM67"/>
    <mergeCell ref="U65:U67"/>
    <mergeCell ref="V65:V67"/>
    <mergeCell ref="M62:M64"/>
    <mergeCell ref="N62:N64"/>
    <mergeCell ref="O62:O64"/>
    <mergeCell ref="P62:P64"/>
    <mergeCell ref="R62:R64"/>
    <mergeCell ref="R33:R36"/>
    <mergeCell ref="Q29:Q32"/>
    <mergeCell ref="H71:H72"/>
    <mergeCell ref="I71:I72"/>
    <mergeCell ref="AC87:AC88"/>
    <mergeCell ref="AC91:AC92"/>
    <mergeCell ref="Y85:Y86"/>
    <mergeCell ref="Y89:Y90"/>
    <mergeCell ref="Y93:Y94"/>
    <mergeCell ref="AJ83:AJ86"/>
    <mergeCell ref="AJ389:AJ391"/>
    <mergeCell ref="AK83:AK86"/>
    <mergeCell ref="AL91:AL94"/>
    <mergeCell ref="AM91:AM94"/>
    <mergeCell ref="AD83:AD84"/>
    <mergeCell ref="AE83:AE84"/>
    <mergeCell ref="AI87:AI89"/>
    <mergeCell ref="AI91:AI93"/>
    <mergeCell ref="AH91:AH92"/>
    <mergeCell ref="AL83:AL86"/>
    <mergeCell ref="R115:R118"/>
    <mergeCell ref="R83:R86"/>
    <mergeCell ref="C385:C388"/>
    <mergeCell ref="AF83:AF86"/>
    <mergeCell ref="AF87:AF90"/>
    <mergeCell ref="R143:R150"/>
    <mergeCell ref="D385:D388"/>
    <mergeCell ref="AF91:AF94"/>
    <mergeCell ref="AG83:AG94"/>
    <mergeCell ref="AI83:AI85"/>
    <mergeCell ref="N151:N154"/>
    <mergeCell ref="AO83:AO94"/>
    <mergeCell ref="AN83:AN94"/>
    <mergeCell ref="S83:S86"/>
    <mergeCell ref="S87:S90"/>
    <mergeCell ref="S91:S94"/>
    <mergeCell ref="T91:T93"/>
    <mergeCell ref="U91:U93"/>
    <mergeCell ref="AH83:AH84"/>
    <mergeCell ref="P143:P150"/>
    <mergeCell ref="Q143:Q159"/>
    <mergeCell ref="AD87:AD88"/>
    <mergeCell ref="AE87:AE88"/>
    <mergeCell ref="AD91:AD92"/>
    <mergeCell ref="C83:C90"/>
    <mergeCell ref="C91:C94"/>
    <mergeCell ref="M91:M94"/>
    <mergeCell ref="P83:P86"/>
    <mergeCell ref="M87:M90"/>
    <mergeCell ref="N87:N89"/>
    <mergeCell ref="N83:N85"/>
    <mergeCell ref="O83:O85"/>
    <mergeCell ref="I83:I94"/>
    <mergeCell ref="J83:J94"/>
    <mergeCell ref="K83:K94"/>
    <mergeCell ref="L83:L94"/>
    <mergeCell ref="N91:N93"/>
    <mergeCell ref="O91:O93"/>
    <mergeCell ref="O87:O89"/>
    <mergeCell ref="N304:N305"/>
    <mergeCell ref="X302:X330"/>
    <mergeCell ref="V318:V319"/>
    <mergeCell ref="AE318:AE319"/>
    <mergeCell ref="T87:T89"/>
    <mergeCell ref="N310:N311"/>
    <mergeCell ref="O310:O311"/>
    <mergeCell ref="AJ659:AJ663"/>
    <mergeCell ref="AC660:AC662"/>
    <mergeCell ref="AF659:AF663"/>
    <mergeCell ref="Q599:Q603"/>
    <mergeCell ref="N612:N615"/>
    <mergeCell ref="P570:P573"/>
    <mergeCell ref="P579:P581"/>
    <mergeCell ref="L612:L615"/>
    <mergeCell ref="P656:P658"/>
    <mergeCell ref="AJ616:AJ618"/>
    <mergeCell ref="AF647:AF649"/>
    <mergeCell ref="AF650:AF652"/>
    <mergeCell ref="AF653:AF655"/>
    <mergeCell ref="AG638:AG655"/>
    <mergeCell ref="AI644:AI646"/>
    <mergeCell ref="AI647:AI649"/>
    <mergeCell ref="AI650:AI652"/>
    <mergeCell ref="AF625:AF627"/>
    <mergeCell ref="AG619:AG627"/>
    <mergeCell ref="AI638:AI640"/>
    <mergeCell ref="AI641:AI643"/>
    <mergeCell ref="AF622:AF624"/>
    <mergeCell ref="V622:V624"/>
    <mergeCell ref="V625:V627"/>
    <mergeCell ref="AI653:AI655"/>
    <mergeCell ref="Y638:Y639"/>
    <mergeCell ref="Y640:Y641"/>
    <mergeCell ref="R91:R94"/>
    <mergeCell ref="S650:S652"/>
    <mergeCell ref="T650:T652"/>
    <mergeCell ref="AG503:AG505"/>
    <mergeCell ref="AJ638:AJ643"/>
    <mergeCell ref="AJ644:AJ646"/>
    <mergeCell ref="AJ622:AJ624"/>
    <mergeCell ref="AJ633:AJ635"/>
    <mergeCell ref="Y91:Y92"/>
    <mergeCell ref="U151:U154"/>
    <mergeCell ref="U155:U158"/>
    <mergeCell ref="V155:V158"/>
    <mergeCell ref="R619:R621"/>
    <mergeCell ref="R638:R643"/>
    <mergeCell ref="AJ597:AJ598"/>
    <mergeCell ref="AI607:AI608"/>
    <mergeCell ref="AJ585:AJ590"/>
    <mergeCell ref="V91:V93"/>
    <mergeCell ref="AI565:AI567"/>
    <mergeCell ref="V556:V557"/>
    <mergeCell ref="AE556:AE557"/>
    <mergeCell ref="AF556:AF557"/>
    <mergeCell ref="AI556:AI557"/>
    <mergeCell ref="X636:X637"/>
    <mergeCell ref="AF636:AF637"/>
    <mergeCell ref="AG636:AG637"/>
    <mergeCell ref="AJ636:AJ637"/>
    <mergeCell ref="AC629:AC631"/>
    <mergeCell ref="AI619:AI621"/>
    <mergeCell ref="AI622:AI624"/>
    <mergeCell ref="AI625:AI627"/>
    <mergeCell ref="AF619:AF621"/>
    <mergeCell ref="AI628:AI632"/>
    <mergeCell ref="S619:S621"/>
    <mergeCell ref="S622:S624"/>
    <mergeCell ref="S625:S627"/>
    <mergeCell ref="T619:T621"/>
    <mergeCell ref="AI656:AI658"/>
    <mergeCell ref="AI538:AI540"/>
    <mergeCell ref="AJ653:AJ655"/>
    <mergeCell ref="AK638:AK640"/>
    <mergeCell ref="AK87:AK90"/>
    <mergeCell ref="AH87:AH88"/>
    <mergeCell ref="S534:S537"/>
    <mergeCell ref="T534:T537"/>
    <mergeCell ref="X385:X388"/>
    <mergeCell ref="AG389:AG393"/>
    <mergeCell ref="AM656:AM658"/>
    <mergeCell ref="AL656:AL658"/>
    <mergeCell ref="AK616:AK618"/>
    <mergeCell ref="AL616:AL618"/>
    <mergeCell ref="AF503:AF505"/>
    <mergeCell ref="R151:R158"/>
    <mergeCell ref="U147:U150"/>
    <mergeCell ref="W83:W94"/>
    <mergeCell ref="X83:X94"/>
    <mergeCell ref="AC93:AC94"/>
    <mergeCell ref="AC89:AC90"/>
    <mergeCell ref="X143:X159"/>
    <mergeCell ref="W143:W159"/>
    <mergeCell ref="R87:R90"/>
    <mergeCell ref="Y143:Y144"/>
    <mergeCell ref="Y145:Y146"/>
    <mergeCell ref="AM638:AM643"/>
    <mergeCell ref="AL638:AL643"/>
    <mergeCell ref="AM644:AM646"/>
    <mergeCell ref="AL644:AL646"/>
    <mergeCell ref="AK644:AK646"/>
    <mergeCell ref="AM570:AM573"/>
    <mergeCell ref="AM574:AM575"/>
    <mergeCell ref="Y87:Y88"/>
    <mergeCell ref="V87:V89"/>
    <mergeCell ref="R579:R581"/>
    <mergeCell ref="Y566:Y567"/>
    <mergeCell ref="V565:V567"/>
    <mergeCell ref="AG579:AG584"/>
    <mergeCell ref="W616:W618"/>
    <mergeCell ref="AF304:AF305"/>
    <mergeCell ref="V312:V313"/>
    <mergeCell ref="V314:V315"/>
    <mergeCell ref="V316:V317"/>
    <mergeCell ref="AL599:AL601"/>
    <mergeCell ref="AL602:AL603"/>
    <mergeCell ref="AM599:AM601"/>
    <mergeCell ref="AM602:AM603"/>
    <mergeCell ref="AI591:AI596"/>
    <mergeCell ref="AJ599:AJ601"/>
    <mergeCell ref="AJ602:AJ603"/>
    <mergeCell ref="S585:S590"/>
    <mergeCell ref="Y545:Y546"/>
    <mergeCell ref="AG549:AG559"/>
    <mergeCell ref="AI549:AI550"/>
    <mergeCell ref="W526:W548"/>
    <mergeCell ref="AG526:AG548"/>
    <mergeCell ref="AF547:AF548"/>
    <mergeCell ref="U524:U525"/>
    <mergeCell ref="T524:T525"/>
    <mergeCell ref="AM616:AM618"/>
    <mergeCell ref="AL570:AL573"/>
    <mergeCell ref="AL574:AL575"/>
    <mergeCell ref="AJ562:AJ563"/>
    <mergeCell ref="AN636:AN637"/>
    <mergeCell ref="AK636:AK637"/>
    <mergeCell ref="AL636:AL637"/>
    <mergeCell ref="AM636:AM637"/>
    <mergeCell ref="AK622:AK624"/>
    <mergeCell ref="AK625:AK627"/>
    <mergeCell ref="AM633:AM635"/>
    <mergeCell ref="AK653:AK655"/>
    <mergeCell ref="O628:O632"/>
    <mergeCell ref="P628:P632"/>
    <mergeCell ref="B633:B635"/>
    <mergeCell ref="C633:C635"/>
    <mergeCell ref="D633:D635"/>
    <mergeCell ref="C638:C643"/>
    <mergeCell ref="J628:J632"/>
    <mergeCell ref="U641:U643"/>
    <mergeCell ref="Q628:Q632"/>
    <mergeCell ref="R628:R632"/>
    <mergeCell ref="S628:S632"/>
    <mergeCell ref="S636:S637"/>
    <mergeCell ref="T636:T637"/>
    <mergeCell ref="M628:M632"/>
    <mergeCell ref="T628:T632"/>
    <mergeCell ref="R622:R624"/>
    <mergeCell ref="R625:R627"/>
    <mergeCell ref="U622:U624"/>
    <mergeCell ref="AI659:AI663"/>
    <mergeCell ref="O656:O658"/>
    <mergeCell ref="F659:F663"/>
    <mergeCell ref="AN656:AN658"/>
    <mergeCell ref="L659:L663"/>
    <mergeCell ref="M659:M663"/>
    <mergeCell ref="N659:N663"/>
    <mergeCell ref="O659:O663"/>
    <mergeCell ref="J659:J663"/>
    <mergeCell ref="K659:K663"/>
    <mergeCell ref="D638:D655"/>
    <mergeCell ref="E638:E655"/>
    <mergeCell ref="F638:F655"/>
    <mergeCell ref="G638:G655"/>
    <mergeCell ref="H638:H655"/>
    <mergeCell ref="U647:U649"/>
    <mergeCell ref="V647:V649"/>
    <mergeCell ref="W638:W655"/>
    <mergeCell ref="X638:X655"/>
    <mergeCell ref="S659:S663"/>
    <mergeCell ref="AH660:AH662"/>
    <mergeCell ref="M650:M652"/>
    <mergeCell ref="Q619:Q627"/>
    <mergeCell ref="W656:W658"/>
    <mergeCell ref="X656:X658"/>
    <mergeCell ref="N656:N658"/>
    <mergeCell ref="S647:S649"/>
    <mergeCell ref="T647:T649"/>
    <mergeCell ref="AG659:AG663"/>
    <mergeCell ref="AB660:AB662"/>
    <mergeCell ref="V659:V663"/>
    <mergeCell ref="W659:W663"/>
    <mergeCell ref="X659:X663"/>
    <mergeCell ref="Y660:Y662"/>
    <mergeCell ref="AK656:AK658"/>
    <mergeCell ref="AJ656:AJ658"/>
    <mergeCell ref="AF656:AF658"/>
    <mergeCell ref="AG656:AG658"/>
    <mergeCell ref="X597:X598"/>
    <mergeCell ref="AF597:AF598"/>
    <mergeCell ref="AG666:AG668"/>
    <mergeCell ref="W666:W668"/>
    <mergeCell ref="A656:A658"/>
    <mergeCell ref="B656:B658"/>
    <mergeCell ref="C656:C658"/>
    <mergeCell ref="D656:D658"/>
    <mergeCell ref="E656:E658"/>
    <mergeCell ref="F656:F658"/>
    <mergeCell ref="G656:G658"/>
    <mergeCell ref="H656:H658"/>
    <mergeCell ref="Z660:Z662"/>
    <mergeCell ref="H628:H632"/>
    <mergeCell ref="I628:I632"/>
    <mergeCell ref="H633:H635"/>
    <mergeCell ref="I633:I635"/>
    <mergeCell ref="AF633:AF635"/>
    <mergeCell ref="W628:W632"/>
    <mergeCell ref="D597:D598"/>
    <mergeCell ref="E597:E598"/>
    <mergeCell ref="F597:F598"/>
    <mergeCell ref="G597:G598"/>
    <mergeCell ref="P612:P615"/>
    <mergeCell ref="Q612:Q615"/>
    <mergeCell ref="A612:A615"/>
    <mergeCell ref="B612:B615"/>
    <mergeCell ref="C612:C615"/>
    <mergeCell ref="D612:D615"/>
    <mergeCell ref="T609:T611"/>
    <mergeCell ref="U609:U611"/>
    <mergeCell ref="R609:R611"/>
    <mergeCell ref="R602:R603"/>
    <mergeCell ref="A604:A608"/>
    <mergeCell ref="B604:B608"/>
    <mergeCell ref="C604:C608"/>
    <mergeCell ref="D604:D608"/>
    <mergeCell ref="E604:E608"/>
    <mergeCell ref="F604:F608"/>
    <mergeCell ref="A659:A663"/>
    <mergeCell ref="R664:R665"/>
    <mergeCell ref="I656:I658"/>
    <mergeCell ref="J656:J658"/>
    <mergeCell ref="F666:F668"/>
    <mergeCell ref="K656:K658"/>
    <mergeCell ref="AF664:AF665"/>
    <mergeCell ref="AG664:AG665"/>
    <mergeCell ref="M607:M608"/>
    <mergeCell ref="G659:G663"/>
    <mergeCell ref="H659:H663"/>
    <mergeCell ref="I659:I663"/>
    <mergeCell ref="Q659:Q663"/>
    <mergeCell ref="L656:L658"/>
    <mergeCell ref="J604:J608"/>
    <mergeCell ref="K604:K608"/>
    <mergeCell ref="B659:B663"/>
    <mergeCell ref="C659:C663"/>
    <mergeCell ref="D659:D663"/>
    <mergeCell ref="E659:E663"/>
    <mergeCell ref="X609:X611"/>
    <mergeCell ref="W609:W611"/>
    <mergeCell ref="A609:A611"/>
    <mergeCell ref="B609:B611"/>
    <mergeCell ref="C609:C611"/>
    <mergeCell ref="AC638:AC639"/>
    <mergeCell ref="N650:N652"/>
    <mergeCell ref="O650:O652"/>
    <mergeCell ref="P650:P652"/>
    <mergeCell ref="R650:R652"/>
    <mergeCell ref="I599:I603"/>
    <mergeCell ref="J599:J601"/>
    <mergeCell ref="U604:U606"/>
    <mergeCell ref="V604:V606"/>
    <mergeCell ref="W604:W608"/>
    <mergeCell ref="X604:X608"/>
    <mergeCell ref="AG604:AG608"/>
    <mergeCell ref="U607:U608"/>
    <mergeCell ref="V607:V608"/>
    <mergeCell ref="AF607:AF608"/>
    <mergeCell ref="O604:O606"/>
    <mergeCell ref="P604:P606"/>
    <mergeCell ref="Q604:Q608"/>
    <mergeCell ref="R604:R606"/>
    <mergeCell ref="S604:S606"/>
    <mergeCell ref="G664:G665"/>
    <mergeCell ref="M656:M658"/>
    <mergeCell ref="U656:U658"/>
    <mergeCell ref="L638:L655"/>
    <mergeCell ref="S633:S635"/>
    <mergeCell ref="P622:P624"/>
    <mergeCell ref="P625:P627"/>
    <mergeCell ref="P616:P618"/>
    <mergeCell ref="P647:P649"/>
    <mergeCell ref="R647:R649"/>
    <mergeCell ref="Q616:Q618"/>
    <mergeCell ref="AF609:AF611"/>
    <mergeCell ref="AG609:AG611"/>
    <mergeCell ref="AF644:AF646"/>
    <mergeCell ref="Y642:Y643"/>
    <mergeCell ref="U616:U618"/>
    <mergeCell ref="V616:V618"/>
    <mergeCell ref="V641:V643"/>
    <mergeCell ref="AC612:AC613"/>
    <mergeCell ref="U653:U655"/>
    <mergeCell ref="V650:V652"/>
    <mergeCell ref="U636:U637"/>
    <mergeCell ref="V636:V637"/>
    <mergeCell ref="R659:R663"/>
    <mergeCell ref="O636:O637"/>
    <mergeCell ref="P636:P637"/>
    <mergeCell ref="U625:U627"/>
    <mergeCell ref="H619:H627"/>
    <mergeCell ref="I619:I627"/>
    <mergeCell ref="J619:J627"/>
    <mergeCell ref="T625:T627"/>
    <mergeCell ref="N641:N643"/>
    <mergeCell ref="U619:U621"/>
    <mergeCell ref="G616:G618"/>
    <mergeCell ref="H616:H618"/>
    <mergeCell ref="J636:J637"/>
    <mergeCell ref="K636:K637"/>
    <mergeCell ref="L636:L637"/>
    <mergeCell ref="K628:K632"/>
    <mergeCell ref="L628:L632"/>
    <mergeCell ref="J633:J635"/>
    <mergeCell ref="Z612:Z613"/>
    <mergeCell ref="G609:G611"/>
    <mergeCell ref="AN664:AN665"/>
    <mergeCell ref="AO664:AO665"/>
    <mergeCell ref="AJ664:AJ665"/>
    <mergeCell ref="AK664:AK665"/>
    <mergeCell ref="AL666:AL668"/>
    <mergeCell ref="AM666:AM668"/>
    <mergeCell ref="AN666:AN668"/>
    <mergeCell ref="AI597:AI598"/>
    <mergeCell ref="Y589:Y590"/>
    <mergeCell ref="AO599:AO603"/>
    <mergeCell ref="AO585:AO590"/>
    <mergeCell ref="AO656:AO658"/>
    <mergeCell ref="AN638:AN655"/>
    <mergeCell ref="AO633:AO635"/>
    <mergeCell ref="AN633:AN635"/>
    <mergeCell ref="AK647:AK649"/>
    <mergeCell ref="AK641:AK643"/>
    <mergeCell ref="AO638:AO655"/>
    <mergeCell ref="AL622:AL624"/>
    <mergeCell ref="AL625:AL627"/>
    <mergeCell ref="AL619:AL621"/>
    <mergeCell ref="AM647:AM649"/>
    <mergeCell ref="AL647:AL649"/>
    <mergeCell ref="AO597:AO598"/>
    <mergeCell ref="AO616:AO618"/>
    <mergeCell ref="AN616:AN618"/>
    <mergeCell ref="AO659:AO663"/>
    <mergeCell ref="AN659:AN663"/>
    <mergeCell ref="AM659:AM663"/>
    <mergeCell ref="AL659:AL663"/>
    <mergeCell ref="AK659:AK663"/>
    <mergeCell ref="AO628:AO632"/>
    <mergeCell ref="AN628:AN632"/>
    <mergeCell ref="AL628:AL632"/>
    <mergeCell ref="AM628:AM632"/>
    <mergeCell ref="AO619:AO627"/>
    <mergeCell ref="AN619:AN627"/>
    <mergeCell ref="AL633:AL635"/>
    <mergeCell ref="AK633:AK635"/>
    <mergeCell ref="AM622:AM624"/>
    <mergeCell ref="AO666:AO668"/>
    <mergeCell ref="AF666:AF668"/>
    <mergeCell ref="AK628:AK632"/>
    <mergeCell ref="AM625:AM627"/>
    <mergeCell ref="AK619:AK621"/>
    <mergeCell ref="AM619:AM621"/>
    <mergeCell ref="AF628:AF632"/>
    <mergeCell ref="AG628:AG632"/>
    <mergeCell ref="AO636:AO637"/>
    <mergeCell ref="AK612:AK615"/>
    <mergeCell ref="AL612:AL615"/>
    <mergeCell ref="AM612:AM615"/>
    <mergeCell ref="AH612:AH613"/>
    <mergeCell ref="AI609:AI611"/>
    <mergeCell ref="AJ609:AJ611"/>
    <mergeCell ref="AK609:AK611"/>
    <mergeCell ref="AL609:AL611"/>
    <mergeCell ref="AM609:AM611"/>
    <mergeCell ref="AF612:AF615"/>
    <mergeCell ref="AN612:AN615"/>
    <mergeCell ref="AF638:AF643"/>
    <mergeCell ref="AC640:AC641"/>
    <mergeCell ref="AC642:AC643"/>
    <mergeCell ref="AF604:AF606"/>
    <mergeCell ref="D699:D705"/>
    <mergeCell ref="E699:E705"/>
    <mergeCell ref="F699:F705"/>
    <mergeCell ref="A681:A698"/>
    <mergeCell ref="B681:B698"/>
    <mergeCell ref="C681:C698"/>
    <mergeCell ref="D681:D698"/>
    <mergeCell ref="E681:E698"/>
    <mergeCell ref="J681:J698"/>
    <mergeCell ref="K681:K698"/>
    <mergeCell ref="L681:L698"/>
    <mergeCell ref="M681:M696"/>
    <mergeCell ref="M697:M698"/>
    <mergeCell ref="N697:N698"/>
    <mergeCell ref="O697:O698"/>
    <mergeCell ref="N689:N696"/>
    <mergeCell ref="O689:O696"/>
    <mergeCell ref="X699:X705"/>
    <mergeCell ref="F681:F698"/>
    <mergeCell ref="G681:G698"/>
    <mergeCell ref="H681:H698"/>
    <mergeCell ref="I681:I698"/>
    <mergeCell ref="A666:A668"/>
    <mergeCell ref="B666:B668"/>
    <mergeCell ref="E666:E668"/>
    <mergeCell ref="L666:L668"/>
    <mergeCell ref="V697:V698"/>
    <mergeCell ref="V689:V696"/>
    <mergeCell ref="A664:A665"/>
    <mergeCell ref="B664:B665"/>
    <mergeCell ref="C664:C665"/>
    <mergeCell ref="D664:D665"/>
    <mergeCell ref="E664:E665"/>
    <mergeCell ref="C666:C668"/>
    <mergeCell ref="D666:D668"/>
    <mergeCell ref="S664:S665"/>
    <mergeCell ref="T664:T665"/>
    <mergeCell ref="U664:U665"/>
    <mergeCell ref="V664:V665"/>
    <mergeCell ref="F669:F671"/>
    <mergeCell ref="G669:G671"/>
    <mergeCell ref="H669:H671"/>
    <mergeCell ref="H664:H665"/>
    <mergeCell ref="I664:I665"/>
    <mergeCell ref="J664:J665"/>
    <mergeCell ref="K664:K665"/>
    <mergeCell ref="F664:F665"/>
    <mergeCell ref="N675:N678"/>
    <mergeCell ref="O675:O678"/>
    <mergeCell ref="W664:W665"/>
    <mergeCell ref="I669:I671"/>
    <mergeCell ref="L664:L665"/>
    <mergeCell ref="G666:G668"/>
    <mergeCell ref="H666:H668"/>
    <mergeCell ref="I666:I668"/>
    <mergeCell ref="J666:J668"/>
    <mergeCell ref="K666:K668"/>
    <mergeCell ref="X664:X665"/>
    <mergeCell ref="M664:M665"/>
    <mergeCell ref="N664:N665"/>
    <mergeCell ref="O664:O665"/>
    <mergeCell ref="P664:P665"/>
    <mergeCell ref="Q664:Q665"/>
    <mergeCell ref="T704:T705"/>
    <mergeCell ref="A706:A709"/>
    <mergeCell ref="X710:X711"/>
    <mergeCell ref="B706:B709"/>
    <mergeCell ref="C706:C709"/>
    <mergeCell ref="D706:D709"/>
    <mergeCell ref="E706:E709"/>
    <mergeCell ref="AN672:AN674"/>
    <mergeCell ref="AO672:AO674"/>
    <mergeCell ref="O679:O680"/>
    <mergeCell ref="P679:P680"/>
    <mergeCell ref="R679:R680"/>
    <mergeCell ref="S675:S678"/>
    <mergeCell ref="T675:T678"/>
    <mergeCell ref="S679:S680"/>
    <mergeCell ref="T679:T680"/>
    <mergeCell ref="U679:U680"/>
    <mergeCell ref="V679:V680"/>
    <mergeCell ref="W675:W680"/>
    <mergeCell ref="P675:P678"/>
    <mergeCell ref="O672:O674"/>
    <mergeCell ref="P672:P674"/>
    <mergeCell ref="AM672:AM674"/>
    <mergeCell ref="E675:E680"/>
    <mergeCell ref="A675:A680"/>
    <mergeCell ref="G672:G674"/>
    <mergeCell ref="F675:F680"/>
    <mergeCell ref="Y685:Y686"/>
    <mergeCell ref="Y689:Y690"/>
    <mergeCell ref="AN699:AN705"/>
    <mergeCell ref="AF704:AF705"/>
    <mergeCell ref="AG699:AG705"/>
    <mergeCell ref="K710:K711"/>
    <mergeCell ref="L710:L711"/>
    <mergeCell ref="G710:G711"/>
    <mergeCell ref="H710:H711"/>
    <mergeCell ref="I710:I711"/>
    <mergeCell ref="J710:J711"/>
    <mergeCell ref="Y691:Y692"/>
    <mergeCell ref="W672:W674"/>
    <mergeCell ref="AL672:AL674"/>
    <mergeCell ref="F706:F709"/>
    <mergeCell ref="M706:M709"/>
    <mergeCell ref="N706:N709"/>
    <mergeCell ref="A710:A711"/>
    <mergeCell ref="B710:B711"/>
    <mergeCell ref="C710:C711"/>
    <mergeCell ref="D710:D711"/>
    <mergeCell ref="E710:E711"/>
    <mergeCell ref="F710:F711"/>
    <mergeCell ref="N710:N711"/>
    <mergeCell ref="AG672:AG674"/>
    <mergeCell ref="AI672:AI674"/>
    <mergeCell ref="R675:R678"/>
    <mergeCell ref="R672:R674"/>
    <mergeCell ref="S672:S674"/>
    <mergeCell ref="T672:T674"/>
    <mergeCell ref="U672:U674"/>
    <mergeCell ref="V672:V674"/>
    <mergeCell ref="AM675:AM678"/>
    <mergeCell ref="X675:X680"/>
    <mergeCell ref="N679:N680"/>
    <mergeCell ref="A699:A705"/>
    <mergeCell ref="B699:B705"/>
    <mergeCell ref="C699:C705"/>
    <mergeCell ref="AO1040:AO1064"/>
    <mergeCell ref="AN1040:AN1064"/>
    <mergeCell ref="AK1040:AK1042"/>
    <mergeCell ref="AK1043:AK1047"/>
    <mergeCell ref="AK1062:AK1063"/>
    <mergeCell ref="AL1062:AL1063"/>
    <mergeCell ref="AM1062:AM1063"/>
    <mergeCell ref="AK1052:AK1056"/>
    <mergeCell ref="AL1052:AL1056"/>
    <mergeCell ref="AM1052:AM1056"/>
    <mergeCell ref="AK1057:AK1060"/>
    <mergeCell ref="AL1057:AL1060"/>
    <mergeCell ref="AM1057:AM1060"/>
    <mergeCell ref="R1062:R1063"/>
    <mergeCell ref="AF1062:AF1063"/>
    <mergeCell ref="AG1040:AG1064"/>
    <mergeCell ref="AI1040:AI1042"/>
    <mergeCell ref="AI1043:AI1047"/>
    <mergeCell ref="AI1048:AI1051"/>
    <mergeCell ref="AI1052:AI1056"/>
    <mergeCell ref="AI1057:AI1060"/>
    <mergeCell ref="AI1062:AI1063"/>
    <mergeCell ref="AJ1040:AJ1064"/>
    <mergeCell ref="AF1052:AF1056"/>
    <mergeCell ref="AF1043:AF1047"/>
    <mergeCell ref="AF1048:AF1051"/>
    <mergeCell ref="AF1040:AF1042"/>
    <mergeCell ref="AL1040:AL1042"/>
    <mergeCell ref="AM1040:AM1042"/>
    <mergeCell ref="AO712:AO713"/>
    <mergeCell ref="AN712:AN713"/>
    <mergeCell ref="AM712:AM713"/>
    <mergeCell ref="AN717:AN719"/>
    <mergeCell ref="AJ717:AJ719"/>
    <mergeCell ref="AF717:AF718"/>
    <mergeCell ref="AG717:AG719"/>
    <mergeCell ref="AI717:AI718"/>
    <mergeCell ref="AM724:AM726"/>
    <mergeCell ref="AI909:AI916"/>
    <mergeCell ref="R897:R899"/>
    <mergeCell ref="S897:S899"/>
    <mergeCell ref="T897:T899"/>
    <mergeCell ref="U897:U899"/>
    <mergeCell ref="R862:R864"/>
    <mergeCell ref="AJ900:AJ916"/>
    <mergeCell ref="AF960:AF964"/>
    <mergeCell ref="AG960:AG964"/>
    <mergeCell ref="S1043:S1047"/>
    <mergeCell ref="T1043:T1047"/>
    <mergeCell ref="U1043:U1047"/>
    <mergeCell ref="AM921:AM926"/>
    <mergeCell ref="AO727:AO738"/>
    <mergeCell ref="AK727:AK732"/>
    <mergeCell ref="AK733:AK734"/>
    <mergeCell ref="AK735:AK738"/>
    <mergeCell ref="AL735:AL738"/>
    <mergeCell ref="AO714:AO716"/>
    <mergeCell ref="AN714:AN716"/>
    <mergeCell ref="AM714:AM716"/>
    <mergeCell ref="AL714:AL716"/>
    <mergeCell ref="AI720:AI722"/>
    <mergeCell ref="AI735:AI738"/>
    <mergeCell ref="AJ727:AJ738"/>
    <mergeCell ref="AI733:AI734"/>
    <mergeCell ref="C1040:C1042"/>
    <mergeCell ref="C1043:C1047"/>
    <mergeCell ref="M1043:M1047"/>
    <mergeCell ref="V1040:V1042"/>
    <mergeCell ref="J1040:J1060"/>
    <mergeCell ref="C1057:C1060"/>
    <mergeCell ref="M1057:M1060"/>
    <mergeCell ref="N1057:N1060"/>
    <mergeCell ref="O1057:O1060"/>
    <mergeCell ref="P1057:P1060"/>
    <mergeCell ref="F1040:F1064"/>
    <mergeCell ref="G1040:G1064"/>
    <mergeCell ref="H1040:H1064"/>
    <mergeCell ref="I1040:I1064"/>
    <mergeCell ref="N1043:N1047"/>
    <mergeCell ref="O1043:O1047"/>
    <mergeCell ref="P1043:P1047"/>
    <mergeCell ref="C1062:C1063"/>
    <mergeCell ref="M1040:M1042"/>
    <mergeCell ref="N1040:N1042"/>
    <mergeCell ref="O1040:O1042"/>
    <mergeCell ref="P1040:P1042"/>
    <mergeCell ref="S1062:S1063"/>
    <mergeCell ref="T1062:T1063"/>
    <mergeCell ref="U1062:U1063"/>
    <mergeCell ref="K1040:K1064"/>
    <mergeCell ref="L1040:L1064"/>
    <mergeCell ref="P1052:P1056"/>
    <mergeCell ref="AL1043:AL1047"/>
    <mergeCell ref="AM1043:AM1047"/>
    <mergeCell ref="AK1048:AK1051"/>
    <mergeCell ref="AL1048:AL1051"/>
    <mergeCell ref="AM1048:AM1051"/>
    <mergeCell ref="Q1040:Q1064"/>
    <mergeCell ref="V1062:V1063"/>
    <mergeCell ref="W1040:W1064"/>
    <mergeCell ref="R1057:R1060"/>
    <mergeCell ref="S1057:S1060"/>
    <mergeCell ref="T1057:T1060"/>
    <mergeCell ref="U1057:U1060"/>
    <mergeCell ref="R1052:R1056"/>
    <mergeCell ref="S1052:S1056"/>
    <mergeCell ref="T1052:T1056"/>
    <mergeCell ref="U1052:U1056"/>
    <mergeCell ref="R1043:R1047"/>
    <mergeCell ref="R1040:R1042"/>
    <mergeCell ref="S1040:S1042"/>
    <mergeCell ref="T1040:T1042"/>
    <mergeCell ref="U1040:U1042"/>
    <mergeCell ref="V1052:V1056"/>
    <mergeCell ref="R1077:R1079"/>
    <mergeCell ref="S1077:S1079"/>
    <mergeCell ref="T1077:T1079"/>
    <mergeCell ref="U1077:U1079"/>
    <mergeCell ref="V1077:V1079"/>
    <mergeCell ref="W1077:W1102"/>
    <mergeCell ref="X1077:X1102"/>
    <mergeCell ref="AE1077:AE1079"/>
    <mergeCell ref="AF1077:AF1079"/>
    <mergeCell ref="AG1077:AG1102"/>
    <mergeCell ref="AN1077:AN1102"/>
    <mergeCell ref="AO1077:AO1078"/>
    <mergeCell ref="AO1079:AO1088"/>
    <mergeCell ref="C1080:C1081"/>
    <mergeCell ref="O1080:O1081"/>
    <mergeCell ref="P1080:P1081"/>
    <mergeCell ref="R1080:R1081"/>
    <mergeCell ref="S1080:S1081"/>
    <mergeCell ref="T1080:T1081"/>
    <mergeCell ref="U1080:U1081"/>
    <mergeCell ref="V1080:V1081"/>
    <mergeCell ref="C1083:C1085"/>
    <mergeCell ref="M1083:M1085"/>
    <mergeCell ref="N1083:N1085"/>
    <mergeCell ref="O1083:O1085"/>
    <mergeCell ref="P1083:P1085"/>
    <mergeCell ref="AF1088:AF1091"/>
    <mergeCell ref="AF1092:AF1094"/>
    <mergeCell ref="AF1083:AF1085"/>
    <mergeCell ref="AF1086:AF1087"/>
    <mergeCell ref="AF1067:AF1068"/>
    <mergeCell ref="M1065:M1066"/>
    <mergeCell ref="N1065:N1066"/>
    <mergeCell ref="O1065:O1066"/>
    <mergeCell ref="P1065:P1066"/>
    <mergeCell ref="R1065:R1066"/>
    <mergeCell ref="M1067:M1068"/>
    <mergeCell ref="N1067:N1068"/>
    <mergeCell ref="O1067:O1068"/>
    <mergeCell ref="P1067:P1068"/>
    <mergeCell ref="R1067:R1068"/>
    <mergeCell ref="S1065:S1066"/>
    <mergeCell ref="T1065:T1066"/>
    <mergeCell ref="U1065:U1066"/>
    <mergeCell ref="U1067:U1068"/>
    <mergeCell ref="T1067:T1068"/>
    <mergeCell ref="AF1080:AF1082"/>
    <mergeCell ref="AI1065:AI1066"/>
    <mergeCell ref="AI1067:AI1068"/>
    <mergeCell ref="J1065:J1068"/>
    <mergeCell ref="R1095:R1098"/>
    <mergeCell ref="S1095:S1098"/>
    <mergeCell ref="T1095:T1098"/>
    <mergeCell ref="U1095:U1098"/>
    <mergeCell ref="V1095:V1098"/>
    <mergeCell ref="AE1095:AE1098"/>
    <mergeCell ref="AF1095:AF1098"/>
    <mergeCell ref="C1099:C1100"/>
    <mergeCell ref="J1099:J1100"/>
    <mergeCell ref="M1099:M1100"/>
    <mergeCell ref="N1099:N1100"/>
    <mergeCell ref="O1099:O1100"/>
    <mergeCell ref="P1099:P1100"/>
    <mergeCell ref="R1099:R1100"/>
    <mergeCell ref="A1077:A1102"/>
    <mergeCell ref="B1077:B1102"/>
    <mergeCell ref="C1077:C1079"/>
    <mergeCell ref="D1077:D1102"/>
    <mergeCell ref="E1077:E1102"/>
    <mergeCell ref="F1077:F1102"/>
    <mergeCell ref="G1077:G1102"/>
    <mergeCell ref="H1077:H1102"/>
    <mergeCell ref="I1077:I1102"/>
    <mergeCell ref="J1077:J1098"/>
    <mergeCell ref="K1077:K1102"/>
    <mergeCell ref="L1077:L1102"/>
    <mergeCell ref="M1077:M1079"/>
    <mergeCell ref="N1077:N1079"/>
    <mergeCell ref="O1077:O1079"/>
    <mergeCell ref="P1077:P1079"/>
    <mergeCell ref="Q1077:Q1102"/>
    <mergeCell ref="C1088:C1091"/>
    <mergeCell ref="M1088:M1091"/>
    <mergeCell ref="N1088:N1091"/>
    <mergeCell ref="O1088:O1091"/>
    <mergeCell ref="P1088:P1091"/>
    <mergeCell ref="C1095:C1098"/>
    <mergeCell ref="M1095:M1098"/>
    <mergeCell ref="N1095:N1098"/>
    <mergeCell ref="O1095:O1098"/>
    <mergeCell ref="P1095:P1098"/>
    <mergeCell ref="R1088:R1091"/>
    <mergeCell ref="S1088:S1091"/>
    <mergeCell ref="T1088:T1091"/>
    <mergeCell ref="U1088:U1091"/>
    <mergeCell ref="V1088:V1091"/>
    <mergeCell ref="AE1088:AE1091"/>
    <mergeCell ref="C1092:C1094"/>
    <mergeCell ref="M1092:M1094"/>
    <mergeCell ref="N1092:N1094"/>
    <mergeCell ref="O1092:O1094"/>
    <mergeCell ref="P1092:P1094"/>
    <mergeCell ref="R1092:R1094"/>
    <mergeCell ref="S1092:S1094"/>
    <mergeCell ref="T1092:T1094"/>
    <mergeCell ref="U1092:U1094"/>
    <mergeCell ref="V1092:V1094"/>
    <mergeCell ref="AE1092:AE1094"/>
    <mergeCell ref="R1083:R1085"/>
    <mergeCell ref="S1083:S1085"/>
    <mergeCell ref="T1083:T1085"/>
    <mergeCell ref="U1083:U1085"/>
    <mergeCell ref="V1083:V1085"/>
    <mergeCell ref="AE1083:AE1085"/>
    <mergeCell ref="C1086:C1087"/>
    <mergeCell ref="M1086:M1087"/>
    <mergeCell ref="N1086:N1087"/>
    <mergeCell ref="O1086:O1087"/>
    <mergeCell ref="P1086:P1087"/>
    <mergeCell ref="R1086:R1087"/>
    <mergeCell ref="S1086:S1087"/>
    <mergeCell ref="T1086:T1087"/>
    <mergeCell ref="U1086:U1087"/>
    <mergeCell ref="V1086:V1087"/>
    <mergeCell ref="AE1086:AE1087"/>
    <mergeCell ref="N1080:N1082"/>
    <mergeCell ref="M1080:M1082"/>
    <mergeCell ref="AE1080:AE1082"/>
    <mergeCell ref="S1099:S1100"/>
    <mergeCell ref="T1099:T1100"/>
    <mergeCell ref="U1099:U1100"/>
    <mergeCell ref="V1099:V1100"/>
    <mergeCell ref="AE1099:AE1100"/>
    <mergeCell ref="AF1099:AF1100"/>
    <mergeCell ref="M1124:M1126"/>
    <mergeCell ref="N1124:N1126"/>
    <mergeCell ref="O1124:O1126"/>
    <mergeCell ref="P1124:P1126"/>
    <mergeCell ref="R1124:R1126"/>
    <mergeCell ref="S1124:S1126"/>
    <mergeCell ref="T1124:T1126"/>
    <mergeCell ref="U1124:U1126"/>
    <mergeCell ref="V1124:V1126"/>
    <mergeCell ref="AF1124:AF1126"/>
    <mergeCell ref="AI1124:AI1126"/>
    <mergeCell ref="AK1124:AK1126"/>
    <mergeCell ref="AL1124:AL1126"/>
    <mergeCell ref="AN1103:AN1120"/>
    <mergeCell ref="R1118:R1120"/>
    <mergeCell ref="S1118:S1120"/>
    <mergeCell ref="T1118:T1120"/>
    <mergeCell ref="U1118:U1120"/>
    <mergeCell ref="V1118:V1120"/>
    <mergeCell ref="AF1118:AF1120"/>
    <mergeCell ref="AI1118:AI1120"/>
    <mergeCell ref="AK1118:AK1120"/>
    <mergeCell ref="AL1118:AL1120"/>
    <mergeCell ref="AM1118:AM1120"/>
    <mergeCell ref="Y1119:Y1120"/>
    <mergeCell ref="AN1121:AN1127"/>
    <mergeCell ref="A1103:A1120"/>
    <mergeCell ref="B1103:B1120"/>
    <mergeCell ref="C1103:C1120"/>
    <mergeCell ref="D1103:D1120"/>
    <mergeCell ref="E1103:E1120"/>
    <mergeCell ref="F1103:F1120"/>
    <mergeCell ref="G1103:G1120"/>
    <mergeCell ref="H1103:H1120"/>
    <mergeCell ref="I1103:I1120"/>
    <mergeCell ref="J1103:J1117"/>
    <mergeCell ref="K1103:K1120"/>
    <mergeCell ref="L1103:L1120"/>
    <mergeCell ref="M1103:M1112"/>
    <mergeCell ref="N1103:N1108"/>
    <mergeCell ref="O1103:O1108"/>
    <mergeCell ref="P1103:P1112"/>
    <mergeCell ref="Q1103:Q1120"/>
    <mergeCell ref="M1113:M1117"/>
    <mergeCell ref="J1118:J1120"/>
    <mergeCell ref="M1118:M1120"/>
    <mergeCell ref="O1118:O1120"/>
    <mergeCell ref="P1118:P1120"/>
    <mergeCell ref="AM1124:AM1126"/>
    <mergeCell ref="R1121:R1123"/>
    <mergeCell ref="S1121:S1123"/>
    <mergeCell ref="T1121:T1123"/>
    <mergeCell ref="U1121:U1123"/>
    <mergeCell ref="V1121:V1123"/>
    <mergeCell ref="W1121:W1127"/>
    <mergeCell ref="X1121:X1127"/>
    <mergeCell ref="AF1121:AF1123"/>
    <mergeCell ref="AG1121:AG1127"/>
    <mergeCell ref="AL1149:AL1150"/>
    <mergeCell ref="AM1149:AM1150"/>
    <mergeCell ref="AI1121:AI1123"/>
    <mergeCell ref="AJ1121:AJ1127"/>
    <mergeCell ref="AK1121:AK1123"/>
    <mergeCell ref="AL1121:AL1123"/>
    <mergeCell ref="AM1121:AM1123"/>
    <mergeCell ref="P1121:P1123"/>
    <mergeCell ref="Q1121:Q1127"/>
    <mergeCell ref="J1147:J1148"/>
    <mergeCell ref="M1147:M1148"/>
    <mergeCell ref="AO1103:AO1120"/>
    <mergeCell ref="Y1105:Y1106"/>
    <mergeCell ref="AC1105:AC1106"/>
    <mergeCell ref="Y1107:Y1108"/>
    <mergeCell ref="AC1107:AC1108"/>
    <mergeCell ref="N1109:N1112"/>
    <mergeCell ref="O1109:O1112"/>
    <mergeCell ref="T1109:T1112"/>
    <mergeCell ref="U1109:U1112"/>
    <mergeCell ref="V1109:V1112"/>
    <mergeCell ref="Y1109:Y1110"/>
    <mergeCell ref="AC1109:AC1110"/>
    <mergeCell ref="AI1109:AI1112"/>
    <mergeCell ref="AK1109:AK1112"/>
    <mergeCell ref="Y1111:Y1112"/>
    <mergeCell ref="AC1111:AC1112"/>
    <mergeCell ref="N1113:N1117"/>
    <mergeCell ref="O1113:O1117"/>
    <mergeCell ref="P1113:P1117"/>
    <mergeCell ref="R1113:R1117"/>
    <mergeCell ref="S1113:S1117"/>
    <mergeCell ref="T1113:T1117"/>
    <mergeCell ref="U1113:U1117"/>
    <mergeCell ref="V1113:V1117"/>
    <mergeCell ref="AF1113:AF1117"/>
    <mergeCell ref="AI1113:AI1117"/>
    <mergeCell ref="AK1113:AK1117"/>
    <mergeCell ref="AL1113:AL1117"/>
    <mergeCell ref="AM1113:AM1117"/>
    <mergeCell ref="N1118:N1120"/>
    <mergeCell ref="R1103:R1112"/>
    <mergeCell ref="S1103:S1112"/>
    <mergeCell ref="T1103:T1108"/>
    <mergeCell ref="U1103:U1108"/>
    <mergeCell ref="V1103:V1108"/>
    <mergeCell ref="W1103:W1120"/>
    <mergeCell ref="X1103:X1120"/>
    <mergeCell ref="Y1103:Y1104"/>
    <mergeCell ref="AC1103:AC1104"/>
    <mergeCell ref="AF1103:AF1112"/>
    <mergeCell ref="AG1103:AG1120"/>
    <mergeCell ref="AI1103:AI1108"/>
    <mergeCell ref="AJ1103:AJ1120"/>
    <mergeCell ref="AK1103:AK1108"/>
    <mergeCell ref="AL1103:AL1112"/>
    <mergeCell ref="AM1103:AM1112"/>
    <mergeCell ref="AO1121:AO1127"/>
    <mergeCell ref="AN1128:AN1148"/>
    <mergeCell ref="AO1128:AO1148"/>
    <mergeCell ref="AI1136:AI1143"/>
    <mergeCell ref="AK1136:AK1143"/>
    <mergeCell ref="AL1136:AL1143"/>
    <mergeCell ref="AM1136:AM1143"/>
    <mergeCell ref="A1121:A1127"/>
    <mergeCell ref="B1121:B1127"/>
    <mergeCell ref="C1121:C1127"/>
    <mergeCell ref="D1121:D1127"/>
    <mergeCell ref="E1121:E1127"/>
    <mergeCell ref="F1121:F1127"/>
    <mergeCell ref="G1121:G1127"/>
    <mergeCell ref="H1121:H1127"/>
    <mergeCell ref="I1121:I1127"/>
    <mergeCell ref="J1121:J1126"/>
    <mergeCell ref="K1121:K1127"/>
    <mergeCell ref="L1121:L1127"/>
    <mergeCell ref="M1121:M1123"/>
    <mergeCell ref="N1121:N1123"/>
    <mergeCell ref="O1121:O1123"/>
    <mergeCell ref="M1136:M1143"/>
    <mergeCell ref="N1136:N1143"/>
    <mergeCell ref="O1136:O1143"/>
    <mergeCell ref="P1136:P1143"/>
    <mergeCell ref="R1136:R1143"/>
    <mergeCell ref="S1136:S1143"/>
    <mergeCell ref="T1136:T1143"/>
    <mergeCell ref="U1136:U1143"/>
    <mergeCell ref="V1136:V1143"/>
    <mergeCell ref="AF1136:AF1143"/>
    <mergeCell ref="A1128:A1148"/>
    <mergeCell ref="B1128:B1148"/>
    <mergeCell ref="C1128:C1148"/>
    <mergeCell ref="P1173:P1175"/>
    <mergeCell ref="Y1153:Y1154"/>
    <mergeCell ref="AC1153:AC1154"/>
    <mergeCell ref="Y1155:Y1156"/>
    <mergeCell ref="AC1155:AC1156"/>
    <mergeCell ref="N1157:N1163"/>
    <mergeCell ref="O1157:O1163"/>
    <mergeCell ref="T1157:T1163"/>
    <mergeCell ref="U1157:U1163"/>
    <mergeCell ref="Y1157:Y1158"/>
    <mergeCell ref="N1144:N1146"/>
    <mergeCell ref="O1144:O1146"/>
    <mergeCell ref="P1144:P1146"/>
    <mergeCell ref="R1144:R1146"/>
    <mergeCell ref="S1144:S1146"/>
    <mergeCell ref="T1144:T1146"/>
    <mergeCell ref="U1144:U1146"/>
    <mergeCell ref="V1144:V1146"/>
    <mergeCell ref="AF1144:AF1146"/>
    <mergeCell ref="R1128:R1135"/>
    <mergeCell ref="S1128:S1135"/>
    <mergeCell ref="T1128:T1135"/>
    <mergeCell ref="U1128:U1135"/>
    <mergeCell ref="V1128:V1135"/>
    <mergeCell ref="W1128:W1148"/>
    <mergeCell ref="X1128:X1148"/>
    <mergeCell ref="AF1128:AF1135"/>
    <mergeCell ref="N1128:N1135"/>
    <mergeCell ref="O1128:O1135"/>
    <mergeCell ref="P1128:P1135"/>
    <mergeCell ref="Q1128:Q1148"/>
    <mergeCell ref="AE1149:AE1150"/>
    <mergeCell ref="AF1149:AF1150"/>
    <mergeCell ref="J1144:J1146"/>
    <mergeCell ref="M1144:M1146"/>
    <mergeCell ref="AN1149:AN1150"/>
    <mergeCell ref="AO1149:AO1150"/>
    <mergeCell ref="N1147:N1148"/>
    <mergeCell ref="O1147:O1148"/>
    <mergeCell ref="P1147:P1148"/>
    <mergeCell ref="R1147:R1148"/>
    <mergeCell ref="S1147:S1148"/>
    <mergeCell ref="T1147:T1148"/>
    <mergeCell ref="U1147:U1148"/>
    <mergeCell ref="V1147:V1148"/>
    <mergeCell ref="AF1147:AF1148"/>
    <mergeCell ref="AI1147:AI1148"/>
    <mergeCell ref="AK1147:AK1148"/>
    <mergeCell ref="AL1147:AL1148"/>
    <mergeCell ref="AM1147:AM1148"/>
    <mergeCell ref="A1149:A1150"/>
    <mergeCell ref="B1149:B1150"/>
    <mergeCell ref="C1149:C1150"/>
    <mergeCell ref="D1149:D1150"/>
    <mergeCell ref="E1149:E1150"/>
    <mergeCell ref="F1149:F1150"/>
    <mergeCell ref="G1149:G1150"/>
    <mergeCell ref="H1149:H1150"/>
    <mergeCell ref="I1149:I1150"/>
    <mergeCell ref="J1149:J1150"/>
    <mergeCell ref="K1149:K1150"/>
    <mergeCell ref="L1149:L1150"/>
    <mergeCell ref="M1149:M1150"/>
    <mergeCell ref="N1149:N1150"/>
    <mergeCell ref="O1149:O1150"/>
    <mergeCell ref="P1149:P1150"/>
    <mergeCell ref="Q1149:Q1150"/>
    <mergeCell ref="R1149:R1150"/>
    <mergeCell ref="S1149:S1150"/>
    <mergeCell ref="T1149:T1150"/>
    <mergeCell ref="U1149:U1150"/>
    <mergeCell ref="V1149:V1150"/>
    <mergeCell ref="W1149:W1150"/>
    <mergeCell ref="X1149:X1150"/>
    <mergeCell ref="D1128:D1148"/>
    <mergeCell ref="E1128:E1148"/>
    <mergeCell ref="F1128:F1148"/>
    <mergeCell ref="G1128:G1148"/>
    <mergeCell ref="H1128:H1148"/>
    <mergeCell ref="I1128:I1148"/>
    <mergeCell ref="J1128:J1143"/>
    <mergeCell ref="K1128:K1148"/>
    <mergeCell ref="L1128:L1148"/>
    <mergeCell ref="M1128:M1135"/>
    <mergeCell ref="AI1144:AI1146"/>
    <mergeCell ref="AK1144:AK1146"/>
    <mergeCell ref="AL1144:AL1146"/>
    <mergeCell ref="AM1144:AM1146"/>
    <mergeCell ref="AG1128:AG1148"/>
    <mergeCell ref="AI1128:AI1135"/>
    <mergeCell ref="AJ1128:AJ1148"/>
    <mergeCell ref="AK1128:AK1135"/>
    <mergeCell ref="AL1128:AL1135"/>
    <mergeCell ref="AM1128:AM1135"/>
    <mergeCell ref="AG1149:AG1150"/>
    <mergeCell ref="AH1149:AH1150"/>
    <mergeCell ref="AI1149:AI1150"/>
    <mergeCell ref="AJ1149:AJ1150"/>
    <mergeCell ref="AK1149:AK1150"/>
    <mergeCell ref="AM1173:AM1175"/>
    <mergeCell ref="A1151:A1175"/>
    <mergeCell ref="B1151:B1175"/>
    <mergeCell ref="C1151:C1175"/>
    <mergeCell ref="D1151:D1175"/>
    <mergeCell ref="E1151:E1175"/>
    <mergeCell ref="F1151:F1175"/>
    <mergeCell ref="G1151:G1175"/>
    <mergeCell ref="H1151:H1175"/>
    <mergeCell ref="I1151:I1175"/>
    <mergeCell ref="J1151:J1169"/>
    <mergeCell ref="K1151:K1175"/>
    <mergeCell ref="L1151:L1175"/>
    <mergeCell ref="M1151:M1163"/>
    <mergeCell ref="N1151:N1156"/>
    <mergeCell ref="O1151:O1156"/>
    <mergeCell ref="P1151:P1163"/>
    <mergeCell ref="Q1151:Q1175"/>
    <mergeCell ref="R1151:R1163"/>
    <mergeCell ref="S1151:S1163"/>
    <mergeCell ref="T1151:T1156"/>
    <mergeCell ref="U1151:U1156"/>
    <mergeCell ref="W1151:W1175"/>
    <mergeCell ref="X1151:X1175"/>
    <mergeCell ref="Y1151:Y1152"/>
    <mergeCell ref="AC1151:AC1152"/>
    <mergeCell ref="AF1151:AF1163"/>
    <mergeCell ref="AG1151:AG1175"/>
    <mergeCell ref="AI1151:AI1156"/>
    <mergeCell ref="AJ1151:AJ1175"/>
    <mergeCell ref="AK1151:AK1156"/>
    <mergeCell ref="M1164:M1169"/>
    <mergeCell ref="N1164:N1169"/>
    <mergeCell ref="O1164:O1169"/>
    <mergeCell ref="P1164:P1169"/>
    <mergeCell ref="R1164:R1169"/>
    <mergeCell ref="S1164:S1169"/>
    <mergeCell ref="T1164:T1169"/>
    <mergeCell ref="U1164:U1169"/>
    <mergeCell ref="AF1164:AF1169"/>
    <mergeCell ref="J1170:J1175"/>
    <mergeCell ref="M1170:M1172"/>
    <mergeCell ref="N1170:N1172"/>
    <mergeCell ref="O1170:O1172"/>
    <mergeCell ref="P1170:P1172"/>
    <mergeCell ref="R1170:R1172"/>
    <mergeCell ref="S1170:S1172"/>
    <mergeCell ref="T1170:T1172"/>
    <mergeCell ref="U1170:U1172"/>
    <mergeCell ref="AF1170:AF1172"/>
    <mergeCell ref="M1173:M1175"/>
    <mergeCell ref="N1173:N1175"/>
    <mergeCell ref="O1173:O1175"/>
    <mergeCell ref="AM1164:AM1169"/>
    <mergeCell ref="AI1170:AI1172"/>
    <mergeCell ref="AK1170:AK1172"/>
    <mergeCell ref="AL1170:AL1172"/>
    <mergeCell ref="AM1170:AM1172"/>
    <mergeCell ref="AL1151:AL1163"/>
    <mergeCell ref="AM1151:AM1163"/>
    <mergeCell ref="A1176:A1190"/>
    <mergeCell ref="B1176:B1190"/>
    <mergeCell ref="C1176:C1190"/>
    <mergeCell ref="D1176:D1190"/>
    <mergeCell ref="E1176:E1190"/>
    <mergeCell ref="F1176:F1190"/>
    <mergeCell ref="G1176:G1190"/>
    <mergeCell ref="H1176:H1190"/>
    <mergeCell ref="I1176:I1190"/>
    <mergeCell ref="J1176:J1187"/>
    <mergeCell ref="K1176:K1190"/>
    <mergeCell ref="L1176:L1190"/>
    <mergeCell ref="M1176:M1183"/>
    <mergeCell ref="N1176:N1179"/>
    <mergeCell ref="O1176:O1179"/>
    <mergeCell ref="P1176:P1183"/>
    <mergeCell ref="Q1176:Q1190"/>
    <mergeCell ref="J1188:J1190"/>
    <mergeCell ref="O1188:O1190"/>
    <mergeCell ref="P1188:P1190"/>
    <mergeCell ref="M1184:M1187"/>
    <mergeCell ref="N1184:N1187"/>
    <mergeCell ref="O1184:O1187"/>
    <mergeCell ref="P1184:P1187"/>
    <mergeCell ref="AF1184:AF1187"/>
    <mergeCell ref="A1191:A1192"/>
    <mergeCell ref="B1191:B1192"/>
    <mergeCell ref="C1191:C1192"/>
    <mergeCell ref="D1191:D1192"/>
    <mergeCell ref="E1191:E1192"/>
    <mergeCell ref="F1191:F1192"/>
    <mergeCell ref="G1191:G1192"/>
    <mergeCell ref="H1191:H1192"/>
    <mergeCell ref="I1191:I1192"/>
    <mergeCell ref="J1191:J1192"/>
    <mergeCell ref="K1191:K1192"/>
    <mergeCell ref="L1191:L1192"/>
    <mergeCell ref="M1191:M1192"/>
    <mergeCell ref="N1191:N1192"/>
    <mergeCell ref="O1191:O1192"/>
    <mergeCell ref="P1191:P1192"/>
    <mergeCell ref="Q1191:Q1192"/>
    <mergeCell ref="N1180:N1183"/>
    <mergeCell ref="O1180:O1183"/>
    <mergeCell ref="T1180:T1183"/>
    <mergeCell ref="U1180:U1183"/>
    <mergeCell ref="V1180:V1183"/>
    <mergeCell ref="Y1180:Y1181"/>
    <mergeCell ref="AC1180:AC1181"/>
    <mergeCell ref="AM1188:AM1190"/>
    <mergeCell ref="R1184:R1187"/>
    <mergeCell ref="S1184:S1187"/>
    <mergeCell ref="T1184:T1187"/>
    <mergeCell ref="U1184:U1187"/>
    <mergeCell ref="V1184:V1187"/>
    <mergeCell ref="AI1184:AI1187"/>
    <mergeCell ref="AK1184:AK1187"/>
    <mergeCell ref="AL1184:AL1187"/>
    <mergeCell ref="AJ1191:AJ1192"/>
    <mergeCell ref="AO1204:AO1209"/>
    <mergeCell ref="W1176:W1190"/>
    <mergeCell ref="X1176:X1190"/>
    <mergeCell ref="Y1176:Y1177"/>
    <mergeCell ref="AC1176:AC1177"/>
    <mergeCell ref="AF1176:AF1183"/>
    <mergeCell ref="AG1176:AG1190"/>
    <mergeCell ref="AI1176:AI1179"/>
    <mergeCell ref="AJ1176:AJ1190"/>
    <mergeCell ref="AK1176:AK1179"/>
    <mergeCell ref="AL1176:AL1183"/>
    <mergeCell ref="AM1176:AM1183"/>
    <mergeCell ref="AF1191:AF1192"/>
    <mergeCell ref="AL1191:AL1192"/>
    <mergeCell ref="AM1191:AM1192"/>
    <mergeCell ref="AN1191:AN1192"/>
    <mergeCell ref="AO1191:AO1192"/>
    <mergeCell ref="U1176:U1179"/>
    <mergeCell ref="V1176:V1179"/>
    <mergeCell ref="M1188:M1190"/>
    <mergeCell ref="N1188:N1190"/>
    <mergeCell ref="R1176:R1183"/>
    <mergeCell ref="S1176:S1183"/>
    <mergeCell ref="T1176:T1179"/>
    <mergeCell ref="A1210:A1224"/>
    <mergeCell ref="B1210:B1224"/>
    <mergeCell ref="C1210:C1224"/>
    <mergeCell ref="D1210:D1224"/>
    <mergeCell ref="E1210:E1224"/>
    <mergeCell ref="F1210:F1224"/>
    <mergeCell ref="G1210:G1224"/>
    <mergeCell ref="H1210:H1224"/>
    <mergeCell ref="I1210:I1224"/>
    <mergeCell ref="J1210:J1221"/>
    <mergeCell ref="K1210:K1224"/>
    <mergeCell ref="L1210:L1224"/>
    <mergeCell ref="M1210:M1215"/>
    <mergeCell ref="N1210:N1215"/>
    <mergeCell ref="O1210:O1215"/>
    <mergeCell ref="P1210:P1215"/>
    <mergeCell ref="Q1210:Q1224"/>
    <mergeCell ref="L1193:L1203"/>
    <mergeCell ref="M1193:M1197"/>
    <mergeCell ref="N1193:N1197"/>
    <mergeCell ref="O1193:O1197"/>
    <mergeCell ref="P1193:P1197"/>
    <mergeCell ref="Q1193:Q1203"/>
    <mergeCell ref="M1216:M1221"/>
    <mergeCell ref="N1216:N1221"/>
    <mergeCell ref="AE1204:AE1205"/>
    <mergeCell ref="AE1206:AE1207"/>
    <mergeCell ref="AK1208:AK1209"/>
    <mergeCell ref="AL1208:AL1209"/>
    <mergeCell ref="AM1208:AM1209"/>
    <mergeCell ref="S1208:S1209"/>
    <mergeCell ref="T1208:T1209"/>
    <mergeCell ref="U1208:U1209"/>
    <mergeCell ref="V1208:V1209"/>
    <mergeCell ref="R1204:R1205"/>
    <mergeCell ref="N1208:N1209"/>
    <mergeCell ref="O1208:O1209"/>
    <mergeCell ref="P1208:P1209"/>
    <mergeCell ref="R1208:R1209"/>
    <mergeCell ref="H1204:H1209"/>
    <mergeCell ref="I1204:I1209"/>
    <mergeCell ref="J1204:J1207"/>
    <mergeCell ref="K1204:K1209"/>
    <mergeCell ref="L1204:L1209"/>
    <mergeCell ref="J1208:J1209"/>
    <mergeCell ref="M1208:M1209"/>
    <mergeCell ref="G1204:G1209"/>
    <mergeCell ref="M1206:M1207"/>
    <mergeCell ref="N1206:N1207"/>
    <mergeCell ref="O1206:O1207"/>
    <mergeCell ref="P1206:P1207"/>
    <mergeCell ref="R1206:R1207"/>
    <mergeCell ref="O1202:O1203"/>
    <mergeCell ref="A1204:A1209"/>
    <mergeCell ref="B1204:B1209"/>
    <mergeCell ref="C1204:C1209"/>
    <mergeCell ref="D1204:D1209"/>
    <mergeCell ref="E1204:E1209"/>
    <mergeCell ref="F1204:F1209"/>
    <mergeCell ref="K1234:K1237"/>
    <mergeCell ref="L1234:L1237"/>
    <mergeCell ref="M1234:M1235"/>
    <mergeCell ref="N1234:N1235"/>
    <mergeCell ref="AM1216:AM1221"/>
    <mergeCell ref="J1222:J1224"/>
    <mergeCell ref="M1222:M1224"/>
    <mergeCell ref="N1222:N1224"/>
    <mergeCell ref="O1222:O1224"/>
    <mergeCell ref="P1222:P1224"/>
    <mergeCell ref="R1222:R1224"/>
    <mergeCell ref="S1222:S1224"/>
    <mergeCell ref="T1222:T1224"/>
    <mergeCell ref="U1222:U1224"/>
    <mergeCell ref="V1222:V1224"/>
    <mergeCell ref="AF1222:AF1224"/>
    <mergeCell ref="AI1222:AI1224"/>
    <mergeCell ref="AK1222:AK1224"/>
    <mergeCell ref="AL1222:AL1224"/>
    <mergeCell ref="AM1222:AM1224"/>
    <mergeCell ref="R1210:R1215"/>
    <mergeCell ref="S1210:S1215"/>
    <mergeCell ref="T1210:T1215"/>
    <mergeCell ref="U1210:U1215"/>
    <mergeCell ref="V1210:V1215"/>
    <mergeCell ref="W1210:W1224"/>
    <mergeCell ref="X1210:X1224"/>
    <mergeCell ref="AF1210:AF1215"/>
    <mergeCell ref="AG1210:AG1224"/>
    <mergeCell ref="AI1210:AI1215"/>
    <mergeCell ref="AJ1210:AJ1224"/>
    <mergeCell ref="AK1210:AK1215"/>
    <mergeCell ref="AL1210:AL1215"/>
    <mergeCell ref="AM1210:AM1215"/>
    <mergeCell ref="AM1244:AM1250"/>
    <mergeCell ref="AK1252:AK1255"/>
    <mergeCell ref="AL1252:AL1255"/>
    <mergeCell ref="AM1252:AM1255"/>
    <mergeCell ref="AM1238:AM1242"/>
    <mergeCell ref="AN1238:AN1243"/>
    <mergeCell ref="AO1238:AO1243"/>
    <mergeCell ref="A1238:A1243"/>
    <mergeCell ref="B1238:B1243"/>
    <mergeCell ref="C1238:C1243"/>
    <mergeCell ref="D1238:D1243"/>
    <mergeCell ref="E1238:E1243"/>
    <mergeCell ref="F1238:F1243"/>
    <mergeCell ref="G1238:G1243"/>
    <mergeCell ref="H1238:H1243"/>
    <mergeCell ref="I1238:I1243"/>
    <mergeCell ref="J1238:J1242"/>
    <mergeCell ref="K1238:K1243"/>
    <mergeCell ref="L1238:L1243"/>
    <mergeCell ref="M1238:M1242"/>
    <mergeCell ref="N1238:N1242"/>
    <mergeCell ref="O1238:O1242"/>
    <mergeCell ref="P1238:P1242"/>
    <mergeCell ref="Q1238:Q1243"/>
    <mergeCell ref="AN1210:AN1224"/>
    <mergeCell ref="AO1210:AO1224"/>
    <mergeCell ref="R1234:R1235"/>
    <mergeCell ref="S1234:S1235"/>
    <mergeCell ref="T1234:T1235"/>
    <mergeCell ref="U1234:U1235"/>
    <mergeCell ref="V1234:V1235"/>
    <mergeCell ref="W1234:W1237"/>
    <mergeCell ref="X1234:X1237"/>
    <mergeCell ref="AI1234:AI1235"/>
    <mergeCell ref="AJ1234:AJ1237"/>
    <mergeCell ref="AK1234:AK1235"/>
    <mergeCell ref="AL1234:AL1235"/>
    <mergeCell ref="AM1234:AM1235"/>
    <mergeCell ref="AN1234:AN1237"/>
    <mergeCell ref="AO1234:AO1237"/>
    <mergeCell ref="J1236:J1237"/>
    <mergeCell ref="M1236:M1237"/>
    <mergeCell ref="N1236:N1237"/>
    <mergeCell ref="O1236:O1237"/>
    <mergeCell ref="P1236:P1237"/>
    <mergeCell ref="R1236:R1237"/>
    <mergeCell ref="S1236:S1237"/>
    <mergeCell ref="T1236:T1237"/>
    <mergeCell ref="U1236:U1237"/>
    <mergeCell ref="V1236:V1237"/>
    <mergeCell ref="AI1236:AI1237"/>
    <mergeCell ref="AK1236:AK1237"/>
    <mergeCell ref="AL1236:AL1237"/>
    <mergeCell ref="AM1236:AM1237"/>
    <mergeCell ref="A1234:A1237"/>
    <mergeCell ref="B1234:B1237"/>
    <mergeCell ref="C1234:C1237"/>
    <mergeCell ref="D1234:D1237"/>
    <mergeCell ref="E1234:E1237"/>
    <mergeCell ref="F1234:F1237"/>
    <mergeCell ref="G1234:G1237"/>
    <mergeCell ref="H1234:H1237"/>
    <mergeCell ref="I1234:I1237"/>
    <mergeCell ref="J1234:J1235"/>
    <mergeCell ref="M1288:M1294"/>
    <mergeCell ref="N1288:N1294"/>
    <mergeCell ref="O1288:O1294"/>
    <mergeCell ref="P1288:P1294"/>
    <mergeCell ref="R1288:R1294"/>
    <mergeCell ref="S1288:S1294"/>
    <mergeCell ref="T1288:T1294"/>
    <mergeCell ref="U1288:U1294"/>
    <mergeCell ref="AN1269:AN1273"/>
    <mergeCell ref="AO1269:AO1273"/>
    <mergeCell ref="G1269:G1273"/>
    <mergeCell ref="H1269:H1273"/>
    <mergeCell ref="I1269:I1273"/>
    <mergeCell ref="L1269:L1273"/>
    <mergeCell ref="J1272:J1273"/>
    <mergeCell ref="M1272:M1273"/>
    <mergeCell ref="N1272:N1273"/>
    <mergeCell ref="O1272:O1273"/>
    <mergeCell ref="P1272:P1273"/>
    <mergeCell ref="AF1269:AF1270"/>
    <mergeCell ref="AG1269:AG1273"/>
    <mergeCell ref="AN1244:AN1250"/>
    <mergeCell ref="AO1244:AO1250"/>
    <mergeCell ref="A1252:A1255"/>
    <mergeCell ref="B1252:B1255"/>
    <mergeCell ref="C1252:C1255"/>
    <mergeCell ref="D1252:D1255"/>
    <mergeCell ref="E1252:E1255"/>
    <mergeCell ref="F1252:F1255"/>
    <mergeCell ref="G1252:G1255"/>
    <mergeCell ref="H1252:H1255"/>
    <mergeCell ref="I1252:I1255"/>
    <mergeCell ref="J1252:J1255"/>
    <mergeCell ref="K1252:K1255"/>
    <mergeCell ref="L1252:L1255"/>
    <mergeCell ref="M1252:M1255"/>
    <mergeCell ref="N1252:N1255"/>
    <mergeCell ref="O1252:O1255"/>
    <mergeCell ref="P1252:P1255"/>
    <mergeCell ref="Q1252:Q1255"/>
    <mergeCell ref="R1252:R1255"/>
    <mergeCell ref="S1252:S1255"/>
    <mergeCell ref="T1252:T1255"/>
    <mergeCell ref="U1252:U1255"/>
    <mergeCell ref="V1252:V1255"/>
    <mergeCell ref="W1252:W1255"/>
    <mergeCell ref="X1252:X1255"/>
    <mergeCell ref="AF1252:AF1255"/>
    <mergeCell ref="AG1252:AG1255"/>
    <mergeCell ref="AI1252:AI1255"/>
    <mergeCell ref="AJ1252:AJ1255"/>
    <mergeCell ref="A1244:A1250"/>
    <mergeCell ref="B1244:B1250"/>
    <mergeCell ref="C1244:C1250"/>
    <mergeCell ref="D1244:D1250"/>
    <mergeCell ref="E1244:E1250"/>
    <mergeCell ref="F1244:F1250"/>
    <mergeCell ref="G1244:G1250"/>
    <mergeCell ref="H1244:H1250"/>
    <mergeCell ref="I1244:I1250"/>
    <mergeCell ref="J1244:J1250"/>
    <mergeCell ref="K1244:K1250"/>
    <mergeCell ref="L1244:L1250"/>
    <mergeCell ref="M1244:M1250"/>
    <mergeCell ref="M1318:M1321"/>
    <mergeCell ref="N1318:N1321"/>
    <mergeCell ref="O1318:O1321"/>
    <mergeCell ref="P1318:P1321"/>
    <mergeCell ref="R1318:R1321"/>
    <mergeCell ref="S1318:S1321"/>
    <mergeCell ref="M1310:M1317"/>
    <mergeCell ref="N1310:N1313"/>
    <mergeCell ref="AN1274:AN1294"/>
    <mergeCell ref="AO1274:AO1294"/>
    <mergeCell ref="Y1276:Y1277"/>
    <mergeCell ref="AC1276:AC1277"/>
    <mergeCell ref="Y1278:Y1279"/>
    <mergeCell ref="AC1278:AC1279"/>
    <mergeCell ref="Y1280:Y1281"/>
    <mergeCell ref="AC1280:AC1281"/>
    <mergeCell ref="AL1288:AL1294"/>
    <mergeCell ref="AM1288:AM1294"/>
    <mergeCell ref="M1301:M1304"/>
    <mergeCell ref="N1301:N1304"/>
    <mergeCell ref="O1301:O1304"/>
    <mergeCell ref="P1301:P1304"/>
    <mergeCell ref="Q1301:Q1304"/>
    <mergeCell ref="R1301:R1304"/>
    <mergeCell ref="AN1252:AN1255"/>
    <mergeCell ref="AO1252:AO1255"/>
    <mergeCell ref="A1274:A1294"/>
    <mergeCell ref="B1274:B1294"/>
    <mergeCell ref="C1274:C1294"/>
    <mergeCell ref="D1274:D1294"/>
    <mergeCell ref="E1274:E1294"/>
    <mergeCell ref="F1274:F1294"/>
    <mergeCell ref="G1274:G1294"/>
    <mergeCell ref="H1274:H1294"/>
    <mergeCell ref="I1274:I1294"/>
    <mergeCell ref="J1274:J1294"/>
    <mergeCell ref="K1274:K1294"/>
    <mergeCell ref="L1274:L1294"/>
    <mergeCell ref="M1274:M1287"/>
    <mergeCell ref="N1274:N1280"/>
    <mergeCell ref="O1274:O1280"/>
    <mergeCell ref="P1274:P1287"/>
    <mergeCell ref="Q1274:Q1294"/>
    <mergeCell ref="R1274:R1287"/>
    <mergeCell ref="S1274:S1287"/>
    <mergeCell ref="T1274:T1280"/>
    <mergeCell ref="U1274:U1280"/>
    <mergeCell ref="V1274:V1280"/>
    <mergeCell ref="W1274:W1294"/>
    <mergeCell ref="X1274:X1294"/>
    <mergeCell ref="Y1274:Y1275"/>
    <mergeCell ref="N1281:N1287"/>
    <mergeCell ref="O1281:O1287"/>
    <mergeCell ref="T1281:T1287"/>
    <mergeCell ref="U1281:U1287"/>
    <mergeCell ref="V1281:V1287"/>
    <mergeCell ref="AI1281:AI1287"/>
    <mergeCell ref="AK1281:AK1287"/>
    <mergeCell ref="Y1282:Y1283"/>
    <mergeCell ref="AC1282:AC1283"/>
    <mergeCell ref="Y1284:Y1285"/>
    <mergeCell ref="AC1284:AC1285"/>
    <mergeCell ref="Y1286:Y1287"/>
    <mergeCell ref="AC1286:AC1287"/>
    <mergeCell ref="AC1310:AC1311"/>
    <mergeCell ref="AF1310:AF1317"/>
    <mergeCell ref="AI1310:AI1313"/>
    <mergeCell ref="AK1310:AK1317"/>
    <mergeCell ref="AN1295:AN1300"/>
    <mergeCell ref="AO1295:AO1300"/>
    <mergeCell ref="AM1301:AM1304"/>
    <mergeCell ref="AN1301:AN1304"/>
    <mergeCell ref="AL1310:AL1317"/>
    <mergeCell ref="AM1310:AM1317"/>
    <mergeCell ref="AN1310:AN1321"/>
    <mergeCell ref="AO1310:AO1321"/>
    <mergeCell ref="AF1301:AF1304"/>
    <mergeCell ref="AG1301:AG1304"/>
    <mergeCell ref="AI1301:AI1304"/>
    <mergeCell ref="AC1312:AC1313"/>
    <mergeCell ref="AC1314:AC1315"/>
    <mergeCell ref="AI1314:AI1317"/>
    <mergeCell ref="AF1318:AF1321"/>
    <mergeCell ref="AI1318:AI1321"/>
    <mergeCell ref="AK1318:AK1321"/>
    <mergeCell ref="AL1318:AL1321"/>
    <mergeCell ref="AM1318:AM1321"/>
    <mergeCell ref="AJ1301:AJ1304"/>
    <mergeCell ref="Y1312:Y1313"/>
    <mergeCell ref="N1314:N1317"/>
    <mergeCell ref="O1314:O1317"/>
    <mergeCell ref="T1314:T1317"/>
    <mergeCell ref="U1314:U1317"/>
    <mergeCell ref="V1314:V1317"/>
    <mergeCell ref="Y1314:Y1315"/>
    <mergeCell ref="Y1316:Y1317"/>
    <mergeCell ref="V1318:V1321"/>
    <mergeCell ref="Q1310:Q1321"/>
    <mergeCell ref="R1310:R1317"/>
    <mergeCell ref="S1310:S1317"/>
    <mergeCell ref="T1310:T1313"/>
    <mergeCell ref="U1310:U1313"/>
    <mergeCell ref="V1310:V1313"/>
    <mergeCell ref="AK1288:AK1294"/>
    <mergeCell ref="AC1274:AC1275"/>
    <mergeCell ref="AF1274:AF1287"/>
    <mergeCell ref="AG1274:AG1294"/>
    <mergeCell ref="AI1274:AI1280"/>
    <mergeCell ref="AJ1274:AJ1294"/>
    <mergeCell ref="AK1274:AK1280"/>
    <mergeCell ref="AL1274:AL1287"/>
    <mergeCell ref="AM1274:AM1287"/>
    <mergeCell ref="R1295:R1297"/>
    <mergeCell ref="V1295:V1297"/>
    <mergeCell ref="W1295:W1300"/>
    <mergeCell ref="X1295:X1300"/>
    <mergeCell ref="AE1295:AE1297"/>
    <mergeCell ref="V1288:V1294"/>
    <mergeCell ref="AF1288:AF1294"/>
    <mergeCell ref="AI1288:AI1294"/>
    <mergeCell ref="K1354:K1359"/>
    <mergeCell ref="L1354:L1359"/>
    <mergeCell ref="M1354:M1357"/>
    <mergeCell ref="N1354:N1357"/>
    <mergeCell ref="O1354:O1357"/>
    <mergeCell ref="P1354:P1357"/>
    <mergeCell ref="Q1354:Q1359"/>
    <mergeCell ref="R1354:R1357"/>
    <mergeCell ref="S1354:S1357"/>
    <mergeCell ref="T1354:T1357"/>
    <mergeCell ref="U1354:U1357"/>
    <mergeCell ref="O1340:O1342"/>
    <mergeCell ref="T1340:T1342"/>
    <mergeCell ref="U1340:U1342"/>
    <mergeCell ref="O1344:O1346"/>
    <mergeCell ref="P1344:P1346"/>
    <mergeCell ref="R1344:R1346"/>
    <mergeCell ref="S1344:S1346"/>
    <mergeCell ref="T1344:T1346"/>
    <mergeCell ref="U1344:U1346"/>
    <mergeCell ref="R1336:R1342"/>
    <mergeCell ref="S1336:S1342"/>
    <mergeCell ref="T1336:T1338"/>
    <mergeCell ref="U1336:U1338"/>
    <mergeCell ref="V1336:V1348"/>
    <mergeCell ref="W1336:W1348"/>
    <mergeCell ref="X1336:X1348"/>
    <mergeCell ref="AG1336:AG1348"/>
    <mergeCell ref="AH1336:AH1348"/>
    <mergeCell ref="AI1336:AI1348"/>
    <mergeCell ref="AJ1336:AJ1348"/>
    <mergeCell ref="AK1336:AK1348"/>
    <mergeCell ref="AL1336:AL1348"/>
    <mergeCell ref="AM1336:AM1348"/>
    <mergeCell ref="AK1301:AK1304"/>
    <mergeCell ref="AL1301:AL1304"/>
    <mergeCell ref="S1301:S1304"/>
    <mergeCell ref="T1301:T1304"/>
    <mergeCell ref="U1301:U1304"/>
    <mergeCell ref="V1301:V1304"/>
    <mergeCell ref="W1301:W1304"/>
    <mergeCell ref="X1301:X1304"/>
    <mergeCell ref="O1310:O1313"/>
    <mergeCell ref="P1310:P1317"/>
    <mergeCell ref="W1310:W1321"/>
    <mergeCell ref="X1310:X1321"/>
    <mergeCell ref="Y1310:Y1311"/>
    <mergeCell ref="A1295:A1300"/>
    <mergeCell ref="B1295:B1300"/>
    <mergeCell ref="C1295:C1300"/>
    <mergeCell ref="D1295:D1300"/>
    <mergeCell ref="E1295:E1300"/>
    <mergeCell ref="F1295:F1300"/>
    <mergeCell ref="G1295:G1300"/>
    <mergeCell ref="H1295:H1300"/>
    <mergeCell ref="I1295:I1300"/>
    <mergeCell ref="J1295:J1300"/>
    <mergeCell ref="K1295:K1300"/>
    <mergeCell ref="L1295:L1300"/>
    <mergeCell ref="M1295:M1297"/>
    <mergeCell ref="N1295:N1297"/>
    <mergeCell ref="O1295:O1297"/>
    <mergeCell ref="P1295:P1297"/>
    <mergeCell ref="Q1295:Q1300"/>
    <mergeCell ref="A1336:A1348"/>
    <mergeCell ref="B1336:B1348"/>
    <mergeCell ref="C1336:C1348"/>
    <mergeCell ref="D1336:D1348"/>
    <mergeCell ref="E1336:E1348"/>
    <mergeCell ref="F1336:F1348"/>
    <mergeCell ref="G1336:G1348"/>
    <mergeCell ref="H1336:H1348"/>
    <mergeCell ref="I1336:I1348"/>
    <mergeCell ref="J1336:J1348"/>
    <mergeCell ref="K1336:K1348"/>
    <mergeCell ref="L1336:L1348"/>
    <mergeCell ref="O1336:O1338"/>
    <mergeCell ref="P1336:P1342"/>
    <mergeCell ref="Q1336:Q1348"/>
    <mergeCell ref="AO1301:AO1304"/>
    <mergeCell ref="M1298:M1300"/>
    <mergeCell ref="N1298:N1300"/>
    <mergeCell ref="O1298:O1300"/>
    <mergeCell ref="P1298:P1300"/>
    <mergeCell ref="R1298:R1300"/>
    <mergeCell ref="V1298:V1300"/>
    <mergeCell ref="AE1298:AE1300"/>
    <mergeCell ref="B1310:B1321"/>
    <mergeCell ref="C1310:C1321"/>
    <mergeCell ref="D1310:D1321"/>
    <mergeCell ref="E1310:E1321"/>
    <mergeCell ref="F1310:F1321"/>
    <mergeCell ref="G1310:G1321"/>
    <mergeCell ref="H1310:H1321"/>
    <mergeCell ref="I1310:I1321"/>
    <mergeCell ref="J1310:J1321"/>
    <mergeCell ref="K1310:K1321"/>
    <mergeCell ref="L1310:L1321"/>
    <mergeCell ref="G1301:G1304"/>
    <mergeCell ref="H1301:H1304"/>
    <mergeCell ref="I1301:I1304"/>
    <mergeCell ref="J1301:J1304"/>
    <mergeCell ref="K1301:K1304"/>
    <mergeCell ref="L1301:L1304"/>
    <mergeCell ref="B1301:B1304"/>
    <mergeCell ref="C1301:C1304"/>
    <mergeCell ref="D1301:D1304"/>
    <mergeCell ref="E1301:E1304"/>
    <mergeCell ref="F1301:F1304"/>
    <mergeCell ref="T1318:T1321"/>
    <mergeCell ref="U1318:U1321"/>
    <mergeCell ref="N1433:N1434"/>
    <mergeCell ref="O1433:O1434"/>
    <mergeCell ref="P1433:P1434"/>
    <mergeCell ref="Q1433:Q1454"/>
    <mergeCell ref="R1433:R1454"/>
    <mergeCell ref="V1433:V1434"/>
    <mergeCell ref="AG1354:AG1359"/>
    <mergeCell ref="AI1354:AI1357"/>
    <mergeCell ref="AJ1354:AJ1359"/>
    <mergeCell ref="AK1354:AK1357"/>
    <mergeCell ref="AL1354:AL1357"/>
    <mergeCell ref="AM1354:AM1357"/>
    <mergeCell ref="R1349:R1352"/>
    <mergeCell ref="S1349:S1352"/>
    <mergeCell ref="T1349:T1352"/>
    <mergeCell ref="U1349:U1352"/>
    <mergeCell ref="V1349:V1352"/>
    <mergeCell ref="W1349:W1353"/>
    <mergeCell ref="X1349:X1353"/>
    <mergeCell ref="AF1349:AF1352"/>
    <mergeCell ref="AG1349:AG1353"/>
    <mergeCell ref="AI1349:AI1352"/>
    <mergeCell ref="AJ1349:AJ1353"/>
    <mergeCell ref="AK1349:AK1352"/>
    <mergeCell ref="AL1349:AL1352"/>
    <mergeCell ref="AM1349:AM1352"/>
    <mergeCell ref="A1349:A1353"/>
    <mergeCell ref="B1349:B1353"/>
    <mergeCell ref="C1349:C1353"/>
    <mergeCell ref="D1349:D1353"/>
    <mergeCell ref="E1349:E1353"/>
    <mergeCell ref="F1349:F1353"/>
    <mergeCell ref="G1349:G1353"/>
    <mergeCell ref="H1349:H1353"/>
    <mergeCell ref="I1349:I1353"/>
    <mergeCell ref="J1349:J1352"/>
    <mergeCell ref="V1358:V1359"/>
    <mergeCell ref="K1349:K1353"/>
    <mergeCell ref="L1349:L1353"/>
    <mergeCell ref="M1349:M1352"/>
    <mergeCell ref="N1349:N1352"/>
    <mergeCell ref="O1349:O1352"/>
    <mergeCell ref="P1349:P1352"/>
    <mergeCell ref="Q1349:Q1353"/>
    <mergeCell ref="AF1358:AF1359"/>
    <mergeCell ref="AI1358:AI1359"/>
    <mergeCell ref="AK1358:AK1359"/>
    <mergeCell ref="AL1358:AL1359"/>
    <mergeCell ref="AM1358:AM1359"/>
    <mergeCell ref="A1354:A1359"/>
    <mergeCell ref="B1354:B1359"/>
    <mergeCell ref="C1354:C1359"/>
    <mergeCell ref="D1354:D1359"/>
    <mergeCell ref="E1354:E1359"/>
    <mergeCell ref="F1354:F1359"/>
    <mergeCell ref="G1354:G1359"/>
    <mergeCell ref="H1354:H1359"/>
    <mergeCell ref="I1354:I1359"/>
    <mergeCell ref="J1354:J1357"/>
    <mergeCell ref="V1354:V1357"/>
    <mergeCell ref="W1354:W1359"/>
    <mergeCell ref="X1354:X1359"/>
    <mergeCell ref="AF1354:AF1357"/>
    <mergeCell ref="V1435:V1436"/>
    <mergeCell ref="M1437:M1438"/>
    <mergeCell ref="N1437:N1438"/>
    <mergeCell ref="O1437:O1438"/>
    <mergeCell ref="P1437:P1438"/>
    <mergeCell ref="V1437:V1438"/>
    <mergeCell ref="M1445:M1446"/>
    <mergeCell ref="N1445:N1446"/>
    <mergeCell ref="O1445:O1446"/>
    <mergeCell ref="P1445:P1446"/>
    <mergeCell ref="V1445:V1446"/>
    <mergeCell ref="R1369:R1370"/>
    <mergeCell ref="S1369:S1370"/>
    <mergeCell ref="T1369:T1370"/>
    <mergeCell ref="U1369:U1370"/>
    <mergeCell ref="V1369:V1370"/>
    <mergeCell ref="W1369:W1371"/>
    <mergeCell ref="X1369:X1371"/>
    <mergeCell ref="AF1369:AF1370"/>
    <mergeCell ref="AG1369:AG1371"/>
    <mergeCell ref="AI1369:AI1370"/>
    <mergeCell ref="AJ1369:AJ1371"/>
    <mergeCell ref="AK1369:AK1370"/>
    <mergeCell ref="AL1369:AL1370"/>
    <mergeCell ref="AM1369:AM1370"/>
    <mergeCell ref="AN1369:AN1371"/>
    <mergeCell ref="AO1369:AO1371"/>
    <mergeCell ref="A1369:A1371"/>
    <mergeCell ref="B1369:B1371"/>
    <mergeCell ref="C1369:C1371"/>
    <mergeCell ref="D1369:D1371"/>
    <mergeCell ref="E1369:E1371"/>
    <mergeCell ref="F1369:F1371"/>
    <mergeCell ref="G1369:G1371"/>
    <mergeCell ref="H1369:H1371"/>
    <mergeCell ref="I1369:I1371"/>
    <mergeCell ref="J1369:J1370"/>
    <mergeCell ref="K1369:K1371"/>
    <mergeCell ref="L1369:L1371"/>
    <mergeCell ref="M1369:M1370"/>
    <mergeCell ref="N1369:N1370"/>
    <mergeCell ref="O1369:O1370"/>
    <mergeCell ref="P1369:P1370"/>
    <mergeCell ref="Q1369:Q1371"/>
    <mergeCell ref="M1443:M1444"/>
    <mergeCell ref="N1443:N1444"/>
    <mergeCell ref="O1443:O1444"/>
    <mergeCell ref="P1443:P1444"/>
    <mergeCell ref="V1443:V1444"/>
    <mergeCell ref="AN1407:AN1410"/>
    <mergeCell ref="AO1407:AO1410"/>
    <mergeCell ref="A1433:A1454"/>
    <mergeCell ref="B1433:B1454"/>
    <mergeCell ref="C1433:C1454"/>
    <mergeCell ref="D1433:D1454"/>
    <mergeCell ref="E1433:E1454"/>
    <mergeCell ref="F1433:F1454"/>
    <mergeCell ref="G1433:G1454"/>
    <mergeCell ref="H1433:H1454"/>
    <mergeCell ref="I1433:I1454"/>
    <mergeCell ref="J1433:J1454"/>
    <mergeCell ref="K1433:K1454"/>
    <mergeCell ref="L1433:L1454"/>
    <mergeCell ref="M1433:M1434"/>
    <mergeCell ref="AO1400:AO1406"/>
    <mergeCell ref="AK1464:AK1467"/>
    <mergeCell ref="AL1464:AL1467"/>
    <mergeCell ref="AM1464:AM1467"/>
    <mergeCell ref="AF1464:AF1467"/>
    <mergeCell ref="AI1464:AI1467"/>
    <mergeCell ref="AF1460:AF1463"/>
    <mergeCell ref="AI1460:AI1463"/>
    <mergeCell ref="M1456:M1459"/>
    <mergeCell ref="N1456:N1459"/>
    <mergeCell ref="V1498:V1499"/>
    <mergeCell ref="AF1498:AF1499"/>
    <mergeCell ref="AF1496:AF1497"/>
    <mergeCell ref="AO1492:AO1495"/>
    <mergeCell ref="AN1492:AN1495"/>
    <mergeCell ref="W1433:W1454"/>
    <mergeCell ref="X1433:X1454"/>
    <mergeCell ref="AO1433:AO1454"/>
    <mergeCell ref="M1435:M1436"/>
    <mergeCell ref="N1435:N1436"/>
    <mergeCell ref="O1435:O1436"/>
    <mergeCell ref="P1435:P1436"/>
    <mergeCell ref="A1407:A1410"/>
    <mergeCell ref="B1407:B1410"/>
    <mergeCell ref="C1407:C1410"/>
    <mergeCell ref="D1407:D1410"/>
    <mergeCell ref="E1407:E1410"/>
    <mergeCell ref="F1407:F1410"/>
    <mergeCell ref="G1407:G1410"/>
    <mergeCell ref="H1407:H1410"/>
    <mergeCell ref="I1407:I1410"/>
    <mergeCell ref="J1407:J1410"/>
    <mergeCell ref="K1407:K1410"/>
    <mergeCell ref="L1407:L1410"/>
    <mergeCell ref="M1407:M1410"/>
    <mergeCell ref="N1407:N1410"/>
    <mergeCell ref="O1407:O1410"/>
    <mergeCell ref="P1407:P1410"/>
    <mergeCell ref="Q1407:Q1410"/>
    <mergeCell ref="R1407:R1410"/>
    <mergeCell ref="S1407:S1410"/>
    <mergeCell ref="T1407:T1410"/>
    <mergeCell ref="U1407:U1410"/>
    <mergeCell ref="V1407:V1410"/>
    <mergeCell ref="W1407:W1410"/>
    <mergeCell ref="X1407:X1410"/>
    <mergeCell ref="AF1407:AF1410"/>
    <mergeCell ref="AG1407:AG1410"/>
    <mergeCell ref="AI1407:AI1410"/>
    <mergeCell ref="AJ1407:AJ1410"/>
    <mergeCell ref="AK1407:AK1410"/>
    <mergeCell ref="AL1407:AL1410"/>
    <mergeCell ref="AM1407:AM1410"/>
    <mergeCell ref="M1453:M1454"/>
    <mergeCell ref="N1453:N1454"/>
    <mergeCell ref="O1453:O1454"/>
    <mergeCell ref="P1453:P1454"/>
    <mergeCell ref="V1453:V1454"/>
    <mergeCell ref="M1447:M1448"/>
    <mergeCell ref="N1447:N1448"/>
    <mergeCell ref="M1451:M1452"/>
    <mergeCell ref="N1451:N1452"/>
    <mergeCell ref="O1451:O1452"/>
    <mergeCell ref="P1451:P1452"/>
    <mergeCell ref="V1451:V1452"/>
    <mergeCell ref="O1075:O1076"/>
    <mergeCell ref="AG1070:AG1076"/>
    <mergeCell ref="AI1070:AI1076"/>
    <mergeCell ref="AJ1070:AJ1076"/>
    <mergeCell ref="AK1070:AK1076"/>
    <mergeCell ref="I1193:I1203"/>
    <mergeCell ref="J1193:J1201"/>
    <mergeCell ref="K1193:K1203"/>
    <mergeCell ref="AI1208:AI1209"/>
    <mergeCell ref="N1204:N1205"/>
    <mergeCell ref="O1204:O1205"/>
    <mergeCell ref="P1204:P1205"/>
    <mergeCell ref="Q1204:Q1209"/>
    <mergeCell ref="M1204:M1205"/>
    <mergeCell ref="AF1208:AF1209"/>
    <mergeCell ref="Y1075:Y1076"/>
    <mergeCell ref="AF1070:AF1076"/>
    <mergeCell ref="J1202:J1203"/>
    <mergeCell ref="M1202:M1203"/>
    <mergeCell ref="N1202:N1203"/>
    <mergeCell ref="J1542:J1544"/>
    <mergeCell ref="AO1456:AO1491"/>
    <mergeCell ref="AN1456:AN1491"/>
    <mergeCell ref="AJ1456:AJ1491"/>
    <mergeCell ref="AK1472:AK1475"/>
    <mergeCell ref="AL1472:AL1475"/>
    <mergeCell ref="AM1472:AM1475"/>
    <mergeCell ref="AK1476:AK1479"/>
    <mergeCell ref="AL1476:AL1479"/>
    <mergeCell ref="AM1476:AM1479"/>
    <mergeCell ref="AM1480:AM1483"/>
    <mergeCell ref="AL1480:AL1483"/>
    <mergeCell ref="AK1480:AK1483"/>
    <mergeCell ref="AK1484:AK1487"/>
    <mergeCell ref="AK1468:AK1471"/>
    <mergeCell ref="AL1468:AL1471"/>
    <mergeCell ref="AM1468:AM1471"/>
    <mergeCell ref="AK1456:AK1459"/>
    <mergeCell ref="O1488:O1491"/>
    <mergeCell ref="P1488:P1491"/>
    <mergeCell ref="M1472:M1475"/>
    <mergeCell ref="M1476:M1479"/>
    <mergeCell ref="M1480:M1483"/>
    <mergeCell ref="M1484:M1487"/>
    <mergeCell ref="M1488:M1491"/>
    <mergeCell ref="M1464:M1467"/>
    <mergeCell ref="N1464:N1467"/>
    <mergeCell ref="O1464:O1467"/>
    <mergeCell ref="V1484:V1487"/>
    <mergeCell ref="V1488:V1491"/>
    <mergeCell ref="AL1456:AL1459"/>
    <mergeCell ref="AM1456:AM1459"/>
    <mergeCell ref="Q1542:Q1544"/>
    <mergeCell ref="R1500:R1501"/>
    <mergeCell ref="S1500:S1501"/>
    <mergeCell ref="T1500:T1501"/>
    <mergeCell ref="U1500:U1501"/>
    <mergeCell ref="N1506:N1508"/>
    <mergeCell ref="O1506:O1508"/>
    <mergeCell ref="V1506:V1508"/>
    <mergeCell ref="AK1460:AK1463"/>
    <mergeCell ref="AL1460:AL1463"/>
    <mergeCell ref="M1460:M1463"/>
    <mergeCell ref="N1460:N1463"/>
    <mergeCell ref="AI675:AI678"/>
    <mergeCell ref="AI679:AI680"/>
    <mergeCell ref="AJ672:AJ674"/>
    <mergeCell ref="AK672:AK674"/>
    <mergeCell ref="G675:G680"/>
    <mergeCell ref="Q675:Q680"/>
    <mergeCell ref="U675:U678"/>
    <mergeCell ref="V675:V678"/>
    <mergeCell ref="AF675:AF678"/>
    <mergeCell ref="Q672:Q674"/>
    <mergeCell ref="AF672:AF674"/>
    <mergeCell ref="M675:M678"/>
    <mergeCell ref="H675:H680"/>
    <mergeCell ref="I675:I680"/>
    <mergeCell ref="J679:J680"/>
    <mergeCell ref="J675:J678"/>
    <mergeCell ref="K675:K680"/>
    <mergeCell ref="L675:L680"/>
    <mergeCell ref="M672:M674"/>
    <mergeCell ref="N672:N674"/>
    <mergeCell ref="H672:H674"/>
    <mergeCell ref="I672:I674"/>
    <mergeCell ref="L672:L674"/>
    <mergeCell ref="M679:M680"/>
    <mergeCell ref="X672:X674"/>
    <mergeCell ref="AF679:AF680"/>
    <mergeCell ref="V817:V818"/>
    <mergeCell ref="W817:W818"/>
    <mergeCell ref="X817:X818"/>
    <mergeCell ref="R761:R766"/>
    <mergeCell ref="X739:X744"/>
    <mergeCell ref="AF739:AF741"/>
    <mergeCell ref="AF742:AF744"/>
    <mergeCell ref="AG739:AG744"/>
    <mergeCell ref="H712:H713"/>
    <mergeCell ref="V712:V713"/>
    <mergeCell ref="R710:R711"/>
    <mergeCell ref="S710:S711"/>
    <mergeCell ref="Q712:Q713"/>
    <mergeCell ref="U704:U705"/>
    <mergeCell ref="V704:V705"/>
    <mergeCell ref="S724:S726"/>
    <mergeCell ref="T724:T726"/>
    <mergeCell ref="U724:U726"/>
    <mergeCell ref="V724:V726"/>
    <mergeCell ref="P681:P696"/>
    <mergeCell ref="O724:O726"/>
    <mergeCell ref="P724:P726"/>
    <mergeCell ref="Q724:Q726"/>
    <mergeCell ref="R724:R726"/>
    <mergeCell ref="N714:N716"/>
    <mergeCell ref="M710:M711"/>
    <mergeCell ref="AG710:AG711"/>
    <mergeCell ref="R712:R713"/>
    <mergeCell ref="O720:O722"/>
    <mergeCell ref="P720:P722"/>
    <mergeCell ref="R720:R722"/>
    <mergeCell ref="R714:R716"/>
    <mergeCell ref="AE697:AE698"/>
    <mergeCell ref="I724:I726"/>
    <mergeCell ref="J724:J726"/>
    <mergeCell ref="K724:K726"/>
    <mergeCell ref="L724:L726"/>
    <mergeCell ref="H717:H719"/>
    <mergeCell ref="AL664:AL665"/>
    <mergeCell ref="AM664:AM665"/>
    <mergeCell ref="AK607:AK608"/>
    <mergeCell ref="AL607:AL608"/>
    <mergeCell ref="AM607:AM608"/>
    <mergeCell ref="AI664:AI665"/>
    <mergeCell ref="AJ666:AJ668"/>
    <mergeCell ref="AK666:AK668"/>
    <mergeCell ref="U669:U671"/>
    <mergeCell ref="V669:V671"/>
    <mergeCell ref="W669:W671"/>
    <mergeCell ref="X666:X668"/>
    <mergeCell ref="M666:M668"/>
    <mergeCell ref="N666:N668"/>
    <mergeCell ref="AI666:AI668"/>
    <mergeCell ref="X669:X671"/>
    <mergeCell ref="T659:T663"/>
    <mergeCell ref="U659:U663"/>
    <mergeCell ref="V656:V658"/>
    <mergeCell ref="AA660:AA662"/>
    <mergeCell ref="T622:T624"/>
    <mergeCell ref="G636:G637"/>
    <mergeCell ref="H636:H637"/>
    <mergeCell ref="T616:T618"/>
    <mergeCell ref="K633:K635"/>
    <mergeCell ref="L633:L635"/>
    <mergeCell ref="U650:U652"/>
    <mergeCell ref="N633:N635"/>
    <mergeCell ref="AM669:AM671"/>
    <mergeCell ref="I604:I608"/>
    <mergeCell ref="A1070:A1076"/>
    <mergeCell ref="B1070:B1076"/>
    <mergeCell ref="C1070:C1076"/>
    <mergeCell ref="D1070:D1076"/>
    <mergeCell ref="E1070:E1076"/>
    <mergeCell ref="F1070:F1076"/>
    <mergeCell ref="R706:R709"/>
    <mergeCell ref="G706:G709"/>
    <mergeCell ref="H706:H709"/>
    <mergeCell ref="I706:I709"/>
    <mergeCell ref="J706:J709"/>
    <mergeCell ref="K706:K709"/>
    <mergeCell ref="L706:L709"/>
    <mergeCell ref="X990:X995"/>
    <mergeCell ref="AF990:AF995"/>
    <mergeCell ref="AG990:AG995"/>
    <mergeCell ref="AI990:AI995"/>
    <mergeCell ref="AJ990:AJ995"/>
    <mergeCell ref="AK990:AK995"/>
    <mergeCell ref="R990:R995"/>
    <mergeCell ref="S990:S995"/>
    <mergeCell ref="T990:T995"/>
    <mergeCell ref="U990:U995"/>
    <mergeCell ref="V990:V995"/>
    <mergeCell ref="W990:W995"/>
    <mergeCell ref="L990:L995"/>
    <mergeCell ref="M990:M995"/>
    <mergeCell ref="N990:N995"/>
    <mergeCell ref="O990:O995"/>
    <mergeCell ref="P990:P995"/>
    <mergeCell ref="Q990:Q995"/>
    <mergeCell ref="AL990:AL995"/>
    <mergeCell ref="AL921:AL926"/>
    <mergeCell ref="U817:U818"/>
    <mergeCell ref="AL1070:AL1076"/>
    <mergeCell ref="S1070:S1076"/>
    <mergeCell ref="T1070:T1076"/>
    <mergeCell ref="U1070:U1076"/>
    <mergeCell ref="V1070:V1074"/>
    <mergeCell ref="H604:H608"/>
    <mergeCell ref="N607:N608"/>
    <mergeCell ref="O607:O608"/>
    <mergeCell ref="P607:P608"/>
    <mergeCell ref="R607:R608"/>
    <mergeCell ref="S607:S608"/>
    <mergeCell ref="T607:T608"/>
    <mergeCell ref="AI604:AI606"/>
    <mergeCell ref="AJ604:AJ608"/>
    <mergeCell ref="AK604:AK606"/>
    <mergeCell ref="AK675:AK678"/>
    <mergeCell ref="AO675:AO680"/>
    <mergeCell ref="AN675:AN680"/>
    <mergeCell ref="A672:A674"/>
    <mergeCell ref="B672:B674"/>
    <mergeCell ref="C672:C674"/>
    <mergeCell ref="D672:D674"/>
    <mergeCell ref="E672:E674"/>
    <mergeCell ref="F672:F674"/>
    <mergeCell ref="B675:B680"/>
    <mergeCell ref="C675:C680"/>
    <mergeCell ref="D675:D680"/>
    <mergeCell ref="M1198:M1201"/>
    <mergeCell ref="N1198:N1201"/>
    <mergeCell ref="O1198:O1201"/>
    <mergeCell ref="P1198:P1201"/>
    <mergeCell ref="R1198:R1201"/>
    <mergeCell ref="S1198:S1201"/>
    <mergeCell ref="T1198:T1201"/>
    <mergeCell ref="U1198:U1201"/>
    <mergeCell ref="V1198:V1201"/>
    <mergeCell ref="AF1198:AF1201"/>
    <mergeCell ref="AI1198:AI1201"/>
    <mergeCell ref="AK1198:AK1201"/>
    <mergeCell ref="AL1198:AL1201"/>
    <mergeCell ref="AM1198:AM1201"/>
    <mergeCell ref="R1193:R1197"/>
    <mergeCell ref="S1193:S1197"/>
    <mergeCell ref="T1193:T1197"/>
    <mergeCell ref="U1193:U1197"/>
    <mergeCell ref="V1193:V1197"/>
    <mergeCell ref="W1193:W1203"/>
    <mergeCell ref="X1193:X1203"/>
    <mergeCell ref="AF1193:AF1197"/>
    <mergeCell ref="AG1193:AG1203"/>
    <mergeCell ref="AI1193:AI1197"/>
    <mergeCell ref="AJ1193:AJ1203"/>
    <mergeCell ref="AK1193:AK1197"/>
    <mergeCell ref="AL1193:AL1197"/>
    <mergeCell ref="AM1193:AM1197"/>
    <mergeCell ref="A1193:A1203"/>
    <mergeCell ref="AG1191:AG1192"/>
    <mergeCell ref="B1193:B1203"/>
    <mergeCell ref="C1193:C1203"/>
    <mergeCell ref="D1193:D1203"/>
    <mergeCell ref="E1193:E1203"/>
    <mergeCell ref="F1193:F1203"/>
    <mergeCell ref="G1193:G1203"/>
    <mergeCell ref="H1193:H1203"/>
    <mergeCell ref="AN1070:AN1076"/>
    <mergeCell ref="AO1070:AO1076"/>
    <mergeCell ref="K1070:K1076"/>
    <mergeCell ref="L1070:L1076"/>
    <mergeCell ref="P1202:P1203"/>
    <mergeCell ref="R1202:R1203"/>
    <mergeCell ref="R1191:R1192"/>
    <mergeCell ref="AL675:AL678"/>
    <mergeCell ref="AK679:AK680"/>
    <mergeCell ref="AL679:AL680"/>
    <mergeCell ref="AM679:AM680"/>
    <mergeCell ref="AJ675:AJ680"/>
    <mergeCell ref="AG675:AG680"/>
    <mergeCell ref="AN990:AN995"/>
    <mergeCell ref="AO990:AO995"/>
    <mergeCell ref="A1040:A1064"/>
    <mergeCell ref="B1040:B1064"/>
    <mergeCell ref="D1040:D1064"/>
    <mergeCell ref="E1040:E1064"/>
    <mergeCell ref="V1057:V1060"/>
    <mergeCell ref="AF1057:AF1060"/>
    <mergeCell ref="J1062:J1063"/>
    <mergeCell ref="M1062:M1063"/>
    <mergeCell ref="N1062:N1063"/>
    <mergeCell ref="O1062:O1063"/>
    <mergeCell ref="P1062:P1063"/>
    <mergeCell ref="X1040:X1064"/>
    <mergeCell ref="C1052:C1056"/>
    <mergeCell ref="M1052:M1056"/>
    <mergeCell ref="N1052:N1056"/>
    <mergeCell ref="O1052:O1056"/>
    <mergeCell ref="C1048:C1051"/>
    <mergeCell ref="S1048:S1051"/>
    <mergeCell ref="T1048:T1051"/>
    <mergeCell ref="U1048:U1051"/>
    <mergeCell ref="V1043:V1047"/>
    <mergeCell ref="V1048:V1051"/>
    <mergeCell ref="M1048:M1051"/>
    <mergeCell ref="N1048:N1051"/>
    <mergeCell ref="O1048:O1051"/>
    <mergeCell ref="P1048:P1051"/>
    <mergeCell ref="R1048:R1051"/>
    <mergeCell ref="W1070:W1076"/>
    <mergeCell ref="X1070:X1076"/>
    <mergeCell ref="V1075:V1076"/>
    <mergeCell ref="M1070:M1076"/>
    <mergeCell ref="N1070:N1074"/>
    <mergeCell ref="O1070:O1074"/>
    <mergeCell ref="P1070:P1076"/>
    <mergeCell ref="Q1070:Q1076"/>
    <mergeCell ref="R1070:R1076"/>
    <mergeCell ref="N1075:N1076"/>
    <mergeCell ref="Z1075:Z1076"/>
    <mergeCell ref="AA1075:AA1076"/>
    <mergeCell ref="AB1075:AB1076"/>
    <mergeCell ref="AM1070:AM1076"/>
    <mergeCell ref="G1070:G1076"/>
    <mergeCell ref="H1070:H1076"/>
    <mergeCell ref="I1070:I1076"/>
    <mergeCell ref="J1070:J1076"/>
    <mergeCell ref="Y1073:Y1074"/>
    <mergeCell ref="Z1073:Z1074"/>
    <mergeCell ref="AA1073:AA1074"/>
    <mergeCell ref="AB1073:AB1074"/>
    <mergeCell ref="AN1151:AN1175"/>
    <mergeCell ref="AO1151:AO1175"/>
    <mergeCell ref="S1202:S1203"/>
    <mergeCell ref="T1202:T1203"/>
    <mergeCell ref="U1202:U1203"/>
    <mergeCell ref="V1202:V1203"/>
    <mergeCell ref="AF1202:AF1203"/>
    <mergeCell ref="AI1202:AI1203"/>
    <mergeCell ref="AK1202:AK1203"/>
    <mergeCell ref="AL1202:AL1203"/>
    <mergeCell ref="AM1202:AM1203"/>
    <mergeCell ref="AN1193:AN1203"/>
    <mergeCell ref="AO1193:AO1203"/>
    <mergeCell ref="AM1204:AM1205"/>
    <mergeCell ref="AN1204:AN1209"/>
    <mergeCell ref="AI1206:AI1207"/>
    <mergeCell ref="AK1206:AK1207"/>
    <mergeCell ref="AL1206:AL1207"/>
    <mergeCell ref="AM1206:AM1207"/>
    <mergeCell ref="T1204:T1205"/>
    <mergeCell ref="U1204:U1205"/>
    <mergeCell ref="V1204:V1207"/>
    <mergeCell ref="W1204:W1209"/>
    <mergeCell ref="X1204:X1209"/>
    <mergeCell ref="AF1204:AF1205"/>
    <mergeCell ref="U1206:U1207"/>
    <mergeCell ref="AF1206:AF1207"/>
    <mergeCell ref="AF1173:AF1175"/>
    <mergeCell ref="AI1173:AI1175"/>
    <mergeCell ref="AK1173:AK1175"/>
    <mergeCell ref="AC1157:AC1158"/>
    <mergeCell ref="AM1184:AM1187"/>
    <mergeCell ref="AI1191:AI1192"/>
    <mergeCell ref="AK1191:AK1192"/>
    <mergeCell ref="S1204:S1205"/>
    <mergeCell ref="S1206:S1207"/>
    <mergeCell ref="T1206:T1207"/>
    <mergeCell ref="AI1204:AI1205"/>
    <mergeCell ref="AJ1204:AJ1209"/>
    <mergeCell ref="AK1204:AK1205"/>
    <mergeCell ref="AL1204:AL1205"/>
    <mergeCell ref="S1191:S1192"/>
    <mergeCell ref="T1191:T1192"/>
    <mergeCell ref="U1191:U1192"/>
    <mergeCell ref="V1191:V1192"/>
    <mergeCell ref="W1191:W1192"/>
    <mergeCell ref="X1191:X1192"/>
    <mergeCell ref="AO1176:AO1190"/>
    <mergeCell ref="Y1178:Y1179"/>
    <mergeCell ref="AC1178:AC1179"/>
    <mergeCell ref="AI1157:AI1163"/>
    <mergeCell ref="AK1157:AK1163"/>
    <mergeCell ref="Y1160:Y1161"/>
    <mergeCell ref="AC1160:AC1161"/>
    <mergeCell ref="Y1162:Y1163"/>
    <mergeCell ref="AC1162:AC1163"/>
    <mergeCell ref="S1173:S1175"/>
    <mergeCell ref="AI1180:AI1183"/>
    <mergeCell ref="AK1180:AK1183"/>
    <mergeCell ref="Y1182:Y1183"/>
    <mergeCell ref="AC1182:AC1183"/>
    <mergeCell ref="AN1176:AN1190"/>
    <mergeCell ref="S1188:S1190"/>
    <mergeCell ref="T1188:T1190"/>
    <mergeCell ref="R1238:R1242"/>
    <mergeCell ref="S1238:S1242"/>
    <mergeCell ref="T1238:T1242"/>
    <mergeCell ref="U1238:U1242"/>
    <mergeCell ref="V1238:V1242"/>
    <mergeCell ref="W1238:W1243"/>
    <mergeCell ref="X1238:X1243"/>
    <mergeCell ref="AF1238:AF1242"/>
    <mergeCell ref="AG1238:AG1243"/>
    <mergeCell ref="AI1238:AI1242"/>
    <mergeCell ref="AJ1238:AJ1243"/>
    <mergeCell ref="AK1238:AK1242"/>
    <mergeCell ref="AL1238:AL1242"/>
    <mergeCell ref="O1234:O1235"/>
    <mergeCell ref="P1234:P1235"/>
    <mergeCell ref="Q1234:Q1237"/>
    <mergeCell ref="O1216:O1221"/>
    <mergeCell ref="P1216:P1221"/>
    <mergeCell ref="R1216:R1221"/>
    <mergeCell ref="S1216:S1221"/>
    <mergeCell ref="T1216:T1221"/>
    <mergeCell ref="U1216:U1221"/>
    <mergeCell ref="V1216:V1221"/>
    <mergeCell ref="AF1216:AF1221"/>
    <mergeCell ref="AI1216:AI1221"/>
    <mergeCell ref="AK1216:AK1221"/>
    <mergeCell ref="AL1216:AL1221"/>
    <mergeCell ref="V1244:V1250"/>
    <mergeCell ref="W1244:W1250"/>
    <mergeCell ref="X1244:X1250"/>
    <mergeCell ref="AF1244:AF1250"/>
    <mergeCell ref="S1256:S1265"/>
    <mergeCell ref="AI1164:AI1169"/>
    <mergeCell ref="AK1164:AK1169"/>
    <mergeCell ref="AL1164:AL1169"/>
    <mergeCell ref="R1244:R1250"/>
    <mergeCell ref="S1244:S1250"/>
    <mergeCell ref="T1244:T1250"/>
    <mergeCell ref="U1244:U1250"/>
    <mergeCell ref="AG1244:AG1250"/>
    <mergeCell ref="AI1244:AI1250"/>
    <mergeCell ref="AJ1244:AJ1250"/>
    <mergeCell ref="AK1244:AK1250"/>
    <mergeCell ref="AL1244:AL1250"/>
    <mergeCell ref="R1173:R1175"/>
    <mergeCell ref="T1173:T1175"/>
    <mergeCell ref="U1173:U1175"/>
    <mergeCell ref="AL1173:AL1175"/>
    <mergeCell ref="R1188:R1190"/>
    <mergeCell ref="U1188:U1190"/>
    <mergeCell ref="V1188:V1190"/>
    <mergeCell ref="AF1188:AF1190"/>
    <mergeCell ref="AI1188:AI1190"/>
    <mergeCell ref="AK1188:AK1190"/>
    <mergeCell ref="AL1188:AL1190"/>
    <mergeCell ref="N1244:N1250"/>
    <mergeCell ref="O1244:O1250"/>
    <mergeCell ref="P1244:P1250"/>
    <mergeCell ref="Q1244:Q1250"/>
    <mergeCell ref="A1256:A1268"/>
    <mergeCell ref="B1256:B1268"/>
    <mergeCell ref="C1256:C1268"/>
    <mergeCell ref="D1256:D1268"/>
    <mergeCell ref="E1256:E1268"/>
    <mergeCell ref="F1256:F1268"/>
    <mergeCell ref="G1256:G1268"/>
    <mergeCell ref="AC1272:AC1273"/>
    <mergeCell ref="AF1272:AF1273"/>
    <mergeCell ref="AI1272:AI1273"/>
    <mergeCell ref="AK1272:AK1273"/>
    <mergeCell ref="AL1272:AL1273"/>
    <mergeCell ref="AM1272:AM1273"/>
    <mergeCell ref="AM1269:AM1270"/>
    <mergeCell ref="A1269:A1273"/>
    <mergeCell ref="B1269:B1273"/>
    <mergeCell ref="C1269:C1273"/>
    <mergeCell ref="D1269:D1273"/>
    <mergeCell ref="E1269:E1273"/>
    <mergeCell ref="F1269:F1273"/>
    <mergeCell ref="P1269:P1270"/>
    <mergeCell ref="Q1269:Q1273"/>
    <mergeCell ref="R1269:R1270"/>
    <mergeCell ref="R1272:R1273"/>
    <mergeCell ref="J1269:J1270"/>
    <mergeCell ref="K1269:K1273"/>
    <mergeCell ref="H1256:H1268"/>
    <mergeCell ref="I1256:I1268"/>
    <mergeCell ref="N1256:N1260"/>
    <mergeCell ref="O1256:O1260"/>
    <mergeCell ref="P1256:P1265"/>
    <mergeCell ref="Q1256:Q1268"/>
    <mergeCell ref="AK1261:AK1265"/>
    <mergeCell ref="AJ1256:AJ1268"/>
    <mergeCell ref="AK1256:AK1260"/>
    <mergeCell ref="AK1266:AK1268"/>
    <mergeCell ref="J1256:J1268"/>
    <mergeCell ref="K1256:K1268"/>
    <mergeCell ref="L1256:L1268"/>
    <mergeCell ref="M1256:M1265"/>
    <mergeCell ref="M1266:M1268"/>
    <mergeCell ref="AI1269:AI1270"/>
    <mergeCell ref="AJ1269:AJ1273"/>
    <mergeCell ref="AK1269:AK1270"/>
    <mergeCell ref="AL1269:AL1270"/>
    <mergeCell ref="S1269:S1270"/>
    <mergeCell ref="T1269:T1270"/>
    <mergeCell ref="U1269:U1270"/>
    <mergeCell ref="V1269:V1270"/>
    <mergeCell ref="W1269:W1273"/>
    <mergeCell ref="X1269:X1273"/>
    <mergeCell ref="S1272:S1273"/>
    <mergeCell ref="T1272:T1273"/>
    <mergeCell ref="U1272:U1273"/>
    <mergeCell ref="V1272:V1273"/>
    <mergeCell ref="M1269:M1270"/>
    <mergeCell ref="N1269:N1270"/>
    <mergeCell ref="O1269:O1270"/>
    <mergeCell ref="AI1266:AI1268"/>
    <mergeCell ref="T1261:T1265"/>
    <mergeCell ref="AL1266:AL1268"/>
    <mergeCell ref="R1256:R1265"/>
    <mergeCell ref="P1266:P1268"/>
    <mergeCell ref="R1266:R1268"/>
    <mergeCell ref="S1266:S1268"/>
    <mergeCell ref="T1266:T1268"/>
    <mergeCell ref="U1266:U1268"/>
    <mergeCell ref="V1266:V1268"/>
    <mergeCell ref="V1261:V1265"/>
    <mergeCell ref="AI1261:AI1265"/>
    <mergeCell ref="Y1262:Y1263"/>
    <mergeCell ref="AC1262:AC1263"/>
    <mergeCell ref="Y1264:Y1265"/>
    <mergeCell ref="AC1264:AC1265"/>
    <mergeCell ref="O1261:O1265"/>
    <mergeCell ref="N1266:N1268"/>
    <mergeCell ref="O1266:O1268"/>
    <mergeCell ref="AC1258:AC1259"/>
    <mergeCell ref="AC1260:AC1261"/>
    <mergeCell ref="AE1266:AE1268"/>
    <mergeCell ref="AF1266:AF1268"/>
    <mergeCell ref="T1256:T1260"/>
    <mergeCell ref="U1256:U1260"/>
    <mergeCell ref="V1256:V1260"/>
    <mergeCell ref="W1256:W1268"/>
    <mergeCell ref="X1256:X1268"/>
    <mergeCell ref="Y1256:Y1257"/>
    <mergeCell ref="Y1258:Y1259"/>
    <mergeCell ref="Y1260:Y1261"/>
    <mergeCell ref="AN1256:AN1268"/>
    <mergeCell ref="AO1256:AO1268"/>
    <mergeCell ref="AC1256:AC1257"/>
    <mergeCell ref="AF1256:AF1265"/>
    <mergeCell ref="AG1256:AG1268"/>
    <mergeCell ref="AI1256:AI1260"/>
    <mergeCell ref="AM1266:AM1268"/>
    <mergeCell ref="AL1256:AL1265"/>
    <mergeCell ref="AM1256:AM1265"/>
    <mergeCell ref="N1261:N1265"/>
    <mergeCell ref="U1261:U1265"/>
    <mergeCell ref="M1364:M1368"/>
    <mergeCell ref="N1364:N1368"/>
    <mergeCell ref="O1364:O1368"/>
    <mergeCell ref="V1364:V1368"/>
    <mergeCell ref="W1364:W1368"/>
    <mergeCell ref="X1364:X1368"/>
    <mergeCell ref="AF1364:AF1368"/>
    <mergeCell ref="AG1364:AG1368"/>
    <mergeCell ref="AI1364:AI1368"/>
    <mergeCell ref="Q1364:Q1368"/>
    <mergeCell ref="R1364:R1368"/>
    <mergeCell ref="S1364:S1368"/>
    <mergeCell ref="T1364:T1368"/>
    <mergeCell ref="U1364:U1368"/>
    <mergeCell ref="P1364:P1368"/>
    <mergeCell ref="AM1364:AM1368"/>
    <mergeCell ref="A1334:A1335"/>
    <mergeCell ref="B1334:B1335"/>
    <mergeCell ref="C1334:C1335"/>
    <mergeCell ref="D1334:D1335"/>
    <mergeCell ref="E1334:E1335"/>
    <mergeCell ref="F1334:F1335"/>
    <mergeCell ref="G1334:G1335"/>
    <mergeCell ref="H1334:H1335"/>
    <mergeCell ref="I1334:I1335"/>
    <mergeCell ref="AO1334:AO1335"/>
    <mergeCell ref="AN1334:AN1335"/>
    <mergeCell ref="AJ1334:AJ1335"/>
    <mergeCell ref="AK1334:AK1335"/>
    <mergeCell ref="AL1334:AL1335"/>
    <mergeCell ref="AM1334:AM1335"/>
    <mergeCell ref="J1334:J1335"/>
    <mergeCell ref="K1334:K1335"/>
    <mergeCell ref="L1334:L1335"/>
    <mergeCell ref="M1334:M1335"/>
    <mergeCell ref="N1334:N1335"/>
    <mergeCell ref="O1334:O1335"/>
    <mergeCell ref="P1334:P1335"/>
    <mergeCell ref="Q1334:Q1335"/>
    <mergeCell ref="R1334:R1335"/>
    <mergeCell ref="S1334:S1335"/>
    <mergeCell ref="T1334:T1335"/>
    <mergeCell ref="U1334:U1335"/>
    <mergeCell ref="V1334:V1335"/>
    <mergeCell ref="W1334:W1335"/>
    <mergeCell ref="X1334:X1335"/>
    <mergeCell ref="AN1354:AN1359"/>
    <mergeCell ref="AO1354:AO1359"/>
    <mergeCell ref="J1358:J1359"/>
    <mergeCell ref="M1358:M1359"/>
    <mergeCell ref="N1358:N1359"/>
    <mergeCell ref="O1358:O1359"/>
    <mergeCell ref="P1358:P1359"/>
    <mergeCell ref="R1358:R1359"/>
    <mergeCell ref="S1358:S1359"/>
    <mergeCell ref="T1358:T1359"/>
    <mergeCell ref="U1358:U1359"/>
    <mergeCell ref="AN1349:AN1353"/>
    <mergeCell ref="AO1349:AO1353"/>
    <mergeCell ref="AO1336:AO1348"/>
    <mergeCell ref="AN1336:AN1348"/>
    <mergeCell ref="AN1400:AN1406"/>
    <mergeCell ref="AK1403:AK1404"/>
    <mergeCell ref="AL1403:AL1404"/>
    <mergeCell ref="AM1403:AM1404"/>
    <mergeCell ref="AM1405:AM1406"/>
    <mergeCell ref="AL1405:AL1406"/>
    <mergeCell ref="AK1405:AK1406"/>
    <mergeCell ref="AJ1400:AJ1402"/>
    <mergeCell ref="AK1400:AK1402"/>
    <mergeCell ref="AL1400:AL1402"/>
    <mergeCell ref="AN1364:AN1368"/>
    <mergeCell ref="AO1364:AO1368"/>
    <mergeCell ref="I1364:I1368"/>
    <mergeCell ref="J1364:J1368"/>
    <mergeCell ref="L1364:L1368"/>
    <mergeCell ref="A1364:A1368"/>
    <mergeCell ref="B1364:B1368"/>
    <mergeCell ref="C1364:C1368"/>
    <mergeCell ref="D1364:D1368"/>
    <mergeCell ref="E1364:E1368"/>
    <mergeCell ref="F1364:F1368"/>
    <mergeCell ref="G1364:G1368"/>
    <mergeCell ref="H1364:H1368"/>
    <mergeCell ref="AK1364:AK1368"/>
    <mergeCell ref="AL1364:AL1368"/>
    <mergeCell ref="K1364:K1368"/>
    <mergeCell ref="AM1400:AM1402"/>
    <mergeCell ref="AI1400:AI1402"/>
    <mergeCell ref="V1400:V1402"/>
    <mergeCell ref="AJ1403:AJ1404"/>
    <mergeCell ref="C1400:C1402"/>
    <mergeCell ref="J1400:J1402"/>
    <mergeCell ref="M1400:M1402"/>
    <mergeCell ref="N1400:N1402"/>
    <mergeCell ref="O1400:O1402"/>
    <mergeCell ref="P1400:P1402"/>
    <mergeCell ref="R1400:R1402"/>
    <mergeCell ref="S1400:S1402"/>
    <mergeCell ref="T1400:T1402"/>
    <mergeCell ref="U1400:U1402"/>
    <mergeCell ref="AF1400:AF1402"/>
    <mergeCell ref="A1400:A1406"/>
    <mergeCell ref="B1400:B1406"/>
    <mergeCell ref="C1403:C1404"/>
    <mergeCell ref="C1405:C1406"/>
    <mergeCell ref="D1400:D1406"/>
    <mergeCell ref="E1400:E1406"/>
    <mergeCell ref="F1400:F1406"/>
    <mergeCell ref="G1400:G1406"/>
    <mergeCell ref="H1400:H1406"/>
    <mergeCell ref="I1400:I1406"/>
    <mergeCell ref="J1403:J1406"/>
    <mergeCell ref="K1400:K1406"/>
    <mergeCell ref="L1400:L1406"/>
    <mergeCell ref="M1403:M1404"/>
    <mergeCell ref="N1403:N1404"/>
    <mergeCell ref="O1403:O1404"/>
    <mergeCell ref="AF1405:AF1406"/>
    <mergeCell ref="P1403:P1404"/>
    <mergeCell ref="R1403:R1404"/>
    <mergeCell ref="S1403:S1404"/>
    <mergeCell ref="T1403:T1404"/>
    <mergeCell ref="U1403:U1404"/>
    <mergeCell ref="AJ1364:AJ1368"/>
    <mergeCell ref="AF1411:AF1412"/>
    <mergeCell ref="AF1413:AF1414"/>
    <mergeCell ref="AJ1411:AJ1432"/>
    <mergeCell ref="AK1411:AK1412"/>
    <mergeCell ref="AL1411:AL1432"/>
    <mergeCell ref="AK1413:AK1414"/>
    <mergeCell ref="AK1417:AK1418"/>
    <mergeCell ref="AK1419:AK1420"/>
    <mergeCell ref="AK1423:AK1424"/>
    <mergeCell ref="O1423:O1424"/>
    <mergeCell ref="R1423:R1424"/>
    <mergeCell ref="V1423:V1424"/>
    <mergeCell ref="AE1423:AE1424"/>
    <mergeCell ref="AF1423:AF1424"/>
    <mergeCell ref="M1405:M1406"/>
    <mergeCell ref="N1405:N1406"/>
    <mergeCell ref="O1405:O1406"/>
    <mergeCell ref="P1405:P1406"/>
    <mergeCell ref="R1405:R1406"/>
    <mergeCell ref="Q1400:Q1406"/>
    <mergeCell ref="C1417:C1418"/>
    <mergeCell ref="M1417:M1418"/>
    <mergeCell ref="N1417:N1418"/>
    <mergeCell ref="O1417:O1418"/>
    <mergeCell ref="R1417:R1418"/>
    <mergeCell ref="V1417:V1418"/>
    <mergeCell ref="AE1417:AE1418"/>
    <mergeCell ref="AF1417:AF1418"/>
    <mergeCell ref="N1415:N1416"/>
    <mergeCell ref="S1415:S1416"/>
    <mergeCell ref="T1415:T1416"/>
    <mergeCell ref="U1415:U1416"/>
    <mergeCell ref="U1431:U1432"/>
    <mergeCell ref="T1431:T1432"/>
    <mergeCell ref="S1431:S1432"/>
    <mergeCell ref="AE1429:AE1430"/>
    <mergeCell ref="AF1429:AF1430"/>
    <mergeCell ref="M1421:M1422"/>
    <mergeCell ref="AH1411:AH1432"/>
    <mergeCell ref="AI1411:AI1432"/>
    <mergeCell ref="AJ1405:AJ1406"/>
    <mergeCell ref="S1405:S1406"/>
    <mergeCell ref="T1405:T1406"/>
    <mergeCell ref="U1405:U1406"/>
    <mergeCell ref="W1400:W1406"/>
    <mergeCell ref="V1403:V1404"/>
    <mergeCell ref="V1405:V1406"/>
    <mergeCell ref="X1400:X1406"/>
    <mergeCell ref="AI1403:AI1404"/>
    <mergeCell ref="AI1405:AI1406"/>
    <mergeCell ref="AG1400:AG1406"/>
    <mergeCell ref="AF1403:AF1404"/>
    <mergeCell ref="AK1429:AK1430"/>
    <mergeCell ref="AF1431:AF1432"/>
    <mergeCell ref="AK1431:AK1432"/>
    <mergeCell ref="A1411:A1432"/>
    <mergeCell ref="B1411:B1432"/>
    <mergeCell ref="C1411:C1412"/>
    <mergeCell ref="D1411:D1432"/>
    <mergeCell ref="E1411:E1432"/>
    <mergeCell ref="F1411:F1432"/>
    <mergeCell ref="C1415:C1416"/>
    <mergeCell ref="C1419:C1420"/>
    <mergeCell ref="C1421:C1422"/>
    <mergeCell ref="C1425:C1426"/>
    <mergeCell ref="AE1411:AE1412"/>
    <mergeCell ref="R1415:R1416"/>
    <mergeCell ref="V1415:V1416"/>
    <mergeCell ref="AE1415:AE1416"/>
    <mergeCell ref="G1411:G1432"/>
    <mergeCell ref="K1411:K1432"/>
    <mergeCell ref="L1411:L1432"/>
    <mergeCell ref="M1411:M1412"/>
    <mergeCell ref="N1411:N1412"/>
    <mergeCell ref="O1411:O1412"/>
    <mergeCell ref="M1415:M1416"/>
    <mergeCell ref="T1411:T1412"/>
    <mergeCell ref="U1411:U1412"/>
    <mergeCell ref="C1423:C1424"/>
    <mergeCell ref="M1423:M1424"/>
    <mergeCell ref="N1423:N1424"/>
    <mergeCell ref="X1411:X1432"/>
    <mergeCell ref="P1411:P1412"/>
    <mergeCell ref="P1413:P1414"/>
    <mergeCell ref="P1415:P1416"/>
    <mergeCell ref="P1417:P1418"/>
    <mergeCell ref="P1419:P1420"/>
    <mergeCell ref="P1421:P1422"/>
    <mergeCell ref="P1423:P1424"/>
    <mergeCell ref="P1425:P1426"/>
    <mergeCell ref="P1427:P1428"/>
    <mergeCell ref="P1429:P1430"/>
    <mergeCell ref="P1431:P1432"/>
    <mergeCell ref="H1411:H1432"/>
    <mergeCell ref="I1411:I1432"/>
    <mergeCell ref="J1411:J1432"/>
    <mergeCell ref="S1411:S1412"/>
    <mergeCell ref="C1427:C1428"/>
    <mergeCell ref="C1413:C1414"/>
    <mergeCell ref="Q1411:Q1432"/>
    <mergeCell ref="R1411:R1412"/>
    <mergeCell ref="V1411:V1412"/>
    <mergeCell ref="W1411:W1432"/>
    <mergeCell ref="N1419:N1420"/>
    <mergeCell ref="O1419:O1420"/>
    <mergeCell ref="U1413:U1414"/>
    <mergeCell ref="T1413:T1414"/>
    <mergeCell ref="S1413:S1414"/>
    <mergeCell ref="U1429:U1430"/>
    <mergeCell ref="S1429:S1430"/>
    <mergeCell ref="T1429:T1430"/>
    <mergeCell ref="C1431:C1432"/>
    <mergeCell ref="M1431:M1432"/>
    <mergeCell ref="N1431:N1432"/>
    <mergeCell ref="O1431:O1432"/>
    <mergeCell ref="R1431:R1432"/>
    <mergeCell ref="V1431:V1432"/>
    <mergeCell ref="AE1431:AE1432"/>
    <mergeCell ref="C1429:C1430"/>
    <mergeCell ref="AO1411:AO1432"/>
    <mergeCell ref="AF1427:AF1428"/>
    <mergeCell ref="M1425:M1426"/>
    <mergeCell ref="N1425:N1426"/>
    <mergeCell ref="O1425:O1426"/>
    <mergeCell ref="R1425:R1426"/>
    <mergeCell ref="V1425:V1426"/>
    <mergeCell ref="AE1425:AE1426"/>
    <mergeCell ref="U1425:U1426"/>
    <mergeCell ref="U1427:U1428"/>
    <mergeCell ref="T1425:T1426"/>
    <mergeCell ref="S1425:S1426"/>
    <mergeCell ref="S1427:S1428"/>
    <mergeCell ref="T1427:T1428"/>
    <mergeCell ref="AF1425:AF1426"/>
    <mergeCell ref="M1429:M1430"/>
    <mergeCell ref="N1429:N1430"/>
    <mergeCell ref="O1429:O1430"/>
    <mergeCell ref="R1429:R1430"/>
    <mergeCell ref="V1429:V1430"/>
    <mergeCell ref="N1421:N1422"/>
    <mergeCell ref="O1421:O1422"/>
    <mergeCell ref="R1421:R1422"/>
    <mergeCell ref="V1421:V1422"/>
    <mergeCell ref="AE1421:AE1422"/>
    <mergeCell ref="U1421:U1422"/>
    <mergeCell ref="U1423:U1424"/>
    <mergeCell ref="T1421:T1422"/>
    <mergeCell ref="S1421:S1422"/>
    <mergeCell ref="S1423:S1424"/>
    <mergeCell ref="T1423:T1424"/>
    <mergeCell ref="M1427:M1428"/>
    <mergeCell ref="N1427:N1428"/>
    <mergeCell ref="O1427:O1428"/>
    <mergeCell ref="R1427:R1428"/>
    <mergeCell ref="V1427:V1428"/>
    <mergeCell ref="AE1427:AE1428"/>
    <mergeCell ref="AF1421:AF1422"/>
    <mergeCell ref="U1417:U1418"/>
    <mergeCell ref="U1419:U1420"/>
    <mergeCell ref="T1417:T1418"/>
    <mergeCell ref="S1417:S1418"/>
    <mergeCell ref="S1419:S1420"/>
    <mergeCell ref="O1415:O1416"/>
    <mergeCell ref="M1419:M1420"/>
    <mergeCell ref="AM1411:AM1432"/>
    <mergeCell ref="AN1411:AN1432"/>
    <mergeCell ref="R1419:R1420"/>
    <mergeCell ref="V1419:V1420"/>
    <mergeCell ref="AE1419:AE1420"/>
    <mergeCell ref="AF1419:AF1420"/>
    <mergeCell ref="AF1415:AF1416"/>
    <mergeCell ref="AK1415:AK1416"/>
    <mergeCell ref="AK1421:AK1422"/>
    <mergeCell ref="AK1425:AK1426"/>
    <mergeCell ref="AK1427:AK1428"/>
    <mergeCell ref="T1419:T1420"/>
    <mergeCell ref="M1413:M1414"/>
    <mergeCell ref="N1413:N1414"/>
    <mergeCell ref="O1413:O1414"/>
    <mergeCell ref="R1413:R1414"/>
    <mergeCell ref="V1413:V1414"/>
    <mergeCell ref="AE1413:AE1414"/>
    <mergeCell ref="AG1411:AG1432"/>
    <mergeCell ref="O1456:O1459"/>
    <mergeCell ref="P1456:P1459"/>
    <mergeCell ref="R1456:R1459"/>
    <mergeCell ref="AG1456:AG1491"/>
    <mergeCell ref="V1476:V1479"/>
    <mergeCell ref="V1480:V1483"/>
    <mergeCell ref="AF1472:AF1475"/>
    <mergeCell ref="AF1476:AF1479"/>
    <mergeCell ref="AF1480:AF1483"/>
    <mergeCell ref="AF1484:AF1487"/>
    <mergeCell ref="AF1488:AF1491"/>
    <mergeCell ref="AI1472:AI1475"/>
    <mergeCell ref="AI1476:AI1479"/>
    <mergeCell ref="AI1480:AI1483"/>
    <mergeCell ref="AI1484:AI1487"/>
    <mergeCell ref="AI1488:AI1491"/>
    <mergeCell ref="M1439:M1440"/>
    <mergeCell ref="N1439:N1440"/>
    <mergeCell ref="O1439:O1440"/>
    <mergeCell ref="P1439:P1440"/>
    <mergeCell ref="V1439:V1440"/>
    <mergeCell ref="M1441:M1442"/>
    <mergeCell ref="N1441:N1442"/>
    <mergeCell ref="O1441:O1442"/>
    <mergeCell ref="P1441:P1442"/>
    <mergeCell ref="V1441:V1442"/>
    <mergeCell ref="O1460:O1463"/>
    <mergeCell ref="O1447:O1448"/>
    <mergeCell ref="P1447:P1448"/>
    <mergeCell ref="V1447:V1448"/>
    <mergeCell ref="M1449:M1450"/>
    <mergeCell ref="N1449:N1450"/>
    <mergeCell ref="O1449:O1450"/>
    <mergeCell ref="P1449:P1450"/>
    <mergeCell ref="V1449:V1450"/>
    <mergeCell ref="S1464:S1467"/>
    <mergeCell ref="AL1484:AL1487"/>
    <mergeCell ref="AM1484:AM1487"/>
    <mergeCell ref="AM1488:AM1491"/>
    <mergeCell ref="AL1488:AL1491"/>
    <mergeCell ref="AK1488:AK1491"/>
    <mergeCell ref="X1456:X1491"/>
    <mergeCell ref="AI1456:AI1459"/>
    <mergeCell ref="AF1456:AF1459"/>
    <mergeCell ref="Q1456:Q1491"/>
    <mergeCell ref="R1472:R1475"/>
    <mergeCell ref="R1476:R1479"/>
    <mergeCell ref="R1480:R1483"/>
    <mergeCell ref="R1484:R1487"/>
    <mergeCell ref="R1488:R1491"/>
    <mergeCell ref="S1488:S1491"/>
    <mergeCell ref="T1488:T1491"/>
    <mergeCell ref="U1488:U1491"/>
    <mergeCell ref="U1484:U1487"/>
    <mergeCell ref="T1484:T1487"/>
    <mergeCell ref="P1460:P1463"/>
    <mergeCell ref="R1460:R1463"/>
    <mergeCell ref="S1460:S1463"/>
    <mergeCell ref="T1460:T1463"/>
    <mergeCell ref="U1460:U1463"/>
    <mergeCell ref="V1456:V1459"/>
    <mergeCell ref="V1460:V1463"/>
    <mergeCell ref="T1464:T1467"/>
    <mergeCell ref="U1464:U1467"/>
    <mergeCell ref="V1464:V1467"/>
    <mergeCell ref="W1456:W1491"/>
    <mergeCell ref="O1472:O1475"/>
    <mergeCell ref="O1476:O1479"/>
    <mergeCell ref="O1480:O1483"/>
    <mergeCell ref="O1468:O1471"/>
    <mergeCell ref="P1468:P1471"/>
    <mergeCell ref="R1468:R1471"/>
    <mergeCell ref="S1468:S1471"/>
    <mergeCell ref="T1468:T1471"/>
    <mergeCell ref="U1468:U1471"/>
    <mergeCell ref="V1468:V1471"/>
    <mergeCell ref="S1484:S1487"/>
    <mergeCell ref="S1480:S1483"/>
    <mergeCell ref="T1480:T1483"/>
    <mergeCell ref="O1484:O1487"/>
    <mergeCell ref="P1484:P1487"/>
    <mergeCell ref="S1456:S1459"/>
    <mergeCell ref="T1456:T1459"/>
    <mergeCell ref="U1456:U1459"/>
    <mergeCell ref="AM1460:AM1463"/>
    <mergeCell ref="AF1468:AF1471"/>
    <mergeCell ref="AI1468:AI1471"/>
    <mergeCell ref="P1464:P1467"/>
    <mergeCell ref="R1464:R1467"/>
    <mergeCell ref="P1472:P1475"/>
    <mergeCell ref="P1476:P1479"/>
    <mergeCell ref="P1480:P1483"/>
    <mergeCell ref="V1472:V1475"/>
    <mergeCell ref="U1480:U1483"/>
    <mergeCell ref="U1476:U1479"/>
    <mergeCell ref="T1476:T1479"/>
    <mergeCell ref="S1476:S1479"/>
    <mergeCell ref="S1472:S1475"/>
    <mergeCell ref="T1472:T1475"/>
    <mergeCell ref="U1472:U1475"/>
    <mergeCell ref="G1492:G1495"/>
    <mergeCell ref="H1492:H1495"/>
    <mergeCell ref="I1492:I1495"/>
    <mergeCell ref="J1492:J1495"/>
    <mergeCell ref="K1492:K1495"/>
    <mergeCell ref="L1492:L1495"/>
    <mergeCell ref="M1492:M1495"/>
    <mergeCell ref="N1492:N1495"/>
    <mergeCell ref="O1492:O1495"/>
    <mergeCell ref="P1492:P1495"/>
    <mergeCell ref="Q1492:Q1495"/>
    <mergeCell ref="R1492:R1495"/>
    <mergeCell ref="D1496:D1499"/>
    <mergeCell ref="E1496:E1499"/>
    <mergeCell ref="F1496:F1499"/>
    <mergeCell ref="G1496:G1499"/>
    <mergeCell ref="H1496:H1499"/>
    <mergeCell ref="I1496:I1499"/>
    <mergeCell ref="J1496:J1499"/>
    <mergeCell ref="K1496:K1499"/>
    <mergeCell ref="L1496:L1499"/>
    <mergeCell ref="M1496:M1497"/>
    <mergeCell ref="A1496:A1499"/>
    <mergeCell ref="B1496:B1499"/>
    <mergeCell ref="C1496:C1499"/>
    <mergeCell ref="J1500:J1501"/>
    <mergeCell ref="K1500:K1502"/>
    <mergeCell ref="L1500:L1502"/>
    <mergeCell ref="M1500:M1501"/>
    <mergeCell ref="B1456:B1491"/>
    <mergeCell ref="C1456:C1459"/>
    <mergeCell ref="C1460:C1463"/>
    <mergeCell ref="C1464:C1467"/>
    <mergeCell ref="C1468:C1471"/>
    <mergeCell ref="C1472:C1475"/>
    <mergeCell ref="C1476:C1479"/>
    <mergeCell ref="C1480:C1483"/>
    <mergeCell ref="C1484:C1487"/>
    <mergeCell ref="C1488:C1491"/>
    <mergeCell ref="L1456:L1491"/>
    <mergeCell ref="N1472:N1475"/>
    <mergeCell ref="N1476:N1479"/>
    <mergeCell ref="N1480:N1483"/>
    <mergeCell ref="N1484:N1487"/>
    <mergeCell ref="N1488:N1491"/>
    <mergeCell ref="D1456:D1491"/>
    <mergeCell ref="E1456:E1491"/>
    <mergeCell ref="F1456:F1491"/>
    <mergeCell ref="G1456:G1491"/>
    <mergeCell ref="H1456:H1491"/>
    <mergeCell ref="I1456:I1491"/>
    <mergeCell ref="J1456:J1491"/>
    <mergeCell ref="K1456:K1491"/>
    <mergeCell ref="A1456:A1491"/>
    <mergeCell ref="M1468:M1471"/>
    <mergeCell ref="N1468:N1471"/>
    <mergeCell ref="Q1500:Q1502"/>
    <mergeCell ref="A1500:A1502"/>
    <mergeCell ref="B1500:B1502"/>
    <mergeCell ref="C1500:C1502"/>
    <mergeCell ref="D1500:D1502"/>
    <mergeCell ref="E1500:E1502"/>
    <mergeCell ref="F1500:F1502"/>
    <mergeCell ref="G1500:G1502"/>
    <mergeCell ref="H1500:H1502"/>
    <mergeCell ref="I1500:I1502"/>
    <mergeCell ref="AG1496:AG1499"/>
    <mergeCell ref="AI1496:AI1497"/>
    <mergeCell ref="AK1496:AK1497"/>
    <mergeCell ref="X1500:X1502"/>
    <mergeCell ref="N1496:N1497"/>
    <mergeCell ref="O1496:O1497"/>
    <mergeCell ref="V1496:V1497"/>
    <mergeCell ref="W1496:W1499"/>
    <mergeCell ref="P1496:P1497"/>
    <mergeCell ref="P1498:P1499"/>
    <mergeCell ref="Q1496:Q1499"/>
    <mergeCell ref="X1496:X1499"/>
    <mergeCell ref="R1496:R1497"/>
    <mergeCell ref="AO1496:AO1499"/>
    <mergeCell ref="M1498:M1499"/>
    <mergeCell ref="N1498:N1499"/>
    <mergeCell ref="O1498:O1499"/>
    <mergeCell ref="AL1496:AL1497"/>
    <mergeCell ref="AN1496:AN1499"/>
    <mergeCell ref="AM1492:AM1495"/>
    <mergeCell ref="AL1492:AL1495"/>
    <mergeCell ref="AK1492:AK1495"/>
    <mergeCell ref="AJ1492:AJ1495"/>
    <mergeCell ref="S1492:S1495"/>
    <mergeCell ref="T1492:T1495"/>
    <mergeCell ref="U1492:U1495"/>
    <mergeCell ref="V1492:V1495"/>
    <mergeCell ref="W1492:W1495"/>
    <mergeCell ref="X1492:X1495"/>
    <mergeCell ref="AI1492:AI1495"/>
    <mergeCell ref="AF1492:AF1495"/>
    <mergeCell ref="AM1496:AM1497"/>
    <mergeCell ref="AM1498:AM1499"/>
    <mergeCell ref="AG1492:AG1495"/>
    <mergeCell ref="AL1498:AL1499"/>
    <mergeCell ref="AI1498:AI1499"/>
    <mergeCell ref="AK1498:AK1499"/>
    <mergeCell ref="AJ1496:AJ1499"/>
    <mergeCell ref="R1498:R1499"/>
    <mergeCell ref="S1496:S1497"/>
    <mergeCell ref="S1498:S1499"/>
    <mergeCell ref="T1496:T1497"/>
    <mergeCell ref="U1496:U1497"/>
    <mergeCell ref="U1498:U1499"/>
    <mergeCell ref="T1498:T1499"/>
    <mergeCell ref="AJ1500:AJ1502"/>
    <mergeCell ref="AK1500:AK1501"/>
    <mergeCell ref="AL1500:AL1501"/>
    <mergeCell ref="AO1500:AO1502"/>
    <mergeCell ref="AN1500:AN1502"/>
    <mergeCell ref="AE1500:AE1501"/>
    <mergeCell ref="AF1500:AF1501"/>
    <mergeCell ref="AG1500:AG1502"/>
    <mergeCell ref="P1500:P1501"/>
    <mergeCell ref="A1492:A1495"/>
    <mergeCell ref="B1492:B1495"/>
    <mergeCell ref="C1492:C1495"/>
    <mergeCell ref="D1492:D1495"/>
    <mergeCell ref="E1492:E1495"/>
    <mergeCell ref="F1492:F1495"/>
    <mergeCell ref="B1515:B1532"/>
    <mergeCell ref="C1515:C1532"/>
    <mergeCell ref="D1515:D1532"/>
    <mergeCell ref="E1515:E1532"/>
    <mergeCell ref="F1515:F1532"/>
    <mergeCell ref="G1515:G1532"/>
    <mergeCell ref="H1515:H1532"/>
    <mergeCell ref="I1515:I1532"/>
    <mergeCell ref="J1515:J1532"/>
    <mergeCell ref="K1515:K1532"/>
    <mergeCell ref="AM1528:AM1532"/>
    <mergeCell ref="X1515:X1532"/>
    <mergeCell ref="AF1515:AF1527"/>
    <mergeCell ref="AG1515:AG1532"/>
    <mergeCell ref="AI1515:AI1519"/>
    <mergeCell ref="AF1528:AF1532"/>
    <mergeCell ref="AI1528:AI1532"/>
    <mergeCell ref="R1515:R1527"/>
    <mergeCell ref="S1515:S1527"/>
    <mergeCell ref="T1515:T1519"/>
    <mergeCell ref="U1515:U1519"/>
    <mergeCell ref="V1515:V1519"/>
    <mergeCell ref="W1515:W1532"/>
    <mergeCell ref="T1521:T1527"/>
    <mergeCell ref="U1521:U1527"/>
    <mergeCell ref="V1521:V1527"/>
    <mergeCell ref="V1528:V1532"/>
    <mergeCell ref="W1512:W1514"/>
    <mergeCell ref="X1512:X1514"/>
    <mergeCell ref="AJ1503:AJ1505"/>
    <mergeCell ref="AJ1506:AJ1511"/>
    <mergeCell ref="AI1503:AI1505"/>
    <mergeCell ref="AI1506:AI1508"/>
    <mergeCell ref="AI1509:AI1511"/>
    <mergeCell ref="Y1506:Y1507"/>
    <mergeCell ref="Y1508:Y1509"/>
    <mergeCell ref="Y1510:Y1511"/>
    <mergeCell ref="O1503:O1505"/>
    <mergeCell ref="V1503:V1505"/>
    <mergeCell ref="W1503:W1511"/>
    <mergeCell ref="X1503:X1511"/>
    <mergeCell ref="M1506:M1511"/>
    <mergeCell ref="R1503:R1505"/>
    <mergeCell ref="P1506:P1511"/>
    <mergeCell ref="Q1503:Q1511"/>
    <mergeCell ref="R1506:R1511"/>
    <mergeCell ref="S1506:S1511"/>
    <mergeCell ref="AI1521:AI1527"/>
    <mergeCell ref="AK1521:AK1527"/>
    <mergeCell ref="AJ1515:AJ1532"/>
    <mergeCell ref="AK1515:AK1519"/>
    <mergeCell ref="AL1515:AL1527"/>
    <mergeCell ref="AM1500:AM1501"/>
    <mergeCell ref="AI1500:AI1501"/>
    <mergeCell ref="N1500:N1501"/>
    <mergeCell ref="O1500:O1501"/>
    <mergeCell ref="V1500:V1501"/>
    <mergeCell ref="W1500:W1502"/>
    <mergeCell ref="B1583:B1584"/>
    <mergeCell ref="C1583:C1584"/>
    <mergeCell ref="D1583:D1584"/>
    <mergeCell ref="F1606:F1618"/>
    <mergeCell ref="G1606:G1618"/>
    <mergeCell ref="H1606:H1618"/>
    <mergeCell ref="I1606:I1618"/>
    <mergeCell ref="AK1506:AK1508"/>
    <mergeCell ref="AK1509:AK1511"/>
    <mergeCell ref="AK1503:AK1505"/>
    <mergeCell ref="AL1503:AL1505"/>
    <mergeCell ref="AN1503:AN1511"/>
    <mergeCell ref="AO1503:AO1511"/>
    <mergeCell ref="AM1503:AM1505"/>
    <mergeCell ref="AM1506:AM1511"/>
    <mergeCell ref="AL1506:AL1511"/>
    <mergeCell ref="AF1503:AF1505"/>
    <mergeCell ref="AG1503:AG1511"/>
    <mergeCell ref="N1509:N1511"/>
    <mergeCell ref="O1509:O1511"/>
    <mergeCell ref="V1509:V1511"/>
    <mergeCell ref="P1503:P1505"/>
    <mergeCell ref="U1506:U1508"/>
    <mergeCell ref="S1503:S1505"/>
    <mergeCell ref="T1503:T1505"/>
    <mergeCell ref="U1503:U1505"/>
    <mergeCell ref="T1509:T1511"/>
    <mergeCell ref="U1509:U1511"/>
    <mergeCell ref="AF1506:AF1511"/>
    <mergeCell ref="AM1515:AM1527"/>
    <mergeCell ref="AN1515:AN1532"/>
    <mergeCell ref="AO1515:AO1532"/>
    <mergeCell ref="AK1528:AK1532"/>
    <mergeCell ref="AL1528:AL1532"/>
    <mergeCell ref="P1528:P1532"/>
    <mergeCell ref="R1528:R1532"/>
    <mergeCell ref="S1528:S1532"/>
    <mergeCell ref="T1528:T1532"/>
    <mergeCell ref="U1528:U1532"/>
    <mergeCell ref="L1515:L1532"/>
    <mergeCell ref="M1515:M1527"/>
    <mergeCell ref="O1515:O1519"/>
    <mergeCell ref="P1515:P1527"/>
    <mergeCell ref="Q1515:Q1532"/>
    <mergeCell ref="N1521:N1527"/>
    <mergeCell ref="O1521:O1527"/>
    <mergeCell ref="V1512:V1513"/>
    <mergeCell ref="AO1512:AO1514"/>
    <mergeCell ref="AN1512:AN1514"/>
    <mergeCell ref="AJ1512:AJ1514"/>
    <mergeCell ref="AG1512:AG1514"/>
    <mergeCell ref="AM1512:AM1513"/>
    <mergeCell ref="AL1512:AL1513"/>
    <mergeCell ref="AK1512:AK1513"/>
    <mergeCell ref="M1512:M1513"/>
    <mergeCell ref="N1512:N1513"/>
    <mergeCell ref="O1512:O1513"/>
    <mergeCell ref="P1512:P1513"/>
    <mergeCell ref="R1512:R1513"/>
    <mergeCell ref="S1512:S1513"/>
    <mergeCell ref="T1512:T1513"/>
    <mergeCell ref="U1512:U1513"/>
    <mergeCell ref="AF1512:AF1513"/>
    <mergeCell ref="AI1512:AI1513"/>
    <mergeCell ref="AN1585:AN1596"/>
    <mergeCell ref="AM1585:AM1588"/>
    <mergeCell ref="AL1585:AL1588"/>
    <mergeCell ref="A1538:A1541"/>
    <mergeCell ref="B1538:B1541"/>
    <mergeCell ref="A1547:A1582"/>
    <mergeCell ref="B1547:B1582"/>
    <mergeCell ref="C1579:C1582"/>
    <mergeCell ref="D1547:D1582"/>
    <mergeCell ref="E1547:E1582"/>
    <mergeCell ref="P1579:P1582"/>
    <mergeCell ref="R1579:R1582"/>
    <mergeCell ref="S1579:S1582"/>
    <mergeCell ref="T1579:T1582"/>
    <mergeCell ref="U1579:U1582"/>
    <mergeCell ref="A1606:A1620"/>
    <mergeCell ref="M1616:M1620"/>
    <mergeCell ref="N1616:N1620"/>
    <mergeCell ref="W1606:W1620"/>
    <mergeCell ref="AE1616:AE1620"/>
    <mergeCell ref="N1611:N1615"/>
    <mergeCell ref="N1606:N1610"/>
    <mergeCell ref="M1606:M1615"/>
    <mergeCell ref="AE1606:AE1610"/>
    <mergeCell ref="AE1611:AE1615"/>
    <mergeCell ref="E1585:E1596"/>
    <mergeCell ref="S1583:S1584"/>
    <mergeCell ref="A1583:A1584"/>
    <mergeCell ref="K1545:K1546"/>
    <mergeCell ref="T1506:T1508"/>
    <mergeCell ref="A1512:A1514"/>
    <mergeCell ref="B1512:B1514"/>
    <mergeCell ref="C1512:C1514"/>
    <mergeCell ref="D1512:D1514"/>
    <mergeCell ref="E1512:E1514"/>
    <mergeCell ref="F1512:F1514"/>
    <mergeCell ref="G1512:G1514"/>
    <mergeCell ref="H1512:H1514"/>
    <mergeCell ref="I1512:I1514"/>
    <mergeCell ref="K1512:K1514"/>
    <mergeCell ref="L1512:L1514"/>
    <mergeCell ref="Q1512:Q1514"/>
    <mergeCell ref="L1503:L1511"/>
    <mergeCell ref="A1503:A1511"/>
    <mergeCell ref="B1503:B1511"/>
    <mergeCell ref="C1503:C1511"/>
    <mergeCell ref="D1503:D1511"/>
    <mergeCell ref="E1503:E1511"/>
    <mergeCell ref="F1503:F1511"/>
    <mergeCell ref="G1503:G1511"/>
    <mergeCell ref="H1503:H1511"/>
    <mergeCell ref="I1503:I1511"/>
    <mergeCell ref="J1503:J1511"/>
    <mergeCell ref="K1503:K1511"/>
    <mergeCell ref="M1503:M1505"/>
    <mergeCell ref="N1503:N1505"/>
    <mergeCell ref="J1512:J1513"/>
    <mergeCell ref="O1575:O1578"/>
    <mergeCell ref="P1575:P1578"/>
    <mergeCell ref="T1571:T1574"/>
    <mergeCell ref="Y1595:Y1596"/>
    <mergeCell ref="A1585:A1596"/>
    <mergeCell ref="B1585:B1596"/>
    <mergeCell ref="C1585:C1596"/>
    <mergeCell ref="AO1538:AO1541"/>
    <mergeCell ref="AN1538:AN1541"/>
    <mergeCell ref="AJ1538:AJ1541"/>
    <mergeCell ref="AG1538:AG1541"/>
    <mergeCell ref="C1538:C1541"/>
    <mergeCell ref="D1538:D1541"/>
    <mergeCell ref="E1538:E1541"/>
    <mergeCell ref="F1538:F1541"/>
    <mergeCell ref="G1538:G1541"/>
    <mergeCell ref="H1538:H1541"/>
    <mergeCell ref="I1538:I1541"/>
    <mergeCell ref="K1538:K1541"/>
    <mergeCell ref="L1538:L1541"/>
    <mergeCell ref="Q1538:Q1541"/>
    <mergeCell ref="R1538:R1540"/>
    <mergeCell ref="S1538:S1540"/>
    <mergeCell ref="T1538:T1540"/>
    <mergeCell ref="U1538:U1540"/>
    <mergeCell ref="V1538:V1540"/>
    <mergeCell ref="AM1538:AM1540"/>
    <mergeCell ref="AL1538:AL1540"/>
    <mergeCell ref="AK1538:AK1540"/>
    <mergeCell ref="A1542:A1544"/>
    <mergeCell ref="B1542:B1544"/>
    <mergeCell ref="C1542:C1544"/>
    <mergeCell ref="D1542:D1544"/>
    <mergeCell ref="E1542:E1544"/>
    <mergeCell ref="F1542:F1544"/>
    <mergeCell ref="G1542:G1544"/>
    <mergeCell ref="H1542:H1544"/>
    <mergeCell ref="I1542:I1544"/>
    <mergeCell ref="K1542:K1544"/>
    <mergeCell ref="L1542:L1544"/>
    <mergeCell ref="M1542:M1544"/>
    <mergeCell ref="N1542:N1544"/>
    <mergeCell ref="O1542:O1544"/>
    <mergeCell ref="P1542:P1544"/>
    <mergeCell ref="AJ1542:AJ1544"/>
    <mergeCell ref="AK1542:AK1544"/>
    <mergeCell ref="AL1542:AL1544"/>
    <mergeCell ref="AM1542:AM1544"/>
    <mergeCell ref="AN1542:AN1544"/>
    <mergeCell ref="AO1542:AO1544"/>
    <mergeCell ref="AI1538:AI1540"/>
    <mergeCell ref="AF1538:AF1540"/>
    <mergeCell ref="W1538:W1541"/>
    <mergeCell ref="X1538:X1541"/>
    <mergeCell ref="J1538:J1540"/>
    <mergeCell ref="M1538:M1540"/>
    <mergeCell ref="N1538:N1540"/>
    <mergeCell ref="O1538:O1540"/>
    <mergeCell ref="P1538:P1540"/>
    <mergeCell ref="W1542:W1544"/>
    <mergeCell ref="X1542:X1544"/>
    <mergeCell ref="AF1542:AF1544"/>
    <mergeCell ref="AG1542:AG1544"/>
    <mergeCell ref="AI1542:AI1544"/>
    <mergeCell ref="R1542:R1544"/>
    <mergeCell ref="S1542:S1544"/>
    <mergeCell ref="T1542:T1544"/>
    <mergeCell ref="U1542:U1544"/>
    <mergeCell ref="V1542:V1544"/>
    <mergeCell ref="AN1583:AN1584"/>
    <mergeCell ref="AO1583:AO1584"/>
    <mergeCell ref="J1583:J1584"/>
    <mergeCell ref="K1583:K1584"/>
    <mergeCell ref="L1583:L1584"/>
    <mergeCell ref="M1583:M1584"/>
    <mergeCell ref="N1583:N1584"/>
    <mergeCell ref="O1583:O1584"/>
    <mergeCell ref="V1583:V1584"/>
    <mergeCell ref="W1583:W1584"/>
    <mergeCell ref="X1583:X1584"/>
    <mergeCell ref="T1583:T1584"/>
    <mergeCell ref="U1583:U1584"/>
    <mergeCell ref="AF1583:AF1584"/>
    <mergeCell ref="O1545:O1546"/>
    <mergeCell ref="P1545:P1546"/>
    <mergeCell ref="R1545:R1546"/>
    <mergeCell ref="L1545:L1546"/>
    <mergeCell ref="Q1545:Q1546"/>
    <mergeCell ref="S1545:S1546"/>
    <mergeCell ref="T1545:T1546"/>
    <mergeCell ref="U1545:U1546"/>
    <mergeCell ref="V1545:V1546"/>
    <mergeCell ref="W1545:W1546"/>
    <mergeCell ref="X1545:X1546"/>
    <mergeCell ref="M1545:M1546"/>
    <mergeCell ref="N1545:N1546"/>
    <mergeCell ref="M1579:M1582"/>
    <mergeCell ref="N1579:N1582"/>
    <mergeCell ref="O1579:O1582"/>
    <mergeCell ref="N1551:N1554"/>
    <mergeCell ref="O1551:O1554"/>
    <mergeCell ref="P1551:P1554"/>
    <mergeCell ref="R1551:R1554"/>
    <mergeCell ref="S1547:S1550"/>
    <mergeCell ref="T1547:T1550"/>
    <mergeCell ref="U1547:U1550"/>
    <mergeCell ref="S1551:S1554"/>
    <mergeCell ref="T1551:T1554"/>
    <mergeCell ref="AI1567:AI1570"/>
    <mergeCell ref="AO1545:AO1546"/>
    <mergeCell ref="AN1545:AN1546"/>
    <mergeCell ref="AL1545:AL1546"/>
    <mergeCell ref="AM1545:AM1546"/>
    <mergeCell ref="AI1545:AI1546"/>
    <mergeCell ref="AF1545:AF1546"/>
    <mergeCell ref="AG1545:AG1546"/>
    <mergeCell ref="AJ1545:AJ1546"/>
    <mergeCell ref="M1551:M1554"/>
    <mergeCell ref="AL1547:AL1550"/>
    <mergeCell ref="AM1547:AM1550"/>
    <mergeCell ref="S1567:S1570"/>
    <mergeCell ref="T1567:T1570"/>
    <mergeCell ref="U1567:U1570"/>
    <mergeCell ref="AC1568:AC1569"/>
    <mergeCell ref="AF1567:AF1570"/>
    <mergeCell ref="M1567:M1570"/>
    <mergeCell ref="N1567:N1570"/>
    <mergeCell ref="O1567:O1570"/>
    <mergeCell ref="P1567:P1570"/>
    <mergeCell ref="R1567:R1570"/>
    <mergeCell ref="W1547:W1582"/>
    <mergeCell ref="V1547:V1550"/>
    <mergeCell ref="V1551:V1554"/>
    <mergeCell ref="A1545:A1546"/>
    <mergeCell ref="B1545:B1546"/>
    <mergeCell ref="C1545:C1546"/>
    <mergeCell ref="D1545:D1546"/>
    <mergeCell ref="E1545:E1546"/>
    <mergeCell ref="F1545:F1546"/>
    <mergeCell ref="G1545:G1546"/>
    <mergeCell ref="H1545:H1546"/>
    <mergeCell ref="I1545:I1546"/>
    <mergeCell ref="J1545:J1546"/>
    <mergeCell ref="AK1545:AK1546"/>
    <mergeCell ref="AM1555:AM1558"/>
    <mergeCell ref="AL1555:AL1558"/>
    <mergeCell ref="AK1555:AK1558"/>
    <mergeCell ref="AK1559:AK1562"/>
    <mergeCell ref="J1606:J1618"/>
    <mergeCell ref="K1606:K1618"/>
    <mergeCell ref="AL1589:AL1596"/>
    <mergeCell ref="AM1589:AM1596"/>
    <mergeCell ref="S1589:S1596"/>
    <mergeCell ref="T1593:T1596"/>
    <mergeCell ref="U1593:U1596"/>
    <mergeCell ref="V1593:V1596"/>
    <mergeCell ref="W1585:W1596"/>
    <mergeCell ref="Q1585:Q1596"/>
    <mergeCell ref="R1585:R1588"/>
    <mergeCell ref="T1589:T1592"/>
    <mergeCell ref="O1593:O1596"/>
    <mergeCell ref="K1585:K1596"/>
    <mergeCell ref="F1585:F1596"/>
    <mergeCell ref="G1585:G1596"/>
    <mergeCell ref="H1585:H1596"/>
    <mergeCell ref="I1585:I1596"/>
    <mergeCell ref="J1585:J1596"/>
    <mergeCell ref="U1585:U1588"/>
    <mergeCell ref="AI1585:AI1588"/>
    <mergeCell ref="L1585:L1596"/>
    <mergeCell ref="P1606:P1613"/>
    <mergeCell ref="Q1606:Q1617"/>
    <mergeCell ref="R1606:R1613"/>
    <mergeCell ref="R1616:R1618"/>
    <mergeCell ref="AK1616:AK1618"/>
    <mergeCell ref="AK1606:AK1608"/>
    <mergeCell ref="B1606:B1618"/>
    <mergeCell ref="C1606:C1618"/>
    <mergeCell ref="D1606:D1618"/>
    <mergeCell ref="E1606:E1618"/>
    <mergeCell ref="O1611:O1613"/>
    <mergeCell ref="AF1611:AF1613"/>
    <mergeCell ref="AK1611:AK1613"/>
    <mergeCell ref="O1616:O1617"/>
    <mergeCell ref="P1616:P1617"/>
    <mergeCell ref="AF1606:AF1608"/>
    <mergeCell ref="AG1606:AG1618"/>
    <mergeCell ref="AH1606:AH1618"/>
    <mergeCell ref="AI1606:AI1618"/>
    <mergeCell ref="AJ1606:AJ1618"/>
    <mergeCell ref="AF1616:AF1618"/>
    <mergeCell ref="O1606:O1608"/>
    <mergeCell ref="N1589:N1592"/>
    <mergeCell ref="O1589:O1592"/>
    <mergeCell ref="V1589:V1592"/>
    <mergeCell ref="N1593:N1596"/>
    <mergeCell ref="M1589:M1596"/>
    <mergeCell ref="AO1585:AO1596"/>
    <mergeCell ref="M1585:M1588"/>
    <mergeCell ref="N1585:N1588"/>
    <mergeCell ref="C1571:C1574"/>
    <mergeCell ref="K1547:K1582"/>
    <mergeCell ref="L1547:L1582"/>
    <mergeCell ref="C1575:C1578"/>
    <mergeCell ref="F1547:F1582"/>
    <mergeCell ref="G1547:G1582"/>
    <mergeCell ref="H1547:H1582"/>
    <mergeCell ref="AL1567:AL1570"/>
    <mergeCell ref="AK1567:AK1570"/>
    <mergeCell ref="P1585:P1588"/>
    <mergeCell ref="P1589:P1596"/>
    <mergeCell ref="P1583:P1584"/>
    <mergeCell ref="Q1583:Q1584"/>
    <mergeCell ref="R1583:R1584"/>
    <mergeCell ref="S1585:S1588"/>
    <mergeCell ref="T1585:T1588"/>
    <mergeCell ref="AK1583:AK1584"/>
    <mergeCell ref="AL1583:AL1584"/>
    <mergeCell ref="AM1583:AM1584"/>
    <mergeCell ref="AF1555:AF1558"/>
    <mergeCell ref="M1559:M1562"/>
    <mergeCell ref="N1559:N1562"/>
    <mergeCell ref="O1559:O1562"/>
    <mergeCell ref="P1559:P1562"/>
    <mergeCell ref="R1559:R1562"/>
    <mergeCell ref="AC1560:AC1561"/>
    <mergeCell ref="AF1559:AF1562"/>
    <mergeCell ref="AM1575:AM1578"/>
    <mergeCell ref="AL1575:AL1578"/>
    <mergeCell ref="AK1575:AK1578"/>
    <mergeCell ref="AM1559:AM1562"/>
    <mergeCell ref="AK1563:AK1566"/>
    <mergeCell ref="AL1563:AL1566"/>
    <mergeCell ref="AM1563:AM1566"/>
    <mergeCell ref="AM1567:AM1570"/>
    <mergeCell ref="S1555:S1558"/>
    <mergeCell ref="T1555:T1558"/>
    <mergeCell ref="U1555:U1558"/>
    <mergeCell ref="S1559:S1562"/>
    <mergeCell ref="T1559:T1562"/>
    <mergeCell ref="U1559:U1562"/>
    <mergeCell ref="AC1556:AC1557"/>
    <mergeCell ref="M1555:M1558"/>
    <mergeCell ref="AC1548:AC1549"/>
    <mergeCell ref="P1563:P1566"/>
    <mergeCell ref="R1563:R1566"/>
    <mergeCell ref="S1563:S1566"/>
    <mergeCell ref="AF1563:AF1566"/>
    <mergeCell ref="AC1564:AC1565"/>
    <mergeCell ref="AC1552:AC1553"/>
    <mergeCell ref="U1551:U1554"/>
    <mergeCell ref="AF1551:AF1554"/>
    <mergeCell ref="V1555:V1558"/>
    <mergeCell ref="V1559:V1562"/>
    <mergeCell ref="AJ1585:AJ1596"/>
    <mergeCell ref="AK1593:AK1596"/>
    <mergeCell ref="U1589:U1592"/>
    <mergeCell ref="AI1589:AI1592"/>
    <mergeCell ref="Y1589:Y1590"/>
    <mergeCell ref="P1571:P1574"/>
    <mergeCell ref="R1571:R1574"/>
    <mergeCell ref="C1559:C1562"/>
    <mergeCell ref="C1563:C1566"/>
    <mergeCell ref="J1547:J1582"/>
    <mergeCell ref="U1571:U1574"/>
    <mergeCell ref="C1567:C1570"/>
    <mergeCell ref="P1555:P1558"/>
    <mergeCell ref="M1575:M1578"/>
    <mergeCell ref="N1575:N1578"/>
    <mergeCell ref="R1575:R1578"/>
    <mergeCell ref="I1547:I1582"/>
    <mergeCell ref="Q1547:Q1582"/>
    <mergeCell ref="V1571:V1574"/>
    <mergeCell ref="V1575:V1578"/>
    <mergeCell ref="N1563:N1566"/>
    <mergeCell ref="AK1589:AK1592"/>
    <mergeCell ref="V1585:V1588"/>
    <mergeCell ref="R1589:R1596"/>
    <mergeCell ref="Y1593:Y1594"/>
    <mergeCell ref="AK1585:AK1588"/>
    <mergeCell ref="AG1583:AG1584"/>
    <mergeCell ref="AI1583:AI1584"/>
    <mergeCell ref="AJ1583:AJ1584"/>
    <mergeCell ref="N1555:N1558"/>
    <mergeCell ref="O1555:O1558"/>
    <mergeCell ref="AJ1547:AJ1582"/>
    <mergeCell ref="AK1547:AK1550"/>
    <mergeCell ref="Y1591:Y1592"/>
    <mergeCell ref="AF1585:AF1588"/>
    <mergeCell ref="AI1593:AI1596"/>
    <mergeCell ref="AF1589:AF1596"/>
    <mergeCell ref="E1583:E1584"/>
    <mergeCell ref="F1583:F1584"/>
    <mergeCell ref="G1583:G1584"/>
    <mergeCell ref="H1583:H1584"/>
    <mergeCell ref="I1583:I1584"/>
    <mergeCell ref="O1585:O1588"/>
    <mergeCell ref="AM1571:AM1574"/>
    <mergeCell ref="AI1571:AI1574"/>
    <mergeCell ref="AI1575:AI1578"/>
    <mergeCell ref="AI1579:AI1582"/>
    <mergeCell ref="AF1575:AF1578"/>
    <mergeCell ref="AC1576:AC1577"/>
    <mergeCell ref="AO1606:AO1618"/>
    <mergeCell ref="V1563:V1566"/>
    <mergeCell ref="V1567:V1570"/>
    <mergeCell ref="C1626:C1628"/>
    <mergeCell ref="M1626:M1628"/>
    <mergeCell ref="N1626:N1628"/>
    <mergeCell ref="O1626:O1628"/>
    <mergeCell ref="P1626:P1628"/>
    <mergeCell ref="R1626:R1628"/>
    <mergeCell ref="S1626:S1628"/>
    <mergeCell ref="T1626:T1628"/>
    <mergeCell ref="U1626:U1628"/>
    <mergeCell ref="AM1654:AM1656"/>
    <mergeCell ref="AM1629:AM1631"/>
    <mergeCell ref="G1621:G1671"/>
    <mergeCell ref="H1621:H1671"/>
    <mergeCell ref="I1621:I1671"/>
    <mergeCell ref="J1621:J1671"/>
    <mergeCell ref="K1621:K1671"/>
    <mergeCell ref="L1621:L1671"/>
    <mergeCell ref="V1621:V1623"/>
    <mergeCell ref="P1621:P1623"/>
    <mergeCell ref="Q1621:Q1671"/>
    <mergeCell ref="R1621:R1623"/>
    <mergeCell ref="R1624:R1625"/>
    <mergeCell ref="M1629:M1631"/>
    <mergeCell ref="N1629:N1631"/>
    <mergeCell ref="O1629:O1631"/>
    <mergeCell ref="V1624:V1625"/>
    <mergeCell ref="M1621:M1623"/>
    <mergeCell ref="N1621:N1623"/>
    <mergeCell ref="O1621:O1623"/>
    <mergeCell ref="V1626:V1628"/>
    <mergeCell ref="P1640:P1641"/>
    <mergeCell ref="R1640:R1641"/>
    <mergeCell ref="S1640:S1641"/>
    <mergeCell ref="T1640:T1641"/>
    <mergeCell ref="T1638:T1639"/>
    <mergeCell ref="U1638:U1639"/>
    <mergeCell ref="V1638:V1639"/>
    <mergeCell ref="M1638:M1639"/>
    <mergeCell ref="N1638:N1639"/>
    <mergeCell ref="O1638:O1639"/>
    <mergeCell ref="P1638:P1639"/>
    <mergeCell ref="R1638:R1639"/>
    <mergeCell ref="S1638:S1639"/>
    <mergeCell ref="T1563:T1566"/>
    <mergeCell ref="U1563:U1566"/>
    <mergeCell ref="AM1579:AM1582"/>
    <mergeCell ref="AK1571:AK1574"/>
    <mergeCell ref="AL1571:AL1574"/>
    <mergeCell ref="AO1547:AO1582"/>
    <mergeCell ref="AN1547:AN1582"/>
    <mergeCell ref="AK1551:AK1554"/>
    <mergeCell ref="AL1551:AL1554"/>
    <mergeCell ref="AM1551:AM1554"/>
    <mergeCell ref="AF1547:AF1550"/>
    <mergeCell ref="AG1585:AG1596"/>
    <mergeCell ref="S1624:S1625"/>
    <mergeCell ref="T1624:T1625"/>
    <mergeCell ref="U1624:U1625"/>
    <mergeCell ref="S1629:S1631"/>
    <mergeCell ref="U1635:U1637"/>
    <mergeCell ref="V1635:V1637"/>
    <mergeCell ref="R1648:R1650"/>
    <mergeCell ref="M1651:M1653"/>
    <mergeCell ref="N1651:N1653"/>
    <mergeCell ref="O1651:O1653"/>
    <mergeCell ref="P1651:P1653"/>
    <mergeCell ref="R1651:R1653"/>
    <mergeCell ref="S1651:S1653"/>
    <mergeCell ref="T1651:T1653"/>
    <mergeCell ref="U1651:U1653"/>
    <mergeCell ref="U1648:U1650"/>
    <mergeCell ref="C1624:C1625"/>
    <mergeCell ref="M1624:M1625"/>
    <mergeCell ref="N1624:N1625"/>
    <mergeCell ref="C1635:C1637"/>
    <mergeCell ref="M1635:M1637"/>
    <mergeCell ref="S1635:S1637"/>
    <mergeCell ref="T1635:T1637"/>
    <mergeCell ref="M1645:M1647"/>
    <mergeCell ref="N1645:N1647"/>
    <mergeCell ref="O1645:O1647"/>
    <mergeCell ref="P1645:P1647"/>
    <mergeCell ref="R1645:R1647"/>
    <mergeCell ref="S1645:S1647"/>
    <mergeCell ref="O1563:O1566"/>
    <mergeCell ref="D1585:D1596"/>
    <mergeCell ref="AL1559:AL1562"/>
    <mergeCell ref="AK1579:AK1582"/>
    <mergeCell ref="AL1579:AL1582"/>
    <mergeCell ref="S1571:S1574"/>
    <mergeCell ref="AG1547:AG1582"/>
    <mergeCell ref="AI1547:AI1550"/>
    <mergeCell ref="AI1551:AI1554"/>
    <mergeCell ref="AI1555:AI1558"/>
    <mergeCell ref="AI1559:AI1562"/>
    <mergeCell ref="AI1563:AI1566"/>
    <mergeCell ref="X1585:X1596"/>
    <mergeCell ref="AC1580:AC1581"/>
    <mergeCell ref="AF1579:AF1582"/>
    <mergeCell ref="X1547:X1582"/>
    <mergeCell ref="S1575:S1578"/>
    <mergeCell ref="T1575:T1578"/>
    <mergeCell ref="U1575:U1578"/>
    <mergeCell ref="C1547:C1550"/>
    <mergeCell ref="C1551:C1554"/>
    <mergeCell ref="C1555:C1558"/>
    <mergeCell ref="V1579:V1582"/>
    <mergeCell ref="M1547:M1550"/>
    <mergeCell ref="N1547:N1550"/>
    <mergeCell ref="O1547:O1550"/>
    <mergeCell ref="R1555:R1558"/>
    <mergeCell ref="P1547:P1550"/>
    <mergeCell ref="R1547:R1550"/>
    <mergeCell ref="M1563:M1566"/>
    <mergeCell ref="AC1572:AC1573"/>
    <mergeCell ref="AF1571:AF1574"/>
    <mergeCell ref="M1571:M1574"/>
    <mergeCell ref="N1571:N1574"/>
    <mergeCell ref="O1571:O1574"/>
    <mergeCell ref="M1669:M1671"/>
    <mergeCell ref="N1669:N1671"/>
    <mergeCell ref="O1669:O1671"/>
    <mergeCell ref="P1669:P1671"/>
    <mergeCell ref="R1669:R1671"/>
    <mergeCell ref="S1669:S1671"/>
    <mergeCell ref="U1666:U1668"/>
    <mergeCell ref="V1648:V1650"/>
    <mergeCell ref="O1648:O1650"/>
    <mergeCell ref="U1660:U1662"/>
    <mergeCell ref="U1657:U1659"/>
    <mergeCell ref="M1663:M1665"/>
    <mergeCell ref="M1642:M1644"/>
    <mergeCell ref="N1642:N1644"/>
    <mergeCell ref="O1642:O1644"/>
    <mergeCell ref="P1642:P1644"/>
    <mergeCell ref="R1642:R1644"/>
    <mergeCell ref="S1642:S1644"/>
    <mergeCell ref="T1642:T1644"/>
    <mergeCell ref="U1642:U1644"/>
    <mergeCell ref="E1621:E1671"/>
    <mergeCell ref="F1621:F1671"/>
    <mergeCell ref="C1629:C1631"/>
    <mergeCell ref="C1645:C1647"/>
    <mergeCell ref="C1654:C1656"/>
    <mergeCell ref="C1663:C1665"/>
    <mergeCell ref="C1632:C1634"/>
    <mergeCell ref="C1648:C1650"/>
    <mergeCell ref="M1648:M1650"/>
    <mergeCell ref="C1638:C1639"/>
    <mergeCell ref="C1621:C1623"/>
    <mergeCell ref="D1621:D1671"/>
    <mergeCell ref="O1624:O1625"/>
    <mergeCell ref="P1624:P1625"/>
    <mergeCell ref="C1642:C1644"/>
    <mergeCell ref="S1621:S1623"/>
    <mergeCell ref="T1621:T1623"/>
    <mergeCell ref="U1621:U1623"/>
    <mergeCell ref="S1660:S1662"/>
    <mergeCell ref="T1660:T1662"/>
    <mergeCell ref="C1651:C1653"/>
    <mergeCell ref="C1666:C1668"/>
    <mergeCell ref="M1666:M1668"/>
    <mergeCell ref="N1666:N1668"/>
    <mergeCell ref="O1666:O1668"/>
    <mergeCell ref="P1666:P1668"/>
    <mergeCell ref="R1666:R1668"/>
    <mergeCell ref="S1666:S1668"/>
    <mergeCell ref="T1666:T1668"/>
    <mergeCell ref="T1663:T1665"/>
    <mergeCell ref="C1657:C1659"/>
    <mergeCell ref="M1657:M1659"/>
    <mergeCell ref="N1657:N1659"/>
    <mergeCell ref="O1657:O1659"/>
    <mergeCell ref="P1657:P1659"/>
    <mergeCell ref="R1657:R1659"/>
    <mergeCell ref="S1657:S1659"/>
    <mergeCell ref="T1657:T1659"/>
    <mergeCell ref="T1654:T1656"/>
    <mergeCell ref="U1654:U1656"/>
    <mergeCell ref="V1654:V1656"/>
    <mergeCell ref="M1654:M1656"/>
    <mergeCell ref="N1654:N1656"/>
    <mergeCell ref="O1654:O1656"/>
    <mergeCell ref="A1621:A1671"/>
    <mergeCell ref="B1621:B1671"/>
    <mergeCell ref="AL1663:AL1665"/>
    <mergeCell ref="V1660:V1662"/>
    <mergeCell ref="AF1660:AF1662"/>
    <mergeCell ref="AI1660:AI1662"/>
    <mergeCell ref="AK1660:AK1662"/>
    <mergeCell ref="AL1660:AL1662"/>
    <mergeCell ref="AL1654:AL1656"/>
    <mergeCell ref="V1651:V1653"/>
    <mergeCell ref="AF1651:AF1653"/>
    <mergeCell ref="AI1651:AI1653"/>
    <mergeCell ref="AK1651:AK1653"/>
    <mergeCell ref="AL1651:AL1653"/>
    <mergeCell ref="T1645:T1647"/>
    <mergeCell ref="AL1642:AL1644"/>
    <mergeCell ref="U1640:U1641"/>
    <mergeCell ref="V1640:V1641"/>
    <mergeCell ref="AF1640:AF1641"/>
    <mergeCell ref="AI1640:AI1641"/>
    <mergeCell ref="AK1640:AK1641"/>
    <mergeCell ref="AL1640:AL1641"/>
    <mergeCell ref="V1669:V1671"/>
    <mergeCell ref="AF1669:AF1671"/>
    <mergeCell ref="AI1669:AI1671"/>
    <mergeCell ref="AL1635:AL1637"/>
    <mergeCell ref="M1632:M1634"/>
    <mergeCell ref="N1632:N1634"/>
    <mergeCell ref="O1632:O1634"/>
    <mergeCell ref="P1632:P1634"/>
    <mergeCell ref="P1629:P1631"/>
    <mergeCell ref="R1629:R1631"/>
    <mergeCell ref="V1642:V1644"/>
    <mergeCell ref="AF1642:AF1644"/>
    <mergeCell ref="AI1642:AI1644"/>
    <mergeCell ref="AK1642:AK1644"/>
    <mergeCell ref="S1648:S1650"/>
    <mergeCell ref="T1648:T1650"/>
    <mergeCell ref="V1666:V1668"/>
    <mergeCell ref="AF1666:AF1668"/>
    <mergeCell ref="AI1666:AI1668"/>
    <mergeCell ref="AK1666:AK1668"/>
    <mergeCell ref="AL1666:AL1668"/>
    <mergeCell ref="AK1669:AK1671"/>
    <mergeCell ref="AL1669:AL1671"/>
    <mergeCell ref="C1640:C1641"/>
    <mergeCell ref="M1640:M1641"/>
    <mergeCell ref="N1640:N1641"/>
    <mergeCell ref="O1640:O1641"/>
    <mergeCell ref="U1645:U1647"/>
    <mergeCell ref="V1645:V1647"/>
    <mergeCell ref="AF1645:AF1647"/>
    <mergeCell ref="AK1635:AK1637"/>
    <mergeCell ref="C1660:C1662"/>
    <mergeCell ref="M1660:M1662"/>
    <mergeCell ref="N1660:N1662"/>
    <mergeCell ref="O1660:O1662"/>
    <mergeCell ref="P1660:P1662"/>
    <mergeCell ref="R1660:R1662"/>
    <mergeCell ref="N1648:N1650"/>
    <mergeCell ref="P1654:P1656"/>
    <mergeCell ref="R1654:R1656"/>
    <mergeCell ref="S1654:S1656"/>
    <mergeCell ref="C1669:C1671"/>
    <mergeCell ref="R1677:R1679"/>
    <mergeCell ref="S1677:S1679"/>
    <mergeCell ref="T1677:T1679"/>
    <mergeCell ref="U1677:U1679"/>
    <mergeCell ref="V1677:V1679"/>
    <mergeCell ref="W1677:W1679"/>
    <mergeCell ref="L1677:L1679"/>
    <mergeCell ref="M1677:M1679"/>
    <mergeCell ref="N1677:N1679"/>
    <mergeCell ref="AM1673:AM1676"/>
    <mergeCell ref="AN1673:AN1676"/>
    <mergeCell ref="AO1673:AO1676"/>
    <mergeCell ref="AF1673:AF1676"/>
    <mergeCell ref="AG1673:AG1676"/>
    <mergeCell ref="AI1673:AI1676"/>
    <mergeCell ref="AJ1673:AJ1676"/>
    <mergeCell ref="AK1673:AK1676"/>
    <mergeCell ref="AL1673:AL1676"/>
    <mergeCell ref="S1673:S1676"/>
    <mergeCell ref="T1673:T1676"/>
    <mergeCell ref="U1673:U1676"/>
    <mergeCell ref="V1673:V1676"/>
    <mergeCell ref="W1673:W1676"/>
    <mergeCell ref="I1677:I1679"/>
    <mergeCell ref="J1677:J1679"/>
    <mergeCell ref="K1677:K1679"/>
    <mergeCell ref="O1677:O1679"/>
    <mergeCell ref="P1677:P1679"/>
    <mergeCell ref="Q1677:Q1679"/>
    <mergeCell ref="AN1621:AN1671"/>
    <mergeCell ref="AO1621:AO1671"/>
    <mergeCell ref="AF1626:AF1628"/>
    <mergeCell ref="AI1626:AI1628"/>
    <mergeCell ref="AK1626:AK1628"/>
    <mergeCell ref="AL1626:AL1628"/>
    <mergeCell ref="AM1626:AM1628"/>
    <mergeCell ref="T1629:T1631"/>
    <mergeCell ref="U1629:U1631"/>
    <mergeCell ref="V1629:V1631"/>
    <mergeCell ref="P1635:P1637"/>
    <mergeCell ref="R1635:R1637"/>
    <mergeCell ref="R1632:R1634"/>
    <mergeCell ref="S1632:S1634"/>
    <mergeCell ref="T1632:T1634"/>
    <mergeCell ref="U1632:U1634"/>
    <mergeCell ref="AI1632:AI1634"/>
    <mergeCell ref="AK1632:AK1634"/>
    <mergeCell ref="N1635:N1637"/>
    <mergeCell ref="O1635:O1637"/>
    <mergeCell ref="AI1645:AI1647"/>
    <mergeCell ref="N1663:N1665"/>
    <mergeCell ref="O1663:O1665"/>
    <mergeCell ref="P1663:P1665"/>
    <mergeCell ref="R1663:R1665"/>
    <mergeCell ref="AK1645:AK1647"/>
    <mergeCell ref="AM1624:AM1625"/>
    <mergeCell ref="AL1621:AL1623"/>
    <mergeCell ref="AF1624:AF1625"/>
    <mergeCell ref="AI1624:AI1625"/>
    <mergeCell ref="AK1624:AK1625"/>
    <mergeCell ref="AL1624:AL1625"/>
    <mergeCell ref="K1673:K1676"/>
    <mergeCell ref="L1673:L1676"/>
    <mergeCell ref="V1657:V1659"/>
    <mergeCell ref="A1673:A1676"/>
    <mergeCell ref="B1673:B1676"/>
    <mergeCell ref="C1673:C1676"/>
    <mergeCell ref="D1673:D1676"/>
    <mergeCell ref="E1673:E1676"/>
    <mergeCell ref="F1673:F1676"/>
    <mergeCell ref="X1673:X1676"/>
    <mergeCell ref="M1673:M1676"/>
    <mergeCell ref="N1673:N1676"/>
    <mergeCell ref="O1673:O1676"/>
    <mergeCell ref="F1677:F1679"/>
    <mergeCell ref="G1677:G1679"/>
    <mergeCell ref="H1677:H1679"/>
    <mergeCell ref="A1677:A1679"/>
    <mergeCell ref="B1677:B1679"/>
    <mergeCell ref="C1677:C1679"/>
    <mergeCell ref="D1677:D1679"/>
    <mergeCell ref="E1677:E1679"/>
    <mergeCell ref="R1683:R1685"/>
    <mergeCell ref="S1683:S1685"/>
    <mergeCell ref="T1683:T1685"/>
    <mergeCell ref="U1683:U1685"/>
    <mergeCell ref="V1683:V1685"/>
    <mergeCell ref="W1683:W1688"/>
    <mergeCell ref="R1686:R1688"/>
    <mergeCell ref="S1686:S1688"/>
    <mergeCell ref="T1686:T1688"/>
    <mergeCell ref="U1686:U1688"/>
    <mergeCell ref="X1683:X1688"/>
    <mergeCell ref="V1686:V1688"/>
    <mergeCell ref="A1680:A1682"/>
    <mergeCell ref="B1680:B1682"/>
    <mergeCell ref="C1680:C1682"/>
    <mergeCell ref="D1680:D1682"/>
    <mergeCell ref="E1680:E1682"/>
    <mergeCell ref="F1680:F1682"/>
    <mergeCell ref="A1683:A1688"/>
    <mergeCell ref="B1683:B1688"/>
    <mergeCell ref="C1683:C1688"/>
    <mergeCell ref="D1683:D1688"/>
    <mergeCell ref="E1683:E1688"/>
    <mergeCell ref="F1683:F1688"/>
    <mergeCell ref="G1683:G1688"/>
    <mergeCell ref="H1683:H1688"/>
    <mergeCell ref="I1683:I1688"/>
    <mergeCell ref="J1683:J1688"/>
    <mergeCell ref="K1683:K1688"/>
    <mergeCell ref="L1683:L1688"/>
    <mergeCell ref="M1683:M1685"/>
    <mergeCell ref="N1683:N1685"/>
    <mergeCell ref="O1683:O1685"/>
    <mergeCell ref="P1683:P1685"/>
    <mergeCell ref="Q1683:Q1688"/>
    <mergeCell ref="M1686:M1688"/>
    <mergeCell ref="N1686:N1688"/>
    <mergeCell ref="O1686:O1688"/>
    <mergeCell ref="P1686:P1688"/>
    <mergeCell ref="P1673:P1676"/>
    <mergeCell ref="Q1673:Q1676"/>
    <mergeCell ref="R1673:R1676"/>
    <mergeCell ref="G1673:G1676"/>
    <mergeCell ref="H1673:H1676"/>
    <mergeCell ref="I1673:I1676"/>
    <mergeCell ref="J1673:J1676"/>
    <mergeCell ref="AT1741:AT1745"/>
    <mergeCell ref="AP1648:AP1650"/>
    <mergeCell ref="AP1651:AP1653"/>
    <mergeCell ref="AP1654:AP1656"/>
    <mergeCell ref="AP1657:AP1659"/>
    <mergeCell ref="AP1660:AP1662"/>
    <mergeCell ref="AP1663:AP1665"/>
    <mergeCell ref="AP1666:AP1668"/>
    <mergeCell ref="AP1669:AP1671"/>
    <mergeCell ref="AI1677:AI1679"/>
    <mergeCell ref="AJ1677:AJ1679"/>
    <mergeCell ref="AK1677:AK1679"/>
    <mergeCell ref="AL1677:AL1679"/>
    <mergeCell ref="AM1677:AM1679"/>
    <mergeCell ref="AN1677:AN1679"/>
    <mergeCell ref="U1663:U1665"/>
    <mergeCell ref="V1663:V1665"/>
    <mergeCell ref="AF1663:AF1665"/>
    <mergeCell ref="AI1663:AI1665"/>
    <mergeCell ref="AK1663:AK1665"/>
    <mergeCell ref="H1690:H1691"/>
    <mergeCell ref="I1690:I1691"/>
    <mergeCell ref="J1690:J1691"/>
    <mergeCell ref="K1690:K1691"/>
    <mergeCell ref="L1690:L1691"/>
    <mergeCell ref="A1690:A1691"/>
    <mergeCell ref="B1690:B1691"/>
    <mergeCell ref="C1690:C1691"/>
    <mergeCell ref="D1690:D1691"/>
    <mergeCell ref="E1690:E1691"/>
    <mergeCell ref="F1690:F1691"/>
    <mergeCell ref="O1690:O1691"/>
    <mergeCell ref="P1690:P1691"/>
    <mergeCell ref="Q1690:Q1691"/>
    <mergeCell ref="N1690:N1691"/>
    <mergeCell ref="D1696:D1719"/>
    <mergeCell ref="Y1696:Y1697"/>
    <mergeCell ref="AC1696:AC1697"/>
    <mergeCell ref="AG1696:AG1719"/>
    <mergeCell ref="AI1696:AI1705"/>
    <mergeCell ref="AJ1696:AJ1711"/>
    <mergeCell ref="AC1706:AC1707"/>
    <mergeCell ref="AI1706:AI1711"/>
    <mergeCell ref="Y1708:Y1709"/>
    <mergeCell ref="AC1708:AC1709"/>
    <mergeCell ref="AI1722:AI1723"/>
    <mergeCell ref="AJ1722:AJ1725"/>
    <mergeCell ref="AE1712:AE1721"/>
    <mergeCell ref="V1712:V1721"/>
    <mergeCell ref="W1696:W1721"/>
    <mergeCell ref="R1712:R1721"/>
    <mergeCell ref="O1712:O1721"/>
    <mergeCell ref="A1692:A1695"/>
    <mergeCell ref="B1692:B1695"/>
    <mergeCell ref="C1692:C1695"/>
    <mergeCell ref="D1692:D1695"/>
    <mergeCell ref="E1692:E1695"/>
    <mergeCell ref="E1696:E1719"/>
    <mergeCell ref="F1696:F1719"/>
    <mergeCell ref="S1696:S1711"/>
    <mergeCell ref="T1696:T1705"/>
    <mergeCell ref="U1696:U1705"/>
    <mergeCell ref="V1696:V1705"/>
    <mergeCell ref="X1696:X1719"/>
    <mergeCell ref="AP1640:AP1641"/>
    <mergeCell ref="AR1657:AR1659"/>
    <mergeCell ref="AF1722:AF1723"/>
    <mergeCell ref="AG1722:AG1725"/>
    <mergeCell ref="AQ1690:AQ1691"/>
    <mergeCell ref="AK1690:AK1691"/>
    <mergeCell ref="AL1690:AL1691"/>
    <mergeCell ref="AF1690:AF1691"/>
    <mergeCell ref="AG1690:AG1691"/>
    <mergeCell ref="AI1690:AI1691"/>
    <mergeCell ref="AJ1690:AJ1691"/>
    <mergeCell ref="AM1692:AM1695"/>
    <mergeCell ref="AN1692:AN1695"/>
    <mergeCell ref="AO1692:AO1695"/>
    <mergeCell ref="AG1677:AG1679"/>
    <mergeCell ref="P1696:P1711"/>
    <mergeCell ref="N1706:N1711"/>
    <mergeCell ref="AO1738:AO1740"/>
    <mergeCell ref="Y1698:Y1699"/>
    <mergeCell ref="AC1698:AC1699"/>
    <mergeCell ref="Y1700:Y1701"/>
    <mergeCell ref="AC1700:AC1701"/>
    <mergeCell ref="Y1702:Y1703"/>
    <mergeCell ref="AC1702:AC1703"/>
    <mergeCell ref="Y1704:Y1705"/>
    <mergeCell ref="AC1704:AC1705"/>
    <mergeCell ref="Y1706:Y1707"/>
    <mergeCell ref="AK1696:AK1705"/>
    <mergeCell ref="AL1696:AL1711"/>
    <mergeCell ref="AM1696:AM1711"/>
    <mergeCell ref="AN1696:AN1719"/>
    <mergeCell ref="AO1696:AO1719"/>
    <mergeCell ref="AF1712:AF1719"/>
    <mergeCell ref="AI1712:AI1719"/>
    <mergeCell ref="AJ1712:AJ1719"/>
    <mergeCell ref="AK1712:AK1719"/>
    <mergeCell ref="AL1712:AL1719"/>
    <mergeCell ref="AM1712:AM1719"/>
    <mergeCell ref="Y1710:Y1711"/>
    <mergeCell ref="AC1710:AC1711"/>
    <mergeCell ref="AM1722:AM1725"/>
    <mergeCell ref="AN1722:AN1725"/>
    <mergeCell ref="T1706:T1711"/>
    <mergeCell ref="R1696:R1711"/>
    <mergeCell ref="O1722:O1723"/>
    <mergeCell ref="P1722:P1723"/>
    <mergeCell ref="P1712:P1719"/>
    <mergeCell ref="N1724:N1725"/>
    <mergeCell ref="O1724:O1725"/>
    <mergeCell ref="P1724:P1725"/>
    <mergeCell ref="N1696:N1705"/>
    <mergeCell ref="O1696:O1705"/>
    <mergeCell ref="R1690:R1691"/>
    <mergeCell ref="O1692:O1695"/>
    <mergeCell ref="P1692:P1695"/>
    <mergeCell ref="U1690:U1691"/>
    <mergeCell ref="V1690:V1691"/>
    <mergeCell ref="W1690:W1691"/>
    <mergeCell ref="P1648:P1650"/>
    <mergeCell ref="S1663:S1665"/>
    <mergeCell ref="AM1669:AM1671"/>
    <mergeCell ref="AM1666:AM1668"/>
    <mergeCell ref="T1669:T1671"/>
    <mergeCell ref="U1669:U1671"/>
    <mergeCell ref="AR1741:AR1745"/>
    <mergeCell ref="AS1741:AS1745"/>
    <mergeCell ref="AO1722:AO1725"/>
    <mergeCell ref="AO1726:AO1732"/>
    <mergeCell ref="AM1690:AM1691"/>
    <mergeCell ref="AN1690:AN1691"/>
    <mergeCell ref="AO1690:AO1691"/>
    <mergeCell ref="AK1722:AK1723"/>
    <mergeCell ref="AL1722:AL1723"/>
    <mergeCell ref="AF1724:AF1725"/>
    <mergeCell ref="AI1724:AI1725"/>
    <mergeCell ref="AK1724:AK1725"/>
    <mergeCell ref="AL1724:AL1725"/>
    <mergeCell ref="AK1706:AK1711"/>
    <mergeCell ref="AF1696:AF1711"/>
    <mergeCell ref="G1722:G1725"/>
    <mergeCell ref="H1722:H1725"/>
    <mergeCell ref="I1722:I1725"/>
    <mergeCell ref="J1722:J1723"/>
    <mergeCell ref="K1722:K1725"/>
    <mergeCell ref="L1722:L1725"/>
    <mergeCell ref="S1680:S1682"/>
    <mergeCell ref="T1680:T1682"/>
    <mergeCell ref="U1680:U1682"/>
    <mergeCell ref="V1680:V1682"/>
    <mergeCell ref="W1680:W1682"/>
    <mergeCell ref="X1680:X1682"/>
    <mergeCell ref="M1680:M1682"/>
    <mergeCell ref="N1680:N1682"/>
    <mergeCell ref="O1680:O1682"/>
    <mergeCell ref="P1680:P1682"/>
    <mergeCell ref="Q1680:Q1682"/>
    <mergeCell ref="AM1680:AM1682"/>
    <mergeCell ref="AN1680:AN1682"/>
    <mergeCell ref="AO1680:AO1682"/>
    <mergeCell ref="R1680:R1682"/>
    <mergeCell ref="G1680:G1682"/>
    <mergeCell ref="H1680:H1682"/>
    <mergeCell ref="I1680:I1682"/>
    <mergeCell ref="J1680:J1682"/>
    <mergeCell ref="K1680:K1682"/>
    <mergeCell ref="L1680:L1682"/>
    <mergeCell ref="S1690:S1691"/>
    <mergeCell ref="T1690:T1691"/>
    <mergeCell ref="G1692:G1695"/>
    <mergeCell ref="H1692:H1695"/>
    <mergeCell ref="I1692:I1695"/>
    <mergeCell ref="J1692:J1695"/>
    <mergeCell ref="K1692:K1695"/>
    <mergeCell ref="L1692:L1695"/>
    <mergeCell ref="M1696:M1711"/>
    <mergeCell ref="J1724:J1725"/>
    <mergeCell ref="M1724:M1725"/>
    <mergeCell ref="G1690:G1691"/>
    <mergeCell ref="X1690:X1691"/>
    <mergeCell ref="AG1692:AG1695"/>
    <mergeCell ref="AI1692:AI1695"/>
    <mergeCell ref="AJ1692:AJ1695"/>
    <mergeCell ref="AK1692:AK1695"/>
    <mergeCell ref="AO1683:AO1688"/>
    <mergeCell ref="AF1683:AF1685"/>
    <mergeCell ref="AG1683:AG1688"/>
    <mergeCell ref="AI1683:AI1685"/>
    <mergeCell ref="AJ1683:AJ1685"/>
    <mergeCell ref="AK1683:AK1685"/>
    <mergeCell ref="AF1686:AF1688"/>
    <mergeCell ref="AI1686:AI1688"/>
    <mergeCell ref="AJ1686:AJ1688"/>
    <mergeCell ref="AK1686:AK1688"/>
    <mergeCell ref="AL1686:AL1688"/>
    <mergeCell ref="AL1683:AL1685"/>
    <mergeCell ref="AM1683:AM1688"/>
    <mergeCell ref="AN1683:AN1688"/>
    <mergeCell ref="AF1680:AF1682"/>
    <mergeCell ref="AG1680:AG1682"/>
    <mergeCell ref="AI1680:AI1682"/>
    <mergeCell ref="AJ1680:AJ1682"/>
    <mergeCell ref="AK1680:AK1682"/>
    <mergeCell ref="AL1680:AL1682"/>
    <mergeCell ref="V1632:V1634"/>
    <mergeCell ref="AF1632:AF1634"/>
    <mergeCell ref="AF1638:AF1639"/>
    <mergeCell ref="AI1638:AI1639"/>
    <mergeCell ref="AK1638:AK1639"/>
    <mergeCell ref="AM1638:AM1639"/>
    <mergeCell ref="AM1651:AM1653"/>
    <mergeCell ref="AM1648:AM1650"/>
    <mergeCell ref="AM1642:AM1644"/>
    <mergeCell ref="AL1657:AL1659"/>
    <mergeCell ref="AL1632:AL1634"/>
    <mergeCell ref="AM1632:AM1634"/>
    <mergeCell ref="AO1677:AO1679"/>
    <mergeCell ref="X1677:X1679"/>
    <mergeCell ref="AF1677:AF1679"/>
    <mergeCell ref="AF1635:AF1637"/>
    <mergeCell ref="AI1635:AI1637"/>
    <mergeCell ref="AF1629:AF1631"/>
    <mergeCell ref="AI1629:AI1631"/>
    <mergeCell ref="AK1629:AK1631"/>
    <mergeCell ref="AL1629:AL1631"/>
    <mergeCell ref="AF1657:AF1659"/>
    <mergeCell ref="AI1657:AI1659"/>
    <mergeCell ref="AK1657:AK1659"/>
    <mergeCell ref="AL1648:AL1650"/>
    <mergeCell ref="AM1663:AM1665"/>
    <mergeCell ref="AF1648:AF1650"/>
    <mergeCell ref="AI1648:AI1650"/>
    <mergeCell ref="AK1648:AK1650"/>
    <mergeCell ref="W1621:W1671"/>
    <mergeCell ref="X1621:X1671"/>
    <mergeCell ref="AL1645:AL1647"/>
    <mergeCell ref="AM1645:AM1647"/>
    <mergeCell ref="AL1638:AL1639"/>
    <mergeCell ref="AM1635:AM1637"/>
    <mergeCell ref="AF1621:AF1623"/>
    <mergeCell ref="AG1621:AG1671"/>
    <mergeCell ref="AI1621:AI1623"/>
    <mergeCell ref="AJ1621:AJ1671"/>
    <mergeCell ref="AK1621:AK1623"/>
    <mergeCell ref="AM1621:AM1623"/>
    <mergeCell ref="AF1654:AF1656"/>
    <mergeCell ref="AI1654:AI1656"/>
    <mergeCell ref="AK1654:AK1656"/>
    <mergeCell ref="AP960:AP964"/>
    <mergeCell ref="AP33:AP36"/>
    <mergeCell ref="A1741:A1746"/>
    <mergeCell ref="B1741:B1746"/>
    <mergeCell ref="C1741:C1746"/>
    <mergeCell ref="D1741:D1746"/>
    <mergeCell ref="E1741:E1746"/>
    <mergeCell ref="N1741:N1746"/>
    <mergeCell ref="M1741:M1746"/>
    <mergeCell ref="O1741:O1746"/>
    <mergeCell ref="AF1741:AF1745"/>
    <mergeCell ref="AG1741:AG1745"/>
    <mergeCell ref="AH1741:AH1745"/>
    <mergeCell ref="AI1741:AI1745"/>
    <mergeCell ref="AJ1741:AJ1745"/>
    <mergeCell ref="AK1741:AK1745"/>
    <mergeCell ref="AL1741:AL1745"/>
    <mergeCell ref="AM1741:AM1745"/>
    <mergeCell ref="AN1741:AN1745"/>
    <mergeCell ref="AO1741:AO1745"/>
    <mergeCell ref="AP1741:AP1745"/>
    <mergeCell ref="AP1624:AP1625"/>
    <mergeCell ref="Q1722:Q1725"/>
    <mergeCell ref="R1722:R1723"/>
    <mergeCell ref="R1724:R1725"/>
    <mergeCell ref="W1722:W1725"/>
    <mergeCell ref="X1722:X1725"/>
    <mergeCell ref="S1724:S1725"/>
    <mergeCell ref="T1724:T1725"/>
    <mergeCell ref="U1724:U1725"/>
    <mergeCell ref="V1724:V1725"/>
    <mergeCell ref="S1712:S1719"/>
    <mergeCell ref="T1712:T1719"/>
    <mergeCell ref="U1712:U1719"/>
    <mergeCell ref="U1706:U1711"/>
    <mergeCell ref="V1706:V1711"/>
    <mergeCell ref="S1722:S1723"/>
    <mergeCell ref="T1722:T1723"/>
    <mergeCell ref="U1722:U1723"/>
    <mergeCell ref="V1722:V1723"/>
    <mergeCell ref="Q1696:Q1719"/>
    <mergeCell ref="O1706:O1711"/>
    <mergeCell ref="G1696:G1719"/>
    <mergeCell ref="H1696:H1719"/>
    <mergeCell ref="I1696:I1719"/>
    <mergeCell ref="J1696:J1719"/>
    <mergeCell ref="K1696:K1719"/>
    <mergeCell ref="R1692:R1695"/>
    <mergeCell ref="S1692:S1695"/>
    <mergeCell ref="AM1640:AM1641"/>
    <mergeCell ref="AM1660:AM1662"/>
    <mergeCell ref="AM1657:AM1659"/>
    <mergeCell ref="M1690:M1691"/>
    <mergeCell ref="A1696:A1721"/>
    <mergeCell ref="N1712:N1721"/>
    <mergeCell ref="M1712:M1721"/>
    <mergeCell ref="AL1692:AL1695"/>
    <mergeCell ref="A1722:A1725"/>
    <mergeCell ref="B1722:B1725"/>
    <mergeCell ref="C1722:C1725"/>
    <mergeCell ref="D1722:D1725"/>
    <mergeCell ref="E1722:E1725"/>
    <mergeCell ref="F1722:F1725"/>
    <mergeCell ref="A43:A44"/>
    <mergeCell ref="M43:M44"/>
    <mergeCell ref="AE43:AE44"/>
    <mergeCell ref="AF43:AF44"/>
    <mergeCell ref="AG43:AG44"/>
    <mergeCell ref="A1781:A1782"/>
    <mergeCell ref="M1781:M1782"/>
    <mergeCell ref="N1781:N1782"/>
    <mergeCell ref="O1781:O1782"/>
    <mergeCell ref="M1360:M1361"/>
    <mergeCell ref="N1360:N1361"/>
    <mergeCell ref="O1360:O1361"/>
    <mergeCell ref="P1360:P1361"/>
    <mergeCell ref="A1360:A1363"/>
    <mergeCell ref="AE1360:AE1361"/>
    <mergeCell ref="M1362:M1363"/>
    <mergeCell ref="N1362:N1363"/>
    <mergeCell ref="A1226:A1232"/>
    <mergeCell ref="D1226:D1232"/>
    <mergeCell ref="E1226:E1232"/>
    <mergeCell ref="G1226:G1232"/>
    <mergeCell ref="N1344:N1347"/>
    <mergeCell ref="M1344:M1347"/>
    <mergeCell ref="N1336:N1339"/>
    <mergeCell ref="N1340:N1343"/>
    <mergeCell ref="M1336:M1343"/>
    <mergeCell ref="AE1336:AE1339"/>
    <mergeCell ref="AE1340:AE1343"/>
    <mergeCell ref="AE1344:AE1347"/>
    <mergeCell ref="AF1336:AF1343"/>
    <mergeCell ref="AF1344:AF1347"/>
    <mergeCell ref="M1732:M1733"/>
    <mergeCell ref="N1732:N1733"/>
    <mergeCell ref="AE1732:AE1733"/>
    <mergeCell ref="A1732:A1737"/>
    <mergeCell ref="O1732:O1733"/>
    <mergeCell ref="A1756:A1759"/>
    <mergeCell ref="D1756:D1759"/>
    <mergeCell ref="W1756:W1758"/>
    <mergeCell ref="A74:A75"/>
    <mergeCell ref="M74:M75"/>
    <mergeCell ref="N74:N75"/>
    <mergeCell ref="AE74:AE75"/>
    <mergeCell ref="AE1372:AE1377"/>
    <mergeCell ref="AE1380:AE1387"/>
    <mergeCell ref="AE1388:AE1393"/>
    <mergeCell ref="V1388:V1393"/>
    <mergeCell ref="AF1372:AF1387"/>
    <mergeCell ref="AF1388:AF1393"/>
    <mergeCell ref="Q1692:Q1695"/>
    <mergeCell ref="M1692:M1695"/>
    <mergeCell ref="N1692:N1695"/>
    <mergeCell ref="X1692:X1695"/>
    <mergeCell ref="AF1692:AF1695"/>
    <mergeCell ref="T1692:T1695"/>
    <mergeCell ref="U1692:U1695"/>
    <mergeCell ref="V1692:V1695"/>
    <mergeCell ref="W1692:W1695"/>
    <mergeCell ref="L1696:L1719"/>
    <mergeCell ref="B1696:B1719"/>
    <mergeCell ref="C1696:C1719"/>
    <mergeCell ref="M1722:M1723"/>
    <mergeCell ref="N1722:N1723"/>
    <mergeCell ref="F1692:F1695"/>
    <mergeCell ref="O681:O688"/>
  </mergeCells>
  <hyperlinks>
    <hyperlink ref="AD9" r:id="rId1" display="http://consorciofia.info/cdr/ver_fuentes_w.php?NumCDR=001&amp;codEntidad=19999"/>
    <hyperlink ref="AD10" r:id="rId2" display="http://consorciofia.info/cdr/ver_fuentes_w.php?NumCDR=001&amp;codEntidad=19999"/>
    <hyperlink ref="AD11" r:id="rId3" display="http://consorciofia.info/cdr/ver_fuentes_w.php?NumCDR=001&amp;codEntidad=19999"/>
    <hyperlink ref="AD12" r:id="rId4" display="http://consorciofia.info/cdr/ver_fuentes_w.php?NumCDR=174&amp;codEntidad=19999"/>
    <hyperlink ref="AD13" r:id="rId5" display="http://consorciofia.info/cdr/ver_fuentes_w.php?NumCDR=174&amp;codEntidad=19999"/>
    <hyperlink ref="AD15" r:id="rId6" display="http://consorciofia.info/cdr/ver_fuentes_w.php?NumCDR=002&amp;codEntidad=19999"/>
    <hyperlink ref="AD16" r:id="rId7" display="http://consorciofia.info/cdr/ver_fuentes_w.php?NumCDR=187&amp;codEntidad=19999"/>
    <hyperlink ref="AD4" r:id="rId8" display="http://consorciofia.info/cdr/ver_fuentes_w.php?NumCDR=029&amp;codEntidad=19999"/>
    <hyperlink ref="AD5" r:id="rId9" display="http://consorciofia.info/cdr/ver_fuentes_w.php?NumCDR=029&amp;codEntidad=19999"/>
    <hyperlink ref="AD6" r:id="rId10" display="http://consorciofia.info/cdr/ver_fuentes_w.php?NumCDR=029&amp;codEntidad=19999"/>
    <hyperlink ref="AD7" r:id="rId11" display="http://consorciofia.info/cdr/ver_fuentes_w.php?NumCDR=190&amp;codEntidad=19999"/>
    <hyperlink ref="AD8" r:id="rId12" display="http://consorciofia.info/cdr/ver_fuentes_w.php?NumCDR=190&amp;codEntidad=19999"/>
    <hyperlink ref="AD22" r:id="rId13" display="http://consorciofia.info/cdr/ver_fuentes_w.php?NumCDR=005&amp;codEntidad=19999"/>
    <hyperlink ref="AD23" r:id="rId14" display="http://consorciofia.info/cdr/ver_fuentes_w.php?NumCDR=005&amp;codEntidad=19999"/>
    <hyperlink ref="AD24" r:id="rId15" display="http://consorciofia.info/cdr/ver_fuentes_w.php?NumCDR=193&amp;codEntidad=19999"/>
    <hyperlink ref="AD25" r:id="rId16" display="http://consorciofia.info/cdr/ver_fuentes_w.php?NumCDR=008&amp;codEntidad=19999"/>
    <hyperlink ref="AD26" r:id="rId17" display="http://consorciofia.info/cdr/ver_fuentes_w.php?NumCDR=008&amp;codEntidad=19999"/>
    <hyperlink ref="AD27" r:id="rId18" display="http://consorciofia.info/cdr/ver_fuentes_w.php?NumCDR=008&amp;codEntidad=19999"/>
    <hyperlink ref="AD28" r:id="rId19" display="http://consorciofia.info/cdr/ver_fuentes_w.php?NumCDR=164&amp;codEntidad=19999"/>
    <hyperlink ref="AD45" r:id="rId20" display="http://consorciofia.info/cdr/ver_fuentes_w.php?NumCDR=014&amp;codEntidad=19999"/>
    <hyperlink ref="AD46" r:id="rId21" display="http://consorciofia.info/cdr/ver_fuentes_w.php?NumCDR=014&amp;codEntidad=19999"/>
    <hyperlink ref="AD47" r:id="rId22" display="http://consorciofia.info/cdr/ver_fuentes_w.php?NumCDR=014&amp;codEntidad=19999"/>
    <hyperlink ref="AD48" r:id="rId23" display="http://consorciofia.info/cdr/ver_fuentes_w.php?NumCDR=014&amp;codEntidad=19999"/>
    <hyperlink ref="AD53" r:id="rId24" display="http://consorciofia.info/cdr/ver_fuentes_w.php?NumCDR=019&amp;codEntidad=19999"/>
    <hyperlink ref="AD54" r:id="rId25" display="http://consorciofia.info/cdr/ver_fuentes_w.php?NumCDR=019&amp;codEntidad=19999"/>
    <hyperlink ref="AD14" r:id="rId26" display="http://consorciofia.info/cdr/ver_fuentes_w.php?NumCDR=002&amp;codEntidad=19999"/>
    <hyperlink ref="AD43" r:id="rId27" display="http://consorciofia.info/cdr/ver_fuentes_w.php?NumCDR=012&amp;codEntidad=19999"/>
    <hyperlink ref="AD50" r:id="rId28" display="http://consorciofia.info/cdr/ver_fuentes_w.php?NumCDR=017&amp;codEntidad=19999"/>
    <hyperlink ref="AD55" r:id="rId29" display="http://consorciofia.info/cdr/ver_fuentes_w.php?NumCDR=020&amp;codEntidad=19999"/>
    <hyperlink ref="AD56" r:id="rId30" display="http://consorciofia.info/cdr/ver_fuentes_w.php?NumCDR=020&amp;codEntidad=19999"/>
    <hyperlink ref="AD57" r:id="rId31" display="http://consorciofia.info/cdr/ver_fuentes_w.php?NumCDR=020&amp;codEntidad=19999"/>
    <hyperlink ref="AD71" r:id="rId32" display="http://consorciofia.info/cdr/ver_fuentes_w.php?NumCDR=013&amp;codEntidad=19999"/>
    <hyperlink ref="AD72" r:id="rId33" display="http://consorciofia.info/cdr/ver_fuentes_w.php?NumCDR=013&amp;codEntidad=19999"/>
    <hyperlink ref="AD3" r:id="rId34" display="http://consorciofia.info/cdr/ver_fuentes_w.php?NumCDR=029&amp;codEntidad=19999"/>
    <hyperlink ref="AD76" r:id="rId35" display="http://consorciofia.info/cdr/ver_fuentes_w.php?NumCDR=021&amp;codEntidad=19999"/>
    <hyperlink ref="AD77" r:id="rId36" display="http://consorciofia.info/cdr/ver_fuentes_w.php?NumCDR=021&amp;codEntidad=19999"/>
    <hyperlink ref="AD78" r:id="rId37" display="http://consorciofia.info/cdr/ver_fuentes_w.php?NumCDR=021&amp;codEntidad=19999"/>
    <hyperlink ref="AD79" r:id="rId38" display="http://consorciofia.info/cdr/ver_fuentes_w.php?NumCDR=224&amp;codEntidad=19999"/>
    <hyperlink ref="AD80" r:id="rId39" display="http://consorciofia.info/cdr/ver_fuentes_w.php?NumCDR=224&amp;codEntidad=19999"/>
    <hyperlink ref="AD81" r:id="rId40" display="http://consorciofia.info/cdr/ver_fuentes_w.php?NumCDR=025&amp;codEntidad=19999"/>
    <hyperlink ref="AD82" r:id="rId41" display="http://consorciofia.info/cdr/ver_fuentes_w.php?NumCDR=025&amp;codEntidad=19999"/>
    <hyperlink ref="AD74" r:id="rId42" display="http://consorciofia.info/cdr/ver_fuentes_w.php?NumCDR=016&amp;codEntidad=19999"/>
    <hyperlink ref="AD100" r:id="rId43" display="http://consorciofia.info/cdr/ver_fuentes_w.php?NumCDR=036&amp;codEntidad=19999"/>
    <hyperlink ref="AD95" r:id="rId44" display="http://consorciofia.info/cdr/ver_fuentes_w.php?NumCDR=037&amp;codEntidad=19999"/>
    <hyperlink ref="AD96" r:id="rId45" display="http://consorciofia.info/cdr/ver_fuentes_w.php?NumCDR=037&amp;codEntidad=19999"/>
    <hyperlink ref="AD97" r:id="rId46" display="http://consorciofia.info/cdr/ver_fuentes_w.php?NumCDR=037&amp;codEntidad=19999"/>
    <hyperlink ref="AD98" r:id="rId47" display="http://consorciofia.info/cdr/ver_fuentes_w.php?NumCDR=037&amp;codEntidad=19999"/>
    <hyperlink ref="AD99" r:id="rId48" display="http://consorciofia.info/cdr/ver_fuentes_w.php?NumCDR=037&amp;codEntidad=19999"/>
    <hyperlink ref="AD101" r:id="rId49" display="http://consorciofia.info/cdr/ver_fuentes_w.php?NumCDR=036&amp;codEntidad=19999"/>
    <hyperlink ref="AD102" r:id="rId50" display="http://consorciofia.info/cdr/ver_fuentes_w.php?NumCDR=036&amp;codEntidad=19999"/>
    <hyperlink ref="AD103" r:id="rId51" display="http://consorciofia.info/cdr/ver_fuentes_w.php?NumCDR=036&amp;codEntidad=19999"/>
    <hyperlink ref="AD104" r:id="rId52" display="http://consorciofia.info/cdr/ver_fuentes_w.php?NumCDR=036&amp;codEntidad=19999"/>
    <hyperlink ref="AD105" r:id="rId53" display="http://consorciofia.info/cdr/ver_fuentes_w.php?NumCDR=165&amp;codEntidad=19999"/>
    <hyperlink ref="AD106" r:id="rId54" display="http://consorciofia.info/cdr/ver_fuentes_w.php?NumCDR=165&amp;codEntidad=19999"/>
    <hyperlink ref="AD107" r:id="rId55" display="http://consorciofia.info/cdr/ver_fuentes_w.php?NumCDR=038&amp;codEntidad=19999"/>
    <hyperlink ref="AD108" r:id="rId56" display="http://consorciofia.info/cdr/ver_fuentes_w.php?NumCDR=038&amp;codEntidad=19999"/>
    <hyperlink ref="AD109" r:id="rId57" display="http://consorciofia.info/cdr/ver_fuentes_w.php?NumCDR=038&amp;codEntidad=19999"/>
    <hyperlink ref="AD110" r:id="rId58" display="http://consorciofia.info/cdr/ver_fuentes_w.php?NumCDR=038&amp;codEntidad=19999"/>
    <hyperlink ref="AD111" r:id="rId59" display="http://consorciofia.info/cdr/ver_fuentes_w.php?NumCDR=038&amp;codEntidad=19999"/>
    <hyperlink ref="AD112" r:id="rId60" display="http://consorciofia.info/cdr/ver_fuentes_w.php?NumCDR=038&amp;codEntidad=19999"/>
    <hyperlink ref="AD113" r:id="rId61" display="http://consorciofia.info/cdr/ver_fuentes_w.php?NumCDR=038&amp;codEntidad=19999"/>
    <hyperlink ref="AD114" r:id="rId62" display="http://consorciofia.info/cdr/ver_fuentes_w.php?NumCDR=038&amp;codEntidad=19999"/>
    <hyperlink ref="AD115" r:id="rId63" display="http://consorciofia.info/cdr/ver_fuentes_w.php?NumCDR=040&amp;codEntidad=19999"/>
    <hyperlink ref="AD116" r:id="rId64" display="http://consorciofia.info/cdr/ver_fuentes_w.php?NumCDR=040&amp;codEntidad=19999"/>
    <hyperlink ref="AD117" r:id="rId65" display="http://consorciofia.info/cdr/ver_fuentes_w.php?NumCDR=040&amp;codEntidad=19999"/>
    <hyperlink ref="AD118" r:id="rId66" display="http://consorciofia.info/cdr/ver_fuentes_w.php?NumCDR=040&amp;codEntidad=19999"/>
    <hyperlink ref="AD119" r:id="rId67" display="http://consorciofia.info/cdr/ver_fuentes_w.php?NumCDR=158&amp;codEntidad=19999"/>
    <hyperlink ref="AD160" r:id="rId68" display="http://consorciofia.info/cdr/ver_fuentes_w.php?NumCDR=049&amp;codEntidad=19999"/>
    <hyperlink ref="AD161" r:id="rId69" display="http://consorciofia.info/cdr/ver_fuentes_w.php?NumCDR=049&amp;codEntidad=19999"/>
    <hyperlink ref="AD162" r:id="rId70" display="http://consorciofia.info/cdr/ver_fuentes_w.php?NumCDR=049&amp;codEntidad=19999"/>
    <hyperlink ref="AD163" r:id="rId71" display="http://consorciofia.info/cdr/ver_fuentes_w.php?NumCDR=049&amp;codEntidad=19999"/>
    <hyperlink ref="AD164" r:id="rId72" display="http://consorciofia.info/cdr/ver_fuentes_w.php?NumCDR=140&amp;codEntidad=19999"/>
    <hyperlink ref="AD166" r:id="rId73" display="http://consorciofia.info/cdr/ver_fuentes_w.php?NumCDR=051&amp;codEntidad=19999"/>
    <hyperlink ref="AD167" r:id="rId74" display="http://consorciofia.info/cdr/ver_fuentes_w.php?NumCDR=051&amp;codEntidad=19999"/>
    <hyperlink ref="AD168" r:id="rId75" display="http://consorciofia.info/cdr/ver_fuentes_w.php?NumCDR=051&amp;codEntidad=19999"/>
    <hyperlink ref="AD169" r:id="rId76" display="http://consorciofia.info/cdr/ver_fuentes_w.php?NumCDR=051&amp;codEntidad=19999"/>
    <hyperlink ref="AD170" r:id="rId77" display="http://consorciofia.info/cdr/ver_fuentes_w.php?NumCDR=051&amp;codEntidad=19999"/>
    <hyperlink ref="AD171" r:id="rId78" display="http://consorciofia.info/cdr/ver_fuentes_w.php?NumCDR=051&amp;codEntidad=19999"/>
    <hyperlink ref="AD172" r:id="rId79" display="http://consorciofia.info/cdr/ver_fuentes_w.php?NumCDR=051&amp;codEntidad=19999"/>
    <hyperlink ref="AD173" r:id="rId80" display="http://consorciofia.info/cdr/ver_fuentes_w.php?NumCDR=207&amp;codEntidad=19999"/>
    <hyperlink ref="AD174" r:id="rId81" display="http://consorciofia.info/cdr/ver_fuentes_w.php?NumCDR=208&amp;codEntidad=19999"/>
    <hyperlink ref="AD49" r:id="rId82" display="http://consorciofia.info/cdr/ver_fuentes_w.php?NumCDR=017&amp;codEntidad=19999"/>
    <hyperlink ref="AD52" r:id="rId83" display="http://consorciofia.info/cdr/ver_fuentes_w.php?NumCDR=160&amp;codEntidad=19999"/>
    <hyperlink ref="AD165" r:id="rId84" display="http://consorciofia.info/cdr/ver_fuentes_w.php?NumCDR=051&amp;codEntidad=19999"/>
    <hyperlink ref="M175:M182" r:id="rId85" display="http://consorciofia.info/cdr/ver_fuentes_w.php?NumCDR=033&amp;codEntidad=19999"/>
    <hyperlink ref="M183:M190" r:id="rId86" display="http://consorciofia.info/cdr/ver_fuentes_w.php?NumCDR=034&amp;codEntidad=19999"/>
    <hyperlink ref="M191:M198" r:id="rId87" display="http://consorciofia.info/cdr/ver_fuentes_w.php?NumCDR=035&amp;codEntidad=19999"/>
    <hyperlink ref="M199" r:id="rId88" display="http://consorciofia.info/cdr/ver_fuentes_w.php?NumCDR=192&amp;codEntidad=19999"/>
    <hyperlink ref="M200" r:id="rId89" display="http://consorciofia.info/cdr/ver_fuentes_w.php?NumCDR=194&amp;codEntidad=19999"/>
    <hyperlink ref="M120" r:id="rId90" display="http://consorciofia.info/cdr/ver_fuentes_w.php?NumCDR=039&amp;codEntidad=19999"/>
    <hyperlink ref="M124" r:id="rId91" display="http://consorciofia.info/cdr/ver_fuentes_w.php?NumCDR=041&amp;codEntidad=19999"/>
    <hyperlink ref="M127" r:id="rId92" display="http://consorciofia.info/cdr/ver_fuentes_w.php?NumCDR=042&amp;codEntidad=19999"/>
    <hyperlink ref="M131" r:id="rId93" display="http://consorciofia.info/cdr/ver_fuentes_w.php?NumCDR=043&amp;codEntidad=19999"/>
    <hyperlink ref="M135" r:id="rId94" display="http://consorciofia.info/cdr/ver_fuentes_w.php?NumCDR=044&amp;codEntidad=19999"/>
    <hyperlink ref="M139" r:id="rId95" display="http://consorciofia.info/cdr/ver_fuentes_w.php?NumCDR=050&amp;codEntidad=19999"/>
    <hyperlink ref="M201" r:id="rId96" display="http://consorciofia.info/cdr/ver_fuentes_w.php?NumCDR=065&amp;codEntidad=19999"/>
    <hyperlink ref="M203:M204" r:id="rId97" display="http://consorciofia.info/cdr/ver_fuentes_w.php?NumCDR=066&amp;codEntidad=19999"/>
    <hyperlink ref="M205:M206" r:id="rId98" display="http://consorciofia.info/cdr/ver_fuentes_w.php?NumCDR=067&amp;codEntidad=19999"/>
    <hyperlink ref="M207" r:id="rId99" display="http://consorciofia.info/cdr/ver_fuentes_w.php?NumCDR=163&amp;codEntidad=19999"/>
    <hyperlink ref="M208:M209" r:id="rId100" display="http://consorciofia.info/cdr/ver_fuentes_w.php?NumCDR=058&amp;codEntidad=19999"/>
    <hyperlink ref="M212:M213" r:id="rId101" display="http://consorciofia.info/cdr/ver_fuentes_w.php?NumCDR=059&amp;codEntidad=19999"/>
    <hyperlink ref="M216:M217" r:id="rId102" display="http://consorciofia.info/cdr/ver_fuentes_w.php?NumCDR=060&amp;codEntidad=19999"/>
    <hyperlink ref="M220:M221" r:id="rId103" display="http://consorciofia.info/cdr/ver_fuentes_w.php?NumCDR=061&amp;codEntidad=19999"/>
    <hyperlink ref="M224:M225" r:id="rId104" display="http://consorciofia.info/cdr/ver_fuentes_w.php?NumCDR=062&amp;codEntidad=19999"/>
    <hyperlink ref="M228:M230" r:id="rId105" display="http://consorciofia.info/cdr/ver_fuentes_w.php?NumCDR=063&amp;codEntidad=19999"/>
    <hyperlink ref="M232:M234" r:id="rId106" display="http://consorciofia.info/cdr/ver_fuentes_w.php?NumCDR=064&amp;codEntidad=19999"/>
    <hyperlink ref="M236" r:id="rId107" display="http://consorciofia.info/cdr/ver_fuentes_w.php?NumCDR=196&amp;codEntidad=19999"/>
    <hyperlink ref="M237" r:id="rId108" display="http://consorciofia.info/cdr/ver_fuentes_w.php?NumCDR=174&amp;codEntidad=19999"/>
    <hyperlink ref="M243:M245" r:id="rId109" display="http://consorciofia.info/cdr/ver_fuentes_w.php?NumCDR=053&amp;codEntidad=19999"/>
    <hyperlink ref="M240:M242" r:id="rId110" display="http://consorciofia.info/cdr/ver_fuentes_w.php?NumCDR=052&amp;codEntidad=19999"/>
    <hyperlink ref="M246:M248" r:id="rId111" display="http://consorciofia.info/cdr/ver_fuentes_w.php?NumCDR=054&amp;codEntidad=19999"/>
    <hyperlink ref="M249:M251" r:id="rId112" display="http://consorciofia.info/cdr/ver_fuentes_w.php?NumCDR=055&amp;codEntidad=19999"/>
    <hyperlink ref="M252:M254" r:id="rId113" display="http://consorciofia.info/cdr/ver_fuentes_w.php?NumCDR=056&amp;codEntidad=19999"/>
    <hyperlink ref="M255:M257" r:id="rId114" display="http://consorciofia.info/cdr/ver_fuentes_w.php?NumCDR=057&amp;codEntidad=19999"/>
    <hyperlink ref="M258" r:id="rId115" display="http://consorciofia.info/cdr/ver_fuentes_w.php?NumCDR=197&amp;codEntidad=19999"/>
    <hyperlink ref="M331:M336" r:id="rId116" display="http://consorciofia.info/cdr/ver_fuentes_w.php?NumCDR=081&amp;codEntidad=19999"/>
    <hyperlink ref="M337" r:id="rId117" display="http://consorciofia.info/cdr/ver_fuentes_w.php?NumCDR=174&amp;codEntidad=19999"/>
    <hyperlink ref="M301" r:id="rId118" display="http://consorciofia.info/cdr/ver_fuentes_w.php?NumCDR=200&amp;codEntidad=19999"/>
    <hyperlink ref="M298:M299" r:id="rId119" display="http://consorciofia.info/cdr/ver_fuentes_w.php?NumCDR=075&amp;codEntidad=19999"/>
    <hyperlink ref="M295:M296" r:id="rId120" display="http://consorciofia.info/cdr/ver_fuentes_w.php?NumCDR=074&amp;codEntidad=19999"/>
    <hyperlink ref="M289:M290" r:id="rId121" display="http://consorciofia.info/cdr/ver_fuentes_w.php?NumCDR=072&amp;codEntidad=19999"/>
    <hyperlink ref="M292:M293" r:id="rId122" display="http://consorciofia.info/cdr/ver_fuentes_w.php?NumCDR=073&amp;codEntidad=19999"/>
    <hyperlink ref="AD18" r:id="rId123" display="Pagos CDRs FIA\CDR 004 - Contrato 008-2010.jpg"/>
    <hyperlink ref="AD19" r:id="rId124" display="Pagos CDRs FIA\CDR 004 - Contrato 008-2010.jpg"/>
    <hyperlink ref="AD20" r:id="rId125" display="Pagos CDRs FIA\CDR 004 - Contrato 008-2010.jpg"/>
    <hyperlink ref="AD21" r:id="rId126" display="Pagos CDRs FIA\CDR 191 - Contrato 008-2010.jpg"/>
    <hyperlink ref="M18:M20" r:id="rId127" display="http://consorciofia.info/cdr/ver_fuentes_w.php?NumCDR=004&amp;codEntidad=19999"/>
    <hyperlink ref="M21" r:id="rId128" display="http://consorciofia.info/cdr/ver_fuentes_w.php?NumCDR=191&amp;codEntidad=19999"/>
    <hyperlink ref="AD17" r:id="rId129" display="Pagos CDRs FIA\CDR 003 - Contrato 007-2010.jpg"/>
    <hyperlink ref="M17" r:id="rId130" display="http://consorciofia.info/cdr/ver_fuentes_w.php?NumCDR=003&amp;codEntidad=19999"/>
    <hyperlink ref="M338" r:id="rId131" display="http://consorciofia.info/cdr/ver_fuentes_w.php?NumCDR=084&amp;codEntidad=19999"/>
    <hyperlink ref="M346" r:id="rId132" display="http://consorciofia.info/cdr/ver_fuentes_w.php?NumCDR=085&amp;codEntidad=19999"/>
    <hyperlink ref="M354" r:id="rId133" display="http://consorciofia.info/cdr/ver_fuentes_w.php?NumCDR=087&amp;codEntidad=19999"/>
    <hyperlink ref="M359" r:id="rId134" display="http://consorciofia.info/cdr/ver_fuentes_w.php?NumCDR=162&amp;codEntidad=19999"/>
    <hyperlink ref="M360:M361" r:id="rId135" display="http://consorciofia.info/cdr/ver_fuentes_w.php?NumCDR=088&amp;codEntidad=19999"/>
    <hyperlink ref="M401:M404" r:id="rId136" display="http://consorciofia.info/cdr/ver_fuentes_w.php?NumCDR=095&amp;codEntidad=19999"/>
    <hyperlink ref="M362:M363" r:id="rId137" display="http://consorciofia.info/cdr/ver_fuentes_w.php?NumCDR=089&amp;codEntidad=19999"/>
    <hyperlink ref="M407" r:id="rId138" display="http://consorciofia.info/cdr/ver_fuentes_w.php?NumCDR=097&amp;codEntidad=19999"/>
    <hyperlink ref="M411" r:id="rId139" display="http://consorciofia.info/cdr/ver_fuentes_w.php?NumCDR=201&amp;codEntidad=19999"/>
    <hyperlink ref="M405:M406" r:id="rId140" display="http://consorciofia.info/cdr/ver_fuentes_w.php?NumCDR=096&amp;codEntidad=19999"/>
    <hyperlink ref="M418" r:id="rId141" display="http://consorciofia.info/cdr/ver_fuentes_w.php?NumCDR=099&amp;codEntidad=19999"/>
    <hyperlink ref="M426" r:id="rId142" display="http://consorciofia.info/cdr/ver_fuentes_w.php?NumCDR=101&amp;codEntidad=19999"/>
    <hyperlink ref="M422" r:id="rId143" display="http://consorciofia.info/cdr/ver_fuentes_w.php?NumCDR=100&amp;codEntidad=19999"/>
    <hyperlink ref="M435" r:id="rId144" display="http://consorciofia.info/cdr/ver_fuentes_w.php?NumCDR=205&amp;codEntidad=19999"/>
    <hyperlink ref="M431:M434" r:id="rId145" display="http://consorciofia.info/cdr/ver_fuentes_w.php?NumCDR=102&amp;codEntidad=19999"/>
    <hyperlink ref="M436:M439" r:id="rId146" display="http://consorciofia.info/cdr/ver_fuentes_w.php?NumCDR=103&amp;codEntidad=19999"/>
    <hyperlink ref="M442" r:id="rId147" display="http://consorciofia.info/cdr/ver_fuentes_w.php?NumCDR=104&amp;codEntidad=19999"/>
    <hyperlink ref="M350:M353" r:id="rId148" display="http://consorciofia.info/cdr/ver_fuentes_w.php?NumCDR=086&amp;codEntidad=19999"/>
    <hyperlink ref="M503:M505" r:id="rId149" display="http://consorciofia.info/cdr/ver_fuentes_w.php?NumCDR=022&amp;codEntidad=19999"/>
    <hyperlink ref="M476:M483" r:id="rId150" display="http://consorciofia.info/cdr/ver_fuentes_w.php?NumCDR=110&amp;codEntidad=19999"/>
    <hyperlink ref="M491:M492" r:id="rId151" display="http://consorciofia.info/cdr/ver_fuentes_w.php?NumCDR=174&amp;codEntidad=19999"/>
    <hyperlink ref="M485:M490" r:id="rId152" display="http://consorciofia.info/cdr/ver_fuentes_w.php?NumCDR=111&amp;codEntidad=19999"/>
    <hyperlink ref="M484" r:id="rId153" display="http://consorciofia.info/cdr/ver_fuentes_w.php?NumCDR=202&amp;codEntidad=19999"/>
    <hyperlink ref="M471:M475" r:id="rId154" display="http://consorciofia.info/cdr/ver_fuentes_w.php?NumCDR=109&amp;codEntidad=19999"/>
    <hyperlink ref="M469:M470" r:id="rId155" display="http://consorciofia.info/cdr/ver_fuentes_w.php?NumCDR=203&amp;codEntidad=19999"/>
    <hyperlink ref="M461:M468" r:id="rId156" display="http://consorciofia.info/cdr/ver_fuentes_w.php?NumCDR=108&amp;codEntidad=19999"/>
    <hyperlink ref="M457:M460" r:id="rId157" display="http://consorciofia.info/cdr/ver_fuentes_w.php?NumCDR=107&amp;codEntidad=19999"/>
    <hyperlink ref="M455:M456" r:id="rId158" display="http://consorciofia.info/cdr/ver_fuentes_w.php?NumCDR=188&amp;codEntidad=19999"/>
    <hyperlink ref="M450:M454" r:id="rId159" display="http://consorciofia.info/cdr/ver_fuentes_w.php?NumCDR=106&amp;codEntidad=19999"/>
    <hyperlink ref="M446:M449" r:id="rId160" display="http://consorciofia.info/cdr/ver_fuentes_w.php?NumCDR=105&amp;codEntidad=19999"/>
    <hyperlink ref="M493:M500" r:id="rId161" display="http://consorciofia.info/cdr/ver_fuentes_w.php?NumCDR=112&amp;codEntidad=19999%7d"/>
    <hyperlink ref="M501:M502" r:id="rId162" display="http://consorciofia.info/cdr/ver_fuentes_w.php?NumCDR=174&amp;codEntidad=19999"/>
    <hyperlink ref="M369" r:id="rId163" display="http://consorciofia.info/cdr/ver_fuentes_w.php?NumCDR=090&amp;codEntidad=19999"/>
    <hyperlink ref="M365" r:id="rId164" display="http://consorciofia.info/cdr/ver_fuentes_w.php?NumCDR=113&amp;codEntidad=19999"/>
    <hyperlink ref="M381" r:id="rId165" display="http://consorciofia.info/cdr/ver_fuentes_w.php?NumCDR=167&amp;codEntidad=19999"/>
    <hyperlink ref="M375:M380" r:id="rId166" display="http://consorciofia.info/cdr/ver_fuentes_w.php?NumCDR=091&amp;codEntidad=19999"/>
    <hyperlink ref="M383:M384" r:id="rId167" display="http://consorciofia.info/cdr/ver_fuentes_w.php?NumCDR=174&amp;codEntidad=19999"/>
    <hyperlink ref="M385" r:id="rId168" display="http://consorciofia.info/cdr/ver_fuentes_w.php?NumCDR=092&amp;codEntidad=19999"/>
    <hyperlink ref="M394" r:id="rId169" display="http://consorciofia.info/cdr/ver_fuentes_w.php?NumCDR=094&amp;codEntidad=19999"/>
    <hyperlink ref="M389:M390" r:id="rId170" display="http://consorciofia.info/cdr/ver_fuentes_w.php?NumCDR=093&amp;codEntidad=19999"/>
    <hyperlink ref="M392:M393" r:id="rId171" display="http://consorciofia.info/cdr/ver_fuentes_w.php?NumCDR=174&amp;codEntidad=19999"/>
    <hyperlink ref="M400" r:id="rId172" display="http://consorciofia.info/cdr/ver_fuentes_w.php?NumCDR=204&amp;codEntidad=19999"/>
    <hyperlink ref="M143:M148" r:id="rId173" display="http://consorciofia.info/cdr/ver_fuentes_w.php?NumCDR=045&amp;codEntidad=19999"/>
    <hyperlink ref="M151:M155" r:id="rId174" display="http://consorciofia.info/cdr/ver_fuentes_w.php?NumCDR=046&amp;codEntidad=19999"/>
    <hyperlink ref="M159" r:id="rId175" display="http://consorciofia.info/cdr/ver_fuentes_w.php?NumCDR=161&amp;codEntidad=19999"/>
    <hyperlink ref="M412:M417" r:id="rId176" display="http://consorciofia.info/cdr/ver_fuentes_w.php?NumCDR=098&amp;codEntidad=19999"/>
    <hyperlink ref="M506" r:id="rId177" display="http://consorciofia.info/cdr/ver_fuentes_w.php?NumCDR=001&amp;codEntidad=19397"/>
    <hyperlink ref="M515" r:id="rId178" display="http://consorciofia.info/cdr/ver_fuentes_w.php?NumCDR=002&amp;codEntidad=19397"/>
    <hyperlink ref="M509" r:id="rId179" display="http://consorciofia.info/cdr/ver_fuentes_w.php?NumCDR=118&amp;codEntidad=19999"/>
    <hyperlink ref="M518:M523" r:id="rId180" display="http://consorciofia.info/cdr/ver_fuentes_w.php?NumCDR=150&amp;codEntidad=19999"/>
    <hyperlink ref="M524:M525" r:id="rId181" display="http://consorciofia.info/cdr/ver_fuentes_w.php?NumCDR=233&amp;codEntidad=19999"/>
    <hyperlink ref="M562" r:id="rId182" display="http://consorciofia.info/cdr/ver_fuentes_w.php?NumCDR=003&amp;codEntidad=19050"/>
    <hyperlink ref="M568:M569" r:id="rId183" display="http://consorciofia.info/cdr/ver_fuentes_w.php?NumCDR=003&amp;codEntidad=19397"/>
    <hyperlink ref="M570:M573" r:id="rId184" display="http://consorciofia.info/cdr/ver_fuentes_w.php?NumCDR=157&amp;codEntidad=19999"/>
    <hyperlink ref="M574:M575" r:id="rId185" display="http://consorciofia.info/cdr/ver_fuentes_w.php?NumCDR=003&amp;codEntidad=19585"/>
    <hyperlink ref="M576" r:id="rId186" display="http://consorciofia.info/cdr/ver_fuentes_w.php?NumCDR=005&amp;codEntidad=19585"/>
    <hyperlink ref="M577" r:id="rId187" display="http://consorciofia.info/cdr/ver_fuentes_w.php?NumCDR=237&amp;codEntidad=19999"/>
    <hyperlink ref="M578" r:id="rId188" display="http://consorciofia.info/cdr/ver_fuentes_w.php?NumCDR=234&amp;codEntidad=19999"/>
    <hyperlink ref="M564:M567" r:id="rId189" display="http://consorciofia.info/cdr/ver_fuentes_w.php?NumCDR=156&amp;codEntidad=19999"/>
    <hyperlink ref="M579:M580" r:id="rId190" display="http://consorciofia.info/cdr/ver_fuentes_w.php?NumCDR=223&amp;codEntidad=19999"/>
    <hyperlink ref="M582:M584" r:id="rId191" display="http://consorciofia.info/cdr/ver_fuentes_w.php?NumCDR=002&amp;codEntidad=19698"/>
    <hyperlink ref="M585:M590" r:id="rId192" display="http://consorciofia.info/cdr/ver_fuentes_w.php?NumCDR=175&amp;codEntidad=19999"/>
    <hyperlink ref="M591:M596" r:id="rId193" display="http://consorciofia.info/cdr/ver_fuentes_w.php?NumCDR=124&amp;codEntidad=19999"/>
    <hyperlink ref="M599" r:id="rId194" display="http://consorciofia.info/cdr/ver_fuentes_w.php?NumCDR=144&amp;codEntidad=19999"/>
    <hyperlink ref="M602:M603" r:id="rId195" display="http://consorciofia.info/cdr/ver_fuentes_w.php?NumCDR=174&amp;codEntidad=19999"/>
    <hyperlink ref="M609:M611" r:id="rId196" display="http://consorciofia.info/cdr/ver_fuentes_w.php?NumCDR=149&amp;codEntidad=19999"/>
    <hyperlink ref="M612" r:id="rId197" display="http://consorciofia.info/cdr/ver_fuentes_w.php?NumCDR=141&amp;codEntidad=19999"/>
    <hyperlink ref="M616:M618" r:id="rId198" display="http://consorciofia.info/cdr/ver_fuentes_w.php?NumCDR=142&amp;codEntidad=19999"/>
    <hyperlink ref="M619:M621" r:id="rId199" display="http://consorciofia.info/cdr/ver_fuentes_w.php?NumCDR=170&amp;codEntidad=19999"/>
    <hyperlink ref="M622:M624" r:id="rId200" display="http://consorciofia.info/cdr/ver_fuentes_w.php?NumCDR=171&amp;codEntidad=19999"/>
    <hyperlink ref="M625:M627" r:id="rId201" display="http://consorciofia.info/cdr/ver_fuentes_w.php?NumCDR=172&amp;codEntidad=19999"/>
    <hyperlink ref="M628:M632" r:id="rId202" display="http://consorciofia.info/cdr/ver_fuentes_w.php?NumCDR=138&amp;codEntidad=19999"/>
    <hyperlink ref="M633:M635" r:id="rId203" display="http://consorciofia.info/cdr/ver_fuentes_w.php?NumCDR=189&amp;codEntidad=19999"/>
    <hyperlink ref="M636:M637" r:id="rId204" display="http://consorciofia.info/cdr/ver_fuentes_w.php?NumCDR=173&amp;codEntidad=19999"/>
    <hyperlink ref="M638:M643" r:id="rId205" display="http://consorciofia.info/cdr/ver_fuentes_w.php?NumCDR=047&amp;codEntidad=19999"/>
    <hyperlink ref="M644:M646" r:id="rId206" display="http://consorciofia.info/cdr/ver_fuentes_w.php?NumCDR=195&amp;codEntidad=19999"/>
    <hyperlink ref="M647:M649" r:id="rId207" display="http://consorciofia.info/cdr/ver_fuentes_w.php?NumCDR=210&amp;codEntidad=19999"/>
    <hyperlink ref="M650:M652" r:id="rId208" display="http://consorciofia.info/cdr/ver_fuentes_w.php?NumCDR=209&amp;codEntidad=19999"/>
    <hyperlink ref="M653:M655" r:id="rId209" display="http://consorciofia.info/cdr/ver_fuentes_w.php?NumCDR=145&amp;codEntidad=19999"/>
    <hyperlink ref="M656:M658" r:id="rId210" display="http://consorciofia.info/cdr/ver_fuentes_w.php?NumCDR=169&amp;codEntidad=19999"/>
    <hyperlink ref="M659:M663" r:id="rId211" display="http://consorciofia.info/cdr/ver_fuentes_w.php?NumCDR=137&amp;codEntidad=19999"/>
    <hyperlink ref="M33:M36" r:id="rId212" display="http://consorciofia.info/cdr/ver_fuentes_w.php?NumCDR=010&amp;codEntidad=19999"/>
    <hyperlink ref="M37:M40" r:id="rId213" display="http://consorciofia.info/cdr/ver_fuentes_w.php?NumCDR=011&amp;codEntidad=19999"/>
    <hyperlink ref="M41:M42" r:id="rId214" display="http://consorciofia.info/cdr/ver_fuentes_w.php?NumCDR=159&amp;codEntidad=19999"/>
    <hyperlink ref="AD37" r:id="rId215" display="http://consorciofia.info/cdr/ver_fuentes_w.php?NumCDR=011&amp;codEntidad=19999"/>
    <hyperlink ref="AD41" r:id="rId216" display="Documentos soportes para la conciliación"/>
    <hyperlink ref="AD39" r:id="rId217" display="http://consorciofia.info/cdr/ver_fuentes_w.php?NumCDR=0011&amp;codEntidad=19999"/>
    <hyperlink ref="AD38" r:id="rId218" display="http://consorciofia.info/cdr/ver_fuentes_w.php?NumCDR=023&amp;codEntidad=19999"/>
    <hyperlink ref="M58" r:id="rId219" display="http://consorciofia.info/cdr/ver_fuentes_w.php?NumCDR=023&amp;codEntidad=19999"/>
    <hyperlink ref="M62:M64" r:id="rId220" display="http://consorciofia.info/cdr/ver_fuentes_w.php?NumCDR=139&amp;codEntidad=19999"/>
    <hyperlink ref="AD58" r:id="rId221" display="http://consorciofia.info/cdr/ver_fuentes_w.php?NumCDR=023&amp;codEntidad=19999"/>
    <hyperlink ref="AD59" r:id="rId222" display="http://consorciofia.info/cdr/ver_fuentes_w.php?NumCDR=0011&amp;codEntidad=19999"/>
    <hyperlink ref="AD60" r:id="rId223" display="http://consorciofia.info/cdr/ver_fuentes_w.php?NumCDR=0011&amp;codEntidad=19999"/>
    <hyperlink ref="M65:M67" r:id="rId224" display="http://consorciofia.info/cdr/ver_fuentes_w.php?NumCDR=028&amp;codEntidad=19999"/>
    <hyperlink ref="M68" r:id="rId225" display="http://consorciofia.info/cdr/ver_fuentes_w.php?NumCDR=206&amp;codEntidad=19999"/>
    <hyperlink ref="M69:M70" r:id="rId226" display="http://consorciofia.info/cdr/ver_fuentes_w.php?NumCDR=006&amp;codEntidad=19999"/>
    <hyperlink ref="M83:M86" r:id="rId227" display="http://consorciofia.info/cdr/ver_fuentes_w.php?NumCDR=031&amp;codEntidad=19999"/>
    <hyperlink ref="M87:M90" r:id="rId228" display="http://consorciofia.info/cdr/ver_fuentes_w.php?NumCDR=032&amp;codEntidad=19999"/>
    <hyperlink ref="M91:M94" r:id="rId229" display="http://consorciofia.info/cdr/ver_fuentes_w.php?NumCDR=048&amp;codEntidad=19999"/>
    <hyperlink ref="M526:M533" r:id="rId230" display="http://consorciofia.info/cdr/ver_fuentes_w.php?NumCDR=117&amp;codEntidad=19999"/>
    <hyperlink ref="M534:M537" r:id="rId231" display="http://consorciofia.info/cdr/ver_fuentes_w.php?NumCDR=001&amp;codEntidad=19050"/>
    <hyperlink ref="M538:M540" r:id="rId232" display="http://consorciofia.info/cdr/ver_fuentes_w.php?NumCDR=005&amp;codEntidad=19050"/>
    <hyperlink ref="M541:M546" r:id="rId233" display="http://consorciofia.info/cdr/ver_fuentes_w.php?NumCDR=227&amp;codEntidad=19999"/>
    <hyperlink ref="M547" r:id="rId234" display="http://consorciofia.info/cdr/ver_fuentes_w.php?NumCDR=236&amp;codEntidad=19999"/>
    <hyperlink ref="M664:M665" r:id="rId235" display="http://consorciofia.info/cdr/ver_fuentes_w.php?NumCDR=001&amp;codEntidad=19110"/>
    <hyperlink ref="M666:M668" r:id="rId236" display="133"/>
    <hyperlink ref="M669:M671" r:id="rId237" display="http://consorciofia.info/cdr/ver_fuentes_w.php?NumCDR=131&amp;codEntidad=19999"/>
    <hyperlink ref="M675:M678" r:id="rId238" display="http://consorciofia.info/cdr/ver_fuentes_w.php?NumCDR=127&amp;codEntidad=19999"/>
    <hyperlink ref="M679:M680" r:id="rId239" display="http://consorciofia.info/cdr/ver_fuentes_w.php?NumCDR=241&amp;codEntidad=19999"/>
    <hyperlink ref="M672:M674" r:id="rId240" display="http://consorciofia.info/cdr/ver_fuentes_w.php?NumCDR=135&amp;codEntidad=19999"/>
    <hyperlink ref="M710:M711" r:id="rId241" display="http://consorciofia.info/cdr/ver_fuentes_w.php?NumCDR=136&amp;codEntidad=19999"/>
    <hyperlink ref="M712:M713" r:id="rId242" display="http://consorciofia.info/cdr/ver_fuentes_w.php?NumCDR=132&amp;codEntidad=19999"/>
    <hyperlink ref="M724:M726" r:id="rId243" display="http://consorciofia.info/cdr/ver_fuentes_w.php?NumCDR=002&amp;codEntidad=19110"/>
    <hyperlink ref="M714:M716" r:id="rId244" display="http://consorciofia.info/cdr/ver_fuentes_w.php?NumCDR=134&amp;codEntidad=19999"/>
    <hyperlink ref="M29:M32" r:id="rId245" display="http://consorciofia.info/cdr/ver_fuentes_w.php?NumCDR=009&amp;codEntidad=19999"/>
    <hyperlink ref="M699:M703" r:id="rId246" display="http://consorciofia.info/cdr/ver_fuentes_w.php?NumCDR=129&amp;codEntidad=19999"/>
    <hyperlink ref="M704:M705" r:id="rId247" display="http://consorciofia.info/cdr/ver_fuentes_w.php?NumCDR=243&amp;codEntidad=19999"/>
    <hyperlink ref="M720:M722" r:id="rId248" display="http://consorciofia.info/cdr/ver_fuentes_w.php?NumCDR=130&amp;codEntidad=19999"/>
    <hyperlink ref="M723" r:id="rId249" display="http://consorciofia.info/cdr/ver_fuentes_w.php?NumCDR=244&amp;codEntidad=19999"/>
    <hyperlink ref="M717:M718" r:id="rId250" display="http://consorciofia.info/cdr/ver_fuentes_w.php?NumCDR=128&amp;codEntidad=19999"/>
    <hyperlink ref="M719" r:id="rId251" display="http://consorciofia.info/cdr/ver_fuentes_w.php?NumCDR=242&amp;codEntidad=19999"/>
    <hyperlink ref="M259:M263" r:id="rId252" display="http://consorciofia.info/cdr/ver_fuentes_w.php?NumCDR=068&amp;codEntidad=19999"/>
    <hyperlink ref="M264:M270" r:id="rId253" display="http://consorciofia.info/cdr/ver_fuentes_w.php?NumCDR=069&amp;codEntidad=19999"/>
    <hyperlink ref="M271:M277" r:id="rId254" display="http://consorciofia.info/cdr/ver_fuentes_w.php?NumCDR=070&amp;codEntidad=19999"/>
    <hyperlink ref="M278:M284" r:id="rId255" display="http://consorciofia.info/cdr/ver_fuentes_w.php?NumCDR=071&amp;codEntidad=19999"/>
    <hyperlink ref="M285:M286" r:id="rId256" display="http://consorciofia.info/cdr/ver_fuentes_w.php?NumCDR=168&amp;codEntidad=19999"/>
    <hyperlink ref="M287:M288" r:id="rId257" display="http://consorciofia.info/cdr/ver_fuentes_w.php?NumCDR=174&amp;codEntidad=19999"/>
    <hyperlink ref="M560" r:id="rId258" display="http://consorciofia.info/cdr/ver_fuentes_w.php?NumCDR=006&amp;codEntidad=19585"/>
    <hyperlink ref="M558:M559" r:id="rId259" display="http://consorciofia.info/cdr/ver_fuentes_w.php?NumCDR=119&amp;codEntidad=19999"/>
    <hyperlink ref="M549:M554" r:id="rId260" display="http://consorciofia.info/cdr/ver_fuentes_w.php?NumCDR=151&amp;codEntidad=19999"/>
    <hyperlink ref="M555" r:id="rId261" display="http://consorciofia.info/cdr/ver_fuentes_w.php?NumCDR=001&amp;codEntidad=19585"/>
    <hyperlink ref="M556:M557" r:id="rId262" display="http://consorciofia.info/cdr/ver_fuentes_w.php?NumCDR=002&amp;codEntidad=19585"/>
    <hyperlink ref="M561" r:id="rId263" display="http://consorciofia.info/cdr/ver_fuentes_w.php?NumCDR=004&amp;codEntidad=19585"/>
    <hyperlink ref="M681" r:id="rId264" display="http://consorciofia.info/cdr/ver_fuentes_w.php?NumCDR=125&amp;codEntidad=19999"/>
    <hyperlink ref="M697" r:id="rId265" display="http://consorciofia.info/cdr/ver_fuentes_w.php?NumCDR=001&amp;codEntidad=19513"/>
    <hyperlink ref="M681:M694" r:id="rId266" display="http://consorciofia.info/cdr/ver_fuentes_w.php?NumCDR=125&amp;codEntidad=19999"/>
    <hyperlink ref="M727:M734" r:id="rId267" display="http://consorciofia.info/cdr/ver_fuentes_w.php?NumCDR=152&amp;codEntidad=19999"/>
    <hyperlink ref="M735:M738" r:id="rId268" display="http://consorciofia.info/cdr/ver_fuentes_w.php?NumCDR=002&amp;codEntidad=19050"/>
    <hyperlink ref="M742:M744" r:id="rId269" display="http://consorciofia.info/cdr/ver_fuentes_w.php?NumCDR=176&amp;codEntidad=19999"/>
    <hyperlink ref="M739:M741" r:id="rId270" display="http://consorciofia.info/cdr/ver_fuentes_w.php?NumCDR=001&amp;codEntidad=19318"/>
    <hyperlink ref="M761:M766" r:id="rId271" display="http://consorciofia.info/cdr/ver_fuentes_w.php?NumCDR=001&amp;codEntidad=19821"/>
    <hyperlink ref="M767:M776" r:id="rId272" display="http://consorciofia.info/cdr/ver_fuentes_w.php?NumCDR=180&amp;codEntidad=19999"/>
    <hyperlink ref="M777:M780" r:id="rId273" display="http://consorciofia.info/cdr/ver_fuentes_w.php?NumCDR=298&amp;codEntidad=19999"/>
    <hyperlink ref="M789" r:id="rId274" display="http://consorciofia.info/cdr/ver_fuentes_w.php?NumCDR=178&amp;codEntidad=19999"/>
    <hyperlink ref="M755" r:id="rId275" display="http://consorciofia.info/cdr/ver_fuentes_w.php?NumCDR=001&amp;codEntidad=19824"/>
    <hyperlink ref="M760" r:id="rId276" display="http://consorciofia.info/cdr/ver_fuentes_w.php?NumCDR=005&amp;codEntidad=19824"/>
    <hyperlink ref="M745:M754" r:id="rId277" display="http://consorciofia.info/cdr/ver_fuentes_w.php?NumCDR=183&amp;codEntidad=19999"/>
    <hyperlink ref="M781:M788" r:id="rId278" display="http://consorciofia.info/cdr/ver_fuentes_w.php?NumCDR=177&amp;codEntidad=19999"/>
    <hyperlink ref="M817" r:id="rId279" display="http://consorciofia.info/cdr/ver_fuentes_w.php?NumCDR=221&amp;codEntidad=19999"/>
    <hyperlink ref="M797:M804" r:id="rId280" display="http://consorciofia.info/cdr/ver_fuentes_w.php?NumCDR=181&amp;codEntidad=19999"/>
    <hyperlink ref="M805:M812" r:id="rId281" display="http://consorciofia.info/cdr/ver_fuentes_w.php?NumCDR=182&amp;codEntidad=19999"/>
    <hyperlink ref="M813:M814" r:id="rId282" display="http://consorciofia.info/cdr/ver_fuentes_w.php?NumCDR=006&amp;codEntidad=19824"/>
    <hyperlink ref="M815:M816" r:id="rId283" display="http://consorciofia.info/cdr/ver_fuentes_w.php?NumCDR=299&amp;codEntidad=19999"/>
    <hyperlink ref="M831" r:id="rId284" display="http://consorciofia.info/cdr/ver_fuentes_w.php?NumCDR=174&amp;codEntidad=19999"/>
    <hyperlink ref="M819" r:id="rId285" display="http://consorciofia.info/cdr/ver_fuentes_w.php?NumCDR=219&amp;codEntidad=19999"/>
    <hyperlink ref="M822:M824" r:id="rId286" display="http://consorciofia.info/cdr/ver_fuentes_w.php?NumCDR=213&amp;codEntidad=19999"/>
    <hyperlink ref="M825" r:id="rId287" display="http://consorciofia.info/cdr/ver_fuentes_w.php?NumCDR=211&amp;codEntidad=19999"/>
    <hyperlink ref="M827" r:id="rId288" display="http://consorciofia.info/cdr/ver_fuentes_w.php?NumCDR=215&amp;codEntidad=19999"/>
    <hyperlink ref="M829" r:id="rId289" display="http://consorciofia.info/cdr/ver_fuentes_w.php?NumCDR=306&amp;codEntidad=19999"/>
    <hyperlink ref="M834" r:id="rId290" display="http://consorciofia.info/cdr/ver_fuentes_w.php?NumCDR=174&amp;codEntidad=19999"/>
    <hyperlink ref="M836" r:id="rId291" display="http://consorciofia.info/cdr/ver_fuentes_w.php?NumCDR=174&amp;codEntidad=19999"/>
    <hyperlink ref="M830" r:id="rId292" display="http://consorciofia.info/cdr/ver_fuentes_w.php?NumCDR=174&amp;codEntidad=19999"/>
    <hyperlink ref="M844" r:id="rId293" display="http://consorciofia.info/cdr/ver_fuentes_w.php?NumCDR=174&amp;codEntidad=19999"/>
    <hyperlink ref="M848" r:id="rId294" display="http://consorciofia.info/cdr/ver_fuentes_w.php?NumCDR=174&amp;codEntidad=19999"/>
    <hyperlink ref="M852" r:id="rId295" display="http://consorciofia.info/cdr/ver_fuentes_w.php?NumCDR=174&amp;codEntidad=19999"/>
    <hyperlink ref="M855" r:id="rId296" display="https://www.youtube.com/watch?v=cdLhtafylgE&amp;index=2&amp;list=RDMMnt1d8X_meEg"/>
    <hyperlink ref="M858" r:id="rId297" display="http://consorciofia.info/cdr/ver_fuentes_w.php?NumCDR=174&amp;codEntidad=19999"/>
    <hyperlink ref="M861" r:id="rId298" display="http://consorciofia.info/cdr/ver_fuentes_w.php?NumCDR=174&amp;codEntidad=19999"/>
    <hyperlink ref="M873:M877" r:id="rId299" display="http://consorciofia.info/cdr/ver_fuentes_w.php?NumCDR=001&amp;codEntidad=19392"/>
    <hyperlink ref="M878:M882" r:id="rId300" display="http://consorciofia.info/cdr/ver_fuentes_w.php?NumCDR=235&amp;codEntidad=19999"/>
    <hyperlink ref="M883:M885" r:id="rId301" display="http://consorciofia.info/cdr/ver_fuentes_w.php?NumCDR=212&amp;codEntidad=19999"/>
    <hyperlink ref="M886:M888" r:id="rId302" display="http://consorciofia.info/cdr/ver_fuentes_w.php?NumCDR=214&amp;codEntidad=19999"/>
    <hyperlink ref="M889:M891" r:id="rId303" display="http://consorciofia.info/cdr/ver_fuentes_w.php?NumCDR=220&amp;codEntidad=19999"/>
    <hyperlink ref="M871:M872" r:id="rId304" display="http://consorciofia.info/cdr/ver_fuentes_w.php?NumCDR=12&amp;codEntidad=19532"/>
    <hyperlink ref="M862:M864" r:id="rId305" display="http://consorciofia.info/cdr/ver_fuentes_w.php?NumCDR=001&amp;codEntidad=19532"/>
    <hyperlink ref="M865:M870" r:id="rId306" display="http://consorciofia.info/cdr/ver_fuentes_w.php?NumCDR=185&amp;codEntidad=19999"/>
    <hyperlink ref="M896" r:id="rId307" display="http://consorciofia.info/cdr/ver_fuentes_w.php?NumCDR=307&amp;codEntidad=19999"/>
    <hyperlink ref="M892:M893" r:id="rId308" display="http://consorciofia.info/cdr/ver_fuentes_w.php?NumCDR=216&amp;codEntidad=19999"/>
    <hyperlink ref="M894:M895" r:id="rId309" display="http://consorciofia.info/cdr/ver_fuentes_w.php?NumCDR=222&amp;codEntidad=19999"/>
    <hyperlink ref="M897" r:id="rId310" display="http://consorciofia.info/cdr/ver_fuentes_w.php?NumCDR=002&amp;codEntidad=19001"/>
    <hyperlink ref="M900:M908" r:id="rId311" display="http://consorciofia.info/cdr/ver_fuentes_w.php?NumCDR=230&amp;codEntidad=19999"/>
    <hyperlink ref="M909:M916" r:id="rId312" display="http://consorciofia.info/cdr/ver_fuentes_w.php?NumCDR=004&amp;codEntidad=19473"/>
    <hyperlink ref="M917:M918" r:id="rId313" display="http://consorciofia.info/cdr/ver_fuentes_w.php?NumCDR=228&amp;codEntidad=19999"/>
    <hyperlink ref="M919:M920" r:id="rId314" display="http://consorciofia.info/cdr/ver_fuentes_w.php?NumCDR=003&amp;codEntidad=19473"/>
    <hyperlink ref="M921:M926" r:id="rId315" display="http://consorciofia.info/cdr/ver_fuentes_w.php?NumCDR=229&amp;codEntidad=19999"/>
    <hyperlink ref="M927" r:id="rId316" display="http://consorciofia.info/cdr/ver_fuentes_w.php?NumCDR=174&amp;codEntidad=19999"/>
    <hyperlink ref="M954" r:id="rId317" display="http://consorciofia.info/cdr/ver_fuentes_w.php?NumCDR=186&amp;codEntidad=19999"/>
    <hyperlink ref="M958" r:id="rId318" display="http://consorciofia.info/cdr/ver_fuentes_w.php?NumCDR=13&amp;codEntidad=19532"/>
    <hyperlink ref="M960:M964" r:id="rId319" display="http://consorciofia.info/cdr/ver_fuentes_w.php?NumCDR=002&amp;codEntidad=19392"/>
    <hyperlink ref="M968:M974" r:id="rId320" display="http://consorciofia.info/cdr/ver_fuentes_w.php?NumCDR=261&amp;codEntidad=19999"/>
    <hyperlink ref="M975:M981" r:id="rId321" display="http://consorciofia.info/cdr/ver_fuentes_w.php?NumCDR=004&amp;codEntidad=19780"/>
    <hyperlink ref="M982:M983" r:id="rId322" display="http://consorciofia.info/cdr/ver_fuentes_w.php?NumCDR=5&amp;codEntidad=19780"/>
    <hyperlink ref="M984" r:id="rId323" display="http://consorciofia.info/cdr/ver_fuentes_w.php?NumCDR=253&amp;codEntidad=19999"/>
    <hyperlink ref="M988:M989" r:id="rId324" display="http://consorciofia.info/cdr/ver_fuentes_w.php?NumCDR=003&amp;codEntidad=19100"/>
    <hyperlink ref="M996:M997" r:id="rId325" display="http://consorciofia.info/cdr/ver_fuentes_w.php?NumCDR=251&amp;codEntidad=19999"/>
    <hyperlink ref="M1004:M1005" r:id="rId326" display="http://consorciofia.info/cdr/ver_fuentes_w.php?NumCDR=259&amp;codEntidad=19999"/>
    <hyperlink ref="M1006" r:id="rId327" display="http://consorciofia.info/cdr/ver_fuentes_w.php?NumCDR=10&amp;codEntidad=19450"/>
    <hyperlink ref="M1007:M1016" r:id="rId328" display="http://consorciofia.info/cdr/ver_fuentes_w.php?NumCDR=240&amp;codEntidad=19999"/>
    <hyperlink ref="M1017:M1026" r:id="rId329" display="http://consorciofia.info/cdr/ver_fuentes_w.php?NumCDR=239&amp;codEntidad=19999"/>
    <hyperlink ref="M1027:M1031" r:id="rId330" display="http://consorciofia.info/cdr/ver_fuentes_w.php?NumCDR=004&amp;codEntidad=19532"/>
    <hyperlink ref="M1032:M1034" r:id="rId331" display="http://consorciofia.info/cdr/ver_fuentes_w.php?NumCDR=310&amp;codEntidad=19999"/>
    <hyperlink ref="M998" r:id="rId332" display="http://consorciofia.info/cdr/ver_fuentes_w.php?NumCDR=263&amp;codEntidad=19999"/>
    <hyperlink ref="M1002:M1003" r:id="rId333" display="http://consorciofia.info/cdr/ver_fuentes_w.php?NumCDR=14&amp;codEntidad=19050"/>
    <hyperlink ref="M1035:M1036" r:id="rId334" display="http://consorciofia.info/cdr/ver_fuentes_w.php?NumCDR=257&amp;codEntidad=19999"/>
    <hyperlink ref="M1037:M1039" r:id="rId335" display="http://consorciofia.info/cdr/ver_fuentes_w.php?NumCDR=255&amp;codEntidad=19999"/>
    <hyperlink ref="M1065:M1066" r:id="rId336" display="http://consorciofia.info/cdr/ver_fuentes_w.php?NumCDR=275&amp;codEntidad=19999"/>
    <hyperlink ref="M1067:M1068" r:id="rId337" display="http://consorciofia.info/cdr/ver_fuentes_w.php?NumCDR=249&amp;codEntidad=19999"/>
    <hyperlink ref="M1069" r:id="rId338" display="http://consorciofia.info/cdr/ver_fuentes_w.php?NumCDR=7&amp;codEntidad=19392"/>
    <hyperlink ref="M1040:M1042" r:id="rId339" display="http://consorciofia.info/cdr/ver_fuentes_w.php?NumCDR=254&amp;codEntidad=19999"/>
    <hyperlink ref="M1043:M1047" r:id="rId340" display="http://consorciofia.info/cdr/ver_fuentes_w.php?NumCDR=232&amp;codEntidad=19999"/>
    <hyperlink ref="M1048:M1051" r:id="rId341" display="http://consorciofia.info/cdr/ver_fuentes_w.php?NumCDR=260&amp;codEntidad=19999"/>
    <hyperlink ref="M1052:M1056" r:id="rId342" display="http://consorciofia.info/cdr/ver_fuentes_w.php?NumCDR=005&amp;codEntidad=19532"/>
    <hyperlink ref="M1057:M1060" r:id="rId343" display="http://consorciofia.info/cdr/ver_fuentes_w.php?NumCDR=258&amp;codEntidad=19999"/>
    <hyperlink ref="M1061" r:id="rId344" display="http://consorciofia.info/cdr/ver_fuentes_w.php?NumCDR=004&amp;codEntidad=19100"/>
    <hyperlink ref="M1062:M1063" r:id="rId345" display="http://consorciofia.info/cdr/ver_fuentes_w.php?NumCDR=311&amp;codEntidad=19999"/>
    <hyperlink ref="M1121:M1123" r:id="rId346" display="http://consorciofia.info/cdr/ver_fuentes_w.php?NumCDR=290&amp;codEntidad=19999"/>
    <hyperlink ref="M1124:M1126" r:id="rId347" display="http://consorciofia.info/cdr/ver_fuentes_w.php?NumCDR=004&amp;codEntidad=19513"/>
    <hyperlink ref="M1127" r:id="rId348" display="http://consorciofia.info/cdr/ver_fuentes_w.php?NumCDR=8&amp;codEntidad=19513"/>
    <hyperlink ref="M1103:M1112" r:id="rId349" display="http://consorciofia.info/cdr/ver_fuentes_w.php?NumCDR=271&amp;codEntidad=19999"/>
    <hyperlink ref="M1113:M1117" r:id="rId350" display="http://consorciofia.info/cdr/ver_fuentes_w.php?NumCDR=007&amp;codEntidad=19050"/>
    <hyperlink ref="M1118:M1120" r:id="rId351" display="http://consorciofia.info/cdr/ver_fuentes_w.php?NumCDR=20&amp;codEntidad=19050"/>
    <hyperlink ref="M1092" r:id="rId352" display="http://consorciofia.info/cdr/ver_fuentes_w.php?NumCDR=252&amp;codEntidad=19999"/>
    <hyperlink ref="M1088" r:id="rId353" display="http://consorciofia.info/cdr/ver_fuentes_w.php?NumCDR=262&amp;codEntidad=19999"/>
    <hyperlink ref="M1086" r:id="rId354" display="http://consorciofia.info/cdr/ver_fuentes_w.php?NumCDR=250&amp;codEntidad=19999"/>
    <hyperlink ref="M1083" r:id="rId355" display="http://consorciofia.info/cdr/ver_fuentes_w.php?NumCDR=256&amp;codEntidad=19999"/>
    <hyperlink ref="M1080" r:id="rId356" display="http://consorciofia.info/cdr/ver_fuentes_w.php?NumCDR=278&amp;codEntidad=19999"/>
    <hyperlink ref="M1077" r:id="rId357" display="http://consorciofia.info/cdr/ver_fuentes_w.php?NumCDR=276&amp;codEntidad=19999"/>
    <hyperlink ref="M1099" r:id="rId358" display="http://consorciofia.info/cdr/ver_fuentes_w.php?NumCDR=6&amp;codEntidad=19780"/>
    <hyperlink ref="M1101" r:id="rId359" display="http://consorciofia.info/cdr/ver_fuentes_w.php?NumCDR=9&amp;codEntidad=19513"/>
    <hyperlink ref="M1102" r:id="rId360" display="http://consorciofia.info/cdr/ver_fuentes_w.php?NumCDR=8&amp;codEntidad=19392"/>
    <hyperlink ref="M1128:M1135" r:id="rId361" display="http://consorciofia.info/cdr/ver_fuentes_w.php?NumCDR=264&amp;codEntidad=19999"/>
    <hyperlink ref="M1136:M1143" r:id="rId362" display="http://consorciofia.info/cdr/ver_fuentes_w.php?NumCDR=272&amp;codEntidad=19999"/>
    <hyperlink ref="M1144:M1146" r:id="rId363" display="http://consorciofia.info/cdr/ver_fuentes_w.php?NumCDR=15&amp;codEntidad=19050"/>
    <hyperlink ref="M1147:M1148" r:id="rId364" display="http://consorciofia.info/cdr/ver_fuentes_w.php?NumCDR=21&amp;codEntidad=19050"/>
    <hyperlink ref="M1149:M1150" r:id="rId365" display="http://consorciofia.info/cdr/ver_fuentes_w.php?NumCDR=277&amp;codEntidad=19999"/>
    <hyperlink ref="M1176:M1183" r:id="rId366" display="http://consorciofia.info/cdr/ver_fuentes_w.php?NumCDR=283&amp;codEntidad=19999"/>
    <hyperlink ref="M1184:M1187" r:id="rId367" display="http://consorciofia.info/cdr/ver_fuentes_w.php?NumCDR=002&amp;codEntidad=19450"/>
    <hyperlink ref="M1188:M1190" r:id="rId368" display="http://consorciofia.info/cdr/ver_fuentes_w.php?NumCDR=317&amp;codEntidad=19999"/>
    <hyperlink ref="M1151" r:id="rId369" display="http://consorciofia.info/cdr/ver_fuentes_w.php?NumCDR=288&amp;codEntidad=19999"/>
    <hyperlink ref="M1164" r:id="rId370" display="http://consorciofia.info/cdr/ver_fuentes_w.php?NumCDR=003&amp;codEntidad=19743"/>
    <hyperlink ref="M1170:M1172" r:id="rId371" display="http://consorciofia.info/cdr/ver_fuentes_w.php?NumCDR=341&amp;codEntidad=19999"/>
    <hyperlink ref="M1173:M1175" r:id="rId372" display="http://consorciofia.info/cdr/ver_fuentes_w.php?NumCDR=12&amp;codEntidad=19743"/>
    <hyperlink ref="M1191:M1192" r:id="rId373" display="http://consorciofia.info/cdr/ver_fuentes_w.php?NumCDR=296&amp;codEntidad=19999"/>
    <hyperlink ref="M1210:M1215" r:id="rId374" display="http://consorciofia.info/cdr/ver_fuentes_w.php?NumCDR=284&amp;codEntidad=19999"/>
    <hyperlink ref="M1216:M1221" r:id="rId375" display="http://consorciofia.info/cdr/ver_fuentes_w.php?NumCDR=285&amp;codEntidad=19999"/>
    <hyperlink ref="M1222:M1224" r:id="rId376" display="http://consorciofia.info/cdr/ver_fuentes_w.php?NumCDR=318&amp;codEntidad=19999"/>
    <hyperlink ref="M1225" r:id="rId377" display="http://consorciofia.info/cdr/ver_fuentes_w.php?NumCDR=269&amp;codEntidad=19999"/>
    <hyperlink ref="M1238:M1242" r:id="rId378" display="http://consorciofia.info/cdr/ver_fuentes_w.php?NumCDR=005&amp;codEntidad=19807"/>
    <hyperlink ref="M1243" r:id="rId379" display="http://consorciofia.info/cdr/ver_fuentes_w.php?NumCDR=14&amp;codEntidad=19807"/>
    <hyperlink ref="M1233" r:id="rId380" display="http://consorciofia.info/cdr/ver_fuentes_w.php?NumCDR=297&amp;codEntidad=19999"/>
    <hyperlink ref="M1234" r:id="rId381" display="http://consorciofia.info/cdr/ver_fuentes_w.php?NumCDR=292&amp;codEntidad=19999"/>
    <hyperlink ref="M1236" r:id="rId382" display="http://consorciofia.info/cdr/ver_fuentes_w.php?NumCDR=2647&amp;codEntidad=19693"/>
    <hyperlink ref="M1193:M1197" r:id="rId383" display="http://consorciofia.info/cdr/ver_fuentes_w.php?NumCDR=004&amp;codEntidad=19743"/>
    <hyperlink ref="M1198:M1201" r:id="rId384" display="http://consorciofia.info/cdr/ver_fuentes_w.php?NumCDR=289&amp;codEntidad=19999"/>
    <hyperlink ref="M1202:M1203" r:id="rId385" display="http://consorciofia.info/cdr/ver_fuentes_w.php?NumCDR=342&amp;codEntidad=19999"/>
    <hyperlink ref="M1244:M1250" r:id="rId386" display="http://consorciofia.info/cdr/ver_fuentes_w.php?NumCDR=294&amp;codEntidad=19999"/>
    <hyperlink ref="M1251" r:id="rId387" display="http://consorciofia.info/cdr/ver_fuentes_w.php?NumCDR=301&amp;codEntidad=19999"/>
    <hyperlink ref="M1252" r:id="rId388" display="http://consorciofia.info/cdr/ver_fuentes_w.php?NumCDR=267&amp;codEntidad=19999"/>
    <hyperlink ref="M1274:M1287" r:id="rId389" display="http://consorciofia.info/cdr/ver_fuentes_w.php?NumCDR=293&amp;codEntidad=19999"/>
    <hyperlink ref="M1288:M1294" r:id="rId390" display="http://consorciofia.info/cdr/ver_fuentes_w.php?NumCDR=002&amp;codEntidad=19075"/>
    <hyperlink ref="M1295" r:id="rId391" display="http://consorciofia.info/cdr/ver_fuentes_w.php?NumCDR=300&amp;codEntidad=19999"/>
    <hyperlink ref="M1298" r:id="rId392" display="http://consorciofia.info/cdr/ver_fuentes_w.php?NumCDR=002&amp;codEntidad=19100"/>
    <hyperlink ref="M1309" r:id="rId393" display="http://consorciofia.info/cdr/ver_fuentes_w.php?NumCDR=268&amp;codEntidad=19999"/>
    <hyperlink ref="M1310:M1317" r:id="rId394" display="http://consorciofia.info/cdr/ver_fuentes_w.php?NumCDR=304&amp;codEntidad=19999"/>
    <hyperlink ref="M1318:M1321" r:id="rId395" display="http://consorciofia.info/cdr/ver_fuentes_w.php?NumCDR=008&amp;codEntidad=19585"/>
    <hyperlink ref="M1349" r:id="rId396" display="http://consorciofia.info/cdr/ver_fuentes_w.php?NumCDR=004&amp;codEntidad=19418"/>
    <hyperlink ref="M1353" r:id="rId397" display="http://consorciofia.info/cdr/ver_fuentes_w.php?NumCDR=174&amp;codEntidad=19999"/>
    <hyperlink ref="M1354" r:id="rId398" display="http://consorciofia.info/cdr/ver_fuentes_w.php?NumCDR=005&amp;codEntidad=19318"/>
    <hyperlink ref="M1358:M1359" r:id="rId399" display="http://consorciofia.info/cdr/ver_fuentes_w.php?NumCDR=2295&amp;codEntidad=19318"/>
    <hyperlink ref="M1369:M1370" r:id="rId400" display="http://consorciofia.info/cdr/ver_fuentes_w.php?NumCDR=005&amp;codEntidad=19418"/>
    <hyperlink ref="M1371" r:id="rId401" display="http://consorciofia.info/cdr/ver_fuentes_w.php?NumCDR=174&amp;codEntidad=19999"/>
    <hyperlink ref="M1407:M1410" r:id="rId402" display="http://consorciofia.info/cdr/ver_fuentes_w.php?NumCDR=009&amp;codEntidad=19698"/>
    <hyperlink ref="M1542" r:id="rId403" display="http://consorciofia.info/cdr/ver_fuentes_w.php?NumCDR=9&amp;codEntidad=19100"/>
    <hyperlink ref="M1344:M1346" r:id="rId404" display="http://consorciofia.info/cdr/ver_fuentes_w.php?NumCDR=007&amp;codEntidad=19807"/>
    <hyperlink ref="M1336:M1342" r:id="rId405" display="http://consorciofia.info/cdr/ver_fuentes_w.php?NumCDR=308&amp;codEntidad=19999"/>
    <hyperlink ref="M1348" r:id="rId406" display="http://consorciofia.info/cdr/ver_fuentes_w.php?NumCDR=3562&amp;codEntidad=19807"/>
    <hyperlink ref="M1360" r:id="rId407" display="http://consorciofia.info/cdr/ver_fuentes_w.php?NumCDR=309&amp;codEntidad=19999"/>
    <hyperlink ref="M1435" r:id="rId408" display="http://consorciofia.info/cdr/ver_fuentes_w.php?NumCDR=7&amp;codEntidad=19355"/>
    <hyperlink ref="M1433" r:id="rId409" display="http://consorciofia.info/cdr/ver_fuentes_w.php?NumCDR=17&amp;codEntidad=19050"/>
    <hyperlink ref="M1437" r:id="rId410" display="http://consorciofia.info/cdr/ver_fuentes_w.php?NumCDR=6&amp;codEntidad=19760"/>
    <hyperlink ref="M1439" r:id="rId411" display="http://consorciofia.info/cdr/ver_fuentes_w.php?NumCDR=16&amp;codEntidad=19585"/>
    <hyperlink ref="M1441" r:id="rId412" display="http://consorciofia.info/cdr/ver_fuentes_w.php?NumCDR=13&amp;codEntidad=19450"/>
    <hyperlink ref="M1453" r:id="rId413" display="http://consorciofia.info/cdr/ver_fuentes_w.php?NumCDR=15&amp;codEntidad=19450"/>
    <hyperlink ref="M1443" r:id="rId414" display="http://consorciofia.info/cdr/ver_fuentes_w.php?NumCDR=8&amp;codEntidad=19397"/>
    <hyperlink ref="M1445" r:id="rId415" display="http://consorciofia.info/cdr/ver_fuentes_w.php?NumCDR=5&amp;codEntidad=19142"/>
    <hyperlink ref="M1447" r:id="rId416" display="http://consorciofia.info/cdr/ver_fuentes_w.php?NumCDR=5&amp;codEntidad=19573"/>
    <hyperlink ref="M1449" r:id="rId417" display="http://consorciofia.info/cdr/ver_fuentes_w.php?NumCDR=6&amp;codEntidad=19364"/>
    <hyperlink ref="M1451" r:id="rId418" display="http://consorciofia.info/cdr/ver_fuentes_w.php?NumCDR=15&amp;codEntidad=19532"/>
    <hyperlink ref="M302:M305" r:id="rId419" display="http://consorciofia.info/cdr/ver_fuentes_w.php?NumCDR=076&amp;codEntidad=19999"/>
    <hyperlink ref="M306:M309" r:id="rId420" display="http://consorciofia.info/cdr/ver_fuentes_w.php?NumCDR=077&amp;codEntidad=19999"/>
    <hyperlink ref="M310:M313" r:id="rId421" display="http://consorciofia.info/cdr/ver_fuentes_w.php?NumCDR=078&amp;codEntidad=19999"/>
    <hyperlink ref="M314:M317" r:id="rId422" display="http://consorciofia.info/cdr/ver_fuentes_w.php?NumCDR=079&amp;codEntidad=19999"/>
    <hyperlink ref="M318:M321" r:id="rId423" display="http://consorciofia.info/cdr/ver_fuentes_w.php?NumCDR=080&amp;codEntidad=19999"/>
    <hyperlink ref="M322:M325" r:id="rId424" display="http://consorciofia.info/cdr/ver_fuentes_w.php?NumCDR=083&amp;codEntidad=19999"/>
    <hyperlink ref="M327:M328" r:id="rId425" display="http://consorciofia.info/cdr/ver_fuentes_w.php?NumCDR=199&amp;codEntidad=19999"/>
    <hyperlink ref="M329:M330" r:id="rId426" display="http://consorciofia.info/cdr/ver_fuentes_w.php?NumCDR=198&amp;codEntidad=19999"/>
    <hyperlink ref="M597:M598" r:id="rId427" display="http://consorciofia.info/cdr/ver_fuentes_w.php?NumCDR=143&amp;codEntidad=19999"/>
    <hyperlink ref="M604:M606" r:id="rId428" display="http://consorciofia.info/cdr/ver_fuentes_w.php?NumCDR=166&amp;codEntidad=19999"/>
    <hyperlink ref="M607" r:id="rId429" display="http://consorciofia.info/cdr/ver_fuentes_w.php?NumCDR=174&amp;codEntidad=19999"/>
    <hyperlink ref="M706:M709" r:id="rId430" display="http://consorciofia.info/cdr/ver_fuentes_w.php?NumCDR=126&amp;codEntidad=19999"/>
    <hyperlink ref="M990:M995" r:id="rId431" display="http://consorciofia.info/cdr/ver_fuentes_w.php?NumCDR=231&amp;codEntidad=19999"/>
    <hyperlink ref="M1070:M1076" r:id="rId432" display="http://consorciofia.info/cdr/ver_fuentes_w.php?NumCDR=273&amp;codEntidad=19999"/>
    <hyperlink ref="M1204:M1205" r:id="rId433" display="http://consorciofia.info/cdr/ver_fuentes_w.php?NumCDR=291&amp;codEntidad=19999"/>
    <hyperlink ref="M1206:M1207" r:id="rId434" display="http://consorciofia.info/cdr/ver_fuentes_w.php?NumCDR=003&amp;codEntidad=19693"/>
    <hyperlink ref="M1208:M1209" r:id="rId435" display="http://consorciofia.info/cdr/ver_fuentes_w.php?NumCDR=2646&amp;codEntidad=19693"/>
    <hyperlink ref="M1256:M1264" r:id="rId436" display="http://consorciofia.info/cdr/ver_fuentes_w.php?NumCDR=273&amp;codEntidad=19999"/>
    <hyperlink ref="M1266:M1268" r:id="rId437" display="http://consorciofia.info/cdr/ver_fuentes_w.php?NumCDR=6&amp;codEntidad=19001"/>
    <hyperlink ref="M1271" r:id="rId438" display="http://consorciofia.info/cdr/ver_fuentes_w.php?NumCDR=6&amp;codEntidad=19001"/>
    <hyperlink ref="M1272:M1273" r:id="rId439" display="http://consorciofia.info/cdr/ver_fuentes_w.php?NumCDR=7&amp;codEntidad=19001%7d"/>
    <hyperlink ref="M1301:M1304" r:id="rId440" display="http://consorciofia.info/cdr/ver_fuentes_w.php?NumCDR=009&amp;codEntidad=19585"/>
    <hyperlink ref="M1364" r:id="rId441" display="http://consorciofia.info/cdr/ver_fuentes_w.php?NumCDR=313&amp;codEntidad=19999"/>
    <hyperlink ref="M1400:M1402" r:id="rId442" display="http://consorciofia.info/cdr/ver_fuentes_w.php?NumCDR=6&amp;codEntidad=19473"/>
    <hyperlink ref="M1403:M1404" r:id="rId443" display="http://consorciofia.info/cdr/ver_fuentes_w.php?NumCDR=8&amp;codEntidad=19548"/>
    <hyperlink ref="M1405:M1406" r:id="rId444" display="http://consorciofia.info/cdr/ver_fuentes_w.php?NumCDR=13&amp;codEntidad=19780"/>
    <hyperlink ref="M1411:M1412" r:id="rId445" display="http://consorciofia.info/cdr/ver_fuentes_w.php?NumCDR=16&amp;codEntidad=19050"/>
    <hyperlink ref="M1413:M1414" r:id="rId446" display="http://consorciofia.info/cdr/ver_fuentes_w.php?NumCDR=5&amp;codEntidad=19364"/>
    <hyperlink ref="M1415:M1416" r:id="rId447" display="http://consorciofia.info/cdr/ver_fuentes_w.php?NumCDR=14&amp;codEntidad=19450"/>
    <hyperlink ref="M1417:M1418" r:id="rId448" display="http://consorciofia.info/cdr/ver_fuentes_w.php?NumCDR=12&amp;codEntidad=19450"/>
    <hyperlink ref="M1419:M1420" r:id="rId449" display="http://consorciofia.info/cdr/ver_fuentes_w.php?NumCDR=15&amp;codEntidad=19585"/>
    <hyperlink ref="M1421:M1422" r:id="rId450" display="http://consorciofia.info/cdr/ver_fuentes_w.php?NumCDR=5&amp;codEntidad=19760"/>
    <hyperlink ref="M1423:M1424" r:id="rId451" display="http://consorciofia.info/cdr/ver_fuentes_w.php?NumCDR=6&amp;codEntidad=19355"/>
    <hyperlink ref="M1425:M1426" r:id="rId452" display="http://consorciofia.info/cdr/ver_fuentes_w.php?NumCDR=4&amp;codEntidad=19142"/>
    <hyperlink ref="M1427:M1428" r:id="rId453" display="http://consorciofia.info/cdr/ver_fuentes_w.php?NumCDR=14&amp;codEntidad=19532"/>
    <hyperlink ref="M1429:M1430" r:id="rId454" display="http://consorciofia.info/cdr/ver_fuentes_w.php?NumCDR=4&amp;codEntidad=19573"/>
    <hyperlink ref="M1431:M1432" r:id="rId455" display="http://consorciofia.info/cdr/ver_fuentes_w.php?NumCDR=7&amp;codEntidad=19397"/>
    <hyperlink ref="M1456:M1459" r:id="rId456" display="http://consorciofia.info/cdr/ver_fuentes_w.php?NumCDR=9&amp;codEntidad=19780"/>
    <hyperlink ref="M1460:M1463" r:id="rId457" display="http://consorciofia.info/cdr/ver_fuentes_w.php?NumCDR=8&amp;codEntidad=19418"/>
    <hyperlink ref="M1464:M1467" r:id="rId458" display="http://consorciofia.info/cdr/ver_fuentes_w.php?NumCDR=10&amp;codEntidad=19110"/>
    <hyperlink ref="M1468:M1471" r:id="rId459" display="http://consorciofia.info/cdr/ver_fuentes_w.php?NumCDR=7&amp;codEntidad=19130"/>
    <hyperlink ref="M1472:M1475" r:id="rId460" display="http://consorciofia.info/cdr/ver_fuentes_w.php?NumCDR=2&amp;codEntidad=19548"/>
    <hyperlink ref="M1476:M1479" r:id="rId461" display="http://consorciofia.info/cdr/ver_fuentes_w.php?NumCDR=10&amp;codEntidad=19355"/>
    <hyperlink ref="M1480:M1483" r:id="rId462" display="http://consorciofia.info/cdr/ver_fuentes_w.php?NumCDR=6&amp;codEntidad=19533"/>
    <hyperlink ref="M1484:M1487" r:id="rId463" display="http://consorciofia.info/cdr/ver_fuentes_w.php?NumCDR=9&amp;codEntidad=19130"/>
    <hyperlink ref="M1488:M1491" r:id="rId464" display="http://consorciofia.info/cdr/ver_fuentes_w.php?NumCDR=9&amp;codEntidad=19318"/>
    <hyperlink ref="M1492:M1495" r:id="rId465" display="http://consorciofia.info/cdr/ver_fuentes_w.php?NumCDR=6&amp;codEntidad=19821"/>
    <hyperlink ref="M1496" r:id="rId466" display="http://consorciofia.info/cdr/ver_fuentes_w.php?NumCDR=325&amp;codEntidad=19999"/>
    <hyperlink ref="M1498:M1499" r:id="rId467" display="http://consorciofia.info/cdr/ver_fuentes_w.php?NumCDR=8&amp;codEntidad=19364"/>
    <hyperlink ref="M1502" r:id="rId468" display="http://consorciofia.info/cdr/ver_fuentes_w.php?NumCDR=2296&amp;codEntidad=19318"/>
    <hyperlink ref="M1500:M1501" r:id="rId469" display="http://consorciofia.info/cdr/ver_fuentes_w.php?NumCDR=13&amp;codEntidad=19318"/>
    <hyperlink ref="M1512:M1513" r:id="rId470" display="http://consorciofia.info/cdr/ver_fuentes_w.php?NumCDR=12&amp;codEntidad=19318"/>
    <hyperlink ref="M1514" r:id="rId471" display="http://consorciofia.info/cdr/ver_fuentes_w.php?NumCDR=15&amp;codEntidad=19318"/>
    <hyperlink ref="M1503:M1505" r:id="rId472" display="http://consorciofia.info/cdr/ver_fuentes_w.php?NumCDR=5&amp;codEntidad=19821"/>
    <hyperlink ref="M1506" r:id="rId473" display="http://consorciofia.info/cdr/ver_fuentes_w.php?NumCDR=316&amp;codEntidad=19999"/>
    <hyperlink ref="M1515:M1527" r:id="rId474" display="http://consorciofia.info/cdr/ver_fuentes_w.php?NumCDR=322&amp;codEntidad=19999"/>
    <hyperlink ref="M1528:M1532" r:id="rId475" display="http://consorciofia.info/cdr/ver_fuentes_w.php?NumCDR=6&amp;codEntidad=19100"/>
    <hyperlink ref="M1545:M1546" r:id="rId476" display="http://consorciofia.info/cdr/ver_fuentes_w.php?NumCDR=11&amp;codEntidad=19698"/>
    <hyperlink ref="M1538:M1540" r:id="rId477" display="http://consorciofia.info/cdr/ver_fuentes_w.php?NumCDR=11&amp;codEntidad=19318"/>
    <hyperlink ref="M1541" r:id="rId478" display="http://consorciofia.info/cdr/ver_fuentes_w.php?NumCDR=14&amp;codEntidad=19318"/>
    <hyperlink ref="M1547:M1550" r:id="rId479" display="http://consorciofia.info/cdr/ver_fuentes_w.php?NumCDR=10&amp;codEntidad=19780"/>
    <hyperlink ref="M1551:M1554" r:id="rId480" display="http://consorciofia.info/cdr/ver_fuentes_w.php?NumCDR=9&amp;codEntidad=19418"/>
    <hyperlink ref="M1555:M1558" r:id="rId481" display="http://consorciofia.info/cdr/ver_fuentes_w.php?NumCDR=11&amp;codEntidad=19110"/>
    <hyperlink ref="M1559:M1562" r:id="rId482" display="http://consorciofia.info/cdr/ver_fuentes_w.php?NumCDR=8&amp;codEntidad=19130"/>
    <hyperlink ref="M1563:M1566" r:id="rId483" display="http://consorciofia.info/cdr/ver_fuentes_w.php?NumCDR=3&amp;codEntidad=19548"/>
    <hyperlink ref="M1567:M1570" r:id="rId484" display="http://consorciofia.info/cdr/ver_fuentes_w.php?NumCDR=11&amp;codEntidad=19355"/>
    <hyperlink ref="M1571:M1574" r:id="rId485" display="http://consorciofia.info/cdr/ver_fuentes_w.php?NumCDR=7&amp;codEntidad=19533"/>
    <hyperlink ref="M1575:M1578" r:id="rId486" display="http://consorciofia.info/cdr/ver_fuentes_w.php?NumCDR=10&amp;codEntidad=19130"/>
    <hyperlink ref="M1579:M1582" r:id="rId487" display="http://consorciofia.info/cdr/ver_fuentes_w.php?NumCDR=10&amp;codEntidad=19318"/>
    <hyperlink ref="M1583" r:id="rId488" display="http://consorciofia.info/cdr/ver_fuentes_w.php?NumCDR=4&amp;codEntidad=19701"/>
    <hyperlink ref="M1589:M1595" r:id="rId489" display="http://consorciofia.info/cdr/ver_fuentes_w.php?NumCDR=324&amp;codEntidad=19999"/>
    <hyperlink ref="M1585" r:id="rId490" display="http://consorciofia.info/cdr/ver_fuentes_w.php?NumCDR=7&amp;codEntidad=19364"/>
    <hyperlink ref="M1672" r:id="rId491" display="http://consorciofia.info/cdr/ver_fuentes_w.php?NumCDR=5&amp;codEntidad=19701"/>
    <hyperlink ref="M1606:M1613" r:id="rId492" display="http://consorciofia.info/cdr/ver_fuentes_w.php?NumCDR=333&amp;codEntidad=19999"/>
    <hyperlink ref="M1616:M1617" r:id="rId493" display="http://consorciofia.info/cdr/ver_fuentes_w.php?NumCDR=9&amp;codEntidad=19392"/>
    <hyperlink ref="M1621:M1623" r:id="rId494" display="http://consorciofia.info/cdr/ver_fuentes_w.php?NumCDR=6&amp;codEntidad=19701"/>
    <hyperlink ref="M1624:M1625" r:id="rId495" display="http://consorciofia.info/cdr/ver_fuentes_w.php?NumCDR=5&amp;codEntidad=19130"/>
    <hyperlink ref="M1626:M1628" r:id="rId496" display="http://consorciofia.info/cdr/ver_fuentes_w.php?NumCDR=6&amp;codEntidad=19418"/>
    <hyperlink ref="M1629:M1631" r:id="rId497" display="http://consorciofia.info/cdr/ver_fuentes_w.php?NumCDR=7&amp;codEntidad=19780"/>
    <hyperlink ref="M1632:M1634" r:id="rId498" display="http://consorciofia.info/cdr/ver_fuentes_w.php?NumCDR=8&amp;codEntidad=19807"/>
    <hyperlink ref="M1635:M1637" r:id="rId499" display="http://consorciofia.info/cdr/ver_fuentes_w.php?NumCDR=8&amp;codEntidad=19110"/>
    <hyperlink ref="M1638:M1639" r:id="rId500" display="http://consorciofia.info/cdr/ver_fuentes_w.php?NumCDR=3&amp;codEntidad=19622"/>
    <hyperlink ref="M1640:M1641" r:id="rId501" display="http://consorciofia.info/cdr/ver_fuentes_w.php?NumCDR=8&amp;codEntidad=19743"/>
    <hyperlink ref="M1642:M1644" r:id="rId502" display="http://consorciofia.info/cdr/ver_fuentes_w.php?NumCDR=16&amp;codEntidad=19532"/>
    <hyperlink ref="M1645:M1647" r:id="rId503" display="http://consorciofia.info/cdr/ver_fuentes_w.php?NumCDR=16&amp;codEntidad=19450"/>
    <hyperlink ref="M1648:M1650" r:id="rId504" display="http://consorciofia.info/cdr/ver_fuentes_w.php?NumCDR=4&amp;codEntidad=19533"/>
    <hyperlink ref="M1651:M1653" r:id="rId505" display="http://consorciofia.info/cdr/ver_fuentes_w.php?NumCDR=6&amp;codEntidad=19142"/>
    <hyperlink ref="M1654:M1656" r:id="rId506" display="http://consorciofia.info/cdr/ver_fuentes_w.php?NumCDR=18&amp;codEntidad=19050"/>
    <hyperlink ref="M1657:M1659" r:id="rId507" display="http://consorciofia.info/cdr/ver_fuentes_w.php?NumCDR=10&amp;codEntidad=19824"/>
    <hyperlink ref="M1660:M1662" r:id="rId508" display="http://consorciofia.info/cdr/ver_fuentes_w.php?NumCDR=9&amp;codEntidad=19397"/>
    <hyperlink ref="M1663:M1665" r:id="rId509" display="http://consorciofia.info/cdr/ver_fuentes_w.php?NumCDR=8&amp;codEntidad=19355"/>
    <hyperlink ref="M1666:M1668" r:id="rId510" display="http://consorciofia.info/cdr/ver_fuentes_w.php?NumCDR=7&amp;codEntidad=19760"/>
    <hyperlink ref="M1669:M1671" r:id="rId511" display="http://consorciofia.info/cdr/ver_fuentes_w.php?NumCDR=7&amp;codEntidad=19318"/>
    <hyperlink ref="M1673:M1676" r:id="rId512" display="http://consorciofia.info/cdr/ver_fuentes_w.php?NumCDR=7&amp;codEntidad=19573"/>
    <hyperlink ref="M1677:M1679" r:id="rId513" display="http://consorciofia.info/cdr/ver_fuentes_w.php?NumCDR=337&amp;codEntidad=19999"/>
    <hyperlink ref="M1680:M1682" r:id="rId514" display="http://consorciofia.info/cdr/ver_fuentes_w.php?NumCDR=15&amp;codEntidad=19110"/>
    <hyperlink ref="M1683:M1685" r:id="rId515" display="http://consorciofia.info/cdr/ver_fuentes_w.php?NumCDR=340&amp;codEntidad=19999"/>
    <hyperlink ref="M1686:M1688" r:id="rId516" display="http://consorciofia.info/cdr/ver_fuentes_w.php?NumCDR=8&amp;codEntidad=19573"/>
    <hyperlink ref="M1689" r:id="rId517" display="http://consorciofia.info/cdr/ver_fuentes_w.php?NumCDR=338&amp;codEntidad=19999"/>
    <hyperlink ref="M1690:M1691" r:id="rId518" display="http://consorciofia.info/cdr/ver_fuentes_w.php?NumCDR=16&amp;codEntidad=19110"/>
    <hyperlink ref="M1692" r:id="rId519" display="http://consorciofia.info/cdr/ver_fuentes_w.php?NumCDR=10&amp;codEntidad=19142"/>
    <hyperlink ref="M1696:M1711" r:id="rId520" display="http://consorciofia.info/cdr/ver_fuentes_w.php?NumCDR=343&amp;codEntidad=19999"/>
    <hyperlink ref="M1712" r:id="rId521" display="http://consorciofia.info/cdr/ver_fuentes_w.php?NumCDR=9&amp;codEntidad=19142"/>
    <hyperlink ref="M1722:M1723" r:id="rId522" display="http://consorciofia.info/cdr/ver_fuentes_w.php?NumCDR=11&amp;codEntidad=19397"/>
    <hyperlink ref="M1724:M1725" r:id="rId523" display="http://consorciofia.info/cdr/ver_fuentes_w.php?NumCDR=3564&amp;codEntidad=19397"/>
    <hyperlink ref="M1726:M1728" r:id="rId524" display="http://consorciofia.info/cdr/ver_fuentes_w.php?NumCDR=6&amp;codEntidad=19473"/>
    <hyperlink ref="M1729:M1730" r:id="rId525" display="http://consorciofia.info/cdr/ver_fuentes_w.php?NumCDR=9&amp;codEntidad=19548"/>
    <hyperlink ref="M1731" r:id="rId526" display="http://consorciofia.info/cdr/ver_fuentes_w.php?NumCDR=14&amp;codEntidad=19780"/>
    <hyperlink ref="M1738" r:id="rId527" display="http://consorciofia.info/cdr/ver_fuentes_w.php?NumCDR=10&amp;codEntidad=19392"/>
    <hyperlink ref="M43" r:id="rId528" display="http://consorciofia.info/cdr/ver_fuentes_w.php?NumCDR=012&amp;codEntidad=19999"/>
    <hyperlink ref="M1749" r:id="rId529" display="http://consorciofia.info/cdr/ver_fuentes_w.php?NumCDR=2379&amp;codEntidad=19050"/>
    <hyperlink ref="M1747" r:id="rId530" display="http://consorciofia.info/cdr/ver_fuentes_w.php?NumCDR=2370&amp;codEntidad=19760"/>
    <hyperlink ref="M1748" r:id="rId531" display="http://consorciofia.info/cdr/ver_fuentes_w.php?NumCDR=2392&amp;codEntidad=19364"/>
    <hyperlink ref="M1788" r:id="rId532" display="http://consorciofia.info/cdr/ver_fuentes_w.php?NumCDR=3986&amp;codEntidad=19050"/>
    <hyperlink ref="M1789" r:id="rId533" display="http://consorciofia.info/cdr/ver_fuentes_w.php?NumCDR=3976&amp;codEntidad=19392"/>
    <hyperlink ref="M1755" r:id="rId534" display="http://consorciofia.info/cdr/ver_fuentes_w.php?NumCDR=2394&amp;codEntidad=19300"/>
    <hyperlink ref="M1760" r:id="rId535" display="http://consorciofia.info/cdr/ver_fuentes_w.php?NumCDR=2372&amp;codEntidad=19110"/>
    <hyperlink ref="M1763" r:id="rId536" display="http://consorciofia.info/cdr/ver_fuentes_w.php?NumCDR=2373&amp;codEntidad=19999"/>
    <hyperlink ref="M1766" r:id="rId537" display="http://consorciofia.info/cdr/ver_fuentes_w.php?NumCDR=22&amp;codEntidad=19050"/>
    <hyperlink ref="M1767" r:id="rId538" display="http://consorciofia.info/cdr/ver_fuentes_w.php?NumCDR=2371&amp;codEntidad=19760"/>
    <hyperlink ref="M1768" r:id="rId539" display="http://consorciofia.info/cdr/ver_fuentes_w.php?NumCDR=2366&amp;codEntidad=19318"/>
    <hyperlink ref="M1770" r:id="rId540" display="http://consorciofia.info/cdr/ver_fuentes_w.php?NumCDR=2385&amp;codEntidad=19532"/>
    <hyperlink ref="M1769" r:id="rId541" display="http://consorciofia.info/cdr/ver_fuentes_w.php?NumCDR=2387&amp;codEntidad=19075"/>
    <hyperlink ref="M1771" r:id="rId542" display="http://consorciofia.info/cdr/ver_fuentes_w.php?NumCDR=2879&amp;codEntidad=19392"/>
    <hyperlink ref="M1772" r:id="rId543" display="http://consorciofia.info/cdr/ver_fuentes_w.php?NumCDR=2884&amp;codEntidad=19517"/>
    <hyperlink ref="M1388:M1393" r:id="rId544" display="http://consorciofia.info/cdr/ver_fuentes_w.php?NumCDR=326&amp;codEntidad=19999"/>
    <hyperlink ref="M1732:M1733" r:id="rId545" display="http://consorciofia.info/cdr/ver_fuentes_w.php?NumCDR=6&amp;codEntidad=19473"/>
    <hyperlink ref="M1734" r:id="rId546" display="http://consorciofia.info/cdr/ver_fuentes_w.php?NumCDR=8&amp;codEntidad=19548"/>
    <hyperlink ref="M1736" r:id="rId547" display="http://consorciofia.info/cdr/ver_fuentes_w.php?NumCDR=13&amp;codEntidad=19780"/>
    <hyperlink ref="M1756" r:id="rId548" display="http://consorciofia.info/cdr/ver_fuentes_w.php?NumCDR=2475&amp;codEntidad=19698"/>
    <hyperlink ref="M1757" r:id="rId549" display="http://consorciofia.info/cdr/ver_fuentes_w.php?NumCDR=2476&amp;codEntidad=19450"/>
    <hyperlink ref="M1758" r:id="rId550" display="http://consorciofia.info/cdr/ver_fuentes_w.php?NumCDR=2477&amp;codEntidad=19130"/>
    <hyperlink ref="M74:M75" r:id="rId551" display="http://consorciofia.info/cdr/ver_fuentes_w.php?NumCDR=016&amp;codEntidad=19999"/>
    <hyperlink ref="M1325:M1327" r:id="rId552" display="http://consorciofia.info/cdr/ver_fuentes_w.php?NumCDR=013&amp;codEntidad=19585"/>
    <hyperlink ref="M1328:M1330" r:id="rId553" display="http://consorciofia.info/cdr/ver_fuentes_w.php?NumCDR=006&amp;codEntidad=19743"/>
    <hyperlink ref="M965" r:id="rId554" display="http://consorciofia.info/cdr/ver_fuentes_w.php?NumCDR=006&amp;codEntidad=19698"/>
    <hyperlink ref="M49:M51" r:id="rId555" display="http://consorciofia.info/cdr/ver_fuentes_w.php?NumCDR=017&amp;codEntidad=19999"/>
    <hyperlink ref="M1362:M1363" r:id="rId556" display="http://consorciofia.info/cdr/ver_fuentes_w.php?NumCDR=3563&amp;codEntidad=19807"/>
    <hyperlink ref="M1226" r:id="rId557" display="http://consorciofia.info/cdr/ver_fuentes_w.php?NumCDR=004&amp;codEntidad=19807"/>
    <hyperlink ref="M1229" r:id="rId558" display="http://consorciofia.info/cdr/ver_fuentes_w.php?NumCDR=13&amp;codEntidad=19807"/>
    <hyperlink ref="M1774" r:id="rId559" display="http://consorciofia.info/cdr/ver_fuentes_w.php?NumCDR=2386&amp;codEntidad=19075"/>
    <hyperlink ref="M1775" r:id="rId560" display="http://consorciofia.info/cdr/ver_fuentes_w.php?NumCDR=2878&amp;codEntidad=19392"/>
    <hyperlink ref="M1779" r:id="rId561" display="http://consorciofia.info/cdr/ver_fuentes_w.php?NumCDR=2374&amp;codEntidad=19110"/>
    <hyperlink ref="M1777" r:id="rId562" display="http://consorciofia.info/cdr/ver_fuentes_w.php?NumCDR=2367&amp;codEntidad=19318"/>
    <hyperlink ref="M1781:M1782" r:id="rId563" display="http://consorciofia.info/cdr/ver_fuentes_w.php?NumCDR=4030&amp;codEntidad=19318"/>
    <hyperlink ref="M1396" r:id="rId564" display="http://consorciofia.info/cdr/ver_fuentes_w.php?NumCDR=3811&amp;codEntidad=19513"/>
    <hyperlink ref="M1398" r:id="rId565" display="http://consorciofia.info/cdr/ver_fuentes_w.php?NumCDR=3812&amp;codEntidad=19999"/>
    <hyperlink ref="M1322:M1324" r:id="rId566" display="http://consorciofia.info/cdr/ver_fuentes_w.php?NumCDR=4463&amp;codEntidad=19999"/>
    <hyperlink ref="M1535" r:id="rId567" display="http://consorciofia.info/cdr/ver_fuentes_w.php?NumCDR=4762&amp;codEntidad=19100"/>
    <hyperlink ref="M1372:M1387" r:id="rId568" display="http://consorciofia.info/cdr/ver_fuentes_w.php?NumCDR=312&amp;codEntidad=19999"/>
    <hyperlink ref="M1752" r:id="rId569" display="http://consorciofia.info/cdr/ver_fuentes_w.php?NumCDR=2380&amp;codEntidad=19999"/>
  </hyperlinks>
  <pageMargins left="0.37" right="0.17" top="0.74803149606299213" bottom="0.74803149606299213" header="0.31496062992125984" footer="0.31496062992125984"/>
  <pageSetup scale="24" orientation="landscape" r:id="rId570"/>
  <drawing r:id="rId571"/>
  <legacyDrawing r:id="rId572"/>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Listas!$G$2:$G$45</xm:f>
          </x14:formula1>
          <xm:sqref>AE89:AE91 AE85:AE87 AE1:AE83 AE93:AE596 AE599:AE603 AE609:AE705 AE710:AE989 AE996:AE1069 AE1077:AE1203 AE1210:AE1255 AE1274:AE1300 AE1309:AE1514 AE1542:AE1618 AE1672 AE1741:AE1048576</xm:sqref>
        </x14:dataValidation>
        <x14:dataValidation type="list" allowBlank="1" showInputMessage="1" showErrorMessage="1">
          <x14:formula1>
            <xm:f>Listas!$A$2:$A$43</xm:f>
          </x14:formula1>
          <xm:sqref>C717 C422:C436 C442 C212 C216 C220 C232 C446:C526 C1400 C350 C236:C289 C568:C579 C585 C591 C599 C609 C612 C616 C619 C622 C628 C633 C636 C638 C644 C653 C656 C659 C33 C37 C65 C549:C562 C68:C69 C91:C92 C664:C675 C710 C712 C714 C724 C681:C699 C720 C1:C29 C43:C58 C71:C84 C95:C208 C354:C418 C331:C346 C1061:C1062 C1043 C1048 C1052 C1057 C996:C1040 C1542 C1101:C1103 C1121 C1080 C1083 C1086 C1088 C1092 C1095 C1099 C1128 C1176 C1149:C1151 C1191 C1210 C1238 C1225:C1234 C1193 C1244 C1251:C1252 C1274 C1077 C1354 C1407 C1336:C1349 C1334 C295:C322 C727:C989 C1064:C1069 C1295:C1300 C1309:C1310 C1360:C1369 C1403 C1405 C1492 C1411:C1456 C1460 C1464 C1468 C1472 C1476 C1480 C1484 C1488 C1496:C1512 C1545 C1672 C1551 C1555 C1559 C1563 C1567 C1571 C1575 C1579 C1547 C1583:C1585 C1606:C1618 C1741:C1048576</xm:sqref>
        </x14:dataValidation>
        <x14:dataValidation type="list" allowBlank="1" showInputMessage="1" showErrorMessage="1">
          <x14:formula1>
            <xm:f>Listas!$E$2:$E$45</xm:f>
          </x14:formula1>
          <xm:sqref>N719:N720 N422:N439 N442 N444 N212:N214 N216:N218 N220:N222 N224:N226 N228:N230 N232:N234 N236:N237 N418 N292:N293 N295:N296 N298:N299 N1453 N348 N350 N352 N420 N240:N290 N518 N147 N414 N155 N522 N512 N151 N524 N515 N446:N507 N509 N549:N562 N570:N571 N574 N568 N576:N579 N582 N585 N588 N591 N599 N602 N609 N392:N394 N397 N612 N616 N619 N622 N625 N628 N633 N636 N638 N641 N644 N647 N650 N653 N656 N659 N33 N37 N41 N62 N65 N68:N69 N86:N88 N90:N92 N526 N530 N534 N538 N541 N544 N547 N664:N675 N679 N710 N712 N714 N681:N699 N704 N723:N724 N717 N1:N29 N43:N58 N71:N84 N94:N143 N159:N210 N354:N390 N400:N412 N301:N346 N1061:N1062 N1043 N1048 N1052 N1057 N996:N1040 N1514 N1124 N1109 N1113 N1118 N1121 N1127:N1128 N1136 N1144 N1147 N1176 N1184 N1188 N1180 N1157 N1164 N1170 N1173 N1149:N1151 N1191 N1210 N1216 N1222 N1236 N1238 N1225:N1234 N1198 N1202 N1193 N1243:N1244 N1251:N1252 N1274 N1281 N1288 N1077:N1103 N1314 N1318 N1353:N1354 N1358 N1360:N1369 N1492 N1336:N1349 N1334 N1435 N1411:N1433 N1437 N1439 N1441 N1443 N1445 N1447 N1449 N1451 N727:N989 N1064:N1069 N1295:N1300 N1309:N1310 N1371:N1400 N1407 N1403 N1405 N1460 N1464 N1468 N1472 N1476 N1480 N1484 N1488 N1455:N1456 N1496:N1512 N1542 N1545 N1672 N1551 N1555 N1559 N1563 N1567 N1571 N1575 N1579 N1583:N1585 N1589:N1593 N1547 N1606:N1618 N1741 N1747:N1048576</xm:sqref>
        </x14:dataValidation>
        <x14:dataValidation type="list" allowBlank="1" showInputMessage="1" showErrorMessage="1">
          <x14:formula1>
            <xm:f>Listas!$C$2:$C$6</xm:f>
          </x14:formula1>
          <xm:sqref>J719:J720 J422:J436 J442 J236:J237 J418 J1411 J350 J549 J446:J508 J524 J562 J576 J579 J585 J591 J599 J602 J609 J392:J394 J612 J616 J619 J628 J633 J636 J638 J656 J659 J33 J41 J37 J62 J65 J68:J69 J526 J538 J547 J679 J664:J675 J710 J712 J714 J681:J699 J723:J724 J717 J1:J29 J43:J58 J71:J84 J95:J143 J159:J208 J354:J389 J400:J412 J239:J289 J558 J327 J1061:J1062 J996:J1040 J1514 J1118 J1121 J1127:J1128 J1144 J1147 J1176 J1188 J1170 J1149:J1151 J1191 J1210 J1222 J1236 J1238 J1225:J1234 J1202 J1193 J1243:J1244 J1251:J1252 J1274 J1077:J1103 J1353:J1354 J1358 J1360:J1369 J1336:J1349 J1334 J301:J302 J331:J346 J727:J989 J1064:J1069 J1295:J1300 J1309:J1310 J1371:J1400 J1407 J1403 J1492 J1433:J1456 J1496:J1512 J1542 J1545 J1672 J1583:J1585 J1547 J1606:J1618 J1741:J1048576</xm:sqref>
        </x14:dataValidation>
        <x14:dataValidation type="list" allowBlank="1" showInputMessage="1" showErrorMessage="1">
          <x14:formula1>
            <xm:f>Listas!$B$2:$B$5</xm:f>
          </x14:formula1>
          <xm:sqref>H717 H422:H436 H442 H418 H350 H1411 H446:H508 H562 H579 H585 H591 H599 H609 H612 H616 H619 H628 H633 H636 H638 H656 H659 H33 H37 H65 H69 H526 H664:H675 H710 H712 H714 H724 H681:H699 H720 H1:H29 H43:H58 H71:H84 H160:H208 H95:H143 H354:H412 H240:H259 H727:H797 H1040 H817 H831 H819:H829 H839 H844 H848 H852 H855 H858 H861:H873 H883 H892:H900 H917 H921:H927 H954 H960 H968 H984 H996 H1004 H1007 H998 H1035 H1037 H1065 H1542 H1121 H1103 H1128 H1176 H1149:H1151 H1191 H1210 H1238 H1225:H1234 H1193 H1244 H1251:H1252 H1274 H289:H346 H1354 H1407 H1336:H1349 H1334 H1295:H1300 H1309:H1310 H1360:H1369 H1400 H1492 H1433:H1456 H1496:H1512 H1545 H1672 H1547 H1583:H1585 H1606:H1618 H1741:H1048576</xm:sqref>
        </x14:dataValidation>
        <x14:dataValidation type="list" allowBlank="1" showInputMessage="1" showErrorMessage="1">
          <x14:formula1>
            <xm:f>Listas!$D$2:$D$10</xm:f>
          </x14:formula1>
          <xm:sqref>K1:K1048576</xm:sqref>
        </x14:dataValidation>
        <x14:dataValidation type="list" allowBlank="1" showInputMessage="1" showErrorMessage="1">
          <x14:formula1>
            <xm:f>[3]Listas!#REF!</xm:f>
          </x14:formula1>
          <xm:sqref>H830 H834:H838 H1726 H1738:H1740 J1726 J1729 J1738:J1740 C1726 C1732:C1738 N1726 N1729 N1731:N1738 AE1726:AE1740</xm:sqref>
        </x14:dataValidation>
        <x14:dataValidation type="list" allowBlank="1" showInputMessage="1" showErrorMessage="1">
          <x14:formula1>
            <xm:f>[4]Listas!#REF!</xm:f>
          </x14:formula1>
          <xm:sqref>J604:J608 N597 C597 J597 H597 AE597:AE598 N604:N608 C604:C608 H1692 H604:H608 AE604:AE608 J990:J995 AE706:AE709 H706 J706 C706 N706 N990:N995 C990:C995 J1070:J1076 H990:H995 AE990:AE995 J1204:J1209 AE1070:AE1076 H1070:H1076 C1070:C1076 N1070:N1076 N1204:N1209 C1204:C1209 H1696 H1204:H1209 AE1204:AE1209 N1266:N1269 N1271:N1272 C1269 J1271 H1722:H1725 AE1256:AE1273 H1256:H1269 J1256:J1269 C1256 N1256:N1261 N1301 C1301 J1301 H1301 AE1301:AE1304 AE1621:AE1671 AE1515:AE1532 N1521 N1528 N1515 C1515 J1515 H1515 AE1673:AE1725 N1624 N1626 N1629 N1632 N1635 N1638 N1640 N1642 N1645 N1648 N1651 N1654 N1657 N1660 N1663 N1666 N1669 N1621 N1673 N1677 N1689:N1690 N1692 N1696 N1706:N1725 C1624 C1626 C1629 C1632 C1635 C1638 C1640 C1642 C1645 C1648 C1651 C1654 C1657 C1660 C1663 C1666 C1669 C1621 C1673 C1677 C1689:C1690 C1692 C1696 C1722:C1725 J1621 J1673 J1677 J1689:J1690 J1692 J1696 J1722:J1725 H1621 H1673 H1677 H1689:H1690</xm:sqref>
        </x14:dataValidation>
        <x14:dataValidation type="list" allowBlank="1" showInputMessage="1" showErrorMessage="1">
          <x14:formula1>
            <xm:f>[5]Listas!#REF!</xm:f>
          </x14:formula1>
          <xm:sqref>AE1538:AE1541 C1538 H1538 J1541 J1538 N1541 N1538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F22"/>
  <sheetViews>
    <sheetView workbookViewId="0"/>
  </sheetViews>
  <sheetFormatPr baseColWidth="10" defaultRowHeight="15"/>
  <cols>
    <col min="3" max="4" width="15.5703125" customWidth="1"/>
  </cols>
  <sheetData>
    <row r="1" spans="1:6" ht="26.25" thickBot="1">
      <c r="A1" s="537" t="s">
        <v>2400</v>
      </c>
      <c r="B1" s="537" t="s">
        <v>2401</v>
      </c>
      <c r="C1" s="537" t="s">
        <v>2402</v>
      </c>
      <c r="D1" s="537" t="s">
        <v>2403</v>
      </c>
    </row>
    <row r="2" spans="1:6">
      <c r="A2" s="538" t="s">
        <v>2404</v>
      </c>
      <c r="B2" s="538"/>
      <c r="C2" s="687">
        <v>174186473</v>
      </c>
      <c r="D2" s="687">
        <v>172255815.62</v>
      </c>
    </row>
    <row r="3" spans="1:6" ht="26.25">
      <c r="A3" s="540">
        <v>4</v>
      </c>
      <c r="B3" s="540" t="s">
        <v>2405</v>
      </c>
      <c r="C3" s="541">
        <v>174186473</v>
      </c>
      <c r="D3" s="541">
        <v>172255815.62</v>
      </c>
    </row>
    <row r="4" spans="1:6">
      <c r="A4" s="543" t="s">
        <v>2612</v>
      </c>
    </row>
    <row r="5" spans="1:6">
      <c r="A5" s="543" t="s">
        <v>2613</v>
      </c>
    </row>
    <row r="6" spans="1:6">
      <c r="A6" s="544" t="s">
        <v>2408</v>
      </c>
    </row>
    <row r="7" spans="1:6" ht="15.75" thickBot="1">
      <c r="A7" s="537" t="s">
        <v>2409</v>
      </c>
      <c r="B7" s="537" t="s">
        <v>2410</v>
      </c>
      <c r="C7" s="537" t="s">
        <v>2401</v>
      </c>
      <c r="D7" s="537" t="s">
        <v>2411</v>
      </c>
    </row>
    <row r="8" spans="1:6">
      <c r="A8" s="1462"/>
      <c r="B8" s="1462"/>
      <c r="C8" s="1462"/>
      <c r="D8" s="538"/>
    </row>
    <row r="9" spans="1:6" ht="78" thickBot="1">
      <c r="A9" s="625">
        <v>41940</v>
      </c>
      <c r="B9" s="626" t="s">
        <v>2707</v>
      </c>
      <c r="C9" s="627" t="s">
        <v>2405</v>
      </c>
      <c r="D9" s="628">
        <v>75003789.840000004</v>
      </c>
      <c r="F9">
        <v>100</v>
      </c>
    </row>
    <row r="10" spans="1:6" ht="78" thickBot="1">
      <c r="A10" s="553">
        <v>42062</v>
      </c>
      <c r="B10" s="550" t="s">
        <v>2708</v>
      </c>
      <c r="C10" s="551" t="s">
        <v>2405</v>
      </c>
      <c r="D10" s="573">
        <v>76869701.739999995</v>
      </c>
    </row>
    <row r="11" spans="1:6" ht="64.5">
      <c r="A11" s="574">
        <v>43095</v>
      </c>
      <c r="B11" s="554" t="s">
        <v>2709</v>
      </c>
      <c r="C11" s="555" t="s">
        <v>2405</v>
      </c>
      <c r="D11" s="552">
        <v>20382324.039999999</v>
      </c>
    </row>
    <row r="12" spans="1:6">
      <c r="D12">
        <f>SUM(D9:D11)</f>
        <v>172255815.61999997</v>
      </c>
    </row>
    <row r="14" spans="1:6" ht="51.75">
      <c r="A14" s="540">
        <v>295</v>
      </c>
      <c r="B14" s="540" t="s">
        <v>74</v>
      </c>
      <c r="C14" s="541">
        <v>224417670</v>
      </c>
      <c r="D14" s="541">
        <v>221930257.38</v>
      </c>
    </row>
    <row r="15" spans="1:6">
      <c r="A15" s="543" t="s">
        <v>2612</v>
      </c>
    </row>
    <row r="16" spans="1:6">
      <c r="A16" s="543" t="s">
        <v>2613</v>
      </c>
    </row>
    <row r="17" spans="1:4">
      <c r="A17" s="544" t="s">
        <v>2408</v>
      </c>
    </row>
    <row r="18" spans="1:4" ht="15.75" thickBot="1">
      <c r="A18" s="537" t="s">
        <v>2409</v>
      </c>
      <c r="B18" s="537" t="s">
        <v>2410</v>
      </c>
      <c r="C18" s="537" t="s">
        <v>2401</v>
      </c>
      <c r="D18" s="537" t="s">
        <v>2411</v>
      </c>
    </row>
    <row r="19" spans="1:4">
      <c r="A19" s="1462"/>
      <c r="B19" s="1462"/>
      <c r="C19" s="1462"/>
      <c r="D19" s="538"/>
    </row>
    <row r="20" spans="1:4" ht="78" thickBot="1">
      <c r="A20" s="571">
        <v>41940</v>
      </c>
      <c r="B20" s="546" t="s">
        <v>2712</v>
      </c>
      <c r="C20" s="547" t="s">
        <v>74</v>
      </c>
      <c r="D20" s="572">
        <v>96633082.159999996</v>
      </c>
    </row>
    <row r="21" spans="1:4" ht="78" thickBot="1">
      <c r="A21" s="575">
        <v>42062</v>
      </c>
      <c r="B21" s="558" t="s">
        <v>2713</v>
      </c>
      <c r="C21" s="559" t="s">
        <v>74</v>
      </c>
      <c r="D21" s="576">
        <v>99037078.260000005</v>
      </c>
    </row>
    <row r="22" spans="1:4" ht="64.5">
      <c r="A22" s="574">
        <v>43095</v>
      </c>
      <c r="B22" s="554" t="s">
        <v>2711</v>
      </c>
      <c r="C22" s="555" t="s">
        <v>74</v>
      </c>
      <c r="D22" s="552">
        <v>26260096.960000001</v>
      </c>
    </row>
  </sheetData>
  <mergeCells count="2">
    <mergeCell ref="A8:C8"/>
    <mergeCell ref="A19:C19"/>
  </mergeCells>
  <pageMargins left="0.7" right="0.7" top="0.75" bottom="0.75" header="0.3" footer="0.3"/>
  <drawing r:id="rId1"/>
  <legacyDrawing r:id="rId2"/>
  <controls>
    <mc:AlternateContent xmlns:mc="http://schemas.openxmlformats.org/markup-compatibility/2006">
      <mc:Choice Requires="x14">
        <control shapeId="80897" r:id="rId3" name="Control 1">
          <controlPr defaultSize="0" autoPict="0" r:id="rId4">
            <anchor moveWithCells="1">
              <from>
                <xdr:col>0</xdr:col>
                <xdr:colOff>0</xdr:colOff>
                <xdr:row>4</xdr:row>
                <xdr:rowOff>0</xdr:rowOff>
              </from>
              <to>
                <xdr:col>0</xdr:col>
                <xdr:colOff>666750</xdr:colOff>
                <xdr:row>5</xdr:row>
                <xdr:rowOff>38100</xdr:rowOff>
              </to>
            </anchor>
          </controlPr>
        </control>
      </mc:Choice>
      <mc:Fallback>
        <control shapeId="80897" r:id="rId3" name="Control 1"/>
      </mc:Fallback>
    </mc:AlternateContent>
    <mc:AlternateContent xmlns:mc="http://schemas.openxmlformats.org/markup-compatibility/2006">
      <mc:Choice Requires="x14">
        <control shapeId="80898" r:id="rId5" name="Control 2">
          <controlPr defaultSize="0" autoPict="0" r:id="rId4">
            <anchor moveWithCells="1">
              <from>
                <xdr:col>0</xdr:col>
                <xdr:colOff>0</xdr:colOff>
                <xdr:row>15</xdr:row>
                <xdr:rowOff>0</xdr:rowOff>
              </from>
              <to>
                <xdr:col>0</xdr:col>
                <xdr:colOff>666750</xdr:colOff>
                <xdr:row>16</xdr:row>
                <xdr:rowOff>38100</xdr:rowOff>
              </to>
            </anchor>
          </controlPr>
        </control>
      </mc:Choice>
      <mc:Fallback>
        <control shapeId="80898" r:id="rId5" name="Control 2"/>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D33"/>
  <sheetViews>
    <sheetView workbookViewId="0"/>
  </sheetViews>
  <sheetFormatPr baseColWidth="10" defaultRowHeight="15"/>
  <cols>
    <col min="3" max="3" width="23.140625" customWidth="1"/>
    <col min="4" max="4" width="13.28515625" bestFit="1" customWidth="1"/>
  </cols>
  <sheetData>
    <row r="1" spans="1:4" ht="26.25" thickBot="1">
      <c r="A1" s="537" t="s">
        <v>2400</v>
      </c>
      <c r="B1" s="537" t="s">
        <v>2401</v>
      </c>
      <c r="C1" s="537" t="s">
        <v>2402</v>
      </c>
      <c r="D1" s="537" t="s">
        <v>2403</v>
      </c>
    </row>
    <row r="2" spans="1:4" ht="15" customHeight="1">
      <c r="A2" s="538" t="s">
        <v>2404</v>
      </c>
      <c r="B2" s="538"/>
      <c r="C2" s="687">
        <v>9245200</v>
      </c>
      <c r="D2" s="687">
        <v>9245200</v>
      </c>
    </row>
    <row r="3" spans="1:4" ht="15" customHeight="1">
      <c r="A3" s="540">
        <v>45</v>
      </c>
      <c r="B3" s="540" t="s">
        <v>2405</v>
      </c>
      <c r="C3" s="541">
        <v>6208152</v>
      </c>
      <c r="D3" s="541">
        <v>6208152</v>
      </c>
    </row>
    <row r="4" spans="1:4" ht="15" customHeight="1">
      <c r="A4" s="540">
        <v>45</v>
      </c>
      <c r="B4" s="540" t="s">
        <v>74</v>
      </c>
      <c r="C4" s="541">
        <v>3037048</v>
      </c>
      <c r="D4" s="541">
        <v>3037048</v>
      </c>
    </row>
    <row r="5" spans="1:4" ht="15" customHeight="1">
      <c r="A5" s="543" t="s">
        <v>2612</v>
      </c>
    </row>
    <row r="6" spans="1:4" ht="15" customHeight="1">
      <c r="A6" s="543" t="s">
        <v>2613</v>
      </c>
    </row>
    <row r="7" spans="1:4" ht="15" customHeight="1">
      <c r="A7" s="544" t="s">
        <v>2408</v>
      </c>
    </row>
    <row r="8" spans="1:4" ht="15" customHeight="1" thickBot="1">
      <c r="A8" s="537" t="s">
        <v>2409</v>
      </c>
      <c r="B8" s="537" t="s">
        <v>2410</v>
      </c>
      <c r="C8" s="537" t="s">
        <v>2401</v>
      </c>
      <c r="D8" s="537" t="s">
        <v>2411</v>
      </c>
    </row>
    <row r="9" spans="1:4" ht="15" customHeight="1" thickBot="1">
      <c r="A9" s="571">
        <v>40382</v>
      </c>
      <c r="B9" s="546" t="s">
        <v>2690</v>
      </c>
      <c r="C9" s="547" t="s">
        <v>2405</v>
      </c>
      <c r="D9" s="572">
        <v>2483260.7999999998</v>
      </c>
    </row>
    <row r="10" spans="1:4" ht="15" customHeight="1" thickBot="1">
      <c r="A10" s="574">
        <v>40548</v>
      </c>
      <c r="B10" s="554" t="s">
        <v>2691</v>
      </c>
      <c r="C10" s="555" t="s">
        <v>2405</v>
      </c>
      <c r="D10" s="552">
        <v>2607424</v>
      </c>
    </row>
    <row r="11" spans="1:4" ht="15" customHeight="1" thickBot="1">
      <c r="A11" s="574">
        <v>40869</v>
      </c>
      <c r="B11" s="554" t="s">
        <v>2692</v>
      </c>
      <c r="C11" s="555" t="s">
        <v>2405</v>
      </c>
      <c r="D11" s="552">
        <v>755492</v>
      </c>
    </row>
    <row r="12" spans="1:4" ht="15" customHeight="1" thickBot="1">
      <c r="A12" s="553">
        <v>43005</v>
      </c>
      <c r="B12" s="550" t="s">
        <v>2694</v>
      </c>
      <c r="C12" s="551" t="s">
        <v>2405</v>
      </c>
      <c r="D12" s="573">
        <v>361975.2</v>
      </c>
    </row>
    <row r="13" spans="1:4" ht="15" customHeight="1" thickBot="1">
      <c r="A13" s="553">
        <v>40382</v>
      </c>
      <c r="B13" s="550" t="s">
        <v>2690</v>
      </c>
      <c r="C13" s="551" t="s">
        <v>74</v>
      </c>
      <c r="D13" s="573">
        <v>1214819.2</v>
      </c>
    </row>
    <row r="14" spans="1:4" ht="15" customHeight="1" thickBot="1">
      <c r="A14" s="575">
        <v>40548</v>
      </c>
      <c r="B14" s="558" t="s">
        <v>2691</v>
      </c>
      <c r="C14" s="559" t="s">
        <v>74</v>
      </c>
      <c r="D14" s="576">
        <v>1275560</v>
      </c>
    </row>
    <row r="15" spans="1:4" ht="15" customHeight="1" thickBot="1">
      <c r="A15" s="553">
        <v>40869</v>
      </c>
      <c r="B15" s="550" t="s">
        <v>2692</v>
      </c>
      <c r="C15" s="551" t="s">
        <v>74</v>
      </c>
      <c r="D15" s="573">
        <v>355526</v>
      </c>
    </row>
    <row r="16" spans="1:4" ht="15" customHeight="1">
      <c r="A16" s="574">
        <v>43005</v>
      </c>
      <c r="B16" s="554" t="s">
        <v>2693</v>
      </c>
      <c r="C16" s="555" t="s">
        <v>74</v>
      </c>
      <c r="D16" s="552">
        <v>191142.8</v>
      </c>
    </row>
    <row r="17" spans="1:4" ht="15" customHeight="1"/>
    <row r="18" spans="1:4" ht="15" customHeight="1" thickBot="1">
      <c r="A18" s="537" t="s">
        <v>2400</v>
      </c>
      <c r="B18" s="537" t="s">
        <v>2401</v>
      </c>
      <c r="C18" s="537" t="s">
        <v>2402</v>
      </c>
      <c r="D18" s="537" t="s">
        <v>2403</v>
      </c>
    </row>
    <row r="19" spans="1:4" ht="15" customHeight="1">
      <c r="A19" s="538" t="s">
        <v>2404</v>
      </c>
      <c r="B19" s="538"/>
      <c r="C19" s="687">
        <v>6717699</v>
      </c>
      <c r="D19" s="687">
        <v>6717699</v>
      </c>
    </row>
    <row r="20" spans="1:4" ht="15" customHeight="1">
      <c r="A20" s="540">
        <v>46</v>
      </c>
      <c r="B20" s="540" t="s">
        <v>2405</v>
      </c>
      <c r="C20" s="541">
        <v>4510935</v>
      </c>
      <c r="D20" s="541">
        <v>4510934.9000000004</v>
      </c>
    </row>
    <row r="21" spans="1:4" ht="15" customHeight="1">
      <c r="A21" s="540">
        <v>46</v>
      </c>
      <c r="B21" s="540" t="s">
        <v>74</v>
      </c>
      <c r="C21" s="541">
        <v>2206764</v>
      </c>
      <c r="D21" s="541">
        <v>2206764.1</v>
      </c>
    </row>
    <row r="22" spans="1:4" ht="15" customHeight="1">
      <c r="A22" s="543" t="s">
        <v>2612</v>
      </c>
    </row>
    <row r="23" spans="1:4" ht="15" customHeight="1">
      <c r="A23" s="543" t="s">
        <v>2613</v>
      </c>
    </row>
    <row r="24" spans="1:4" ht="15" customHeight="1">
      <c r="A24" s="544" t="s">
        <v>2408</v>
      </c>
    </row>
    <row r="25" spans="1:4" ht="15" customHeight="1" thickBot="1">
      <c r="A25" s="537" t="s">
        <v>2409</v>
      </c>
      <c r="B25" s="537" t="s">
        <v>2410</v>
      </c>
      <c r="C25" s="537" t="s">
        <v>2401</v>
      </c>
      <c r="D25" s="537" t="s">
        <v>2411</v>
      </c>
    </row>
    <row r="26" spans="1:4" ht="15" customHeight="1" thickBot="1">
      <c r="A26" s="600">
        <v>40382</v>
      </c>
      <c r="B26" s="577" t="s">
        <v>2690</v>
      </c>
      <c r="C26" s="578" t="s">
        <v>2405</v>
      </c>
      <c r="D26" s="572">
        <v>1804374.27</v>
      </c>
    </row>
    <row r="27" spans="1:4" ht="15" customHeight="1" thickBot="1">
      <c r="A27" s="553">
        <v>40548</v>
      </c>
      <c r="B27" s="554" t="s">
        <v>2691</v>
      </c>
      <c r="C27" s="555" t="s">
        <v>2405</v>
      </c>
      <c r="D27" s="556">
        <v>1894593</v>
      </c>
    </row>
    <row r="28" spans="1:4" ht="15" customHeight="1" thickBot="1">
      <c r="A28" s="553">
        <v>40869</v>
      </c>
      <c r="B28" s="554" t="s">
        <v>2692</v>
      </c>
      <c r="C28" s="555" t="s">
        <v>2405</v>
      </c>
      <c r="D28" s="556">
        <v>547080</v>
      </c>
    </row>
    <row r="29" spans="1:4" ht="15" customHeight="1" thickBot="1">
      <c r="A29" s="549">
        <v>43005</v>
      </c>
      <c r="B29" s="550" t="s">
        <v>2695</v>
      </c>
      <c r="C29" s="551" t="s">
        <v>2405</v>
      </c>
      <c r="D29" s="552">
        <v>264887.63</v>
      </c>
    </row>
    <row r="30" spans="1:4" ht="15" customHeight="1" thickBot="1">
      <c r="A30" s="549">
        <v>40382</v>
      </c>
      <c r="B30" s="550" t="s">
        <v>2690</v>
      </c>
      <c r="C30" s="551" t="s">
        <v>74</v>
      </c>
      <c r="D30" s="552">
        <v>882705.73</v>
      </c>
    </row>
    <row r="31" spans="1:4" ht="15" customHeight="1" thickBot="1">
      <c r="A31" s="553">
        <v>40548</v>
      </c>
      <c r="B31" s="554" t="s">
        <v>2691</v>
      </c>
      <c r="C31" s="555" t="s">
        <v>74</v>
      </c>
      <c r="D31" s="556">
        <v>926841</v>
      </c>
    </row>
    <row r="32" spans="1:4" ht="15" customHeight="1" thickBot="1">
      <c r="A32" s="553">
        <v>40869</v>
      </c>
      <c r="B32" s="554" t="s">
        <v>2692</v>
      </c>
      <c r="C32" s="555" t="s">
        <v>74</v>
      </c>
      <c r="D32" s="556">
        <v>257450</v>
      </c>
    </row>
    <row r="33" spans="1:4" ht="15" customHeight="1">
      <c r="A33" s="549">
        <v>43005</v>
      </c>
      <c r="B33" s="550" t="s">
        <v>2696</v>
      </c>
      <c r="C33" s="551" t="s">
        <v>74</v>
      </c>
      <c r="D33" s="552">
        <v>139767.37</v>
      </c>
    </row>
  </sheetData>
  <sortState ref="A26:D33">
    <sortCondition descending="1" ref="C26:C33"/>
    <sortCondition ref="A26:A33"/>
  </sortState>
  <pageMargins left="0.7" right="0.7" top="0.75" bottom="0.75" header="0.3" footer="0.3"/>
  <drawing r:id="rId1"/>
  <legacyDrawing r:id="rId2"/>
  <controls>
    <mc:AlternateContent xmlns:mc="http://schemas.openxmlformats.org/markup-compatibility/2006">
      <mc:Choice Requires="x14">
        <control shapeId="79873" r:id="rId3" name="Control 1">
          <controlPr defaultSize="0" autoPict="0" r:id="rId4">
            <anchor moveWithCells="1">
              <from>
                <xdr:col>0</xdr:col>
                <xdr:colOff>0</xdr:colOff>
                <xdr:row>5</xdr:row>
                <xdr:rowOff>0</xdr:rowOff>
              </from>
              <to>
                <xdr:col>0</xdr:col>
                <xdr:colOff>666750</xdr:colOff>
                <xdr:row>6</xdr:row>
                <xdr:rowOff>38100</xdr:rowOff>
              </to>
            </anchor>
          </controlPr>
        </control>
      </mc:Choice>
      <mc:Fallback>
        <control shapeId="79873" r:id="rId3" name="Control 1"/>
      </mc:Fallback>
    </mc:AlternateContent>
    <mc:AlternateContent xmlns:mc="http://schemas.openxmlformats.org/markup-compatibility/2006">
      <mc:Choice Requires="x14">
        <control shapeId="79874" r:id="rId5" name="Control 2">
          <controlPr defaultSize="0" autoPict="0" r:id="rId4">
            <anchor moveWithCells="1">
              <from>
                <xdr:col>0</xdr:col>
                <xdr:colOff>0</xdr:colOff>
                <xdr:row>22</xdr:row>
                <xdr:rowOff>0</xdr:rowOff>
              </from>
              <to>
                <xdr:col>0</xdr:col>
                <xdr:colOff>666750</xdr:colOff>
                <xdr:row>23</xdr:row>
                <xdr:rowOff>38100</xdr:rowOff>
              </to>
            </anchor>
          </controlPr>
        </control>
      </mc:Choice>
      <mc:Fallback>
        <control shapeId="79874" r:id="rId5" name="Control 2"/>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D11"/>
  <sheetViews>
    <sheetView workbookViewId="0"/>
  </sheetViews>
  <sheetFormatPr baseColWidth="10" defaultRowHeight="15"/>
  <cols>
    <col min="3" max="3" width="14" bestFit="1" customWidth="1"/>
    <col min="4" max="4" width="12.85546875" bestFit="1" customWidth="1"/>
  </cols>
  <sheetData>
    <row r="1" spans="1:4" ht="26.25" thickBot="1">
      <c r="A1" s="537" t="s">
        <v>2400</v>
      </c>
      <c r="B1" s="537" t="s">
        <v>2401</v>
      </c>
      <c r="C1" s="537" t="s">
        <v>2402</v>
      </c>
      <c r="D1" s="537" t="s">
        <v>2403</v>
      </c>
    </row>
    <row r="2" spans="1:4">
      <c r="A2" s="538" t="s">
        <v>2404</v>
      </c>
      <c r="B2" s="538"/>
      <c r="C2" s="629">
        <v>1563158721</v>
      </c>
      <c r="D2" s="629">
        <v>1369864276.5</v>
      </c>
    </row>
    <row r="3" spans="1:4" ht="26.25">
      <c r="A3" s="540">
        <v>9</v>
      </c>
      <c r="B3" s="540" t="s">
        <v>2405</v>
      </c>
      <c r="C3" s="541">
        <v>1563158721</v>
      </c>
      <c r="D3" s="541">
        <v>1369864276.5</v>
      </c>
    </row>
    <row r="4" spans="1:4">
      <c r="A4" s="543" t="s">
        <v>2612</v>
      </c>
    </row>
    <row r="5" spans="1:4">
      <c r="A5" s="543" t="s">
        <v>2613</v>
      </c>
    </row>
    <row r="6" spans="1:4">
      <c r="A6" s="544" t="s">
        <v>2408</v>
      </c>
    </row>
    <row r="7" spans="1:4" ht="15.75" thickBot="1">
      <c r="A7" s="537" t="s">
        <v>2409</v>
      </c>
      <c r="B7" s="537" t="s">
        <v>2410</v>
      </c>
      <c r="C7" s="537" t="s">
        <v>2401</v>
      </c>
      <c r="D7" s="537" t="s">
        <v>2411</v>
      </c>
    </row>
    <row r="8" spans="1:4">
      <c r="A8" s="1462"/>
      <c r="B8" s="1462"/>
      <c r="C8" s="1462"/>
      <c r="D8" s="538"/>
    </row>
    <row r="9" spans="1:4" ht="116.25" thickBot="1">
      <c r="A9" s="625">
        <v>42451</v>
      </c>
      <c r="B9" s="626" t="s">
        <v>2681</v>
      </c>
      <c r="C9" s="627" t="s">
        <v>2405</v>
      </c>
      <c r="D9" s="628">
        <v>780727451.5</v>
      </c>
    </row>
    <row r="10" spans="1:4" ht="90.75" thickBot="1">
      <c r="A10" s="553">
        <v>42886</v>
      </c>
      <c r="B10" s="550" t="s">
        <v>2682</v>
      </c>
      <c r="C10" s="551" t="s">
        <v>2405</v>
      </c>
      <c r="D10" s="573">
        <v>223521371.5</v>
      </c>
    </row>
    <row r="11" spans="1:4" ht="64.5">
      <c r="A11" s="574">
        <v>42989</v>
      </c>
      <c r="B11" s="554" t="s">
        <v>2683</v>
      </c>
      <c r="C11" s="555" t="s">
        <v>2405</v>
      </c>
      <c r="D11" s="552">
        <v>365615453.5</v>
      </c>
    </row>
  </sheetData>
  <mergeCells count="1">
    <mergeCell ref="A8:C8"/>
  </mergeCells>
  <pageMargins left="0.7" right="0.7" top="0.75" bottom="0.75" header="0.3" footer="0.3"/>
  <drawing r:id="rId1"/>
  <legacyDrawing r:id="rId2"/>
  <controls>
    <mc:AlternateContent xmlns:mc="http://schemas.openxmlformats.org/markup-compatibility/2006">
      <mc:Choice Requires="x14">
        <control shapeId="68609" r:id="rId3" name="Control 1">
          <controlPr defaultSize="0" autoPict="0" r:id="rId4">
            <anchor moveWithCells="1">
              <from>
                <xdr:col>0</xdr:col>
                <xdr:colOff>0</xdr:colOff>
                <xdr:row>4</xdr:row>
                <xdr:rowOff>0</xdr:rowOff>
              </from>
              <to>
                <xdr:col>0</xdr:col>
                <xdr:colOff>666750</xdr:colOff>
                <xdr:row>5</xdr:row>
                <xdr:rowOff>38100</xdr:rowOff>
              </to>
            </anchor>
          </controlPr>
        </control>
      </mc:Choice>
      <mc:Fallback>
        <control shapeId="68609" r:id="rId3" name="Control 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E20"/>
  <sheetViews>
    <sheetView workbookViewId="0"/>
  </sheetViews>
  <sheetFormatPr baseColWidth="10" defaultRowHeight="15"/>
  <cols>
    <col min="3" max="3" width="20.28515625" customWidth="1"/>
    <col min="4" max="4" width="23.140625" customWidth="1"/>
    <col min="5" max="5" width="14.42578125" bestFit="1" customWidth="1"/>
  </cols>
  <sheetData>
    <row r="1" spans="1:5" ht="26.25" thickBot="1">
      <c r="A1" s="537" t="s">
        <v>2400</v>
      </c>
      <c r="B1" s="537" t="s">
        <v>2401</v>
      </c>
      <c r="C1" s="537" t="s">
        <v>2402</v>
      </c>
      <c r="D1" s="537" t="s">
        <v>2403</v>
      </c>
    </row>
    <row r="2" spans="1:5">
      <c r="A2" s="538" t="s">
        <v>2404</v>
      </c>
      <c r="B2" s="538"/>
      <c r="C2" s="629">
        <v>2260316794</v>
      </c>
      <c r="D2" s="629">
        <v>1995765858.6199999</v>
      </c>
    </row>
    <row r="3" spans="1:5" ht="26.25">
      <c r="A3" s="540">
        <v>324</v>
      </c>
      <c r="B3" s="540" t="s">
        <v>2405</v>
      </c>
      <c r="C3" s="541">
        <v>1108241990</v>
      </c>
      <c r="D3" s="541">
        <v>954120485.63</v>
      </c>
    </row>
    <row r="4" spans="1:5" ht="51.75">
      <c r="A4" s="540">
        <v>324</v>
      </c>
      <c r="B4" s="540" t="s">
        <v>74</v>
      </c>
      <c r="C4" s="541">
        <v>1152074804</v>
      </c>
      <c r="D4" s="541">
        <v>1041645372.99</v>
      </c>
    </row>
    <row r="5" spans="1:5">
      <c r="A5" s="543" t="s">
        <v>2612</v>
      </c>
      <c r="D5">
        <f>SUM(D3:D4)</f>
        <v>1995765858.6199999</v>
      </c>
    </row>
    <row r="6" spans="1:5">
      <c r="A6" s="543" t="s">
        <v>2613</v>
      </c>
    </row>
    <row r="7" spans="1:5">
      <c r="A7" s="544" t="s">
        <v>2408</v>
      </c>
    </row>
    <row r="8" spans="1:5" ht="15.75" thickBot="1">
      <c r="A8" s="537" t="s">
        <v>2409</v>
      </c>
      <c r="B8" s="537" t="s">
        <v>2410</v>
      </c>
      <c r="C8" s="537" t="s">
        <v>2401</v>
      </c>
      <c r="D8" s="537" t="s">
        <v>2411</v>
      </c>
    </row>
    <row r="9" spans="1:5" ht="65.25" thickBot="1">
      <c r="A9" s="600">
        <v>42473</v>
      </c>
      <c r="B9" s="577" t="s">
        <v>2676</v>
      </c>
      <c r="C9" s="578" t="s">
        <v>2405</v>
      </c>
      <c r="D9" s="572">
        <v>216447593.97</v>
      </c>
    </row>
    <row r="10" spans="1:5" ht="65.25" thickBot="1">
      <c r="A10" s="549">
        <v>42790</v>
      </c>
      <c r="B10" s="550" t="s">
        <v>2675</v>
      </c>
      <c r="C10" s="551" t="s">
        <v>2405</v>
      </c>
      <c r="D10" s="552">
        <v>283626528.66000003</v>
      </c>
    </row>
    <row r="11" spans="1:5" ht="78" thickBot="1">
      <c r="A11" s="557">
        <v>42873</v>
      </c>
      <c r="B11" s="558" t="s">
        <v>2673</v>
      </c>
      <c r="C11" s="559" t="s">
        <v>2405</v>
      </c>
      <c r="D11" s="560">
        <v>285100844</v>
      </c>
    </row>
    <row r="12" spans="1:5" ht="78" thickBot="1">
      <c r="A12" s="553">
        <v>42955</v>
      </c>
      <c r="B12" s="554" t="s">
        <v>2677</v>
      </c>
      <c r="C12" s="555" t="s">
        <v>2405</v>
      </c>
      <c r="D12" s="556">
        <v>168945519</v>
      </c>
    </row>
    <row r="13" spans="1:5" ht="40.5" customHeight="1" thickBot="1">
      <c r="A13" s="553"/>
      <c r="B13" s="554"/>
      <c r="C13" s="555"/>
      <c r="D13" s="688">
        <f>SUM(D9:D12)</f>
        <v>954120485.63</v>
      </c>
      <c r="E13" s="581">
        <f>+D13-D3</f>
        <v>0</v>
      </c>
    </row>
    <row r="14" spans="1:5" ht="65.25" thickBot="1">
      <c r="A14" s="553">
        <v>42473</v>
      </c>
      <c r="B14" s="554" t="s">
        <v>2676</v>
      </c>
      <c r="C14" s="555" t="s">
        <v>74</v>
      </c>
      <c r="D14" s="556">
        <v>225008456.31999999</v>
      </c>
    </row>
    <row r="15" spans="1:5" ht="65.25" thickBot="1">
      <c r="A15" s="553">
        <v>42790</v>
      </c>
      <c r="B15" s="554" t="s">
        <v>2674</v>
      </c>
      <c r="C15" s="555" t="s">
        <v>74</v>
      </c>
      <c r="D15" s="556">
        <v>283626528.67000002</v>
      </c>
    </row>
    <row r="16" spans="1:5" ht="64.5">
      <c r="A16" s="553">
        <v>42873</v>
      </c>
      <c r="B16" s="554" t="s">
        <v>2672</v>
      </c>
      <c r="C16" s="555" t="s">
        <v>74</v>
      </c>
      <c r="D16" s="556">
        <v>356376055</v>
      </c>
    </row>
    <row r="17" spans="1:5">
      <c r="A17" s="689"/>
      <c r="B17" s="690"/>
      <c r="C17" s="691"/>
      <c r="D17" s="692">
        <f>SUM(D14:D16)</f>
        <v>865011039.99000001</v>
      </c>
      <c r="E17">
        <f>+D17-D4</f>
        <v>-176634333</v>
      </c>
    </row>
    <row r="18" spans="1:5">
      <c r="D18" s="581">
        <f>+D17+D13</f>
        <v>1819131525.6199999</v>
      </c>
    </row>
    <row r="19" spans="1:5">
      <c r="D19">
        <f>+D5-D18</f>
        <v>176634333</v>
      </c>
      <c r="E19" s="693">
        <v>146634333</v>
      </c>
    </row>
    <row r="20" spans="1:5">
      <c r="E20" s="694">
        <f>+E19+E17</f>
        <v>-30000000</v>
      </c>
    </row>
  </sheetData>
  <sortState ref="A9:D15">
    <sortCondition descending="1" ref="C9:C15"/>
    <sortCondition ref="A9:A15"/>
  </sortState>
  <pageMargins left="0.7" right="0.7" top="0.75" bottom="0.75" header="0.3" footer="0.3"/>
  <drawing r:id="rId1"/>
  <legacyDrawing r:id="rId2"/>
  <controls>
    <mc:AlternateContent xmlns:mc="http://schemas.openxmlformats.org/markup-compatibility/2006">
      <mc:Choice Requires="x14">
        <control shapeId="67585" r:id="rId3" name="Control 1">
          <controlPr defaultSize="0" autoPict="0" r:id="rId4">
            <anchor moveWithCells="1">
              <from>
                <xdr:col>0</xdr:col>
                <xdr:colOff>0</xdr:colOff>
                <xdr:row>5</xdr:row>
                <xdr:rowOff>0</xdr:rowOff>
              </from>
              <to>
                <xdr:col>0</xdr:col>
                <xdr:colOff>666750</xdr:colOff>
                <xdr:row>6</xdr:row>
                <xdr:rowOff>38100</xdr:rowOff>
              </to>
            </anchor>
          </controlPr>
        </control>
      </mc:Choice>
      <mc:Fallback>
        <control shapeId="67585" r:id="rId3" name="Control 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D36"/>
  <sheetViews>
    <sheetView workbookViewId="0"/>
  </sheetViews>
  <sheetFormatPr baseColWidth="10" defaultRowHeight="15"/>
  <cols>
    <col min="4" max="4" width="14.28515625" customWidth="1"/>
  </cols>
  <sheetData>
    <row r="1" spans="1:4" ht="26.25" thickBot="1">
      <c r="A1" s="537" t="s">
        <v>2400</v>
      </c>
      <c r="B1" s="537" t="s">
        <v>2401</v>
      </c>
      <c r="C1" s="537" t="s">
        <v>2402</v>
      </c>
      <c r="D1" s="537" t="s">
        <v>2403</v>
      </c>
    </row>
    <row r="2" spans="1:4">
      <c r="A2" s="538" t="s">
        <v>2404</v>
      </c>
      <c r="B2" s="538"/>
      <c r="C2" s="629">
        <v>122490000</v>
      </c>
      <c r="D2" s="629">
        <v>80623899.939999998</v>
      </c>
    </row>
    <row r="3" spans="1:4" ht="26.25">
      <c r="A3" s="540">
        <v>13</v>
      </c>
      <c r="B3" s="540" t="s">
        <v>2405</v>
      </c>
      <c r="C3" s="541">
        <v>122490000</v>
      </c>
      <c r="D3" s="541">
        <v>80623899.939999998</v>
      </c>
    </row>
    <row r="4" spans="1:4">
      <c r="A4" s="543" t="s">
        <v>2612</v>
      </c>
    </row>
    <row r="5" spans="1:4">
      <c r="A5" s="543" t="s">
        <v>2613</v>
      </c>
    </row>
    <row r="6" spans="1:4">
      <c r="A6" s="544" t="s">
        <v>2408</v>
      </c>
    </row>
    <row r="7" spans="1:4" ht="15.75" thickBot="1">
      <c r="A7" s="537" t="s">
        <v>2409</v>
      </c>
      <c r="B7" s="537" t="s">
        <v>2410</v>
      </c>
      <c r="C7" s="537" t="s">
        <v>2401</v>
      </c>
      <c r="D7" s="537" t="s">
        <v>2411</v>
      </c>
    </row>
    <row r="8" spans="1:4" ht="52.5" thickBot="1">
      <c r="A8" s="571">
        <v>42100</v>
      </c>
      <c r="B8" s="546" t="s">
        <v>2664</v>
      </c>
      <c r="C8" s="547" t="s">
        <v>2405</v>
      </c>
      <c r="D8" s="572">
        <v>36746999.93</v>
      </c>
    </row>
    <row r="9" spans="1:4" ht="90.75" thickBot="1">
      <c r="A9" s="575">
        <v>42885</v>
      </c>
      <c r="B9" s="558" t="s">
        <v>2665</v>
      </c>
      <c r="C9" s="559" t="s">
        <v>2405</v>
      </c>
      <c r="D9" s="576">
        <v>43876900</v>
      </c>
    </row>
    <row r="10" spans="1:4" ht="90">
      <c r="A10" s="574">
        <v>42886</v>
      </c>
      <c r="B10" s="554" t="s">
        <v>2666</v>
      </c>
      <c r="C10" s="555" t="s">
        <v>2405</v>
      </c>
      <c r="D10" s="552">
        <v>0.01</v>
      </c>
    </row>
    <row r="13" spans="1:4" ht="26.25" thickBot="1">
      <c r="A13" s="537" t="s">
        <v>2400</v>
      </c>
      <c r="B13" s="537" t="s">
        <v>2401</v>
      </c>
      <c r="C13" s="537" t="s">
        <v>2402</v>
      </c>
      <c r="D13" s="537" t="s">
        <v>2403</v>
      </c>
    </row>
    <row r="14" spans="1:4">
      <c r="A14" s="538" t="s">
        <v>2404</v>
      </c>
      <c r="B14" s="538"/>
      <c r="C14" s="629">
        <v>158485274.06999999</v>
      </c>
      <c r="D14" s="629">
        <v>92789982.150000006</v>
      </c>
    </row>
    <row r="15" spans="1:4" ht="26.25">
      <c r="A15" s="540">
        <v>6</v>
      </c>
      <c r="B15" s="540" t="s">
        <v>2405</v>
      </c>
      <c r="C15" s="541">
        <v>158485274.06999999</v>
      </c>
      <c r="D15" s="541">
        <v>92789982.150000006</v>
      </c>
    </row>
    <row r="16" spans="1:4">
      <c r="A16" s="543" t="s">
        <v>2612</v>
      </c>
    </row>
    <row r="17" spans="1:4">
      <c r="A17" s="543" t="s">
        <v>2613</v>
      </c>
    </row>
    <row r="18" spans="1:4">
      <c r="A18" s="544" t="s">
        <v>2408</v>
      </c>
    </row>
    <row r="19" spans="1:4" ht="15.75" thickBot="1">
      <c r="A19" s="537" t="s">
        <v>2409</v>
      </c>
      <c r="B19" s="537" t="s">
        <v>2410</v>
      </c>
      <c r="C19" s="537" t="s">
        <v>2401</v>
      </c>
      <c r="D19" s="537" t="s">
        <v>2411</v>
      </c>
    </row>
    <row r="20" spans="1:4">
      <c r="A20" s="1462"/>
      <c r="B20" s="1462"/>
      <c r="C20" s="1462"/>
      <c r="D20" s="538"/>
    </row>
    <row r="21" spans="1:4" ht="52.5" thickBot="1">
      <c r="A21" s="545">
        <v>42100</v>
      </c>
      <c r="B21" s="546" t="s">
        <v>2667</v>
      </c>
      <c r="C21" s="547" t="s">
        <v>2405</v>
      </c>
      <c r="D21" s="548">
        <v>47545582.140000001</v>
      </c>
    </row>
    <row r="22" spans="1:4" ht="78" thickBot="1">
      <c r="A22" s="557">
        <v>42885</v>
      </c>
      <c r="B22" s="558" t="s">
        <v>2668</v>
      </c>
      <c r="C22" s="559" t="s">
        <v>2405</v>
      </c>
      <c r="D22" s="560">
        <v>45244400</v>
      </c>
    </row>
    <row r="23" spans="1:4" ht="77.25">
      <c r="A23" s="553">
        <v>42886</v>
      </c>
      <c r="B23" s="554" t="s">
        <v>2669</v>
      </c>
      <c r="C23" s="555" t="s">
        <v>2405</v>
      </c>
      <c r="D23" s="556">
        <v>0.01</v>
      </c>
    </row>
    <row r="25" spans="1:4" ht="26.25" thickBot="1">
      <c r="A25" s="537" t="s">
        <v>2400</v>
      </c>
      <c r="B25" s="537" t="s">
        <v>2401</v>
      </c>
      <c r="C25" s="537" t="s">
        <v>2402</v>
      </c>
      <c r="D25" s="537" t="s">
        <v>2403</v>
      </c>
    </row>
    <row r="26" spans="1:4">
      <c r="A26" s="538" t="s">
        <v>2404</v>
      </c>
      <c r="B26" s="538"/>
      <c r="C26" s="629">
        <v>138000000</v>
      </c>
      <c r="D26" s="629">
        <v>118861999.94</v>
      </c>
    </row>
    <row r="27" spans="1:4" ht="26.25">
      <c r="A27" s="540">
        <v>8</v>
      </c>
      <c r="B27" s="540" t="s">
        <v>2405</v>
      </c>
      <c r="C27" s="541">
        <v>138000000</v>
      </c>
      <c r="D27" s="541">
        <v>118861999.94</v>
      </c>
    </row>
    <row r="28" spans="1:4">
      <c r="A28" s="543" t="s">
        <v>2612</v>
      </c>
    </row>
    <row r="29" spans="1:4">
      <c r="A29" s="543" t="s">
        <v>2613</v>
      </c>
    </row>
    <row r="30" spans="1:4">
      <c r="A30" s="544" t="s">
        <v>2408</v>
      </c>
    </row>
    <row r="31" spans="1:4" ht="15.75" thickBot="1">
      <c r="A31" s="537" t="s">
        <v>2409</v>
      </c>
      <c r="B31" s="537" t="s">
        <v>2410</v>
      </c>
      <c r="C31" s="537" t="s">
        <v>2401</v>
      </c>
      <c r="D31" s="537" t="s">
        <v>2411</v>
      </c>
    </row>
    <row r="32" spans="1:4">
      <c r="A32" s="1462"/>
      <c r="B32" s="1462"/>
      <c r="C32" s="1462"/>
      <c r="D32" s="538"/>
    </row>
    <row r="33" spans="1:4" ht="15.75" thickBot="1"/>
    <row r="34" spans="1:4" ht="51.75">
      <c r="A34" s="557">
        <v>42100</v>
      </c>
      <c r="B34" s="558" t="s">
        <v>2664</v>
      </c>
      <c r="C34" s="559" t="s">
        <v>2405</v>
      </c>
      <c r="D34" s="560">
        <v>41399999.93</v>
      </c>
    </row>
    <row r="35" spans="1:4" ht="78" thickBot="1">
      <c r="A35" s="545">
        <v>42885</v>
      </c>
      <c r="B35" s="546" t="s">
        <v>2670</v>
      </c>
      <c r="C35" s="547" t="s">
        <v>2405</v>
      </c>
      <c r="D35" s="548">
        <v>77462000</v>
      </c>
    </row>
    <row r="36" spans="1:4" ht="77.25">
      <c r="A36" s="553">
        <v>42886</v>
      </c>
      <c r="B36" s="554" t="s">
        <v>2671</v>
      </c>
      <c r="C36" s="555" t="s">
        <v>2405</v>
      </c>
      <c r="D36" s="556">
        <v>0.01</v>
      </c>
    </row>
  </sheetData>
  <mergeCells count="2">
    <mergeCell ref="A20:C20"/>
    <mergeCell ref="A32:C32"/>
  </mergeCells>
  <pageMargins left="0.7" right="0.7" top="0.75" bottom="0.75" header="0.3" footer="0.3"/>
  <drawing r:id="rId1"/>
  <legacyDrawing r:id="rId2"/>
  <controls>
    <mc:AlternateContent xmlns:mc="http://schemas.openxmlformats.org/markup-compatibility/2006">
      <mc:Choice Requires="x14">
        <control shapeId="66563" r:id="rId3" name="Control 3">
          <controlPr defaultSize="0" autoPict="0" r:id="rId4">
            <anchor moveWithCells="1">
              <from>
                <xdr:col>0</xdr:col>
                <xdr:colOff>0</xdr:colOff>
                <xdr:row>28</xdr:row>
                <xdr:rowOff>0</xdr:rowOff>
              </from>
              <to>
                <xdr:col>0</xdr:col>
                <xdr:colOff>666750</xdr:colOff>
                <xdr:row>29</xdr:row>
                <xdr:rowOff>38100</xdr:rowOff>
              </to>
            </anchor>
          </controlPr>
        </control>
      </mc:Choice>
      <mc:Fallback>
        <control shapeId="66563" r:id="rId3" name="Control 3"/>
      </mc:Fallback>
    </mc:AlternateContent>
    <mc:AlternateContent xmlns:mc="http://schemas.openxmlformats.org/markup-compatibility/2006">
      <mc:Choice Requires="x14">
        <control shapeId="66562" r:id="rId5" name="Control 2">
          <controlPr defaultSize="0" autoPict="0" r:id="rId4">
            <anchor moveWithCells="1">
              <from>
                <xdr:col>0</xdr:col>
                <xdr:colOff>0</xdr:colOff>
                <xdr:row>16</xdr:row>
                <xdr:rowOff>0</xdr:rowOff>
              </from>
              <to>
                <xdr:col>0</xdr:col>
                <xdr:colOff>666750</xdr:colOff>
                <xdr:row>17</xdr:row>
                <xdr:rowOff>38100</xdr:rowOff>
              </to>
            </anchor>
          </controlPr>
        </control>
      </mc:Choice>
      <mc:Fallback>
        <control shapeId="66562" r:id="rId5" name="Control 2"/>
      </mc:Fallback>
    </mc:AlternateContent>
    <mc:AlternateContent xmlns:mc="http://schemas.openxmlformats.org/markup-compatibility/2006">
      <mc:Choice Requires="x14">
        <control shapeId="66561" r:id="rId6" name="Control 1">
          <controlPr defaultSize="0" autoPict="0" r:id="rId4">
            <anchor moveWithCells="1">
              <from>
                <xdr:col>0</xdr:col>
                <xdr:colOff>0</xdr:colOff>
                <xdr:row>4</xdr:row>
                <xdr:rowOff>0</xdr:rowOff>
              </from>
              <to>
                <xdr:col>0</xdr:col>
                <xdr:colOff>666750</xdr:colOff>
                <xdr:row>5</xdr:row>
                <xdr:rowOff>38100</xdr:rowOff>
              </to>
            </anchor>
          </controlPr>
        </control>
      </mc:Choice>
      <mc:Fallback>
        <control shapeId="66561" r:id="rId6" name="Control 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D11"/>
  <sheetViews>
    <sheetView workbookViewId="0"/>
  </sheetViews>
  <sheetFormatPr baseColWidth="10" defaultRowHeight="15"/>
  <sheetData>
    <row r="1" spans="1:4" ht="26.25" thickBot="1">
      <c r="A1" s="537" t="s">
        <v>2400</v>
      </c>
      <c r="B1" s="537" t="s">
        <v>2401</v>
      </c>
      <c r="C1" s="537" t="s">
        <v>2402</v>
      </c>
      <c r="D1" s="537" t="s">
        <v>2403</v>
      </c>
    </row>
    <row r="2" spans="1:4">
      <c r="A2" s="538" t="s">
        <v>2404</v>
      </c>
      <c r="B2" s="538"/>
      <c r="C2" s="539">
        <v>879570000</v>
      </c>
      <c r="D2" s="539">
        <v>732678670</v>
      </c>
    </row>
    <row r="3" spans="1:4" ht="26.25">
      <c r="A3" s="540">
        <v>6</v>
      </c>
      <c r="B3" s="540" t="s">
        <v>2405</v>
      </c>
      <c r="C3" s="541">
        <v>879570000</v>
      </c>
      <c r="D3" s="541">
        <v>732678670</v>
      </c>
    </row>
    <row r="4" spans="1:4">
      <c r="A4" s="543" t="s">
        <v>2612</v>
      </c>
    </row>
    <row r="5" spans="1:4">
      <c r="A5" s="543" t="s">
        <v>2613</v>
      </c>
    </row>
    <row r="6" spans="1:4">
      <c r="A6" s="544" t="s">
        <v>2408</v>
      </c>
    </row>
    <row r="7" spans="1:4" ht="26.25" thickBot="1">
      <c r="A7" s="537" t="s">
        <v>2409</v>
      </c>
      <c r="B7" s="537" t="s">
        <v>2410</v>
      </c>
      <c r="C7" s="537" t="s">
        <v>2401</v>
      </c>
      <c r="D7" s="537" t="s">
        <v>2411</v>
      </c>
    </row>
    <row r="8" spans="1:4">
      <c r="A8" s="1462"/>
      <c r="B8" s="1462"/>
      <c r="C8" s="1462"/>
      <c r="D8" s="538"/>
    </row>
    <row r="9" spans="1:4" ht="52.5" thickBot="1">
      <c r="A9" s="625">
        <v>42599</v>
      </c>
      <c r="B9" s="626" t="s">
        <v>2653</v>
      </c>
      <c r="C9" s="627" t="s">
        <v>2405</v>
      </c>
      <c r="D9" s="628">
        <v>410578935</v>
      </c>
    </row>
    <row r="10" spans="1:4" ht="65.25" thickBot="1">
      <c r="A10" s="553">
        <v>43053</v>
      </c>
      <c r="B10" s="550" t="s">
        <v>2654</v>
      </c>
      <c r="C10" s="551" t="s">
        <v>2405</v>
      </c>
      <c r="D10" s="573">
        <v>281081108</v>
      </c>
    </row>
    <row r="11" spans="1:4" ht="90">
      <c r="A11" s="574">
        <v>43082</v>
      </c>
      <c r="B11" s="554" t="s">
        <v>2305</v>
      </c>
      <c r="C11" s="555" t="s">
        <v>2405</v>
      </c>
      <c r="D11" s="552">
        <v>41018627</v>
      </c>
    </row>
  </sheetData>
  <mergeCells count="1">
    <mergeCell ref="A8:C8"/>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58369" r:id="rId4" name="Control 1">
          <controlPr defaultSize="0" autoPict="0" r:id="rId5">
            <anchor moveWithCells="1">
              <from>
                <xdr:col>0</xdr:col>
                <xdr:colOff>0</xdr:colOff>
                <xdr:row>4</xdr:row>
                <xdr:rowOff>0</xdr:rowOff>
              </from>
              <to>
                <xdr:col>0</xdr:col>
                <xdr:colOff>666750</xdr:colOff>
                <xdr:row>5</xdr:row>
                <xdr:rowOff>38100</xdr:rowOff>
              </to>
            </anchor>
          </controlPr>
        </control>
      </mc:Choice>
      <mc:Fallback>
        <control shapeId="58369" r:id="rId4" name="Control 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D17"/>
  <sheetViews>
    <sheetView workbookViewId="0"/>
  </sheetViews>
  <sheetFormatPr baseColWidth="10" defaultRowHeight="15"/>
  <cols>
    <col min="2" max="2" width="24.7109375" customWidth="1"/>
    <col min="4" max="4" width="13.7109375" customWidth="1"/>
  </cols>
  <sheetData>
    <row r="1" spans="1:4" ht="45">
      <c r="A1" s="569" t="s">
        <v>2398</v>
      </c>
    </row>
    <row r="2" spans="1:4">
      <c r="A2" s="542"/>
    </row>
    <row r="3" spans="1:4">
      <c r="A3" s="570" t="s">
        <v>2399</v>
      </c>
    </row>
    <row r="4" spans="1:4" ht="26.25" thickBot="1">
      <c r="A4" s="537" t="s">
        <v>2400</v>
      </c>
      <c r="B4" s="537" t="s">
        <v>2401</v>
      </c>
      <c r="C4" s="537" t="s">
        <v>2402</v>
      </c>
      <c r="D4" s="537" t="s">
        <v>2403</v>
      </c>
    </row>
    <row r="5" spans="1:4" ht="20.100000000000001" customHeight="1">
      <c r="A5" s="538" t="s">
        <v>2404</v>
      </c>
      <c r="B5" s="538"/>
      <c r="C5" s="539">
        <v>57420000</v>
      </c>
      <c r="D5" s="539">
        <v>57420000.020000003</v>
      </c>
    </row>
    <row r="6" spans="1:4" ht="20.100000000000001" customHeight="1">
      <c r="A6" s="540">
        <v>94</v>
      </c>
      <c r="B6" s="540" t="s">
        <v>2405</v>
      </c>
      <c r="C6" s="541">
        <v>22968000</v>
      </c>
      <c r="D6" s="541">
        <v>22968000.010000002</v>
      </c>
    </row>
    <row r="7" spans="1:4" ht="20.100000000000001" customHeight="1">
      <c r="A7" s="540">
        <v>94</v>
      </c>
      <c r="B7" s="540" t="s">
        <v>74</v>
      </c>
      <c r="C7" s="541">
        <v>34452000</v>
      </c>
      <c r="D7" s="541">
        <v>34452000.009999998</v>
      </c>
    </row>
    <row r="8" spans="1:4" ht="20.100000000000001" customHeight="1">
      <c r="A8" s="543" t="s">
        <v>2612</v>
      </c>
    </row>
    <row r="9" spans="1:4" ht="20.100000000000001" customHeight="1">
      <c r="A9" s="543" t="s">
        <v>2613</v>
      </c>
    </row>
    <row r="10" spans="1:4" ht="20.100000000000001" customHeight="1">
      <c r="A10" s="544" t="s">
        <v>2408</v>
      </c>
    </row>
    <row r="11" spans="1:4" ht="20.100000000000001" customHeight="1" thickBot="1">
      <c r="A11" s="537" t="s">
        <v>2409</v>
      </c>
      <c r="B11" s="537" t="s">
        <v>2410</v>
      </c>
      <c r="C11" s="537" t="s">
        <v>2401</v>
      </c>
      <c r="D11" s="537" t="s">
        <v>2411</v>
      </c>
    </row>
    <row r="12" spans="1:4" ht="20.100000000000001" customHeight="1" thickBot="1">
      <c r="A12" s="600">
        <v>40490</v>
      </c>
      <c r="B12" s="577" t="s">
        <v>2651</v>
      </c>
      <c r="C12" s="578" t="s">
        <v>2405</v>
      </c>
      <c r="D12" s="572">
        <v>9187200</v>
      </c>
    </row>
    <row r="13" spans="1:4" ht="20.100000000000001" customHeight="1" thickBot="1">
      <c r="A13" s="553">
        <v>43067</v>
      </c>
      <c r="B13" s="554" t="s">
        <v>2648</v>
      </c>
      <c r="C13" s="555" t="s">
        <v>2405</v>
      </c>
      <c r="D13" s="556">
        <v>11919659.4</v>
      </c>
    </row>
    <row r="14" spans="1:4" ht="20.100000000000001" customHeight="1" thickBot="1">
      <c r="A14" s="549">
        <v>43069</v>
      </c>
      <c r="B14" s="550" t="s">
        <v>2650</v>
      </c>
      <c r="C14" s="551" t="s">
        <v>2405</v>
      </c>
      <c r="D14" s="552">
        <v>1861140.61</v>
      </c>
    </row>
    <row r="15" spans="1:4" ht="20.100000000000001" customHeight="1" thickBot="1">
      <c r="A15" s="549">
        <v>40490</v>
      </c>
      <c r="B15" s="550" t="s">
        <v>2651</v>
      </c>
      <c r="C15" s="551" t="s">
        <v>74</v>
      </c>
      <c r="D15" s="552">
        <v>13780800</v>
      </c>
    </row>
    <row r="16" spans="1:4" ht="20.100000000000001" customHeight="1" thickBot="1">
      <c r="A16" s="553">
        <v>43067</v>
      </c>
      <c r="B16" s="554" t="s">
        <v>2647</v>
      </c>
      <c r="C16" s="555" t="s">
        <v>74</v>
      </c>
      <c r="D16" s="556">
        <v>17879489.09</v>
      </c>
    </row>
    <row r="17" spans="1:4" ht="20.100000000000001" customHeight="1">
      <c r="A17" s="557">
        <v>43069</v>
      </c>
      <c r="B17" s="558" t="s">
        <v>2649</v>
      </c>
      <c r="C17" s="559" t="s">
        <v>74</v>
      </c>
      <c r="D17" s="560">
        <v>2791710.92</v>
      </c>
    </row>
  </sheetData>
  <sortState ref="A12:D17">
    <sortCondition descending="1" ref="C12:C17"/>
    <sortCondition ref="A12:A17"/>
  </sortState>
  <hyperlinks>
    <hyperlink ref="A3" r:id="rId1" display="http://consorciofia.info/cdr/ver_cdrs_w.php?municipios=19999"/>
  </hyperlinks>
  <pageMargins left="0.7" right="0.7" top="0.75" bottom="0.75" header="0.3" footer="0.3"/>
  <drawing r:id="rId2"/>
  <legacyDrawing r:id="rId3"/>
  <controls>
    <mc:AlternateContent xmlns:mc="http://schemas.openxmlformats.org/markup-compatibility/2006">
      <mc:Choice Requires="x14">
        <control shapeId="51201" r:id="rId4" name="Control 1">
          <controlPr defaultSize="0" autoPict="0" r:id="rId5">
            <anchor moveWithCells="1">
              <from>
                <xdr:col>0</xdr:col>
                <xdr:colOff>0</xdr:colOff>
                <xdr:row>8</xdr:row>
                <xdr:rowOff>0</xdr:rowOff>
              </from>
              <to>
                <xdr:col>0</xdr:col>
                <xdr:colOff>666750</xdr:colOff>
                <xdr:row>8</xdr:row>
                <xdr:rowOff>228600</xdr:rowOff>
              </to>
            </anchor>
          </controlPr>
        </control>
      </mc:Choice>
      <mc:Fallback>
        <control shapeId="51201" r:id="rId4" name="Control 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E30"/>
  <sheetViews>
    <sheetView workbookViewId="0"/>
  </sheetViews>
  <sheetFormatPr baseColWidth="10" defaultRowHeight="15"/>
  <cols>
    <col min="3" max="3" width="14.7109375" customWidth="1"/>
    <col min="4" max="4" width="18.28515625" bestFit="1" customWidth="1"/>
    <col min="5" max="5" width="17.42578125" bestFit="1" customWidth="1"/>
  </cols>
  <sheetData>
    <row r="1" spans="1:4" ht="16.5">
      <c r="A1" s="568" t="s">
        <v>2397</v>
      </c>
    </row>
    <row r="2" spans="1:4" ht="45">
      <c r="A2" s="569" t="s">
        <v>2398</v>
      </c>
    </row>
    <row r="3" spans="1:4">
      <c r="A3" s="542"/>
    </row>
    <row r="4" spans="1:4">
      <c r="A4" s="570" t="s">
        <v>2399</v>
      </c>
    </row>
    <row r="5" spans="1:4" ht="26.25" thickBot="1">
      <c r="A5" s="537" t="s">
        <v>2400</v>
      </c>
      <c r="B5" s="537" t="s">
        <v>2401</v>
      </c>
      <c r="C5" s="537" t="s">
        <v>2402</v>
      </c>
      <c r="D5" s="537" t="s">
        <v>2403</v>
      </c>
    </row>
    <row r="6" spans="1:4">
      <c r="A6" s="538" t="s">
        <v>2404</v>
      </c>
      <c r="B6" s="538"/>
      <c r="C6" s="539">
        <v>5028116773</v>
      </c>
      <c r="D6" s="561">
        <v>4926493137</v>
      </c>
    </row>
    <row r="7" spans="1:4" ht="26.25">
      <c r="A7" s="540">
        <v>273</v>
      </c>
      <c r="B7" s="540" t="s">
        <v>2405</v>
      </c>
      <c r="C7" s="541">
        <v>469824812</v>
      </c>
      <c r="D7" s="562">
        <v>460971309.33999997</v>
      </c>
    </row>
    <row r="8" spans="1:4" ht="51.75">
      <c r="A8" s="540">
        <v>273</v>
      </c>
      <c r="B8" s="540" t="s">
        <v>74</v>
      </c>
      <c r="C8" s="541">
        <v>4558291961</v>
      </c>
      <c r="D8" s="562">
        <v>4465521827.6599998</v>
      </c>
    </row>
    <row r="9" spans="1:4">
      <c r="A9" s="543" t="s">
        <v>2612</v>
      </c>
    </row>
    <row r="10" spans="1:4">
      <c r="A10" s="543" t="s">
        <v>2613</v>
      </c>
    </row>
    <row r="11" spans="1:4">
      <c r="A11" s="544" t="s">
        <v>2408</v>
      </c>
    </row>
    <row r="12" spans="1:4" ht="15.75" thickBot="1">
      <c r="A12" s="537" t="s">
        <v>2409</v>
      </c>
      <c r="B12" s="537" t="s">
        <v>2410</v>
      </c>
      <c r="C12" s="537" t="s">
        <v>2401</v>
      </c>
      <c r="D12" s="537" t="s">
        <v>2411</v>
      </c>
    </row>
    <row r="13" spans="1:4" ht="39.75" thickBot="1">
      <c r="A13" s="545">
        <v>41906</v>
      </c>
      <c r="B13" s="577" t="s">
        <v>2635</v>
      </c>
      <c r="C13" s="578" t="s">
        <v>2405</v>
      </c>
      <c r="D13" s="579">
        <v>128417652</v>
      </c>
    </row>
    <row r="14" spans="1:4" ht="65.25" thickBot="1">
      <c r="A14" s="574">
        <v>42191</v>
      </c>
      <c r="B14" s="554" t="s">
        <v>2638</v>
      </c>
      <c r="C14" s="555" t="s">
        <v>2405</v>
      </c>
      <c r="D14" s="552">
        <v>92994014.5</v>
      </c>
    </row>
    <row r="15" spans="1:4" ht="103.5" thickBot="1">
      <c r="A15" s="553">
        <v>42209</v>
      </c>
      <c r="B15" s="550" t="s">
        <v>2639</v>
      </c>
      <c r="C15" s="551" t="s">
        <v>2405</v>
      </c>
      <c r="D15" s="573">
        <v>64989433.490000002</v>
      </c>
    </row>
    <row r="16" spans="1:4" ht="52.5" thickBot="1">
      <c r="A16" s="553">
        <v>42243</v>
      </c>
      <c r="B16" s="550" t="s">
        <v>2641</v>
      </c>
      <c r="C16" s="551" t="s">
        <v>2405</v>
      </c>
      <c r="D16" s="573">
        <v>74937745.849999994</v>
      </c>
    </row>
    <row r="17" spans="1:5" ht="39.75" thickBot="1">
      <c r="A17" s="574">
        <v>42367</v>
      </c>
      <c r="B17" s="554" t="s">
        <v>2643</v>
      </c>
      <c r="C17" s="555" t="s">
        <v>2405</v>
      </c>
      <c r="D17" s="552">
        <v>52305744.310000002</v>
      </c>
    </row>
    <row r="18" spans="1:5" ht="78" thickBot="1">
      <c r="A18" s="574">
        <v>42793</v>
      </c>
      <c r="B18" s="554" t="s">
        <v>2645</v>
      </c>
      <c r="C18" s="555" t="s">
        <v>2405</v>
      </c>
      <c r="D18" s="552">
        <v>28053048</v>
      </c>
    </row>
    <row r="19" spans="1:5" ht="78" thickBot="1">
      <c r="A19" s="553">
        <v>42842</v>
      </c>
      <c r="B19" s="550" t="s">
        <v>2646</v>
      </c>
      <c r="C19" s="551" t="s">
        <v>2405</v>
      </c>
      <c r="D19" s="573">
        <v>19273671.190000001</v>
      </c>
    </row>
    <row r="20" spans="1:5" ht="15.75" thickBot="1">
      <c r="A20" s="553"/>
      <c r="B20" s="550"/>
      <c r="C20" s="551"/>
      <c r="D20" s="580">
        <f>SUM(D13:D19)</f>
        <v>460971309.34000003</v>
      </c>
    </row>
    <row r="21" spans="1:5" ht="116.25" thickBot="1">
      <c r="A21" s="574">
        <v>41824</v>
      </c>
      <c r="B21" s="554" t="s">
        <v>2632</v>
      </c>
      <c r="C21" s="555" t="s">
        <v>74</v>
      </c>
      <c r="D21" s="552">
        <v>458410686</v>
      </c>
    </row>
    <row r="22" spans="1:5" ht="39.75" thickBot="1">
      <c r="A22" s="553">
        <v>41843</v>
      </c>
      <c r="B22" s="550" t="s">
        <v>2633</v>
      </c>
      <c r="C22" s="551" t="s">
        <v>74</v>
      </c>
      <c r="D22" s="573">
        <v>716136946</v>
      </c>
    </row>
    <row r="23" spans="1:5" ht="39">
      <c r="A23" s="574">
        <v>41906</v>
      </c>
      <c r="B23" s="554" t="s">
        <v>2634</v>
      </c>
      <c r="C23" s="555" t="s">
        <v>74</v>
      </c>
      <c r="D23" s="552">
        <v>1078584584</v>
      </c>
    </row>
    <row r="24" spans="1:5" ht="52.5" thickBot="1">
      <c r="A24" s="571">
        <v>41974</v>
      </c>
      <c r="B24" s="546" t="s">
        <v>2636</v>
      </c>
      <c r="C24" s="547" t="s">
        <v>74</v>
      </c>
      <c r="D24" s="572">
        <v>500287319</v>
      </c>
    </row>
    <row r="25" spans="1:5" ht="78" thickBot="1">
      <c r="A25" s="575">
        <v>42191</v>
      </c>
      <c r="B25" s="558" t="s">
        <v>2637</v>
      </c>
      <c r="C25" s="559" t="s">
        <v>74</v>
      </c>
      <c r="D25" s="576">
        <v>781060150.5</v>
      </c>
    </row>
    <row r="26" spans="1:5" ht="90.75" thickBot="1">
      <c r="A26" s="574">
        <v>42209</v>
      </c>
      <c r="B26" s="554" t="s">
        <v>2640</v>
      </c>
      <c r="C26" s="555" t="s">
        <v>74</v>
      </c>
      <c r="D26" s="552">
        <v>43763166.509999998</v>
      </c>
    </row>
    <row r="27" spans="1:5" ht="65.25" thickBot="1">
      <c r="A27" s="574">
        <v>42243</v>
      </c>
      <c r="B27" s="554" t="s">
        <v>2642</v>
      </c>
      <c r="C27" s="555" t="s">
        <v>74</v>
      </c>
      <c r="D27" s="552">
        <v>50462250.149999999</v>
      </c>
    </row>
    <row r="28" spans="1:5" ht="39.75" thickBot="1">
      <c r="A28" s="575">
        <v>42367</v>
      </c>
      <c r="B28" s="558" t="s">
        <v>2643</v>
      </c>
      <c r="C28" s="559" t="s">
        <v>74</v>
      </c>
      <c r="D28" s="576">
        <v>439317870.88999999</v>
      </c>
    </row>
    <row r="29" spans="1:5" ht="90">
      <c r="A29" s="553">
        <v>42793</v>
      </c>
      <c r="B29" s="550" t="s">
        <v>2644</v>
      </c>
      <c r="C29" s="551" t="s">
        <v>74</v>
      </c>
      <c r="D29" s="573">
        <v>252477432</v>
      </c>
    </row>
    <row r="30" spans="1:5">
      <c r="D30" s="580">
        <f>SUM(D21:D29)</f>
        <v>4320500405.0500002</v>
      </c>
      <c r="E30" s="581">
        <f>D30-D8</f>
        <v>-145021422.60999966</v>
      </c>
    </row>
  </sheetData>
  <sortState ref="A13:D28">
    <sortCondition descending="1" ref="C13:C28"/>
    <sortCondition ref="A13:A28"/>
  </sortState>
  <hyperlinks>
    <hyperlink ref="A4" r:id="rId1" display="http://consorciofia.info/cdr/ver_cdrs_w.php?municipios=19999"/>
  </hyperlinks>
  <pageMargins left="0.7" right="0.7" top="0.75" bottom="0.75" header="0.3" footer="0.3"/>
  <drawing r:id="rId2"/>
  <legacyDrawing r:id="rId3"/>
  <controls>
    <mc:AlternateContent xmlns:mc="http://schemas.openxmlformats.org/markup-compatibility/2006">
      <mc:Choice Requires="x14">
        <control shapeId="45057" r:id="rId4" name="Control 1">
          <controlPr defaultSize="0" autoPict="0" r:id="rId5">
            <anchor moveWithCells="1">
              <from>
                <xdr:col>0</xdr:col>
                <xdr:colOff>0</xdr:colOff>
                <xdr:row>9</xdr:row>
                <xdr:rowOff>0</xdr:rowOff>
              </from>
              <to>
                <xdr:col>0</xdr:col>
                <xdr:colOff>666750</xdr:colOff>
                <xdr:row>10</xdr:row>
                <xdr:rowOff>38100</xdr:rowOff>
              </to>
            </anchor>
          </controlPr>
        </control>
      </mc:Choice>
      <mc:Fallback>
        <control shapeId="45057" r:id="rId4" name="Control 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D35"/>
  <sheetViews>
    <sheetView workbookViewId="0"/>
  </sheetViews>
  <sheetFormatPr baseColWidth="10" defaultRowHeight="15"/>
  <cols>
    <col min="3" max="3" width="19.42578125" customWidth="1"/>
    <col min="4" max="4" width="17.85546875" bestFit="1" customWidth="1"/>
  </cols>
  <sheetData>
    <row r="1" spans="1:4" ht="26.25" thickBot="1">
      <c r="A1" s="537" t="s">
        <v>2400</v>
      </c>
      <c r="B1" s="537" t="s">
        <v>2401</v>
      </c>
      <c r="C1" s="537" t="s">
        <v>2402</v>
      </c>
      <c r="D1" s="537" t="s">
        <v>2403</v>
      </c>
    </row>
    <row r="2" spans="1:4">
      <c r="A2" s="538" t="s">
        <v>2404</v>
      </c>
      <c r="B2" s="538"/>
      <c r="C2" s="561">
        <v>4523520874</v>
      </c>
      <c r="D2" s="561">
        <v>4132564240.6500001</v>
      </c>
    </row>
    <row r="3" spans="1:4" ht="26.25">
      <c r="A3" s="540">
        <v>312</v>
      </c>
      <c r="B3" s="540" t="s">
        <v>2405</v>
      </c>
      <c r="C3" s="562">
        <v>2543520874</v>
      </c>
      <c r="D3" s="562">
        <v>2308151245.8099999</v>
      </c>
    </row>
    <row r="4" spans="1:4" ht="51.75">
      <c r="A4" s="540">
        <v>312</v>
      </c>
      <c r="B4" s="540" t="s">
        <v>74</v>
      </c>
      <c r="C4" s="562">
        <v>1980000000</v>
      </c>
      <c r="D4" s="562">
        <v>1824412994.8399999</v>
      </c>
    </row>
    <row r="5" spans="1:4">
      <c r="A5" s="543" t="s">
        <v>2612</v>
      </c>
    </row>
    <row r="6" spans="1:4">
      <c r="A6" s="543" t="s">
        <v>2613</v>
      </c>
    </row>
    <row r="7" spans="1:4">
      <c r="A7" s="544" t="s">
        <v>2408</v>
      </c>
    </row>
    <row r="8" spans="1:4" ht="15.75" thickBot="1">
      <c r="A8" s="537" t="s">
        <v>2409</v>
      </c>
      <c r="B8" s="537" t="s">
        <v>2410</v>
      </c>
      <c r="C8" s="537" t="s">
        <v>2401</v>
      </c>
      <c r="D8" s="537" t="s">
        <v>2411</v>
      </c>
    </row>
    <row r="9" spans="1:4" ht="78" thickBot="1">
      <c r="A9" s="545">
        <v>42192</v>
      </c>
      <c r="B9" s="546" t="s">
        <v>2614</v>
      </c>
      <c r="C9" s="547" t="s">
        <v>2405</v>
      </c>
      <c r="D9" s="563">
        <v>1017346264.6799999</v>
      </c>
    </row>
    <row r="10" spans="1:4" ht="52.5" thickBot="1">
      <c r="A10" s="553">
        <v>42285</v>
      </c>
      <c r="B10" s="554" t="s">
        <v>2619</v>
      </c>
      <c r="C10" s="555" t="s">
        <v>2405</v>
      </c>
      <c r="D10" s="565">
        <v>238288600.50999999</v>
      </c>
    </row>
    <row r="11" spans="1:4" ht="27" thickBot="1">
      <c r="A11" s="549">
        <v>42325</v>
      </c>
      <c r="B11" s="550" t="s">
        <v>2620</v>
      </c>
      <c r="C11" s="551" t="s">
        <v>2405</v>
      </c>
      <c r="D11" s="564">
        <v>137380949.21000001</v>
      </c>
    </row>
    <row r="12" spans="1:4" ht="39.75" thickBot="1">
      <c r="A12" s="549">
        <v>42367</v>
      </c>
      <c r="B12" s="550" t="s">
        <v>2617</v>
      </c>
      <c r="C12" s="551" t="s">
        <v>2405</v>
      </c>
      <c r="D12" s="564">
        <v>397784011.82999998</v>
      </c>
    </row>
    <row r="13" spans="1:4" ht="39.75" thickBot="1">
      <c r="A13" s="553">
        <v>42621</v>
      </c>
      <c r="B13" s="554" t="s">
        <v>2616</v>
      </c>
      <c r="C13" s="555" t="s">
        <v>2405</v>
      </c>
      <c r="D13" s="565">
        <v>430281928.57999998</v>
      </c>
    </row>
    <row r="14" spans="1:4" ht="78" thickBot="1">
      <c r="A14" s="549">
        <v>42192</v>
      </c>
      <c r="B14" s="550" t="s">
        <v>2615</v>
      </c>
      <c r="C14" s="551" t="s">
        <v>74</v>
      </c>
      <c r="D14" s="564">
        <v>791951670.08000004</v>
      </c>
    </row>
    <row r="15" spans="1:4" ht="52.5" thickBot="1">
      <c r="A15" s="549">
        <v>42285</v>
      </c>
      <c r="B15" s="550" t="s">
        <v>2621</v>
      </c>
      <c r="C15" s="551" t="s">
        <v>74</v>
      </c>
      <c r="D15" s="564">
        <v>185495402.77000001</v>
      </c>
    </row>
    <row r="16" spans="1:4" ht="39.75" thickBot="1">
      <c r="A16" s="553">
        <v>42367</v>
      </c>
      <c r="B16" s="554" t="s">
        <v>2617</v>
      </c>
      <c r="C16" s="555" t="s">
        <v>74</v>
      </c>
      <c r="D16" s="565">
        <v>309654365.91000003</v>
      </c>
    </row>
    <row r="17" spans="1:4" ht="39.75" thickBot="1">
      <c r="A17" s="553">
        <v>42621</v>
      </c>
      <c r="B17" s="554" t="s">
        <v>2616</v>
      </c>
      <c r="C17" s="555" t="s">
        <v>74</v>
      </c>
      <c r="D17" s="565">
        <v>157107470.71000001</v>
      </c>
    </row>
    <row r="18" spans="1:4" ht="102.75">
      <c r="A18" s="557">
        <v>42817</v>
      </c>
      <c r="B18" s="558" t="s">
        <v>2618</v>
      </c>
      <c r="C18" s="559" t="s">
        <v>74</v>
      </c>
      <c r="D18" s="566">
        <v>273260092</v>
      </c>
    </row>
    <row r="21" spans="1:4" ht="26.25" thickBot="1">
      <c r="A21" s="537" t="s">
        <v>2400</v>
      </c>
      <c r="B21" s="537" t="s">
        <v>2401</v>
      </c>
      <c r="C21" s="537" t="s">
        <v>2402</v>
      </c>
      <c r="D21" s="537" t="s">
        <v>2403</v>
      </c>
    </row>
    <row r="22" spans="1:4">
      <c r="A22" s="538" t="s">
        <v>2404</v>
      </c>
      <c r="B22" s="538"/>
      <c r="C22" s="539">
        <v>1300000000</v>
      </c>
      <c r="D22" s="539">
        <v>1294090289.75</v>
      </c>
    </row>
    <row r="23" spans="1:4" ht="51.75">
      <c r="A23" s="540">
        <v>326</v>
      </c>
      <c r="B23" s="540" t="s">
        <v>2623</v>
      </c>
      <c r="C23" s="541">
        <v>1300000000</v>
      </c>
      <c r="D23" s="541">
        <v>1294090289.75</v>
      </c>
    </row>
    <row r="24" spans="1:4">
      <c r="A24" s="543" t="s">
        <v>2612</v>
      </c>
    </row>
    <row r="25" spans="1:4">
      <c r="A25" s="543" t="s">
        <v>2613</v>
      </c>
    </row>
    <row r="26" spans="1:4">
      <c r="A26" s="544" t="s">
        <v>2408</v>
      </c>
    </row>
    <row r="27" spans="1:4" ht="15.75" thickBot="1">
      <c r="A27" s="537" t="s">
        <v>2409</v>
      </c>
      <c r="B27" s="537" t="s">
        <v>2410</v>
      </c>
      <c r="C27" s="537" t="s">
        <v>2401</v>
      </c>
      <c r="D27" s="537" t="s">
        <v>2411</v>
      </c>
    </row>
    <row r="28" spans="1:4" ht="52.5" thickBot="1">
      <c r="A28" s="545">
        <v>42192</v>
      </c>
      <c r="B28" s="546" t="s">
        <v>1869</v>
      </c>
      <c r="C28" s="547" t="s">
        <v>2623</v>
      </c>
      <c r="D28" s="548">
        <v>519968268.24000001</v>
      </c>
    </row>
    <row r="29" spans="1:4" ht="39.75" thickBot="1">
      <c r="A29" s="557">
        <v>42285</v>
      </c>
      <c r="B29" s="558" t="s">
        <v>2626</v>
      </c>
      <c r="C29" s="559" t="s">
        <v>2623</v>
      </c>
      <c r="D29" s="560">
        <v>121789910.92</v>
      </c>
    </row>
    <row r="30" spans="1:4" ht="27" thickBot="1">
      <c r="A30" s="549">
        <v>42325</v>
      </c>
      <c r="B30" s="550" t="s">
        <v>2627</v>
      </c>
      <c r="C30" s="551" t="s">
        <v>2623</v>
      </c>
      <c r="D30" s="552">
        <v>70215753.219999999</v>
      </c>
    </row>
    <row r="31" spans="1:4" ht="39.75" thickBot="1">
      <c r="A31" s="553">
        <v>42367</v>
      </c>
      <c r="B31" s="554" t="s">
        <v>2625</v>
      </c>
      <c r="C31" s="555" t="s">
        <v>2623</v>
      </c>
      <c r="D31" s="556">
        <v>203308422.06</v>
      </c>
    </row>
    <row r="32" spans="1:4" ht="39.75" thickBot="1">
      <c r="A32" s="549">
        <v>42621</v>
      </c>
      <c r="B32" s="550" t="s">
        <v>2616</v>
      </c>
      <c r="C32" s="551" t="s">
        <v>2623</v>
      </c>
      <c r="D32" s="552">
        <v>168807935.31</v>
      </c>
    </row>
    <row r="33" spans="1:4" ht="102.75">
      <c r="A33" s="549">
        <v>42817</v>
      </c>
      <c r="B33" s="550" t="s">
        <v>2624</v>
      </c>
      <c r="C33" s="551" t="s">
        <v>2623</v>
      </c>
      <c r="D33" s="552">
        <v>210000000</v>
      </c>
    </row>
    <row r="34" spans="1:4" ht="51.75">
      <c r="A34" s="543" t="s">
        <v>2628</v>
      </c>
    </row>
    <row r="35" spans="1:4" ht="39">
      <c r="A35" s="567" t="s">
        <v>2629</v>
      </c>
    </row>
  </sheetData>
  <sortState ref="A28:D33">
    <sortCondition ref="A28:A33"/>
  </sortState>
  <pageMargins left="0.7" right="0.7" top="0.75" bottom="0.75" header="0.3" footer="0.3"/>
  <pageSetup paperSize="9" orientation="portrait" r:id="rId1"/>
  <drawing r:id="rId2"/>
  <legacyDrawing r:id="rId3"/>
  <controls>
    <mc:AlternateContent xmlns:mc="http://schemas.openxmlformats.org/markup-compatibility/2006">
      <mc:Choice Requires="x14">
        <control shapeId="44033" r:id="rId4" name="Control 1">
          <controlPr defaultSize="0" autoPict="0" r:id="rId5">
            <anchor moveWithCells="1">
              <from>
                <xdr:col>0</xdr:col>
                <xdr:colOff>0</xdr:colOff>
                <xdr:row>5</xdr:row>
                <xdr:rowOff>0</xdr:rowOff>
              </from>
              <to>
                <xdr:col>0</xdr:col>
                <xdr:colOff>666750</xdr:colOff>
                <xdr:row>6</xdr:row>
                <xdr:rowOff>38100</xdr:rowOff>
              </to>
            </anchor>
          </controlPr>
        </control>
      </mc:Choice>
      <mc:Fallback>
        <control shapeId="44033" r:id="rId4" name="Control 1"/>
      </mc:Fallback>
    </mc:AlternateContent>
    <mc:AlternateContent xmlns:mc="http://schemas.openxmlformats.org/markup-compatibility/2006">
      <mc:Choice Requires="x14">
        <control shapeId="44034" r:id="rId6" name="Control 2">
          <controlPr defaultSize="0" autoPict="0" r:id="rId5">
            <anchor moveWithCells="1">
              <from>
                <xdr:col>0</xdr:col>
                <xdr:colOff>0</xdr:colOff>
                <xdr:row>24</xdr:row>
                <xdr:rowOff>0</xdr:rowOff>
              </from>
              <to>
                <xdr:col>0</xdr:col>
                <xdr:colOff>666750</xdr:colOff>
                <xdr:row>25</xdr:row>
                <xdr:rowOff>38100</xdr:rowOff>
              </to>
            </anchor>
          </controlPr>
        </control>
      </mc:Choice>
      <mc:Fallback>
        <control shapeId="44034" r:id="rId6" name="Control 2"/>
      </mc:Fallback>
    </mc:AlternateContent>
  </control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3"/>
  <sheetViews>
    <sheetView workbookViewId="0">
      <selection sqref="A1:L1"/>
    </sheetView>
  </sheetViews>
  <sheetFormatPr baseColWidth="10" defaultRowHeight="15"/>
  <cols>
    <col min="2" max="12" width="0" hidden="1" customWidth="1"/>
    <col min="15" max="16" width="12.42578125" bestFit="1" customWidth="1"/>
    <col min="17" max="17" width="13.28515625" customWidth="1"/>
    <col min="18" max="18" width="12.42578125" bestFit="1" customWidth="1"/>
    <col min="19" max="21" width="0" hidden="1" customWidth="1"/>
    <col min="22" max="22" width="17.42578125" bestFit="1" customWidth="1"/>
    <col min="23" max="23" width="14.7109375" customWidth="1"/>
    <col min="25" max="25" width="18.7109375" customWidth="1"/>
    <col min="29" max="29" width="11.85546875" bestFit="1" customWidth="1"/>
    <col min="30" max="30" width="17.5703125" bestFit="1" customWidth="1"/>
    <col min="32" max="32" width="18.85546875" customWidth="1"/>
    <col min="33" max="33" width="14.28515625" customWidth="1"/>
  </cols>
  <sheetData>
    <row r="1" spans="1:45" s="4" customFormat="1" ht="15.75" customHeight="1">
      <c r="A1" s="1342" t="s">
        <v>56</v>
      </c>
      <c r="B1" s="1342"/>
      <c r="C1" s="1342"/>
      <c r="D1" s="1342"/>
      <c r="E1" s="1342"/>
      <c r="F1" s="1342"/>
      <c r="G1" s="1342"/>
      <c r="H1" s="1342"/>
      <c r="I1" s="1342"/>
      <c r="J1" s="1342"/>
      <c r="K1" s="1342"/>
      <c r="L1" s="1342"/>
      <c r="M1" s="1343" t="s">
        <v>57</v>
      </c>
      <c r="N1" s="1343"/>
      <c r="O1" s="1343"/>
      <c r="P1" s="1343"/>
      <c r="Q1" s="1343"/>
      <c r="R1" s="1343"/>
      <c r="S1" s="1344" t="s">
        <v>284</v>
      </c>
      <c r="T1" s="1344"/>
      <c r="U1" s="1344"/>
      <c r="V1" s="1345" t="s">
        <v>63</v>
      </c>
      <c r="W1" s="1345"/>
      <c r="X1" s="1345"/>
      <c r="Y1" s="1346" t="s">
        <v>190</v>
      </c>
      <c r="Z1" s="1346"/>
      <c r="AA1" s="1346"/>
      <c r="AB1" s="1346"/>
      <c r="AC1" s="1346"/>
      <c r="AD1" s="1346"/>
      <c r="AE1" s="1346"/>
      <c r="AF1" s="1346"/>
      <c r="AG1" s="1346"/>
      <c r="AH1" s="1346"/>
      <c r="AI1" s="1346"/>
      <c r="AJ1" s="1347" t="s">
        <v>202</v>
      </c>
      <c r="AK1" s="1347"/>
      <c r="AL1" s="1347"/>
      <c r="AM1" s="1347"/>
      <c r="AN1" s="1341" t="s">
        <v>203</v>
      </c>
      <c r="AO1" s="1341"/>
      <c r="AP1" s="1341"/>
      <c r="AQ1" s="1341"/>
    </row>
    <row r="2" spans="1:45" s="61" customFormat="1" ht="54" customHeight="1">
      <c r="A2" s="16" t="s">
        <v>463</v>
      </c>
      <c r="B2" s="17" t="s">
        <v>52</v>
      </c>
      <c r="C2" s="16" t="s">
        <v>64</v>
      </c>
      <c r="D2" s="16" t="s">
        <v>58</v>
      </c>
      <c r="E2" s="18" t="s">
        <v>3</v>
      </c>
      <c r="F2" s="18" t="s">
        <v>53</v>
      </c>
      <c r="G2" s="16" t="s">
        <v>2</v>
      </c>
      <c r="H2" s="16" t="s">
        <v>65</v>
      </c>
      <c r="I2" s="16" t="s">
        <v>201</v>
      </c>
      <c r="J2" s="16" t="s">
        <v>126</v>
      </c>
      <c r="K2" s="16" t="s">
        <v>68</v>
      </c>
      <c r="L2" s="16" t="s">
        <v>207</v>
      </c>
      <c r="M2" s="20" t="s">
        <v>358</v>
      </c>
      <c r="N2" s="19" t="s">
        <v>54</v>
      </c>
      <c r="O2" s="36" t="s">
        <v>60</v>
      </c>
      <c r="P2" s="36" t="s">
        <v>59</v>
      </c>
      <c r="Q2" s="36" t="s">
        <v>313</v>
      </c>
      <c r="R2" s="22" t="s">
        <v>187</v>
      </c>
      <c r="S2" s="37" t="s">
        <v>59</v>
      </c>
      <c r="T2" s="466" t="s">
        <v>60</v>
      </c>
      <c r="U2" s="466" t="s">
        <v>285</v>
      </c>
      <c r="V2" s="39" t="s">
        <v>314</v>
      </c>
      <c r="W2" s="39" t="s">
        <v>55</v>
      </c>
      <c r="X2" s="5" t="s">
        <v>61</v>
      </c>
      <c r="Y2" s="21" t="s">
        <v>315</v>
      </c>
      <c r="Z2" s="44" t="s">
        <v>371</v>
      </c>
      <c r="AA2" s="44" t="s">
        <v>189</v>
      </c>
      <c r="AB2" s="44" t="s">
        <v>316</v>
      </c>
      <c r="AC2" s="7" t="s">
        <v>179</v>
      </c>
      <c r="AD2" s="32" t="s">
        <v>330</v>
      </c>
      <c r="AE2" s="32" t="s">
        <v>395</v>
      </c>
      <c r="AF2" s="32" t="s">
        <v>317</v>
      </c>
      <c r="AG2" s="32" t="s">
        <v>328</v>
      </c>
      <c r="AH2" s="32" t="s">
        <v>318</v>
      </c>
      <c r="AI2" s="32" t="s">
        <v>293</v>
      </c>
      <c r="AJ2" s="467" t="s">
        <v>322</v>
      </c>
      <c r="AK2" s="467" t="s">
        <v>319</v>
      </c>
      <c r="AL2" s="467" t="s">
        <v>324</v>
      </c>
      <c r="AM2" s="467" t="s">
        <v>372</v>
      </c>
      <c r="AN2" s="465" t="s">
        <v>264</v>
      </c>
      <c r="AO2" s="8" t="s">
        <v>193</v>
      </c>
      <c r="AP2" s="8" t="s">
        <v>196</v>
      </c>
      <c r="AQ2" s="8" t="s">
        <v>341</v>
      </c>
      <c r="AR2" s="61" t="s">
        <v>2465</v>
      </c>
      <c r="AS2" s="61">
        <v>323890.55999999493</v>
      </c>
    </row>
    <row r="3" spans="1:45" s="4" customFormat="1" ht="15" customHeight="1">
      <c r="A3" s="1011" t="s">
        <v>2079</v>
      </c>
      <c r="B3" s="1068">
        <v>40301</v>
      </c>
      <c r="C3" s="1011" t="s">
        <v>36</v>
      </c>
      <c r="D3" s="1011" t="s">
        <v>2069</v>
      </c>
      <c r="E3" s="1011">
        <v>10528000</v>
      </c>
      <c r="F3" s="1011"/>
      <c r="G3" s="1011" t="s">
        <v>2070</v>
      </c>
      <c r="H3" s="1011" t="s">
        <v>72</v>
      </c>
      <c r="I3" s="1011" t="s">
        <v>70</v>
      </c>
      <c r="J3" s="1011" t="s">
        <v>66</v>
      </c>
      <c r="K3" s="1011" t="s">
        <v>49</v>
      </c>
      <c r="L3" s="1011" t="s">
        <v>2082</v>
      </c>
      <c r="M3" s="1009">
        <v>76</v>
      </c>
      <c r="N3" s="1065" t="s">
        <v>137</v>
      </c>
      <c r="O3" s="1100">
        <v>1360000</v>
      </c>
      <c r="P3" s="1100">
        <f>SUM(O3:O6)</f>
        <v>3400000</v>
      </c>
      <c r="Q3" s="1100">
        <f>SUM(O3:O31)</f>
        <v>24086400</v>
      </c>
      <c r="R3" s="1132">
        <v>40413</v>
      </c>
      <c r="S3" s="463"/>
      <c r="T3" s="464"/>
      <c r="U3" s="464"/>
      <c r="V3" s="1100">
        <f>O3</f>
        <v>1360000</v>
      </c>
      <c r="W3" s="1100">
        <f>Q3</f>
        <v>24086400</v>
      </c>
      <c r="X3" s="1011"/>
      <c r="Y3" s="457" t="s">
        <v>2071</v>
      </c>
      <c r="Z3" s="462"/>
      <c r="AA3" s="462"/>
      <c r="AB3" s="462"/>
      <c r="AC3" s="461">
        <v>40444</v>
      </c>
      <c r="AD3" s="83">
        <v>1360000</v>
      </c>
      <c r="AE3" s="1065" t="s">
        <v>137</v>
      </c>
      <c r="AF3" s="1023">
        <f>SUM(AD3:AD4)</f>
        <v>2176000</v>
      </c>
      <c r="AG3" s="1023">
        <f>SUM(AF3:AF31)</f>
        <v>22420160</v>
      </c>
      <c r="AH3" s="1023">
        <v>0</v>
      </c>
      <c r="AI3" s="1023">
        <v>0</v>
      </c>
      <c r="AJ3" s="1023">
        <v>0</v>
      </c>
      <c r="AK3" s="1023">
        <v>0</v>
      </c>
      <c r="AL3" s="1023"/>
      <c r="AM3" s="1023"/>
      <c r="AN3" s="1023"/>
      <c r="AO3" s="1023" t="s">
        <v>2083</v>
      </c>
      <c r="AP3" s="1103" t="s">
        <v>195</v>
      </c>
      <c r="AQ3" s="1103" t="s">
        <v>1911</v>
      </c>
    </row>
    <row r="4" spans="1:45" s="4" customFormat="1" ht="15" customHeight="1">
      <c r="A4" s="1033"/>
      <c r="B4" s="1069"/>
      <c r="C4" s="1033"/>
      <c r="D4" s="1033"/>
      <c r="E4" s="1033"/>
      <c r="F4" s="1033"/>
      <c r="G4" s="1033"/>
      <c r="H4" s="1033"/>
      <c r="I4" s="1033"/>
      <c r="J4" s="1033"/>
      <c r="K4" s="1033"/>
      <c r="L4" s="1033"/>
      <c r="M4" s="1039"/>
      <c r="N4" s="1066"/>
      <c r="O4" s="1101"/>
      <c r="P4" s="1101"/>
      <c r="Q4" s="1101"/>
      <c r="R4" s="1133"/>
      <c r="S4" s="463"/>
      <c r="T4" s="464"/>
      <c r="U4" s="464"/>
      <c r="V4" s="1102"/>
      <c r="W4" s="1101"/>
      <c r="X4" s="1033"/>
      <c r="Y4" s="457" t="s">
        <v>2072</v>
      </c>
      <c r="Z4" s="462"/>
      <c r="AA4" s="462"/>
      <c r="AB4" s="462"/>
      <c r="AC4" s="461">
        <v>41290</v>
      </c>
      <c r="AD4" s="83">
        <v>816000</v>
      </c>
      <c r="AE4" s="1066"/>
      <c r="AF4" s="1024"/>
      <c r="AG4" s="1124"/>
      <c r="AH4" s="1124"/>
      <c r="AI4" s="1124"/>
      <c r="AJ4" s="1124"/>
      <c r="AK4" s="1124"/>
      <c r="AL4" s="1124"/>
      <c r="AM4" s="1124"/>
      <c r="AN4" s="1124"/>
      <c r="AO4" s="1124"/>
      <c r="AP4" s="1104"/>
      <c r="AQ4" s="1104"/>
    </row>
    <row r="5" spans="1:45" s="4" customFormat="1" ht="15" customHeight="1">
      <c r="A5" s="1033"/>
      <c r="B5" s="1069"/>
      <c r="C5" s="1033"/>
      <c r="D5" s="1033"/>
      <c r="E5" s="1033"/>
      <c r="F5" s="1033"/>
      <c r="G5" s="1033"/>
      <c r="H5" s="1033"/>
      <c r="I5" s="1033"/>
      <c r="J5" s="1033"/>
      <c r="K5" s="1033"/>
      <c r="L5" s="1033"/>
      <c r="M5" s="1039"/>
      <c r="N5" s="1065" t="s">
        <v>7</v>
      </c>
      <c r="O5" s="1100">
        <v>2040000</v>
      </c>
      <c r="P5" s="1101"/>
      <c r="Q5" s="1101"/>
      <c r="R5" s="1133"/>
      <c r="S5" s="463"/>
      <c r="T5" s="464"/>
      <c r="U5" s="464"/>
      <c r="V5" s="1100">
        <f t="shared" ref="V5:V26" si="0">O5</f>
        <v>2040000</v>
      </c>
      <c r="W5" s="1101"/>
      <c r="X5" s="1033"/>
      <c r="Y5" s="457" t="s">
        <v>2072</v>
      </c>
      <c r="Z5" s="462"/>
      <c r="AA5" s="462"/>
      <c r="AB5" s="462"/>
      <c r="AC5" s="461">
        <v>41290</v>
      </c>
      <c r="AD5" s="83">
        <v>1020000</v>
      </c>
      <c r="AE5" s="1065" t="s">
        <v>7</v>
      </c>
      <c r="AF5" s="1023">
        <f>SUM(AD5:AD6)</f>
        <v>1020000</v>
      </c>
      <c r="AG5" s="1124"/>
      <c r="AH5" s="1124"/>
      <c r="AI5" s="1124"/>
      <c r="AJ5" s="1124"/>
      <c r="AK5" s="1124"/>
      <c r="AL5" s="1124"/>
      <c r="AM5" s="1124"/>
      <c r="AN5" s="1124"/>
      <c r="AO5" s="1124"/>
      <c r="AP5" s="1104"/>
      <c r="AQ5" s="1104"/>
    </row>
    <row r="6" spans="1:45" s="4" customFormat="1" ht="15" customHeight="1">
      <c r="A6" s="1033"/>
      <c r="B6" s="1069"/>
      <c r="C6" s="1012"/>
      <c r="D6" s="1033"/>
      <c r="E6" s="1033"/>
      <c r="F6" s="1033"/>
      <c r="G6" s="1033"/>
      <c r="H6" s="1033"/>
      <c r="I6" s="1033"/>
      <c r="J6" s="1033"/>
      <c r="K6" s="1033"/>
      <c r="L6" s="1033"/>
      <c r="M6" s="1010"/>
      <c r="N6" s="1066"/>
      <c r="O6" s="1101"/>
      <c r="P6" s="1102"/>
      <c r="Q6" s="1101"/>
      <c r="R6" s="1134"/>
      <c r="S6" s="463"/>
      <c r="T6" s="464"/>
      <c r="U6" s="464"/>
      <c r="V6" s="1102">
        <f t="shared" si="0"/>
        <v>0</v>
      </c>
      <c r="W6" s="1101"/>
      <c r="X6" s="1033"/>
      <c r="Y6" s="457"/>
      <c r="Z6" s="462"/>
      <c r="AA6" s="462"/>
      <c r="AB6" s="462"/>
      <c r="AC6" s="461"/>
      <c r="AD6" s="83"/>
      <c r="AE6" s="1066"/>
      <c r="AF6" s="1024"/>
      <c r="AG6" s="1124"/>
      <c r="AH6" s="1124"/>
      <c r="AI6" s="1124"/>
      <c r="AJ6" s="1124"/>
      <c r="AK6" s="1124"/>
      <c r="AL6" s="1124"/>
      <c r="AM6" s="1124"/>
      <c r="AN6" s="1124"/>
      <c r="AO6" s="1124"/>
      <c r="AP6" s="1104"/>
      <c r="AQ6" s="1104"/>
    </row>
    <row r="7" spans="1:45" s="4" customFormat="1" ht="15" customHeight="1">
      <c r="A7" s="1033"/>
      <c r="B7" s="1069"/>
      <c r="C7" s="1011" t="s">
        <v>36</v>
      </c>
      <c r="D7" s="1033"/>
      <c r="E7" s="1033"/>
      <c r="F7" s="1033"/>
      <c r="G7" s="1033"/>
      <c r="H7" s="1033"/>
      <c r="I7" s="1033"/>
      <c r="J7" s="1033"/>
      <c r="K7" s="1033"/>
      <c r="L7" s="1033"/>
      <c r="M7" s="1009">
        <v>77</v>
      </c>
      <c r="N7" s="1065" t="s">
        <v>137</v>
      </c>
      <c r="O7" s="1100">
        <v>1216000</v>
      </c>
      <c r="P7" s="1100">
        <f>SUM(O7:O10)</f>
        <v>3040000</v>
      </c>
      <c r="Q7" s="1101"/>
      <c r="R7" s="1132">
        <v>40413</v>
      </c>
      <c r="S7" s="463"/>
      <c r="T7" s="464"/>
      <c r="U7" s="464"/>
      <c r="V7" s="1100">
        <f t="shared" si="0"/>
        <v>1216000</v>
      </c>
      <c r="W7" s="1101"/>
      <c r="X7" s="1033"/>
      <c r="Y7" s="457" t="s">
        <v>2071</v>
      </c>
      <c r="Z7" s="462"/>
      <c r="AA7" s="462"/>
      <c r="AB7" s="462"/>
      <c r="AC7" s="461">
        <v>40444</v>
      </c>
      <c r="AD7" s="83">
        <v>1216000</v>
      </c>
      <c r="AE7" s="1065" t="s">
        <v>137</v>
      </c>
      <c r="AF7" s="1023">
        <f>SUM(AD7:AD8)</f>
        <v>1945600</v>
      </c>
      <c r="AG7" s="1124"/>
      <c r="AH7" s="1124"/>
      <c r="AI7" s="1124"/>
      <c r="AJ7" s="1124"/>
      <c r="AK7" s="1124"/>
      <c r="AL7" s="1124"/>
      <c r="AM7" s="1124"/>
      <c r="AN7" s="1124"/>
      <c r="AO7" s="1124"/>
      <c r="AP7" s="1104"/>
      <c r="AQ7" s="1104"/>
    </row>
    <row r="8" spans="1:45" s="4" customFormat="1" ht="15" customHeight="1">
      <c r="A8" s="1033"/>
      <c r="B8" s="1069"/>
      <c r="C8" s="1033"/>
      <c r="D8" s="1033"/>
      <c r="E8" s="1033"/>
      <c r="F8" s="1033"/>
      <c r="G8" s="1033"/>
      <c r="H8" s="1033"/>
      <c r="I8" s="1033"/>
      <c r="J8" s="1033"/>
      <c r="K8" s="1033"/>
      <c r="L8" s="1033"/>
      <c r="M8" s="1039"/>
      <c r="N8" s="1066"/>
      <c r="O8" s="1101"/>
      <c r="P8" s="1101"/>
      <c r="Q8" s="1101"/>
      <c r="R8" s="1133"/>
      <c r="S8" s="463"/>
      <c r="T8" s="464"/>
      <c r="U8" s="464"/>
      <c r="V8" s="1102">
        <f t="shared" si="0"/>
        <v>0</v>
      </c>
      <c r="W8" s="1101"/>
      <c r="X8" s="1033"/>
      <c r="Y8" s="457" t="s">
        <v>2072</v>
      </c>
      <c r="Z8" s="462"/>
      <c r="AA8" s="462"/>
      <c r="AB8" s="462"/>
      <c r="AC8" s="461">
        <v>41290</v>
      </c>
      <c r="AD8" s="83">
        <v>729600</v>
      </c>
      <c r="AE8" s="1066"/>
      <c r="AF8" s="1024"/>
      <c r="AG8" s="1124"/>
      <c r="AH8" s="1124"/>
      <c r="AI8" s="1124"/>
      <c r="AJ8" s="1124"/>
      <c r="AK8" s="1124"/>
      <c r="AL8" s="1124"/>
      <c r="AM8" s="1124"/>
      <c r="AN8" s="1124"/>
      <c r="AO8" s="1124"/>
      <c r="AP8" s="1104"/>
      <c r="AQ8" s="1104"/>
    </row>
    <row r="9" spans="1:45" s="4" customFormat="1" ht="15" customHeight="1">
      <c r="A9" s="1033"/>
      <c r="B9" s="1069"/>
      <c r="C9" s="1033"/>
      <c r="D9" s="1033"/>
      <c r="E9" s="1033"/>
      <c r="F9" s="1033"/>
      <c r="G9" s="1033"/>
      <c r="H9" s="1033"/>
      <c r="I9" s="1033"/>
      <c r="J9" s="1033"/>
      <c r="K9" s="1033"/>
      <c r="L9" s="1033"/>
      <c r="M9" s="1039"/>
      <c r="N9" s="1065" t="s">
        <v>7</v>
      </c>
      <c r="O9" s="1100">
        <v>1824000</v>
      </c>
      <c r="P9" s="1101"/>
      <c r="Q9" s="1101"/>
      <c r="R9" s="1133"/>
      <c r="S9" s="463"/>
      <c r="T9" s="464"/>
      <c r="U9" s="464"/>
      <c r="V9" s="1100">
        <f t="shared" si="0"/>
        <v>1824000</v>
      </c>
      <c r="W9" s="1101"/>
      <c r="X9" s="1033"/>
      <c r="Y9" s="457" t="s">
        <v>2073</v>
      </c>
      <c r="Z9" s="462"/>
      <c r="AA9" s="462"/>
      <c r="AB9" s="462"/>
      <c r="AC9" s="461">
        <v>41290</v>
      </c>
      <c r="AD9" s="83">
        <v>912000</v>
      </c>
      <c r="AE9" s="1065" t="s">
        <v>7</v>
      </c>
      <c r="AF9" s="1023">
        <f>SUM(AD9:AD10)</f>
        <v>912000</v>
      </c>
      <c r="AG9" s="1124"/>
      <c r="AH9" s="1124"/>
      <c r="AI9" s="1124"/>
      <c r="AJ9" s="1124"/>
      <c r="AK9" s="1124"/>
      <c r="AL9" s="1124"/>
      <c r="AM9" s="1124"/>
      <c r="AN9" s="1124"/>
      <c r="AO9" s="1124"/>
      <c r="AP9" s="1104"/>
      <c r="AQ9" s="1104"/>
    </row>
    <row r="10" spans="1:45" s="4" customFormat="1" ht="15" customHeight="1">
      <c r="A10" s="1033"/>
      <c r="B10" s="1069"/>
      <c r="C10" s="1012"/>
      <c r="D10" s="1033"/>
      <c r="E10" s="1033"/>
      <c r="F10" s="1033"/>
      <c r="G10" s="1033"/>
      <c r="H10" s="1033"/>
      <c r="I10" s="1033"/>
      <c r="J10" s="1033"/>
      <c r="K10" s="1033"/>
      <c r="L10" s="1033"/>
      <c r="M10" s="1010"/>
      <c r="N10" s="1066"/>
      <c r="O10" s="1101"/>
      <c r="P10" s="1102"/>
      <c r="Q10" s="1101"/>
      <c r="R10" s="1134"/>
      <c r="S10" s="463"/>
      <c r="T10" s="464"/>
      <c r="U10" s="464"/>
      <c r="V10" s="1102">
        <f t="shared" si="0"/>
        <v>0</v>
      </c>
      <c r="W10" s="1101"/>
      <c r="X10" s="1033"/>
      <c r="Y10" s="457"/>
      <c r="Z10" s="462"/>
      <c r="AA10" s="462"/>
      <c r="AB10" s="462"/>
      <c r="AC10" s="461"/>
      <c r="AD10" s="83"/>
      <c r="AE10" s="1066"/>
      <c r="AF10" s="1024"/>
      <c r="AG10" s="1124"/>
      <c r="AH10" s="1124"/>
      <c r="AI10" s="1124"/>
      <c r="AJ10" s="1124"/>
      <c r="AK10" s="1124"/>
      <c r="AL10" s="1124"/>
      <c r="AM10" s="1124"/>
      <c r="AN10" s="1124"/>
      <c r="AO10" s="1124"/>
      <c r="AP10" s="1104"/>
      <c r="AQ10" s="1104"/>
    </row>
    <row r="11" spans="1:45" s="4" customFormat="1" ht="15" customHeight="1">
      <c r="A11" s="1033"/>
      <c r="B11" s="1069"/>
      <c r="C11" s="1011" t="s">
        <v>36</v>
      </c>
      <c r="D11" s="1033"/>
      <c r="E11" s="1033"/>
      <c r="F11" s="1033"/>
      <c r="G11" s="1033"/>
      <c r="H11" s="1033"/>
      <c r="I11" s="1033"/>
      <c r="J11" s="1033"/>
      <c r="K11" s="1033"/>
      <c r="L11" s="1033"/>
      <c r="M11" s="1009">
        <v>78</v>
      </c>
      <c r="N11" s="1065" t="s">
        <v>137</v>
      </c>
      <c r="O11" s="1100">
        <v>1216000</v>
      </c>
      <c r="P11" s="1100">
        <f>SUM(O11:O14)</f>
        <v>3040000</v>
      </c>
      <c r="Q11" s="1101"/>
      <c r="R11" s="1132">
        <v>40413</v>
      </c>
      <c r="S11" s="463"/>
      <c r="T11" s="464"/>
      <c r="U11" s="464"/>
      <c r="V11" s="1100">
        <f t="shared" si="0"/>
        <v>1216000</v>
      </c>
      <c r="W11" s="1101"/>
      <c r="X11" s="1033"/>
      <c r="Y11" s="457" t="s">
        <v>2071</v>
      </c>
      <c r="Z11" s="462"/>
      <c r="AA11" s="462"/>
      <c r="AB11" s="462"/>
      <c r="AC11" s="461">
        <v>40444</v>
      </c>
      <c r="AD11" s="83">
        <v>1216000</v>
      </c>
      <c r="AE11" s="1065" t="s">
        <v>137</v>
      </c>
      <c r="AF11" s="1023">
        <f>SUM(AD11:AD12)</f>
        <v>1945600</v>
      </c>
      <c r="AG11" s="1124"/>
      <c r="AH11" s="1124"/>
      <c r="AI11" s="1124"/>
      <c r="AJ11" s="1124"/>
      <c r="AK11" s="1124"/>
      <c r="AL11" s="1124"/>
      <c r="AM11" s="1124"/>
      <c r="AN11" s="1124"/>
      <c r="AO11" s="1124"/>
      <c r="AP11" s="1104"/>
      <c r="AQ11" s="1104"/>
    </row>
    <row r="12" spans="1:45" s="4" customFormat="1" ht="15" customHeight="1">
      <c r="A12" s="1033"/>
      <c r="B12" s="1069"/>
      <c r="C12" s="1033"/>
      <c r="D12" s="1033"/>
      <c r="E12" s="1033"/>
      <c r="F12" s="1033"/>
      <c r="G12" s="1033"/>
      <c r="H12" s="1033"/>
      <c r="I12" s="1033"/>
      <c r="J12" s="1033"/>
      <c r="K12" s="1033"/>
      <c r="L12" s="1033"/>
      <c r="M12" s="1039"/>
      <c r="N12" s="1066"/>
      <c r="O12" s="1101"/>
      <c r="P12" s="1101"/>
      <c r="Q12" s="1101"/>
      <c r="R12" s="1133"/>
      <c r="S12" s="463"/>
      <c r="T12" s="464"/>
      <c r="U12" s="464"/>
      <c r="V12" s="1102">
        <f t="shared" si="0"/>
        <v>0</v>
      </c>
      <c r="W12" s="1101"/>
      <c r="X12" s="1033"/>
      <c r="Y12" s="457" t="s">
        <v>2072</v>
      </c>
      <c r="Z12" s="462"/>
      <c r="AA12" s="462"/>
      <c r="AB12" s="462"/>
      <c r="AC12" s="461">
        <v>41290</v>
      </c>
      <c r="AD12" s="83">
        <v>729600</v>
      </c>
      <c r="AE12" s="1066"/>
      <c r="AF12" s="1024"/>
      <c r="AG12" s="1124"/>
      <c r="AH12" s="1124"/>
      <c r="AI12" s="1124"/>
      <c r="AJ12" s="1124"/>
      <c r="AK12" s="1124"/>
      <c r="AL12" s="1124"/>
      <c r="AM12" s="1124"/>
      <c r="AN12" s="1124"/>
      <c r="AO12" s="1124"/>
      <c r="AP12" s="1104"/>
      <c r="AQ12" s="1104"/>
    </row>
    <row r="13" spans="1:45" s="4" customFormat="1" ht="15" customHeight="1">
      <c r="A13" s="1033"/>
      <c r="B13" s="1069"/>
      <c r="C13" s="1033"/>
      <c r="D13" s="1033"/>
      <c r="E13" s="1033"/>
      <c r="F13" s="1033"/>
      <c r="G13" s="1033"/>
      <c r="H13" s="1033"/>
      <c r="I13" s="1033"/>
      <c r="J13" s="1033"/>
      <c r="K13" s="1033"/>
      <c r="L13" s="1033"/>
      <c r="M13" s="1039"/>
      <c r="N13" s="1065" t="s">
        <v>7</v>
      </c>
      <c r="O13" s="1100">
        <v>1824000</v>
      </c>
      <c r="P13" s="1101"/>
      <c r="Q13" s="1101"/>
      <c r="R13" s="1133"/>
      <c r="S13" s="463"/>
      <c r="T13" s="464"/>
      <c r="U13" s="464"/>
      <c r="V13" s="1100">
        <f t="shared" si="0"/>
        <v>1824000</v>
      </c>
      <c r="W13" s="1101"/>
      <c r="X13" s="1033"/>
      <c r="Y13" s="457" t="s">
        <v>2072</v>
      </c>
      <c r="Z13" s="462"/>
      <c r="AA13" s="462"/>
      <c r="AB13" s="462"/>
      <c r="AC13" s="461">
        <v>41290</v>
      </c>
      <c r="AD13" s="83">
        <v>912000</v>
      </c>
      <c r="AE13" s="1065" t="s">
        <v>7</v>
      </c>
      <c r="AF13" s="1023">
        <f>SUM(AD13:AD14)</f>
        <v>912000</v>
      </c>
      <c r="AG13" s="1124"/>
      <c r="AH13" s="1124"/>
      <c r="AI13" s="1124"/>
      <c r="AJ13" s="1124"/>
      <c r="AK13" s="1124"/>
      <c r="AL13" s="1124"/>
      <c r="AM13" s="1124"/>
      <c r="AN13" s="1124"/>
      <c r="AO13" s="1124"/>
      <c r="AP13" s="1104"/>
      <c r="AQ13" s="1104"/>
    </row>
    <row r="14" spans="1:45" s="4" customFormat="1" ht="15" customHeight="1">
      <c r="A14" s="1033"/>
      <c r="B14" s="1069"/>
      <c r="C14" s="1012"/>
      <c r="D14" s="1033"/>
      <c r="E14" s="1033"/>
      <c r="F14" s="1033"/>
      <c r="G14" s="1033"/>
      <c r="H14" s="1033"/>
      <c r="I14" s="1033"/>
      <c r="J14" s="1033"/>
      <c r="K14" s="1033"/>
      <c r="L14" s="1033"/>
      <c r="M14" s="1010"/>
      <c r="N14" s="1066"/>
      <c r="O14" s="1101"/>
      <c r="P14" s="1102"/>
      <c r="Q14" s="1101"/>
      <c r="R14" s="1134"/>
      <c r="S14" s="463"/>
      <c r="T14" s="464"/>
      <c r="U14" s="464"/>
      <c r="V14" s="1102">
        <f t="shared" si="0"/>
        <v>0</v>
      </c>
      <c r="W14" s="1101"/>
      <c r="X14" s="1033"/>
      <c r="Y14" s="457"/>
      <c r="Z14" s="462"/>
      <c r="AA14" s="462"/>
      <c r="AB14" s="462"/>
      <c r="AC14" s="461"/>
      <c r="AD14" s="83"/>
      <c r="AE14" s="1066"/>
      <c r="AF14" s="1024"/>
      <c r="AG14" s="1124"/>
      <c r="AH14" s="1124"/>
      <c r="AI14" s="1124"/>
      <c r="AJ14" s="1124"/>
      <c r="AK14" s="1124"/>
      <c r="AL14" s="1124"/>
      <c r="AM14" s="1124"/>
      <c r="AN14" s="1124"/>
      <c r="AO14" s="1124"/>
      <c r="AP14" s="1104"/>
      <c r="AQ14" s="1104"/>
    </row>
    <row r="15" spans="1:45" s="4" customFormat="1" ht="15" customHeight="1">
      <c r="A15" s="1033"/>
      <c r="B15" s="1069"/>
      <c r="C15" s="1011" t="s">
        <v>18</v>
      </c>
      <c r="D15" s="1033"/>
      <c r="E15" s="1033"/>
      <c r="F15" s="1033"/>
      <c r="G15" s="1033"/>
      <c r="H15" s="1033"/>
      <c r="I15" s="1033"/>
      <c r="J15" s="1033"/>
      <c r="K15" s="1033"/>
      <c r="L15" s="1033"/>
      <c r="M15" s="1009">
        <v>79</v>
      </c>
      <c r="N15" s="1065" t="s">
        <v>137</v>
      </c>
      <c r="O15" s="1100">
        <v>1216000</v>
      </c>
      <c r="P15" s="1100">
        <f>SUM(O15:O18)</f>
        <v>3040000</v>
      </c>
      <c r="Q15" s="1101"/>
      <c r="R15" s="1132">
        <v>40413</v>
      </c>
      <c r="S15" s="463"/>
      <c r="T15" s="464"/>
      <c r="U15" s="464"/>
      <c r="V15" s="1100">
        <f t="shared" si="0"/>
        <v>1216000</v>
      </c>
      <c r="W15" s="1101"/>
      <c r="X15" s="1033"/>
      <c r="Y15" s="457" t="s">
        <v>2074</v>
      </c>
      <c r="Z15" s="462"/>
      <c r="AA15" s="462"/>
      <c r="AB15" s="462"/>
      <c r="AC15" s="461">
        <v>40473</v>
      </c>
      <c r="AD15" s="83">
        <v>814720</v>
      </c>
      <c r="AE15" s="1065" t="s">
        <v>137</v>
      </c>
      <c r="AF15" s="1023">
        <f>SUM(AD15:AD16)</f>
        <v>1544320</v>
      </c>
      <c r="AG15" s="1124"/>
      <c r="AH15" s="1124"/>
      <c r="AI15" s="1124"/>
      <c r="AJ15" s="1124"/>
      <c r="AK15" s="1124"/>
      <c r="AL15" s="1124"/>
      <c r="AM15" s="1124"/>
      <c r="AN15" s="1124"/>
      <c r="AO15" s="1124"/>
      <c r="AP15" s="1104"/>
      <c r="AQ15" s="1104"/>
    </row>
    <row r="16" spans="1:45" s="4" customFormat="1" ht="15" customHeight="1">
      <c r="A16" s="1033"/>
      <c r="B16" s="1069"/>
      <c r="C16" s="1033"/>
      <c r="D16" s="1033"/>
      <c r="E16" s="1033"/>
      <c r="F16" s="1033"/>
      <c r="G16" s="1033"/>
      <c r="H16" s="1033"/>
      <c r="I16" s="1033"/>
      <c r="J16" s="1033"/>
      <c r="K16" s="1033"/>
      <c r="L16" s="1033"/>
      <c r="M16" s="1039"/>
      <c r="N16" s="1066"/>
      <c r="O16" s="1101"/>
      <c r="P16" s="1101"/>
      <c r="Q16" s="1101"/>
      <c r="R16" s="1133"/>
      <c r="S16" s="463"/>
      <c r="T16" s="464"/>
      <c r="U16" s="464"/>
      <c r="V16" s="1102">
        <f t="shared" si="0"/>
        <v>0</v>
      </c>
      <c r="W16" s="1101"/>
      <c r="X16" s="1033"/>
      <c r="Y16" s="457" t="s">
        <v>2075</v>
      </c>
      <c r="Z16" s="462"/>
      <c r="AA16" s="462"/>
      <c r="AB16" s="462"/>
      <c r="AC16" s="461">
        <v>41467</v>
      </c>
      <c r="AD16" s="83">
        <v>729600</v>
      </c>
      <c r="AE16" s="1066"/>
      <c r="AF16" s="1024"/>
      <c r="AG16" s="1124"/>
      <c r="AH16" s="1124"/>
      <c r="AI16" s="1124"/>
      <c r="AJ16" s="1124"/>
      <c r="AK16" s="1124"/>
      <c r="AL16" s="1124"/>
      <c r="AM16" s="1124"/>
      <c r="AN16" s="1124"/>
      <c r="AO16" s="1124"/>
      <c r="AP16" s="1104"/>
      <c r="AQ16" s="1104"/>
    </row>
    <row r="17" spans="1:48" s="4" customFormat="1" ht="15" customHeight="1">
      <c r="A17" s="1033"/>
      <c r="B17" s="1069"/>
      <c r="C17" s="1033"/>
      <c r="D17" s="1033"/>
      <c r="E17" s="1033"/>
      <c r="F17" s="1033"/>
      <c r="G17" s="1033"/>
      <c r="H17" s="1033"/>
      <c r="I17" s="1033"/>
      <c r="J17" s="1033"/>
      <c r="K17" s="1033"/>
      <c r="L17" s="1033"/>
      <c r="M17" s="1039"/>
      <c r="N17" s="1065" t="s">
        <v>7</v>
      </c>
      <c r="O17" s="1100">
        <v>1824000</v>
      </c>
      <c r="P17" s="1101"/>
      <c r="Q17" s="1101"/>
      <c r="R17" s="1133"/>
      <c r="S17" s="463"/>
      <c r="T17" s="464"/>
      <c r="U17" s="464"/>
      <c r="V17" s="1100">
        <f t="shared" si="0"/>
        <v>1824000</v>
      </c>
      <c r="W17" s="1101"/>
      <c r="X17" s="1033"/>
      <c r="Y17" s="457" t="s">
        <v>2074</v>
      </c>
      <c r="Z17" s="462"/>
      <c r="AA17" s="462"/>
      <c r="AB17" s="462"/>
      <c r="AC17" s="461">
        <v>40473</v>
      </c>
      <c r="AD17" s="83">
        <v>401280</v>
      </c>
      <c r="AE17" s="1065" t="s">
        <v>7</v>
      </c>
      <c r="AF17" s="1023">
        <f>SUM(AD17:AD18)</f>
        <v>1495680</v>
      </c>
      <c r="AG17" s="1124"/>
      <c r="AH17" s="1124"/>
      <c r="AI17" s="1124"/>
      <c r="AJ17" s="1124"/>
      <c r="AK17" s="1124"/>
      <c r="AL17" s="1124"/>
      <c r="AM17" s="1124"/>
      <c r="AN17" s="1124"/>
      <c r="AO17" s="1124"/>
      <c r="AP17" s="1104"/>
      <c r="AQ17" s="1104"/>
    </row>
    <row r="18" spans="1:48" s="4" customFormat="1" ht="15" customHeight="1">
      <c r="A18" s="1033"/>
      <c r="B18" s="1069"/>
      <c r="C18" s="1012"/>
      <c r="D18" s="1033"/>
      <c r="E18" s="1033"/>
      <c r="F18" s="1033"/>
      <c r="G18" s="1033"/>
      <c r="H18" s="1033"/>
      <c r="I18" s="1033"/>
      <c r="J18" s="1033"/>
      <c r="K18" s="1033"/>
      <c r="L18" s="1033"/>
      <c r="M18" s="1010"/>
      <c r="N18" s="1066"/>
      <c r="O18" s="1101"/>
      <c r="P18" s="1102"/>
      <c r="Q18" s="1101"/>
      <c r="R18" s="1134"/>
      <c r="S18" s="463"/>
      <c r="T18" s="464"/>
      <c r="U18" s="464"/>
      <c r="V18" s="1102">
        <f t="shared" si="0"/>
        <v>0</v>
      </c>
      <c r="W18" s="1101"/>
      <c r="X18" s="1033"/>
      <c r="Y18" s="457" t="s">
        <v>2076</v>
      </c>
      <c r="Z18" s="462"/>
      <c r="AA18" s="462"/>
      <c r="AB18" s="462"/>
      <c r="AC18" s="461">
        <v>41467</v>
      </c>
      <c r="AD18" s="83">
        <v>1094400</v>
      </c>
      <c r="AE18" s="1066"/>
      <c r="AF18" s="1024"/>
      <c r="AG18" s="1124"/>
      <c r="AH18" s="1124"/>
      <c r="AI18" s="1124"/>
      <c r="AJ18" s="1124"/>
      <c r="AK18" s="1124"/>
      <c r="AL18" s="1124"/>
      <c r="AM18" s="1124"/>
      <c r="AN18" s="1124"/>
      <c r="AO18" s="1124"/>
      <c r="AP18" s="1104"/>
      <c r="AQ18" s="1104"/>
    </row>
    <row r="19" spans="1:48" s="4" customFormat="1" ht="15" customHeight="1">
      <c r="A19" s="1033"/>
      <c r="B19" s="1069"/>
      <c r="C19" s="1011" t="s">
        <v>18</v>
      </c>
      <c r="D19" s="1033"/>
      <c r="E19" s="1033"/>
      <c r="F19" s="1033"/>
      <c r="G19" s="1033"/>
      <c r="H19" s="1033"/>
      <c r="I19" s="1033"/>
      <c r="J19" s="1033"/>
      <c r="K19" s="1033"/>
      <c r="L19" s="1033"/>
      <c r="M19" s="1009">
        <v>80</v>
      </c>
      <c r="N19" s="1065" t="s">
        <v>137</v>
      </c>
      <c r="O19" s="1100">
        <v>1200000</v>
      </c>
      <c r="P19" s="1100">
        <f>SUM(O19:O22)</f>
        <v>3000000</v>
      </c>
      <c r="Q19" s="1101"/>
      <c r="R19" s="1132">
        <v>40413</v>
      </c>
      <c r="S19" s="463"/>
      <c r="T19" s="464"/>
      <c r="U19" s="464"/>
      <c r="V19" s="1100">
        <f t="shared" si="0"/>
        <v>1200000</v>
      </c>
      <c r="W19" s="1101"/>
      <c r="X19" s="1033"/>
      <c r="Y19" s="457" t="s">
        <v>2071</v>
      </c>
      <c r="Z19" s="462"/>
      <c r="AA19" s="462"/>
      <c r="AB19" s="462"/>
      <c r="AC19" s="461">
        <v>40444</v>
      </c>
      <c r="AD19" s="83">
        <v>1200000</v>
      </c>
      <c r="AE19" s="1065" t="s">
        <v>137</v>
      </c>
      <c r="AF19" s="1023">
        <f>SUM(AD19:AD20)</f>
        <v>1848000</v>
      </c>
      <c r="AG19" s="1124"/>
      <c r="AH19" s="1124"/>
      <c r="AI19" s="1124"/>
      <c r="AJ19" s="1124"/>
      <c r="AK19" s="1124"/>
      <c r="AL19" s="1124"/>
      <c r="AM19" s="1124"/>
      <c r="AN19" s="1124"/>
      <c r="AO19" s="1124"/>
      <c r="AP19" s="1104"/>
      <c r="AQ19" s="1104"/>
    </row>
    <row r="20" spans="1:48" s="4" customFormat="1" ht="15" customHeight="1">
      <c r="A20" s="1033"/>
      <c r="B20" s="1069"/>
      <c r="C20" s="1033"/>
      <c r="D20" s="1033"/>
      <c r="E20" s="1033"/>
      <c r="F20" s="1033"/>
      <c r="G20" s="1033"/>
      <c r="H20" s="1033"/>
      <c r="I20" s="1033"/>
      <c r="J20" s="1033"/>
      <c r="K20" s="1033"/>
      <c r="L20" s="1033"/>
      <c r="M20" s="1039"/>
      <c r="N20" s="1066"/>
      <c r="O20" s="1101"/>
      <c r="P20" s="1101"/>
      <c r="Q20" s="1101"/>
      <c r="R20" s="1133"/>
      <c r="S20" s="463"/>
      <c r="T20" s="464"/>
      <c r="U20" s="464"/>
      <c r="V20" s="1102">
        <f t="shared" si="0"/>
        <v>0</v>
      </c>
      <c r="W20" s="1101"/>
      <c r="X20" s="1033"/>
      <c r="Y20" s="457" t="s">
        <v>2077</v>
      </c>
      <c r="Z20" s="462"/>
      <c r="AA20" s="462"/>
      <c r="AB20" s="462"/>
      <c r="AC20" s="461">
        <v>41292</v>
      </c>
      <c r="AD20" s="83">
        <v>648000</v>
      </c>
      <c r="AE20" s="1066"/>
      <c r="AF20" s="1024"/>
      <c r="AG20" s="1124"/>
      <c r="AH20" s="1124"/>
      <c r="AI20" s="1124"/>
      <c r="AJ20" s="1124"/>
      <c r="AK20" s="1124"/>
      <c r="AL20" s="1124"/>
      <c r="AM20" s="1124"/>
      <c r="AN20" s="1124"/>
      <c r="AO20" s="1124"/>
      <c r="AP20" s="1104"/>
      <c r="AQ20" s="1104"/>
    </row>
    <row r="21" spans="1:48" s="4" customFormat="1" ht="15" customHeight="1">
      <c r="A21" s="1033"/>
      <c r="B21" s="1069"/>
      <c r="C21" s="1033"/>
      <c r="D21" s="1033"/>
      <c r="E21" s="1033"/>
      <c r="F21" s="1033"/>
      <c r="G21" s="1033"/>
      <c r="H21" s="1033"/>
      <c r="I21" s="1033"/>
      <c r="J21" s="1033"/>
      <c r="K21" s="1033"/>
      <c r="L21" s="1033"/>
      <c r="M21" s="1039"/>
      <c r="N21" s="1065" t="s">
        <v>7</v>
      </c>
      <c r="O21" s="1100">
        <v>1800000</v>
      </c>
      <c r="P21" s="1101"/>
      <c r="Q21" s="1101"/>
      <c r="R21" s="1133"/>
      <c r="S21" s="463"/>
      <c r="T21" s="464"/>
      <c r="U21" s="464"/>
      <c r="V21" s="1100">
        <f t="shared" si="0"/>
        <v>1800000</v>
      </c>
      <c r="W21" s="1101"/>
      <c r="X21" s="1033"/>
      <c r="Y21" s="457" t="s">
        <v>2078</v>
      </c>
      <c r="Z21" s="462"/>
      <c r="AA21" s="462"/>
      <c r="AB21" s="462"/>
      <c r="AC21" s="461">
        <v>41292</v>
      </c>
      <c r="AD21" s="83">
        <v>972000</v>
      </c>
      <c r="AE21" s="1065" t="s">
        <v>7</v>
      </c>
      <c r="AF21" s="1023">
        <f>SUM(AD21:AD22)</f>
        <v>972000</v>
      </c>
      <c r="AG21" s="1124"/>
      <c r="AH21" s="1124"/>
      <c r="AI21" s="1124"/>
      <c r="AJ21" s="1124"/>
      <c r="AK21" s="1124"/>
      <c r="AL21" s="1124"/>
      <c r="AM21" s="1124"/>
      <c r="AN21" s="1124"/>
      <c r="AO21" s="1124"/>
      <c r="AP21" s="1104"/>
      <c r="AQ21" s="1104"/>
    </row>
    <row r="22" spans="1:48" s="4" customFormat="1" ht="15" customHeight="1">
      <c r="A22" s="1033"/>
      <c r="B22" s="1069"/>
      <c r="C22" s="1012"/>
      <c r="D22" s="1033"/>
      <c r="E22" s="1033"/>
      <c r="F22" s="1033"/>
      <c r="G22" s="1033"/>
      <c r="H22" s="1033"/>
      <c r="I22" s="1033"/>
      <c r="J22" s="1033"/>
      <c r="K22" s="1033"/>
      <c r="L22" s="1033"/>
      <c r="M22" s="1010"/>
      <c r="N22" s="1066"/>
      <c r="O22" s="1101"/>
      <c r="P22" s="1102"/>
      <c r="Q22" s="1101"/>
      <c r="R22" s="1134"/>
      <c r="S22" s="463"/>
      <c r="T22" s="464"/>
      <c r="U22" s="464"/>
      <c r="V22" s="1102">
        <f t="shared" si="0"/>
        <v>0</v>
      </c>
      <c r="W22" s="1101"/>
      <c r="X22" s="1033"/>
      <c r="Y22" s="457"/>
      <c r="Z22" s="462"/>
      <c r="AA22" s="462"/>
      <c r="AB22" s="462"/>
      <c r="AC22" s="461"/>
      <c r="AD22" s="83"/>
      <c r="AE22" s="1066"/>
      <c r="AF22" s="1024"/>
      <c r="AG22" s="1124"/>
      <c r="AH22" s="1124"/>
      <c r="AI22" s="1124"/>
      <c r="AJ22" s="1124"/>
      <c r="AK22" s="1124"/>
      <c r="AL22" s="1124"/>
      <c r="AM22" s="1124"/>
      <c r="AN22" s="1124"/>
      <c r="AO22" s="1124"/>
      <c r="AP22" s="1104"/>
      <c r="AQ22" s="1104"/>
    </row>
    <row r="23" spans="1:48" s="4" customFormat="1" ht="15" customHeight="1">
      <c r="A23" s="1033"/>
      <c r="B23" s="1069"/>
      <c r="C23" s="1011" t="s">
        <v>36</v>
      </c>
      <c r="D23" s="1033"/>
      <c r="E23" s="1033"/>
      <c r="F23" s="1033"/>
      <c r="G23" s="1033"/>
      <c r="H23" s="1033"/>
      <c r="I23" s="1033"/>
      <c r="J23" s="1033"/>
      <c r="K23" s="1033"/>
      <c r="L23" s="1033"/>
      <c r="M23" s="1009">
        <v>83</v>
      </c>
      <c r="N23" s="1065" t="s">
        <v>137</v>
      </c>
      <c r="O23" s="1100">
        <v>1216000</v>
      </c>
      <c r="P23" s="1100">
        <f>SUM(O23:O26)</f>
        <v>3040000</v>
      </c>
      <c r="Q23" s="1101"/>
      <c r="R23" s="1132">
        <v>40413</v>
      </c>
      <c r="S23" s="463"/>
      <c r="T23" s="464"/>
      <c r="U23" s="464"/>
      <c r="V23" s="1100">
        <f t="shared" si="0"/>
        <v>1216000</v>
      </c>
      <c r="W23" s="1101"/>
      <c r="X23" s="1033"/>
      <c r="Y23" s="457" t="s">
        <v>2071</v>
      </c>
      <c r="Z23" s="462"/>
      <c r="AA23" s="462"/>
      <c r="AB23" s="462"/>
      <c r="AC23" s="461">
        <v>40444</v>
      </c>
      <c r="AD23" s="83">
        <v>1216000</v>
      </c>
      <c r="AE23" s="1065" t="s">
        <v>137</v>
      </c>
      <c r="AF23" s="1023">
        <f>SUM(AD23:AD24)</f>
        <v>1945600</v>
      </c>
      <c r="AG23" s="1124"/>
      <c r="AH23" s="1124"/>
      <c r="AI23" s="1124"/>
      <c r="AJ23" s="1124"/>
      <c r="AK23" s="1124"/>
      <c r="AL23" s="1124"/>
      <c r="AM23" s="1124"/>
      <c r="AN23" s="1124"/>
      <c r="AO23" s="1124"/>
      <c r="AP23" s="1104"/>
      <c r="AQ23" s="1104"/>
    </row>
    <row r="24" spans="1:48" s="4" customFormat="1" ht="15" customHeight="1">
      <c r="A24" s="1033"/>
      <c r="B24" s="1069"/>
      <c r="C24" s="1033"/>
      <c r="D24" s="1033"/>
      <c r="E24" s="1033"/>
      <c r="F24" s="1033"/>
      <c r="G24" s="1033"/>
      <c r="H24" s="1033"/>
      <c r="I24" s="1033"/>
      <c r="J24" s="1033"/>
      <c r="K24" s="1033"/>
      <c r="L24" s="1033"/>
      <c r="M24" s="1039"/>
      <c r="N24" s="1066"/>
      <c r="O24" s="1101"/>
      <c r="P24" s="1101"/>
      <c r="Q24" s="1101"/>
      <c r="R24" s="1133"/>
      <c r="S24" s="463"/>
      <c r="T24" s="464"/>
      <c r="U24" s="464"/>
      <c r="V24" s="1102">
        <f t="shared" si="0"/>
        <v>0</v>
      </c>
      <c r="W24" s="1101"/>
      <c r="X24" s="1033"/>
      <c r="Y24" s="457" t="s">
        <v>2072</v>
      </c>
      <c r="Z24" s="462"/>
      <c r="AA24" s="462"/>
      <c r="AB24" s="462"/>
      <c r="AC24" s="461">
        <v>41290</v>
      </c>
      <c r="AD24" s="83">
        <v>729600</v>
      </c>
      <c r="AE24" s="1066"/>
      <c r="AF24" s="1024"/>
      <c r="AG24" s="1124"/>
      <c r="AH24" s="1124"/>
      <c r="AI24" s="1124"/>
      <c r="AJ24" s="1124"/>
      <c r="AK24" s="1124"/>
      <c r="AL24" s="1124"/>
      <c r="AM24" s="1124"/>
      <c r="AN24" s="1124"/>
      <c r="AO24" s="1124"/>
      <c r="AP24" s="1104"/>
      <c r="AQ24" s="1104"/>
    </row>
    <row r="25" spans="1:48" s="4" customFormat="1" ht="15" customHeight="1">
      <c r="A25" s="1033"/>
      <c r="B25" s="1069"/>
      <c r="C25" s="1033"/>
      <c r="D25" s="1033"/>
      <c r="E25" s="1033"/>
      <c r="F25" s="1033"/>
      <c r="G25" s="1033"/>
      <c r="H25" s="1033"/>
      <c r="I25" s="1033"/>
      <c r="J25" s="1033"/>
      <c r="K25" s="1033"/>
      <c r="L25" s="1033"/>
      <c r="M25" s="1039"/>
      <c r="N25" s="1065" t="s">
        <v>7</v>
      </c>
      <c r="O25" s="1100">
        <v>1824000</v>
      </c>
      <c r="P25" s="1101"/>
      <c r="Q25" s="1101"/>
      <c r="R25" s="1133"/>
      <c r="S25" s="463"/>
      <c r="T25" s="464"/>
      <c r="U25" s="464"/>
      <c r="V25" s="1100">
        <f t="shared" si="0"/>
        <v>1824000</v>
      </c>
      <c r="W25" s="1101"/>
      <c r="X25" s="1033"/>
      <c r="Y25" s="457" t="s">
        <v>2072</v>
      </c>
      <c r="Z25" s="462"/>
      <c r="AA25" s="462"/>
      <c r="AB25" s="462"/>
      <c r="AC25" s="461">
        <v>41290</v>
      </c>
      <c r="AD25" s="83">
        <v>912000</v>
      </c>
      <c r="AE25" s="1065" t="s">
        <v>7</v>
      </c>
      <c r="AF25" s="1023">
        <f>SUM(AD25:AD26)</f>
        <v>912000</v>
      </c>
      <c r="AG25" s="1124"/>
      <c r="AH25" s="1124"/>
      <c r="AI25" s="1124"/>
      <c r="AJ25" s="1124"/>
      <c r="AK25" s="1124"/>
      <c r="AL25" s="1124"/>
      <c r="AM25" s="1124"/>
      <c r="AN25" s="1124"/>
      <c r="AO25" s="1124"/>
      <c r="AP25" s="1104"/>
      <c r="AQ25" s="1104"/>
    </row>
    <row r="26" spans="1:48" s="4" customFormat="1" ht="15" customHeight="1">
      <c r="A26" s="1033"/>
      <c r="B26" s="1069"/>
      <c r="C26" s="1033"/>
      <c r="D26" s="1033"/>
      <c r="E26" s="1033"/>
      <c r="F26" s="1033"/>
      <c r="G26" s="1033"/>
      <c r="H26" s="1033"/>
      <c r="I26" s="1033"/>
      <c r="J26" s="1033"/>
      <c r="K26" s="1033"/>
      <c r="L26" s="1033"/>
      <c r="M26" s="1010"/>
      <c r="N26" s="1066"/>
      <c r="O26" s="1101"/>
      <c r="P26" s="1102"/>
      <c r="Q26" s="1101"/>
      <c r="R26" s="1134"/>
      <c r="S26" s="463"/>
      <c r="T26" s="464"/>
      <c r="U26" s="464"/>
      <c r="V26" s="1102">
        <f t="shared" si="0"/>
        <v>0</v>
      </c>
      <c r="W26" s="1101"/>
      <c r="X26" s="1033"/>
      <c r="Y26" s="457"/>
      <c r="Z26" s="462"/>
      <c r="AA26" s="462"/>
      <c r="AB26" s="462"/>
      <c r="AC26" s="461"/>
      <c r="AD26" s="83"/>
      <c r="AE26" s="1066"/>
      <c r="AF26" s="1024"/>
      <c r="AG26" s="1124"/>
      <c r="AH26" s="1124"/>
      <c r="AI26" s="1124"/>
      <c r="AJ26" s="1124"/>
      <c r="AK26" s="1124"/>
      <c r="AL26" s="1124"/>
      <c r="AM26" s="1124"/>
      <c r="AN26" s="1124"/>
      <c r="AO26" s="1124"/>
      <c r="AP26" s="1104"/>
      <c r="AQ26" s="1104"/>
    </row>
    <row r="27" spans="1:48" s="4" customFormat="1" ht="15" customHeight="1">
      <c r="A27" s="1033"/>
      <c r="B27" s="1069"/>
      <c r="C27" s="1033"/>
      <c r="D27" s="1033"/>
      <c r="E27" s="1033"/>
      <c r="F27" s="1033"/>
      <c r="G27" s="1033"/>
      <c r="H27" s="1033"/>
      <c r="I27" s="1033"/>
      <c r="J27" s="1012"/>
      <c r="K27" s="1033"/>
      <c r="L27" s="1033"/>
      <c r="M27" s="456">
        <v>174</v>
      </c>
      <c r="N27" s="458" t="s">
        <v>7</v>
      </c>
      <c r="O27" s="464">
        <v>2000000</v>
      </c>
      <c r="P27" s="459">
        <f>O27</f>
        <v>2000000</v>
      </c>
      <c r="Q27" s="1101"/>
      <c r="R27" s="459">
        <f>O27</f>
        <v>2000000</v>
      </c>
      <c r="S27" s="463"/>
      <c r="T27" s="464"/>
      <c r="U27" s="464"/>
      <c r="V27" s="459"/>
      <c r="W27" s="1101"/>
      <c r="X27" s="1033"/>
      <c r="Y27" s="173" t="s">
        <v>115</v>
      </c>
      <c r="Z27" s="462"/>
      <c r="AA27" s="462"/>
      <c r="AB27" s="462"/>
      <c r="AC27" s="461">
        <v>41467</v>
      </c>
      <c r="AD27" s="83">
        <v>1617600</v>
      </c>
      <c r="AE27" s="458" t="s">
        <v>7</v>
      </c>
      <c r="AF27" s="460">
        <f>SUM(AD27)</f>
        <v>1617600</v>
      </c>
      <c r="AG27" s="1124"/>
      <c r="AH27" s="1124"/>
      <c r="AI27" s="1124"/>
      <c r="AJ27" s="1124"/>
      <c r="AK27" s="1124"/>
      <c r="AL27" s="1124"/>
      <c r="AM27" s="1124"/>
      <c r="AN27" s="1124"/>
      <c r="AO27" s="1124"/>
      <c r="AP27" s="1104"/>
      <c r="AQ27" s="1104"/>
      <c r="AR27" s="174"/>
      <c r="AS27" s="174"/>
      <c r="AT27" s="173"/>
      <c r="AU27" s="175"/>
      <c r="AV27" s="176"/>
    </row>
    <row r="28" spans="1:48" s="4" customFormat="1" ht="15" customHeight="1">
      <c r="A28" s="1033"/>
      <c r="B28" s="1069"/>
      <c r="C28" s="1033"/>
      <c r="D28" s="1033"/>
      <c r="E28" s="1033"/>
      <c r="F28" s="1033"/>
      <c r="G28" s="1033"/>
      <c r="H28" s="1033"/>
      <c r="I28" s="1033"/>
      <c r="J28" s="1011" t="s">
        <v>67</v>
      </c>
      <c r="K28" s="1033"/>
      <c r="L28" s="1033"/>
      <c r="M28" s="1009">
        <v>199</v>
      </c>
      <c r="N28" s="1065" t="s">
        <v>7</v>
      </c>
      <c r="O28" s="1100">
        <v>1763200</v>
      </c>
      <c r="P28" s="1100">
        <f>O28</f>
        <v>1763200</v>
      </c>
      <c r="Q28" s="1101"/>
      <c r="R28" s="1132">
        <v>40779</v>
      </c>
      <c r="S28" s="463"/>
      <c r="T28" s="464"/>
      <c r="U28" s="464"/>
      <c r="V28" s="1100">
        <f>O28</f>
        <v>1763200</v>
      </c>
      <c r="W28" s="1101"/>
      <c r="X28" s="1033"/>
      <c r="Y28" s="457" t="s">
        <v>2072</v>
      </c>
      <c r="Z28" s="462"/>
      <c r="AA28" s="462"/>
      <c r="AB28" s="462"/>
      <c r="AC28" s="461">
        <v>41290</v>
      </c>
      <c r="AD28" s="83">
        <v>1586880</v>
      </c>
      <c r="AE28" s="1065" t="s">
        <v>7</v>
      </c>
      <c r="AF28" s="1023">
        <f>SUM(AD28:AD29)</f>
        <v>1586880</v>
      </c>
      <c r="AG28" s="1124"/>
      <c r="AH28" s="1124"/>
      <c r="AI28" s="1124"/>
      <c r="AJ28" s="1124"/>
      <c r="AK28" s="1124"/>
      <c r="AL28" s="1124"/>
      <c r="AM28" s="1124"/>
      <c r="AN28" s="1124"/>
      <c r="AO28" s="1124"/>
      <c r="AP28" s="1104"/>
      <c r="AQ28" s="1104"/>
    </row>
    <row r="29" spans="1:48" s="4" customFormat="1" ht="15" customHeight="1">
      <c r="A29" s="1033"/>
      <c r="B29" s="1069"/>
      <c r="C29" s="1033"/>
      <c r="D29" s="1033"/>
      <c r="E29" s="1033"/>
      <c r="F29" s="1033"/>
      <c r="G29" s="1033"/>
      <c r="H29" s="1033"/>
      <c r="I29" s="1033"/>
      <c r="J29" s="1033"/>
      <c r="K29" s="1033"/>
      <c r="L29" s="1033"/>
      <c r="M29" s="1010"/>
      <c r="N29" s="1066"/>
      <c r="O29" s="1101"/>
      <c r="P29" s="1102"/>
      <c r="Q29" s="1101"/>
      <c r="R29" s="1133"/>
      <c r="S29" s="463"/>
      <c r="T29" s="464"/>
      <c r="U29" s="464"/>
      <c r="V29" s="1102">
        <f>O29</f>
        <v>0</v>
      </c>
      <c r="W29" s="1101"/>
      <c r="X29" s="1033"/>
      <c r="Y29" s="457"/>
      <c r="Z29" s="462"/>
      <c r="AA29" s="462"/>
      <c r="AB29" s="462"/>
      <c r="AC29" s="461"/>
      <c r="AD29" s="83"/>
      <c r="AE29" s="1066"/>
      <c r="AF29" s="1024"/>
      <c r="AG29" s="1124"/>
      <c r="AH29" s="1124"/>
      <c r="AI29" s="1124"/>
      <c r="AJ29" s="1124"/>
      <c r="AK29" s="1124"/>
      <c r="AL29" s="1124"/>
      <c r="AM29" s="1124"/>
      <c r="AN29" s="1124"/>
      <c r="AO29" s="1124"/>
      <c r="AP29" s="1104"/>
      <c r="AQ29" s="1104"/>
    </row>
    <row r="30" spans="1:48" s="4" customFormat="1" ht="15" customHeight="1">
      <c r="A30" s="1033"/>
      <c r="B30" s="1069"/>
      <c r="C30" s="1033"/>
      <c r="D30" s="1033"/>
      <c r="E30" s="1033"/>
      <c r="F30" s="1033"/>
      <c r="G30" s="1033"/>
      <c r="H30" s="1033"/>
      <c r="I30" s="1033"/>
      <c r="J30" s="1033"/>
      <c r="K30" s="1033"/>
      <c r="L30" s="1033"/>
      <c r="M30" s="1009">
        <v>198</v>
      </c>
      <c r="N30" s="1065" t="s">
        <v>7</v>
      </c>
      <c r="O30" s="1100">
        <v>1763200</v>
      </c>
      <c r="P30" s="1100">
        <f>O30</f>
        <v>1763200</v>
      </c>
      <c r="Q30" s="1101"/>
      <c r="R30" s="1132">
        <v>40779</v>
      </c>
      <c r="S30" s="463"/>
      <c r="T30" s="464"/>
      <c r="U30" s="464"/>
      <c r="V30" s="1100">
        <f>O30</f>
        <v>1763200</v>
      </c>
      <c r="W30" s="1101"/>
      <c r="X30" s="1033"/>
      <c r="Y30" s="457" t="s">
        <v>2072</v>
      </c>
      <c r="Z30" s="462"/>
      <c r="AA30" s="462"/>
      <c r="AB30" s="462"/>
      <c r="AC30" s="461">
        <v>41290</v>
      </c>
      <c r="AD30" s="83">
        <v>1586880</v>
      </c>
      <c r="AE30" s="1065" t="s">
        <v>7</v>
      </c>
      <c r="AF30" s="1023">
        <f>SUM(AD30:AD31)</f>
        <v>1586880</v>
      </c>
      <c r="AG30" s="1124"/>
      <c r="AH30" s="1124"/>
      <c r="AI30" s="1124"/>
      <c r="AJ30" s="1124"/>
      <c r="AK30" s="1124"/>
      <c r="AL30" s="1124"/>
      <c r="AM30" s="1124"/>
      <c r="AN30" s="1124"/>
      <c r="AO30" s="1124"/>
      <c r="AP30" s="1104"/>
      <c r="AQ30" s="1104"/>
    </row>
    <row r="31" spans="1:48" s="4" customFormat="1" ht="15" customHeight="1">
      <c r="A31" s="1012"/>
      <c r="B31" s="1070"/>
      <c r="C31" s="1012"/>
      <c r="D31" s="1012"/>
      <c r="E31" s="1012"/>
      <c r="F31" s="1012"/>
      <c r="G31" s="1012"/>
      <c r="H31" s="1012"/>
      <c r="I31" s="1012"/>
      <c r="J31" s="1012"/>
      <c r="K31" s="1012"/>
      <c r="L31" s="1012"/>
      <c r="M31" s="1010"/>
      <c r="N31" s="1066"/>
      <c r="O31" s="1101"/>
      <c r="P31" s="1102"/>
      <c r="Q31" s="1102"/>
      <c r="R31" s="1133"/>
      <c r="S31" s="463"/>
      <c r="T31" s="464"/>
      <c r="U31" s="464"/>
      <c r="V31" s="1102">
        <f>O31</f>
        <v>0</v>
      </c>
      <c r="W31" s="1102"/>
      <c r="X31" s="1012"/>
      <c r="Y31" s="457"/>
      <c r="Z31" s="462"/>
      <c r="AA31" s="462"/>
      <c r="AB31" s="462"/>
      <c r="AC31" s="461"/>
      <c r="AD31" s="83"/>
      <c r="AE31" s="1066"/>
      <c r="AF31" s="1024"/>
      <c r="AG31" s="1024"/>
      <c r="AH31" s="1024"/>
      <c r="AI31" s="1024"/>
      <c r="AJ31" s="1024"/>
      <c r="AK31" s="1024"/>
      <c r="AL31" s="1024"/>
      <c r="AM31" s="1024"/>
      <c r="AN31" s="1024"/>
      <c r="AO31" s="1024"/>
      <c r="AP31" s="1105"/>
      <c r="AQ31" s="1105"/>
    </row>
    <row r="32" spans="1:48">
      <c r="AD32" s="511">
        <f>SUM(AD3:AD31)</f>
        <v>22420160</v>
      </c>
      <c r="AE32" s="511">
        <f t="shared" ref="AE32:AF32" si="1">SUM(AE3:AE31)</f>
        <v>0</v>
      </c>
      <c r="AF32" s="511">
        <f t="shared" si="1"/>
        <v>22420160</v>
      </c>
    </row>
    <row r="33" spans="33:33">
      <c r="AG33" s="512">
        <f>W3-AG3</f>
        <v>1666240</v>
      </c>
    </row>
  </sheetData>
  <mergeCells count="133">
    <mergeCell ref="A3:A31"/>
    <mergeCell ref="B3:B31"/>
    <mergeCell ref="C3:C6"/>
    <mergeCell ref="D3:D31"/>
    <mergeCell ref="E3:E31"/>
    <mergeCell ref="F3:F31"/>
    <mergeCell ref="C7:C10"/>
    <mergeCell ref="C15:C18"/>
    <mergeCell ref="C19:C22"/>
    <mergeCell ref="C23:C31"/>
    <mergeCell ref="C11:C14"/>
    <mergeCell ref="AF7:AF8"/>
    <mergeCell ref="AE15:AE16"/>
    <mergeCell ref="M3:M6"/>
    <mergeCell ref="N3:N4"/>
    <mergeCell ref="O3:O4"/>
    <mergeCell ref="P3:P6"/>
    <mergeCell ref="Q3:Q31"/>
    <mergeCell ref="R3:R6"/>
    <mergeCell ref="M7:M10"/>
    <mergeCell ref="O7:O8"/>
    <mergeCell ref="P7:P10"/>
    <mergeCell ref="R7:R10"/>
    <mergeCell ref="N9:N10"/>
    <mergeCell ref="O9:O10"/>
    <mergeCell ref="V9:V10"/>
    <mergeCell ref="AE9:AE10"/>
    <mergeCell ref="AF9:AF10"/>
    <mergeCell ref="M11:M14"/>
    <mergeCell ref="N11:N12"/>
    <mergeCell ref="O11:O12"/>
    <mergeCell ref="P11:P14"/>
    <mergeCell ref="AE11:AE12"/>
    <mergeCell ref="AF11:AF12"/>
    <mergeCell ref="AE13:AE14"/>
    <mergeCell ref="AN3:AN31"/>
    <mergeCell ref="AO3:AO31"/>
    <mergeCell ref="AP3:AP31"/>
    <mergeCell ref="AQ3:AQ31"/>
    <mergeCell ref="N5:N6"/>
    <mergeCell ref="O5:O6"/>
    <mergeCell ref="V5:V6"/>
    <mergeCell ref="AE5:AE6"/>
    <mergeCell ref="AF5:AF6"/>
    <mergeCell ref="N7:N8"/>
    <mergeCell ref="AH3:AH31"/>
    <mergeCell ref="AI3:AI31"/>
    <mergeCell ref="AJ3:AJ31"/>
    <mergeCell ref="AK3:AK31"/>
    <mergeCell ref="AL3:AL31"/>
    <mergeCell ref="AM3:AM31"/>
    <mergeCell ref="V3:V4"/>
    <mergeCell ref="W3:W31"/>
    <mergeCell ref="X3:X31"/>
    <mergeCell ref="AE3:AE4"/>
    <mergeCell ref="AF3:AF4"/>
    <mergeCell ref="AG3:AG31"/>
    <mergeCell ref="V7:V8"/>
    <mergeCell ref="AE7:AE8"/>
    <mergeCell ref="G3:G31"/>
    <mergeCell ref="H3:H31"/>
    <mergeCell ref="I3:I31"/>
    <mergeCell ref="J3:J27"/>
    <mergeCell ref="K3:K31"/>
    <mergeCell ref="L3:L31"/>
    <mergeCell ref="J28:J31"/>
    <mergeCell ref="R11:R14"/>
    <mergeCell ref="V11:V12"/>
    <mergeCell ref="N13:N14"/>
    <mergeCell ref="O13:O14"/>
    <mergeCell ref="V13:V14"/>
    <mergeCell ref="N21:N22"/>
    <mergeCell ref="O21:O22"/>
    <mergeCell ref="V21:V22"/>
    <mergeCell ref="AF13:AF14"/>
    <mergeCell ref="AF15:AF16"/>
    <mergeCell ref="N17:N18"/>
    <mergeCell ref="O17:O18"/>
    <mergeCell ref="V17:V18"/>
    <mergeCell ref="AE17:AE18"/>
    <mergeCell ref="AF17:AF18"/>
    <mergeCell ref="M15:M18"/>
    <mergeCell ref="N15:N16"/>
    <mergeCell ref="O15:O16"/>
    <mergeCell ref="P15:P18"/>
    <mergeCell ref="R15:R18"/>
    <mergeCell ref="V15:V16"/>
    <mergeCell ref="AE21:AE22"/>
    <mergeCell ref="AF21:AF22"/>
    <mergeCell ref="M19:M22"/>
    <mergeCell ref="N19:N20"/>
    <mergeCell ref="O19:O20"/>
    <mergeCell ref="P19:P22"/>
    <mergeCell ref="R19:R22"/>
    <mergeCell ref="V19:V20"/>
    <mergeCell ref="M30:M31"/>
    <mergeCell ref="N30:N31"/>
    <mergeCell ref="O30:O31"/>
    <mergeCell ref="P30:P31"/>
    <mergeCell ref="R30:R31"/>
    <mergeCell ref="V30:V31"/>
    <mergeCell ref="AE30:AE31"/>
    <mergeCell ref="AF30:AF31"/>
    <mergeCell ref="M28:M29"/>
    <mergeCell ref="N28:N29"/>
    <mergeCell ref="O28:O29"/>
    <mergeCell ref="P28:P29"/>
    <mergeCell ref="R28:R29"/>
    <mergeCell ref="V28:V29"/>
    <mergeCell ref="AN1:AQ1"/>
    <mergeCell ref="A1:L1"/>
    <mergeCell ref="M1:R1"/>
    <mergeCell ref="S1:U1"/>
    <mergeCell ref="V1:X1"/>
    <mergeCell ref="Y1:AI1"/>
    <mergeCell ref="AJ1:AM1"/>
    <mergeCell ref="AE28:AE29"/>
    <mergeCell ref="AF28:AF29"/>
    <mergeCell ref="AE23:AE24"/>
    <mergeCell ref="AF23:AF24"/>
    <mergeCell ref="N25:N26"/>
    <mergeCell ref="O25:O26"/>
    <mergeCell ref="V25:V26"/>
    <mergeCell ref="AE25:AE26"/>
    <mergeCell ref="AF25:AF26"/>
    <mergeCell ref="M23:M26"/>
    <mergeCell ref="N23:N24"/>
    <mergeCell ref="O23:O24"/>
    <mergeCell ref="P23:P26"/>
    <mergeCell ref="R23:R26"/>
    <mergeCell ref="V23:V24"/>
    <mergeCell ref="AE19:AE20"/>
    <mergeCell ref="AF19:AF20"/>
  </mergeCells>
  <hyperlinks>
    <hyperlink ref="M3:M6" r:id="rId1" display="http://consorciofia.info/cdr/ver_fuentes_w.php?NumCDR=076&amp;codEntidad=19999"/>
    <hyperlink ref="M7:M10" r:id="rId2" display="http://consorciofia.info/cdr/ver_fuentes_w.php?NumCDR=077&amp;codEntidad=19999"/>
    <hyperlink ref="M11:M14" r:id="rId3" display="http://consorciofia.info/cdr/ver_fuentes_w.php?NumCDR=078&amp;codEntidad=19999"/>
    <hyperlink ref="M15:M18" r:id="rId4" display="http://consorciofia.info/cdr/ver_fuentes_w.php?NumCDR=079&amp;codEntidad=19999"/>
    <hyperlink ref="M19:M22" r:id="rId5" display="http://consorciofia.info/cdr/ver_fuentes_w.php?NumCDR=080&amp;codEntidad=19999"/>
    <hyperlink ref="M23:M26" r:id="rId6" display="http://consorciofia.info/cdr/ver_fuentes_w.php?NumCDR=083&amp;codEntidad=19999"/>
    <hyperlink ref="M28:M29" r:id="rId7" display="http://consorciofia.info/cdr/ver_fuentes_w.php?NumCDR=199&amp;codEntidad=19999"/>
    <hyperlink ref="M30:M31" r:id="rId8" display="http://consorciofia.info/cdr/ver_fuentes_w.php?NumCDR=198&amp;codEntidad=19999"/>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Listas!$D$2:$D$10</xm:f>
          </x14:formula1>
          <xm:sqref>K1:K31</xm:sqref>
        </x14:dataValidation>
        <x14:dataValidation type="list" allowBlank="1" showInputMessage="1" showErrorMessage="1">
          <x14:formula1>
            <xm:f>Listas!$B$2:$B$5</xm:f>
          </x14:formula1>
          <xm:sqref>H1:H31</xm:sqref>
        </x14:dataValidation>
        <x14:dataValidation type="list" allowBlank="1" showInputMessage="1" showErrorMessage="1">
          <x14:formula1>
            <xm:f>Listas!$C$2:$C$6</xm:f>
          </x14:formula1>
          <xm:sqref>J28 J1:J3</xm:sqref>
        </x14:dataValidation>
        <x14:dataValidation type="list" allowBlank="1" showInputMessage="1" showErrorMessage="1">
          <x14:formula1>
            <xm:f>Listas!$E$2:$E$45</xm:f>
          </x14:formula1>
          <xm:sqref>N1:N31</xm:sqref>
        </x14:dataValidation>
        <x14:dataValidation type="list" allowBlank="1" showInputMessage="1" showErrorMessage="1">
          <x14:formula1>
            <xm:f>Listas!$A$2:$A$43</xm:f>
          </x14:formula1>
          <xm:sqref>C1:C23</xm:sqref>
        </x14:dataValidation>
        <x14:dataValidation type="list" allowBlank="1" showInputMessage="1" showErrorMessage="1">
          <x14:formula1>
            <xm:f>Listas!$G$2:$G$45</xm:f>
          </x14:formula1>
          <xm:sqref>AE1:AE31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N1800"/>
  <sheetViews>
    <sheetView workbookViewId="0">
      <selection sqref="A1:G1"/>
    </sheetView>
  </sheetViews>
  <sheetFormatPr baseColWidth="10" defaultColWidth="11.42578125" defaultRowHeight="15.75"/>
  <cols>
    <col min="1" max="1" width="6.140625" style="46" customWidth="1"/>
    <col min="2" max="2" width="12.42578125" style="46" customWidth="1"/>
    <col min="3" max="3" width="16.28515625" style="46" hidden="1" customWidth="1"/>
    <col min="4" max="4" width="15.7109375" style="46" hidden="1" customWidth="1"/>
    <col min="5" max="5" width="18.7109375" style="46" hidden="1" customWidth="1"/>
    <col min="6" max="6" width="16.85546875" style="46" hidden="1" customWidth="1"/>
    <col min="7" max="7" width="23.140625" style="46" hidden="1" customWidth="1"/>
    <col min="8" max="8" width="5.28515625" style="825" customWidth="1"/>
    <col min="9" max="9" width="8.28515625" style="824" customWidth="1"/>
    <col min="10" max="10" width="17.85546875" style="826" hidden="1" customWidth="1"/>
    <col min="11" max="11" width="25.140625" style="826" hidden="1" customWidth="1"/>
    <col min="12" max="12" width="20.28515625" style="826" hidden="1" customWidth="1"/>
    <col min="13" max="13" width="16.5703125" style="47" hidden="1" customWidth="1"/>
    <col min="14" max="14" width="20.28515625" style="53" hidden="1" customWidth="1"/>
    <col min="15" max="15" width="23.7109375" style="826" hidden="1" customWidth="1"/>
    <col min="16" max="16" width="16.5703125" style="826" hidden="1" customWidth="1"/>
    <col min="17" max="17" width="23.28515625" style="826" hidden="1" customWidth="1"/>
    <col min="18" max="18" width="20.28515625" style="826" hidden="1" customWidth="1"/>
    <col min="19" max="19" width="33.5703125" style="46" hidden="1" customWidth="1"/>
    <col min="20" max="20" width="11.42578125" style="824" customWidth="1"/>
    <col min="21" max="21" width="19.42578125" style="59" customWidth="1"/>
    <col min="22" max="22" width="12.28515625" style="47" customWidth="1"/>
    <col min="23" max="23" width="16.7109375" style="59" customWidth="1"/>
    <col min="24" max="24" width="21.7109375" style="828" customWidth="1"/>
    <col min="25" max="25" width="19.42578125" style="828" customWidth="1"/>
    <col min="26" max="26" width="17.5703125" style="828" customWidth="1"/>
    <col min="27" max="27" width="19.140625" style="828" customWidth="1"/>
    <col min="28" max="28" width="21.5703125" style="826" customWidth="1"/>
    <col min="29" max="29" width="27.85546875" style="826" customWidth="1"/>
    <col min="30" max="30" width="25.5703125" style="826" customWidth="1"/>
    <col min="31" max="31" width="27.42578125" style="826" customWidth="1"/>
    <col min="32" max="32" width="35.5703125" style="50" customWidth="1"/>
    <col min="33" max="33" width="49.42578125" style="25" customWidth="1"/>
    <col min="34" max="34" width="17.42578125" style="25" hidden="1" customWidth="1"/>
    <col min="35" max="35" width="16.28515625" style="25" customWidth="1"/>
    <col min="36" max="37" width="21.85546875" style="25" customWidth="1"/>
    <col min="38" max="38" width="42.7109375" style="25" customWidth="1"/>
    <col min="39" max="16384" width="11.42578125" style="25"/>
  </cols>
  <sheetData>
    <row r="1" spans="1:37" s="4" customFormat="1" ht="15.75" customHeight="1">
      <c r="A1" s="1342" t="s">
        <v>56</v>
      </c>
      <c r="B1" s="1342"/>
      <c r="C1" s="1342"/>
      <c r="D1" s="1342"/>
      <c r="E1" s="1342"/>
      <c r="F1" s="1342"/>
      <c r="G1" s="1342"/>
      <c r="H1" s="1343" t="s">
        <v>57</v>
      </c>
      <c r="I1" s="1343"/>
      <c r="J1" s="1343"/>
      <c r="K1" s="1343"/>
      <c r="L1" s="1343"/>
      <c r="M1" s="1343"/>
      <c r="N1" s="1344" t="s">
        <v>284</v>
      </c>
      <c r="O1" s="1344"/>
      <c r="P1" s="1344"/>
      <c r="Q1" s="1345" t="s">
        <v>63</v>
      </c>
      <c r="R1" s="1345"/>
      <c r="S1" s="1345"/>
      <c r="T1" s="1346" t="s">
        <v>190</v>
      </c>
      <c r="U1" s="1346"/>
      <c r="V1" s="1346"/>
      <c r="W1" s="1346"/>
      <c r="X1" s="1346"/>
      <c r="Y1" s="1346"/>
      <c r="Z1" s="1346"/>
      <c r="AA1" s="1346"/>
      <c r="AB1" s="1347" t="s">
        <v>202</v>
      </c>
      <c r="AC1" s="1347"/>
      <c r="AD1" s="1347"/>
      <c r="AE1" s="1347"/>
      <c r="AF1" s="1341" t="s">
        <v>203</v>
      </c>
      <c r="AG1" s="1341"/>
      <c r="AH1" s="1341"/>
      <c r="AI1" s="1341"/>
    </row>
    <row r="2" spans="1:37" s="61" customFormat="1" ht="30.75" customHeight="1">
      <c r="A2" s="16" t="s">
        <v>463</v>
      </c>
      <c r="B2" s="16" t="s">
        <v>2</v>
      </c>
      <c r="C2" s="16" t="s">
        <v>65</v>
      </c>
      <c r="D2" s="16" t="s">
        <v>201</v>
      </c>
      <c r="E2" s="16" t="s">
        <v>126</v>
      </c>
      <c r="F2" s="16" t="s">
        <v>68</v>
      </c>
      <c r="G2" s="16" t="s">
        <v>207</v>
      </c>
      <c r="H2" s="20" t="s">
        <v>358</v>
      </c>
      <c r="I2" s="19" t="s">
        <v>54</v>
      </c>
      <c r="J2" s="36" t="s">
        <v>60</v>
      </c>
      <c r="K2" s="36" t="s">
        <v>59</v>
      </c>
      <c r="L2" s="36" t="s">
        <v>313</v>
      </c>
      <c r="M2" s="22" t="s">
        <v>187</v>
      </c>
      <c r="N2" s="37" t="s">
        <v>59</v>
      </c>
      <c r="O2" s="906" t="s">
        <v>60</v>
      </c>
      <c r="P2" s="906" t="s">
        <v>285</v>
      </c>
      <c r="Q2" s="39" t="s">
        <v>314</v>
      </c>
      <c r="R2" s="39" t="s">
        <v>55</v>
      </c>
      <c r="S2" s="5" t="s">
        <v>61</v>
      </c>
      <c r="T2" s="21" t="s">
        <v>315</v>
      </c>
      <c r="U2" s="32" t="s">
        <v>330</v>
      </c>
      <c r="V2" s="7" t="s">
        <v>179</v>
      </c>
      <c r="W2" s="32" t="s">
        <v>395</v>
      </c>
      <c r="X2" s="32" t="s">
        <v>317</v>
      </c>
      <c r="Y2" s="32" t="s">
        <v>328</v>
      </c>
      <c r="Z2" s="32" t="s">
        <v>318</v>
      </c>
      <c r="AA2" s="32" t="s">
        <v>293</v>
      </c>
      <c r="AB2" s="907" t="s">
        <v>322</v>
      </c>
      <c r="AC2" s="907" t="s">
        <v>319</v>
      </c>
      <c r="AD2" s="907" t="s">
        <v>324</v>
      </c>
      <c r="AE2" s="907" t="s">
        <v>372</v>
      </c>
      <c r="AF2" s="905" t="s">
        <v>264</v>
      </c>
      <c r="AG2" s="8" t="s">
        <v>193</v>
      </c>
      <c r="AH2" s="8" t="s">
        <v>196</v>
      </c>
      <c r="AI2" s="8" t="s">
        <v>341</v>
      </c>
      <c r="AJ2" s="61" t="s">
        <v>2465</v>
      </c>
      <c r="AK2" s="61">
        <v>323890.55999999493</v>
      </c>
    </row>
    <row r="3" spans="1:37" s="6" customFormat="1" ht="15" customHeight="1">
      <c r="A3" s="1219" t="s">
        <v>232</v>
      </c>
      <c r="B3" s="1219" t="s">
        <v>191</v>
      </c>
      <c r="C3" s="1219" t="s">
        <v>72</v>
      </c>
      <c r="D3" s="1329" t="s">
        <v>177</v>
      </c>
      <c r="E3" s="1219" t="s">
        <v>66</v>
      </c>
      <c r="F3" s="1219" t="s">
        <v>183</v>
      </c>
      <c r="G3" s="1219"/>
      <c r="H3" s="1318">
        <v>29</v>
      </c>
      <c r="I3" s="1219" t="s">
        <v>137</v>
      </c>
      <c r="J3" s="1084">
        <v>130000000</v>
      </c>
      <c r="K3" s="1084">
        <v>130000000</v>
      </c>
      <c r="L3" s="1084">
        <v>150984400</v>
      </c>
      <c r="M3" s="1253">
        <v>40211</v>
      </c>
      <c r="N3" s="883"/>
      <c r="O3" s="827"/>
      <c r="P3" s="827"/>
      <c r="Q3" s="1084">
        <v>130000000</v>
      </c>
      <c r="R3" s="1084">
        <v>150984400</v>
      </c>
      <c r="S3" s="1219" t="s">
        <v>192</v>
      </c>
      <c r="T3" s="878">
        <v>7</v>
      </c>
      <c r="U3" s="56">
        <v>52000000</v>
      </c>
      <c r="V3" s="881">
        <v>40305</v>
      </c>
      <c r="W3" s="56"/>
      <c r="X3" s="1315">
        <v>130000000</v>
      </c>
      <c r="Y3" s="1315">
        <v>150984400</v>
      </c>
      <c r="Z3" s="1315">
        <v>0</v>
      </c>
      <c r="AA3" s="1315">
        <v>0</v>
      </c>
      <c r="AB3" s="1084">
        <v>0</v>
      </c>
      <c r="AC3" s="1084">
        <v>0</v>
      </c>
      <c r="AD3" s="1084">
        <v>0</v>
      </c>
      <c r="AE3" s="1084">
        <v>0</v>
      </c>
      <c r="AF3" s="1328"/>
      <c r="AG3" s="1329" t="s">
        <v>320</v>
      </c>
      <c r="AH3" s="1329" t="s">
        <v>194</v>
      </c>
      <c r="AI3" s="1329" t="s">
        <v>342</v>
      </c>
    </row>
    <row r="4" spans="1:37" s="6" customFormat="1" ht="15" customHeight="1">
      <c r="A4" s="1219"/>
      <c r="B4" s="1219"/>
      <c r="C4" s="1219"/>
      <c r="D4" s="1329"/>
      <c r="E4" s="1219"/>
      <c r="F4" s="1219"/>
      <c r="G4" s="1219"/>
      <c r="H4" s="1318"/>
      <c r="I4" s="1219"/>
      <c r="J4" s="1084"/>
      <c r="K4" s="1084"/>
      <c r="L4" s="1084"/>
      <c r="M4" s="1253"/>
      <c r="N4" s="883"/>
      <c r="O4" s="827"/>
      <c r="P4" s="827"/>
      <c r="Q4" s="1084"/>
      <c r="R4" s="1084"/>
      <c r="S4" s="1219"/>
      <c r="T4" s="878" t="s">
        <v>180</v>
      </c>
      <c r="U4" s="56">
        <v>39000000</v>
      </c>
      <c r="V4" s="881">
        <v>40457</v>
      </c>
      <c r="W4" s="56"/>
      <c r="X4" s="1315"/>
      <c r="Y4" s="1315"/>
      <c r="Z4" s="1315"/>
      <c r="AA4" s="1315"/>
      <c r="AB4" s="1084"/>
      <c r="AC4" s="1084"/>
      <c r="AD4" s="1084"/>
      <c r="AE4" s="1084"/>
      <c r="AF4" s="1328"/>
      <c r="AG4" s="1329"/>
      <c r="AH4" s="1329"/>
      <c r="AI4" s="1329"/>
    </row>
    <row r="5" spans="1:37" s="6" customFormat="1" ht="15" customHeight="1">
      <c r="A5" s="1219"/>
      <c r="B5" s="1219"/>
      <c r="C5" s="1219"/>
      <c r="D5" s="1329"/>
      <c r="E5" s="1219"/>
      <c r="F5" s="1219"/>
      <c r="G5" s="1219"/>
      <c r="H5" s="1318"/>
      <c r="I5" s="1219"/>
      <c r="J5" s="1084"/>
      <c r="K5" s="1084"/>
      <c r="L5" s="1084"/>
      <c r="M5" s="1253"/>
      <c r="N5" s="883"/>
      <c r="O5" s="827"/>
      <c r="P5" s="827"/>
      <c r="Q5" s="1084"/>
      <c r="R5" s="1084"/>
      <c r="S5" s="1219"/>
      <c r="T5" s="878"/>
      <c r="U5" s="56">
        <v>25974000</v>
      </c>
      <c r="V5" s="881">
        <v>40753</v>
      </c>
      <c r="W5" s="56"/>
      <c r="X5" s="1315"/>
      <c r="Y5" s="1315"/>
      <c r="Z5" s="1315"/>
      <c r="AA5" s="1315"/>
      <c r="AB5" s="1084"/>
      <c r="AC5" s="1084"/>
      <c r="AD5" s="1084"/>
      <c r="AE5" s="1084"/>
      <c r="AF5" s="1328"/>
      <c r="AG5" s="1329"/>
      <c r="AH5" s="1329"/>
      <c r="AI5" s="1329"/>
    </row>
    <row r="6" spans="1:37" s="6" customFormat="1" ht="15" customHeight="1">
      <c r="A6" s="1219"/>
      <c r="B6" s="1219"/>
      <c r="C6" s="1219"/>
      <c r="D6" s="1329"/>
      <c r="E6" s="1219"/>
      <c r="F6" s="1219"/>
      <c r="G6" s="1219"/>
      <c r="H6" s="1318"/>
      <c r="I6" s="1219"/>
      <c r="J6" s="1084"/>
      <c r="K6" s="1084"/>
      <c r="L6" s="1084"/>
      <c r="M6" s="1253"/>
      <c r="N6" s="883"/>
      <c r="O6" s="827"/>
      <c r="P6" s="827"/>
      <c r="Q6" s="1084"/>
      <c r="R6" s="1084"/>
      <c r="S6" s="1219"/>
      <c r="T6" s="878"/>
      <c r="U6" s="56">
        <v>13026000</v>
      </c>
      <c r="V6" s="881">
        <v>41379</v>
      </c>
      <c r="W6" s="56"/>
      <c r="X6" s="1315"/>
      <c r="Y6" s="1315"/>
      <c r="Z6" s="1315"/>
      <c r="AA6" s="1315"/>
      <c r="AB6" s="1084"/>
      <c r="AC6" s="1084"/>
      <c r="AD6" s="1084"/>
      <c r="AE6" s="1084"/>
      <c r="AF6" s="1328"/>
      <c r="AG6" s="1329"/>
      <c r="AH6" s="1329"/>
      <c r="AI6" s="1329"/>
    </row>
    <row r="7" spans="1:37" s="6" customFormat="1" ht="15" customHeight="1">
      <c r="A7" s="1219"/>
      <c r="B7" s="1219"/>
      <c r="C7" s="1219" t="s">
        <v>72</v>
      </c>
      <c r="D7" s="1329"/>
      <c r="E7" s="1219" t="s">
        <v>67</v>
      </c>
      <c r="F7" s="1219"/>
      <c r="G7" s="1219"/>
      <c r="H7" s="1318">
        <v>190</v>
      </c>
      <c r="I7" s="1219" t="s">
        <v>7</v>
      </c>
      <c r="J7" s="1084">
        <v>20984400</v>
      </c>
      <c r="K7" s="1084">
        <v>20984400</v>
      </c>
      <c r="L7" s="1084"/>
      <c r="M7" s="1253">
        <v>40759</v>
      </c>
      <c r="N7" s="883"/>
      <c r="O7" s="827"/>
      <c r="P7" s="827"/>
      <c r="Q7" s="1084">
        <v>20984400</v>
      </c>
      <c r="R7" s="1084"/>
      <c r="S7" s="1219"/>
      <c r="T7" s="878"/>
      <c r="U7" s="56">
        <v>17480005</v>
      </c>
      <c r="V7" s="881">
        <v>40802</v>
      </c>
      <c r="W7" s="56"/>
      <c r="X7" s="1315">
        <v>20984400</v>
      </c>
      <c r="Y7" s="1315"/>
      <c r="Z7" s="1315">
        <v>0</v>
      </c>
      <c r="AA7" s="1315">
        <v>0</v>
      </c>
      <c r="AB7" s="1084"/>
      <c r="AC7" s="1084">
        <v>0</v>
      </c>
      <c r="AD7" s="1084">
        <v>0</v>
      </c>
      <c r="AE7" s="1084">
        <v>0</v>
      </c>
      <c r="AF7" s="1328"/>
      <c r="AG7" s="1329"/>
      <c r="AH7" s="1329"/>
      <c r="AI7" s="1329"/>
    </row>
    <row r="8" spans="1:37" s="6" customFormat="1" ht="15" customHeight="1">
      <c r="A8" s="1219"/>
      <c r="B8" s="1219"/>
      <c r="C8" s="1219"/>
      <c r="D8" s="1329"/>
      <c r="E8" s="1219"/>
      <c r="F8" s="1219"/>
      <c r="G8" s="1219"/>
      <c r="H8" s="1318"/>
      <c r="I8" s="1219"/>
      <c r="J8" s="1084"/>
      <c r="K8" s="1084"/>
      <c r="L8" s="1084"/>
      <c r="M8" s="1253"/>
      <c r="N8" s="883"/>
      <c r="O8" s="827"/>
      <c r="P8" s="827"/>
      <c r="Q8" s="1084"/>
      <c r="R8" s="1084"/>
      <c r="S8" s="1219"/>
      <c r="T8" s="878"/>
      <c r="U8" s="56">
        <v>3504395</v>
      </c>
      <c r="V8" s="881">
        <v>41374</v>
      </c>
      <c r="W8" s="56"/>
      <c r="X8" s="1315"/>
      <c r="Y8" s="1315"/>
      <c r="Z8" s="1315"/>
      <c r="AA8" s="1315"/>
      <c r="AB8" s="1084"/>
      <c r="AC8" s="1084"/>
      <c r="AD8" s="1084"/>
      <c r="AE8" s="1084"/>
      <c r="AF8" s="1328"/>
      <c r="AG8" s="1329"/>
      <c r="AH8" s="1329"/>
      <c r="AI8" s="1329"/>
    </row>
    <row r="9" spans="1:37" s="4" customFormat="1" ht="15" customHeight="1">
      <c r="A9" s="1076" t="s">
        <v>233</v>
      </c>
      <c r="B9" s="1076" t="s">
        <v>176</v>
      </c>
      <c r="C9" s="1076" t="s">
        <v>72</v>
      </c>
      <c r="D9" s="1204" t="s">
        <v>177</v>
      </c>
      <c r="E9" s="1076" t="s">
        <v>66</v>
      </c>
      <c r="F9" s="1076" t="s">
        <v>183</v>
      </c>
      <c r="G9" s="1076"/>
      <c r="H9" s="1318">
        <v>1</v>
      </c>
      <c r="I9" s="1076" t="s">
        <v>137</v>
      </c>
      <c r="J9" s="1119">
        <v>82867500</v>
      </c>
      <c r="K9" s="1119">
        <v>82867500</v>
      </c>
      <c r="L9" s="1119">
        <v>92867500</v>
      </c>
      <c r="M9" s="1171">
        <v>40211</v>
      </c>
      <c r="N9" s="862"/>
      <c r="O9" s="858"/>
      <c r="P9" s="858"/>
      <c r="Q9" s="1119">
        <v>82855436</v>
      </c>
      <c r="R9" s="1119">
        <v>92855436</v>
      </c>
      <c r="S9" s="1076" t="s">
        <v>178</v>
      </c>
      <c r="T9" s="840">
        <v>15</v>
      </c>
      <c r="U9" s="56">
        <v>33142174</v>
      </c>
      <c r="V9" s="855">
        <v>40305</v>
      </c>
      <c r="W9" s="56"/>
      <c r="X9" s="1315">
        <v>82855436</v>
      </c>
      <c r="Y9" s="1315">
        <v>92855361</v>
      </c>
      <c r="Z9" s="1315">
        <v>0</v>
      </c>
      <c r="AA9" s="1315">
        <v>0</v>
      </c>
      <c r="AB9" s="1119">
        <v>0</v>
      </c>
      <c r="AC9" s="1119">
        <v>12064</v>
      </c>
      <c r="AD9" s="1119">
        <v>0</v>
      </c>
      <c r="AE9" s="1119">
        <v>12064</v>
      </c>
      <c r="AF9" s="1203"/>
      <c r="AG9" s="1204" t="s">
        <v>321</v>
      </c>
      <c r="AH9" s="1204" t="s">
        <v>194</v>
      </c>
      <c r="AI9" s="1204" t="s">
        <v>342</v>
      </c>
    </row>
    <row r="10" spans="1:37" s="4" customFormat="1" ht="15" customHeight="1">
      <c r="A10" s="1076"/>
      <c r="B10" s="1076"/>
      <c r="C10" s="1076"/>
      <c r="D10" s="1204"/>
      <c r="E10" s="1076"/>
      <c r="F10" s="1076"/>
      <c r="G10" s="1076"/>
      <c r="H10" s="1318"/>
      <c r="I10" s="1076"/>
      <c r="J10" s="1119"/>
      <c r="K10" s="1119"/>
      <c r="L10" s="1119"/>
      <c r="M10" s="1171"/>
      <c r="N10" s="862"/>
      <c r="O10" s="858"/>
      <c r="P10" s="858"/>
      <c r="Q10" s="1119"/>
      <c r="R10" s="1119"/>
      <c r="S10" s="1076"/>
      <c r="T10" s="840"/>
      <c r="U10" s="56">
        <v>44741935</v>
      </c>
      <c r="V10" s="855">
        <v>41129</v>
      </c>
      <c r="W10" s="56"/>
      <c r="X10" s="1315"/>
      <c r="Y10" s="1315"/>
      <c r="Z10" s="1315"/>
      <c r="AA10" s="1315"/>
      <c r="AB10" s="1119"/>
      <c r="AC10" s="1119"/>
      <c r="AD10" s="1119"/>
      <c r="AE10" s="1119"/>
      <c r="AF10" s="1203"/>
      <c r="AG10" s="1204"/>
      <c r="AH10" s="1204"/>
      <c r="AI10" s="1204"/>
    </row>
    <row r="11" spans="1:37" s="4" customFormat="1" ht="15" customHeight="1">
      <c r="A11" s="1076"/>
      <c r="B11" s="1076"/>
      <c r="C11" s="1076"/>
      <c r="D11" s="1204"/>
      <c r="E11" s="1076"/>
      <c r="F11" s="1076"/>
      <c r="G11" s="1076"/>
      <c r="H11" s="1318"/>
      <c r="I11" s="1076"/>
      <c r="J11" s="1119"/>
      <c r="K11" s="1119"/>
      <c r="L11" s="1119"/>
      <c r="M11" s="1171"/>
      <c r="N11" s="862"/>
      <c r="O11" s="858"/>
      <c r="P11" s="858"/>
      <c r="Q11" s="1119"/>
      <c r="R11" s="1119"/>
      <c r="S11" s="1076"/>
      <c r="T11" s="840">
        <v>424</v>
      </c>
      <c r="U11" s="56">
        <v>4971327</v>
      </c>
      <c r="V11" s="855">
        <v>42478</v>
      </c>
      <c r="W11" s="56"/>
      <c r="X11" s="1315"/>
      <c r="Y11" s="1315"/>
      <c r="Z11" s="1315"/>
      <c r="AA11" s="1315"/>
      <c r="AB11" s="1119"/>
      <c r="AC11" s="1119"/>
      <c r="AD11" s="1119"/>
      <c r="AE11" s="1119"/>
      <c r="AF11" s="1203"/>
      <c r="AG11" s="1204"/>
      <c r="AH11" s="1204"/>
      <c r="AI11" s="1204"/>
    </row>
    <row r="12" spans="1:37" s="4" customFormat="1" ht="15" customHeight="1">
      <c r="A12" s="1076"/>
      <c r="B12" s="1076"/>
      <c r="C12" s="1076"/>
      <c r="D12" s="1204"/>
      <c r="E12" s="1076" t="s">
        <v>171</v>
      </c>
      <c r="F12" s="1076"/>
      <c r="G12" s="1076"/>
      <c r="H12" s="1318">
        <v>174</v>
      </c>
      <c r="I12" s="1076" t="s">
        <v>7</v>
      </c>
      <c r="J12" s="1119">
        <v>10000000</v>
      </c>
      <c r="K12" s="1119">
        <v>1511282659</v>
      </c>
      <c r="L12" s="1119"/>
      <c r="M12" s="1171">
        <v>40745</v>
      </c>
      <c r="N12" s="862"/>
      <c r="O12" s="858"/>
      <c r="P12" s="858"/>
      <c r="Q12" s="1119">
        <v>10000000</v>
      </c>
      <c r="R12" s="1119"/>
      <c r="S12" s="1076"/>
      <c r="T12" s="840" t="s">
        <v>181</v>
      </c>
      <c r="U12" s="56">
        <v>999925</v>
      </c>
      <c r="V12" s="855">
        <v>42478</v>
      </c>
      <c r="W12" s="56"/>
      <c r="X12" s="1315">
        <v>9999925</v>
      </c>
      <c r="Y12" s="1315"/>
      <c r="Z12" s="1315">
        <v>0</v>
      </c>
      <c r="AA12" s="1315">
        <v>0</v>
      </c>
      <c r="AB12" s="1119"/>
      <c r="AC12" s="1324">
        <v>1501282659</v>
      </c>
      <c r="AD12" s="1324">
        <v>75</v>
      </c>
      <c r="AE12" s="1324">
        <v>1501282734</v>
      </c>
      <c r="AF12" s="1203"/>
      <c r="AG12" s="1204"/>
      <c r="AH12" s="1204"/>
      <c r="AI12" s="1204"/>
    </row>
    <row r="13" spans="1:37" s="4" customFormat="1" ht="15" customHeight="1">
      <c r="A13" s="1076"/>
      <c r="B13" s="1076"/>
      <c r="C13" s="1076"/>
      <c r="D13" s="1204"/>
      <c r="E13" s="1076"/>
      <c r="F13" s="1076"/>
      <c r="G13" s="1076"/>
      <c r="H13" s="1318"/>
      <c r="I13" s="1076"/>
      <c r="J13" s="1119"/>
      <c r="K13" s="1119"/>
      <c r="L13" s="1119"/>
      <c r="M13" s="1171"/>
      <c r="N13" s="862"/>
      <c r="O13" s="858"/>
      <c r="P13" s="858"/>
      <c r="Q13" s="1119"/>
      <c r="R13" s="1119"/>
      <c r="S13" s="1076"/>
      <c r="T13" s="840">
        <v>425</v>
      </c>
      <c r="U13" s="56">
        <v>9000000</v>
      </c>
      <c r="V13" s="855">
        <v>42478</v>
      </c>
      <c r="W13" s="56"/>
      <c r="X13" s="1315"/>
      <c r="Y13" s="1315"/>
      <c r="Z13" s="1315"/>
      <c r="AA13" s="1315"/>
      <c r="AB13" s="1119"/>
      <c r="AC13" s="1324"/>
      <c r="AD13" s="1324"/>
      <c r="AE13" s="1324"/>
      <c r="AF13" s="1203"/>
      <c r="AG13" s="1204"/>
      <c r="AH13" s="1204"/>
      <c r="AI13" s="1204"/>
    </row>
    <row r="14" spans="1:37" s="6" customFormat="1" ht="15" customHeight="1">
      <c r="A14" s="1219" t="s">
        <v>234</v>
      </c>
      <c r="B14" s="1219" t="s">
        <v>174</v>
      </c>
      <c r="C14" s="1219" t="s">
        <v>72</v>
      </c>
      <c r="D14" s="1329" t="s">
        <v>177</v>
      </c>
      <c r="E14" s="1219" t="s">
        <v>66</v>
      </c>
      <c r="F14" s="1219" t="s">
        <v>183</v>
      </c>
      <c r="G14" s="1219"/>
      <c r="H14" s="1318">
        <v>2</v>
      </c>
      <c r="I14" s="1219" t="s">
        <v>137</v>
      </c>
      <c r="J14" s="1084">
        <v>96932500</v>
      </c>
      <c r="K14" s="1084">
        <v>96932500</v>
      </c>
      <c r="L14" s="1084">
        <v>138932500</v>
      </c>
      <c r="M14" s="1253">
        <v>40211</v>
      </c>
      <c r="N14" s="883"/>
      <c r="O14" s="827"/>
      <c r="P14" s="827"/>
      <c r="Q14" s="1084">
        <v>96932500</v>
      </c>
      <c r="R14" s="1084">
        <v>138932500</v>
      </c>
      <c r="S14" s="1219" t="s">
        <v>62</v>
      </c>
      <c r="T14" s="878" t="s">
        <v>180</v>
      </c>
      <c r="U14" s="56">
        <v>37572964</v>
      </c>
      <c r="V14" s="881">
        <v>40333</v>
      </c>
      <c r="W14" s="56"/>
      <c r="X14" s="1315">
        <v>96932409</v>
      </c>
      <c r="Y14" s="1315">
        <v>138932409</v>
      </c>
      <c r="Z14" s="1315">
        <v>0</v>
      </c>
      <c r="AA14" s="1315">
        <v>0</v>
      </c>
      <c r="AB14" s="1084">
        <v>0</v>
      </c>
      <c r="AC14" s="1084">
        <v>0</v>
      </c>
      <c r="AD14" s="1084">
        <v>91</v>
      </c>
      <c r="AE14" s="1084">
        <v>91</v>
      </c>
      <c r="AF14" s="1328"/>
      <c r="AG14" s="1329" t="s">
        <v>340</v>
      </c>
      <c r="AH14" s="1329" t="s">
        <v>194</v>
      </c>
      <c r="AI14" s="1329" t="s">
        <v>342</v>
      </c>
    </row>
    <row r="15" spans="1:37" s="6" customFormat="1" ht="15" customHeight="1">
      <c r="A15" s="1219"/>
      <c r="B15" s="1219"/>
      <c r="C15" s="1219"/>
      <c r="D15" s="1329"/>
      <c r="E15" s="1219"/>
      <c r="F15" s="1219"/>
      <c r="G15" s="1219"/>
      <c r="H15" s="1318"/>
      <c r="I15" s="1219"/>
      <c r="J15" s="1084"/>
      <c r="K15" s="1084"/>
      <c r="L15" s="1084"/>
      <c r="M15" s="1253"/>
      <c r="N15" s="883"/>
      <c r="O15" s="827"/>
      <c r="P15" s="827"/>
      <c r="Q15" s="1084"/>
      <c r="R15" s="1084"/>
      <c r="S15" s="1219"/>
      <c r="T15" s="878">
        <v>10</v>
      </c>
      <c r="U15" s="56">
        <v>59359445</v>
      </c>
      <c r="V15" s="881">
        <v>40816</v>
      </c>
      <c r="W15" s="56"/>
      <c r="X15" s="1315"/>
      <c r="Y15" s="1315"/>
      <c r="Z15" s="1315"/>
      <c r="AA15" s="1315"/>
      <c r="AB15" s="1084"/>
      <c r="AC15" s="1084"/>
      <c r="AD15" s="1084"/>
      <c r="AE15" s="1084"/>
      <c r="AF15" s="1328"/>
      <c r="AG15" s="1329"/>
      <c r="AH15" s="1329"/>
      <c r="AI15" s="1329"/>
    </row>
    <row r="16" spans="1:37" s="6" customFormat="1" ht="15" customHeight="1">
      <c r="A16" s="1219"/>
      <c r="B16" s="1219"/>
      <c r="C16" s="865" t="s">
        <v>72</v>
      </c>
      <c r="D16" s="1329"/>
      <c r="E16" s="865" t="s">
        <v>67</v>
      </c>
      <c r="F16" s="1219"/>
      <c r="G16" s="1219"/>
      <c r="H16" s="880">
        <v>187</v>
      </c>
      <c r="I16" s="865" t="s">
        <v>7</v>
      </c>
      <c r="J16" s="827">
        <v>42000000</v>
      </c>
      <c r="K16" s="827">
        <v>42000000</v>
      </c>
      <c r="L16" s="1084"/>
      <c r="M16" s="881">
        <v>40759</v>
      </c>
      <c r="N16" s="883"/>
      <c r="O16" s="827"/>
      <c r="P16" s="827"/>
      <c r="Q16" s="827">
        <v>42000000</v>
      </c>
      <c r="R16" s="1084"/>
      <c r="S16" s="1219"/>
      <c r="T16" s="878">
        <v>10</v>
      </c>
      <c r="U16" s="56">
        <v>42000000</v>
      </c>
      <c r="V16" s="881">
        <v>40816</v>
      </c>
      <c r="W16" s="56"/>
      <c r="X16" s="884">
        <v>42000000</v>
      </c>
      <c r="Y16" s="1315"/>
      <c r="Z16" s="884">
        <v>0</v>
      </c>
      <c r="AA16" s="884">
        <v>0</v>
      </c>
      <c r="AB16" s="1084"/>
      <c r="AC16" s="827">
        <v>0</v>
      </c>
      <c r="AD16" s="827">
        <v>0</v>
      </c>
      <c r="AE16" s="827">
        <v>0</v>
      </c>
      <c r="AF16" s="1328"/>
      <c r="AG16" s="1329"/>
      <c r="AH16" s="1329"/>
      <c r="AI16" s="1329"/>
    </row>
    <row r="17" spans="1:40" s="940" customFormat="1" ht="15" customHeight="1">
      <c r="A17" s="943" t="s">
        <v>802</v>
      </c>
      <c r="B17" s="943" t="s">
        <v>446</v>
      </c>
      <c r="C17" s="943" t="s">
        <v>72</v>
      </c>
      <c r="D17" s="943" t="s">
        <v>206</v>
      </c>
      <c r="E17" s="943" t="s">
        <v>66</v>
      </c>
      <c r="F17" s="943" t="s">
        <v>49</v>
      </c>
      <c r="G17" s="943" t="s">
        <v>450</v>
      </c>
      <c r="H17" s="957">
        <v>3</v>
      </c>
      <c r="I17" s="958" t="s">
        <v>137</v>
      </c>
      <c r="J17" s="944">
        <v>101703000</v>
      </c>
      <c r="K17" s="944">
        <v>101703000</v>
      </c>
      <c r="L17" s="944">
        <v>101703000</v>
      </c>
      <c r="M17" s="945">
        <v>40211</v>
      </c>
      <c r="N17" s="944">
        <v>101703000</v>
      </c>
      <c r="O17" s="944">
        <v>101703000</v>
      </c>
      <c r="P17" s="944">
        <v>0</v>
      </c>
      <c r="Q17" s="944">
        <v>98695700</v>
      </c>
      <c r="R17" s="944">
        <v>98695700</v>
      </c>
      <c r="S17" s="943" t="s">
        <v>178</v>
      </c>
      <c r="T17" s="947" t="s">
        <v>449</v>
      </c>
      <c r="U17" s="959">
        <v>39478280</v>
      </c>
      <c r="V17" s="945">
        <v>40305</v>
      </c>
      <c r="W17" s="959" t="s">
        <v>137</v>
      </c>
      <c r="X17" s="959">
        <v>39478280</v>
      </c>
      <c r="Y17" s="959">
        <v>39478280</v>
      </c>
      <c r="Z17" s="959">
        <v>0</v>
      </c>
      <c r="AA17" s="959">
        <v>0</v>
      </c>
      <c r="AB17" s="944">
        <v>-39478280</v>
      </c>
      <c r="AC17" s="944">
        <v>3007300</v>
      </c>
      <c r="AD17" s="944">
        <v>59217420</v>
      </c>
      <c r="AE17" s="944">
        <v>3007300</v>
      </c>
      <c r="AF17" s="951" t="s">
        <v>437</v>
      </c>
      <c r="AG17" s="952" t="s">
        <v>803</v>
      </c>
      <c r="AH17" s="952" t="s">
        <v>195</v>
      </c>
      <c r="AI17" s="952" t="s">
        <v>368</v>
      </c>
      <c r="AJ17" s="960" t="s">
        <v>2467</v>
      </c>
      <c r="AK17" s="961">
        <v>3</v>
      </c>
      <c r="AL17" s="961" t="s">
        <v>2405</v>
      </c>
      <c r="AM17" s="953" t="s">
        <v>2496</v>
      </c>
      <c r="AN17" s="953" t="s">
        <v>2497</v>
      </c>
    </row>
    <row r="18" spans="1:40" s="4" customFormat="1" ht="15" customHeight="1">
      <c r="A18" s="1076" t="s">
        <v>439</v>
      </c>
      <c r="B18" s="1076" t="s">
        <v>440</v>
      </c>
      <c r="C18" s="1076" t="s">
        <v>72</v>
      </c>
      <c r="D18" s="1076" t="s">
        <v>206</v>
      </c>
      <c r="E18" s="1076" t="s">
        <v>66</v>
      </c>
      <c r="F18" s="1076" t="s">
        <v>183</v>
      </c>
      <c r="G18" s="1076" t="s">
        <v>448</v>
      </c>
      <c r="H18" s="1245">
        <v>4</v>
      </c>
      <c r="I18" s="1348" t="s">
        <v>137</v>
      </c>
      <c r="J18" s="1119">
        <v>98695700</v>
      </c>
      <c r="K18" s="1119">
        <v>98695700</v>
      </c>
      <c r="L18" s="1119">
        <v>128223500</v>
      </c>
      <c r="M18" s="1253">
        <v>40211</v>
      </c>
      <c r="N18" s="1084">
        <v>98695700</v>
      </c>
      <c r="O18" s="1084">
        <v>98695700</v>
      </c>
      <c r="P18" s="1084">
        <v>0</v>
      </c>
      <c r="Q18" s="1119">
        <v>98695700</v>
      </c>
      <c r="R18" s="1119">
        <v>128223500</v>
      </c>
      <c r="S18" s="1076" t="s">
        <v>178</v>
      </c>
      <c r="T18" s="840" t="s">
        <v>441</v>
      </c>
      <c r="U18" s="895">
        <v>39478280</v>
      </c>
      <c r="V18" s="855">
        <v>40305</v>
      </c>
      <c r="W18" s="858" t="s">
        <v>137</v>
      </c>
      <c r="X18" s="1119">
        <v>98695700</v>
      </c>
      <c r="Y18" s="1315">
        <v>128223500</v>
      </c>
      <c r="Z18" s="1119">
        <v>0</v>
      </c>
      <c r="AA18" s="1119">
        <v>0</v>
      </c>
      <c r="AB18" s="1084">
        <v>0</v>
      </c>
      <c r="AC18" s="1119">
        <v>0</v>
      </c>
      <c r="AD18" s="1119">
        <v>0</v>
      </c>
      <c r="AE18" s="1119">
        <v>0</v>
      </c>
      <c r="AF18" s="1203" t="s">
        <v>443</v>
      </c>
      <c r="AG18" s="1204" t="s">
        <v>785</v>
      </c>
      <c r="AH18" s="1204" t="s">
        <v>194</v>
      </c>
      <c r="AI18" s="1204" t="s">
        <v>368</v>
      </c>
    </row>
    <row r="19" spans="1:40" s="4" customFormat="1" ht="15" customHeight="1">
      <c r="A19" s="1076"/>
      <c r="B19" s="1076"/>
      <c r="C19" s="1076"/>
      <c r="D19" s="1076"/>
      <c r="E19" s="1076"/>
      <c r="F19" s="1076"/>
      <c r="G19" s="1076"/>
      <c r="H19" s="1245"/>
      <c r="I19" s="1348"/>
      <c r="J19" s="1119"/>
      <c r="K19" s="1119"/>
      <c r="L19" s="1119"/>
      <c r="M19" s="1253"/>
      <c r="N19" s="1084"/>
      <c r="O19" s="1084"/>
      <c r="P19" s="1084"/>
      <c r="Q19" s="1119"/>
      <c r="R19" s="1119"/>
      <c r="S19" s="1076"/>
      <c r="T19" s="840" t="s">
        <v>442</v>
      </c>
      <c r="U19" s="895">
        <v>49347850</v>
      </c>
      <c r="V19" s="855">
        <v>40547</v>
      </c>
      <c r="W19" s="858" t="s">
        <v>137</v>
      </c>
      <c r="X19" s="1119"/>
      <c r="Y19" s="1315"/>
      <c r="Z19" s="1119"/>
      <c r="AA19" s="1119"/>
      <c r="AB19" s="1084"/>
      <c r="AC19" s="1119"/>
      <c r="AD19" s="1119"/>
      <c r="AE19" s="1119"/>
      <c r="AF19" s="1203"/>
      <c r="AG19" s="1204"/>
      <c r="AH19" s="1204"/>
      <c r="AI19" s="1204"/>
    </row>
    <row r="20" spans="1:40" s="4" customFormat="1" ht="15" customHeight="1">
      <c r="A20" s="1076"/>
      <c r="B20" s="1076"/>
      <c r="C20" s="1076"/>
      <c r="D20" s="1076"/>
      <c r="E20" s="1076"/>
      <c r="F20" s="1076"/>
      <c r="G20" s="1076"/>
      <c r="H20" s="1245"/>
      <c r="I20" s="1348"/>
      <c r="J20" s="1119"/>
      <c r="K20" s="1119"/>
      <c r="L20" s="1119"/>
      <c r="M20" s="1253"/>
      <c r="N20" s="1084"/>
      <c r="O20" s="1084"/>
      <c r="P20" s="1084"/>
      <c r="Q20" s="1119"/>
      <c r="R20" s="1119"/>
      <c r="S20" s="1076"/>
      <c r="T20" s="840" t="s">
        <v>444</v>
      </c>
      <c r="U20" s="895">
        <v>9869570</v>
      </c>
      <c r="V20" s="855">
        <v>42879</v>
      </c>
      <c r="W20" s="858" t="s">
        <v>137</v>
      </c>
      <c r="X20" s="1119"/>
      <c r="Y20" s="1315"/>
      <c r="Z20" s="1119"/>
      <c r="AA20" s="1119"/>
      <c r="AB20" s="1084"/>
      <c r="AC20" s="1119"/>
      <c r="AD20" s="1119"/>
      <c r="AE20" s="1119"/>
      <c r="AF20" s="1203"/>
      <c r="AG20" s="1204"/>
      <c r="AH20" s="1204"/>
      <c r="AI20" s="1204"/>
    </row>
    <row r="21" spans="1:40" s="4" customFormat="1" ht="15" customHeight="1">
      <c r="A21" s="1076"/>
      <c r="B21" s="1076"/>
      <c r="C21" s="1076"/>
      <c r="D21" s="1076"/>
      <c r="E21" s="823" t="s">
        <v>171</v>
      </c>
      <c r="F21" s="1076"/>
      <c r="G21" s="1076"/>
      <c r="H21" s="876">
        <v>191</v>
      </c>
      <c r="I21" s="904" t="s">
        <v>7</v>
      </c>
      <c r="J21" s="858">
        <v>29527800</v>
      </c>
      <c r="K21" s="858">
        <v>29527800</v>
      </c>
      <c r="L21" s="1119"/>
      <c r="M21" s="855">
        <v>40759</v>
      </c>
      <c r="N21" s="858">
        <v>29527800</v>
      </c>
      <c r="O21" s="858">
        <v>29527800</v>
      </c>
      <c r="P21" s="858">
        <v>0</v>
      </c>
      <c r="Q21" s="858">
        <v>29527800</v>
      </c>
      <c r="R21" s="1119"/>
      <c r="S21" s="1076"/>
      <c r="T21" s="840" t="s">
        <v>445</v>
      </c>
      <c r="U21" s="895">
        <v>29527800</v>
      </c>
      <c r="V21" s="855">
        <v>41491</v>
      </c>
      <c r="W21" s="858" t="s">
        <v>7</v>
      </c>
      <c r="X21" s="858">
        <v>29527800</v>
      </c>
      <c r="Y21" s="1315"/>
      <c r="Z21" s="1119"/>
      <c r="AA21" s="1119"/>
      <c r="AB21" s="1084"/>
      <c r="AC21" s="1119"/>
      <c r="AD21" s="858">
        <v>0</v>
      </c>
      <c r="AE21" s="1119"/>
      <c r="AF21" s="1203"/>
      <c r="AG21" s="1204"/>
      <c r="AH21" s="1204"/>
      <c r="AI21" s="1204"/>
    </row>
    <row r="22" spans="1:40" s="4" customFormat="1" ht="15" customHeight="1">
      <c r="A22" s="1076" t="s">
        <v>235</v>
      </c>
      <c r="B22" s="1076" t="s">
        <v>199</v>
      </c>
      <c r="C22" s="1076" t="s">
        <v>72</v>
      </c>
      <c r="D22" s="1204" t="s">
        <v>200</v>
      </c>
      <c r="E22" s="1076" t="s">
        <v>66</v>
      </c>
      <c r="F22" s="1076" t="s">
        <v>49</v>
      </c>
      <c r="G22" s="1076" t="s">
        <v>219</v>
      </c>
      <c r="H22" s="1318">
        <v>5</v>
      </c>
      <c r="I22" s="1076" t="s">
        <v>137</v>
      </c>
      <c r="J22" s="1119">
        <v>90770001</v>
      </c>
      <c r="K22" s="1119">
        <v>90770001</v>
      </c>
      <c r="L22" s="1119">
        <v>118002395</v>
      </c>
      <c r="M22" s="1171">
        <v>40211</v>
      </c>
      <c r="N22" s="862"/>
      <c r="O22" s="858"/>
      <c r="P22" s="858"/>
      <c r="Q22" s="1119">
        <v>90770001</v>
      </c>
      <c r="R22" s="1119">
        <v>118002395</v>
      </c>
      <c r="S22" s="1076" t="s">
        <v>198</v>
      </c>
      <c r="T22" s="840"/>
      <c r="U22" s="56">
        <v>36308000.399999999</v>
      </c>
      <c r="V22" s="855">
        <v>40305</v>
      </c>
      <c r="W22" s="56"/>
      <c r="X22" s="1315">
        <v>52646726.399999999</v>
      </c>
      <c r="Y22" s="1315">
        <v>52646726.399999999</v>
      </c>
      <c r="Z22" s="1315">
        <v>0</v>
      </c>
      <c r="AA22" s="1315">
        <v>0</v>
      </c>
      <c r="AB22" s="1119">
        <v>-25415516.399999999</v>
      </c>
      <c r="AC22" s="1119">
        <v>0</v>
      </c>
      <c r="AD22" s="1324">
        <v>63538791</v>
      </c>
      <c r="AE22" s="1324">
        <v>63538791</v>
      </c>
      <c r="AF22" s="1203"/>
      <c r="AG22" s="1204" t="s">
        <v>323</v>
      </c>
      <c r="AH22" s="1204" t="s">
        <v>194</v>
      </c>
      <c r="AI22" s="1204" t="s">
        <v>342</v>
      </c>
      <c r="AJ22" s="1364" t="s">
        <v>2476</v>
      </c>
    </row>
    <row r="23" spans="1:40" s="4" customFormat="1" ht="15" customHeight="1">
      <c r="A23" s="1076"/>
      <c r="B23" s="1076"/>
      <c r="C23" s="1076"/>
      <c r="D23" s="1204"/>
      <c r="E23" s="1076"/>
      <c r="F23" s="1076"/>
      <c r="G23" s="1076"/>
      <c r="H23" s="1318"/>
      <c r="I23" s="1076"/>
      <c r="J23" s="1119"/>
      <c r="K23" s="1119"/>
      <c r="L23" s="1119"/>
      <c r="M23" s="1171"/>
      <c r="N23" s="862"/>
      <c r="O23" s="858"/>
      <c r="P23" s="858"/>
      <c r="Q23" s="1119"/>
      <c r="R23" s="1119"/>
      <c r="S23" s="1076"/>
      <c r="T23" s="840"/>
      <c r="U23" s="56">
        <v>16338726</v>
      </c>
      <c r="V23" s="855">
        <v>41012</v>
      </c>
      <c r="W23" s="56"/>
      <c r="X23" s="1315"/>
      <c r="Y23" s="1315"/>
      <c r="Z23" s="1315"/>
      <c r="AA23" s="1315"/>
      <c r="AB23" s="1119"/>
      <c r="AC23" s="1119"/>
      <c r="AD23" s="1324"/>
      <c r="AE23" s="1324"/>
      <c r="AF23" s="1203"/>
      <c r="AG23" s="1204"/>
      <c r="AH23" s="1204"/>
      <c r="AI23" s="1204"/>
      <c r="AJ23" s="1364"/>
    </row>
    <row r="24" spans="1:40" s="4" customFormat="1" ht="15" customHeight="1">
      <c r="A24" s="1076"/>
      <c r="B24" s="1076"/>
      <c r="C24" s="823" t="s">
        <v>72</v>
      </c>
      <c r="D24" s="1204"/>
      <c r="E24" s="823" t="s">
        <v>67</v>
      </c>
      <c r="F24" s="1076"/>
      <c r="G24" s="1076"/>
      <c r="H24" s="880">
        <v>193</v>
      </c>
      <c r="I24" s="823" t="s">
        <v>7</v>
      </c>
      <c r="J24" s="858">
        <v>27232394</v>
      </c>
      <c r="K24" s="858">
        <v>27232394</v>
      </c>
      <c r="L24" s="1119"/>
      <c r="M24" s="855">
        <v>40759</v>
      </c>
      <c r="N24" s="862"/>
      <c r="O24" s="858"/>
      <c r="P24" s="858"/>
      <c r="Q24" s="858">
        <v>27232394</v>
      </c>
      <c r="R24" s="1119"/>
      <c r="S24" s="1076"/>
      <c r="T24" s="840"/>
      <c r="U24" s="56">
        <v>0</v>
      </c>
      <c r="V24" s="855"/>
      <c r="W24" s="56"/>
      <c r="X24" s="884">
        <v>0</v>
      </c>
      <c r="Y24" s="1315"/>
      <c r="Z24" s="884">
        <v>0</v>
      </c>
      <c r="AA24" s="884">
        <v>0</v>
      </c>
      <c r="AB24" s="1119"/>
      <c r="AC24" s="858">
        <v>0</v>
      </c>
      <c r="AD24" s="902">
        <v>27232394</v>
      </c>
      <c r="AE24" s="902">
        <v>27232394</v>
      </c>
      <c r="AF24" s="1203"/>
      <c r="AG24" s="1204"/>
      <c r="AH24" s="1204"/>
      <c r="AI24" s="1204"/>
      <c r="AJ24" s="1364"/>
    </row>
    <row r="25" spans="1:40" s="4" customFormat="1" ht="15" customHeight="1">
      <c r="A25" s="1076" t="s">
        <v>236</v>
      </c>
      <c r="B25" s="1076" t="s">
        <v>205</v>
      </c>
      <c r="C25" s="1076" t="s">
        <v>72</v>
      </c>
      <c r="D25" s="1076" t="s">
        <v>206</v>
      </c>
      <c r="E25" s="1076" t="s">
        <v>66</v>
      </c>
      <c r="F25" s="1076" t="s">
        <v>183</v>
      </c>
      <c r="G25" s="1076" t="s">
        <v>220</v>
      </c>
      <c r="H25" s="1318">
        <v>8</v>
      </c>
      <c r="I25" s="1076" t="s">
        <v>137</v>
      </c>
      <c r="J25" s="1119">
        <v>145507500</v>
      </c>
      <c r="K25" s="1119">
        <v>145507500</v>
      </c>
      <c r="L25" s="1119">
        <v>218261250</v>
      </c>
      <c r="M25" s="1171">
        <v>43863</v>
      </c>
      <c r="N25" s="862"/>
      <c r="O25" s="858"/>
      <c r="P25" s="858"/>
      <c r="Q25" s="1119">
        <v>145507500</v>
      </c>
      <c r="R25" s="1119">
        <v>218261250</v>
      </c>
      <c r="S25" s="1076" t="s">
        <v>198</v>
      </c>
      <c r="T25" s="840">
        <v>2</v>
      </c>
      <c r="U25" s="56">
        <v>58203000</v>
      </c>
      <c r="V25" s="855">
        <v>40326</v>
      </c>
      <c r="W25" s="56"/>
      <c r="X25" s="1315">
        <v>145507500</v>
      </c>
      <c r="Y25" s="1315">
        <v>218261250</v>
      </c>
      <c r="Z25" s="1315">
        <v>0</v>
      </c>
      <c r="AA25" s="1315">
        <v>0</v>
      </c>
      <c r="AB25" s="1119">
        <v>0</v>
      </c>
      <c r="AC25" s="1119">
        <v>0</v>
      </c>
      <c r="AD25" s="1119">
        <v>0</v>
      </c>
      <c r="AE25" s="1119">
        <v>0</v>
      </c>
      <c r="AF25" s="1203"/>
      <c r="AG25" s="1204" t="s">
        <v>320</v>
      </c>
      <c r="AH25" s="1204" t="s">
        <v>194</v>
      </c>
      <c r="AI25" s="1204" t="s">
        <v>342</v>
      </c>
    </row>
    <row r="26" spans="1:40" s="4" customFormat="1" ht="15" customHeight="1">
      <c r="A26" s="1076"/>
      <c r="B26" s="1076"/>
      <c r="C26" s="1076"/>
      <c r="D26" s="1076"/>
      <c r="E26" s="1076"/>
      <c r="F26" s="1076"/>
      <c r="G26" s="1076"/>
      <c r="H26" s="1318"/>
      <c r="I26" s="1076"/>
      <c r="J26" s="1119"/>
      <c r="K26" s="1119"/>
      <c r="L26" s="1119"/>
      <c r="M26" s="1171"/>
      <c r="N26" s="862"/>
      <c r="O26" s="858"/>
      <c r="P26" s="858"/>
      <c r="Q26" s="1119"/>
      <c r="R26" s="1119"/>
      <c r="S26" s="1076"/>
      <c r="T26" s="840"/>
      <c r="U26" s="56">
        <v>43652250</v>
      </c>
      <c r="V26" s="855">
        <v>40750</v>
      </c>
      <c r="W26" s="56"/>
      <c r="X26" s="1315"/>
      <c r="Y26" s="1315"/>
      <c r="Z26" s="1315"/>
      <c r="AA26" s="1315"/>
      <c r="AB26" s="1119"/>
      <c r="AC26" s="1119"/>
      <c r="AD26" s="1119"/>
      <c r="AE26" s="1119"/>
      <c r="AF26" s="1203"/>
      <c r="AG26" s="1204"/>
      <c r="AH26" s="1204"/>
      <c r="AI26" s="1204"/>
    </row>
    <row r="27" spans="1:40" s="4" customFormat="1" ht="15" customHeight="1">
      <c r="A27" s="1076"/>
      <c r="B27" s="1076"/>
      <c r="C27" s="1076"/>
      <c r="D27" s="1076"/>
      <c r="E27" s="1076"/>
      <c r="F27" s="1076"/>
      <c r="G27" s="1076"/>
      <c r="H27" s="1318"/>
      <c r="I27" s="1076"/>
      <c r="J27" s="1119"/>
      <c r="K27" s="1119"/>
      <c r="L27" s="1119"/>
      <c r="M27" s="1171"/>
      <c r="N27" s="862"/>
      <c r="O27" s="858"/>
      <c r="P27" s="858"/>
      <c r="Q27" s="1119"/>
      <c r="R27" s="1119"/>
      <c r="S27" s="1076"/>
      <c r="T27" s="840">
        <v>101</v>
      </c>
      <c r="U27" s="56">
        <v>43652250</v>
      </c>
      <c r="V27" s="855">
        <v>41550</v>
      </c>
      <c r="W27" s="56"/>
      <c r="X27" s="1315"/>
      <c r="Y27" s="1315"/>
      <c r="Z27" s="1315"/>
      <c r="AA27" s="1315"/>
      <c r="AB27" s="1119"/>
      <c r="AC27" s="1119"/>
      <c r="AD27" s="1119"/>
      <c r="AE27" s="1119"/>
      <c r="AF27" s="1203"/>
      <c r="AG27" s="1204"/>
      <c r="AH27" s="1204"/>
      <c r="AI27" s="1204"/>
    </row>
    <row r="28" spans="1:40" s="4" customFormat="1" ht="15" customHeight="1">
      <c r="A28" s="1076"/>
      <c r="B28" s="1076"/>
      <c r="C28" s="1076"/>
      <c r="D28" s="1076"/>
      <c r="E28" s="823" t="s">
        <v>67</v>
      </c>
      <c r="F28" s="1076"/>
      <c r="G28" s="1076"/>
      <c r="H28" s="880">
        <v>164</v>
      </c>
      <c r="I28" s="823" t="s">
        <v>7</v>
      </c>
      <c r="J28" s="858">
        <v>72753750</v>
      </c>
      <c r="K28" s="858">
        <v>72753750</v>
      </c>
      <c r="L28" s="1119"/>
      <c r="M28" s="855">
        <v>40701</v>
      </c>
      <c r="N28" s="862"/>
      <c r="O28" s="858"/>
      <c r="P28" s="858"/>
      <c r="Q28" s="858">
        <v>72753750</v>
      </c>
      <c r="R28" s="1119"/>
      <c r="S28" s="1076"/>
      <c r="T28" s="840">
        <v>104</v>
      </c>
      <c r="U28" s="56">
        <v>72753750</v>
      </c>
      <c r="V28" s="855">
        <v>41550</v>
      </c>
      <c r="W28" s="56"/>
      <c r="X28" s="884">
        <v>72753750</v>
      </c>
      <c r="Y28" s="1315"/>
      <c r="Z28" s="884">
        <v>0</v>
      </c>
      <c r="AA28" s="884">
        <v>0</v>
      </c>
      <c r="AB28" s="1119"/>
      <c r="AC28" s="858">
        <v>0</v>
      </c>
      <c r="AD28" s="858">
        <v>0</v>
      </c>
      <c r="AE28" s="858">
        <v>0</v>
      </c>
      <c r="AF28" s="1203"/>
      <c r="AG28" s="1204"/>
      <c r="AH28" s="1204"/>
      <c r="AI28" s="1204"/>
    </row>
    <row r="29" spans="1:40" ht="15" customHeight="1">
      <c r="A29" s="1076" t="s">
        <v>894</v>
      </c>
      <c r="B29" s="1076" t="s">
        <v>896</v>
      </c>
      <c r="C29" s="1076" t="s">
        <v>72</v>
      </c>
      <c r="D29" s="1076" t="s">
        <v>177</v>
      </c>
      <c r="E29" s="1076" t="s">
        <v>66</v>
      </c>
      <c r="F29" s="1076" t="s">
        <v>183</v>
      </c>
      <c r="G29" s="1076" t="s">
        <v>898</v>
      </c>
      <c r="H29" s="1251">
        <v>9</v>
      </c>
      <c r="I29" s="1123" t="s">
        <v>137</v>
      </c>
      <c r="J29" s="1119">
        <v>206190001</v>
      </c>
      <c r="K29" s="1119">
        <v>206190001</v>
      </c>
      <c r="L29" s="1119">
        <v>206190001</v>
      </c>
      <c r="M29" s="1171">
        <v>40211</v>
      </c>
      <c r="N29" s="1119">
        <v>206167031</v>
      </c>
      <c r="O29" s="1119">
        <v>206167031</v>
      </c>
      <c r="P29" s="1119">
        <v>22970</v>
      </c>
      <c r="Q29" s="1119">
        <v>206167031</v>
      </c>
      <c r="R29" s="1119">
        <v>206167031</v>
      </c>
      <c r="S29" s="1076" t="s">
        <v>897</v>
      </c>
      <c r="T29" s="840" t="s">
        <v>899</v>
      </c>
      <c r="U29" s="866">
        <v>82466812</v>
      </c>
      <c r="V29" s="855">
        <v>40326</v>
      </c>
      <c r="W29" s="866" t="s">
        <v>137</v>
      </c>
      <c r="X29" s="1084">
        <v>206167031</v>
      </c>
      <c r="Y29" s="1084">
        <v>206167031</v>
      </c>
      <c r="Z29" s="827">
        <v>0.40000000596046448</v>
      </c>
      <c r="AA29" s="1084">
        <v>0</v>
      </c>
      <c r="AB29" s="1119">
        <v>0</v>
      </c>
      <c r="AC29" s="1119">
        <v>22970</v>
      </c>
      <c r="AD29" s="1119">
        <v>0</v>
      </c>
      <c r="AE29" s="1119">
        <v>0</v>
      </c>
      <c r="AF29" s="1249" t="s">
        <v>523</v>
      </c>
      <c r="AG29" s="1248" t="s">
        <v>903</v>
      </c>
      <c r="AH29" s="1249" t="s">
        <v>194</v>
      </c>
      <c r="AI29" s="1249" t="s">
        <v>558</v>
      </c>
    </row>
    <row r="30" spans="1:40" ht="15" customHeight="1">
      <c r="A30" s="1076"/>
      <c r="B30" s="1076"/>
      <c r="C30" s="1076"/>
      <c r="D30" s="1076"/>
      <c r="E30" s="1076"/>
      <c r="F30" s="1076"/>
      <c r="G30" s="1076"/>
      <c r="H30" s="1251"/>
      <c r="I30" s="1123"/>
      <c r="J30" s="1119"/>
      <c r="K30" s="1119"/>
      <c r="L30" s="1119"/>
      <c r="M30" s="1171"/>
      <c r="N30" s="1119"/>
      <c r="O30" s="1119"/>
      <c r="P30" s="1119"/>
      <c r="Q30" s="1119"/>
      <c r="R30" s="1119"/>
      <c r="S30" s="1076"/>
      <c r="T30" s="840" t="s">
        <v>900</v>
      </c>
      <c r="U30" s="866">
        <v>86590153</v>
      </c>
      <c r="V30" s="855">
        <v>40548</v>
      </c>
      <c r="W30" s="866" t="s">
        <v>137</v>
      </c>
      <c r="X30" s="1084"/>
      <c r="Y30" s="1084"/>
      <c r="Z30" s="827">
        <v>0</v>
      </c>
      <c r="AA30" s="1084"/>
      <c r="AB30" s="1119"/>
      <c r="AC30" s="1119"/>
      <c r="AD30" s="1119"/>
      <c r="AE30" s="1119"/>
      <c r="AF30" s="1249"/>
      <c r="AG30" s="1249"/>
      <c r="AH30" s="1249"/>
      <c r="AI30" s="1249"/>
    </row>
    <row r="31" spans="1:40" ht="15" customHeight="1">
      <c r="A31" s="1076"/>
      <c r="B31" s="1076"/>
      <c r="C31" s="1076"/>
      <c r="D31" s="1076"/>
      <c r="E31" s="1076"/>
      <c r="F31" s="1076"/>
      <c r="G31" s="1076"/>
      <c r="H31" s="1251"/>
      <c r="I31" s="1123"/>
      <c r="J31" s="1119"/>
      <c r="K31" s="1119"/>
      <c r="L31" s="1119"/>
      <c r="M31" s="1171"/>
      <c r="N31" s="1119"/>
      <c r="O31" s="1119"/>
      <c r="P31" s="1119"/>
      <c r="Q31" s="1119"/>
      <c r="R31" s="1119"/>
      <c r="S31" s="1076"/>
      <c r="T31" s="840" t="s">
        <v>901</v>
      </c>
      <c r="U31" s="866">
        <v>16452129</v>
      </c>
      <c r="V31" s="855">
        <v>40905</v>
      </c>
      <c r="W31" s="866" t="s">
        <v>137</v>
      </c>
      <c r="X31" s="1084"/>
      <c r="Y31" s="1084"/>
      <c r="Z31" s="827">
        <v>0</v>
      </c>
      <c r="AA31" s="1084"/>
      <c r="AB31" s="1119"/>
      <c r="AC31" s="1119"/>
      <c r="AD31" s="1119"/>
      <c r="AE31" s="1119"/>
      <c r="AF31" s="1249"/>
      <c r="AG31" s="1249"/>
      <c r="AH31" s="1249"/>
      <c r="AI31" s="1249"/>
    </row>
    <row r="32" spans="1:40" ht="15" customHeight="1">
      <c r="A32" s="1076"/>
      <c r="B32" s="1076"/>
      <c r="C32" s="1076"/>
      <c r="D32" s="1076"/>
      <c r="E32" s="1076"/>
      <c r="F32" s="1076"/>
      <c r="G32" s="1076"/>
      <c r="H32" s="1251"/>
      <c r="I32" s="1123"/>
      <c r="J32" s="1119"/>
      <c r="K32" s="1119"/>
      <c r="L32" s="1119"/>
      <c r="M32" s="1171"/>
      <c r="N32" s="1119"/>
      <c r="O32" s="1119"/>
      <c r="P32" s="1119"/>
      <c r="Q32" s="1119"/>
      <c r="R32" s="1119"/>
      <c r="S32" s="1076"/>
      <c r="T32" s="840" t="s">
        <v>902</v>
      </c>
      <c r="U32" s="866">
        <v>20657937</v>
      </c>
      <c r="V32" s="855">
        <v>40913</v>
      </c>
      <c r="W32" s="866" t="s">
        <v>137</v>
      </c>
      <c r="X32" s="1084"/>
      <c r="Y32" s="1084"/>
      <c r="Z32" s="827">
        <v>-0.39999999850988388</v>
      </c>
      <c r="AA32" s="1084"/>
      <c r="AB32" s="1119"/>
      <c r="AC32" s="1119"/>
      <c r="AD32" s="1119"/>
      <c r="AE32" s="1119"/>
      <c r="AF32" s="1249"/>
      <c r="AG32" s="1249"/>
      <c r="AH32" s="1249"/>
      <c r="AI32" s="1249"/>
    </row>
    <row r="33" spans="1:40" ht="15" customHeight="1" thickBot="1">
      <c r="A33" s="1076" t="s">
        <v>893</v>
      </c>
      <c r="B33" s="1076" t="s">
        <v>904</v>
      </c>
      <c r="C33" s="1076" t="s">
        <v>72</v>
      </c>
      <c r="D33" s="1076" t="s">
        <v>177</v>
      </c>
      <c r="E33" s="1076" t="s">
        <v>66</v>
      </c>
      <c r="F33" s="1076" t="s">
        <v>49</v>
      </c>
      <c r="G33" s="1076" t="s">
        <v>905</v>
      </c>
      <c r="H33" s="1251">
        <v>10</v>
      </c>
      <c r="I33" s="1123" t="s">
        <v>137</v>
      </c>
      <c r="J33" s="1119">
        <v>82638845</v>
      </c>
      <c r="K33" s="1119">
        <v>82638845</v>
      </c>
      <c r="L33" s="1119">
        <v>82638845</v>
      </c>
      <c r="M33" s="1171">
        <v>40211</v>
      </c>
      <c r="N33" s="1119">
        <v>82638845</v>
      </c>
      <c r="O33" s="1119">
        <v>82638845</v>
      </c>
      <c r="P33" s="1119">
        <v>0</v>
      </c>
      <c r="Q33" s="1119">
        <v>82638845</v>
      </c>
      <c r="R33" s="1119">
        <v>82638845</v>
      </c>
      <c r="S33" s="1076" t="s">
        <v>897</v>
      </c>
      <c r="T33" s="840" t="s">
        <v>906</v>
      </c>
      <c r="U33" s="866">
        <v>33055538</v>
      </c>
      <c r="V33" s="855">
        <v>40325</v>
      </c>
      <c r="W33" s="866" t="s">
        <v>137</v>
      </c>
      <c r="X33" s="1084">
        <v>57847192</v>
      </c>
      <c r="Y33" s="1084">
        <v>57847192</v>
      </c>
      <c r="Z33" s="827">
        <v>0</v>
      </c>
      <c r="AA33" s="1084">
        <v>24791653</v>
      </c>
      <c r="AB33" s="1119">
        <v>-16527769</v>
      </c>
      <c r="AC33" s="1119">
        <v>0</v>
      </c>
      <c r="AD33" s="1119">
        <v>24791653</v>
      </c>
      <c r="AE33" s="1119"/>
      <c r="AF33" s="1204" t="s">
        <v>883</v>
      </c>
      <c r="AG33" s="1237" t="s">
        <v>908</v>
      </c>
      <c r="AH33" s="1204" t="s">
        <v>194</v>
      </c>
      <c r="AI33" s="1204" t="s">
        <v>558</v>
      </c>
      <c r="AJ33" s="1074" t="s">
        <v>2466</v>
      </c>
      <c r="AK33" s="339" t="s">
        <v>2400</v>
      </c>
      <c r="AL33" s="339" t="s">
        <v>2401</v>
      </c>
      <c r="AM33" s="339" t="s">
        <v>2402</v>
      </c>
      <c r="AN33" s="339" t="s">
        <v>2403</v>
      </c>
    </row>
    <row r="34" spans="1:40" ht="15" customHeight="1">
      <c r="A34" s="1076"/>
      <c r="B34" s="1076"/>
      <c r="C34" s="1076"/>
      <c r="D34" s="1076"/>
      <c r="E34" s="1076"/>
      <c r="F34" s="1076"/>
      <c r="G34" s="1076"/>
      <c r="H34" s="1251"/>
      <c r="I34" s="1123"/>
      <c r="J34" s="1119"/>
      <c r="K34" s="1119"/>
      <c r="L34" s="1119"/>
      <c r="M34" s="1171"/>
      <c r="N34" s="1119"/>
      <c r="O34" s="1119"/>
      <c r="P34" s="1119"/>
      <c r="Q34" s="1119"/>
      <c r="R34" s="1119"/>
      <c r="S34" s="1076"/>
      <c r="T34" s="840" t="s">
        <v>907</v>
      </c>
      <c r="U34" s="866">
        <v>24791654</v>
      </c>
      <c r="V34" s="855">
        <v>40548</v>
      </c>
      <c r="W34" s="866" t="s">
        <v>137</v>
      </c>
      <c r="X34" s="1084"/>
      <c r="Y34" s="1084"/>
      <c r="Z34" s="827">
        <v>0</v>
      </c>
      <c r="AA34" s="1084"/>
      <c r="AB34" s="1119"/>
      <c r="AC34" s="1119"/>
      <c r="AD34" s="1119"/>
      <c r="AE34" s="1119"/>
      <c r="AF34" s="1204"/>
      <c r="AG34" s="1204"/>
      <c r="AH34" s="1204"/>
      <c r="AI34" s="1204"/>
      <c r="AJ34" s="1074"/>
      <c r="AK34" s="339" t="s">
        <v>2404</v>
      </c>
      <c r="AL34" s="340"/>
      <c r="AM34" s="341" t="s">
        <v>2490</v>
      </c>
      <c r="AN34" s="341" t="s">
        <v>2491</v>
      </c>
    </row>
    <row r="35" spans="1:40" ht="15" customHeight="1">
      <c r="A35" s="1076"/>
      <c r="B35" s="1076"/>
      <c r="C35" s="1076"/>
      <c r="D35" s="1076"/>
      <c r="E35" s="1076"/>
      <c r="F35" s="1076"/>
      <c r="G35" s="1076"/>
      <c r="H35" s="1251"/>
      <c r="I35" s="1123"/>
      <c r="J35" s="1119"/>
      <c r="K35" s="1119"/>
      <c r="L35" s="1119"/>
      <c r="M35" s="1171"/>
      <c r="N35" s="1119"/>
      <c r="O35" s="1119"/>
      <c r="P35" s="1119"/>
      <c r="Q35" s="1119"/>
      <c r="R35" s="1119"/>
      <c r="S35" s="1076"/>
      <c r="T35" s="840"/>
      <c r="U35" s="866"/>
      <c r="V35" s="855"/>
      <c r="W35" s="866"/>
      <c r="X35" s="1084"/>
      <c r="Y35" s="1084"/>
      <c r="Z35" s="827">
        <v>0</v>
      </c>
      <c r="AA35" s="1084"/>
      <c r="AB35" s="1119"/>
      <c r="AC35" s="1119"/>
      <c r="AD35" s="1119"/>
      <c r="AE35" s="1119"/>
      <c r="AF35" s="1204"/>
      <c r="AG35" s="1204"/>
      <c r="AH35" s="1204"/>
      <c r="AI35" s="1204"/>
      <c r="AJ35" s="1074"/>
    </row>
    <row r="36" spans="1:40" ht="15" customHeight="1">
      <c r="A36" s="1076"/>
      <c r="B36" s="1076"/>
      <c r="C36" s="1076"/>
      <c r="D36" s="1076"/>
      <c r="E36" s="1076"/>
      <c r="F36" s="1076"/>
      <c r="G36" s="1076"/>
      <c r="H36" s="1251"/>
      <c r="I36" s="1123"/>
      <c r="J36" s="1119"/>
      <c r="K36" s="1119"/>
      <c r="L36" s="1119"/>
      <c r="M36" s="1171"/>
      <c r="N36" s="1119"/>
      <c r="O36" s="1119"/>
      <c r="P36" s="1119"/>
      <c r="Q36" s="1119"/>
      <c r="R36" s="1119"/>
      <c r="S36" s="1076"/>
      <c r="T36" s="840"/>
      <c r="U36" s="866"/>
      <c r="V36" s="855"/>
      <c r="W36" s="866"/>
      <c r="X36" s="1084"/>
      <c r="Y36" s="1084"/>
      <c r="Z36" s="827">
        <v>0</v>
      </c>
      <c r="AA36" s="1084"/>
      <c r="AB36" s="1119"/>
      <c r="AC36" s="1119"/>
      <c r="AD36" s="1119"/>
      <c r="AE36" s="1119"/>
      <c r="AF36" s="1204"/>
      <c r="AG36" s="1204"/>
      <c r="AH36" s="1204"/>
      <c r="AI36" s="1204"/>
      <c r="AJ36" s="1074"/>
    </row>
    <row r="37" spans="1:40" s="954" customFormat="1" ht="15" customHeight="1">
      <c r="A37" s="1076" t="s">
        <v>909</v>
      </c>
      <c r="B37" s="1076" t="s">
        <v>911</v>
      </c>
      <c r="C37" s="1076" t="s">
        <v>72</v>
      </c>
      <c r="D37" s="1076" t="s">
        <v>177</v>
      </c>
      <c r="E37" s="1250" t="s">
        <v>66</v>
      </c>
      <c r="F37" s="1076" t="s">
        <v>48</v>
      </c>
      <c r="G37" s="1076" t="s">
        <v>918</v>
      </c>
      <c r="H37" s="1437">
        <v>11</v>
      </c>
      <c r="I37" s="1271" t="s">
        <v>137</v>
      </c>
      <c r="J37" s="1255">
        <v>144797000</v>
      </c>
      <c r="K37" s="1255">
        <v>144797000</v>
      </c>
      <c r="L37" s="1119">
        <v>215671550</v>
      </c>
      <c r="M37" s="1270">
        <v>40211</v>
      </c>
      <c r="N37" s="1255">
        <v>56812005</v>
      </c>
      <c r="O37" s="1255">
        <v>56812005</v>
      </c>
      <c r="P37" s="1255">
        <v>87984995</v>
      </c>
      <c r="Q37" s="1255">
        <v>142030014</v>
      </c>
      <c r="R37" s="1119">
        <v>212904564</v>
      </c>
      <c r="S37" s="1076" t="s">
        <v>912</v>
      </c>
      <c r="T37" s="947" t="s">
        <v>913</v>
      </c>
      <c r="U37" s="962">
        <v>56812005</v>
      </c>
      <c r="V37" s="945">
        <v>40326</v>
      </c>
      <c r="W37" s="938" t="s">
        <v>137</v>
      </c>
      <c r="X37" s="1264">
        <v>56812005</v>
      </c>
      <c r="Y37" s="1084">
        <v>212904563</v>
      </c>
      <c r="Z37" s="939">
        <v>1</v>
      </c>
      <c r="AA37" s="1264"/>
      <c r="AB37" s="1255"/>
      <c r="AC37" s="1255"/>
      <c r="AD37" s="1255"/>
      <c r="AE37" s="1255"/>
      <c r="AF37" s="1203" t="s">
        <v>512</v>
      </c>
      <c r="AG37" s="1263" t="s">
        <v>917</v>
      </c>
      <c r="AH37" s="1203" t="s">
        <v>194</v>
      </c>
      <c r="AI37" s="1203" t="s">
        <v>558</v>
      </c>
      <c r="AJ37" s="1074" t="s">
        <v>2489</v>
      </c>
    </row>
    <row r="38" spans="1:40" s="954" customFormat="1" ht="15" customHeight="1">
      <c r="A38" s="1076"/>
      <c r="B38" s="1076"/>
      <c r="C38" s="1076"/>
      <c r="D38" s="1076"/>
      <c r="E38" s="1250"/>
      <c r="F38" s="1076"/>
      <c r="G38" s="1076"/>
      <c r="H38" s="1437"/>
      <c r="I38" s="1271"/>
      <c r="J38" s="1255"/>
      <c r="K38" s="1255"/>
      <c r="L38" s="1119"/>
      <c r="M38" s="1270"/>
      <c r="N38" s="1255"/>
      <c r="O38" s="1255"/>
      <c r="P38" s="1255"/>
      <c r="Q38" s="1255"/>
      <c r="R38" s="1119"/>
      <c r="S38" s="1076"/>
      <c r="T38" s="947" t="s">
        <v>914</v>
      </c>
      <c r="U38" s="963">
        <v>71014620</v>
      </c>
      <c r="V38" s="945">
        <v>40542</v>
      </c>
      <c r="W38" s="938" t="s">
        <v>137</v>
      </c>
      <c r="X38" s="1264"/>
      <c r="Y38" s="1084"/>
      <c r="Z38" s="939">
        <v>0</v>
      </c>
      <c r="AA38" s="1264"/>
      <c r="AB38" s="1255"/>
      <c r="AC38" s="1255"/>
      <c r="AD38" s="1255"/>
      <c r="AE38" s="1255"/>
      <c r="AF38" s="1203"/>
      <c r="AG38" s="1203"/>
      <c r="AH38" s="1203"/>
      <c r="AI38" s="1203"/>
      <c r="AJ38" s="1074"/>
    </row>
    <row r="39" spans="1:40" s="954" customFormat="1" ht="15" customHeight="1">
      <c r="A39" s="1076"/>
      <c r="B39" s="1076"/>
      <c r="C39" s="1076"/>
      <c r="D39" s="1076"/>
      <c r="E39" s="1250"/>
      <c r="F39" s="1076"/>
      <c r="G39" s="1076"/>
      <c r="H39" s="1437"/>
      <c r="I39" s="1271"/>
      <c r="J39" s="1255"/>
      <c r="K39" s="1255"/>
      <c r="L39" s="1119"/>
      <c r="M39" s="1270"/>
      <c r="N39" s="1255"/>
      <c r="O39" s="1255"/>
      <c r="P39" s="1255"/>
      <c r="Q39" s="1255"/>
      <c r="R39" s="1119"/>
      <c r="S39" s="1076"/>
      <c r="T39" s="947" t="s">
        <v>915</v>
      </c>
      <c r="U39" s="963">
        <v>5681588</v>
      </c>
      <c r="V39" s="945">
        <v>41019</v>
      </c>
      <c r="W39" s="938" t="s">
        <v>137</v>
      </c>
      <c r="X39" s="1264"/>
      <c r="Y39" s="1084"/>
      <c r="Z39" s="939">
        <v>0</v>
      </c>
      <c r="AA39" s="1264"/>
      <c r="AB39" s="1255"/>
      <c r="AC39" s="1255"/>
      <c r="AD39" s="1255"/>
      <c r="AE39" s="1255"/>
      <c r="AF39" s="1203"/>
      <c r="AG39" s="1203"/>
      <c r="AH39" s="1203"/>
      <c r="AI39" s="1203"/>
      <c r="AJ39" s="1074"/>
    </row>
    <row r="40" spans="1:40" s="954" customFormat="1" ht="15" customHeight="1">
      <c r="A40" s="1076"/>
      <c r="B40" s="1076"/>
      <c r="C40" s="1076"/>
      <c r="D40" s="1076"/>
      <c r="E40" s="1250"/>
      <c r="F40" s="1076"/>
      <c r="G40" s="1076"/>
      <c r="H40" s="1437"/>
      <c r="I40" s="1271"/>
      <c r="J40" s="1255"/>
      <c r="K40" s="1255"/>
      <c r="L40" s="1119"/>
      <c r="M40" s="1270"/>
      <c r="N40" s="1255"/>
      <c r="O40" s="1255"/>
      <c r="P40" s="1255"/>
      <c r="Q40" s="1255"/>
      <c r="R40" s="1119"/>
      <c r="S40" s="1076"/>
      <c r="T40" s="947" t="s">
        <v>2714</v>
      </c>
      <c r="U40" s="938">
        <v>8521800</v>
      </c>
      <c r="V40" s="945">
        <v>43461</v>
      </c>
      <c r="W40" s="938" t="s">
        <v>137</v>
      </c>
      <c r="X40" s="1264"/>
      <c r="Y40" s="1084"/>
      <c r="Z40" s="939">
        <v>0</v>
      </c>
      <c r="AA40" s="1264"/>
      <c r="AB40" s="1255"/>
      <c r="AC40" s="1255"/>
      <c r="AD40" s="1255"/>
      <c r="AE40" s="1255"/>
      <c r="AF40" s="1203"/>
      <c r="AG40" s="1203"/>
      <c r="AH40" s="1203"/>
      <c r="AI40" s="1203"/>
      <c r="AJ40" s="1074"/>
    </row>
    <row r="41" spans="1:40" ht="15" customHeight="1">
      <c r="A41" s="1076"/>
      <c r="B41" s="1076"/>
      <c r="C41" s="1076"/>
      <c r="D41" s="1076"/>
      <c r="E41" s="1076" t="s">
        <v>67</v>
      </c>
      <c r="F41" s="1076"/>
      <c r="G41" s="1076"/>
      <c r="H41" s="1251">
        <v>159</v>
      </c>
      <c r="I41" s="1123" t="s">
        <v>7</v>
      </c>
      <c r="J41" s="1119">
        <v>70874550</v>
      </c>
      <c r="K41" s="1119">
        <v>70874550</v>
      </c>
      <c r="L41" s="1119"/>
      <c r="M41" s="1171">
        <v>40701</v>
      </c>
      <c r="N41" s="1119">
        <v>70874550</v>
      </c>
      <c r="O41" s="1119">
        <v>70874550</v>
      </c>
      <c r="P41" s="1119">
        <v>0</v>
      </c>
      <c r="Q41" s="1119">
        <v>70874550</v>
      </c>
      <c r="R41" s="1119"/>
      <c r="S41" s="1076"/>
      <c r="T41" s="840" t="s">
        <v>916</v>
      </c>
      <c r="U41" s="167">
        <v>63787095</v>
      </c>
      <c r="V41" s="855">
        <v>41019</v>
      </c>
      <c r="W41" s="1377" t="s">
        <v>7</v>
      </c>
      <c r="X41" s="1084">
        <v>70874550</v>
      </c>
      <c r="Y41" s="1084"/>
      <c r="Z41" s="827">
        <v>0</v>
      </c>
      <c r="AA41" s="1084"/>
      <c r="AB41" s="1119"/>
      <c r="AC41" s="1119"/>
      <c r="AD41" s="1119"/>
      <c r="AE41" s="1119"/>
      <c r="AF41" s="1203"/>
      <c r="AG41" s="1203"/>
      <c r="AH41" s="1203"/>
      <c r="AI41" s="1203"/>
      <c r="AJ41" s="1074"/>
    </row>
    <row r="42" spans="1:40" ht="15" customHeight="1">
      <c r="A42" s="1076"/>
      <c r="B42" s="1076"/>
      <c r="C42" s="1076"/>
      <c r="D42" s="1076"/>
      <c r="E42" s="1076"/>
      <c r="F42" s="1076"/>
      <c r="G42" s="1076"/>
      <c r="H42" s="1251"/>
      <c r="I42" s="1123"/>
      <c r="J42" s="1119"/>
      <c r="K42" s="1119"/>
      <c r="L42" s="1119"/>
      <c r="M42" s="1171"/>
      <c r="N42" s="1119"/>
      <c r="O42" s="1119"/>
      <c r="P42" s="1119"/>
      <c r="Q42" s="1119"/>
      <c r="R42" s="1119"/>
      <c r="S42" s="1076"/>
      <c r="T42" s="840" t="s">
        <v>2714</v>
      </c>
      <c r="U42" s="866">
        <v>7087455</v>
      </c>
      <c r="V42" s="855">
        <v>43461</v>
      </c>
      <c r="W42" s="1378"/>
      <c r="X42" s="1084"/>
      <c r="Y42" s="1084"/>
      <c r="Z42" s="827">
        <v>0</v>
      </c>
      <c r="AA42" s="1084"/>
      <c r="AB42" s="1119"/>
      <c r="AC42" s="1119"/>
      <c r="AD42" s="1119"/>
      <c r="AE42" s="1119"/>
      <c r="AF42" s="1203"/>
      <c r="AG42" s="1203"/>
      <c r="AH42" s="1203"/>
      <c r="AI42" s="1203"/>
      <c r="AJ42" s="1074"/>
    </row>
    <row r="43" spans="1:40" s="940" customFormat="1" ht="15" customHeight="1">
      <c r="A43" s="1426" t="s">
        <v>237</v>
      </c>
      <c r="B43" s="943" t="s">
        <v>221</v>
      </c>
      <c r="C43" s="943" t="s">
        <v>72</v>
      </c>
      <c r="D43" s="943" t="s">
        <v>177</v>
      </c>
      <c r="E43" s="943" t="s">
        <v>66</v>
      </c>
      <c r="F43" s="943" t="s">
        <v>49</v>
      </c>
      <c r="G43" s="943" t="s">
        <v>224</v>
      </c>
      <c r="H43" s="1418">
        <v>12</v>
      </c>
      <c r="I43" s="1426" t="s">
        <v>137</v>
      </c>
      <c r="J43" s="944">
        <v>39139451</v>
      </c>
      <c r="K43" s="944">
        <v>39139451</v>
      </c>
      <c r="L43" s="944">
        <v>39139451</v>
      </c>
      <c r="M43" s="945">
        <v>40211</v>
      </c>
      <c r="N43" s="946"/>
      <c r="O43" s="944"/>
      <c r="P43" s="944"/>
      <c r="Q43" s="944">
        <v>39134399</v>
      </c>
      <c r="R43" s="944">
        <v>39134399</v>
      </c>
      <c r="S43" s="943" t="s">
        <v>198</v>
      </c>
      <c r="T43" s="947" t="s">
        <v>223</v>
      </c>
      <c r="U43" s="948">
        <v>15653760</v>
      </c>
      <c r="V43" s="945">
        <v>40305</v>
      </c>
      <c r="W43" s="1426" t="s">
        <v>137</v>
      </c>
      <c r="X43" s="1460">
        <v>27394079.300000001</v>
      </c>
      <c r="Y43" s="1460">
        <v>27394079.300000001</v>
      </c>
      <c r="Z43" s="949">
        <v>0</v>
      </c>
      <c r="AA43" s="949">
        <v>0</v>
      </c>
      <c r="AB43" s="944">
        <v>-15653760</v>
      </c>
      <c r="AC43" s="944">
        <v>5052</v>
      </c>
      <c r="AD43" s="950">
        <v>23480639</v>
      </c>
      <c r="AE43" s="950">
        <v>23485691</v>
      </c>
      <c r="AF43" s="951"/>
      <c r="AG43" s="952" t="s">
        <v>325</v>
      </c>
      <c r="AH43" s="952" t="s">
        <v>194</v>
      </c>
      <c r="AI43" s="952" t="s">
        <v>342</v>
      </c>
      <c r="AJ43" s="940" t="s">
        <v>2492</v>
      </c>
      <c r="AK43" s="953" t="s">
        <v>2493</v>
      </c>
      <c r="AL43" s="953" t="s">
        <v>2494</v>
      </c>
    </row>
    <row r="44" spans="1:40" s="940" customFormat="1" ht="15" customHeight="1">
      <c r="A44" s="1427"/>
      <c r="B44" s="943"/>
      <c r="C44" s="943"/>
      <c r="D44" s="943"/>
      <c r="E44" s="943"/>
      <c r="F44" s="943"/>
      <c r="G44" s="943"/>
      <c r="H44" s="1428"/>
      <c r="I44" s="1427"/>
      <c r="J44" s="944"/>
      <c r="K44" s="944"/>
      <c r="L44" s="944"/>
      <c r="M44" s="945"/>
      <c r="N44" s="946"/>
      <c r="O44" s="944"/>
      <c r="P44" s="944"/>
      <c r="Q44" s="944"/>
      <c r="R44" s="944"/>
      <c r="S44" s="943"/>
      <c r="U44" s="948">
        <v>11740319.300000001</v>
      </c>
      <c r="V44" s="945">
        <v>43080</v>
      </c>
      <c r="W44" s="1427"/>
      <c r="X44" s="1461"/>
      <c r="Y44" s="1461"/>
      <c r="Z44" s="949"/>
      <c r="AA44" s="949"/>
      <c r="AB44" s="944"/>
      <c r="AC44" s="944"/>
      <c r="AD44" s="950"/>
      <c r="AE44" s="950"/>
      <c r="AF44" s="951"/>
      <c r="AG44" s="952"/>
      <c r="AH44" s="952"/>
      <c r="AI44" s="952"/>
      <c r="AK44" s="953"/>
      <c r="AL44" s="953"/>
    </row>
    <row r="45" spans="1:40" s="940" customFormat="1" ht="15" customHeight="1">
      <c r="A45" s="1250" t="s">
        <v>238</v>
      </c>
      <c r="B45" s="1250" t="s">
        <v>209</v>
      </c>
      <c r="C45" s="1250" t="s">
        <v>72</v>
      </c>
      <c r="D45" s="1250" t="s">
        <v>206</v>
      </c>
      <c r="E45" s="1250" t="s">
        <v>66</v>
      </c>
      <c r="F45" s="1250" t="s">
        <v>183</v>
      </c>
      <c r="G45" s="1250" t="s">
        <v>214</v>
      </c>
      <c r="H45" s="1459">
        <v>14</v>
      </c>
      <c r="I45" s="1250" t="s">
        <v>137</v>
      </c>
      <c r="J45" s="1255">
        <v>37241974</v>
      </c>
      <c r="K45" s="1255">
        <v>37241974</v>
      </c>
      <c r="L45" s="1255">
        <v>37241974</v>
      </c>
      <c r="M45" s="1270"/>
      <c r="N45" s="946"/>
      <c r="O45" s="944"/>
      <c r="P45" s="944"/>
      <c r="Q45" s="1255">
        <v>37241974</v>
      </c>
      <c r="R45" s="1255">
        <v>37241974</v>
      </c>
      <c r="S45" s="1250" t="s">
        <v>198</v>
      </c>
      <c r="T45" s="947" t="s">
        <v>213</v>
      </c>
      <c r="U45" s="948">
        <v>14896790</v>
      </c>
      <c r="V45" s="945">
        <v>40326</v>
      </c>
      <c r="W45" s="948"/>
      <c r="X45" s="1458">
        <v>37241974</v>
      </c>
      <c r="Y45" s="1458">
        <v>37241974</v>
      </c>
      <c r="Z45" s="1458">
        <v>0</v>
      </c>
      <c r="AA45" s="1458">
        <v>0</v>
      </c>
      <c r="AB45" s="1255">
        <v>0</v>
      </c>
      <c r="AC45" s="1255">
        <v>0</v>
      </c>
      <c r="AD45" s="1255">
        <v>0</v>
      </c>
      <c r="AE45" s="1255">
        <v>0</v>
      </c>
      <c r="AF45" s="1435"/>
      <c r="AG45" s="1436" t="s">
        <v>320</v>
      </c>
      <c r="AH45" s="1436" t="s">
        <v>194</v>
      </c>
      <c r="AI45" s="1436" t="s">
        <v>342</v>
      </c>
    </row>
    <row r="46" spans="1:40" s="940" customFormat="1" ht="15" customHeight="1">
      <c r="A46" s="1250"/>
      <c r="B46" s="1250"/>
      <c r="C46" s="1250"/>
      <c r="D46" s="1250"/>
      <c r="E46" s="1250"/>
      <c r="F46" s="1250"/>
      <c r="G46" s="1250"/>
      <c r="H46" s="1459"/>
      <c r="I46" s="1250"/>
      <c r="J46" s="1255"/>
      <c r="K46" s="1255"/>
      <c r="L46" s="1255"/>
      <c r="M46" s="1270"/>
      <c r="N46" s="946"/>
      <c r="O46" s="944"/>
      <c r="P46" s="944"/>
      <c r="Q46" s="1255"/>
      <c r="R46" s="1255"/>
      <c r="S46" s="1250"/>
      <c r="T46" s="947" t="s">
        <v>210</v>
      </c>
      <c r="U46" s="948">
        <v>11172592</v>
      </c>
      <c r="V46" s="945">
        <v>40494</v>
      </c>
      <c r="W46" s="948"/>
      <c r="X46" s="1458"/>
      <c r="Y46" s="1458"/>
      <c r="Z46" s="1458"/>
      <c r="AA46" s="1458"/>
      <c r="AB46" s="1255"/>
      <c r="AC46" s="1255"/>
      <c r="AD46" s="1255"/>
      <c r="AE46" s="1255"/>
      <c r="AF46" s="1435"/>
      <c r="AG46" s="1436"/>
      <c r="AH46" s="1436"/>
      <c r="AI46" s="1436"/>
    </row>
    <row r="47" spans="1:40" s="940" customFormat="1" ht="15" customHeight="1">
      <c r="A47" s="1250"/>
      <c r="B47" s="1250"/>
      <c r="C47" s="1250"/>
      <c r="D47" s="1250"/>
      <c r="E47" s="1250"/>
      <c r="F47" s="1250"/>
      <c r="G47" s="1250"/>
      <c r="H47" s="1459"/>
      <c r="I47" s="1250"/>
      <c r="J47" s="1255"/>
      <c r="K47" s="1255"/>
      <c r="L47" s="1255"/>
      <c r="M47" s="1270"/>
      <c r="N47" s="946"/>
      <c r="O47" s="944"/>
      <c r="P47" s="944"/>
      <c r="Q47" s="1255"/>
      <c r="R47" s="1255"/>
      <c r="S47" s="1250"/>
      <c r="T47" s="947" t="s">
        <v>211</v>
      </c>
      <c r="U47" s="948">
        <v>8938074</v>
      </c>
      <c r="V47" s="945">
        <v>40548</v>
      </c>
      <c r="W47" s="948"/>
      <c r="X47" s="1458"/>
      <c r="Y47" s="1458"/>
      <c r="Z47" s="1458"/>
      <c r="AA47" s="1458"/>
      <c r="AB47" s="1255"/>
      <c r="AC47" s="1255"/>
      <c r="AD47" s="1255"/>
      <c r="AE47" s="1255"/>
      <c r="AF47" s="1435"/>
      <c r="AG47" s="1436"/>
      <c r="AH47" s="1436"/>
      <c r="AI47" s="1436"/>
    </row>
    <row r="48" spans="1:40" s="940" customFormat="1" ht="15" customHeight="1">
      <c r="A48" s="1250"/>
      <c r="B48" s="1250"/>
      <c r="C48" s="1250"/>
      <c r="D48" s="1250"/>
      <c r="E48" s="1250"/>
      <c r="F48" s="1250"/>
      <c r="G48" s="1250"/>
      <c r="H48" s="1459"/>
      <c r="I48" s="1250"/>
      <c r="J48" s="1255"/>
      <c r="K48" s="1255"/>
      <c r="L48" s="1255"/>
      <c r="M48" s="1270"/>
      <c r="N48" s="946"/>
      <c r="O48" s="944"/>
      <c r="P48" s="944"/>
      <c r="Q48" s="1255"/>
      <c r="R48" s="1255"/>
      <c r="S48" s="1250"/>
      <c r="T48" s="947" t="s">
        <v>212</v>
      </c>
      <c r="U48" s="948">
        <v>2234518</v>
      </c>
      <c r="V48" s="945">
        <v>41051</v>
      </c>
      <c r="W48" s="948"/>
      <c r="X48" s="1458"/>
      <c r="Y48" s="1458"/>
      <c r="Z48" s="1458"/>
      <c r="AA48" s="1458"/>
      <c r="AB48" s="1255"/>
      <c r="AC48" s="1255"/>
      <c r="AD48" s="1255"/>
      <c r="AE48" s="1255"/>
      <c r="AF48" s="1435"/>
      <c r="AG48" s="1436"/>
      <c r="AH48" s="1436"/>
      <c r="AI48" s="1436"/>
    </row>
    <row r="49" spans="1:36" s="4" customFormat="1" ht="15" customHeight="1">
      <c r="A49" s="1076" t="s">
        <v>239</v>
      </c>
      <c r="B49" s="1076" t="s">
        <v>309</v>
      </c>
      <c r="C49" s="1076" t="s">
        <v>72</v>
      </c>
      <c r="D49" s="1076" t="s">
        <v>206</v>
      </c>
      <c r="E49" s="1076" t="s">
        <v>66</v>
      </c>
      <c r="F49" s="1076" t="s">
        <v>49</v>
      </c>
      <c r="G49" s="1076" t="s">
        <v>326</v>
      </c>
      <c r="H49" s="1009">
        <v>17</v>
      </c>
      <c r="I49" s="1011" t="s">
        <v>137</v>
      </c>
      <c r="J49" s="1119">
        <v>115565000</v>
      </c>
      <c r="K49" s="1119">
        <v>115565000</v>
      </c>
      <c r="L49" s="1119">
        <v>173347500</v>
      </c>
      <c r="M49" s="1171">
        <v>40211</v>
      </c>
      <c r="N49" s="862"/>
      <c r="O49" s="858"/>
      <c r="P49" s="858"/>
      <c r="Q49" s="1119">
        <v>115565000</v>
      </c>
      <c r="R49" s="1119">
        <v>173347500</v>
      </c>
      <c r="S49" s="1076" t="s">
        <v>198</v>
      </c>
      <c r="T49" s="840" t="s">
        <v>310</v>
      </c>
      <c r="U49" s="56">
        <v>46226000</v>
      </c>
      <c r="V49" s="855">
        <v>40361</v>
      </c>
      <c r="W49" s="56"/>
      <c r="X49" s="1315">
        <v>108631100</v>
      </c>
      <c r="Y49" s="1315">
        <v>166413600</v>
      </c>
      <c r="Z49" s="1315">
        <v>0</v>
      </c>
      <c r="AA49" s="1315">
        <v>0</v>
      </c>
      <c r="AB49" s="1119">
        <v>0</v>
      </c>
      <c r="AC49" s="1119">
        <v>0</v>
      </c>
      <c r="AD49" s="1324">
        <v>11556500</v>
      </c>
      <c r="AE49" s="1324">
        <v>11556500</v>
      </c>
      <c r="AF49" s="1203" t="s">
        <v>352</v>
      </c>
      <c r="AG49" s="1325" t="s">
        <v>339</v>
      </c>
      <c r="AH49" s="1204" t="s">
        <v>194</v>
      </c>
      <c r="AI49" s="1204" t="s">
        <v>345</v>
      </c>
      <c r="AJ49" s="1074" t="s">
        <v>2501</v>
      </c>
    </row>
    <row r="50" spans="1:36" s="4" customFormat="1" ht="15" customHeight="1">
      <c r="A50" s="1076"/>
      <c r="B50" s="1076"/>
      <c r="C50" s="1076"/>
      <c r="D50" s="1076"/>
      <c r="E50" s="1076"/>
      <c r="F50" s="1076"/>
      <c r="G50" s="1076"/>
      <c r="H50" s="1039"/>
      <c r="I50" s="1033"/>
      <c r="J50" s="1119"/>
      <c r="K50" s="1119"/>
      <c r="L50" s="1119"/>
      <c r="M50" s="1171"/>
      <c r="N50" s="862"/>
      <c r="O50" s="858"/>
      <c r="P50" s="858"/>
      <c r="Q50" s="1119"/>
      <c r="R50" s="1119"/>
      <c r="S50" s="1076"/>
      <c r="T50" s="840" t="s">
        <v>312</v>
      </c>
      <c r="U50" s="56">
        <v>62405100</v>
      </c>
      <c r="V50" s="855">
        <v>40847</v>
      </c>
      <c r="W50" s="56"/>
      <c r="X50" s="1315"/>
      <c r="Y50" s="1315"/>
      <c r="Z50" s="1315"/>
      <c r="AA50" s="1315"/>
      <c r="AB50" s="1119"/>
      <c r="AC50" s="1119"/>
      <c r="AD50" s="1324"/>
      <c r="AE50" s="1324"/>
      <c r="AF50" s="1203"/>
      <c r="AG50" s="1204"/>
      <c r="AH50" s="1204"/>
      <c r="AI50" s="1204"/>
      <c r="AJ50" s="1074"/>
    </row>
    <row r="51" spans="1:36" s="4" customFormat="1" ht="15" customHeight="1">
      <c r="A51" s="1076"/>
      <c r="B51" s="1076"/>
      <c r="C51" s="1076"/>
      <c r="D51" s="1076"/>
      <c r="E51" s="823"/>
      <c r="F51" s="1076"/>
      <c r="G51" s="1076"/>
      <c r="H51" s="1010"/>
      <c r="I51" s="1012"/>
      <c r="J51" s="858"/>
      <c r="K51" s="858"/>
      <c r="L51" s="1119"/>
      <c r="M51" s="855"/>
      <c r="N51" s="862"/>
      <c r="O51" s="858"/>
      <c r="P51" s="858"/>
      <c r="Q51" s="858"/>
      <c r="R51" s="1119"/>
      <c r="S51" s="1076"/>
      <c r="T51" s="840" t="s">
        <v>2609</v>
      </c>
      <c r="U51" s="56">
        <v>6933900</v>
      </c>
      <c r="V51" s="855">
        <v>43011</v>
      </c>
      <c r="W51" s="56"/>
      <c r="X51" s="884"/>
      <c r="Y51" s="1315"/>
      <c r="Z51" s="884"/>
      <c r="AA51" s="884"/>
      <c r="AB51" s="1119"/>
      <c r="AC51" s="858"/>
      <c r="AD51" s="902"/>
      <c r="AE51" s="902"/>
      <c r="AF51" s="1203"/>
      <c r="AG51" s="1204"/>
      <c r="AH51" s="1204"/>
      <c r="AI51" s="1204"/>
      <c r="AJ51" s="1074"/>
    </row>
    <row r="52" spans="1:36" s="4" customFormat="1" ht="15" customHeight="1">
      <c r="A52" s="1076"/>
      <c r="B52" s="1076"/>
      <c r="C52" s="1076"/>
      <c r="D52" s="1076"/>
      <c r="E52" s="823" t="s">
        <v>311</v>
      </c>
      <c r="F52" s="1076"/>
      <c r="G52" s="1076"/>
      <c r="H52" s="880">
        <v>160</v>
      </c>
      <c r="I52" s="823" t="s">
        <v>7</v>
      </c>
      <c r="J52" s="858">
        <v>57782500</v>
      </c>
      <c r="K52" s="858">
        <v>57782500</v>
      </c>
      <c r="L52" s="1119"/>
      <c r="M52" s="855">
        <v>40701</v>
      </c>
      <c r="N52" s="862"/>
      <c r="O52" s="858"/>
      <c r="P52" s="858"/>
      <c r="Q52" s="858">
        <v>57782500</v>
      </c>
      <c r="R52" s="1119"/>
      <c r="S52" s="1076"/>
      <c r="T52" s="840"/>
      <c r="U52" s="56">
        <v>57782500</v>
      </c>
      <c r="V52" s="855">
        <v>43011</v>
      </c>
      <c r="W52" s="56"/>
      <c r="X52" s="884">
        <v>57782500</v>
      </c>
      <c r="Y52" s="1315"/>
      <c r="Z52" s="884">
        <v>0</v>
      </c>
      <c r="AA52" s="884">
        <v>0</v>
      </c>
      <c r="AB52" s="1119"/>
      <c r="AC52" s="858">
        <v>0</v>
      </c>
      <c r="AD52" s="902">
        <v>0</v>
      </c>
      <c r="AE52" s="902">
        <v>0</v>
      </c>
      <c r="AF52" s="1203"/>
      <c r="AG52" s="1204"/>
      <c r="AH52" s="1204"/>
      <c r="AI52" s="1204"/>
      <c r="AJ52" s="1074"/>
    </row>
    <row r="53" spans="1:36" s="4" customFormat="1" ht="15" customHeight="1">
      <c r="A53" s="1076" t="s">
        <v>240</v>
      </c>
      <c r="B53" s="1076" t="s">
        <v>215</v>
      </c>
      <c r="C53" s="1076" t="s">
        <v>72</v>
      </c>
      <c r="D53" s="1076" t="s">
        <v>177</v>
      </c>
      <c r="E53" s="1076" t="s">
        <v>66</v>
      </c>
      <c r="F53" s="1076" t="s">
        <v>217</v>
      </c>
      <c r="G53" s="1076" t="s">
        <v>218</v>
      </c>
      <c r="H53" s="1318">
        <v>19</v>
      </c>
      <c r="I53" s="1076" t="s">
        <v>137</v>
      </c>
      <c r="J53" s="1119">
        <v>83995000</v>
      </c>
      <c r="K53" s="1119">
        <v>83995000</v>
      </c>
      <c r="L53" s="1119">
        <v>83995000</v>
      </c>
      <c r="M53" s="1171">
        <v>40211</v>
      </c>
      <c r="N53" s="862"/>
      <c r="O53" s="858"/>
      <c r="P53" s="858"/>
      <c r="Q53" s="1119">
        <v>83971240</v>
      </c>
      <c r="R53" s="1119">
        <v>83971240</v>
      </c>
      <c r="S53" s="1076" t="s">
        <v>198</v>
      </c>
      <c r="T53" s="840" t="s">
        <v>216</v>
      </c>
      <c r="U53" s="56">
        <v>33588496</v>
      </c>
      <c r="V53" s="855">
        <v>40476</v>
      </c>
      <c r="W53" s="56"/>
      <c r="X53" s="1315">
        <v>58779652</v>
      </c>
      <c r="Y53" s="1315">
        <v>58779652</v>
      </c>
      <c r="Z53" s="1315">
        <v>0</v>
      </c>
      <c r="AA53" s="1315">
        <v>0</v>
      </c>
      <c r="AB53" s="1119">
        <v>25191588</v>
      </c>
      <c r="AC53" s="1119">
        <v>23760</v>
      </c>
      <c r="AD53" s="1119">
        <v>0</v>
      </c>
      <c r="AE53" s="1119">
        <v>23760</v>
      </c>
      <c r="AF53" s="1203"/>
      <c r="AG53" s="1204" t="s">
        <v>327</v>
      </c>
      <c r="AH53" s="1204" t="s">
        <v>194</v>
      </c>
      <c r="AI53" s="1204" t="s">
        <v>342</v>
      </c>
    </row>
    <row r="54" spans="1:36" s="4" customFormat="1" ht="15" customHeight="1">
      <c r="A54" s="1076"/>
      <c r="B54" s="1076"/>
      <c r="C54" s="1076"/>
      <c r="D54" s="1076"/>
      <c r="E54" s="1076"/>
      <c r="F54" s="1076"/>
      <c r="G54" s="1076"/>
      <c r="H54" s="1318"/>
      <c r="I54" s="1076"/>
      <c r="J54" s="1119"/>
      <c r="K54" s="1119"/>
      <c r="L54" s="1119"/>
      <c r="M54" s="1171"/>
      <c r="N54" s="862"/>
      <c r="O54" s="858"/>
      <c r="P54" s="858"/>
      <c r="Q54" s="1119"/>
      <c r="R54" s="1119"/>
      <c r="S54" s="1076"/>
      <c r="T54" s="840"/>
      <c r="U54" s="56">
        <v>25191156</v>
      </c>
      <c r="V54" s="855">
        <v>40473</v>
      </c>
      <c r="W54" s="56"/>
      <c r="X54" s="1315"/>
      <c r="Y54" s="1315"/>
      <c r="Z54" s="1315"/>
      <c r="AA54" s="1315"/>
      <c r="AB54" s="1119"/>
      <c r="AC54" s="1119"/>
      <c r="AD54" s="1119"/>
      <c r="AE54" s="1119"/>
      <c r="AF54" s="1203"/>
      <c r="AG54" s="1204"/>
      <c r="AH54" s="1204"/>
      <c r="AI54" s="1204"/>
    </row>
    <row r="55" spans="1:36" s="4" customFormat="1" ht="15" customHeight="1">
      <c r="A55" s="1076" t="s">
        <v>241</v>
      </c>
      <c r="B55" s="1076" t="s">
        <v>226</v>
      </c>
      <c r="C55" s="1076" t="s">
        <v>72</v>
      </c>
      <c r="D55" s="1076" t="s">
        <v>177</v>
      </c>
      <c r="E55" s="1076" t="s">
        <v>66</v>
      </c>
      <c r="F55" s="1076" t="s">
        <v>183</v>
      </c>
      <c r="G55" s="1076" t="s">
        <v>230</v>
      </c>
      <c r="H55" s="1318">
        <v>20</v>
      </c>
      <c r="I55" s="1076" t="s">
        <v>137</v>
      </c>
      <c r="J55" s="1119">
        <v>52562500</v>
      </c>
      <c r="K55" s="1084">
        <v>52562500</v>
      </c>
      <c r="L55" s="1084">
        <v>52562500</v>
      </c>
      <c r="M55" s="1171">
        <v>40211</v>
      </c>
      <c r="N55" s="862"/>
      <c r="O55" s="858"/>
      <c r="P55" s="858"/>
      <c r="Q55" s="1119">
        <v>52562354</v>
      </c>
      <c r="R55" s="1119">
        <v>52562354</v>
      </c>
      <c r="S55" s="1076" t="s">
        <v>198</v>
      </c>
      <c r="T55" s="840" t="s">
        <v>227</v>
      </c>
      <c r="U55" s="56">
        <v>21024942</v>
      </c>
      <c r="V55" s="855">
        <v>40381</v>
      </c>
      <c r="W55" s="56"/>
      <c r="X55" s="1315">
        <v>52562354</v>
      </c>
      <c r="Y55" s="1315">
        <v>52562354</v>
      </c>
      <c r="Z55" s="1315">
        <v>0</v>
      </c>
      <c r="AA55" s="1315">
        <v>0</v>
      </c>
      <c r="AB55" s="1119">
        <v>0</v>
      </c>
      <c r="AC55" s="1119">
        <v>146</v>
      </c>
      <c r="AD55" s="1119">
        <v>0</v>
      </c>
      <c r="AE55" s="1119">
        <v>146</v>
      </c>
      <c r="AF55" s="1203"/>
      <c r="AG55" s="1325" t="s">
        <v>229</v>
      </c>
      <c r="AH55" s="1204" t="s">
        <v>194</v>
      </c>
      <c r="AI55" s="1204" t="s">
        <v>342</v>
      </c>
    </row>
    <row r="56" spans="1:36" s="4" customFormat="1" ht="15" customHeight="1">
      <c r="A56" s="1076"/>
      <c r="B56" s="1076"/>
      <c r="C56" s="1076"/>
      <c r="D56" s="1076"/>
      <c r="E56" s="1076"/>
      <c r="F56" s="1076"/>
      <c r="G56" s="1076"/>
      <c r="H56" s="1318"/>
      <c r="I56" s="1076"/>
      <c r="J56" s="1119"/>
      <c r="K56" s="1084"/>
      <c r="L56" s="1084"/>
      <c r="M56" s="1171"/>
      <c r="N56" s="862"/>
      <c r="O56" s="858"/>
      <c r="P56" s="858"/>
      <c r="Q56" s="1119"/>
      <c r="R56" s="1119"/>
      <c r="S56" s="1076"/>
      <c r="T56" s="840" t="s">
        <v>228</v>
      </c>
      <c r="U56" s="56">
        <v>28383672</v>
      </c>
      <c r="V56" s="855">
        <v>40830</v>
      </c>
      <c r="W56" s="56"/>
      <c r="X56" s="1315"/>
      <c r="Y56" s="1315"/>
      <c r="Z56" s="1315"/>
      <c r="AA56" s="1315"/>
      <c r="AB56" s="1119"/>
      <c r="AC56" s="1119"/>
      <c r="AD56" s="1119"/>
      <c r="AE56" s="1119"/>
      <c r="AF56" s="1203"/>
      <c r="AG56" s="1204"/>
      <c r="AH56" s="1204"/>
      <c r="AI56" s="1204"/>
    </row>
    <row r="57" spans="1:36" s="4" customFormat="1" ht="15" customHeight="1">
      <c r="A57" s="1076"/>
      <c r="B57" s="1076"/>
      <c r="C57" s="1076"/>
      <c r="D57" s="1076"/>
      <c r="E57" s="1076"/>
      <c r="F57" s="1076"/>
      <c r="G57" s="1076"/>
      <c r="H57" s="1318"/>
      <c r="I57" s="1076"/>
      <c r="J57" s="1119"/>
      <c r="K57" s="1084"/>
      <c r="L57" s="1084"/>
      <c r="M57" s="1171"/>
      <c r="N57" s="862"/>
      <c r="O57" s="858"/>
      <c r="P57" s="858"/>
      <c r="Q57" s="1119"/>
      <c r="R57" s="1119"/>
      <c r="S57" s="1076"/>
      <c r="T57" s="840" t="s">
        <v>231</v>
      </c>
      <c r="U57" s="56">
        <v>3153740</v>
      </c>
      <c r="V57" s="855">
        <v>41271</v>
      </c>
      <c r="W57" s="56"/>
      <c r="X57" s="1315"/>
      <c r="Y57" s="1315"/>
      <c r="Z57" s="1315"/>
      <c r="AA57" s="1315"/>
      <c r="AB57" s="1119"/>
      <c r="AC57" s="1119"/>
      <c r="AD57" s="1119"/>
      <c r="AE57" s="1119"/>
      <c r="AF57" s="1203"/>
      <c r="AG57" s="1204"/>
      <c r="AH57" s="1204"/>
      <c r="AI57" s="1204"/>
    </row>
    <row r="58" spans="1:36" ht="15" customHeight="1">
      <c r="A58" s="1076" t="s">
        <v>919</v>
      </c>
      <c r="B58" s="1076" t="s">
        <v>920</v>
      </c>
      <c r="C58" s="1076" t="s">
        <v>72</v>
      </c>
      <c r="D58" s="1076" t="s">
        <v>177</v>
      </c>
      <c r="E58" s="1076" t="s">
        <v>66</v>
      </c>
      <c r="F58" s="1076" t="s">
        <v>250</v>
      </c>
      <c r="G58" s="1076" t="s">
        <v>927</v>
      </c>
      <c r="H58" s="1251">
        <v>23</v>
      </c>
      <c r="I58" s="1123" t="s">
        <v>137</v>
      </c>
      <c r="J58" s="1119">
        <v>172332500</v>
      </c>
      <c r="K58" s="1119">
        <v>172332500</v>
      </c>
      <c r="L58" s="1119">
        <v>257705983</v>
      </c>
      <c r="M58" s="1171">
        <v>40211</v>
      </c>
      <c r="N58" s="1196">
        <v>139321078</v>
      </c>
      <c r="O58" s="1196">
        <v>139321078</v>
      </c>
      <c r="P58" s="1119">
        <v>33011422</v>
      </c>
      <c r="Q58" s="1119">
        <v>170766144</v>
      </c>
      <c r="R58" s="1119">
        <v>256139627</v>
      </c>
      <c r="S58" s="1076" t="s">
        <v>897</v>
      </c>
      <c r="T58" s="840" t="s">
        <v>921</v>
      </c>
      <c r="U58" s="167">
        <v>68306458</v>
      </c>
      <c r="V58" s="855">
        <v>40326</v>
      </c>
      <c r="W58" s="866" t="s">
        <v>137</v>
      </c>
      <c r="X58" s="1084">
        <v>160520298</v>
      </c>
      <c r="Y58" s="1084">
        <v>211744388</v>
      </c>
      <c r="Z58" s="827">
        <v>-0.39999999105930328</v>
      </c>
      <c r="AA58" s="827"/>
      <c r="AB58" s="1119"/>
      <c r="AC58" s="1119"/>
      <c r="AD58" s="1119"/>
      <c r="AE58" s="1119"/>
      <c r="AF58" s="1204" t="s">
        <v>926</v>
      </c>
      <c r="AG58" s="1262" t="s">
        <v>928</v>
      </c>
      <c r="AH58" s="1204" t="s">
        <v>194</v>
      </c>
      <c r="AI58" s="1204" t="s">
        <v>558</v>
      </c>
    </row>
    <row r="59" spans="1:36" ht="15" customHeight="1">
      <c r="A59" s="1076"/>
      <c r="B59" s="1076"/>
      <c r="C59" s="1076"/>
      <c r="D59" s="1076"/>
      <c r="E59" s="1076"/>
      <c r="F59" s="1076"/>
      <c r="G59" s="1076"/>
      <c r="H59" s="1251"/>
      <c r="I59" s="1123"/>
      <c r="J59" s="1119"/>
      <c r="K59" s="1119"/>
      <c r="L59" s="1119"/>
      <c r="M59" s="1171"/>
      <c r="N59" s="1196"/>
      <c r="O59" s="1196"/>
      <c r="P59" s="1119"/>
      <c r="Q59" s="1119"/>
      <c r="R59" s="1119"/>
      <c r="S59" s="1076"/>
      <c r="T59" s="840" t="s">
        <v>922</v>
      </c>
      <c r="U59" s="168">
        <v>71721903</v>
      </c>
      <c r="V59" s="855">
        <v>40707</v>
      </c>
      <c r="W59" s="866" t="s">
        <v>137</v>
      </c>
      <c r="X59" s="1084"/>
      <c r="Y59" s="1084"/>
      <c r="Z59" s="827">
        <v>0</v>
      </c>
      <c r="AA59" s="827"/>
      <c r="AB59" s="1119"/>
      <c r="AC59" s="1119"/>
      <c r="AD59" s="1119"/>
      <c r="AE59" s="1119"/>
      <c r="AF59" s="1204"/>
      <c r="AG59" s="1262"/>
      <c r="AH59" s="1204"/>
      <c r="AI59" s="1204"/>
    </row>
    <row r="60" spans="1:36" ht="15" customHeight="1">
      <c r="A60" s="1076"/>
      <c r="B60" s="1076"/>
      <c r="C60" s="1076"/>
      <c r="D60" s="1076"/>
      <c r="E60" s="1076"/>
      <c r="F60" s="1076"/>
      <c r="G60" s="1076"/>
      <c r="H60" s="1251"/>
      <c r="I60" s="1123"/>
      <c r="J60" s="1119"/>
      <c r="K60" s="1119"/>
      <c r="L60" s="1119"/>
      <c r="M60" s="1171"/>
      <c r="N60" s="1196"/>
      <c r="O60" s="1196"/>
      <c r="P60" s="1119"/>
      <c r="Q60" s="1119"/>
      <c r="R60" s="1119"/>
      <c r="S60" s="1076"/>
      <c r="T60" s="840" t="s">
        <v>923</v>
      </c>
      <c r="U60" s="168">
        <v>20491937</v>
      </c>
      <c r="V60" s="855">
        <v>41583</v>
      </c>
      <c r="W60" s="866" t="s">
        <v>137</v>
      </c>
      <c r="X60" s="1084"/>
      <c r="Y60" s="1084"/>
      <c r="Z60" s="827">
        <v>0</v>
      </c>
      <c r="AA60" s="827"/>
      <c r="AB60" s="1119"/>
      <c r="AC60" s="1119"/>
      <c r="AD60" s="1119"/>
      <c r="AE60" s="1119"/>
      <c r="AF60" s="1204"/>
      <c r="AG60" s="1262"/>
      <c r="AH60" s="1204"/>
      <c r="AI60" s="1204"/>
    </row>
    <row r="61" spans="1:36" ht="15" customHeight="1">
      <c r="A61" s="1076"/>
      <c r="B61" s="1076"/>
      <c r="C61" s="1076"/>
      <c r="D61" s="1076"/>
      <c r="E61" s="1076"/>
      <c r="F61" s="1076"/>
      <c r="G61" s="1076"/>
      <c r="H61" s="1251"/>
      <c r="I61" s="1123"/>
      <c r="J61" s="1119"/>
      <c r="K61" s="1119"/>
      <c r="L61" s="1119"/>
      <c r="M61" s="1171"/>
      <c r="N61" s="1196"/>
      <c r="O61" s="1196"/>
      <c r="P61" s="1119"/>
      <c r="Q61" s="1119"/>
      <c r="R61" s="1119"/>
      <c r="S61" s="1076"/>
      <c r="T61" s="840"/>
      <c r="U61" s="866"/>
      <c r="V61" s="855"/>
      <c r="W61" s="866"/>
      <c r="X61" s="1084"/>
      <c r="Y61" s="1084"/>
      <c r="Z61" s="827">
        <v>0</v>
      </c>
      <c r="AA61" s="827"/>
      <c r="AB61" s="1119"/>
      <c r="AC61" s="1119"/>
      <c r="AD61" s="1119"/>
      <c r="AE61" s="1119"/>
      <c r="AF61" s="1204"/>
      <c r="AG61" s="1262"/>
      <c r="AH61" s="1204"/>
      <c r="AI61" s="1204"/>
    </row>
    <row r="62" spans="1:36" ht="15" customHeight="1">
      <c r="A62" s="1076"/>
      <c r="B62" s="1076"/>
      <c r="C62" s="1076"/>
      <c r="D62" s="1076"/>
      <c r="E62" s="1076" t="s">
        <v>67</v>
      </c>
      <c r="F62" s="1076"/>
      <c r="G62" s="1076"/>
      <c r="H62" s="1251">
        <v>139</v>
      </c>
      <c r="I62" s="1123" t="s">
        <v>7</v>
      </c>
      <c r="J62" s="1119">
        <v>85373483</v>
      </c>
      <c r="K62" s="1119">
        <v>85373483</v>
      </c>
      <c r="L62" s="1119"/>
      <c r="M62" s="1171">
        <v>40647</v>
      </c>
      <c r="N62" s="1196">
        <v>85373483</v>
      </c>
      <c r="O62" s="1196">
        <v>85373483</v>
      </c>
      <c r="P62" s="1196">
        <v>0</v>
      </c>
      <c r="Q62" s="1119">
        <v>85373483</v>
      </c>
      <c r="R62" s="1119"/>
      <c r="S62" s="1076"/>
      <c r="T62" s="840" t="s">
        <v>924</v>
      </c>
      <c r="U62" s="866">
        <v>25612045</v>
      </c>
      <c r="V62" s="855">
        <v>41992</v>
      </c>
      <c r="W62" s="866" t="s">
        <v>7</v>
      </c>
      <c r="X62" s="1084">
        <v>51224090</v>
      </c>
      <c r="Y62" s="1084"/>
      <c r="Z62" s="827">
        <v>0</v>
      </c>
      <c r="AA62" s="827"/>
      <c r="AB62" s="1119"/>
      <c r="AC62" s="1119"/>
      <c r="AD62" s="1119"/>
      <c r="AE62" s="1119"/>
      <c r="AF62" s="1204"/>
      <c r="AG62" s="1262"/>
      <c r="AH62" s="1204"/>
      <c r="AI62" s="1204"/>
    </row>
    <row r="63" spans="1:36" ht="15" customHeight="1">
      <c r="A63" s="1076"/>
      <c r="B63" s="1076"/>
      <c r="C63" s="1076"/>
      <c r="D63" s="1076"/>
      <c r="E63" s="1076"/>
      <c r="F63" s="1076"/>
      <c r="G63" s="1076"/>
      <c r="H63" s="1251"/>
      <c r="I63" s="1123"/>
      <c r="J63" s="1119"/>
      <c r="K63" s="1119"/>
      <c r="L63" s="1119"/>
      <c r="M63" s="1171"/>
      <c r="N63" s="1196"/>
      <c r="O63" s="1196"/>
      <c r="P63" s="1196"/>
      <c r="Q63" s="1119"/>
      <c r="R63" s="1119"/>
      <c r="S63" s="1076"/>
      <c r="T63" s="840" t="s">
        <v>925</v>
      </c>
      <c r="U63" s="866">
        <v>25612045</v>
      </c>
      <c r="V63" s="855">
        <v>42201</v>
      </c>
      <c r="W63" s="866" t="s">
        <v>7</v>
      </c>
      <c r="X63" s="1084"/>
      <c r="Y63" s="1084"/>
      <c r="Z63" s="827">
        <v>0</v>
      </c>
      <c r="AA63" s="827"/>
      <c r="AB63" s="1119"/>
      <c r="AC63" s="1119"/>
      <c r="AD63" s="1119"/>
      <c r="AE63" s="1119"/>
      <c r="AF63" s="1204"/>
      <c r="AG63" s="1262"/>
      <c r="AH63" s="1204"/>
      <c r="AI63" s="1204"/>
    </row>
    <row r="64" spans="1:36" ht="15" customHeight="1">
      <c r="A64" s="1076"/>
      <c r="B64" s="1076"/>
      <c r="C64" s="1076"/>
      <c r="D64" s="1076"/>
      <c r="E64" s="1076"/>
      <c r="F64" s="1076"/>
      <c r="G64" s="1076"/>
      <c r="H64" s="1251"/>
      <c r="I64" s="1123"/>
      <c r="J64" s="1119"/>
      <c r="K64" s="1119"/>
      <c r="L64" s="1119"/>
      <c r="M64" s="1171"/>
      <c r="N64" s="1196"/>
      <c r="O64" s="1196"/>
      <c r="P64" s="1196"/>
      <c r="Q64" s="1119"/>
      <c r="R64" s="1119"/>
      <c r="S64" s="1076"/>
      <c r="T64" s="840"/>
      <c r="U64" s="866"/>
      <c r="V64" s="855"/>
      <c r="W64" s="866"/>
      <c r="X64" s="1084"/>
      <c r="Y64" s="1084"/>
      <c r="Z64" s="827">
        <v>0</v>
      </c>
      <c r="AA64" s="827"/>
      <c r="AB64" s="1119"/>
      <c r="AC64" s="1119"/>
      <c r="AD64" s="1119"/>
      <c r="AE64" s="1119"/>
      <c r="AF64" s="1204"/>
      <c r="AG64" s="1262"/>
      <c r="AH64" s="1204"/>
      <c r="AI64" s="1204"/>
    </row>
    <row r="65" spans="1:36" ht="15" customHeight="1">
      <c r="A65" s="1076" t="s">
        <v>929</v>
      </c>
      <c r="B65" s="1076" t="s">
        <v>930</v>
      </c>
      <c r="C65" s="1076" t="s">
        <v>72</v>
      </c>
      <c r="D65" s="1076" t="s">
        <v>177</v>
      </c>
      <c r="E65" s="1076" t="s">
        <v>66</v>
      </c>
      <c r="F65" s="1076" t="s">
        <v>183</v>
      </c>
      <c r="G65" s="1076" t="s">
        <v>935</v>
      </c>
      <c r="H65" s="1251">
        <v>28</v>
      </c>
      <c r="I65" s="1123" t="s">
        <v>137</v>
      </c>
      <c r="J65" s="1119">
        <v>150147500</v>
      </c>
      <c r="K65" s="1119">
        <v>150147500</v>
      </c>
      <c r="L65" s="1119">
        <v>210281900</v>
      </c>
      <c r="M65" s="1171">
        <v>40211</v>
      </c>
      <c r="N65" s="1196">
        <v>150147500</v>
      </c>
      <c r="O65" s="1196">
        <v>150147500</v>
      </c>
      <c r="P65" s="1119">
        <v>0</v>
      </c>
      <c r="Q65" s="1119">
        <v>150141120</v>
      </c>
      <c r="R65" s="1119">
        <v>210275520</v>
      </c>
      <c r="S65" s="1076" t="s">
        <v>897</v>
      </c>
      <c r="T65" s="840" t="s">
        <v>931</v>
      </c>
      <c r="U65" s="866">
        <v>60056448</v>
      </c>
      <c r="V65" s="855">
        <v>40326</v>
      </c>
      <c r="W65" s="866" t="s">
        <v>137</v>
      </c>
      <c r="X65" s="1084">
        <v>150141120</v>
      </c>
      <c r="Y65" s="1084">
        <v>210275220</v>
      </c>
      <c r="Z65" s="827">
        <v>0</v>
      </c>
      <c r="AA65" s="1084"/>
      <c r="AB65" s="1119">
        <v>0</v>
      </c>
      <c r="AC65" s="1119">
        <v>6380</v>
      </c>
      <c r="AD65" s="1119">
        <v>0</v>
      </c>
      <c r="AE65" s="1119">
        <v>6380</v>
      </c>
      <c r="AF65" s="1204" t="s">
        <v>606</v>
      </c>
      <c r="AG65" s="1204" t="s">
        <v>936</v>
      </c>
      <c r="AH65" s="1204" t="s">
        <v>194</v>
      </c>
      <c r="AI65" s="1204" t="s">
        <v>558</v>
      </c>
    </row>
    <row r="66" spans="1:36" ht="15" customHeight="1">
      <c r="A66" s="1076"/>
      <c r="B66" s="1076"/>
      <c r="C66" s="1076"/>
      <c r="D66" s="1076"/>
      <c r="E66" s="1076"/>
      <c r="F66" s="1076"/>
      <c r="G66" s="1076"/>
      <c r="H66" s="1251"/>
      <c r="I66" s="1123"/>
      <c r="J66" s="1119"/>
      <c r="K66" s="1119"/>
      <c r="L66" s="1119"/>
      <c r="M66" s="1171"/>
      <c r="N66" s="1196"/>
      <c r="O66" s="1196"/>
      <c r="P66" s="1119"/>
      <c r="Q66" s="1119"/>
      <c r="R66" s="1119"/>
      <c r="S66" s="1076"/>
      <c r="T66" s="840" t="s">
        <v>932</v>
      </c>
      <c r="U66" s="866">
        <v>75070560</v>
      </c>
      <c r="V66" s="855">
        <v>40548</v>
      </c>
      <c r="W66" s="866" t="s">
        <v>137</v>
      </c>
      <c r="X66" s="1084"/>
      <c r="Y66" s="1084"/>
      <c r="Z66" s="827">
        <v>0</v>
      </c>
      <c r="AA66" s="1084"/>
      <c r="AB66" s="1119"/>
      <c r="AC66" s="1119"/>
      <c r="AD66" s="1119"/>
      <c r="AE66" s="1119"/>
      <c r="AF66" s="1204"/>
      <c r="AG66" s="1204"/>
      <c r="AH66" s="1204"/>
      <c r="AI66" s="1204"/>
    </row>
    <row r="67" spans="1:36" ht="15" customHeight="1">
      <c r="A67" s="1076"/>
      <c r="B67" s="1076"/>
      <c r="C67" s="1076"/>
      <c r="D67" s="1076"/>
      <c r="E67" s="1076"/>
      <c r="F67" s="1076"/>
      <c r="G67" s="1076"/>
      <c r="H67" s="1251"/>
      <c r="I67" s="1123"/>
      <c r="J67" s="1119"/>
      <c r="K67" s="1119"/>
      <c r="L67" s="1119"/>
      <c r="M67" s="1171"/>
      <c r="N67" s="1196"/>
      <c r="O67" s="1196"/>
      <c r="P67" s="1119"/>
      <c r="Q67" s="1119"/>
      <c r="R67" s="1119"/>
      <c r="S67" s="1076"/>
      <c r="T67" s="840" t="s">
        <v>933</v>
      </c>
      <c r="U67" s="866">
        <v>15014112</v>
      </c>
      <c r="V67" s="855">
        <v>40912</v>
      </c>
      <c r="W67" s="866" t="s">
        <v>137</v>
      </c>
      <c r="X67" s="1084"/>
      <c r="Y67" s="1084"/>
      <c r="Z67" s="827">
        <v>0</v>
      </c>
      <c r="AA67" s="1084"/>
      <c r="AB67" s="1119"/>
      <c r="AC67" s="1119"/>
      <c r="AD67" s="1119"/>
      <c r="AE67" s="1119"/>
      <c r="AF67" s="1204"/>
      <c r="AG67" s="1204"/>
      <c r="AH67" s="1204"/>
      <c r="AI67" s="1204"/>
    </row>
    <row r="68" spans="1:36" ht="15" customHeight="1">
      <c r="A68" s="1076"/>
      <c r="B68" s="1076"/>
      <c r="C68" s="1076"/>
      <c r="D68" s="1076"/>
      <c r="E68" s="823" t="s">
        <v>67</v>
      </c>
      <c r="F68" s="1076"/>
      <c r="G68" s="1076"/>
      <c r="H68" s="879">
        <v>206</v>
      </c>
      <c r="I68" s="840" t="s">
        <v>7</v>
      </c>
      <c r="J68" s="858">
        <v>60134400</v>
      </c>
      <c r="K68" s="858">
        <v>60134400</v>
      </c>
      <c r="L68" s="1119"/>
      <c r="M68" s="855">
        <v>40779</v>
      </c>
      <c r="N68" s="862">
        <v>60134400</v>
      </c>
      <c r="O68" s="862">
        <v>60134400</v>
      </c>
      <c r="P68" s="862">
        <v>0</v>
      </c>
      <c r="Q68" s="858">
        <v>60134400</v>
      </c>
      <c r="R68" s="1119"/>
      <c r="S68" s="1076"/>
      <c r="T68" s="840" t="s">
        <v>934</v>
      </c>
      <c r="U68" s="866">
        <v>60134100</v>
      </c>
      <c r="V68" s="855">
        <v>40913</v>
      </c>
      <c r="W68" s="866" t="s">
        <v>7</v>
      </c>
      <c r="X68" s="827">
        <v>60134100</v>
      </c>
      <c r="Y68" s="1084"/>
      <c r="Z68" s="827">
        <v>0</v>
      </c>
      <c r="AA68" s="827"/>
      <c r="AB68" s="858">
        <v>0</v>
      </c>
      <c r="AC68" s="858">
        <v>0</v>
      </c>
      <c r="AD68" s="858">
        <v>300</v>
      </c>
      <c r="AE68" s="858">
        <v>300</v>
      </c>
      <c r="AF68" s="1204"/>
      <c r="AG68" s="1204"/>
      <c r="AH68" s="1204"/>
      <c r="AI68" s="1204"/>
    </row>
    <row r="69" spans="1:36" ht="15" customHeight="1">
      <c r="A69" s="1076" t="s">
        <v>937</v>
      </c>
      <c r="B69" s="1076" t="s">
        <v>939</v>
      </c>
      <c r="C69" s="1076" t="s">
        <v>72</v>
      </c>
      <c r="D69" s="1076" t="s">
        <v>177</v>
      </c>
      <c r="E69" s="1076" t="s">
        <v>66</v>
      </c>
      <c r="F69" s="1076" t="s">
        <v>217</v>
      </c>
      <c r="G69" s="1076" t="s">
        <v>941</v>
      </c>
      <c r="H69" s="1251">
        <v>6</v>
      </c>
      <c r="I69" s="1123" t="s">
        <v>137</v>
      </c>
      <c r="J69" s="1119">
        <v>79654300</v>
      </c>
      <c r="K69" s="1119">
        <v>79654300</v>
      </c>
      <c r="L69" s="1119">
        <v>79654300</v>
      </c>
      <c r="M69" s="1171">
        <v>40211</v>
      </c>
      <c r="N69" s="1196">
        <v>79654300</v>
      </c>
      <c r="O69" s="1196">
        <v>79654300</v>
      </c>
      <c r="P69" s="1196">
        <v>0</v>
      </c>
      <c r="Q69" s="1119">
        <v>79641540</v>
      </c>
      <c r="R69" s="1119">
        <v>79641540</v>
      </c>
      <c r="S69" s="1076" t="s">
        <v>940</v>
      </c>
      <c r="T69" s="840" t="s">
        <v>943</v>
      </c>
      <c r="U69" s="866">
        <v>31856616</v>
      </c>
      <c r="V69" s="855">
        <v>40351</v>
      </c>
      <c r="W69" s="866" t="s">
        <v>137</v>
      </c>
      <c r="X69" s="1084">
        <v>31856616</v>
      </c>
      <c r="Y69" s="1084">
        <v>31856616</v>
      </c>
      <c r="Z69" s="1084">
        <v>0</v>
      </c>
      <c r="AA69" s="1084">
        <v>47797684</v>
      </c>
      <c r="AB69" s="1119">
        <v>47784924</v>
      </c>
      <c r="AC69" s="1119">
        <v>12760</v>
      </c>
      <c r="AD69" s="1119">
        <v>0</v>
      </c>
      <c r="AE69" s="1119">
        <v>12760</v>
      </c>
      <c r="AF69" s="1204" t="s">
        <v>942</v>
      </c>
      <c r="AG69" s="1237" t="s">
        <v>945</v>
      </c>
      <c r="AH69" s="1204" t="s">
        <v>194</v>
      </c>
      <c r="AI69" s="1204" t="s">
        <v>558</v>
      </c>
    </row>
    <row r="70" spans="1:36" ht="15" customHeight="1">
      <c r="A70" s="1076"/>
      <c r="B70" s="1076"/>
      <c r="C70" s="1076"/>
      <c r="D70" s="1076"/>
      <c r="E70" s="1076"/>
      <c r="F70" s="1076"/>
      <c r="G70" s="1076"/>
      <c r="H70" s="1251"/>
      <c r="I70" s="1123"/>
      <c r="J70" s="1119"/>
      <c r="K70" s="1119"/>
      <c r="L70" s="1119"/>
      <c r="M70" s="1171"/>
      <c r="N70" s="1196"/>
      <c r="O70" s="1196"/>
      <c r="P70" s="1196"/>
      <c r="Q70" s="1119"/>
      <c r="R70" s="1119"/>
      <c r="S70" s="1076"/>
      <c r="T70" s="840" t="s">
        <v>944</v>
      </c>
      <c r="U70" s="866">
        <v>0</v>
      </c>
      <c r="V70" s="855"/>
      <c r="W70" s="866"/>
      <c r="X70" s="1084"/>
      <c r="Y70" s="1084"/>
      <c r="Z70" s="1084"/>
      <c r="AA70" s="1084"/>
      <c r="AB70" s="1119"/>
      <c r="AC70" s="1119"/>
      <c r="AD70" s="1119"/>
      <c r="AE70" s="1119"/>
      <c r="AF70" s="1204"/>
      <c r="AG70" s="1204"/>
      <c r="AH70" s="1204"/>
      <c r="AI70" s="1204"/>
    </row>
    <row r="71" spans="1:36" s="4" customFormat="1" ht="15" customHeight="1">
      <c r="A71" s="1011" t="s">
        <v>242</v>
      </c>
      <c r="B71" s="1076" t="s">
        <v>245</v>
      </c>
      <c r="C71" s="1076" t="s">
        <v>72</v>
      </c>
      <c r="D71" s="1076" t="s">
        <v>177</v>
      </c>
      <c r="E71" s="1076" t="s">
        <v>66</v>
      </c>
      <c r="F71" s="1076" t="s">
        <v>250</v>
      </c>
      <c r="G71" s="1076" t="s">
        <v>249</v>
      </c>
      <c r="H71" s="1335">
        <v>13</v>
      </c>
      <c r="I71" s="1011" t="s">
        <v>137</v>
      </c>
      <c r="J71" s="1119">
        <v>35617606</v>
      </c>
      <c r="K71" s="1119">
        <v>35617606</v>
      </c>
      <c r="L71" s="1119">
        <v>35617606</v>
      </c>
      <c r="M71" s="1171">
        <v>40211</v>
      </c>
      <c r="N71" s="862"/>
      <c r="O71" s="858"/>
      <c r="P71" s="858"/>
      <c r="Q71" s="1119">
        <v>35607708</v>
      </c>
      <c r="R71" s="1119">
        <v>35607708</v>
      </c>
      <c r="S71" s="1076" t="s">
        <v>198</v>
      </c>
      <c r="T71" s="840" t="s">
        <v>247</v>
      </c>
      <c r="U71" s="56">
        <v>14243083</v>
      </c>
      <c r="V71" s="855">
        <v>40305</v>
      </c>
      <c r="W71" s="56"/>
      <c r="X71" s="1315">
        <v>24925395</v>
      </c>
      <c r="Y71" s="1315">
        <v>24925395</v>
      </c>
      <c r="Z71" s="1315">
        <v>0</v>
      </c>
      <c r="AA71" s="1315">
        <v>0</v>
      </c>
      <c r="AB71" s="1324">
        <v>-7121541</v>
      </c>
      <c r="AC71" s="1324">
        <v>9898</v>
      </c>
      <c r="AD71" s="1324">
        <v>10682313</v>
      </c>
      <c r="AE71" s="1324">
        <v>10692211</v>
      </c>
      <c r="AF71" s="1338"/>
      <c r="AG71" s="1204" t="s">
        <v>248</v>
      </c>
      <c r="AH71" s="1204" t="s">
        <v>194</v>
      </c>
      <c r="AI71" s="1204" t="s">
        <v>342</v>
      </c>
      <c r="AJ71" s="1074" t="s">
        <v>2501</v>
      </c>
    </row>
    <row r="72" spans="1:36" s="4" customFormat="1" ht="15" customHeight="1">
      <c r="A72" s="1033"/>
      <c r="B72" s="1076"/>
      <c r="C72" s="1076"/>
      <c r="D72" s="1076"/>
      <c r="E72" s="1076"/>
      <c r="F72" s="1076"/>
      <c r="G72" s="1076"/>
      <c r="H72" s="1336"/>
      <c r="I72" s="1033"/>
      <c r="J72" s="1119"/>
      <c r="K72" s="1119"/>
      <c r="L72" s="1119"/>
      <c r="M72" s="1171"/>
      <c r="N72" s="862"/>
      <c r="O72" s="858"/>
      <c r="P72" s="858"/>
      <c r="Q72" s="1119"/>
      <c r="R72" s="1119"/>
      <c r="S72" s="1076"/>
      <c r="T72" s="840" t="s">
        <v>246</v>
      </c>
      <c r="U72" s="56">
        <v>10682312</v>
      </c>
      <c r="V72" s="855">
        <v>40494</v>
      </c>
      <c r="W72" s="56"/>
      <c r="X72" s="1315"/>
      <c r="Y72" s="1315"/>
      <c r="Z72" s="1315"/>
      <c r="AA72" s="1315"/>
      <c r="AB72" s="1324"/>
      <c r="AC72" s="1324"/>
      <c r="AD72" s="1324"/>
      <c r="AE72" s="1324"/>
      <c r="AF72" s="1338"/>
      <c r="AG72" s="1204"/>
      <c r="AH72" s="1204"/>
      <c r="AI72" s="1204"/>
      <c r="AJ72" s="1074"/>
    </row>
    <row r="73" spans="1:36" s="4" customFormat="1" ht="15" customHeight="1">
      <c r="A73" s="1012"/>
      <c r="B73" s="823"/>
      <c r="C73" s="823"/>
      <c r="D73" s="823"/>
      <c r="E73" s="823"/>
      <c r="F73" s="823"/>
      <c r="G73" s="823"/>
      <c r="H73" s="1337"/>
      <c r="I73" s="1012"/>
      <c r="J73" s="858"/>
      <c r="K73" s="858"/>
      <c r="L73" s="858"/>
      <c r="M73" s="855"/>
      <c r="N73" s="862"/>
      <c r="O73" s="858"/>
      <c r="P73" s="858"/>
      <c r="Q73" s="858"/>
      <c r="R73" s="858"/>
      <c r="S73" s="823"/>
      <c r="T73" s="700" t="s">
        <v>2697</v>
      </c>
      <c r="U73" s="56">
        <v>10682313</v>
      </c>
      <c r="V73" s="855">
        <v>43083</v>
      </c>
      <c r="W73" s="699"/>
      <c r="X73" s="884"/>
      <c r="Y73" s="884"/>
      <c r="Z73" s="884"/>
      <c r="AA73" s="884"/>
      <c r="AB73" s="902"/>
      <c r="AC73" s="902"/>
      <c r="AD73" s="902"/>
      <c r="AE73" s="902"/>
      <c r="AF73" s="903"/>
      <c r="AG73" s="864"/>
      <c r="AH73" s="864"/>
      <c r="AI73" s="864"/>
      <c r="AJ73" s="822"/>
    </row>
    <row r="74" spans="1:36" s="940" customFormat="1" ht="15" customHeight="1">
      <c r="A74" s="1426" t="s">
        <v>265</v>
      </c>
      <c r="B74" s="943" t="s">
        <v>266</v>
      </c>
      <c r="C74" s="943" t="s">
        <v>72</v>
      </c>
      <c r="D74" s="943" t="s">
        <v>177</v>
      </c>
      <c r="E74" s="943" t="s">
        <v>66</v>
      </c>
      <c r="F74" s="943" t="s">
        <v>50</v>
      </c>
      <c r="G74" s="943" t="s">
        <v>269</v>
      </c>
      <c r="H74" s="1418">
        <v>16</v>
      </c>
      <c r="I74" s="1426" t="s">
        <v>137</v>
      </c>
      <c r="J74" s="944">
        <v>31263001</v>
      </c>
      <c r="K74" s="944">
        <v>31263001</v>
      </c>
      <c r="L74" s="944">
        <v>31263001</v>
      </c>
      <c r="M74" s="945">
        <v>40211</v>
      </c>
      <c r="N74" s="946"/>
      <c r="O74" s="944"/>
      <c r="P74" s="944"/>
      <c r="Q74" s="944">
        <v>31247370</v>
      </c>
      <c r="R74" s="944">
        <v>31247370</v>
      </c>
      <c r="S74" s="943" t="s">
        <v>198</v>
      </c>
      <c r="T74" s="947" t="s">
        <v>268</v>
      </c>
      <c r="U74" s="948">
        <v>12498948</v>
      </c>
      <c r="V74" s="945">
        <v>40305</v>
      </c>
      <c r="W74" s="1426" t="s">
        <v>137</v>
      </c>
      <c r="X74" s="949">
        <v>12498948</v>
      </c>
      <c r="Y74" s="949">
        <v>12498948</v>
      </c>
      <c r="Z74" s="949">
        <v>0</v>
      </c>
      <c r="AA74" s="949">
        <v>0</v>
      </c>
      <c r="AB74" s="950">
        <v>-12498948</v>
      </c>
      <c r="AC74" s="950">
        <v>15631</v>
      </c>
      <c r="AD74" s="950">
        <v>18748422</v>
      </c>
      <c r="AE74" s="950">
        <v>18764053</v>
      </c>
      <c r="AF74" s="951" t="s">
        <v>267</v>
      </c>
      <c r="AG74" s="952" t="s">
        <v>329</v>
      </c>
      <c r="AH74" s="952" t="s">
        <v>194</v>
      </c>
      <c r="AI74" s="952" t="s">
        <v>342</v>
      </c>
      <c r="AJ74" s="1074" t="s">
        <v>2501</v>
      </c>
    </row>
    <row r="75" spans="1:36" s="940" customFormat="1" ht="15" customHeight="1">
      <c r="A75" s="1427"/>
      <c r="B75" s="943"/>
      <c r="C75" s="943"/>
      <c r="D75" s="943"/>
      <c r="E75" s="943"/>
      <c r="F75" s="943"/>
      <c r="G75" s="943"/>
      <c r="H75" s="1428"/>
      <c r="I75" s="1427"/>
      <c r="J75" s="944"/>
      <c r="K75" s="944"/>
      <c r="L75" s="944"/>
      <c r="M75" s="945"/>
      <c r="N75" s="946"/>
      <c r="O75" s="944"/>
      <c r="P75" s="944"/>
      <c r="Q75" s="944"/>
      <c r="R75" s="944"/>
      <c r="S75" s="943"/>
      <c r="T75" s="947"/>
      <c r="U75" s="948">
        <v>18748422</v>
      </c>
      <c r="V75" s="945">
        <v>43054</v>
      </c>
      <c r="W75" s="1427"/>
      <c r="X75" s="949"/>
      <c r="Y75" s="949"/>
      <c r="Z75" s="949"/>
      <c r="AA75" s="949"/>
      <c r="AB75" s="950"/>
      <c r="AC75" s="950"/>
      <c r="AD75" s="950"/>
      <c r="AE75" s="950"/>
      <c r="AF75" s="951"/>
      <c r="AG75" s="952"/>
      <c r="AH75" s="952"/>
      <c r="AI75" s="952"/>
      <c r="AJ75" s="1074"/>
    </row>
    <row r="76" spans="1:36" s="940" customFormat="1" ht="15" customHeight="1">
      <c r="A76" s="1076" t="s">
        <v>243</v>
      </c>
      <c r="B76" s="1076" t="s">
        <v>252</v>
      </c>
      <c r="C76" s="1076" t="s">
        <v>72</v>
      </c>
      <c r="D76" s="1076" t="s">
        <v>177</v>
      </c>
      <c r="E76" s="1250" t="s">
        <v>66</v>
      </c>
      <c r="F76" s="1076" t="s">
        <v>183</v>
      </c>
      <c r="G76" s="1076" t="s">
        <v>258</v>
      </c>
      <c r="H76" s="1459">
        <v>21</v>
      </c>
      <c r="I76" s="1250" t="s">
        <v>137</v>
      </c>
      <c r="J76" s="1255">
        <v>76270000</v>
      </c>
      <c r="K76" s="1255">
        <v>76270000</v>
      </c>
      <c r="L76" s="1119">
        <v>97150000</v>
      </c>
      <c r="M76" s="1270">
        <v>40211</v>
      </c>
      <c r="N76" s="946"/>
      <c r="O76" s="944"/>
      <c r="P76" s="944"/>
      <c r="Q76" s="1255">
        <v>76270000</v>
      </c>
      <c r="R76" s="1119">
        <v>97150000</v>
      </c>
      <c r="S76" s="1076" t="s">
        <v>198</v>
      </c>
      <c r="T76" s="947" t="s">
        <v>253</v>
      </c>
      <c r="U76" s="948">
        <v>30508000</v>
      </c>
      <c r="V76" s="945">
        <v>40326</v>
      </c>
      <c r="W76" s="948"/>
      <c r="X76" s="1458">
        <v>76270000</v>
      </c>
      <c r="Y76" s="1315">
        <v>97150000</v>
      </c>
      <c r="Z76" s="1315">
        <v>0</v>
      </c>
      <c r="AA76" s="1315">
        <v>0</v>
      </c>
      <c r="AB76" s="1119">
        <v>0</v>
      </c>
      <c r="AC76" s="1255">
        <v>0</v>
      </c>
      <c r="AD76" s="1255">
        <v>0</v>
      </c>
      <c r="AE76" s="1255">
        <v>0</v>
      </c>
      <c r="AF76" s="1203"/>
      <c r="AG76" s="1204" t="s">
        <v>320</v>
      </c>
      <c r="AH76" s="1204" t="s">
        <v>194</v>
      </c>
      <c r="AI76" s="1204" t="s">
        <v>342</v>
      </c>
      <c r="AJ76" s="1074"/>
    </row>
    <row r="77" spans="1:36" s="940" customFormat="1" ht="15" customHeight="1">
      <c r="A77" s="1076"/>
      <c r="B77" s="1076"/>
      <c r="C77" s="1076"/>
      <c r="D77" s="1076"/>
      <c r="E77" s="1250"/>
      <c r="F77" s="1076"/>
      <c r="G77" s="1076"/>
      <c r="H77" s="1459"/>
      <c r="I77" s="1250"/>
      <c r="J77" s="1255"/>
      <c r="K77" s="1255"/>
      <c r="L77" s="1119"/>
      <c r="M77" s="1270"/>
      <c r="N77" s="946"/>
      <c r="O77" s="944"/>
      <c r="P77" s="944"/>
      <c r="Q77" s="1255"/>
      <c r="R77" s="1119"/>
      <c r="S77" s="1076"/>
      <c r="T77" s="947" t="s">
        <v>254</v>
      </c>
      <c r="U77" s="948">
        <v>41185800</v>
      </c>
      <c r="V77" s="945">
        <v>40816</v>
      </c>
      <c r="W77" s="948"/>
      <c r="X77" s="1458"/>
      <c r="Y77" s="1315"/>
      <c r="Z77" s="1315"/>
      <c r="AA77" s="1315"/>
      <c r="AB77" s="1119"/>
      <c r="AC77" s="1255"/>
      <c r="AD77" s="1255"/>
      <c r="AE77" s="1255"/>
      <c r="AF77" s="1203"/>
      <c r="AG77" s="1204"/>
      <c r="AH77" s="1204"/>
      <c r="AI77" s="1204"/>
    </row>
    <row r="78" spans="1:36" s="940" customFormat="1" ht="15" customHeight="1">
      <c r="A78" s="1076"/>
      <c r="B78" s="1076"/>
      <c r="C78" s="1076"/>
      <c r="D78" s="1076"/>
      <c r="E78" s="1250"/>
      <c r="F78" s="1076"/>
      <c r="G78" s="1076"/>
      <c r="H78" s="1459"/>
      <c r="I78" s="1250"/>
      <c r="J78" s="1255"/>
      <c r="K78" s="1255"/>
      <c r="L78" s="1119"/>
      <c r="M78" s="1270"/>
      <c r="N78" s="946"/>
      <c r="O78" s="944"/>
      <c r="P78" s="944"/>
      <c r="Q78" s="1255"/>
      <c r="R78" s="1119"/>
      <c r="S78" s="1076"/>
      <c r="T78" s="947" t="s">
        <v>257</v>
      </c>
      <c r="U78" s="948">
        <v>4576200</v>
      </c>
      <c r="V78" s="945">
        <v>41603</v>
      </c>
      <c r="W78" s="948"/>
      <c r="X78" s="1458"/>
      <c r="Y78" s="1315"/>
      <c r="Z78" s="1315"/>
      <c r="AA78" s="1315"/>
      <c r="AB78" s="1119"/>
      <c r="AC78" s="1255"/>
      <c r="AD78" s="1255"/>
      <c r="AE78" s="1255"/>
      <c r="AF78" s="1203"/>
      <c r="AG78" s="1204"/>
      <c r="AH78" s="1204"/>
      <c r="AI78" s="1204"/>
    </row>
    <row r="79" spans="1:36" s="4" customFormat="1" ht="15" customHeight="1">
      <c r="A79" s="1076"/>
      <c r="B79" s="1076"/>
      <c r="C79" s="1076"/>
      <c r="D79" s="1076"/>
      <c r="E79" s="1076" t="s">
        <v>171</v>
      </c>
      <c r="F79" s="1076"/>
      <c r="G79" s="1076"/>
      <c r="H79" s="1318">
        <v>224</v>
      </c>
      <c r="I79" s="1076" t="s">
        <v>7</v>
      </c>
      <c r="J79" s="1119">
        <v>20880000</v>
      </c>
      <c r="K79" s="1119">
        <v>20880000</v>
      </c>
      <c r="L79" s="1119"/>
      <c r="M79" s="1171">
        <v>40864</v>
      </c>
      <c r="N79" s="862"/>
      <c r="O79" s="858"/>
      <c r="P79" s="858"/>
      <c r="Q79" s="1119">
        <v>20880000</v>
      </c>
      <c r="R79" s="1119"/>
      <c r="S79" s="1076"/>
      <c r="T79" s="840" t="s">
        <v>255</v>
      </c>
      <c r="U79" s="56">
        <v>18792000</v>
      </c>
      <c r="V79" s="855">
        <v>40921</v>
      </c>
      <c r="W79" s="56"/>
      <c r="X79" s="1315">
        <v>20880000</v>
      </c>
      <c r="Y79" s="1315"/>
      <c r="Z79" s="1315"/>
      <c r="AA79" s="1315"/>
      <c r="AB79" s="1119"/>
      <c r="AC79" s="1119">
        <v>0</v>
      </c>
      <c r="AD79" s="1119">
        <v>0</v>
      </c>
      <c r="AE79" s="1119">
        <v>0</v>
      </c>
      <c r="AF79" s="1203"/>
      <c r="AG79" s="1204"/>
      <c r="AH79" s="1204"/>
      <c r="AI79" s="1204"/>
    </row>
    <row r="80" spans="1:36" s="4" customFormat="1" ht="15" customHeight="1">
      <c r="A80" s="1076"/>
      <c r="B80" s="1076"/>
      <c r="C80" s="1076"/>
      <c r="D80" s="1076"/>
      <c r="E80" s="1076"/>
      <c r="F80" s="1076"/>
      <c r="G80" s="1076"/>
      <c r="H80" s="1318"/>
      <c r="I80" s="1076"/>
      <c r="J80" s="1119"/>
      <c r="K80" s="1119"/>
      <c r="L80" s="1119"/>
      <c r="M80" s="1171"/>
      <c r="N80" s="862"/>
      <c r="O80" s="858"/>
      <c r="P80" s="858"/>
      <c r="Q80" s="1119"/>
      <c r="R80" s="1119"/>
      <c r="S80" s="1076"/>
      <c r="T80" s="840" t="s">
        <v>256</v>
      </c>
      <c r="U80" s="56">
        <v>2088000</v>
      </c>
      <c r="V80" s="855">
        <v>41603</v>
      </c>
      <c r="W80" s="56"/>
      <c r="X80" s="1315"/>
      <c r="Y80" s="1315"/>
      <c r="Z80" s="1315"/>
      <c r="AA80" s="1315"/>
      <c r="AB80" s="1119"/>
      <c r="AC80" s="1119"/>
      <c r="AD80" s="1119"/>
      <c r="AE80" s="1119"/>
      <c r="AF80" s="1203"/>
      <c r="AG80" s="1204"/>
      <c r="AH80" s="1204"/>
      <c r="AI80" s="1204"/>
    </row>
    <row r="81" spans="1:35" s="940" customFormat="1" ht="15" customHeight="1">
      <c r="A81" s="1250" t="s">
        <v>259</v>
      </c>
      <c r="B81" s="1250" t="s">
        <v>261</v>
      </c>
      <c r="C81" s="1250" t="s">
        <v>72</v>
      </c>
      <c r="D81" s="1250" t="s">
        <v>177</v>
      </c>
      <c r="E81" s="1250" t="s">
        <v>66</v>
      </c>
      <c r="F81" s="1250" t="s">
        <v>250</v>
      </c>
      <c r="G81" s="1250" t="s">
        <v>249</v>
      </c>
      <c r="H81" s="1459">
        <v>25</v>
      </c>
      <c r="I81" s="1250" t="s">
        <v>137</v>
      </c>
      <c r="J81" s="1255">
        <v>50046750</v>
      </c>
      <c r="K81" s="1255">
        <v>50046750</v>
      </c>
      <c r="L81" s="1255">
        <v>50046750</v>
      </c>
      <c r="M81" s="1270">
        <v>40211</v>
      </c>
      <c r="N81" s="946"/>
      <c r="O81" s="944"/>
      <c r="P81" s="944"/>
      <c r="Q81" s="1255">
        <v>50000000</v>
      </c>
      <c r="R81" s="1255">
        <v>50000000</v>
      </c>
      <c r="S81" s="1250" t="s">
        <v>198</v>
      </c>
      <c r="T81" s="947" t="s">
        <v>262</v>
      </c>
      <c r="U81" s="948">
        <v>20000000</v>
      </c>
      <c r="V81" s="945">
        <v>40351</v>
      </c>
      <c r="W81" s="948"/>
      <c r="X81" s="1458">
        <v>47000000</v>
      </c>
      <c r="Y81" s="1458">
        <v>47000000</v>
      </c>
      <c r="Z81" s="1458">
        <v>0</v>
      </c>
      <c r="AA81" s="1458">
        <v>0</v>
      </c>
      <c r="AB81" s="1457">
        <v>-2000000</v>
      </c>
      <c r="AC81" s="1457">
        <v>46750</v>
      </c>
      <c r="AD81" s="1457">
        <v>3000000</v>
      </c>
      <c r="AE81" s="1457">
        <v>3046750</v>
      </c>
      <c r="AF81" s="1435"/>
      <c r="AG81" s="1436" t="s">
        <v>331</v>
      </c>
      <c r="AH81" s="1436" t="s">
        <v>194</v>
      </c>
      <c r="AI81" s="1436" t="s">
        <v>342</v>
      </c>
    </row>
    <row r="82" spans="1:35" s="940" customFormat="1" ht="15" customHeight="1">
      <c r="A82" s="1250"/>
      <c r="B82" s="1250"/>
      <c r="C82" s="1250"/>
      <c r="D82" s="1250"/>
      <c r="E82" s="1250"/>
      <c r="F82" s="1250"/>
      <c r="G82" s="1250"/>
      <c r="H82" s="1459"/>
      <c r="I82" s="1250"/>
      <c r="J82" s="1255"/>
      <c r="K82" s="1255"/>
      <c r="L82" s="1255"/>
      <c r="M82" s="1270"/>
      <c r="N82" s="946"/>
      <c r="O82" s="944"/>
      <c r="P82" s="944"/>
      <c r="Q82" s="1255"/>
      <c r="R82" s="1255"/>
      <c r="S82" s="1250"/>
      <c r="T82" s="947" t="s">
        <v>263</v>
      </c>
      <c r="U82" s="948">
        <v>27000000</v>
      </c>
      <c r="V82" s="945">
        <v>40581</v>
      </c>
      <c r="W82" s="948"/>
      <c r="X82" s="1458"/>
      <c r="Y82" s="1458"/>
      <c r="Z82" s="1458"/>
      <c r="AA82" s="1458"/>
      <c r="AB82" s="1457"/>
      <c r="AC82" s="1457"/>
      <c r="AD82" s="1457"/>
      <c r="AE82" s="1457"/>
      <c r="AF82" s="1435"/>
      <c r="AG82" s="1436"/>
      <c r="AH82" s="1436"/>
      <c r="AI82" s="1436"/>
    </row>
    <row r="83" spans="1:35" ht="15" customHeight="1">
      <c r="A83" s="1076" t="s">
        <v>946</v>
      </c>
      <c r="B83" s="1076" t="s">
        <v>948</v>
      </c>
      <c r="C83" s="1076" t="s">
        <v>70</v>
      </c>
      <c r="D83" s="1076" t="s">
        <v>177</v>
      </c>
      <c r="E83" s="1076" t="s">
        <v>66</v>
      </c>
      <c r="F83" s="1076" t="s">
        <v>183</v>
      </c>
      <c r="G83" s="1076" t="s">
        <v>954</v>
      </c>
      <c r="H83" s="1251">
        <v>31</v>
      </c>
      <c r="I83" s="1123" t="s">
        <v>7</v>
      </c>
      <c r="J83" s="1119">
        <v>2177441</v>
      </c>
      <c r="K83" s="1119">
        <v>6628434</v>
      </c>
      <c r="L83" s="1119">
        <v>20244626</v>
      </c>
      <c r="M83" s="1171">
        <v>40353</v>
      </c>
      <c r="N83" s="1196">
        <v>6628434</v>
      </c>
      <c r="O83" s="1196">
        <v>2177441</v>
      </c>
      <c r="P83" s="1196">
        <v>0</v>
      </c>
      <c r="Q83" s="1119">
        <v>2177441</v>
      </c>
      <c r="R83" s="1119">
        <v>20000000</v>
      </c>
      <c r="S83" s="1076" t="s">
        <v>949</v>
      </c>
      <c r="T83" s="1123" t="s">
        <v>950</v>
      </c>
      <c r="U83" s="1215">
        <v>2651373</v>
      </c>
      <c r="V83" s="1171">
        <v>40388</v>
      </c>
      <c r="W83" s="1215" t="s">
        <v>7</v>
      </c>
      <c r="X83" s="1084">
        <v>6628434</v>
      </c>
      <c r="Y83" s="1084">
        <v>20000000</v>
      </c>
      <c r="Z83" s="1084">
        <v>0</v>
      </c>
      <c r="AA83" s="1084">
        <v>-1780396.8</v>
      </c>
      <c r="AB83" s="1119">
        <v>0</v>
      </c>
      <c r="AC83" s="1119">
        <v>0</v>
      </c>
      <c r="AD83" s="1119">
        <v>0</v>
      </c>
      <c r="AE83" s="1119">
        <v>0</v>
      </c>
      <c r="AF83" s="1204" t="s">
        <v>953</v>
      </c>
      <c r="AG83" s="1237" t="s">
        <v>955</v>
      </c>
      <c r="AH83" s="1204" t="s">
        <v>194</v>
      </c>
      <c r="AI83" s="1204" t="s">
        <v>558</v>
      </c>
    </row>
    <row r="84" spans="1:35" ht="15" customHeight="1">
      <c r="A84" s="1076"/>
      <c r="B84" s="1076"/>
      <c r="C84" s="1076"/>
      <c r="D84" s="1076"/>
      <c r="E84" s="1076"/>
      <c r="F84" s="1076"/>
      <c r="G84" s="1076"/>
      <c r="H84" s="1251"/>
      <c r="I84" s="1123"/>
      <c r="J84" s="1119"/>
      <c r="K84" s="1119"/>
      <c r="L84" s="1119"/>
      <c r="M84" s="1171"/>
      <c r="N84" s="1196"/>
      <c r="O84" s="1196"/>
      <c r="P84" s="1196"/>
      <c r="Q84" s="1119"/>
      <c r="R84" s="1119"/>
      <c r="S84" s="1076"/>
      <c r="T84" s="1123"/>
      <c r="U84" s="1215"/>
      <c r="V84" s="1171"/>
      <c r="W84" s="1215"/>
      <c r="X84" s="1084"/>
      <c r="Y84" s="1084"/>
      <c r="Z84" s="1084"/>
      <c r="AA84" s="1084"/>
      <c r="AB84" s="1119"/>
      <c r="AC84" s="1119"/>
      <c r="AD84" s="1119"/>
      <c r="AE84" s="1119"/>
      <c r="AF84" s="1204"/>
      <c r="AG84" s="1204"/>
      <c r="AH84" s="1204"/>
      <c r="AI84" s="1204"/>
    </row>
    <row r="85" spans="1:35" ht="15" customHeight="1">
      <c r="A85" s="1076"/>
      <c r="B85" s="1076"/>
      <c r="C85" s="1076"/>
      <c r="D85" s="1076"/>
      <c r="E85" s="1076"/>
      <c r="F85" s="1076"/>
      <c r="G85" s="1076"/>
      <c r="H85" s="1251"/>
      <c r="I85" s="1123"/>
      <c r="J85" s="1119"/>
      <c r="K85" s="1119"/>
      <c r="L85" s="1119"/>
      <c r="M85" s="1171"/>
      <c r="N85" s="1196"/>
      <c r="O85" s="1196"/>
      <c r="P85" s="1196"/>
      <c r="Q85" s="1119"/>
      <c r="R85" s="1119"/>
      <c r="S85" s="1076"/>
      <c r="T85" s="1123" t="s">
        <v>951</v>
      </c>
      <c r="U85" s="866">
        <v>1306464.8</v>
      </c>
      <c r="V85" s="1171">
        <v>42023</v>
      </c>
      <c r="W85" s="866" t="s">
        <v>7</v>
      </c>
      <c r="X85" s="1084"/>
      <c r="Y85" s="1084"/>
      <c r="Z85" s="827">
        <v>0</v>
      </c>
      <c r="AA85" s="1084"/>
      <c r="AB85" s="1119"/>
      <c r="AC85" s="1119"/>
      <c r="AD85" s="1119"/>
      <c r="AE85" s="1119"/>
      <c r="AF85" s="1204"/>
      <c r="AG85" s="1204"/>
      <c r="AH85" s="1204"/>
      <c r="AI85" s="1204"/>
    </row>
    <row r="86" spans="1:35" ht="15" customHeight="1">
      <c r="A86" s="1076"/>
      <c r="B86" s="1076"/>
      <c r="C86" s="1076"/>
      <c r="D86" s="1076"/>
      <c r="E86" s="1076"/>
      <c r="F86" s="1076"/>
      <c r="G86" s="1076"/>
      <c r="H86" s="1251"/>
      <c r="I86" s="840" t="s">
        <v>137</v>
      </c>
      <c r="J86" s="858">
        <v>4450993</v>
      </c>
      <c r="K86" s="1119"/>
      <c r="L86" s="1119"/>
      <c r="M86" s="1171"/>
      <c r="N86" s="1196"/>
      <c r="O86" s="862">
        <v>4450993</v>
      </c>
      <c r="P86" s="858">
        <v>0</v>
      </c>
      <c r="Q86" s="858">
        <v>4450993</v>
      </c>
      <c r="R86" s="1119"/>
      <c r="S86" s="1076"/>
      <c r="T86" s="1123"/>
      <c r="U86" s="866">
        <v>2670596.2000000002</v>
      </c>
      <c r="V86" s="1171"/>
      <c r="W86" s="866" t="s">
        <v>137</v>
      </c>
      <c r="X86" s="1084"/>
      <c r="Y86" s="1084"/>
      <c r="Z86" s="827">
        <v>0</v>
      </c>
      <c r="AA86" s="827">
        <v>1780396.7999999998</v>
      </c>
      <c r="AB86" s="1119"/>
      <c r="AC86" s="1119"/>
      <c r="AD86" s="1119"/>
      <c r="AE86" s="1119"/>
      <c r="AF86" s="1204"/>
      <c r="AG86" s="1204"/>
      <c r="AH86" s="1204"/>
      <c r="AI86" s="1204"/>
    </row>
    <row r="87" spans="1:35" s="29" customFormat="1" ht="15" customHeight="1">
      <c r="A87" s="1076"/>
      <c r="B87" s="1076"/>
      <c r="C87" s="1076"/>
      <c r="D87" s="1076"/>
      <c r="E87" s="1076"/>
      <c r="F87" s="1076"/>
      <c r="G87" s="1076"/>
      <c r="H87" s="1251">
        <v>32</v>
      </c>
      <c r="I87" s="1254" t="s">
        <v>7</v>
      </c>
      <c r="J87" s="1084">
        <v>2468543</v>
      </c>
      <c r="K87" s="1084">
        <v>7514592</v>
      </c>
      <c r="L87" s="1119"/>
      <c r="M87" s="1253">
        <v>40353</v>
      </c>
      <c r="N87" s="1261">
        <v>7514592</v>
      </c>
      <c r="O87" s="1261">
        <v>2468543</v>
      </c>
      <c r="P87" s="1261">
        <v>0</v>
      </c>
      <c r="Q87" s="1084">
        <v>2468543</v>
      </c>
      <c r="R87" s="1119"/>
      <c r="S87" s="1076"/>
      <c r="T87" s="1254" t="s">
        <v>950</v>
      </c>
      <c r="U87" s="1215">
        <v>3005837</v>
      </c>
      <c r="V87" s="1253">
        <v>40388</v>
      </c>
      <c r="W87" s="1215" t="s">
        <v>7</v>
      </c>
      <c r="X87" s="1084">
        <v>7514592</v>
      </c>
      <c r="Y87" s="1084"/>
      <c r="Z87" s="1084">
        <v>0</v>
      </c>
      <c r="AA87" s="1084">
        <v>-2018419.73</v>
      </c>
      <c r="AB87" s="1084">
        <v>0</v>
      </c>
      <c r="AC87" s="1084">
        <v>0</v>
      </c>
      <c r="AD87" s="1084">
        <v>0</v>
      </c>
      <c r="AE87" s="1084">
        <v>0</v>
      </c>
      <c r="AF87" s="1204"/>
      <c r="AG87" s="1204"/>
      <c r="AH87" s="1204"/>
      <c r="AI87" s="1204"/>
    </row>
    <row r="88" spans="1:35" s="29" customFormat="1" ht="15" customHeight="1">
      <c r="A88" s="1076"/>
      <c r="B88" s="1076"/>
      <c r="C88" s="1076"/>
      <c r="D88" s="1076"/>
      <c r="E88" s="1076"/>
      <c r="F88" s="1076"/>
      <c r="G88" s="1076"/>
      <c r="H88" s="1251"/>
      <c r="I88" s="1254"/>
      <c r="J88" s="1084"/>
      <c r="K88" s="1084"/>
      <c r="L88" s="1119"/>
      <c r="M88" s="1253"/>
      <c r="N88" s="1261"/>
      <c r="O88" s="1261"/>
      <c r="P88" s="1261"/>
      <c r="Q88" s="1084"/>
      <c r="R88" s="1119"/>
      <c r="S88" s="1076"/>
      <c r="T88" s="1254"/>
      <c r="U88" s="1215"/>
      <c r="V88" s="1253"/>
      <c r="W88" s="1215"/>
      <c r="X88" s="1084"/>
      <c r="Y88" s="1084"/>
      <c r="Z88" s="1084"/>
      <c r="AA88" s="1084"/>
      <c r="AB88" s="1084"/>
      <c r="AC88" s="1084"/>
      <c r="AD88" s="1084"/>
      <c r="AE88" s="1084"/>
      <c r="AF88" s="1204"/>
      <c r="AG88" s="1204"/>
      <c r="AH88" s="1204"/>
      <c r="AI88" s="1204"/>
    </row>
    <row r="89" spans="1:35" s="29" customFormat="1" ht="15" customHeight="1">
      <c r="A89" s="1076"/>
      <c r="B89" s="1076"/>
      <c r="C89" s="1076"/>
      <c r="D89" s="1076"/>
      <c r="E89" s="1076"/>
      <c r="F89" s="1076"/>
      <c r="G89" s="1076"/>
      <c r="H89" s="1251"/>
      <c r="I89" s="1254"/>
      <c r="J89" s="1084"/>
      <c r="K89" s="1084"/>
      <c r="L89" s="1119"/>
      <c r="M89" s="1253"/>
      <c r="N89" s="1261"/>
      <c r="O89" s="1261"/>
      <c r="P89" s="1261"/>
      <c r="Q89" s="1084"/>
      <c r="R89" s="1119"/>
      <c r="S89" s="1076"/>
      <c r="T89" s="1254" t="s">
        <v>951</v>
      </c>
      <c r="U89" s="866">
        <v>1481125.73</v>
      </c>
      <c r="V89" s="1253">
        <v>42023</v>
      </c>
      <c r="W89" s="866" t="s">
        <v>7</v>
      </c>
      <c r="X89" s="1084"/>
      <c r="Y89" s="1084"/>
      <c r="Z89" s="827">
        <v>0</v>
      </c>
      <c r="AA89" s="1084"/>
      <c r="AB89" s="1084"/>
      <c r="AC89" s="1084"/>
      <c r="AD89" s="1084"/>
      <c r="AE89" s="1084"/>
      <c r="AF89" s="1204"/>
      <c r="AG89" s="1204"/>
      <c r="AH89" s="1204"/>
      <c r="AI89" s="1204"/>
    </row>
    <row r="90" spans="1:35" s="29" customFormat="1" ht="15" customHeight="1">
      <c r="A90" s="1076"/>
      <c r="B90" s="1076"/>
      <c r="C90" s="1076"/>
      <c r="D90" s="1076"/>
      <c r="E90" s="1076"/>
      <c r="F90" s="1076"/>
      <c r="G90" s="1076"/>
      <c r="H90" s="1251"/>
      <c r="I90" s="878" t="s">
        <v>137</v>
      </c>
      <c r="J90" s="827">
        <v>5046049</v>
      </c>
      <c r="K90" s="1084"/>
      <c r="L90" s="1119"/>
      <c r="M90" s="1253"/>
      <c r="N90" s="1261"/>
      <c r="O90" s="827">
        <v>5046049</v>
      </c>
      <c r="P90" s="827">
        <v>0</v>
      </c>
      <c r="Q90" s="827">
        <v>5046049</v>
      </c>
      <c r="R90" s="1119"/>
      <c r="S90" s="1076"/>
      <c r="T90" s="1254"/>
      <c r="U90" s="866">
        <v>3027629.27</v>
      </c>
      <c r="V90" s="1253"/>
      <c r="W90" s="866" t="s">
        <v>137</v>
      </c>
      <c r="X90" s="1084"/>
      <c r="Y90" s="1084"/>
      <c r="Z90" s="827">
        <v>0</v>
      </c>
      <c r="AA90" s="827">
        <v>2018419.73</v>
      </c>
      <c r="AB90" s="1084"/>
      <c r="AC90" s="1084"/>
      <c r="AD90" s="1084"/>
      <c r="AE90" s="1084"/>
      <c r="AF90" s="1204"/>
      <c r="AG90" s="1204"/>
      <c r="AH90" s="1204"/>
      <c r="AI90" s="1204"/>
    </row>
    <row r="91" spans="1:35" ht="15" customHeight="1">
      <c r="A91" s="1076"/>
      <c r="B91" s="1076"/>
      <c r="C91" s="1076"/>
      <c r="D91" s="1076"/>
      <c r="E91" s="1076"/>
      <c r="F91" s="1076"/>
      <c r="G91" s="1076"/>
      <c r="H91" s="1251">
        <v>48</v>
      </c>
      <c r="I91" s="1123" t="s">
        <v>7</v>
      </c>
      <c r="J91" s="1119">
        <v>2004376</v>
      </c>
      <c r="K91" s="1119">
        <v>6101600</v>
      </c>
      <c r="L91" s="1119"/>
      <c r="M91" s="1171">
        <v>40353</v>
      </c>
      <c r="N91" s="1196">
        <v>5856974</v>
      </c>
      <c r="O91" s="1196">
        <v>1932801</v>
      </c>
      <c r="P91" s="1196">
        <v>71575</v>
      </c>
      <c r="Q91" s="1119">
        <v>1932801</v>
      </c>
      <c r="R91" s="1119"/>
      <c r="S91" s="1076"/>
      <c r="T91" s="1123" t="s">
        <v>950</v>
      </c>
      <c r="U91" s="1215">
        <v>2342790</v>
      </c>
      <c r="V91" s="1171">
        <v>40388</v>
      </c>
      <c r="W91" s="1215" t="s">
        <v>7</v>
      </c>
      <c r="X91" s="1084">
        <v>5856974</v>
      </c>
      <c r="Y91" s="1084"/>
      <c r="Z91" s="1084">
        <v>0</v>
      </c>
      <c r="AA91" s="1119">
        <v>-1498094.47</v>
      </c>
      <c r="AB91" s="1119">
        <v>0</v>
      </c>
      <c r="AC91" s="1119">
        <v>71575</v>
      </c>
      <c r="AD91" s="1119">
        <v>0</v>
      </c>
      <c r="AE91" s="1119">
        <v>0</v>
      </c>
      <c r="AF91" s="1204"/>
      <c r="AG91" s="1204"/>
      <c r="AH91" s="1204"/>
      <c r="AI91" s="1204"/>
    </row>
    <row r="92" spans="1:35" ht="15" customHeight="1">
      <c r="A92" s="1076"/>
      <c r="B92" s="1076"/>
      <c r="C92" s="1076"/>
      <c r="D92" s="1076"/>
      <c r="E92" s="1076"/>
      <c r="F92" s="1076"/>
      <c r="G92" s="1076"/>
      <c r="H92" s="1251"/>
      <c r="I92" s="1123"/>
      <c r="J92" s="1119"/>
      <c r="K92" s="1119"/>
      <c r="L92" s="1119"/>
      <c r="M92" s="1171"/>
      <c r="N92" s="1196"/>
      <c r="O92" s="1196"/>
      <c r="P92" s="1196"/>
      <c r="Q92" s="1119"/>
      <c r="R92" s="1119"/>
      <c r="S92" s="1076"/>
      <c r="T92" s="1123"/>
      <c r="U92" s="1215"/>
      <c r="V92" s="1171"/>
      <c r="W92" s="1215"/>
      <c r="X92" s="1084"/>
      <c r="Y92" s="1084"/>
      <c r="Z92" s="1084"/>
      <c r="AA92" s="1119"/>
      <c r="AB92" s="1119"/>
      <c r="AC92" s="1119"/>
      <c r="AD92" s="1119"/>
      <c r="AE92" s="1119"/>
      <c r="AF92" s="1204"/>
      <c r="AG92" s="1204"/>
      <c r="AH92" s="1204"/>
      <c r="AI92" s="1204"/>
    </row>
    <row r="93" spans="1:35" ht="15" customHeight="1">
      <c r="A93" s="1076"/>
      <c r="B93" s="1076"/>
      <c r="C93" s="1076"/>
      <c r="D93" s="1076"/>
      <c r="E93" s="1076"/>
      <c r="F93" s="1076"/>
      <c r="G93" s="1076"/>
      <c r="H93" s="1251"/>
      <c r="I93" s="1123"/>
      <c r="J93" s="1119"/>
      <c r="K93" s="1119"/>
      <c r="L93" s="1119"/>
      <c r="M93" s="1171"/>
      <c r="N93" s="1196"/>
      <c r="O93" s="1196"/>
      <c r="P93" s="1196"/>
      <c r="Q93" s="1119"/>
      <c r="R93" s="1119"/>
      <c r="S93" s="1076"/>
      <c r="T93" s="1123" t="s">
        <v>952</v>
      </c>
      <c r="U93" s="866">
        <v>1159680.47</v>
      </c>
      <c r="V93" s="1171">
        <v>42023</v>
      </c>
      <c r="W93" s="866" t="s">
        <v>7</v>
      </c>
      <c r="X93" s="1084"/>
      <c r="Y93" s="1084"/>
      <c r="Z93" s="827">
        <v>0</v>
      </c>
      <c r="AA93" s="1119"/>
      <c r="AB93" s="1119"/>
      <c r="AC93" s="1119"/>
      <c r="AD93" s="1119"/>
      <c r="AE93" s="1119"/>
      <c r="AF93" s="1204"/>
      <c r="AG93" s="1204"/>
      <c r="AH93" s="1204"/>
      <c r="AI93" s="1204"/>
    </row>
    <row r="94" spans="1:35" ht="15" customHeight="1">
      <c r="A94" s="1076"/>
      <c r="B94" s="1076"/>
      <c r="C94" s="1076"/>
      <c r="D94" s="1076"/>
      <c r="E94" s="1076"/>
      <c r="F94" s="1076"/>
      <c r="G94" s="1076"/>
      <c r="H94" s="1251"/>
      <c r="I94" s="840" t="s">
        <v>137</v>
      </c>
      <c r="J94" s="858">
        <v>4097224</v>
      </c>
      <c r="K94" s="1119"/>
      <c r="L94" s="1119"/>
      <c r="M94" s="1171"/>
      <c r="N94" s="1196"/>
      <c r="O94" s="858">
        <v>3924173</v>
      </c>
      <c r="P94" s="858">
        <v>173051</v>
      </c>
      <c r="Q94" s="858">
        <v>3924173</v>
      </c>
      <c r="R94" s="1119"/>
      <c r="S94" s="1076"/>
      <c r="T94" s="1123"/>
      <c r="U94" s="866">
        <v>2354503.5299999998</v>
      </c>
      <c r="V94" s="1171"/>
      <c r="W94" s="866" t="s">
        <v>137</v>
      </c>
      <c r="X94" s="1084"/>
      <c r="Y94" s="1084"/>
      <c r="Z94" s="827">
        <v>0</v>
      </c>
      <c r="AA94" s="827">
        <v>1742720.4700000002</v>
      </c>
      <c r="AB94" s="1119"/>
      <c r="AC94" s="858">
        <v>173051</v>
      </c>
      <c r="AD94" s="1119"/>
      <c r="AE94" s="1119"/>
      <c r="AF94" s="1204"/>
      <c r="AG94" s="1204"/>
      <c r="AH94" s="1204"/>
      <c r="AI94" s="1204"/>
    </row>
    <row r="95" spans="1:35" s="4" customFormat="1" ht="15" customHeight="1">
      <c r="A95" s="1076" t="s">
        <v>270</v>
      </c>
      <c r="B95" s="1076" t="s">
        <v>271</v>
      </c>
      <c r="C95" s="1076" t="s">
        <v>70</v>
      </c>
      <c r="D95" s="1076" t="s">
        <v>177</v>
      </c>
      <c r="E95" s="1076" t="s">
        <v>66</v>
      </c>
      <c r="F95" s="1076" t="s">
        <v>183</v>
      </c>
      <c r="G95" s="1076" t="s">
        <v>278</v>
      </c>
      <c r="H95" s="1318">
        <v>37</v>
      </c>
      <c r="I95" s="1076" t="s">
        <v>7</v>
      </c>
      <c r="J95" s="1119">
        <v>3823937</v>
      </c>
      <c r="K95" s="1119">
        <v>11640600</v>
      </c>
      <c r="L95" s="1119">
        <v>23832223</v>
      </c>
      <c r="M95" s="1171">
        <v>40353</v>
      </c>
      <c r="N95" s="862"/>
      <c r="O95" s="858"/>
      <c r="P95" s="858"/>
      <c r="Q95" s="1119">
        <v>3823937</v>
      </c>
      <c r="R95" s="1119">
        <v>23832084</v>
      </c>
      <c r="S95" s="1076" t="s">
        <v>273</v>
      </c>
      <c r="T95" s="840" t="s">
        <v>275</v>
      </c>
      <c r="U95" s="56">
        <v>4656240</v>
      </c>
      <c r="V95" s="855">
        <v>40382</v>
      </c>
      <c r="W95" s="56"/>
      <c r="X95" s="1315">
        <v>11640459.26</v>
      </c>
      <c r="Y95" s="1315">
        <v>23832082.260000002</v>
      </c>
      <c r="Z95" s="1315">
        <v>0</v>
      </c>
      <c r="AA95" s="1315">
        <v>-3126561.8</v>
      </c>
      <c r="AB95" s="1119">
        <v>1.7400000020861626</v>
      </c>
      <c r="AC95" s="1119">
        <v>0</v>
      </c>
      <c r="AD95" s="1119">
        <v>0</v>
      </c>
      <c r="AE95" s="1119">
        <v>0</v>
      </c>
      <c r="AF95" s="1203"/>
      <c r="AG95" s="1204" t="s">
        <v>332</v>
      </c>
      <c r="AH95" s="1204" t="s">
        <v>194</v>
      </c>
      <c r="AI95" s="1204" t="s">
        <v>342</v>
      </c>
    </row>
    <row r="96" spans="1:35" s="4" customFormat="1" ht="15" customHeight="1">
      <c r="A96" s="1076"/>
      <c r="B96" s="1076"/>
      <c r="C96" s="1076"/>
      <c r="D96" s="1076"/>
      <c r="E96" s="1076"/>
      <c r="F96" s="1076"/>
      <c r="G96" s="1076"/>
      <c r="H96" s="1318"/>
      <c r="I96" s="1076"/>
      <c r="J96" s="1119"/>
      <c r="K96" s="1119"/>
      <c r="L96" s="1119"/>
      <c r="M96" s="1171"/>
      <c r="N96" s="862"/>
      <c r="O96" s="858"/>
      <c r="P96" s="858"/>
      <c r="Q96" s="1119"/>
      <c r="R96" s="1119"/>
      <c r="S96" s="1076"/>
      <c r="T96" s="1123" t="s">
        <v>274</v>
      </c>
      <c r="U96" s="56">
        <v>1555653.8</v>
      </c>
      <c r="V96" s="855">
        <v>41996</v>
      </c>
      <c r="W96" s="56"/>
      <c r="X96" s="1315"/>
      <c r="Y96" s="1315"/>
      <c r="Z96" s="1315"/>
      <c r="AA96" s="1315"/>
      <c r="AB96" s="1119"/>
      <c r="AC96" s="1119"/>
      <c r="AD96" s="1119"/>
      <c r="AE96" s="1119"/>
      <c r="AF96" s="1203"/>
      <c r="AG96" s="1204"/>
      <c r="AH96" s="1204"/>
      <c r="AI96" s="1204"/>
    </row>
    <row r="97" spans="1:35" s="4" customFormat="1" ht="15" customHeight="1">
      <c r="A97" s="1076"/>
      <c r="B97" s="1076"/>
      <c r="C97" s="1076"/>
      <c r="D97" s="1076"/>
      <c r="E97" s="1076"/>
      <c r="F97" s="1076"/>
      <c r="G97" s="1076"/>
      <c r="H97" s="1318"/>
      <c r="I97" s="1076"/>
      <c r="J97" s="1119"/>
      <c r="K97" s="1119"/>
      <c r="L97" s="1119"/>
      <c r="M97" s="1171"/>
      <c r="N97" s="862"/>
      <c r="O97" s="858"/>
      <c r="P97" s="858"/>
      <c r="Q97" s="1119"/>
      <c r="R97" s="1119"/>
      <c r="S97" s="1076"/>
      <c r="T97" s="1123"/>
      <c r="U97" s="56">
        <v>738605</v>
      </c>
      <c r="V97" s="855">
        <v>41997</v>
      </c>
      <c r="W97" s="56"/>
      <c r="X97" s="1315"/>
      <c r="Y97" s="1315"/>
      <c r="Z97" s="1315"/>
      <c r="AA97" s="1315"/>
      <c r="AB97" s="1119"/>
      <c r="AC97" s="1119"/>
      <c r="AD97" s="1119"/>
      <c r="AE97" s="1119"/>
      <c r="AF97" s="1203"/>
      <c r="AG97" s="1204"/>
      <c r="AH97" s="1204"/>
      <c r="AI97" s="1204"/>
    </row>
    <row r="98" spans="1:35" s="4" customFormat="1" ht="15" customHeight="1">
      <c r="A98" s="1076"/>
      <c r="B98" s="1076"/>
      <c r="C98" s="1076"/>
      <c r="D98" s="1076"/>
      <c r="E98" s="1076"/>
      <c r="F98" s="1076"/>
      <c r="G98" s="1076"/>
      <c r="H98" s="1318"/>
      <c r="I98" s="1076" t="s">
        <v>137</v>
      </c>
      <c r="J98" s="1119">
        <v>7816663</v>
      </c>
      <c r="K98" s="1119"/>
      <c r="L98" s="1119"/>
      <c r="M98" s="1171"/>
      <c r="N98" s="862"/>
      <c r="O98" s="858"/>
      <c r="P98" s="858"/>
      <c r="Q98" s="1119">
        <v>7816524</v>
      </c>
      <c r="R98" s="1119"/>
      <c r="S98" s="1076"/>
      <c r="T98" s="1123"/>
      <c r="U98" s="56">
        <v>3180093.46</v>
      </c>
      <c r="V98" s="855">
        <v>41996</v>
      </c>
      <c r="W98" s="56"/>
      <c r="X98" s="1315"/>
      <c r="Y98" s="1315"/>
      <c r="Z98" s="1315"/>
      <c r="AA98" s="1315">
        <v>3126702.54</v>
      </c>
      <c r="AB98" s="1119"/>
      <c r="AC98" s="1119">
        <v>140.74000000208616</v>
      </c>
      <c r="AD98" s="1119"/>
      <c r="AE98" s="1324">
        <v>140.74000000208616</v>
      </c>
      <c r="AF98" s="1203"/>
      <c r="AG98" s="1204"/>
      <c r="AH98" s="1204"/>
      <c r="AI98" s="1204"/>
    </row>
    <row r="99" spans="1:35" s="4" customFormat="1" ht="15" customHeight="1">
      <c r="A99" s="1076"/>
      <c r="B99" s="1076"/>
      <c r="C99" s="1076"/>
      <c r="D99" s="1076"/>
      <c r="E99" s="1076"/>
      <c r="F99" s="1076"/>
      <c r="G99" s="1076"/>
      <c r="H99" s="1318"/>
      <c r="I99" s="1076"/>
      <c r="J99" s="1119"/>
      <c r="K99" s="1119"/>
      <c r="L99" s="1119"/>
      <c r="M99" s="1171"/>
      <c r="N99" s="862"/>
      <c r="O99" s="858"/>
      <c r="P99" s="858"/>
      <c r="Q99" s="1119"/>
      <c r="R99" s="1119"/>
      <c r="S99" s="1076"/>
      <c r="T99" s="1123"/>
      <c r="U99" s="56">
        <v>1509867</v>
      </c>
      <c r="V99" s="855">
        <v>41997</v>
      </c>
      <c r="W99" s="56"/>
      <c r="X99" s="1315"/>
      <c r="Y99" s="1315"/>
      <c r="Z99" s="1315"/>
      <c r="AA99" s="1315"/>
      <c r="AB99" s="1119"/>
      <c r="AC99" s="1119"/>
      <c r="AD99" s="1119"/>
      <c r="AE99" s="1324"/>
      <c r="AF99" s="1203"/>
      <c r="AG99" s="1204"/>
      <c r="AH99" s="1204"/>
      <c r="AI99" s="1204"/>
    </row>
    <row r="100" spans="1:35" s="4" customFormat="1" ht="15" customHeight="1">
      <c r="A100" s="1076"/>
      <c r="B100" s="1076"/>
      <c r="C100" s="1076"/>
      <c r="D100" s="1076"/>
      <c r="E100" s="1076"/>
      <c r="F100" s="1076"/>
      <c r="G100" s="1076"/>
      <c r="H100" s="1318">
        <v>36</v>
      </c>
      <c r="I100" s="1076" t="s">
        <v>7</v>
      </c>
      <c r="J100" s="1119">
        <v>2092980</v>
      </c>
      <c r="K100" s="1119">
        <v>6371323</v>
      </c>
      <c r="L100" s="1119"/>
      <c r="M100" s="1171">
        <v>40353</v>
      </c>
      <c r="N100" s="862"/>
      <c r="O100" s="858"/>
      <c r="P100" s="858"/>
      <c r="Q100" s="1119">
        <v>6371323</v>
      </c>
      <c r="R100" s="1119"/>
      <c r="S100" s="1076"/>
      <c r="T100" s="840" t="s">
        <v>275</v>
      </c>
      <c r="U100" s="56">
        <v>2548474</v>
      </c>
      <c r="V100" s="855">
        <v>40382</v>
      </c>
      <c r="W100" s="56"/>
      <c r="X100" s="1315">
        <v>6371323.0000000009</v>
      </c>
      <c r="Y100" s="1315"/>
      <c r="Z100" s="1315">
        <v>0</v>
      </c>
      <c r="AA100" s="1315">
        <v>-1711300.1300000004</v>
      </c>
      <c r="AB100" s="1119"/>
      <c r="AC100" s="1119">
        <v>0</v>
      </c>
      <c r="AD100" s="1119">
        <v>0</v>
      </c>
      <c r="AE100" s="1119">
        <v>0</v>
      </c>
      <c r="AF100" s="1203"/>
      <c r="AG100" s="1204"/>
      <c r="AH100" s="1204"/>
      <c r="AI100" s="1204"/>
    </row>
    <row r="101" spans="1:35" s="4" customFormat="1" ht="15" customHeight="1">
      <c r="A101" s="1076"/>
      <c r="B101" s="1076"/>
      <c r="C101" s="1076"/>
      <c r="D101" s="1076"/>
      <c r="E101" s="1076"/>
      <c r="F101" s="1076"/>
      <c r="G101" s="1076"/>
      <c r="H101" s="1318"/>
      <c r="I101" s="1076"/>
      <c r="J101" s="1119"/>
      <c r="K101" s="1119"/>
      <c r="L101" s="1119"/>
      <c r="M101" s="1171"/>
      <c r="N101" s="862"/>
      <c r="O101" s="858"/>
      <c r="P101" s="858"/>
      <c r="Q101" s="1119"/>
      <c r="R101" s="1119"/>
      <c r="S101" s="1076"/>
      <c r="T101" s="1123" t="s">
        <v>276</v>
      </c>
      <c r="U101" s="56">
        <v>851526.03</v>
      </c>
      <c r="V101" s="855">
        <v>41996</v>
      </c>
      <c r="W101" s="56"/>
      <c r="X101" s="1315"/>
      <c r="Y101" s="1315"/>
      <c r="Z101" s="1315"/>
      <c r="AA101" s="1315"/>
      <c r="AB101" s="1119"/>
      <c r="AC101" s="1119"/>
      <c r="AD101" s="1119"/>
      <c r="AE101" s="1119"/>
      <c r="AF101" s="1203"/>
      <c r="AG101" s="1204"/>
      <c r="AH101" s="1204"/>
      <c r="AI101" s="1204"/>
    </row>
    <row r="102" spans="1:35" s="4" customFormat="1" ht="15" customHeight="1">
      <c r="A102" s="1076"/>
      <c r="B102" s="1076"/>
      <c r="C102" s="1076"/>
      <c r="D102" s="1076"/>
      <c r="E102" s="1076"/>
      <c r="F102" s="1076"/>
      <c r="G102" s="1076"/>
      <c r="H102" s="1318"/>
      <c r="I102" s="1076"/>
      <c r="J102" s="1119"/>
      <c r="K102" s="1119"/>
      <c r="L102" s="1119"/>
      <c r="M102" s="1171"/>
      <c r="N102" s="862"/>
      <c r="O102" s="858"/>
      <c r="P102" s="858"/>
      <c r="Q102" s="1119"/>
      <c r="R102" s="1119"/>
      <c r="S102" s="1076"/>
      <c r="T102" s="1123"/>
      <c r="U102" s="56">
        <v>404280.1</v>
      </c>
      <c r="V102" s="855">
        <v>41997</v>
      </c>
      <c r="W102" s="56"/>
      <c r="X102" s="1315"/>
      <c r="Y102" s="1315"/>
      <c r="Z102" s="1315"/>
      <c r="AA102" s="1315"/>
      <c r="AB102" s="1119"/>
      <c r="AC102" s="1119"/>
      <c r="AD102" s="1119"/>
      <c r="AE102" s="1119"/>
      <c r="AF102" s="1203"/>
      <c r="AG102" s="1204"/>
      <c r="AH102" s="1204"/>
      <c r="AI102" s="1204"/>
    </row>
    <row r="103" spans="1:35" s="4" customFormat="1" ht="15" customHeight="1">
      <c r="A103" s="1076"/>
      <c r="B103" s="1076"/>
      <c r="C103" s="1076"/>
      <c r="D103" s="1076"/>
      <c r="E103" s="1076"/>
      <c r="F103" s="1076"/>
      <c r="G103" s="1076"/>
      <c r="H103" s="1318"/>
      <c r="I103" s="1076" t="s">
        <v>137</v>
      </c>
      <c r="J103" s="1119">
        <v>4278343</v>
      </c>
      <c r="K103" s="1119"/>
      <c r="L103" s="1119"/>
      <c r="M103" s="1171"/>
      <c r="N103" s="862"/>
      <c r="O103" s="858"/>
      <c r="P103" s="858"/>
      <c r="Q103" s="1119"/>
      <c r="R103" s="1119"/>
      <c r="S103" s="1076"/>
      <c r="T103" s="1123"/>
      <c r="U103" s="56">
        <v>1740637.97</v>
      </c>
      <c r="V103" s="855">
        <v>41996</v>
      </c>
      <c r="W103" s="56"/>
      <c r="X103" s="1315"/>
      <c r="Y103" s="1315"/>
      <c r="Z103" s="1315"/>
      <c r="AA103" s="1315">
        <v>1711300.13</v>
      </c>
      <c r="AB103" s="1119"/>
      <c r="AC103" s="1119"/>
      <c r="AD103" s="1119"/>
      <c r="AE103" s="1119"/>
      <c r="AF103" s="1203"/>
      <c r="AG103" s="1204"/>
      <c r="AH103" s="1204"/>
      <c r="AI103" s="1204"/>
    </row>
    <row r="104" spans="1:35" s="4" customFormat="1" ht="15" customHeight="1">
      <c r="A104" s="1076"/>
      <c r="B104" s="1076"/>
      <c r="C104" s="1076"/>
      <c r="D104" s="1076"/>
      <c r="E104" s="1076"/>
      <c r="F104" s="1076"/>
      <c r="G104" s="1076"/>
      <c r="H104" s="1318"/>
      <c r="I104" s="1076"/>
      <c r="J104" s="1119"/>
      <c r="K104" s="1119"/>
      <c r="L104" s="1119"/>
      <c r="M104" s="1171"/>
      <c r="N104" s="862"/>
      <c r="O104" s="858"/>
      <c r="P104" s="858"/>
      <c r="Q104" s="1119"/>
      <c r="R104" s="1119"/>
      <c r="S104" s="1076"/>
      <c r="T104" s="1123"/>
      <c r="U104" s="56">
        <v>826404.9</v>
      </c>
      <c r="V104" s="855">
        <v>41997</v>
      </c>
      <c r="W104" s="56"/>
      <c r="X104" s="1315"/>
      <c r="Y104" s="1315"/>
      <c r="Z104" s="1315"/>
      <c r="AA104" s="1315"/>
      <c r="AB104" s="1119"/>
      <c r="AC104" s="1119"/>
      <c r="AD104" s="1119"/>
      <c r="AE104" s="1119"/>
      <c r="AF104" s="1203"/>
      <c r="AG104" s="1204"/>
      <c r="AH104" s="1204"/>
      <c r="AI104" s="1204"/>
    </row>
    <row r="105" spans="1:35" s="4" customFormat="1" ht="15" customHeight="1">
      <c r="A105" s="1076"/>
      <c r="B105" s="1076"/>
      <c r="C105" s="1076"/>
      <c r="D105" s="1076"/>
      <c r="E105" s="1076" t="s">
        <v>67</v>
      </c>
      <c r="F105" s="1076"/>
      <c r="G105" s="1076"/>
      <c r="H105" s="1318">
        <v>165</v>
      </c>
      <c r="I105" s="1076" t="s">
        <v>7</v>
      </c>
      <c r="J105" s="1119">
        <v>5820300</v>
      </c>
      <c r="K105" s="1119">
        <v>5820300</v>
      </c>
      <c r="L105" s="1119"/>
      <c r="M105" s="1171">
        <v>40701</v>
      </c>
      <c r="N105" s="862"/>
      <c r="O105" s="858"/>
      <c r="P105" s="858"/>
      <c r="Q105" s="1119">
        <v>5820300</v>
      </c>
      <c r="R105" s="1119"/>
      <c r="S105" s="1076"/>
      <c r="T105" s="1123" t="s">
        <v>277</v>
      </c>
      <c r="U105" s="56">
        <v>4779440</v>
      </c>
      <c r="V105" s="855">
        <v>41996</v>
      </c>
      <c r="W105" s="56"/>
      <c r="X105" s="1315">
        <v>5820300</v>
      </c>
      <c r="Y105" s="1315"/>
      <c r="Z105" s="1315">
        <v>0</v>
      </c>
      <c r="AA105" s="1315">
        <v>0</v>
      </c>
      <c r="AB105" s="1119"/>
      <c r="AC105" s="1119">
        <v>0</v>
      </c>
      <c r="AD105" s="1119">
        <v>0</v>
      </c>
      <c r="AE105" s="1119">
        <v>0</v>
      </c>
      <c r="AF105" s="1203"/>
      <c r="AG105" s="1204"/>
      <c r="AH105" s="1204"/>
      <c r="AI105" s="1204"/>
    </row>
    <row r="106" spans="1:35" s="4" customFormat="1" ht="15" customHeight="1">
      <c r="A106" s="1076"/>
      <c r="B106" s="1076"/>
      <c r="C106" s="1076"/>
      <c r="D106" s="1076"/>
      <c r="E106" s="1076"/>
      <c r="F106" s="1076"/>
      <c r="G106" s="1076"/>
      <c r="H106" s="1318"/>
      <c r="I106" s="1076"/>
      <c r="J106" s="1119"/>
      <c r="K106" s="1119"/>
      <c r="L106" s="1119"/>
      <c r="M106" s="1171"/>
      <c r="N106" s="862"/>
      <c r="O106" s="858"/>
      <c r="P106" s="858"/>
      <c r="Q106" s="1119"/>
      <c r="R106" s="1119"/>
      <c r="S106" s="1076"/>
      <c r="T106" s="1123"/>
      <c r="U106" s="56">
        <v>1040860</v>
      </c>
      <c r="V106" s="855">
        <v>41997</v>
      </c>
      <c r="W106" s="56"/>
      <c r="X106" s="1315"/>
      <c r="Y106" s="1315"/>
      <c r="Z106" s="1315"/>
      <c r="AA106" s="1315"/>
      <c r="AB106" s="1119"/>
      <c r="AC106" s="1119"/>
      <c r="AD106" s="1119"/>
      <c r="AE106" s="1119"/>
      <c r="AF106" s="1203"/>
      <c r="AG106" s="1204"/>
      <c r="AH106" s="1204"/>
      <c r="AI106" s="1204"/>
    </row>
    <row r="107" spans="1:35" s="4" customFormat="1" ht="15" customHeight="1">
      <c r="A107" s="1076" t="s">
        <v>279</v>
      </c>
      <c r="B107" s="1076" t="s">
        <v>281</v>
      </c>
      <c r="C107" s="1076" t="s">
        <v>70</v>
      </c>
      <c r="D107" s="1076" t="s">
        <v>177</v>
      </c>
      <c r="E107" s="1076" t="s">
        <v>66</v>
      </c>
      <c r="F107" s="1076" t="s">
        <v>183</v>
      </c>
      <c r="G107" s="1076" t="s">
        <v>289</v>
      </c>
      <c r="H107" s="1318">
        <v>38</v>
      </c>
      <c r="I107" s="1076" t="s">
        <v>7</v>
      </c>
      <c r="J107" s="1119">
        <v>5418673</v>
      </c>
      <c r="K107" s="1119">
        <v>16495200</v>
      </c>
      <c r="L107" s="1119">
        <v>16495200</v>
      </c>
      <c r="M107" s="1171">
        <v>40353</v>
      </c>
      <c r="N107" s="862"/>
      <c r="O107" s="858"/>
      <c r="P107" s="858"/>
      <c r="Q107" s="1119">
        <v>16495200</v>
      </c>
      <c r="R107" s="1119">
        <v>16495200</v>
      </c>
      <c r="S107" s="1076" t="s">
        <v>282</v>
      </c>
      <c r="T107" s="1123" t="s">
        <v>283</v>
      </c>
      <c r="U107" s="56">
        <v>4430611</v>
      </c>
      <c r="V107" s="1171">
        <v>40382</v>
      </c>
      <c r="W107" s="56"/>
      <c r="X107" s="1315">
        <v>16495200.000000002</v>
      </c>
      <c r="Y107" s="1315">
        <v>16495200.000000002</v>
      </c>
      <c r="Z107" s="1315">
        <v>0</v>
      </c>
      <c r="AA107" s="1315">
        <v>-6821260.4400000004</v>
      </c>
      <c r="AB107" s="1119">
        <v>0</v>
      </c>
      <c r="AC107" s="1119">
        <v>0</v>
      </c>
      <c r="AD107" s="1119">
        <v>0</v>
      </c>
      <c r="AE107" s="1119">
        <v>0</v>
      </c>
      <c r="AF107" s="1203"/>
      <c r="AG107" s="1204" t="s">
        <v>333</v>
      </c>
      <c r="AH107" s="1204" t="s">
        <v>194</v>
      </c>
      <c r="AI107" s="1204" t="s">
        <v>342</v>
      </c>
    </row>
    <row r="108" spans="1:35" s="4" customFormat="1" ht="15" customHeight="1">
      <c r="A108" s="1076"/>
      <c r="B108" s="1076"/>
      <c r="C108" s="1076"/>
      <c r="D108" s="1076"/>
      <c r="E108" s="1076"/>
      <c r="F108" s="1076"/>
      <c r="G108" s="1076"/>
      <c r="H108" s="1318"/>
      <c r="I108" s="1076"/>
      <c r="J108" s="1119"/>
      <c r="K108" s="1119"/>
      <c r="L108" s="1119"/>
      <c r="M108" s="1171"/>
      <c r="N108" s="862"/>
      <c r="O108" s="858"/>
      <c r="P108" s="858"/>
      <c r="Q108" s="1119"/>
      <c r="R108" s="1119"/>
      <c r="S108" s="1076"/>
      <c r="T108" s="1123"/>
      <c r="U108" s="56">
        <v>2167469</v>
      </c>
      <c r="V108" s="1171"/>
      <c r="W108" s="56"/>
      <c r="X108" s="1315"/>
      <c r="Y108" s="1315"/>
      <c r="Z108" s="1315"/>
      <c r="AA108" s="1315"/>
      <c r="AB108" s="1119"/>
      <c r="AC108" s="1119"/>
      <c r="AD108" s="1119"/>
      <c r="AE108" s="1119"/>
      <c r="AF108" s="1203"/>
      <c r="AG108" s="1204"/>
      <c r="AH108" s="1204"/>
      <c r="AI108" s="1204"/>
    </row>
    <row r="109" spans="1:35" s="4" customFormat="1" ht="15" customHeight="1">
      <c r="A109" s="1076"/>
      <c r="B109" s="1076"/>
      <c r="C109" s="1076"/>
      <c r="D109" s="1076"/>
      <c r="E109" s="1076"/>
      <c r="F109" s="1076"/>
      <c r="G109" s="1076"/>
      <c r="H109" s="1318"/>
      <c r="I109" s="1076"/>
      <c r="J109" s="1119"/>
      <c r="K109" s="1119"/>
      <c r="L109" s="1119"/>
      <c r="M109" s="1171"/>
      <c r="N109" s="862"/>
      <c r="O109" s="858"/>
      <c r="P109" s="858"/>
      <c r="Q109" s="1119"/>
      <c r="R109" s="1119"/>
      <c r="S109" s="1076"/>
      <c r="T109" s="1123" t="s">
        <v>286</v>
      </c>
      <c r="U109" s="56">
        <v>4652141.4400000004</v>
      </c>
      <c r="V109" s="1171">
        <v>40548</v>
      </c>
      <c r="W109" s="56"/>
      <c r="X109" s="1315"/>
      <c r="Y109" s="1315"/>
      <c r="Z109" s="1315"/>
      <c r="AA109" s="1315"/>
      <c r="AB109" s="1119"/>
      <c r="AC109" s="1119"/>
      <c r="AD109" s="1119"/>
      <c r="AE109" s="1119"/>
      <c r="AF109" s="1203"/>
      <c r="AG109" s="1204"/>
      <c r="AH109" s="1204"/>
      <c r="AI109" s="1204"/>
    </row>
    <row r="110" spans="1:35" s="4" customFormat="1" ht="15" customHeight="1">
      <c r="A110" s="1076"/>
      <c r="B110" s="1076"/>
      <c r="C110" s="1076"/>
      <c r="D110" s="1076"/>
      <c r="E110" s="1076"/>
      <c r="F110" s="1076"/>
      <c r="G110" s="1076"/>
      <c r="H110" s="1318"/>
      <c r="I110" s="1076"/>
      <c r="J110" s="1119"/>
      <c r="K110" s="1119"/>
      <c r="L110" s="1119"/>
      <c r="M110" s="1171"/>
      <c r="N110" s="862"/>
      <c r="O110" s="858"/>
      <c r="P110" s="858"/>
      <c r="Q110" s="1119"/>
      <c r="R110" s="1119"/>
      <c r="S110" s="1076"/>
      <c r="T110" s="1123"/>
      <c r="U110" s="56">
        <v>2275842.56</v>
      </c>
      <c r="V110" s="1171"/>
      <c r="W110" s="56"/>
      <c r="X110" s="1315"/>
      <c r="Y110" s="1315"/>
      <c r="Z110" s="1315"/>
      <c r="AA110" s="1315"/>
      <c r="AB110" s="1119"/>
      <c r="AC110" s="1119"/>
      <c r="AD110" s="1119"/>
      <c r="AE110" s="1119"/>
      <c r="AF110" s="1203"/>
      <c r="AG110" s="1204"/>
      <c r="AH110" s="1204"/>
      <c r="AI110" s="1204"/>
    </row>
    <row r="111" spans="1:35" s="4" customFormat="1" ht="15" customHeight="1">
      <c r="A111" s="1076"/>
      <c r="B111" s="1076"/>
      <c r="C111" s="1076"/>
      <c r="D111" s="1076"/>
      <c r="E111" s="1076"/>
      <c r="F111" s="1076"/>
      <c r="G111" s="1076"/>
      <c r="H111" s="1318"/>
      <c r="I111" s="1076" t="s">
        <v>137</v>
      </c>
      <c r="J111" s="1119">
        <v>11076527</v>
      </c>
      <c r="K111" s="1119"/>
      <c r="L111" s="1119"/>
      <c r="M111" s="1171"/>
      <c r="N111" s="862"/>
      <c r="O111" s="858"/>
      <c r="P111" s="858"/>
      <c r="Q111" s="1119"/>
      <c r="R111" s="1119"/>
      <c r="S111" s="1076"/>
      <c r="T111" s="1123" t="s">
        <v>287</v>
      </c>
      <c r="U111" s="56">
        <v>1329262.23</v>
      </c>
      <c r="V111" s="1171">
        <v>40889</v>
      </c>
      <c r="W111" s="56"/>
      <c r="X111" s="1315"/>
      <c r="Y111" s="1315"/>
      <c r="Z111" s="1315"/>
      <c r="AA111" s="1315">
        <v>6821260.4399999995</v>
      </c>
      <c r="AB111" s="1119"/>
      <c r="AC111" s="1119"/>
      <c r="AD111" s="1119"/>
      <c r="AE111" s="1119"/>
      <c r="AF111" s="1203"/>
      <c r="AG111" s="1204"/>
      <c r="AH111" s="1204"/>
      <c r="AI111" s="1204"/>
    </row>
    <row r="112" spans="1:35" s="4" customFormat="1" ht="15" customHeight="1">
      <c r="A112" s="1076"/>
      <c r="B112" s="1076"/>
      <c r="C112" s="1076"/>
      <c r="D112" s="1076"/>
      <c r="E112" s="1076"/>
      <c r="F112" s="1076"/>
      <c r="G112" s="1076"/>
      <c r="H112" s="1318"/>
      <c r="I112" s="1076"/>
      <c r="J112" s="1119"/>
      <c r="K112" s="1119"/>
      <c r="L112" s="1119"/>
      <c r="M112" s="1171"/>
      <c r="N112" s="862"/>
      <c r="O112" s="858"/>
      <c r="P112" s="858"/>
      <c r="Q112" s="1119"/>
      <c r="R112" s="1119"/>
      <c r="S112" s="1076"/>
      <c r="T112" s="1123"/>
      <c r="U112" s="56">
        <v>650161.77</v>
      </c>
      <c r="V112" s="1171"/>
      <c r="W112" s="56"/>
      <c r="X112" s="1315"/>
      <c r="Y112" s="1315"/>
      <c r="Z112" s="1315"/>
      <c r="AA112" s="1315"/>
      <c r="AB112" s="1119"/>
      <c r="AC112" s="1119"/>
      <c r="AD112" s="1119"/>
      <c r="AE112" s="1119"/>
      <c r="AF112" s="1203"/>
      <c r="AG112" s="1204"/>
      <c r="AH112" s="1204"/>
      <c r="AI112" s="1204"/>
    </row>
    <row r="113" spans="1:36" s="4" customFormat="1" ht="15" customHeight="1">
      <c r="A113" s="1076"/>
      <c r="B113" s="1076"/>
      <c r="C113" s="1076"/>
      <c r="D113" s="1076"/>
      <c r="E113" s="1076"/>
      <c r="F113" s="1076"/>
      <c r="G113" s="1076"/>
      <c r="H113" s="1318"/>
      <c r="I113" s="1076"/>
      <c r="J113" s="1119"/>
      <c r="K113" s="1119"/>
      <c r="L113" s="1119"/>
      <c r="M113" s="1171"/>
      <c r="N113" s="862"/>
      <c r="O113" s="858"/>
      <c r="P113" s="858"/>
      <c r="Q113" s="1119"/>
      <c r="R113" s="1119"/>
      <c r="S113" s="1076"/>
      <c r="T113" s="1123" t="s">
        <v>288</v>
      </c>
      <c r="U113" s="56">
        <v>664631</v>
      </c>
      <c r="V113" s="1171">
        <v>41031</v>
      </c>
      <c r="W113" s="56"/>
      <c r="X113" s="1315"/>
      <c r="Y113" s="1315"/>
      <c r="Z113" s="1315"/>
      <c r="AA113" s="1315"/>
      <c r="AB113" s="1119"/>
      <c r="AC113" s="1119"/>
      <c r="AD113" s="1119"/>
      <c r="AE113" s="1119"/>
      <c r="AF113" s="1203"/>
      <c r="AG113" s="1204"/>
      <c r="AH113" s="1204"/>
      <c r="AI113" s="1204"/>
    </row>
    <row r="114" spans="1:36" s="4" customFormat="1" ht="15" customHeight="1">
      <c r="A114" s="1076"/>
      <c r="B114" s="1076"/>
      <c r="C114" s="1076"/>
      <c r="D114" s="1076"/>
      <c r="E114" s="1076"/>
      <c r="F114" s="1076"/>
      <c r="G114" s="1076"/>
      <c r="H114" s="1318"/>
      <c r="I114" s="1076"/>
      <c r="J114" s="1119"/>
      <c r="K114" s="1119"/>
      <c r="L114" s="1119"/>
      <c r="M114" s="1171"/>
      <c r="N114" s="862"/>
      <c r="O114" s="858"/>
      <c r="P114" s="858"/>
      <c r="Q114" s="1119"/>
      <c r="R114" s="1119"/>
      <c r="S114" s="1076"/>
      <c r="T114" s="1123"/>
      <c r="U114" s="56">
        <v>325081</v>
      </c>
      <c r="V114" s="1171"/>
      <c r="W114" s="56"/>
      <c r="X114" s="1315"/>
      <c r="Y114" s="1315"/>
      <c r="Z114" s="1315"/>
      <c r="AA114" s="1315"/>
      <c r="AB114" s="1119"/>
      <c r="AC114" s="1119"/>
      <c r="AD114" s="1119"/>
      <c r="AE114" s="1119"/>
      <c r="AF114" s="1203"/>
      <c r="AG114" s="1204"/>
      <c r="AH114" s="1204"/>
      <c r="AI114" s="1204"/>
    </row>
    <row r="115" spans="1:36" s="4" customFormat="1" ht="15" customHeight="1">
      <c r="A115" s="1076" t="s">
        <v>290</v>
      </c>
      <c r="B115" s="1076" t="s">
        <v>292</v>
      </c>
      <c r="C115" s="1076" t="s">
        <v>70</v>
      </c>
      <c r="D115" s="1076" t="s">
        <v>177</v>
      </c>
      <c r="E115" s="1076" t="s">
        <v>66</v>
      </c>
      <c r="F115" s="1076" t="s">
        <v>250</v>
      </c>
      <c r="G115" s="1076" t="s">
        <v>295</v>
      </c>
      <c r="H115" s="1318">
        <v>40</v>
      </c>
      <c r="I115" s="1076" t="s">
        <v>7</v>
      </c>
      <c r="J115" s="1119">
        <v>3732549</v>
      </c>
      <c r="K115" s="1119">
        <v>11362401</v>
      </c>
      <c r="L115" s="1119">
        <v>17032365</v>
      </c>
      <c r="M115" s="1171">
        <v>40353</v>
      </c>
      <c r="N115" s="862"/>
      <c r="O115" s="858"/>
      <c r="P115" s="858"/>
      <c r="Q115" s="1119">
        <v>3732549</v>
      </c>
      <c r="R115" s="1119">
        <v>17009964</v>
      </c>
      <c r="S115" s="1076" t="s">
        <v>282</v>
      </c>
      <c r="T115" s="1123" t="s">
        <v>294</v>
      </c>
      <c r="U115" s="56">
        <v>1484060</v>
      </c>
      <c r="V115" s="1171">
        <v>40389</v>
      </c>
      <c r="W115" s="56"/>
      <c r="X115" s="1315">
        <v>10659601</v>
      </c>
      <c r="Y115" s="1315">
        <v>10659601</v>
      </c>
      <c r="Z115" s="1315">
        <v>0</v>
      </c>
      <c r="AA115" s="1084">
        <v>-2315979.62</v>
      </c>
      <c r="AB115" s="1119">
        <v>-453601</v>
      </c>
      <c r="AC115" s="1119">
        <v>0</v>
      </c>
      <c r="AD115" s="1119">
        <v>0</v>
      </c>
      <c r="AE115" s="1119">
        <v>0</v>
      </c>
      <c r="AF115" s="1203"/>
      <c r="AG115" s="1204" t="s">
        <v>334</v>
      </c>
      <c r="AH115" s="1204" t="s">
        <v>194</v>
      </c>
      <c r="AI115" s="1204" t="s">
        <v>342</v>
      </c>
      <c r="AJ115" s="1074" t="s">
        <v>2501</v>
      </c>
    </row>
    <row r="116" spans="1:36" s="4" customFormat="1" ht="15" customHeight="1">
      <c r="A116" s="1076"/>
      <c r="B116" s="1076"/>
      <c r="C116" s="1076"/>
      <c r="D116" s="1076"/>
      <c r="E116" s="1076"/>
      <c r="F116" s="1076"/>
      <c r="G116" s="1076"/>
      <c r="H116" s="1318"/>
      <c r="I116" s="1076"/>
      <c r="J116" s="1119"/>
      <c r="K116" s="1119"/>
      <c r="L116" s="1119"/>
      <c r="M116" s="1171"/>
      <c r="N116" s="862"/>
      <c r="O116" s="858"/>
      <c r="P116" s="858"/>
      <c r="Q116" s="1119"/>
      <c r="R116" s="1119"/>
      <c r="S116" s="1076"/>
      <c r="T116" s="1123"/>
      <c r="U116" s="56">
        <v>3051941</v>
      </c>
      <c r="V116" s="1171"/>
      <c r="W116" s="56"/>
      <c r="X116" s="1315"/>
      <c r="Y116" s="1315"/>
      <c r="Z116" s="1315"/>
      <c r="AA116" s="1084"/>
      <c r="AB116" s="1119"/>
      <c r="AC116" s="1119"/>
      <c r="AD116" s="1119"/>
      <c r="AE116" s="1119"/>
      <c r="AF116" s="1203"/>
      <c r="AG116" s="1204"/>
      <c r="AH116" s="1204"/>
      <c r="AI116" s="1204"/>
      <c r="AJ116" s="1074"/>
    </row>
    <row r="117" spans="1:36" s="4" customFormat="1" ht="15" customHeight="1">
      <c r="A117" s="1076"/>
      <c r="B117" s="1076"/>
      <c r="C117" s="1076"/>
      <c r="D117" s="1076"/>
      <c r="E117" s="1076"/>
      <c r="F117" s="1076"/>
      <c r="G117" s="1076"/>
      <c r="H117" s="1318"/>
      <c r="I117" s="1076" t="s">
        <v>137</v>
      </c>
      <c r="J117" s="1119">
        <v>7629852</v>
      </c>
      <c r="K117" s="1119"/>
      <c r="L117" s="1119"/>
      <c r="M117" s="1171"/>
      <c r="N117" s="862"/>
      <c r="O117" s="858"/>
      <c r="P117" s="858"/>
      <c r="Q117" s="1119">
        <v>7607451</v>
      </c>
      <c r="R117" s="1119"/>
      <c r="S117" s="1076"/>
      <c r="T117" s="1123" t="s">
        <v>253</v>
      </c>
      <c r="U117" s="56">
        <v>4564468.62</v>
      </c>
      <c r="V117" s="1171">
        <v>40547</v>
      </c>
      <c r="W117" s="56"/>
      <c r="X117" s="1315"/>
      <c r="Y117" s="1315"/>
      <c r="Z117" s="1315"/>
      <c r="AA117" s="1084">
        <v>3018779.62</v>
      </c>
      <c r="AB117" s="1119"/>
      <c r="AC117" s="1119">
        <v>22401</v>
      </c>
      <c r="AD117" s="1119">
        <v>680399</v>
      </c>
      <c r="AE117" s="1119">
        <v>702800</v>
      </c>
      <c r="AF117" s="1203"/>
      <c r="AG117" s="1204"/>
      <c r="AH117" s="1204"/>
      <c r="AI117" s="1204"/>
      <c r="AJ117" s="1074"/>
    </row>
    <row r="118" spans="1:36" s="4" customFormat="1" ht="15" customHeight="1">
      <c r="A118" s="1076"/>
      <c r="B118" s="1076"/>
      <c r="C118" s="1076"/>
      <c r="D118" s="1076"/>
      <c r="E118" s="1076"/>
      <c r="F118" s="1076"/>
      <c r="G118" s="1076"/>
      <c r="H118" s="1318"/>
      <c r="I118" s="1076"/>
      <c r="J118" s="1119"/>
      <c r="K118" s="1119"/>
      <c r="L118" s="1119"/>
      <c r="M118" s="1171"/>
      <c r="N118" s="862"/>
      <c r="O118" s="858"/>
      <c r="P118" s="858"/>
      <c r="Q118" s="1119"/>
      <c r="R118" s="1119"/>
      <c r="S118" s="1076"/>
      <c r="T118" s="1123"/>
      <c r="U118" s="56">
        <v>1559131.38</v>
      </c>
      <c r="V118" s="1171"/>
      <c r="W118" s="56"/>
      <c r="X118" s="1315"/>
      <c r="Y118" s="1315"/>
      <c r="Z118" s="1315"/>
      <c r="AA118" s="1084"/>
      <c r="AB118" s="1119"/>
      <c r="AC118" s="1119"/>
      <c r="AD118" s="1119"/>
      <c r="AE118" s="1119"/>
      <c r="AF118" s="1203"/>
      <c r="AG118" s="1204"/>
      <c r="AH118" s="1204"/>
      <c r="AI118" s="1204"/>
      <c r="AJ118" s="1074"/>
    </row>
    <row r="119" spans="1:36" s="4" customFormat="1" ht="15" customHeight="1">
      <c r="A119" s="1076"/>
      <c r="B119" s="1076"/>
      <c r="C119" s="1076"/>
      <c r="D119" s="1076"/>
      <c r="E119" s="823" t="s">
        <v>171</v>
      </c>
      <c r="F119" s="1076"/>
      <c r="G119" s="1076"/>
      <c r="H119" s="880">
        <v>158</v>
      </c>
      <c r="I119" s="823" t="s">
        <v>7</v>
      </c>
      <c r="J119" s="858">
        <v>5669964</v>
      </c>
      <c r="K119" s="858">
        <v>5669964</v>
      </c>
      <c r="L119" s="1119"/>
      <c r="M119" s="855">
        <v>40701</v>
      </c>
      <c r="N119" s="862"/>
      <c r="O119" s="858"/>
      <c r="P119" s="858"/>
      <c r="Q119" s="858">
        <v>5669964</v>
      </c>
      <c r="R119" s="1119"/>
      <c r="S119" s="1076"/>
      <c r="T119" s="840"/>
      <c r="U119" s="56">
        <v>0</v>
      </c>
      <c r="V119" s="855" t="s">
        <v>180</v>
      </c>
      <c r="W119" s="56"/>
      <c r="X119" s="884">
        <v>0</v>
      </c>
      <c r="Y119" s="1315"/>
      <c r="Z119" s="884">
        <v>0</v>
      </c>
      <c r="AA119" s="827">
        <v>0</v>
      </c>
      <c r="AB119" s="1119"/>
      <c r="AC119" s="858">
        <v>0</v>
      </c>
      <c r="AD119" s="858">
        <v>5669964</v>
      </c>
      <c r="AE119" s="858">
        <v>5669964</v>
      </c>
      <c r="AF119" s="1203"/>
      <c r="AG119" s="1204"/>
      <c r="AH119" s="1204"/>
      <c r="AI119" s="1204"/>
      <c r="AJ119" s="1074"/>
    </row>
    <row r="120" spans="1:36" s="10" customFormat="1" ht="15" customHeight="1">
      <c r="A120" s="1296" t="s">
        <v>808</v>
      </c>
      <c r="B120" s="1076" t="s">
        <v>350</v>
      </c>
      <c r="C120" s="1296" t="s">
        <v>70</v>
      </c>
      <c r="D120" s="1296" t="s">
        <v>373</v>
      </c>
      <c r="E120" s="1296" t="s">
        <v>66</v>
      </c>
      <c r="F120" s="1076" t="s">
        <v>348</v>
      </c>
      <c r="G120" s="1076" t="s">
        <v>374</v>
      </c>
      <c r="H120" s="1321">
        <v>39</v>
      </c>
      <c r="I120" s="1320" t="s">
        <v>7</v>
      </c>
      <c r="J120" s="1258">
        <v>2171749</v>
      </c>
      <c r="K120" s="1258">
        <v>6611107</v>
      </c>
      <c r="L120" s="1258">
        <v>22069620</v>
      </c>
      <c r="M120" s="1305"/>
      <c r="N120" s="1258">
        <v>6611107</v>
      </c>
      <c r="O120" s="1258">
        <v>2171749</v>
      </c>
      <c r="P120" s="1258">
        <v>0</v>
      </c>
      <c r="Q120" s="1258">
        <v>2171749</v>
      </c>
      <c r="R120" s="1258">
        <v>22005200</v>
      </c>
      <c r="S120" s="1076" t="s">
        <v>282</v>
      </c>
      <c r="T120" s="840" t="s">
        <v>375</v>
      </c>
      <c r="U120" s="57">
        <v>2644443</v>
      </c>
      <c r="V120" s="898">
        <v>40387</v>
      </c>
      <c r="W120" s="888"/>
      <c r="X120" s="1258">
        <v>6611106.9000000004</v>
      </c>
      <c r="Y120" s="1258">
        <v>21112853.199999999</v>
      </c>
      <c r="Z120" s="888">
        <v>0</v>
      </c>
      <c r="AA120" s="1258">
        <v>-2427472</v>
      </c>
      <c r="AB120" s="1258">
        <v>-613267.07000000402</v>
      </c>
      <c r="AC120" s="1258">
        <v>0</v>
      </c>
      <c r="AD120" s="1258">
        <v>9.999999962747097E-2</v>
      </c>
      <c r="AE120" s="1258">
        <v>9.999999962747097E-2</v>
      </c>
      <c r="AF120" s="1203" t="s">
        <v>382</v>
      </c>
      <c r="AG120" s="1204" t="s">
        <v>786</v>
      </c>
      <c r="AH120" s="1259" t="s">
        <v>194</v>
      </c>
      <c r="AI120" s="1454" t="s">
        <v>368</v>
      </c>
    </row>
    <row r="121" spans="1:36" s="10" customFormat="1" ht="15" customHeight="1">
      <c r="A121" s="1296"/>
      <c r="B121" s="1076"/>
      <c r="C121" s="1296"/>
      <c r="D121" s="1296"/>
      <c r="E121" s="1296"/>
      <c r="F121" s="1076"/>
      <c r="G121" s="1076"/>
      <c r="H121" s="1321"/>
      <c r="I121" s="1320"/>
      <c r="J121" s="1258"/>
      <c r="K121" s="1258"/>
      <c r="L121" s="1258"/>
      <c r="M121" s="1305"/>
      <c r="N121" s="1258"/>
      <c r="O121" s="1258"/>
      <c r="P121" s="1258"/>
      <c r="Q121" s="1258"/>
      <c r="R121" s="1258"/>
      <c r="S121" s="1076"/>
      <c r="T121" s="1123" t="s">
        <v>376</v>
      </c>
      <c r="U121" s="57">
        <v>1312438</v>
      </c>
      <c r="V121" s="1322">
        <v>40499</v>
      </c>
      <c r="W121" s="888"/>
      <c r="X121" s="1258"/>
      <c r="Y121" s="1258"/>
      <c r="Z121" s="888">
        <v>0</v>
      </c>
      <c r="AA121" s="1258"/>
      <c r="AB121" s="1258"/>
      <c r="AC121" s="1258"/>
      <c r="AD121" s="1258"/>
      <c r="AE121" s="1258"/>
      <c r="AF121" s="1203"/>
      <c r="AG121" s="1204"/>
      <c r="AH121" s="1259"/>
      <c r="AI121" s="1455"/>
    </row>
    <row r="122" spans="1:36" s="10" customFormat="1" ht="15" customHeight="1">
      <c r="A122" s="1296"/>
      <c r="B122" s="1076"/>
      <c r="C122" s="1296"/>
      <c r="D122" s="1296"/>
      <c r="E122" s="1296"/>
      <c r="F122" s="1076"/>
      <c r="G122" s="1076"/>
      <c r="H122" s="1321"/>
      <c r="I122" s="1320"/>
      <c r="J122" s="1258"/>
      <c r="K122" s="1258"/>
      <c r="L122" s="1258"/>
      <c r="M122" s="1305"/>
      <c r="N122" s="1258"/>
      <c r="O122" s="1258"/>
      <c r="P122" s="1258"/>
      <c r="Q122" s="1258"/>
      <c r="R122" s="1258"/>
      <c r="S122" s="1076"/>
      <c r="T122" s="1123"/>
      <c r="U122" s="57">
        <v>642340</v>
      </c>
      <c r="V122" s="1323"/>
      <c r="W122" s="888"/>
      <c r="X122" s="1258"/>
      <c r="Y122" s="1258"/>
      <c r="Z122" s="888">
        <v>0</v>
      </c>
      <c r="AA122" s="1258"/>
      <c r="AB122" s="1258"/>
      <c r="AC122" s="1258"/>
      <c r="AD122" s="1258"/>
      <c r="AE122" s="1258"/>
      <c r="AF122" s="1203"/>
      <c r="AG122" s="1204"/>
      <c r="AH122" s="1259"/>
      <c r="AI122" s="1455"/>
    </row>
    <row r="123" spans="1:36" s="10" customFormat="1" ht="15" customHeight="1">
      <c r="A123" s="1296"/>
      <c r="B123" s="1076"/>
      <c r="C123" s="1296"/>
      <c r="D123" s="1296"/>
      <c r="E123" s="1296"/>
      <c r="F123" s="1076"/>
      <c r="G123" s="1076"/>
      <c r="H123" s="1321"/>
      <c r="I123" s="897" t="s">
        <v>137</v>
      </c>
      <c r="J123" s="888">
        <v>4439358</v>
      </c>
      <c r="K123" s="1258"/>
      <c r="L123" s="1258"/>
      <c r="M123" s="1305"/>
      <c r="N123" s="1258"/>
      <c r="O123" s="888">
        <v>4439358</v>
      </c>
      <c r="P123" s="888">
        <v>0</v>
      </c>
      <c r="Q123" s="888">
        <v>4439358</v>
      </c>
      <c r="R123" s="1258"/>
      <c r="S123" s="1076"/>
      <c r="T123" s="840" t="s">
        <v>381</v>
      </c>
      <c r="U123" s="57">
        <v>2011885.9</v>
      </c>
      <c r="V123" s="898">
        <v>40555</v>
      </c>
      <c r="W123" s="888"/>
      <c r="X123" s="1258"/>
      <c r="Y123" s="1258"/>
      <c r="Z123" s="888">
        <v>0</v>
      </c>
      <c r="AA123" s="888">
        <v>2427472.1</v>
      </c>
      <c r="AB123" s="1258"/>
      <c r="AC123" s="1258"/>
      <c r="AD123" s="1258"/>
      <c r="AE123" s="1258"/>
      <c r="AF123" s="1203"/>
      <c r="AG123" s="1204"/>
      <c r="AH123" s="1259"/>
      <c r="AI123" s="1455"/>
    </row>
    <row r="124" spans="1:36" s="10" customFormat="1" ht="15" customHeight="1">
      <c r="A124" s="1296"/>
      <c r="B124" s="1076"/>
      <c r="C124" s="1296"/>
      <c r="D124" s="1296"/>
      <c r="E124" s="1296"/>
      <c r="F124" s="1076"/>
      <c r="G124" s="1076"/>
      <c r="H124" s="1321">
        <v>41</v>
      </c>
      <c r="I124" s="1320" t="s">
        <v>7</v>
      </c>
      <c r="J124" s="1258">
        <v>1028452</v>
      </c>
      <c r="K124" s="1258">
        <v>3130751</v>
      </c>
      <c r="L124" s="1258"/>
      <c r="M124" s="1305"/>
      <c r="N124" s="1258">
        <v>3130751</v>
      </c>
      <c r="O124" s="1258">
        <v>1028452</v>
      </c>
      <c r="P124" s="1258">
        <v>0</v>
      </c>
      <c r="Q124" s="1258">
        <v>1028452</v>
      </c>
      <c r="R124" s="1258"/>
      <c r="S124" s="1076"/>
      <c r="T124" s="840" t="s">
        <v>375</v>
      </c>
      <c r="U124" s="57">
        <v>1226533</v>
      </c>
      <c r="V124" s="898">
        <v>40387</v>
      </c>
      <c r="W124" s="888"/>
      <c r="X124" s="1258">
        <v>2173987</v>
      </c>
      <c r="Y124" s="1258"/>
      <c r="Z124" s="888">
        <v>0</v>
      </c>
      <c r="AA124" s="1258">
        <v>-1145535</v>
      </c>
      <c r="AB124" s="1258"/>
      <c r="AC124" s="1258">
        <v>64420</v>
      </c>
      <c r="AD124" s="1258">
        <v>887688.42999999598</v>
      </c>
      <c r="AE124" s="1258">
        <v>952108.42999999598</v>
      </c>
      <c r="AF124" s="1203"/>
      <c r="AG124" s="1204"/>
      <c r="AH124" s="1259"/>
      <c r="AI124" s="1455"/>
    </row>
    <row r="125" spans="1:36" s="10" customFormat="1" ht="15" customHeight="1">
      <c r="A125" s="1296"/>
      <c r="B125" s="1076"/>
      <c r="C125" s="1296"/>
      <c r="D125" s="1296"/>
      <c r="E125" s="1296"/>
      <c r="F125" s="1076"/>
      <c r="G125" s="1076"/>
      <c r="H125" s="1321"/>
      <c r="I125" s="1320"/>
      <c r="J125" s="1258"/>
      <c r="K125" s="1258"/>
      <c r="L125" s="1258"/>
      <c r="M125" s="1305"/>
      <c r="N125" s="1258"/>
      <c r="O125" s="1258"/>
      <c r="P125" s="1258"/>
      <c r="Q125" s="1258"/>
      <c r="R125" s="1258"/>
      <c r="S125" s="1076"/>
      <c r="T125" s="840" t="s">
        <v>377</v>
      </c>
      <c r="U125" s="57">
        <v>947454</v>
      </c>
      <c r="V125" s="898">
        <v>40508</v>
      </c>
      <c r="W125" s="888"/>
      <c r="X125" s="1258"/>
      <c r="Y125" s="1258"/>
      <c r="Z125" s="888">
        <v>0</v>
      </c>
      <c r="AA125" s="1258"/>
      <c r="AB125" s="1258"/>
      <c r="AC125" s="1258"/>
      <c r="AD125" s="1258"/>
      <c r="AE125" s="1258"/>
      <c r="AF125" s="1203"/>
      <c r="AG125" s="1204"/>
      <c r="AH125" s="1259"/>
      <c r="AI125" s="1455"/>
    </row>
    <row r="126" spans="1:36" s="10" customFormat="1" ht="15" customHeight="1">
      <c r="A126" s="1296"/>
      <c r="B126" s="1076"/>
      <c r="C126" s="1296"/>
      <c r="D126" s="1296"/>
      <c r="E126" s="1296"/>
      <c r="F126" s="1076"/>
      <c r="G126" s="1076"/>
      <c r="H126" s="1321"/>
      <c r="I126" s="897" t="s">
        <v>137</v>
      </c>
      <c r="J126" s="888">
        <v>2102299</v>
      </c>
      <c r="K126" s="1258"/>
      <c r="L126" s="1258"/>
      <c r="M126" s="1305"/>
      <c r="N126" s="1258"/>
      <c r="O126" s="888">
        <v>2102299</v>
      </c>
      <c r="P126" s="888">
        <v>0</v>
      </c>
      <c r="Q126" s="888">
        <v>2037879</v>
      </c>
      <c r="R126" s="1258"/>
      <c r="S126" s="1076"/>
      <c r="T126" s="840"/>
      <c r="U126" s="57">
        <v>0</v>
      </c>
      <c r="V126" s="899"/>
      <c r="W126" s="888"/>
      <c r="X126" s="1258"/>
      <c r="Y126" s="1258"/>
      <c r="Z126" s="888">
        <v>0</v>
      </c>
      <c r="AA126" s="888">
        <v>2037879</v>
      </c>
      <c r="AB126" s="1258"/>
      <c r="AC126" s="1258"/>
      <c r="AD126" s="1258"/>
      <c r="AE126" s="1258"/>
      <c r="AF126" s="1203"/>
      <c r="AG126" s="1204"/>
      <c r="AH126" s="1259"/>
      <c r="AI126" s="1455"/>
    </row>
    <row r="127" spans="1:36" s="10" customFormat="1" ht="15" customHeight="1">
      <c r="A127" s="1296"/>
      <c r="B127" s="1076"/>
      <c r="C127" s="1296"/>
      <c r="D127" s="1296"/>
      <c r="E127" s="1296"/>
      <c r="F127" s="1076"/>
      <c r="G127" s="1076"/>
      <c r="H127" s="1321">
        <v>42</v>
      </c>
      <c r="I127" s="1320" t="s">
        <v>7</v>
      </c>
      <c r="J127" s="1258">
        <v>935770</v>
      </c>
      <c r="K127" s="1258">
        <v>2848616</v>
      </c>
      <c r="L127" s="1258"/>
      <c r="M127" s="1305"/>
      <c r="N127" s="1258">
        <v>2848616</v>
      </c>
      <c r="O127" s="1258">
        <v>935770</v>
      </c>
      <c r="P127" s="1258">
        <v>0</v>
      </c>
      <c r="Q127" s="1258">
        <v>935770</v>
      </c>
      <c r="R127" s="1258"/>
      <c r="S127" s="1076"/>
      <c r="T127" s="840" t="s">
        <v>375</v>
      </c>
      <c r="U127" s="57">
        <v>1139446</v>
      </c>
      <c r="V127" s="898">
        <v>40387</v>
      </c>
      <c r="W127" s="888"/>
      <c r="X127" s="1258">
        <v>2848616</v>
      </c>
      <c r="Y127" s="1258"/>
      <c r="Z127" s="888">
        <v>0</v>
      </c>
      <c r="AA127" s="1258">
        <v>-1632115</v>
      </c>
      <c r="AB127" s="1258"/>
      <c r="AC127" s="1258">
        <v>0</v>
      </c>
      <c r="AD127" s="1258">
        <v>-0.33000000007450581</v>
      </c>
      <c r="AE127" s="1258">
        <v>-0.33000000007450581</v>
      </c>
      <c r="AF127" s="1203"/>
      <c r="AG127" s="1204"/>
      <c r="AH127" s="1259"/>
      <c r="AI127" s="1455"/>
    </row>
    <row r="128" spans="1:36" s="10" customFormat="1" ht="15" customHeight="1">
      <c r="A128" s="1296"/>
      <c r="B128" s="1076"/>
      <c r="C128" s="1296"/>
      <c r="D128" s="1296"/>
      <c r="E128" s="1296"/>
      <c r="F128" s="1076"/>
      <c r="G128" s="1076"/>
      <c r="H128" s="1321"/>
      <c r="I128" s="1320"/>
      <c r="J128" s="1258"/>
      <c r="K128" s="1258"/>
      <c r="L128" s="1258"/>
      <c r="M128" s="1305"/>
      <c r="N128" s="1258"/>
      <c r="O128" s="1258"/>
      <c r="P128" s="1258"/>
      <c r="Q128" s="1258"/>
      <c r="R128" s="1258"/>
      <c r="S128" s="1076"/>
      <c r="T128" s="840" t="s">
        <v>377</v>
      </c>
      <c r="U128" s="57">
        <v>854585</v>
      </c>
      <c r="V128" s="898">
        <v>40508</v>
      </c>
      <c r="W128" s="888"/>
      <c r="X128" s="1258"/>
      <c r="Y128" s="1258"/>
      <c r="Z128" s="888">
        <v>0</v>
      </c>
      <c r="AA128" s="1258"/>
      <c r="AB128" s="1258"/>
      <c r="AC128" s="1258"/>
      <c r="AD128" s="1258"/>
      <c r="AE128" s="1258"/>
      <c r="AF128" s="1203"/>
      <c r="AG128" s="1204"/>
      <c r="AH128" s="1259"/>
      <c r="AI128" s="1455"/>
    </row>
    <row r="129" spans="1:35" s="10" customFormat="1" ht="15" customHeight="1">
      <c r="A129" s="1296"/>
      <c r="B129" s="1076"/>
      <c r="C129" s="1296"/>
      <c r="D129" s="1296"/>
      <c r="E129" s="1296"/>
      <c r="F129" s="1076"/>
      <c r="G129" s="1076"/>
      <c r="H129" s="1321"/>
      <c r="I129" s="1320"/>
      <c r="J129" s="1258"/>
      <c r="K129" s="1258"/>
      <c r="L129" s="1258"/>
      <c r="M129" s="1305"/>
      <c r="N129" s="1258"/>
      <c r="O129" s="1258"/>
      <c r="P129" s="1258"/>
      <c r="Q129" s="1258"/>
      <c r="R129" s="1258"/>
      <c r="S129" s="1076"/>
      <c r="T129" s="1123" t="s">
        <v>379</v>
      </c>
      <c r="U129" s="57">
        <v>573854</v>
      </c>
      <c r="V129" s="1322">
        <v>40597</v>
      </c>
      <c r="W129" s="888"/>
      <c r="X129" s="1258"/>
      <c r="Y129" s="1258"/>
      <c r="Z129" s="888">
        <v>0</v>
      </c>
      <c r="AA129" s="1258"/>
      <c r="AB129" s="1258"/>
      <c r="AC129" s="1258"/>
      <c r="AD129" s="1258"/>
      <c r="AE129" s="1258"/>
      <c r="AF129" s="1203"/>
      <c r="AG129" s="1204"/>
      <c r="AH129" s="1259"/>
      <c r="AI129" s="1455"/>
    </row>
    <row r="130" spans="1:35" s="10" customFormat="1" ht="15" customHeight="1">
      <c r="A130" s="1296"/>
      <c r="B130" s="1076"/>
      <c r="C130" s="1296"/>
      <c r="D130" s="1296"/>
      <c r="E130" s="1296"/>
      <c r="F130" s="1076"/>
      <c r="G130" s="1076"/>
      <c r="H130" s="1321"/>
      <c r="I130" s="897" t="s">
        <v>137</v>
      </c>
      <c r="J130" s="888">
        <v>1912846</v>
      </c>
      <c r="K130" s="1258"/>
      <c r="L130" s="1258"/>
      <c r="M130" s="1305"/>
      <c r="N130" s="1258"/>
      <c r="O130" s="888">
        <v>1912846</v>
      </c>
      <c r="P130" s="888">
        <v>0</v>
      </c>
      <c r="Q130" s="888">
        <v>1912846</v>
      </c>
      <c r="R130" s="1258"/>
      <c r="S130" s="1076"/>
      <c r="T130" s="1123"/>
      <c r="U130" s="57">
        <v>280731</v>
      </c>
      <c r="V130" s="1323"/>
      <c r="W130" s="888"/>
      <c r="X130" s="1258"/>
      <c r="Y130" s="1258"/>
      <c r="Z130" s="888">
        <v>0</v>
      </c>
      <c r="AA130" s="888">
        <v>1632115</v>
      </c>
      <c r="AB130" s="1258"/>
      <c r="AC130" s="1258"/>
      <c r="AD130" s="1258"/>
      <c r="AE130" s="1258"/>
      <c r="AF130" s="1203"/>
      <c r="AG130" s="1204"/>
      <c r="AH130" s="1259"/>
      <c r="AI130" s="1455"/>
    </row>
    <row r="131" spans="1:35" s="10" customFormat="1" ht="15" customHeight="1">
      <c r="A131" s="1296"/>
      <c r="B131" s="1076"/>
      <c r="C131" s="1296"/>
      <c r="D131" s="1296"/>
      <c r="E131" s="1296"/>
      <c r="F131" s="1076"/>
      <c r="G131" s="1076"/>
      <c r="H131" s="1321">
        <v>43</v>
      </c>
      <c r="I131" s="1320" t="s">
        <v>7</v>
      </c>
      <c r="J131" s="1258">
        <v>978719</v>
      </c>
      <c r="K131" s="1258">
        <v>2979357</v>
      </c>
      <c r="L131" s="1258"/>
      <c r="M131" s="1305"/>
      <c r="N131" s="1258">
        <v>2979357</v>
      </c>
      <c r="O131" s="1258">
        <v>978719</v>
      </c>
      <c r="P131" s="1258">
        <v>0</v>
      </c>
      <c r="Q131" s="1258">
        <v>978719</v>
      </c>
      <c r="R131" s="1258"/>
      <c r="S131" s="1076"/>
      <c r="T131" s="840" t="s">
        <v>375</v>
      </c>
      <c r="U131" s="57">
        <v>1191743</v>
      </c>
      <c r="V131" s="898">
        <v>40387</v>
      </c>
      <c r="W131" s="888"/>
      <c r="X131" s="1258">
        <v>2979354.3</v>
      </c>
      <c r="Y131" s="1258"/>
      <c r="Z131" s="888">
        <v>0</v>
      </c>
      <c r="AA131" s="1258">
        <v>-1707020.3</v>
      </c>
      <c r="AB131" s="1258"/>
      <c r="AC131" s="1258">
        <v>0</v>
      </c>
      <c r="AD131" s="1258">
        <v>2.6000000000931323</v>
      </c>
      <c r="AE131" s="1258">
        <v>2.6000000000931323</v>
      </c>
      <c r="AF131" s="1203"/>
      <c r="AG131" s="1204"/>
      <c r="AH131" s="1259"/>
      <c r="AI131" s="1455"/>
    </row>
    <row r="132" spans="1:35" s="10" customFormat="1" ht="15" customHeight="1">
      <c r="A132" s="1296"/>
      <c r="B132" s="1076"/>
      <c r="C132" s="1296"/>
      <c r="D132" s="1296"/>
      <c r="E132" s="1296"/>
      <c r="F132" s="1076"/>
      <c r="G132" s="1076"/>
      <c r="H132" s="1321"/>
      <c r="I132" s="1320"/>
      <c r="J132" s="1258"/>
      <c r="K132" s="1258"/>
      <c r="L132" s="1258"/>
      <c r="M132" s="1305"/>
      <c r="N132" s="1258"/>
      <c r="O132" s="1258"/>
      <c r="P132" s="1258"/>
      <c r="Q132" s="1258"/>
      <c r="R132" s="1258"/>
      <c r="S132" s="1076"/>
      <c r="T132" s="840" t="s">
        <v>377</v>
      </c>
      <c r="U132" s="57">
        <v>893807</v>
      </c>
      <c r="V132" s="898">
        <v>40508</v>
      </c>
      <c r="W132" s="888"/>
      <c r="X132" s="1258"/>
      <c r="Y132" s="1258"/>
      <c r="Z132" s="888">
        <v>0</v>
      </c>
      <c r="AA132" s="1258"/>
      <c r="AB132" s="1258"/>
      <c r="AC132" s="1258"/>
      <c r="AD132" s="1258"/>
      <c r="AE132" s="1258"/>
      <c r="AF132" s="1203"/>
      <c r="AG132" s="1204"/>
      <c r="AH132" s="1259"/>
      <c r="AI132" s="1455"/>
    </row>
    <row r="133" spans="1:35" s="10" customFormat="1" ht="15" customHeight="1">
      <c r="A133" s="1296"/>
      <c r="B133" s="1076"/>
      <c r="C133" s="1296"/>
      <c r="D133" s="1296"/>
      <c r="E133" s="1296"/>
      <c r="F133" s="1076"/>
      <c r="G133" s="1076"/>
      <c r="H133" s="1321"/>
      <c r="I133" s="1320"/>
      <c r="J133" s="1258"/>
      <c r="K133" s="1258"/>
      <c r="L133" s="1258"/>
      <c r="M133" s="1305"/>
      <c r="N133" s="1258"/>
      <c r="O133" s="1258"/>
      <c r="P133" s="1258"/>
      <c r="Q133" s="1258"/>
      <c r="R133" s="1258"/>
      <c r="S133" s="1076"/>
      <c r="T133" s="1123" t="s">
        <v>383</v>
      </c>
      <c r="U133" s="57">
        <v>600189.30000000005</v>
      </c>
      <c r="V133" s="1322">
        <v>40569</v>
      </c>
      <c r="W133" s="888"/>
      <c r="X133" s="1258"/>
      <c r="Y133" s="1258"/>
      <c r="Z133" s="888">
        <v>0</v>
      </c>
      <c r="AA133" s="1258"/>
      <c r="AB133" s="1258"/>
      <c r="AC133" s="1258"/>
      <c r="AD133" s="1258"/>
      <c r="AE133" s="1258"/>
      <c r="AF133" s="1203"/>
      <c r="AG133" s="1204"/>
      <c r="AH133" s="1259"/>
      <c r="AI133" s="1455"/>
    </row>
    <row r="134" spans="1:35" s="10" customFormat="1" ht="15" customHeight="1">
      <c r="A134" s="1296"/>
      <c r="B134" s="1076"/>
      <c r="C134" s="1296"/>
      <c r="D134" s="1296"/>
      <c r="E134" s="1296"/>
      <c r="F134" s="1076"/>
      <c r="G134" s="1076"/>
      <c r="H134" s="1321"/>
      <c r="I134" s="897" t="s">
        <v>137</v>
      </c>
      <c r="J134" s="888">
        <v>2000638</v>
      </c>
      <c r="K134" s="1258"/>
      <c r="L134" s="1258"/>
      <c r="M134" s="1305"/>
      <c r="N134" s="1258"/>
      <c r="O134" s="888">
        <v>2000638</v>
      </c>
      <c r="P134" s="888">
        <v>0</v>
      </c>
      <c r="Q134" s="888">
        <v>2000638</v>
      </c>
      <c r="R134" s="1258"/>
      <c r="S134" s="1076"/>
      <c r="T134" s="1123"/>
      <c r="U134" s="57">
        <v>293615</v>
      </c>
      <c r="V134" s="1322"/>
      <c r="W134" s="888"/>
      <c r="X134" s="1258"/>
      <c r="Y134" s="1258"/>
      <c r="Z134" s="888">
        <v>0</v>
      </c>
      <c r="AA134" s="888">
        <v>1707023</v>
      </c>
      <c r="AB134" s="1258"/>
      <c r="AC134" s="1258"/>
      <c r="AD134" s="1258"/>
      <c r="AE134" s="1258"/>
      <c r="AF134" s="1203"/>
      <c r="AG134" s="1204"/>
      <c r="AH134" s="1259"/>
      <c r="AI134" s="1455"/>
    </row>
    <row r="135" spans="1:35" s="10" customFormat="1" ht="15" customHeight="1">
      <c r="A135" s="1296"/>
      <c r="B135" s="1076"/>
      <c r="C135" s="1296"/>
      <c r="D135" s="1296"/>
      <c r="E135" s="1296"/>
      <c r="F135" s="1076"/>
      <c r="G135" s="1076"/>
      <c r="H135" s="1321">
        <v>44</v>
      </c>
      <c r="I135" s="1320" t="s">
        <v>7</v>
      </c>
      <c r="J135" s="1258">
        <v>821181</v>
      </c>
      <c r="K135" s="1258">
        <v>2499789</v>
      </c>
      <c r="L135" s="1258"/>
      <c r="M135" s="1305"/>
      <c r="N135" s="1258">
        <v>2499789</v>
      </c>
      <c r="O135" s="1258">
        <v>821181</v>
      </c>
      <c r="P135" s="1258">
        <v>0</v>
      </c>
      <c r="Q135" s="1258">
        <v>821181</v>
      </c>
      <c r="R135" s="1258"/>
      <c r="S135" s="1076"/>
      <c r="T135" s="840" t="s">
        <v>375</v>
      </c>
      <c r="U135" s="57">
        <v>999915</v>
      </c>
      <c r="V135" s="898">
        <v>40387</v>
      </c>
      <c r="W135" s="888"/>
      <c r="X135" s="1258">
        <v>2499789</v>
      </c>
      <c r="Y135" s="1258"/>
      <c r="Z135" s="888">
        <v>0</v>
      </c>
      <c r="AA135" s="1258">
        <v>-1432254</v>
      </c>
      <c r="AB135" s="1258"/>
      <c r="AC135" s="1258">
        <v>0</v>
      </c>
      <c r="AD135" s="1258">
        <v>4656</v>
      </c>
      <c r="AE135" s="1258">
        <v>4656</v>
      </c>
      <c r="AF135" s="1203"/>
      <c r="AG135" s="1204"/>
      <c r="AH135" s="1259"/>
      <c r="AI135" s="1455"/>
    </row>
    <row r="136" spans="1:35" s="10" customFormat="1" ht="15" customHeight="1">
      <c r="A136" s="1296"/>
      <c r="B136" s="1076"/>
      <c r="C136" s="1296"/>
      <c r="D136" s="1296"/>
      <c r="E136" s="1296"/>
      <c r="F136" s="1076"/>
      <c r="G136" s="1076"/>
      <c r="H136" s="1321"/>
      <c r="I136" s="1320"/>
      <c r="J136" s="1258"/>
      <c r="K136" s="1258"/>
      <c r="L136" s="1258"/>
      <c r="M136" s="1305"/>
      <c r="N136" s="1258"/>
      <c r="O136" s="1258"/>
      <c r="P136" s="1258"/>
      <c r="Q136" s="1258"/>
      <c r="R136" s="1258"/>
      <c r="S136" s="1076"/>
      <c r="T136" s="840" t="s">
        <v>377</v>
      </c>
      <c r="U136" s="57">
        <v>749937</v>
      </c>
      <c r="V136" s="898">
        <v>40508</v>
      </c>
      <c r="W136" s="888"/>
      <c r="X136" s="1258"/>
      <c r="Y136" s="1258"/>
      <c r="Z136" s="888">
        <v>0</v>
      </c>
      <c r="AA136" s="1258"/>
      <c r="AB136" s="1258"/>
      <c r="AC136" s="1258"/>
      <c r="AD136" s="1258"/>
      <c r="AE136" s="1258"/>
      <c r="AF136" s="1203"/>
      <c r="AG136" s="1204"/>
      <c r="AH136" s="1259"/>
      <c r="AI136" s="1455"/>
    </row>
    <row r="137" spans="1:35" s="10" customFormat="1" ht="15" customHeight="1">
      <c r="A137" s="1296"/>
      <c r="B137" s="1076"/>
      <c r="C137" s="1296"/>
      <c r="D137" s="1296"/>
      <c r="E137" s="1296"/>
      <c r="F137" s="1076"/>
      <c r="G137" s="1076"/>
      <c r="H137" s="1321"/>
      <c r="I137" s="1320"/>
      <c r="J137" s="1258"/>
      <c r="K137" s="1258"/>
      <c r="L137" s="1258"/>
      <c r="M137" s="1305"/>
      <c r="N137" s="1258"/>
      <c r="O137" s="1258"/>
      <c r="P137" s="1258"/>
      <c r="Q137" s="1258"/>
      <c r="R137" s="1258"/>
      <c r="S137" s="1076"/>
      <c r="T137" s="1123" t="s">
        <v>380</v>
      </c>
      <c r="U137" s="57">
        <v>503583</v>
      </c>
      <c r="V137" s="1322">
        <v>40578</v>
      </c>
      <c r="W137" s="888"/>
      <c r="X137" s="1258"/>
      <c r="Y137" s="1258"/>
      <c r="Z137" s="888">
        <v>0</v>
      </c>
      <c r="AA137" s="1258"/>
      <c r="AB137" s="1258"/>
      <c r="AC137" s="1258"/>
      <c r="AD137" s="1258"/>
      <c r="AE137" s="1258"/>
      <c r="AF137" s="1203"/>
      <c r="AG137" s="1204"/>
      <c r="AH137" s="1259"/>
      <c r="AI137" s="1455"/>
    </row>
    <row r="138" spans="1:35" s="10" customFormat="1" ht="15" customHeight="1">
      <c r="A138" s="1296"/>
      <c r="B138" s="1076"/>
      <c r="C138" s="1296"/>
      <c r="D138" s="1296"/>
      <c r="E138" s="1296"/>
      <c r="F138" s="1076"/>
      <c r="G138" s="1076"/>
      <c r="H138" s="1321"/>
      <c r="I138" s="897" t="s">
        <v>137</v>
      </c>
      <c r="J138" s="888">
        <v>1678608</v>
      </c>
      <c r="K138" s="1258"/>
      <c r="L138" s="1258"/>
      <c r="M138" s="1305"/>
      <c r="N138" s="1258"/>
      <c r="O138" s="888">
        <v>1678608</v>
      </c>
      <c r="P138" s="888">
        <v>0</v>
      </c>
      <c r="Q138" s="888">
        <v>1678608</v>
      </c>
      <c r="R138" s="1258"/>
      <c r="S138" s="1076"/>
      <c r="T138" s="1123"/>
      <c r="U138" s="57">
        <v>246354</v>
      </c>
      <c r="V138" s="1323"/>
      <c r="W138" s="888"/>
      <c r="X138" s="1258"/>
      <c r="Y138" s="1258"/>
      <c r="Z138" s="888">
        <v>0</v>
      </c>
      <c r="AA138" s="888">
        <v>1432254</v>
      </c>
      <c r="AB138" s="1258"/>
      <c r="AC138" s="1258"/>
      <c r="AD138" s="1258"/>
      <c r="AE138" s="1258"/>
      <c r="AF138" s="1203"/>
      <c r="AG138" s="1204"/>
      <c r="AH138" s="1259"/>
      <c r="AI138" s="1455"/>
    </row>
    <row r="139" spans="1:35" s="10" customFormat="1" ht="15" customHeight="1">
      <c r="A139" s="1296"/>
      <c r="B139" s="1076"/>
      <c r="C139" s="1296"/>
      <c r="D139" s="1296"/>
      <c r="E139" s="1296"/>
      <c r="F139" s="1076"/>
      <c r="G139" s="1076"/>
      <c r="H139" s="1321">
        <v>50</v>
      </c>
      <c r="I139" s="1320" t="s">
        <v>7</v>
      </c>
      <c r="J139" s="1258">
        <v>1314000</v>
      </c>
      <c r="K139" s="1258">
        <v>4000000</v>
      </c>
      <c r="L139" s="1258"/>
      <c r="M139" s="1305"/>
      <c r="N139" s="1258">
        <v>4000000</v>
      </c>
      <c r="O139" s="1258">
        <v>1314000</v>
      </c>
      <c r="P139" s="1258">
        <v>0</v>
      </c>
      <c r="Q139" s="1258">
        <v>1314000</v>
      </c>
      <c r="R139" s="1258"/>
      <c r="S139" s="1076"/>
      <c r="T139" s="840" t="s">
        <v>375</v>
      </c>
      <c r="U139" s="57">
        <v>1600000</v>
      </c>
      <c r="V139" s="898">
        <v>40387</v>
      </c>
      <c r="W139" s="888"/>
      <c r="X139" s="1258">
        <v>4000000</v>
      </c>
      <c r="Y139" s="1258"/>
      <c r="Z139" s="888">
        <v>0</v>
      </c>
      <c r="AA139" s="1258">
        <v>-1487000</v>
      </c>
      <c r="AB139" s="1258"/>
      <c r="AC139" s="1258">
        <v>0</v>
      </c>
      <c r="AD139" s="1258">
        <v>0</v>
      </c>
      <c r="AE139" s="1258">
        <v>0</v>
      </c>
      <c r="AF139" s="1203"/>
      <c r="AG139" s="1204"/>
      <c r="AH139" s="1259"/>
      <c r="AI139" s="1455"/>
    </row>
    <row r="140" spans="1:35" s="10" customFormat="1" ht="15" customHeight="1">
      <c r="A140" s="1296"/>
      <c r="B140" s="1076"/>
      <c r="C140" s="1296"/>
      <c r="D140" s="1296"/>
      <c r="E140" s="1296"/>
      <c r="F140" s="1076"/>
      <c r="G140" s="1076"/>
      <c r="H140" s="1321"/>
      <c r="I140" s="1320"/>
      <c r="J140" s="1258"/>
      <c r="K140" s="1258"/>
      <c r="L140" s="1258"/>
      <c r="M140" s="1305"/>
      <c r="N140" s="1258"/>
      <c r="O140" s="1258"/>
      <c r="P140" s="1258"/>
      <c r="Q140" s="1258"/>
      <c r="R140" s="1258"/>
      <c r="S140" s="1076"/>
      <c r="T140" s="1123" t="s">
        <v>378</v>
      </c>
      <c r="U140" s="57">
        <v>806800</v>
      </c>
      <c r="V140" s="1322">
        <v>40519</v>
      </c>
      <c r="W140" s="888"/>
      <c r="X140" s="1258"/>
      <c r="Y140" s="1258"/>
      <c r="Z140" s="888">
        <v>0</v>
      </c>
      <c r="AA140" s="1258"/>
      <c r="AB140" s="1258"/>
      <c r="AC140" s="1258"/>
      <c r="AD140" s="1258"/>
      <c r="AE140" s="1258"/>
      <c r="AF140" s="1203"/>
      <c r="AG140" s="1204"/>
      <c r="AH140" s="1259"/>
      <c r="AI140" s="1455"/>
    </row>
    <row r="141" spans="1:35" s="10" customFormat="1" ht="15" customHeight="1">
      <c r="A141" s="1296"/>
      <c r="B141" s="1076"/>
      <c r="C141" s="1296"/>
      <c r="D141" s="1296"/>
      <c r="E141" s="1296"/>
      <c r="F141" s="1076"/>
      <c r="G141" s="1076"/>
      <c r="H141" s="1321"/>
      <c r="I141" s="1320"/>
      <c r="J141" s="1258"/>
      <c r="K141" s="1258"/>
      <c r="L141" s="1258"/>
      <c r="M141" s="1305"/>
      <c r="N141" s="1258"/>
      <c r="O141" s="1258"/>
      <c r="P141" s="1258"/>
      <c r="Q141" s="1258"/>
      <c r="R141" s="1258"/>
      <c r="S141" s="1076"/>
      <c r="T141" s="1123"/>
      <c r="U141" s="57">
        <v>394200</v>
      </c>
      <c r="V141" s="1323"/>
      <c r="W141" s="888"/>
      <c r="X141" s="1258"/>
      <c r="Y141" s="1258"/>
      <c r="Z141" s="888">
        <v>0</v>
      </c>
      <c r="AA141" s="1258"/>
      <c r="AB141" s="1258"/>
      <c r="AC141" s="1258"/>
      <c r="AD141" s="1258"/>
      <c r="AE141" s="1258"/>
      <c r="AF141" s="1203"/>
      <c r="AG141" s="1204"/>
      <c r="AH141" s="1259"/>
      <c r="AI141" s="1455"/>
    </row>
    <row r="142" spans="1:35" s="10" customFormat="1" ht="15" customHeight="1">
      <c r="A142" s="1296"/>
      <c r="B142" s="1076"/>
      <c r="C142" s="1296"/>
      <c r="D142" s="1296"/>
      <c r="E142" s="1296"/>
      <c r="F142" s="1076"/>
      <c r="G142" s="1076"/>
      <c r="H142" s="1321"/>
      <c r="I142" s="897" t="s">
        <v>137</v>
      </c>
      <c r="J142" s="888">
        <v>2686000</v>
      </c>
      <c r="K142" s="1258"/>
      <c r="L142" s="1258"/>
      <c r="M142" s="1305"/>
      <c r="N142" s="1258"/>
      <c r="O142" s="888">
        <v>2686000</v>
      </c>
      <c r="P142" s="888">
        <v>0</v>
      </c>
      <c r="Q142" s="888">
        <v>2686000</v>
      </c>
      <c r="R142" s="1258"/>
      <c r="S142" s="1076"/>
      <c r="T142" s="840" t="s">
        <v>383</v>
      </c>
      <c r="U142" s="57">
        <v>1199000</v>
      </c>
      <c r="V142" s="898">
        <v>40555</v>
      </c>
      <c r="W142" s="888"/>
      <c r="X142" s="1258"/>
      <c r="Y142" s="1258"/>
      <c r="Z142" s="888">
        <v>0</v>
      </c>
      <c r="AA142" s="888">
        <v>1487000</v>
      </c>
      <c r="AB142" s="1258"/>
      <c r="AC142" s="1258"/>
      <c r="AD142" s="1258"/>
      <c r="AE142" s="1258"/>
      <c r="AF142" s="1203"/>
      <c r="AG142" s="1204"/>
      <c r="AH142" s="1259"/>
      <c r="AI142" s="1456"/>
    </row>
    <row r="143" spans="1:35" ht="15" customHeight="1">
      <c r="A143" s="1076" t="s">
        <v>670</v>
      </c>
      <c r="B143" s="1076" t="s">
        <v>672</v>
      </c>
      <c r="C143" s="1076" t="s">
        <v>72</v>
      </c>
      <c r="D143" s="1076" t="s">
        <v>177</v>
      </c>
      <c r="E143" s="1076" t="s">
        <v>66</v>
      </c>
      <c r="F143" s="1076" t="s">
        <v>217</v>
      </c>
      <c r="G143" s="1076" t="s">
        <v>679</v>
      </c>
      <c r="H143" s="1251">
        <v>45</v>
      </c>
      <c r="I143" s="1123" t="s">
        <v>137</v>
      </c>
      <c r="J143" s="1119">
        <v>6208152</v>
      </c>
      <c r="K143" s="1119">
        <v>9245200</v>
      </c>
      <c r="L143" s="1119">
        <v>20585499</v>
      </c>
      <c r="M143" s="1171">
        <v>40353</v>
      </c>
      <c r="N143" s="1196">
        <v>6208152</v>
      </c>
      <c r="O143" s="1119">
        <v>6208152</v>
      </c>
      <c r="P143" s="1119">
        <v>0</v>
      </c>
      <c r="Q143" s="1119">
        <v>6208152</v>
      </c>
      <c r="R143" s="1119">
        <v>20585499</v>
      </c>
      <c r="S143" s="1076" t="s">
        <v>673</v>
      </c>
      <c r="T143" s="1123" t="s">
        <v>675</v>
      </c>
      <c r="U143" s="866">
        <v>2483260.7999999998</v>
      </c>
      <c r="V143" s="855">
        <v>40382</v>
      </c>
      <c r="W143" s="1123" t="s">
        <v>137</v>
      </c>
      <c r="X143" s="1084">
        <v>9245200</v>
      </c>
      <c r="Y143" s="1084">
        <v>20585499</v>
      </c>
      <c r="Z143" s="827">
        <v>-1268441.7999999998</v>
      </c>
      <c r="AA143" s="1084">
        <v>1607666.7999999998</v>
      </c>
      <c r="AB143" s="1119">
        <v>0</v>
      </c>
      <c r="AC143" s="1119">
        <v>0</v>
      </c>
      <c r="AD143" s="1119">
        <v>0</v>
      </c>
      <c r="AE143" s="1119">
        <v>0</v>
      </c>
      <c r="AF143" s="1203" t="s">
        <v>695</v>
      </c>
      <c r="AG143" s="1204" t="s">
        <v>694</v>
      </c>
      <c r="AH143" s="1204" t="s">
        <v>194</v>
      </c>
      <c r="AI143" s="1204" t="s">
        <v>558</v>
      </c>
    </row>
    <row r="144" spans="1:35" ht="15" customHeight="1">
      <c r="A144" s="1076"/>
      <c r="B144" s="1076"/>
      <c r="C144" s="1076"/>
      <c r="D144" s="1076"/>
      <c r="E144" s="1076"/>
      <c r="F144" s="1076"/>
      <c r="G144" s="1076"/>
      <c r="H144" s="1251"/>
      <c r="I144" s="1123"/>
      <c r="J144" s="1119"/>
      <c r="K144" s="1119"/>
      <c r="L144" s="1119"/>
      <c r="M144" s="1171"/>
      <c r="N144" s="1196"/>
      <c r="O144" s="1119"/>
      <c r="P144" s="1119"/>
      <c r="Q144" s="1119"/>
      <c r="R144" s="1119"/>
      <c r="S144" s="1076"/>
      <c r="T144" s="1123"/>
      <c r="U144" s="866">
        <v>2607424</v>
      </c>
      <c r="V144" s="855">
        <v>40548</v>
      </c>
      <c r="W144" s="1123"/>
      <c r="X144" s="1084"/>
      <c r="Y144" s="1084"/>
      <c r="Z144" s="827">
        <v>-124163</v>
      </c>
      <c r="AA144" s="1084"/>
      <c r="AB144" s="1119"/>
      <c r="AC144" s="1119"/>
      <c r="AD144" s="1119"/>
      <c r="AE144" s="1119"/>
      <c r="AF144" s="1203"/>
      <c r="AG144" s="1204"/>
      <c r="AH144" s="1204"/>
      <c r="AI144" s="1204"/>
    </row>
    <row r="145" spans="1:35" ht="15" customHeight="1">
      <c r="A145" s="1076"/>
      <c r="B145" s="1076"/>
      <c r="C145" s="1076"/>
      <c r="D145" s="1076"/>
      <c r="E145" s="1076"/>
      <c r="F145" s="1076"/>
      <c r="G145" s="1076"/>
      <c r="H145" s="1251"/>
      <c r="I145" s="1123"/>
      <c r="J145" s="1119"/>
      <c r="K145" s="1119"/>
      <c r="L145" s="1119"/>
      <c r="M145" s="1171"/>
      <c r="N145" s="1196"/>
      <c r="O145" s="1119"/>
      <c r="P145" s="1119"/>
      <c r="Q145" s="1119"/>
      <c r="R145" s="1119"/>
      <c r="S145" s="1076"/>
      <c r="T145" s="1123" t="s">
        <v>676</v>
      </c>
      <c r="U145" s="866">
        <v>755492</v>
      </c>
      <c r="V145" s="855">
        <v>40869</v>
      </c>
      <c r="W145" s="1123"/>
      <c r="X145" s="1084"/>
      <c r="Y145" s="1084"/>
      <c r="Z145" s="827">
        <v>520068</v>
      </c>
      <c r="AA145" s="1084"/>
      <c r="AB145" s="1119"/>
      <c r="AC145" s="1119"/>
      <c r="AD145" s="1119"/>
      <c r="AE145" s="1119"/>
      <c r="AF145" s="1203"/>
      <c r="AG145" s="1204"/>
      <c r="AH145" s="1204"/>
      <c r="AI145" s="1204"/>
    </row>
    <row r="146" spans="1:35" ht="15" customHeight="1">
      <c r="A146" s="1076"/>
      <c r="B146" s="1076"/>
      <c r="C146" s="1076"/>
      <c r="D146" s="1076"/>
      <c r="E146" s="1076"/>
      <c r="F146" s="1076"/>
      <c r="G146" s="1076"/>
      <c r="H146" s="1251"/>
      <c r="I146" s="1123"/>
      <c r="J146" s="1119"/>
      <c r="K146" s="1119"/>
      <c r="L146" s="1119"/>
      <c r="M146" s="1171"/>
      <c r="N146" s="1196"/>
      <c r="O146" s="1119"/>
      <c r="P146" s="1119"/>
      <c r="Q146" s="1119"/>
      <c r="R146" s="1119"/>
      <c r="S146" s="1076"/>
      <c r="T146" s="1123"/>
      <c r="U146" s="866">
        <v>361975.2</v>
      </c>
      <c r="V146" s="855">
        <v>43005</v>
      </c>
      <c r="W146" s="1123"/>
      <c r="X146" s="1084"/>
      <c r="Y146" s="1084"/>
      <c r="Z146" s="827">
        <v>2245448.7999999998</v>
      </c>
      <c r="AA146" s="1084"/>
      <c r="AB146" s="1119"/>
      <c r="AC146" s="1119"/>
      <c r="AD146" s="1119"/>
      <c r="AE146" s="1119"/>
      <c r="AF146" s="1203"/>
      <c r="AG146" s="1204"/>
      <c r="AH146" s="1204"/>
      <c r="AI146" s="1204"/>
    </row>
    <row r="147" spans="1:35" ht="15" customHeight="1">
      <c r="A147" s="1076"/>
      <c r="B147" s="1076"/>
      <c r="C147" s="1076"/>
      <c r="D147" s="1076"/>
      <c r="E147" s="1076"/>
      <c r="F147" s="1076"/>
      <c r="G147" s="1076"/>
      <c r="H147" s="1251"/>
      <c r="I147" s="1123" t="s">
        <v>7</v>
      </c>
      <c r="J147" s="1119">
        <v>3037048</v>
      </c>
      <c r="K147" s="1119"/>
      <c r="L147" s="1119"/>
      <c r="M147" s="1171"/>
      <c r="N147" s="1196"/>
      <c r="O147" s="1119">
        <v>3037048</v>
      </c>
      <c r="P147" s="1119">
        <v>0</v>
      </c>
      <c r="Q147" s="1119">
        <v>3037048</v>
      </c>
      <c r="R147" s="1119"/>
      <c r="S147" s="1076"/>
      <c r="T147" s="1123" t="s">
        <v>678</v>
      </c>
      <c r="U147" s="866">
        <v>1214819.2</v>
      </c>
      <c r="V147" s="855">
        <v>40382</v>
      </c>
      <c r="W147" s="1123" t="s">
        <v>7</v>
      </c>
      <c r="X147" s="1084"/>
      <c r="Y147" s="1084"/>
      <c r="Z147" s="827">
        <v>-859293.2</v>
      </c>
      <c r="AA147" s="1084">
        <v>-1607666.7999999998</v>
      </c>
      <c r="AB147" s="1119"/>
      <c r="AC147" s="1119"/>
      <c r="AD147" s="1119"/>
      <c r="AE147" s="1119"/>
      <c r="AF147" s="1203"/>
      <c r="AG147" s="1204"/>
      <c r="AH147" s="1204"/>
      <c r="AI147" s="1204"/>
    </row>
    <row r="148" spans="1:35" ht="15" customHeight="1">
      <c r="A148" s="1076"/>
      <c r="B148" s="1076"/>
      <c r="C148" s="1076"/>
      <c r="D148" s="1076"/>
      <c r="E148" s="1076"/>
      <c r="F148" s="1076"/>
      <c r="G148" s="1076"/>
      <c r="H148" s="1251"/>
      <c r="I148" s="1123"/>
      <c r="J148" s="1119"/>
      <c r="K148" s="1119"/>
      <c r="L148" s="1119"/>
      <c r="M148" s="1171"/>
      <c r="N148" s="1196"/>
      <c r="O148" s="1119"/>
      <c r="P148" s="1119"/>
      <c r="Q148" s="1119"/>
      <c r="R148" s="1119"/>
      <c r="S148" s="1076"/>
      <c r="T148" s="1123"/>
      <c r="U148" s="866">
        <v>1275560</v>
      </c>
      <c r="V148" s="855">
        <v>40548</v>
      </c>
      <c r="W148" s="1123"/>
      <c r="X148" s="1084"/>
      <c r="Y148" s="1084"/>
      <c r="Z148" s="827">
        <v>-520068</v>
      </c>
      <c r="AA148" s="1084"/>
      <c r="AB148" s="1119"/>
      <c r="AC148" s="1119"/>
      <c r="AD148" s="1119"/>
      <c r="AE148" s="1119"/>
      <c r="AF148" s="1203"/>
      <c r="AG148" s="1204"/>
      <c r="AH148" s="1204"/>
      <c r="AI148" s="1204"/>
    </row>
    <row r="149" spans="1:35" ht="15" customHeight="1">
      <c r="A149" s="1076"/>
      <c r="B149" s="1076"/>
      <c r="C149" s="1076"/>
      <c r="D149" s="1076"/>
      <c r="E149" s="1076"/>
      <c r="F149" s="1076"/>
      <c r="G149" s="1076"/>
      <c r="H149" s="1251"/>
      <c r="I149" s="1123"/>
      <c r="J149" s="1119"/>
      <c r="K149" s="1119"/>
      <c r="L149" s="1119"/>
      <c r="M149" s="1171"/>
      <c r="N149" s="1196"/>
      <c r="O149" s="1119"/>
      <c r="P149" s="1119"/>
      <c r="Q149" s="1119"/>
      <c r="R149" s="1119"/>
      <c r="S149" s="1076"/>
      <c r="T149" s="1123" t="s">
        <v>693</v>
      </c>
      <c r="U149" s="866">
        <v>355526</v>
      </c>
      <c r="V149" s="855">
        <v>40869</v>
      </c>
      <c r="W149" s="1123"/>
      <c r="X149" s="1084"/>
      <c r="Y149" s="1084"/>
      <c r="Z149" s="827">
        <v>-236039.8</v>
      </c>
      <c r="AA149" s="1084"/>
      <c r="AB149" s="1119"/>
      <c r="AC149" s="1119"/>
      <c r="AD149" s="1119"/>
      <c r="AE149" s="1119"/>
      <c r="AF149" s="1203"/>
      <c r="AG149" s="1204"/>
      <c r="AH149" s="1204"/>
      <c r="AI149" s="1204"/>
    </row>
    <row r="150" spans="1:35" ht="15" customHeight="1">
      <c r="A150" s="1076"/>
      <c r="B150" s="1076"/>
      <c r="C150" s="1076"/>
      <c r="D150" s="1076"/>
      <c r="E150" s="1076"/>
      <c r="F150" s="1076"/>
      <c r="G150" s="1076"/>
      <c r="H150" s="1251"/>
      <c r="I150" s="1123"/>
      <c r="J150" s="1119"/>
      <c r="K150" s="1119"/>
      <c r="L150" s="1119"/>
      <c r="M150" s="1171"/>
      <c r="N150" s="1196"/>
      <c r="O150" s="1119"/>
      <c r="P150" s="1119"/>
      <c r="Q150" s="1119"/>
      <c r="R150" s="1119"/>
      <c r="S150" s="1076"/>
      <c r="T150" s="1123"/>
      <c r="U150" s="866">
        <v>191142.8</v>
      </c>
      <c r="V150" s="855">
        <v>43005</v>
      </c>
      <c r="W150" s="1123"/>
      <c r="X150" s="1084"/>
      <c r="Y150" s="1084"/>
      <c r="Z150" s="827">
        <v>242488.99999999994</v>
      </c>
      <c r="AA150" s="1084"/>
      <c r="AB150" s="1119"/>
      <c r="AC150" s="1119"/>
      <c r="AD150" s="1119"/>
      <c r="AE150" s="1119"/>
      <c r="AF150" s="1203"/>
      <c r="AG150" s="1204"/>
      <c r="AH150" s="1204"/>
      <c r="AI150" s="1204"/>
    </row>
    <row r="151" spans="1:35" ht="15" customHeight="1">
      <c r="A151" s="1076"/>
      <c r="B151" s="1076"/>
      <c r="C151" s="1076"/>
      <c r="D151" s="1076"/>
      <c r="E151" s="1076"/>
      <c r="F151" s="1076"/>
      <c r="G151" s="1076"/>
      <c r="H151" s="1251">
        <v>46</v>
      </c>
      <c r="I151" s="1123" t="s">
        <v>137</v>
      </c>
      <c r="J151" s="1119">
        <v>4510935</v>
      </c>
      <c r="K151" s="1119">
        <v>6717699</v>
      </c>
      <c r="L151" s="1119"/>
      <c r="M151" s="1171">
        <v>40353</v>
      </c>
      <c r="N151" s="1196">
        <v>4510935</v>
      </c>
      <c r="O151" s="1119">
        <v>4510935</v>
      </c>
      <c r="P151" s="1119">
        <v>0</v>
      </c>
      <c r="Q151" s="1119">
        <v>4510935</v>
      </c>
      <c r="R151" s="1119"/>
      <c r="S151" s="1076"/>
      <c r="T151" s="840" t="s">
        <v>674</v>
      </c>
      <c r="U151" s="866">
        <v>1804374.27</v>
      </c>
      <c r="V151" s="855">
        <v>40382</v>
      </c>
      <c r="W151" s="1123" t="s">
        <v>137</v>
      </c>
      <c r="X151" s="1084">
        <v>6717698.9999999991</v>
      </c>
      <c r="Y151" s="1084"/>
      <c r="Z151" s="827">
        <v>882705.73</v>
      </c>
      <c r="AA151" s="1084">
        <v>4371167.63</v>
      </c>
      <c r="AB151" s="1119">
        <v>0.18000000063329935</v>
      </c>
      <c r="AC151" s="1119">
        <v>9</v>
      </c>
      <c r="AD151" s="1119">
        <v>-9.1799999997019768</v>
      </c>
      <c r="AE151" s="1119">
        <v>-0.17999999970197678</v>
      </c>
      <c r="AF151" s="1203"/>
      <c r="AG151" s="1204"/>
      <c r="AH151" s="1204"/>
      <c r="AI151" s="1204"/>
    </row>
    <row r="152" spans="1:35" ht="15" customHeight="1">
      <c r="A152" s="1076"/>
      <c r="B152" s="1076"/>
      <c r="C152" s="1076"/>
      <c r="D152" s="1076"/>
      <c r="E152" s="1076"/>
      <c r="F152" s="1076"/>
      <c r="G152" s="1076"/>
      <c r="H152" s="1251"/>
      <c r="I152" s="1123"/>
      <c r="J152" s="1119"/>
      <c r="K152" s="1119"/>
      <c r="L152" s="1119"/>
      <c r="M152" s="1171"/>
      <c r="N152" s="1196"/>
      <c r="O152" s="1119"/>
      <c r="P152" s="1119"/>
      <c r="Q152" s="1119"/>
      <c r="R152" s="1119"/>
      <c r="S152" s="1076"/>
      <c r="T152" s="840"/>
      <c r="U152" s="866">
        <v>1894593</v>
      </c>
      <c r="V152" s="855">
        <v>40548</v>
      </c>
      <c r="W152" s="1123"/>
      <c r="X152" s="1084"/>
      <c r="Y152" s="1084"/>
      <c r="Z152" s="827"/>
      <c r="AA152" s="1084"/>
      <c r="AB152" s="1119"/>
      <c r="AC152" s="1119"/>
      <c r="AD152" s="1119"/>
      <c r="AE152" s="1119"/>
      <c r="AF152" s="1203"/>
      <c r="AG152" s="1204"/>
      <c r="AH152" s="1204"/>
      <c r="AI152" s="1204"/>
    </row>
    <row r="153" spans="1:35" ht="15" customHeight="1">
      <c r="A153" s="1076"/>
      <c r="B153" s="1076"/>
      <c r="C153" s="1076"/>
      <c r="D153" s="1076"/>
      <c r="E153" s="1076"/>
      <c r="F153" s="1076"/>
      <c r="G153" s="1076"/>
      <c r="H153" s="1251"/>
      <c r="I153" s="1123"/>
      <c r="J153" s="1119"/>
      <c r="K153" s="1119"/>
      <c r="L153" s="1119"/>
      <c r="M153" s="1171"/>
      <c r="N153" s="1196"/>
      <c r="O153" s="1119"/>
      <c r="P153" s="1119"/>
      <c r="Q153" s="1119"/>
      <c r="R153" s="1119"/>
      <c r="S153" s="1076"/>
      <c r="T153" s="840"/>
      <c r="U153" s="866">
        <v>547080</v>
      </c>
      <c r="V153" s="855">
        <v>40869</v>
      </c>
      <c r="W153" s="1123"/>
      <c r="X153" s="1084"/>
      <c r="Y153" s="1084"/>
      <c r="Z153" s="827"/>
      <c r="AA153" s="1084"/>
      <c r="AB153" s="1119"/>
      <c r="AC153" s="1119"/>
      <c r="AD153" s="1119"/>
      <c r="AE153" s="1119"/>
      <c r="AF153" s="1203"/>
      <c r="AG153" s="1204"/>
      <c r="AH153" s="1204"/>
      <c r="AI153" s="1204"/>
    </row>
    <row r="154" spans="1:35" ht="15" customHeight="1">
      <c r="A154" s="1076"/>
      <c r="B154" s="1076"/>
      <c r="C154" s="1076"/>
      <c r="D154" s="1076"/>
      <c r="E154" s="1076"/>
      <c r="F154" s="1076"/>
      <c r="G154" s="1076"/>
      <c r="H154" s="1251"/>
      <c r="I154" s="1123"/>
      <c r="J154" s="1119"/>
      <c r="K154" s="1119"/>
      <c r="L154" s="1119"/>
      <c r="M154" s="1171"/>
      <c r="N154" s="1196"/>
      <c r="O154" s="1119"/>
      <c r="P154" s="1119"/>
      <c r="Q154" s="1119"/>
      <c r="R154" s="1119"/>
      <c r="S154" s="1076"/>
      <c r="T154" s="840" t="s">
        <v>676</v>
      </c>
      <c r="U154" s="866">
        <v>264887.63</v>
      </c>
      <c r="V154" s="855">
        <v>43005</v>
      </c>
      <c r="W154" s="1123"/>
      <c r="X154" s="1084"/>
      <c r="Y154" s="1084"/>
      <c r="Z154" s="827">
        <v>2556545.65</v>
      </c>
      <c r="AA154" s="1084"/>
      <c r="AB154" s="1119"/>
      <c r="AC154" s="1119"/>
      <c r="AD154" s="1119"/>
      <c r="AE154" s="1119"/>
      <c r="AF154" s="1203"/>
      <c r="AG154" s="1204"/>
      <c r="AH154" s="1204"/>
      <c r="AI154" s="1204"/>
    </row>
    <row r="155" spans="1:35" ht="15" customHeight="1">
      <c r="A155" s="1076"/>
      <c r="B155" s="1076"/>
      <c r="C155" s="1076"/>
      <c r="D155" s="1076"/>
      <c r="E155" s="1076"/>
      <c r="F155" s="1076"/>
      <c r="G155" s="1076"/>
      <c r="H155" s="1251"/>
      <c r="I155" s="1123" t="s">
        <v>7</v>
      </c>
      <c r="J155" s="1119">
        <v>2206764</v>
      </c>
      <c r="K155" s="1119"/>
      <c r="L155" s="1119"/>
      <c r="M155" s="1171"/>
      <c r="N155" s="1196"/>
      <c r="O155" s="1119">
        <v>2206764</v>
      </c>
      <c r="P155" s="1119">
        <v>0</v>
      </c>
      <c r="Q155" s="1119">
        <v>2206755</v>
      </c>
      <c r="R155" s="1119"/>
      <c r="S155" s="1076"/>
      <c r="T155" s="840" t="s">
        <v>677</v>
      </c>
      <c r="U155" s="866">
        <v>882705.73</v>
      </c>
      <c r="V155" s="855">
        <v>40382</v>
      </c>
      <c r="W155" s="1123" t="s">
        <v>7</v>
      </c>
      <c r="X155" s="1084"/>
      <c r="Y155" s="1084"/>
      <c r="Z155" s="827">
        <v>-78175.729999999981</v>
      </c>
      <c r="AA155" s="1084">
        <v>-745203.63</v>
      </c>
      <c r="AB155" s="1119"/>
      <c r="AC155" s="1119"/>
      <c r="AD155" s="1119"/>
      <c r="AE155" s="1119"/>
      <c r="AF155" s="1203"/>
      <c r="AG155" s="1204"/>
      <c r="AH155" s="1204"/>
      <c r="AI155" s="1204"/>
    </row>
    <row r="156" spans="1:35" ht="15" customHeight="1">
      <c r="A156" s="1076"/>
      <c r="B156" s="1076"/>
      <c r="C156" s="1076"/>
      <c r="D156" s="1076"/>
      <c r="E156" s="1076"/>
      <c r="F156" s="1076"/>
      <c r="G156" s="1076"/>
      <c r="H156" s="1251"/>
      <c r="I156" s="1123"/>
      <c r="J156" s="1119"/>
      <c r="K156" s="1119"/>
      <c r="L156" s="1119"/>
      <c r="M156" s="1171"/>
      <c r="N156" s="1196"/>
      <c r="O156" s="1119"/>
      <c r="P156" s="1119"/>
      <c r="Q156" s="1119"/>
      <c r="R156" s="1119"/>
      <c r="S156" s="1076"/>
      <c r="T156" s="840"/>
      <c r="U156" s="866">
        <v>926841</v>
      </c>
      <c r="V156" s="855">
        <v>40548</v>
      </c>
      <c r="W156" s="1123"/>
      <c r="X156" s="1084"/>
      <c r="Y156" s="1084"/>
      <c r="Z156" s="827"/>
      <c r="AA156" s="1084"/>
      <c r="AB156" s="1119"/>
      <c r="AC156" s="1119"/>
      <c r="AD156" s="1119"/>
      <c r="AE156" s="1119"/>
      <c r="AF156" s="1203"/>
      <c r="AG156" s="1204"/>
      <c r="AH156" s="1204"/>
      <c r="AI156" s="1204"/>
    </row>
    <row r="157" spans="1:35" ht="15" customHeight="1">
      <c r="A157" s="1076"/>
      <c r="B157" s="1076"/>
      <c r="C157" s="1076"/>
      <c r="D157" s="1076"/>
      <c r="E157" s="1076"/>
      <c r="F157" s="1076"/>
      <c r="G157" s="1076"/>
      <c r="H157" s="1251"/>
      <c r="I157" s="1123"/>
      <c r="J157" s="1119"/>
      <c r="K157" s="1119"/>
      <c r="L157" s="1119"/>
      <c r="M157" s="1171"/>
      <c r="N157" s="1196"/>
      <c r="O157" s="1119"/>
      <c r="P157" s="1119"/>
      <c r="Q157" s="1119"/>
      <c r="R157" s="1119"/>
      <c r="S157" s="1076"/>
      <c r="T157" s="840"/>
      <c r="U157" s="866">
        <v>257450</v>
      </c>
      <c r="V157" s="855">
        <v>40869</v>
      </c>
      <c r="W157" s="1123"/>
      <c r="X157" s="1084"/>
      <c r="Y157" s="1084"/>
      <c r="Z157" s="827"/>
      <c r="AA157" s="1084"/>
      <c r="AB157" s="1119"/>
      <c r="AC157" s="1119"/>
      <c r="AD157" s="1119"/>
      <c r="AE157" s="1119"/>
      <c r="AF157" s="1203"/>
      <c r="AG157" s="1204"/>
      <c r="AH157" s="1204"/>
      <c r="AI157" s="1204"/>
    </row>
    <row r="158" spans="1:35" ht="15" customHeight="1">
      <c r="A158" s="1076"/>
      <c r="B158" s="1076"/>
      <c r="C158" s="1076"/>
      <c r="D158" s="1076"/>
      <c r="E158" s="1076"/>
      <c r="F158" s="1076"/>
      <c r="G158" s="1076"/>
      <c r="H158" s="1251"/>
      <c r="I158" s="1123"/>
      <c r="J158" s="1119"/>
      <c r="K158" s="1119"/>
      <c r="L158" s="1119"/>
      <c r="M158" s="1171"/>
      <c r="N158" s="1196"/>
      <c r="O158" s="1119"/>
      <c r="P158" s="1119"/>
      <c r="Q158" s="1119"/>
      <c r="R158" s="1119"/>
      <c r="S158" s="1076"/>
      <c r="T158" s="840" t="s">
        <v>693</v>
      </c>
      <c r="U158" s="866">
        <v>139767.37</v>
      </c>
      <c r="V158" s="855">
        <v>43005</v>
      </c>
      <c r="W158" s="1123"/>
      <c r="X158" s="1084"/>
      <c r="Y158" s="1084"/>
      <c r="Z158" s="827">
        <v>264888.63</v>
      </c>
      <c r="AA158" s="1084"/>
      <c r="AB158" s="1119"/>
      <c r="AC158" s="1119"/>
      <c r="AD158" s="1119"/>
      <c r="AE158" s="1119"/>
      <c r="AF158" s="1203"/>
      <c r="AG158" s="1204"/>
      <c r="AH158" s="1204"/>
      <c r="AI158" s="1204"/>
    </row>
    <row r="159" spans="1:35" ht="15" customHeight="1">
      <c r="A159" s="1076"/>
      <c r="B159" s="1076"/>
      <c r="C159" s="1076"/>
      <c r="D159" s="1076"/>
      <c r="E159" s="823" t="s">
        <v>171</v>
      </c>
      <c r="F159" s="1076"/>
      <c r="G159" s="1076"/>
      <c r="H159" s="879">
        <v>161</v>
      </c>
      <c r="I159" s="840" t="s">
        <v>7</v>
      </c>
      <c r="J159" s="858">
        <v>4622600</v>
      </c>
      <c r="K159" s="858">
        <v>4622600</v>
      </c>
      <c r="L159" s="1119"/>
      <c r="M159" s="855"/>
      <c r="N159" s="862">
        <v>4622600</v>
      </c>
      <c r="O159" s="858">
        <v>4622600</v>
      </c>
      <c r="P159" s="858">
        <v>0</v>
      </c>
      <c r="Q159" s="858">
        <v>4622600</v>
      </c>
      <c r="R159" s="1119"/>
      <c r="S159" s="1076"/>
      <c r="T159" s="840" t="s">
        <v>693</v>
      </c>
      <c r="U159" s="866">
        <v>4622600</v>
      </c>
      <c r="V159" s="855">
        <v>43005</v>
      </c>
      <c r="W159" s="866" t="s">
        <v>7</v>
      </c>
      <c r="X159" s="827">
        <v>4622600</v>
      </c>
      <c r="Y159" s="1084"/>
      <c r="Z159" s="827">
        <v>0</v>
      </c>
      <c r="AA159" s="827">
        <v>0</v>
      </c>
      <c r="AB159" s="858">
        <v>0</v>
      </c>
      <c r="AC159" s="858">
        <v>0</v>
      </c>
      <c r="AD159" s="858">
        <v>0</v>
      </c>
      <c r="AE159" s="858">
        <v>0</v>
      </c>
      <c r="AF159" s="1203"/>
      <c r="AG159" s="1204"/>
      <c r="AH159" s="1204"/>
      <c r="AI159" s="1204"/>
    </row>
    <row r="160" spans="1:35" s="4" customFormat="1" ht="15" customHeight="1">
      <c r="A160" s="1076" t="s">
        <v>296</v>
      </c>
      <c r="B160" s="1076" t="s">
        <v>298</v>
      </c>
      <c r="C160" s="1076" t="s">
        <v>70</v>
      </c>
      <c r="D160" s="1076" t="s">
        <v>177</v>
      </c>
      <c r="E160" s="1076" t="s">
        <v>66</v>
      </c>
      <c r="F160" s="1319" t="s">
        <v>50</v>
      </c>
      <c r="G160" s="1076" t="s">
        <v>300</v>
      </c>
      <c r="H160" s="1318">
        <v>49</v>
      </c>
      <c r="I160" s="1076" t="s">
        <v>7</v>
      </c>
      <c r="J160" s="1119">
        <v>4487734</v>
      </c>
      <c r="K160" s="1119">
        <v>13661291</v>
      </c>
      <c r="L160" s="1119">
        <v>20082098</v>
      </c>
      <c r="M160" s="1171">
        <v>40353</v>
      </c>
      <c r="N160" s="862"/>
      <c r="O160" s="858"/>
      <c r="P160" s="858"/>
      <c r="Q160" s="1119">
        <v>4487734</v>
      </c>
      <c r="R160" s="1119">
        <v>20082098</v>
      </c>
      <c r="S160" s="1076" t="s">
        <v>282</v>
      </c>
      <c r="T160" s="1123" t="s">
        <v>346</v>
      </c>
      <c r="U160" s="56">
        <v>1795094</v>
      </c>
      <c r="V160" s="1171">
        <v>40389</v>
      </c>
      <c r="W160" s="56"/>
      <c r="X160" s="1315">
        <v>12841615</v>
      </c>
      <c r="Y160" s="1315">
        <v>14767857</v>
      </c>
      <c r="Z160" s="1315">
        <v>0</v>
      </c>
      <c r="AA160" s="1084">
        <v>0</v>
      </c>
      <c r="AB160" s="1119">
        <v>-546453</v>
      </c>
      <c r="AC160" s="1119">
        <v>0</v>
      </c>
      <c r="AD160" s="1119">
        <v>269263.35999999987</v>
      </c>
      <c r="AE160" s="1119">
        <v>269263.35999999987</v>
      </c>
      <c r="AF160" s="1203" t="s">
        <v>353</v>
      </c>
      <c r="AG160" s="1204" t="s">
        <v>335</v>
      </c>
      <c r="AH160" s="1204" t="s">
        <v>194</v>
      </c>
      <c r="AI160" s="1204" t="s">
        <v>345</v>
      </c>
    </row>
    <row r="161" spans="1:36" s="4" customFormat="1" ht="15" customHeight="1">
      <c r="A161" s="1076"/>
      <c r="B161" s="1076"/>
      <c r="C161" s="1076"/>
      <c r="D161" s="1076"/>
      <c r="E161" s="1076"/>
      <c r="F161" s="1319"/>
      <c r="G161" s="1076"/>
      <c r="H161" s="1318"/>
      <c r="I161" s="1076"/>
      <c r="J161" s="1119"/>
      <c r="K161" s="1119"/>
      <c r="L161" s="1119"/>
      <c r="M161" s="1171"/>
      <c r="N161" s="862"/>
      <c r="O161" s="858"/>
      <c r="P161" s="858"/>
      <c r="Q161" s="1119"/>
      <c r="R161" s="1119"/>
      <c r="S161" s="1076"/>
      <c r="T161" s="1123"/>
      <c r="U161" s="56">
        <v>3669423</v>
      </c>
      <c r="V161" s="1171"/>
      <c r="W161" s="56"/>
      <c r="X161" s="1315"/>
      <c r="Y161" s="1315"/>
      <c r="Z161" s="1315"/>
      <c r="AA161" s="1084"/>
      <c r="AB161" s="1119"/>
      <c r="AC161" s="1119"/>
      <c r="AD161" s="1119"/>
      <c r="AE161" s="1119"/>
      <c r="AF161" s="1203"/>
      <c r="AG161" s="1204"/>
      <c r="AH161" s="1204"/>
      <c r="AI161" s="1204"/>
    </row>
    <row r="162" spans="1:36" s="4" customFormat="1" ht="15" customHeight="1">
      <c r="A162" s="1076"/>
      <c r="B162" s="1076"/>
      <c r="C162" s="1076"/>
      <c r="D162" s="1076"/>
      <c r="E162" s="1076"/>
      <c r="F162" s="1319"/>
      <c r="G162" s="1076"/>
      <c r="H162" s="1318"/>
      <c r="I162" s="1076" t="s">
        <v>137</v>
      </c>
      <c r="J162" s="1119">
        <v>9173557</v>
      </c>
      <c r="K162" s="1119"/>
      <c r="L162" s="1119"/>
      <c r="M162" s="1171"/>
      <c r="N162" s="862"/>
      <c r="O162" s="858"/>
      <c r="P162" s="858"/>
      <c r="Q162" s="1119">
        <v>9173557</v>
      </c>
      <c r="R162" s="1119"/>
      <c r="S162" s="1076"/>
      <c r="T162" s="1123" t="s">
        <v>299</v>
      </c>
      <c r="U162" s="56">
        <v>2423376.64</v>
      </c>
      <c r="V162" s="1171">
        <v>41992</v>
      </c>
      <c r="W162" s="56"/>
      <c r="X162" s="1315"/>
      <c r="Y162" s="1315"/>
      <c r="Z162" s="1315"/>
      <c r="AA162" s="1084">
        <v>0</v>
      </c>
      <c r="AB162" s="1119"/>
      <c r="AC162" s="1119">
        <v>0</v>
      </c>
      <c r="AD162" s="1119">
        <v>550412.63999999966</v>
      </c>
      <c r="AE162" s="1119">
        <v>550412.63999999966</v>
      </c>
      <c r="AF162" s="1203"/>
      <c r="AG162" s="1204"/>
      <c r="AH162" s="1204"/>
      <c r="AI162" s="1204"/>
    </row>
    <row r="163" spans="1:36" s="4" customFormat="1" ht="15" customHeight="1">
      <c r="A163" s="1076"/>
      <c r="B163" s="1076"/>
      <c r="C163" s="1076"/>
      <c r="D163" s="1076"/>
      <c r="E163" s="1076"/>
      <c r="F163" s="1319"/>
      <c r="G163" s="1076"/>
      <c r="H163" s="1318"/>
      <c r="I163" s="1076"/>
      <c r="J163" s="1119"/>
      <c r="K163" s="1119"/>
      <c r="L163" s="1119"/>
      <c r="M163" s="1171"/>
      <c r="N163" s="862"/>
      <c r="O163" s="858"/>
      <c r="P163" s="858"/>
      <c r="Q163" s="1119"/>
      <c r="R163" s="1119"/>
      <c r="S163" s="1076"/>
      <c r="T163" s="1123"/>
      <c r="U163" s="56">
        <v>4953721.3600000003</v>
      </c>
      <c r="V163" s="1171"/>
      <c r="W163" s="56"/>
      <c r="X163" s="1315"/>
      <c r="Y163" s="1315"/>
      <c r="Z163" s="1315"/>
      <c r="AA163" s="1084"/>
      <c r="AB163" s="1119"/>
      <c r="AC163" s="1119"/>
      <c r="AD163" s="1119"/>
      <c r="AE163" s="1119"/>
      <c r="AF163" s="1203"/>
      <c r="AG163" s="1204"/>
      <c r="AH163" s="1204"/>
      <c r="AI163" s="1204"/>
    </row>
    <row r="164" spans="1:36" s="4" customFormat="1" ht="15" customHeight="1">
      <c r="A164" s="1076"/>
      <c r="B164" s="1076"/>
      <c r="C164" s="1076"/>
      <c r="D164" s="1076"/>
      <c r="E164" s="823" t="s">
        <v>67</v>
      </c>
      <c r="F164" s="1319"/>
      <c r="G164" s="1076"/>
      <c r="H164" s="880">
        <v>140</v>
      </c>
      <c r="I164" s="823" t="s">
        <v>7</v>
      </c>
      <c r="J164" s="858">
        <v>6420807</v>
      </c>
      <c r="K164" s="858">
        <v>6420807</v>
      </c>
      <c r="L164" s="1119"/>
      <c r="M164" s="855">
        <v>40647</v>
      </c>
      <c r="N164" s="862"/>
      <c r="O164" s="858"/>
      <c r="P164" s="858"/>
      <c r="Q164" s="858">
        <v>6420807</v>
      </c>
      <c r="R164" s="1119"/>
      <c r="S164" s="1076"/>
      <c r="T164" s="840" t="s">
        <v>347</v>
      </c>
      <c r="U164" s="56">
        <v>1926242</v>
      </c>
      <c r="V164" s="855">
        <v>41992</v>
      </c>
      <c r="W164" s="56"/>
      <c r="X164" s="884">
        <v>1926242</v>
      </c>
      <c r="Y164" s="1315"/>
      <c r="Z164" s="884">
        <v>0</v>
      </c>
      <c r="AA164" s="827">
        <v>0</v>
      </c>
      <c r="AB164" s="1119"/>
      <c r="AC164" s="858">
        <v>0</v>
      </c>
      <c r="AD164" s="858">
        <v>4494565</v>
      </c>
      <c r="AE164" s="858">
        <v>4494565</v>
      </c>
      <c r="AF164" s="1203"/>
      <c r="AG164" s="1204"/>
      <c r="AH164" s="1204"/>
      <c r="AI164" s="1204"/>
    </row>
    <row r="165" spans="1:36" s="4" customFormat="1" ht="15" customHeight="1">
      <c r="A165" s="1076" t="s">
        <v>301</v>
      </c>
      <c r="B165" s="1076" t="s">
        <v>303</v>
      </c>
      <c r="C165" s="1076" t="s">
        <v>70</v>
      </c>
      <c r="D165" s="1076" t="s">
        <v>177</v>
      </c>
      <c r="E165" s="1076" t="s">
        <v>66</v>
      </c>
      <c r="F165" s="1076" t="s">
        <v>183</v>
      </c>
      <c r="G165" s="1076" t="s">
        <v>306</v>
      </c>
      <c r="H165" s="1318">
        <v>51</v>
      </c>
      <c r="I165" s="1076" t="s">
        <v>7</v>
      </c>
      <c r="J165" s="1119">
        <v>3945876</v>
      </c>
      <c r="K165" s="1119">
        <v>12011800</v>
      </c>
      <c r="L165" s="1119">
        <v>16821848</v>
      </c>
      <c r="M165" s="1171">
        <v>40353</v>
      </c>
      <c r="N165" s="862"/>
      <c r="O165" s="858"/>
      <c r="P165" s="858"/>
      <c r="Q165" s="1119">
        <v>3945876</v>
      </c>
      <c r="R165" s="1119">
        <v>16821848</v>
      </c>
      <c r="S165" s="1076" t="s">
        <v>282</v>
      </c>
      <c r="T165" s="1123" t="s">
        <v>344</v>
      </c>
      <c r="U165" s="56">
        <v>3226370</v>
      </c>
      <c r="V165" s="1171">
        <v>40382</v>
      </c>
      <c r="W165" s="56"/>
      <c r="X165" s="1315">
        <v>12011800</v>
      </c>
      <c r="Y165" s="1315">
        <v>16821848</v>
      </c>
      <c r="Z165" s="1315">
        <v>0</v>
      </c>
      <c r="AA165" s="1084">
        <v>-4479801.2</v>
      </c>
      <c r="AB165" s="1119">
        <v>0</v>
      </c>
      <c r="AC165" s="1119">
        <v>0</v>
      </c>
      <c r="AD165" s="1119">
        <v>0</v>
      </c>
      <c r="AE165" s="1119">
        <v>0</v>
      </c>
      <c r="AF165" s="1203" t="s">
        <v>354</v>
      </c>
      <c r="AG165" s="1204" t="s">
        <v>320</v>
      </c>
      <c r="AH165" s="1204" t="s">
        <v>194</v>
      </c>
      <c r="AI165" s="1204" t="s">
        <v>345</v>
      </c>
    </row>
    <row r="166" spans="1:36" s="4" customFormat="1" ht="15" customHeight="1">
      <c r="A166" s="1076"/>
      <c r="B166" s="1076"/>
      <c r="C166" s="1076"/>
      <c r="D166" s="1076"/>
      <c r="E166" s="1076"/>
      <c r="F166" s="1076"/>
      <c r="G166" s="1076"/>
      <c r="H166" s="1318"/>
      <c r="I166" s="1076"/>
      <c r="J166" s="1119"/>
      <c r="K166" s="1119"/>
      <c r="L166" s="1119"/>
      <c r="M166" s="1171"/>
      <c r="N166" s="862"/>
      <c r="O166" s="858"/>
      <c r="P166" s="858"/>
      <c r="Q166" s="1119"/>
      <c r="R166" s="1119"/>
      <c r="S166" s="1076"/>
      <c r="T166" s="1123"/>
      <c r="U166" s="56">
        <v>1578350</v>
      </c>
      <c r="V166" s="1171"/>
      <c r="W166" s="56"/>
      <c r="X166" s="1315"/>
      <c r="Y166" s="1315"/>
      <c r="Z166" s="1315"/>
      <c r="AA166" s="1084"/>
      <c r="AB166" s="1119"/>
      <c r="AC166" s="1119"/>
      <c r="AD166" s="1119"/>
      <c r="AE166" s="1119"/>
      <c r="AF166" s="1203"/>
      <c r="AG166" s="1204"/>
      <c r="AH166" s="1204"/>
      <c r="AI166" s="1204"/>
    </row>
    <row r="167" spans="1:36" s="4" customFormat="1" ht="15" customHeight="1">
      <c r="A167" s="1076"/>
      <c r="B167" s="1076"/>
      <c r="C167" s="1076"/>
      <c r="D167" s="1076"/>
      <c r="E167" s="1076"/>
      <c r="F167" s="1076"/>
      <c r="G167" s="1076"/>
      <c r="H167" s="1318"/>
      <c r="I167" s="1076"/>
      <c r="J167" s="1119"/>
      <c r="K167" s="1119"/>
      <c r="L167" s="1119"/>
      <c r="M167" s="1171"/>
      <c r="N167" s="862"/>
      <c r="O167" s="858"/>
      <c r="P167" s="858"/>
      <c r="Q167" s="1119"/>
      <c r="R167" s="1119"/>
      <c r="S167" s="1076"/>
      <c r="T167" s="1123" t="s">
        <v>304</v>
      </c>
      <c r="U167" s="56">
        <v>2419777.2000000002</v>
      </c>
      <c r="V167" s="1171">
        <v>40499</v>
      </c>
      <c r="W167" s="56"/>
      <c r="X167" s="1315"/>
      <c r="Y167" s="1315"/>
      <c r="Z167" s="1315"/>
      <c r="AA167" s="1084"/>
      <c r="AB167" s="1119"/>
      <c r="AC167" s="1119"/>
      <c r="AD167" s="1119"/>
      <c r="AE167" s="1119"/>
      <c r="AF167" s="1203"/>
      <c r="AG167" s="1204"/>
      <c r="AH167" s="1204"/>
      <c r="AI167" s="1204"/>
    </row>
    <row r="168" spans="1:36" s="4" customFormat="1" ht="15" customHeight="1">
      <c r="A168" s="1076"/>
      <c r="B168" s="1076"/>
      <c r="C168" s="1076"/>
      <c r="D168" s="1076"/>
      <c r="E168" s="1076"/>
      <c r="F168" s="1076"/>
      <c r="G168" s="1076"/>
      <c r="H168" s="1318"/>
      <c r="I168" s="1076"/>
      <c r="J168" s="1119"/>
      <c r="K168" s="1119"/>
      <c r="L168" s="1119"/>
      <c r="M168" s="1171"/>
      <c r="N168" s="862"/>
      <c r="O168" s="858"/>
      <c r="P168" s="858"/>
      <c r="Q168" s="1119"/>
      <c r="R168" s="1119"/>
      <c r="S168" s="1076"/>
      <c r="T168" s="1123"/>
      <c r="U168" s="56">
        <v>1183762.8</v>
      </c>
      <c r="V168" s="1171"/>
      <c r="W168" s="56"/>
      <c r="X168" s="1315"/>
      <c r="Y168" s="1315"/>
      <c r="Z168" s="1315"/>
      <c r="AA168" s="1084"/>
      <c r="AB168" s="1119"/>
      <c r="AC168" s="1119"/>
      <c r="AD168" s="1119"/>
      <c r="AE168" s="1119"/>
      <c r="AF168" s="1203"/>
      <c r="AG168" s="1204"/>
      <c r="AH168" s="1204"/>
      <c r="AI168" s="1204"/>
    </row>
    <row r="169" spans="1:36" s="4" customFormat="1" ht="15" customHeight="1">
      <c r="A169" s="1076"/>
      <c r="B169" s="1076"/>
      <c r="C169" s="1076"/>
      <c r="D169" s="1076"/>
      <c r="E169" s="1076"/>
      <c r="F169" s="1076"/>
      <c r="G169" s="1076"/>
      <c r="H169" s="1318"/>
      <c r="I169" s="1076" t="s">
        <v>137</v>
      </c>
      <c r="J169" s="1119">
        <v>8065924</v>
      </c>
      <c r="K169" s="1119"/>
      <c r="L169" s="1119"/>
      <c r="M169" s="1171"/>
      <c r="N169" s="862"/>
      <c r="O169" s="858"/>
      <c r="P169" s="858"/>
      <c r="Q169" s="1119">
        <v>8065924</v>
      </c>
      <c r="R169" s="1119"/>
      <c r="S169" s="1076"/>
      <c r="T169" s="1123" t="s">
        <v>305</v>
      </c>
      <c r="U169" s="56">
        <v>1613184</v>
      </c>
      <c r="V169" s="1171">
        <v>40542</v>
      </c>
      <c r="W169" s="56"/>
      <c r="X169" s="1315"/>
      <c r="Y169" s="1315"/>
      <c r="Z169" s="1315"/>
      <c r="AA169" s="1084">
        <v>4479801.2</v>
      </c>
      <c r="AB169" s="1119"/>
      <c r="AC169" s="1119"/>
      <c r="AD169" s="1119"/>
      <c r="AE169" s="1119"/>
      <c r="AF169" s="1203"/>
      <c r="AG169" s="1204"/>
      <c r="AH169" s="1204"/>
      <c r="AI169" s="1204"/>
    </row>
    <row r="170" spans="1:36" s="4" customFormat="1" ht="15" customHeight="1">
      <c r="A170" s="1076"/>
      <c r="B170" s="1076"/>
      <c r="C170" s="1076"/>
      <c r="D170" s="1076"/>
      <c r="E170" s="1076"/>
      <c r="F170" s="1076"/>
      <c r="G170" s="1076"/>
      <c r="H170" s="1318"/>
      <c r="I170" s="1076"/>
      <c r="J170" s="1119"/>
      <c r="K170" s="1119"/>
      <c r="L170" s="1119"/>
      <c r="M170" s="1171"/>
      <c r="N170" s="862"/>
      <c r="O170" s="858"/>
      <c r="P170" s="858"/>
      <c r="Q170" s="1119"/>
      <c r="R170" s="1119"/>
      <c r="S170" s="1076"/>
      <c r="T170" s="1123"/>
      <c r="U170" s="56">
        <v>789176</v>
      </c>
      <c r="V170" s="1171"/>
      <c r="W170" s="56"/>
      <c r="X170" s="1315"/>
      <c r="Y170" s="1315"/>
      <c r="Z170" s="1315"/>
      <c r="AA170" s="1084"/>
      <c r="AB170" s="1119"/>
      <c r="AC170" s="1119"/>
      <c r="AD170" s="1119"/>
      <c r="AE170" s="1119"/>
      <c r="AF170" s="1203"/>
      <c r="AG170" s="1204"/>
      <c r="AH170" s="1204"/>
      <c r="AI170" s="1204"/>
    </row>
    <row r="171" spans="1:36" s="4" customFormat="1" ht="15" customHeight="1">
      <c r="A171" s="1076"/>
      <c r="B171" s="1076"/>
      <c r="C171" s="1076"/>
      <c r="D171" s="1076"/>
      <c r="E171" s="1076"/>
      <c r="F171" s="1076"/>
      <c r="G171" s="1076"/>
      <c r="H171" s="1318"/>
      <c r="I171" s="1076"/>
      <c r="J171" s="1119"/>
      <c r="K171" s="1119"/>
      <c r="L171" s="1119"/>
      <c r="M171" s="1171"/>
      <c r="N171" s="862"/>
      <c r="O171" s="858"/>
      <c r="P171" s="858"/>
      <c r="Q171" s="1119"/>
      <c r="R171" s="1119"/>
      <c r="S171" s="1076"/>
      <c r="T171" s="1123" t="s">
        <v>308</v>
      </c>
      <c r="U171" s="56">
        <v>806591.87</v>
      </c>
      <c r="V171" s="1171">
        <v>40912</v>
      </c>
      <c r="W171" s="56"/>
      <c r="X171" s="1315"/>
      <c r="Y171" s="1315"/>
      <c r="Z171" s="1315"/>
      <c r="AA171" s="1084"/>
      <c r="AB171" s="1119"/>
      <c r="AC171" s="1119"/>
      <c r="AD171" s="1119"/>
      <c r="AE171" s="1119"/>
      <c r="AF171" s="1203"/>
      <c r="AG171" s="1204"/>
      <c r="AH171" s="1204"/>
      <c r="AI171" s="1204"/>
    </row>
    <row r="172" spans="1:36" s="4" customFormat="1" ht="15" customHeight="1">
      <c r="A172" s="1076"/>
      <c r="B172" s="1076"/>
      <c r="C172" s="1076"/>
      <c r="D172" s="1076"/>
      <c r="E172" s="1076"/>
      <c r="F172" s="1076"/>
      <c r="G172" s="1076"/>
      <c r="H172" s="1318"/>
      <c r="I172" s="1076"/>
      <c r="J172" s="1119"/>
      <c r="K172" s="1119"/>
      <c r="L172" s="1119"/>
      <c r="M172" s="1171"/>
      <c r="N172" s="862"/>
      <c r="O172" s="858"/>
      <c r="P172" s="858"/>
      <c r="Q172" s="1119"/>
      <c r="R172" s="1119"/>
      <c r="S172" s="1076"/>
      <c r="T172" s="1123"/>
      <c r="U172" s="56">
        <v>394588.13</v>
      </c>
      <c r="V172" s="1171"/>
      <c r="W172" s="56"/>
      <c r="X172" s="1315"/>
      <c r="Y172" s="1315"/>
      <c r="Z172" s="1315"/>
      <c r="AA172" s="1084"/>
      <c r="AB172" s="1119"/>
      <c r="AC172" s="1119"/>
      <c r="AD172" s="1119"/>
      <c r="AE172" s="1119"/>
      <c r="AF172" s="1203"/>
      <c r="AG172" s="1204"/>
      <c r="AH172" s="1204"/>
      <c r="AI172" s="1204"/>
    </row>
    <row r="173" spans="1:36" s="4" customFormat="1" ht="15" customHeight="1">
      <c r="A173" s="1076"/>
      <c r="B173" s="1076"/>
      <c r="C173" s="1076"/>
      <c r="D173" s="1076"/>
      <c r="E173" s="823" t="s">
        <v>67</v>
      </c>
      <c r="F173" s="1076"/>
      <c r="G173" s="1076"/>
      <c r="H173" s="880">
        <v>207</v>
      </c>
      <c r="I173" s="823" t="s">
        <v>7</v>
      </c>
      <c r="J173" s="858">
        <v>3170048</v>
      </c>
      <c r="K173" s="858">
        <v>3170048</v>
      </c>
      <c r="L173" s="1119"/>
      <c r="M173" s="855">
        <v>40779</v>
      </c>
      <c r="N173" s="862"/>
      <c r="O173" s="858"/>
      <c r="P173" s="858"/>
      <c r="Q173" s="858">
        <v>3170048</v>
      </c>
      <c r="R173" s="1119"/>
      <c r="S173" s="1076"/>
      <c r="T173" s="840" t="s">
        <v>343</v>
      </c>
      <c r="U173" s="56">
        <v>3170048</v>
      </c>
      <c r="V173" s="855">
        <v>40910</v>
      </c>
      <c r="W173" s="56"/>
      <c r="X173" s="884">
        <v>3170048</v>
      </c>
      <c r="Y173" s="1315"/>
      <c r="Z173" s="884">
        <v>0</v>
      </c>
      <c r="AA173" s="827">
        <v>0</v>
      </c>
      <c r="AB173" s="1119"/>
      <c r="AC173" s="858">
        <v>0</v>
      </c>
      <c r="AD173" s="858">
        <v>0</v>
      </c>
      <c r="AE173" s="858">
        <v>0</v>
      </c>
      <c r="AF173" s="1203"/>
      <c r="AG173" s="1204"/>
      <c r="AH173" s="1204"/>
      <c r="AI173" s="1204"/>
    </row>
    <row r="174" spans="1:36" s="4" customFormat="1" ht="15" customHeight="1">
      <c r="A174" s="1076"/>
      <c r="B174" s="1076"/>
      <c r="C174" s="1076"/>
      <c r="D174" s="1076"/>
      <c r="E174" s="823" t="s">
        <v>171</v>
      </c>
      <c r="F174" s="1076"/>
      <c r="G174" s="1076"/>
      <c r="H174" s="880">
        <v>208</v>
      </c>
      <c r="I174" s="823" t="s">
        <v>7</v>
      </c>
      <c r="J174" s="858">
        <v>1640000</v>
      </c>
      <c r="K174" s="858">
        <v>1640000</v>
      </c>
      <c r="L174" s="1119"/>
      <c r="M174" s="855">
        <v>40779</v>
      </c>
      <c r="N174" s="862"/>
      <c r="O174" s="858"/>
      <c r="P174" s="858"/>
      <c r="Q174" s="858">
        <v>1640000</v>
      </c>
      <c r="R174" s="1119"/>
      <c r="S174" s="1076"/>
      <c r="T174" s="840" t="s">
        <v>307</v>
      </c>
      <c r="U174" s="56">
        <v>1640000</v>
      </c>
      <c r="V174" s="855">
        <v>41704</v>
      </c>
      <c r="W174" s="56"/>
      <c r="X174" s="884">
        <v>1640000</v>
      </c>
      <c r="Y174" s="1315"/>
      <c r="Z174" s="884">
        <v>0</v>
      </c>
      <c r="AA174" s="827">
        <v>0</v>
      </c>
      <c r="AB174" s="1119"/>
      <c r="AC174" s="858">
        <v>0</v>
      </c>
      <c r="AD174" s="858">
        <v>0</v>
      </c>
      <c r="AE174" s="858">
        <v>0</v>
      </c>
      <c r="AF174" s="1203"/>
      <c r="AG174" s="1204"/>
      <c r="AH174" s="1204"/>
      <c r="AI174" s="1204"/>
    </row>
    <row r="175" spans="1:36" s="4" customFormat="1" ht="15" customHeight="1">
      <c r="A175" s="1076" t="s">
        <v>355</v>
      </c>
      <c r="B175" s="1076" t="s">
        <v>356</v>
      </c>
      <c r="C175" s="1076" t="s">
        <v>70</v>
      </c>
      <c r="D175" s="1076" t="s">
        <v>177</v>
      </c>
      <c r="E175" s="1076" t="s">
        <v>66</v>
      </c>
      <c r="F175" s="1076" t="s">
        <v>48</v>
      </c>
      <c r="G175" s="1076" t="s">
        <v>369</v>
      </c>
      <c r="H175" s="1245">
        <v>33</v>
      </c>
      <c r="I175" s="1282" t="s">
        <v>7</v>
      </c>
      <c r="J175" s="1119">
        <v>2593723</v>
      </c>
      <c r="K175" s="1119">
        <v>7895655</v>
      </c>
      <c r="L175" s="1119">
        <v>27593726</v>
      </c>
      <c r="M175" s="1171">
        <v>40353</v>
      </c>
      <c r="N175" s="862"/>
      <c r="O175" s="858"/>
      <c r="P175" s="858"/>
      <c r="Q175" s="1119">
        <v>2593723</v>
      </c>
      <c r="R175" s="1119">
        <v>27593728</v>
      </c>
      <c r="S175" s="1076" t="s">
        <v>273</v>
      </c>
      <c r="T175" s="1123" t="s">
        <v>361</v>
      </c>
      <c r="U175" s="866">
        <v>1037489</v>
      </c>
      <c r="V175" s="1171">
        <v>40452</v>
      </c>
      <c r="W175" s="866"/>
      <c r="X175" s="1084">
        <v>6688813.2700000005</v>
      </c>
      <c r="Y175" s="1084">
        <v>21891523.810000002</v>
      </c>
      <c r="Z175" s="1084"/>
      <c r="AA175" s="1084"/>
      <c r="AB175" s="1119">
        <v>-804561.16000000108</v>
      </c>
      <c r="AC175" s="1119">
        <v>0</v>
      </c>
      <c r="AD175" s="1119">
        <v>1206841.7299999995</v>
      </c>
      <c r="AE175" s="1119"/>
      <c r="AF175" s="1203" t="s">
        <v>370</v>
      </c>
      <c r="AG175" s="1204" t="s">
        <v>787</v>
      </c>
      <c r="AH175" s="1204" t="s">
        <v>194</v>
      </c>
      <c r="AI175" s="1204" t="s">
        <v>368</v>
      </c>
      <c r="AJ175" s="1364" t="s">
        <v>2495</v>
      </c>
    </row>
    <row r="176" spans="1:36" s="4" customFormat="1" ht="15" customHeight="1">
      <c r="A176" s="1076"/>
      <c r="B176" s="1076"/>
      <c r="C176" s="1076"/>
      <c r="D176" s="1076"/>
      <c r="E176" s="1076"/>
      <c r="F176" s="1076"/>
      <c r="G176" s="1076"/>
      <c r="H176" s="1245"/>
      <c r="I176" s="1282"/>
      <c r="J176" s="1119"/>
      <c r="K176" s="1119"/>
      <c r="L176" s="1119"/>
      <c r="M176" s="1171"/>
      <c r="N176" s="862"/>
      <c r="O176" s="858"/>
      <c r="P176" s="858"/>
      <c r="Q176" s="1119"/>
      <c r="R176" s="1119"/>
      <c r="S176" s="1076"/>
      <c r="T176" s="1123"/>
      <c r="U176" s="866">
        <v>2120773</v>
      </c>
      <c r="V176" s="1171"/>
      <c r="W176" s="866"/>
      <c r="X176" s="1084"/>
      <c r="Y176" s="1084"/>
      <c r="Z176" s="1084"/>
      <c r="AA176" s="1084"/>
      <c r="AB176" s="1119"/>
      <c r="AC176" s="1119"/>
      <c r="AD176" s="1119"/>
      <c r="AE176" s="1119"/>
      <c r="AF176" s="1203"/>
      <c r="AG176" s="1204"/>
      <c r="AH176" s="1204"/>
      <c r="AI176" s="1204"/>
      <c r="AJ176" s="1364"/>
    </row>
    <row r="177" spans="1:36" s="4" customFormat="1" ht="15" customHeight="1">
      <c r="A177" s="1076"/>
      <c r="B177" s="1076"/>
      <c r="C177" s="1076"/>
      <c r="D177" s="1076"/>
      <c r="E177" s="1076"/>
      <c r="F177" s="1076"/>
      <c r="G177" s="1076"/>
      <c r="H177" s="1245"/>
      <c r="I177" s="1282"/>
      <c r="J177" s="1119"/>
      <c r="K177" s="1119"/>
      <c r="L177" s="1119"/>
      <c r="M177" s="1171"/>
      <c r="N177" s="862"/>
      <c r="O177" s="858"/>
      <c r="P177" s="858"/>
      <c r="Q177" s="1119"/>
      <c r="R177" s="1119"/>
      <c r="S177" s="1076"/>
      <c r="T177" s="1123" t="s">
        <v>362</v>
      </c>
      <c r="U177" s="866">
        <v>533012.37</v>
      </c>
      <c r="V177" s="1171">
        <v>42459</v>
      </c>
      <c r="W177" s="866"/>
      <c r="X177" s="1084"/>
      <c r="Y177" s="1084"/>
      <c r="Z177" s="1084"/>
      <c r="AA177" s="1084"/>
      <c r="AB177" s="1119"/>
      <c r="AC177" s="1119"/>
      <c r="AD177" s="1119"/>
      <c r="AE177" s="1119"/>
      <c r="AF177" s="1203"/>
      <c r="AG177" s="1204"/>
      <c r="AH177" s="1204"/>
      <c r="AI177" s="1204"/>
      <c r="AJ177" s="1364"/>
    </row>
    <row r="178" spans="1:36" s="4" customFormat="1" ht="15" customHeight="1">
      <c r="A178" s="1076"/>
      <c r="B178" s="1076"/>
      <c r="C178" s="1076"/>
      <c r="D178" s="1076"/>
      <c r="E178" s="1076"/>
      <c r="F178" s="1076"/>
      <c r="G178" s="1076"/>
      <c r="H178" s="1245"/>
      <c r="I178" s="1282"/>
      <c r="J178" s="1119"/>
      <c r="K178" s="1119"/>
      <c r="L178" s="1119"/>
      <c r="M178" s="1171"/>
      <c r="N178" s="862"/>
      <c r="O178" s="858"/>
      <c r="P178" s="858"/>
      <c r="Q178" s="1119"/>
      <c r="R178" s="1119"/>
      <c r="S178" s="1076"/>
      <c r="T178" s="1123"/>
      <c r="U178" s="866">
        <v>1089551.72</v>
      </c>
      <c r="V178" s="1171"/>
      <c r="W178" s="866"/>
      <c r="X178" s="1084"/>
      <c r="Y178" s="1084"/>
      <c r="Z178" s="1084"/>
      <c r="AA178" s="1084"/>
      <c r="AB178" s="1119"/>
      <c r="AC178" s="1119"/>
      <c r="AD178" s="1119"/>
      <c r="AE178" s="1119"/>
      <c r="AF178" s="1203"/>
      <c r="AG178" s="1204"/>
      <c r="AH178" s="1204"/>
      <c r="AI178" s="1204"/>
      <c r="AJ178" s="1364"/>
    </row>
    <row r="179" spans="1:36" s="4" customFormat="1" ht="15" customHeight="1">
      <c r="A179" s="1076"/>
      <c r="B179" s="1076"/>
      <c r="C179" s="1076"/>
      <c r="D179" s="1076"/>
      <c r="E179" s="1076"/>
      <c r="F179" s="1076"/>
      <c r="G179" s="1076"/>
      <c r="H179" s="1245"/>
      <c r="I179" s="1282" t="s">
        <v>137</v>
      </c>
      <c r="J179" s="1119">
        <v>5301932</v>
      </c>
      <c r="K179" s="1119"/>
      <c r="L179" s="1119"/>
      <c r="M179" s="1171"/>
      <c r="N179" s="862"/>
      <c r="O179" s="858"/>
      <c r="P179" s="858"/>
      <c r="Q179" s="1119">
        <v>5301932</v>
      </c>
      <c r="R179" s="1119"/>
      <c r="S179" s="1076"/>
      <c r="T179" s="1123" t="s">
        <v>364</v>
      </c>
      <c r="U179" s="866">
        <v>147062.73000000001</v>
      </c>
      <c r="V179" s="1171">
        <v>42459</v>
      </c>
      <c r="W179" s="866"/>
      <c r="X179" s="1084"/>
      <c r="Y179" s="1084"/>
      <c r="Z179" s="1084"/>
      <c r="AA179" s="1084"/>
      <c r="AB179" s="1119"/>
      <c r="AC179" s="1119"/>
      <c r="AD179" s="1119"/>
      <c r="AE179" s="1119"/>
      <c r="AF179" s="1203"/>
      <c r="AG179" s="1204"/>
      <c r="AH179" s="1204"/>
      <c r="AI179" s="1204"/>
      <c r="AJ179" s="1364"/>
    </row>
    <row r="180" spans="1:36" s="4" customFormat="1" ht="15" customHeight="1">
      <c r="A180" s="1076"/>
      <c r="B180" s="1076"/>
      <c r="C180" s="1076"/>
      <c r="D180" s="1076"/>
      <c r="E180" s="1076"/>
      <c r="F180" s="1076"/>
      <c r="G180" s="1076"/>
      <c r="H180" s="1245"/>
      <c r="I180" s="1282"/>
      <c r="J180" s="1119"/>
      <c r="K180" s="1119"/>
      <c r="L180" s="1119"/>
      <c r="M180" s="1171"/>
      <c r="N180" s="862"/>
      <c r="O180" s="858"/>
      <c r="P180" s="858"/>
      <c r="Q180" s="1119"/>
      <c r="R180" s="1119"/>
      <c r="S180" s="1076"/>
      <c r="T180" s="1123"/>
      <c r="U180" s="866">
        <v>300616.78000000003</v>
      </c>
      <c r="V180" s="1171"/>
      <c r="W180" s="866"/>
      <c r="X180" s="1084"/>
      <c r="Y180" s="1084"/>
      <c r="Z180" s="1084"/>
      <c r="AA180" s="1084"/>
      <c r="AB180" s="1119"/>
      <c r="AC180" s="1119"/>
      <c r="AD180" s="1119"/>
      <c r="AE180" s="1119"/>
      <c r="AF180" s="1203"/>
      <c r="AG180" s="1204"/>
      <c r="AH180" s="1204"/>
      <c r="AI180" s="1204"/>
      <c r="AJ180" s="1364"/>
    </row>
    <row r="181" spans="1:36" s="4" customFormat="1" ht="15" customHeight="1">
      <c r="A181" s="1076"/>
      <c r="B181" s="1076"/>
      <c r="C181" s="1076"/>
      <c r="D181" s="1076"/>
      <c r="E181" s="1076"/>
      <c r="F181" s="1076"/>
      <c r="G181" s="1076"/>
      <c r="H181" s="1245"/>
      <c r="I181" s="1282"/>
      <c r="J181" s="1119"/>
      <c r="K181" s="1119"/>
      <c r="L181" s="1119"/>
      <c r="M181" s="1171"/>
      <c r="N181" s="862"/>
      <c r="O181" s="858"/>
      <c r="P181" s="858"/>
      <c r="Q181" s="1119"/>
      <c r="R181" s="1119"/>
      <c r="S181" s="1076"/>
      <c r="T181" s="1123" t="s">
        <v>366</v>
      </c>
      <c r="U181" s="866">
        <v>479711.13</v>
      </c>
      <c r="V181" s="1171">
        <v>42459</v>
      </c>
      <c r="W181" s="866"/>
      <c r="X181" s="1084"/>
      <c r="Y181" s="1084"/>
      <c r="Z181" s="1084"/>
      <c r="AA181" s="1084"/>
      <c r="AB181" s="1119"/>
      <c r="AC181" s="1119"/>
      <c r="AD181" s="1119"/>
      <c r="AE181" s="1119"/>
      <c r="AF181" s="1203"/>
      <c r="AG181" s="1204"/>
      <c r="AH181" s="1204"/>
      <c r="AI181" s="1204"/>
      <c r="AJ181" s="1364"/>
    </row>
    <row r="182" spans="1:36" s="4" customFormat="1" ht="15" customHeight="1">
      <c r="A182" s="1076"/>
      <c r="B182" s="1076"/>
      <c r="C182" s="1076"/>
      <c r="D182" s="1076"/>
      <c r="E182" s="1076"/>
      <c r="F182" s="1076"/>
      <c r="G182" s="1076"/>
      <c r="H182" s="1245"/>
      <c r="I182" s="1282"/>
      <c r="J182" s="1119"/>
      <c r="K182" s="1119"/>
      <c r="L182" s="1119"/>
      <c r="M182" s="1171"/>
      <c r="N182" s="862"/>
      <c r="O182" s="858"/>
      <c r="P182" s="858"/>
      <c r="Q182" s="1119"/>
      <c r="R182" s="1119"/>
      <c r="S182" s="1076"/>
      <c r="T182" s="1123"/>
      <c r="U182" s="866">
        <v>980596.54</v>
      </c>
      <c r="V182" s="1171"/>
      <c r="W182" s="866"/>
      <c r="X182" s="1084"/>
      <c r="Y182" s="1084"/>
      <c r="Z182" s="1084"/>
      <c r="AA182" s="1084"/>
      <c r="AB182" s="1119"/>
      <c r="AC182" s="1119"/>
      <c r="AD182" s="1119"/>
      <c r="AE182" s="1119"/>
      <c r="AF182" s="1203"/>
      <c r="AG182" s="1204"/>
      <c r="AH182" s="1204"/>
      <c r="AI182" s="1204"/>
      <c r="AJ182" s="1364"/>
    </row>
    <row r="183" spans="1:36" s="4" customFormat="1" ht="15" customHeight="1">
      <c r="A183" s="1076"/>
      <c r="B183" s="1076"/>
      <c r="C183" s="1076"/>
      <c r="D183" s="1076"/>
      <c r="E183" s="1076"/>
      <c r="F183" s="1076"/>
      <c r="G183" s="1076"/>
      <c r="H183" s="1245">
        <v>34</v>
      </c>
      <c r="I183" s="1282" t="s">
        <v>7</v>
      </c>
      <c r="J183" s="1119">
        <v>2593723</v>
      </c>
      <c r="K183" s="1119">
        <v>7895656</v>
      </c>
      <c r="L183" s="1119"/>
      <c r="M183" s="1171">
        <v>40353</v>
      </c>
      <c r="N183" s="862"/>
      <c r="O183" s="858"/>
      <c r="P183" s="858"/>
      <c r="Q183" s="1119">
        <v>2593723</v>
      </c>
      <c r="R183" s="1119"/>
      <c r="S183" s="1076"/>
      <c r="T183" s="1123" t="s">
        <v>359</v>
      </c>
      <c r="U183" s="866">
        <v>424423.74</v>
      </c>
      <c r="V183" s="1171">
        <v>40382</v>
      </c>
      <c r="W183" s="866"/>
      <c r="X183" s="1084">
        <v>6921323.0999999996</v>
      </c>
      <c r="Y183" s="1084"/>
      <c r="Z183" s="1084"/>
      <c r="AA183" s="1084"/>
      <c r="AB183" s="1119">
        <v>-1037070.2499999991</v>
      </c>
      <c r="AC183" s="1119">
        <v>0</v>
      </c>
      <c r="AD183" s="1119">
        <v>974332.90000000037</v>
      </c>
      <c r="AE183" s="1119"/>
      <c r="AF183" s="1203"/>
      <c r="AG183" s="1204"/>
      <c r="AH183" s="1204"/>
      <c r="AI183" s="1204"/>
      <c r="AJ183" s="1364"/>
    </row>
    <row r="184" spans="1:36" s="4" customFormat="1" ht="15" customHeight="1">
      <c r="A184" s="1076"/>
      <c r="B184" s="1076"/>
      <c r="C184" s="1076"/>
      <c r="D184" s="1076"/>
      <c r="E184" s="1076"/>
      <c r="F184" s="1076"/>
      <c r="G184" s="1076"/>
      <c r="H184" s="1245"/>
      <c r="I184" s="1282"/>
      <c r="J184" s="1119"/>
      <c r="K184" s="1119"/>
      <c r="L184" s="1119"/>
      <c r="M184" s="1171"/>
      <c r="N184" s="862"/>
      <c r="O184" s="858"/>
      <c r="P184" s="858"/>
      <c r="Q184" s="1119"/>
      <c r="R184" s="1119"/>
      <c r="S184" s="1076"/>
      <c r="T184" s="1123"/>
      <c r="U184" s="866">
        <v>2733836.26</v>
      </c>
      <c r="V184" s="1171"/>
      <c r="W184" s="866"/>
      <c r="X184" s="1084"/>
      <c r="Y184" s="1084"/>
      <c r="Z184" s="1084"/>
      <c r="AA184" s="1084"/>
      <c r="AB184" s="1119"/>
      <c r="AC184" s="1119"/>
      <c r="AD184" s="1119"/>
      <c r="AE184" s="1119"/>
      <c r="AF184" s="1203"/>
      <c r="AG184" s="1204"/>
      <c r="AH184" s="1204"/>
      <c r="AI184" s="1204"/>
      <c r="AJ184" s="1364"/>
    </row>
    <row r="185" spans="1:36" s="4" customFormat="1" ht="15" customHeight="1">
      <c r="A185" s="1076"/>
      <c r="B185" s="1076"/>
      <c r="C185" s="1076"/>
      <c r="D185" s="1076"/>
      <c r="E185" s="1076"/>
      <c r="F185" s="1076"/>
      <c r="G185" s="1076"/>
      <c r="H185" s="1245"/>
      <c r="I185" s="1282"/>
      <c r="J185" s="1119"/>
      <c r="K185" s="1119"/>
      <c r="L185" s="1119"/>
      <c r="M185" s="1171"/>
      <c r="N185" s="862"/>
      <c r="O185" s="858"/>
      <c r="P185" s="858"/>
      <c r="Q185" s="1119"/>
      <c r="R185" s="1119"/>
      <c r="S185" s="1076"/>
      <c r="T185" s="1123" t="s">
        <v>360</v>
      </c>
      <c r="U185" s="866">
        <v>772098.25</v>
      </c>
      <c r="V185" s="1171">
        <v>42459</v>
      </c>
      <c r="W185" s="866"/>
      <c r="X185" s="1084"/>
      <c r="Y185" s="1084"/>
      <c r="Z185" s="1084"/>
      <c r="AA185" s="1084"/>
      <c r="AB185" s="1119"/>
      <c r="AC185" s="1119"/>
      <c r="AD185" s="1119"/>
      <c r="AE185" s="1119"/>
      <c r="AF185" s="1203"/>
      <c r="AG185" s="1204"/>
      <c r="AH185" s="1204"/>
      <c r="AI185" s="1204"/>
      <c r="AJ185" s="1364"/>
    </row>
    <row r="186" spans="1:36" s="4" customFormat="1" ht="15" customHeight="1">
      <c r="A186" s="1076"/>
      <c r="B186" s="1076"/>
      <c r="C186" s="1076"/>
      <c r="D186" s="1076"/>
      <c r="E186" s="1076"/>
      <c r="F186" s="1076"/>
      <c r="G186" s="1076"/>
      <c r="H186" s="1245"/>
      <c r="I186" s="1282"/>
      <c r="J186" s="1119"/>
      <c r="K186" s="1119"/>
      <c r="L186" s="1119"/>
      <c r="M186" s="1171"/>
      <c r="N186" s="862"/>
      <c r="O186" s="858"/>
      <c r="P186" s="858"/>
      <c r="Q186" s="1119"/>
      <c r="R186" s="1119"/>
      <c r="S186" s="1076"/>
      <c r="T186" s="1123"/>
      <c r="U186" s="866">
        <v>1009856.64</v>
      </c>
      <c r="V186" s="1171"/>
      <c r="W186" s="866"/>
      <c r="X186" s="1084"/>
      <c r="Y186" s="1084"/>
      <c r="Z186" s="1084"/>
      <c r="AA186" s="1084"/>
      <c r="AB186" s="1119"/>
      <c r="AC186" s="1119"/>
      <c r="AD186" s="1119"/>
      <c r="AE186" s="1119"/>
      <c r="AF186" s="1203"/>
      <c r="AG186" s="1204"/>
      <c r="AH186" s="1204"/>
      <c r="AI186" s="1204"/>
      <c r="AJ186" s="1364"/>
    </row>
    <row r="187" spans="1:36" s="4" customFormat="1" ht="15" customHeight="1">
      <c r="A187" s="1076"/>
      <c r="B187" s="1076"/>
      <c r="C187" s="1076"/>
      <c r="D187" s="1076"/>
      <c r="E187" s="1076"/>
      <c r="F187" s="1076"/>
      <c r="G187" s="1076"/>
      <c r="H187" s="1245"/>
      <c r="I187" s="1282" t="s">
        <v>137</v>
      </c>
      <c r="J187" s="1119">
        <v>5301933</v>
      </c>
      <c r="K187" s="1119"/>
      <c r="L187" s="1119"/>
      <c r="M187" s="1171"/>
      <c r="N187" s="862"/>
      <c r="O187" s="858"/>
      <c r="P187" s="858"/>
      <c r="Q187" s="1119">
        <v>5301933</v>
      </c>
      <c r="R187" s="1119"/>
      <c r="S187" s="1076"/>
      <c r="T187" s="1123" t="s">
        <v>365</v>
      </c>
      <c r="U187" s="866">
        <v>190263.96</v>
      </c>
      <c r="V187" s="1171">
        <v>42459</v>
      </c>
      <c r="W187" s="866"/>
      <c r="X187" s="1084"/>
      <c r="Y187" s="1084"/>
      <c r="Z187" s="1084"/>
      <c r="AA187" s="1084"/>
      <c r="AB187" s="1119"/>
      <c r="AC187" s="1119"/>
      <c r="AD187" s="1119"/>
      <c r="AE187" s="1119"/>
      <c r="AF187" s="1203"/>
      <c r="AG187" s="1204"/>
      <c r="AH187" s="1204"/>
      <c r="AI187" s="1204"/>
      <c r="AJ187" s="1364"/>
    </row>
    <row r="188" spans="1:36" s="4" customFormat="1" ht="15" customHeight="1">
      <c r="A188" s="1076"/>
      <c r="B188" s="1076"/>
      <c r="C188" s="1076"/>
      <c r="D188" s="1076"/>
      <c r="E188" s="1076"/>
      <c r="F188" s="1076"/>
      <c r="G188" s="1076"/>
      <c r="H188" s="1245"/>
      <c r="I188" s="1282"/>
      <c r="J188" s="1119"/>
      <c r="K188" s="1119"/>
      <c r="L188" s="1119"/>
      <c r="M188" s="1171"/>
      <c r="N188" s="862"/>
      <c r="O188" s="858"/>
      <c r="P188" s="858"/>
      <c r="Q188" s="1119"/>
      <c r="R188" s="1119"/>
      <c r="S188" s="1076"/>
      <c r="T188" s="1123"/>
      <c r="U188" s="866">
        <v>286216.42</v>
      </c>
      <c r="V188" s="1171"/>
      <c r="W188" s="866"/>
      <c r="X188" s="1084"/>
      <c r="Y188" s="1084"/>
      <c r="Z188" s="1084"/>
      <c r="AA188" s="1084"/>
      <c r="AB188" s="1119"/>
      <c r="AC188" s="1119"/>
      <c r="AD188" s="1119"/>
      <c r="AE188" s="1119"/>
      <c r="AF188" s="1203"/>
      <c r="AG188" s="1204"/>
      <c r="AH188" s="1204"/>
      <c r="AI188" s="1204"/>
      <c r="AJ188" s="1364"/>
    </row>
    <row r="189" spans="1:36" s="4" customFormat="1" ht="15" customHeight="1">
      <c r="A189" s="1076"/>
      <c r="B189" s="1076"/>
      <c r="C189" s="1076"/>
      <c r="D189" s="1076"/>
      <c r="E189" s="1076"/>
      <c r="F189" s="1076"/>
      <c r="G189" s="1076"/>
      <c r="H189" s="1245"/>
      <c r="I189" s="1282"/>
      <c r="J189" s="1119"/>
      <c r="K189" s="1119"/>
      <c r="L189" s="1119"/>
      <c r="M189" s="1171"/>
      <c r="N189" s="862"/>
      <c r="O189" s="858"/>
      <c r="P189" s="858"/>
      <c r="Q189" s="1119"/>
      <c r="R189" s="1119"/>
      <c r="S189" s="1076"/>
      <c r="T189" s="1123" t="s">
        <v>367</v>
      </c>
      <c r="U189" s="866">
        <v>546191.12</v>
      </c>
      <c r="V189" s="1171">
        <v>42459</v>
      </c>
      <c r="W189" s="866"/>
      <c r="X189" s="1084"/>
      <c r="Y189" s="1084"/>
      <c r="Z189" s="1084"/>
      <c r="AA189" s="1084"/>
      <c r="AB189" s="1119"/>
      <c r="AC189" s="1119"/>
      <c r="AD189" s="1119"/>
      <c r="AE189" s="1119"/>
      <c r="AF189" s="1203"/>
      <c r="AG189" s="1204"/>
      <c r="AH189" s="1204"/>
      <c r="AI189" s="1204"/>
      <c r="AJ189" s="1364"/>
    </row>
    <row r="190" spans="1:36" s="4" customFormat="1" ht="15" customHeight="1">
      <c r="A190" s="1076"/>
      <c r="B190" s="1076"/>
      <c r="C190" s="1076"/>
      <c r="D190" s="1076"/>
      <c r="E190" s="1076"/>
      <c r="F190" s="1076"/>
      <c r="G190" s="1076"/>
      <c r="H190" s="1245"/>
      <c r="I190" s="1282"/>
      <c r="J190" s="1119"/>
      <c r="K190" s="1119"/>
      <c r="L190" s="1119"/>
      <c r="M190" s="1171"/>
      <c r="N190" s="862"/>
      <c r="O190" s="858"/>
      <c r="P190" s="858"/>
      <c r="Q190" s="1119"/>
      <c r="R190" s="1119"/>
      <c r="S190" s="1076"/>
      <c r="T190" s="1123"/>
      <c r="U190" s="866">
        <v>958436.71</v>
      </c>
      <c r="V190" s="1171"/>
      <c r="W190" s="866"/>
      <c r="X190" s="1084"/>
      <c r="Y190" s="1084"/>
      <c r="Z190" s="1084"/>
      <c r="AA190" s="1084"/>
      <c r="AB190" s="1119"/>
      <c r="AC190" s="1119"/>
      <c r="AD190" s="1119"/>
      <c r="AE190" s="1119"/>
      <c r="AF190" s="1203"/>
      <c r="AG190" s="1204"/>
      <c r="AH190" s="1204"/>
      <c r="AI190" s="1204"/>
      <c r="AJ190" s="1364"/>
    </row>
    <row r="191" spans="1:36" s="4" customFormat="1" ht="15" customHeight="1">
      <c r="A191" s="1076"/>
      <c r="B191" s="1076"/>
      <c r="C191" s="1076"/>
      <c r="D191" s="1076"/>
      <c r="E191" s="1076"/>
      <c r="F191" s="1076"/>
      <c r="G191" s="1076"/>
      <c r="H191" s="1245">
        <v>35</v>
      </c>
      <c r="I191" s="1282" t="s">
        <v>7</v>
      </c>
      <c r="J191" s="1119">
        <v>2385436</v>
      </c>
      <c r="K191" s="1119">
        <v>7261600</v>
      </c>
      <c r="L191" s="1119"/>
      <c r="M191" s="1171">
        <v>40353</v>
      </c>
      <c r="N191" s="862"/>
      <c r="O191" s="858"/>
      <c r="P191" s="858"/>
      <c r="Q191" s="1119">
        <v>2385436</v>
      </c>
      <c r="R191" s="1119"/>
      <c r="S191" s="1076"/>
      <c r="T191" s="1123" t="s">
        <v>359</v>
      </c>
      <c r="U191" s="866">
        <v>954175.06</v>
      </c>
      <c r="V191" s="1171">
        <v>40382</v>
      </c>
      <c r="W191" s="866"/>
      <c r="X191" s="1084">
        <v>5919163.4400000004</v>
      </c>
      <c r="Y191" s="1084"/>
      <c r="Z191" s="1084"/>
      <c r="AA191" s="1084"/>
      <c r="AB191" s="1119">
        <v>-507442.05000000075</v>
      </c>
      <c r="AC191" s="1119">
        <v>0</v>
      </c>
      <c r="AD191" s="1119">
        <v>1342436.5599999996</v>
      </c>
      <c r="AE191" s="1119"/>
      <c r="AF191" s="1203"/>
      <c r="AG191" s="1204"/>
      <c r="AH191" s="1204"/>
      <c r="AI191" s="1204"/>
      <c r="AJ191" s="1364"/>
    </row>
    <row r="192" spans="1:36" s="4" customFormat="1" ht="15" customHeight="1">
      <c r="A192" s="1076"/>
      <c r="B192" s="1076"/>
      <c r="C192" s="1076"/>
      <c r="D192" s="1076"/>
      <c r="E192" s="1076"/>
      <c r="F192" s="1076"/>
      <c r="G192" s="1076"/>
      <c r="H192" s="1245"/>
      <c r="I192" s="1282"/>
      <c r="J192" s="1119"/>
      <c r="K192" s="1119"/>
      <c r="L192" s="1119"/>
      <c r="M192" s="1171"/>
      <c r="N192" s="862"/>
      <c r="O192" s="858"/>
      <c r="P192" s="858"/>
      <c r="Q192" s="1119"/>
      <c r="R192" s="1119"/>
      <c r="S192" s="1076"/>
      <c r="T192" s="1123"/>
      <c r="U192" s="866">
        <v>1950466.94</v>
      </c>
      <c r="V192" s="1171"/>
      <c r="W192" s="866"/>
      <c r="X192" s="1084"/>
      <c r="Y192" s="1084"/>
      <c r="Z192" s="1084"/>
      <c r="AA192" s="1084"/>
      <c r="AB192" s="1119"/>
      <c r="AC192" s="1119"/>
      <c r="AD192" s="1119"/>
      <c r="AE192" s="1119"/>
      <c r="AF192" s="1203"/>
      <c r="AG192" s="1204"/>
      <c r="AH192" s="1204"/>
      <c r="AI192" s="1204"/>
      <c r="AJ192" s="1364"/>
    </row>
    <row r="193" spans="1:36" s="4" customFormat="1" ht="15" customHeight="1">
      <c r="A193" s="1076"/>
      <c r="B193" s="1076"/>
      <c r="C193" s="1076"/>
      <c r="D193" s="1076"/>
      <c r="E193" s="1076"/>
      <c r="F193" s="1076"/>
      <c r="G193" s="1076"/>
      <c r="H193" s="1245"/>
      <c r="I193" s="1282"/>
      <c r="J193" s="1119"/>
      <c r="K193" s="1119"/>
      <c r="L193" s="1119"/>
      <c r="M193" s="1171"/>
      <c r="N193" s="862"/>
      <c r="O193" s="858"/>
      <c r="P193" s="858"/>
      <c r="Q193" s="1119"/>
      <c r="R193" s="1119"/>
      <c r="S193" s="1076"/>
      <c r="T193" s="1123" t="s">
        <v>360</v>
      </c>
      <c r="U193" s="866">
        <v>410513.91</v>
      </c>
      <c r="V193" s="1171">
        <v>42459</v>
      </c>
      <c r="W193" s="866"/>
      <c r="X193" s="1084"/>
      <c r="Y193" s="1084"/>
      <c r="Z193" s="1084"/>
      <c r="AA193" s="1084"/>
      <c r="AB193" s="1119"/>
      <c r="AC193" s="1119"/>
      <c r="AD193" s="1119"/>
      <c r="AE193" s="1119"/>
      <c r="AF193" s="1203"/>
      <c r="AG193" s="1204"/>
      <c r="AH193" s="1204"/>
      <c r="AI193" s="1204"/>
      <c r="AJ193" s="1364"/>
    </row>
    <row r="194" spans="1:36" s="4" customFormat="1" ht="15" customHeight="1">
      <c r="A194" s="1076"/>
      <c r="B194" s="1076"/>
      <c r="C194" s="1076"/>
      <c r="D194" s="1076"/>
      <c r="E194" s="1076"/>
      <c r="F194" s="1076"/>
      <c r="G194" s="1076"/>
      <c r="H194" s="1245"/>
      <c r="I194" s="1282"/>
      <c r="J194" s="1119"/>
      <c r="K194" s="1119"/>
      <c r="L194" s="1119"/>
      <c r="M194" s="1171"/>
      <c r="N194" s="862"/>
      <c r="O194" s="858"/>
      <c r="P194" s="858"/>
      <c r="Q194" s="1119"/>
      <c r="R194" s="1119"/>
      <c r="S194" s="1076"/>
      <c r="T194" s="1123"/>
      <c r="U194" s="866">
        <v>922360.71</v>
      </c>
      <c r="V194" s="1171"/>
      <c r="W194" s="866"/>
      <c r="X194" s="1084"/>
      <c r="Y194" s="1084"/>
      <c r="Z194" s="1084"/>
      <c r="AA194" s="1084"/>
      <c r="AB194" s="1119"/>
      <c r="AC194" s="1119"/>
      <c r="AD194" s="1119"/>
      <c r="AE194" s="1119"/>
      <c r="AF194" s="1203"/>
      <c r="AG194" s="1204"/>
      <c r="AH194" s="1204"/>
      <c r="AI194" s="1204"/>
      <c r="AJ194" s="1364"/>
    </row>
    <row r="195" spans="1:36" s="4" customFormat="1" ht="15" customHeight="1">
      <c r="A195" s="1076"/>
      <c r="B195" s="1076"/>
      <c r="C195" s="1076"/>
      <c r="D195" s="1076"/>
      <c r="E195" s="1076"/>
      <c r="F195" s="1076"/>
      <c r="G195" s="1076"/>
      <c r="H195" s="1245"/>
      <c r="I195" s="1282" t="s">
        <v>137</v>
      </c>
      <c r="J195" s="1119">
        <v>4876164</v>
      </c>
      <c r="K195" s="1119"/>
      <c r="L195" s="1119"/>
      <c r="M195" s="1171"/>
      <c r="N195" s="862"/>
      <c r="O195" s="858"/>
      <c r="P195" s="858"/>
      <c r="Q195" s="1119">
        <v>4876164</v>
      </c>
      <c r="R195" s="1119"/>
      <c r="S195" s="1076"/>
      <c r="T195" s="1123" t="s">
        <v>365</v>
      </c>
      <c r="U195" s="866">
        <v>120852.57</v>
      </c>
      <c r="V195" s="1171">
        <v>42459</v>
      </c>
      <c r="W195" s="866"/>
      <c r="X195" s="1084"/>
      <c r="Y195" s="1084"/>
      <c r="Z195" s="1084"/>
      <c r="AA195" s="1084"/>
      <c r="AB195" s="1119"/>
      <c r="AC195" s="1119"/>
      <c r="AD195" s="1119"/>
      <c r="AE195" s="1119"/>
      <c r="AF195" s="1203"/>
      <c r="AG195" s="1204"/>
      <c r="AH195" s="1204"/>
      <c r="AI195" s="1204"/>
      <c r="AJ195" s="1364"/>
    </row>
    <row r="196" spans="1:36" s="4" customFormat="1" ht="15" customHeight="1">
      <c r="A196" s="1076"/>
      <c r="B196" s="1076"/>
      <c r="C196" s="1076"/>
      <c r="D196" s="1076"/>
      <c r="E196" s="1076"/>
      <c r="F196" s="1076"/>
      <c r="G196" s="1076"/>
      <c r="H196" s="1245"/>
      <c r="I196" s="1282"/>
      <c r="J196" s="1119"/>
      <c r="K196" s="1119"/>
      <c r="L196" s="1119"/>
      <c r="M196" s="1171"/>
      <c r="N196" s="862"/>
      <c r="O196" s="858"/>
      <c r="P196" s="858"/>
      <c r="Q196" s="1119"/>
      <c r="R196" s="1119"/>
      <c r="S196" s="1076"/>
      <c r="T196" s="1123"/>
      <c r="U196" s="866">
        <v>262075.55</v>
      </c>
      <c r="V196" s="1171"/>
      <c r="W196" s="866"/>
      <c r="X196" s="1084"/>
      <c r="Y196" s="1084"/>
      <c r="Z196" s="1084"/>
      <c r="AA196" s="1084"/>
      <c r="AB196" s="1119"/>
      <c r="AC196" s="1119"/>
      <c r="AD196" s="1119"/>
      <c r="AE196" s="1119"/>
      <c r="AF196" s="1203"/>
      <c r="AG196" s="1204"/>
      <c r="AH196" s="1204"/>
      <c r="AI196" s="1204"/>
      <c r="AJ196" s="1364"/>
    </row>
    <row r="197" spans="1:36" s="4" customFormat="1" ht="15" customHeight="1">
      <c r="A197" s="1076"/>
      <c r="B197" s="1076"/>
      <c r="C197" s="1076"/>
      <c r="D197" s="1076"/>
      <c r="E197" s="1076"/>
      <c r="F197" s="1076"/>
      <c r="G197" s="1076"/>
      <c r="H197" s="1245"/>
      <c r="I197" s="1282"/>
      <c r="J197" s="1119"/>
      <c r="K197" s="1119"/>
      <c r="L197" s="1119"/>
      <c r="M197" s="1171"/>
      <c r="N197" s="862"/>
      <c r="O197" s="858"/>
      <c r="P197" s="858"/>
      <c r="Q197" s="1119"/>
      <c r="R197" s="1119"/>
      <c r="S197" s="1076"/>
      <c r="T197" s="1123" t="s">
        <v>367</v>
      </c>
      <c r="U197" s="866">
        <v>419028.29</v>
      </c>
      <c r="V197" s="1171">
        <v>42459</v>
      </c>
      <c r="W197" s="866"/>
      <c r="X197" s="1084"/>
      <c r="Y197" s="1084"/>
      <c r="Z197" s="1084"/>
      <c r="AA197" s="1084"/>
      <c r="AB197" s="1119"/>
      <c r="AC197" s="1119"/>
      <c r="AD197" s="1119"/>
      <c r="AE197" s="1119"/>
      <c r="AF197" s="1203"/>
      <c r="AG197" s="1204"/>
      <c r="AH197" s="1204"/>
      <c r="AI197" s="1204"/>
      <c r="AJ197" s="1364"/>
    </row>
    <row r="198" spans="1:36" s="4" customFormat="1" ht="15" customHeight="1">
      <c r="A198" s="1076"/>
      <c r="B198" s="1076"/>
      <c r="C198" s="1076"/>
      <c r="D198" s="1076"/>
      <c r="E198" s="1076"/>
      <c r="F198" s="1076"/>
      <c r="G198" s="1076"/>
      <c r="H198" s="1245"/>
      <c r="I198" s="1282"/>
      <c r="J198" s="1119"/>
      <c r="K198" s="1119"/>
      <c r="L198" s="1119"/>
      <c r="M198" s="1171"/>
      <c r="N198" s="862"/>
      <c r="O198" s="858"/>
      <c r="P198" s="858"/>
      <c r="Q198" s="1119"/>
      <c r="R198" s="1119"/>
      <c r="S198" s="1076"/>
      <c r="T198" s="1123"/>
      <c r="U198" s="866">
        <v>879690.41</v>
      </c>
      <c r="V198" s="1171"/>
      <c r="W198" s="866"/>
      <c r="X198" s="1084"/>
      <c r="Y198" s="1084"/>
      <c r="Z198" s="1084"/>
      <c r="AA198" s="1084"/>
      <c r="AB198" s="1119"/>
      <c r="AC198" s="1119"/>
      <c r="AD198" s="1119"/>
      <c r="AE198" s="1119"/>
      <c r="AF198" s="1203"/>
      <c r="AG198" s="1204"/>
      <c r="AH198" s="1204"/>
      <c r="AI198" s="1204"/>
      <c r="AJ198" s="1364"/>
    </row>
    <row r="199" spans="1:36" s="4" customFormat="1" ht="15" customHeight="1">
      <c r="A199" s="1076"/>
      <c r="B199" s="1076"/>
      <c r="C199" s="1076"/>
      <c r="D199" s="1076"/>
      <c r="E199" s="1076" t="s">
        <v>67</v>
      </c>
      <c r="F199" s="1076"/>
      <c r="G199" s="1076"/>
      <c r="H199" s="876">
        <v>192</v>
      </c>
      <c r="I199" s="889" t="s">
        <v>7</v>
      </c>
      <c r="J199" s="858">
        <v>2362224</v>
      </c>
      <c r="K199" s="858">
        <v>2362224</v>
      </c>
      <c r="L199" s="1119"/>
      <c r="M199" s="855">
        <v>40759</v>
      </c>
      <c r="N199" s="862"/>
      <c r="O199" s="858"/>
      <c r="P199" s="858"/>
      <c r="Q199" s="858">
        <v>2362224</v>
      </c>
      <c r="R199" s="1119"/>
      <c r="S199" s="1076"/>
      <c r="T199" s="840" t="s">
        <v>363</v>
      </c>
      <c r="U199" s="866">
        <v>2362224</v>
      </c>
      <c r="V199" s="855">
        <v>42459</v>
      </c>
      <c r="W199" s="866"/>
      <c r="X199" s="827">
        <v>2362224</v>
      </c>
      <c r="Y199" s="1084"/>
      <c r="Z199" s="827"/>
      <c r="AA199" s="827"/>
      <c r="AB199" s="858">
        <v>0</v>
      </c>
      <c r="AC199" s="858">
        <v>0</v>
      </c>
      <c r="AD199" s="858">
        <v>0</v>
      </c>
      <c r="AE199" s="858"/>
      <c r="AF199" s="1203"/>
      <c r="AG199" s="1204"/>
      <c r="AH199" s="1204"/>
      <c r="AI199" s="1204"/>
      <c r="AJ199" s="1364"/>
    </row>
    <row r="200" spans="1:36" s="4" customFormat="1" ht="15" customHeight="1">
      <c r="A200" s="1076"/>
      <c r="B200" s="1076"/>
      <c r="C200" s="1076"/>
      <c r="D200" s="1076"/>
      <c r="E200" s="1076"/>
      <c r="F200" s="1076"/>
      <c r="G200" s="1076"/>
      <c r="H200" s="876">
        <v>194</v>
      </c>
      <c r="I200" s="889" t="s">
        <v>7</v>
      </c>
      <c r="J200" s="858">
        <v>2178591</v>
      </c>
      <c r="K200" s="858">
        <v>2178591</v>
      </c>
      <c r="L200" s="1119"/>
      <c r="M200" s="855">
        <v>40759</v>
      </c>
      <c r="N200" s="862"/>
      <c r="O200" s="858"/>
      <c r="P200" s="858"/>
      <c r="Q200" s="858">
        <v>2178591</v>
      </c>
      <c r="R200" s="1119"/>
      <c r="S200" s="1076"/>
      <c r="T200" s="840"/>
      <c r="U200" s="866">
        <v>0</v>
      </c>
      <c r="V200" s="855"/>
      <c r="W200" s="866"/>
      <c r="X200" s="827">
        <v>0</v>
      </c>
      <c r="Y200" s="1084"/>
      <c r="Z200" s="827"/>
      <c r="AA200" s="827"/>
      <c r="AB200" s="858">
        <v>0</v>
      </c>
      <c r="AC200" s="858">
        <v>0</v>
      </c>
      <c r="AD200" s="858">
        <v>2178591</v>
      </c>
      <c r="AE200" s="858"/>
      <c r="AF200" s="1203"/>
      <c r="AG200" s="1204"/>
      <c r="AH200" s="1204"/>
      <c r="AI200" s="1204"/>
      <c r="AJ200" s="1364"/>
    </row>
    <row r="201" spans="1:36" s="4" customFormat="1" ht="15" customHeight="1">
      <c r="A201" s="1076" t="s">
        <v>384</v>
      </c>
      <c r="B201" s="1076" t="s">
        <v>386</v>
      </c>
      <c r="C201" s="1076" t="s">
        <v>70</v>
      </c>
      <c r="D201" s="1076" t="s">
        <v>177</v>
      </c>
      <c r="E201" s="1076" t="s">
        <v>66</v>
      </c>
      <c r="F201" s="1076" t="s">
        <v>49</v>
      </c>
      <c r="G201" s="1076" t="s">
        <v>389</v>
      </c>
      <c r="H201" s="1245">
        <v>65</v>
      </c>
      <c r="I201" s="889" t="s">
        <v>137</v>
      </c>
      <c r="J201" s="858">
        <v>1692000</v>
      </c>
      <c r="K201" s="1119">
        <v>4230000</v>
      </c>
      <c r="L201" s="1119">
        <v>24376763</v>
      </c>
      <c r="M201" s="1171">
        <v>40413</v>
      </c>
      <c r="N201" s="1196">
        <v>4230000</v>
      </c>
      <c r="O201" s="862">
        <v>1692000</v>
      </c>
      <c r="P201" s="858">
        <v>0</v>
      </c>
      <c r="Q201" s="858">
        <v>1692000</v>
      </c>
      <c r="R201" s="1119">
        <v>24375779</v>
      </c>
      <c r="S201" s="1076" t="s">
        <v>282</v>
      </c>
      <c r="T201" s="840" t="s">
        <v>388</v>
      </c>
      <c r="U201" s="866">
        <v>1692000</v>
      </c>
      <c r="V201" s="855">
        <v>40442</v>
      </c>
      <c r="W201" s="866"/>
      <c r="X201" s="1084">
        <v>1692000</v>
      </c>
      <c r="Y201" s="1084">
        <v>8988000</v>
      </c>
      <c r="Z201" s="827">
        <v>0</v>
      </c>
      <c r="AA201" s="827">
        <v>0</v>
      </c>
      <c r="AB201" s="1119">
        <v>-1692000</v>
      </c>
      <c r="AC201" s="1119">
        <v>0</v>
      </c>
      <c r="AD201" s="1119">
        <v>2538000</v>
      </c>
      <c r="AE201" s="1119"/>
      <c r="AF201" s="1203" t="s">
        <v>390</v>
      </c>
      <c r="AG201" s="1204" t="s">
        <v>788</v>
      </c>
      <c r="AH201" s="1204" t="s">
        <v>194</v>
      </c>
      <c r="AI201" s="1204" t="s">
        <v>368</v>
      </c>
    </row>
    <row r="202" spans="1:36" s="4" customFormat="1" ht="15" customHeight="1">
      <c r="A202" s="1076"/>
      <c r="B202" s="1076"/>
      <c r="C202" s="1076"/>
      <c r="D202" s="1076"/>
      <c r="E202" s="1076"/>
      <c r="F202" s="1076"/>
      <c r="G202" s="1076"/>
      <c r="H202" s="1245"/>
      <c r="I202" s="889" t="s">
        <v>7</v>
      </c>
      <c r="J202" s="858">
        <v>2538000</v>
      </c>
      <c r="K202" s="1119"/>
      <c r="L202" s="1119"/>
      <c r="M202" s="1171"/>
      <c r="N202" s="1196"/>
      <c r="O202" s="862">
        <v>2538000</v>
      </c>
      <c r="P202" s="858">
        <v>0</v>
      </c>
      <c r="Q202" s="858">
        <v>2538000</v>
      </c>
      <c r="R202" s="1119"/>
      <c r="S202" s="1076"/>
      <c r="T202" s="840"/>
      <c r="U202" s="866">
        <v>0</v>
      </c>
      <c r="V202" s="855"/>
      <c r="W202" s="866"/>
      <c r="X202" s="1084"/>
      <c r="Y202" s="1084"/>
      <c r="Z202" s="827">
        <v>0</v>
      </c>
      <c r="AA202" s="827">
        <v>0</v>
      </c>
      <c r="AB202" s="1119"/>
      <c r="AC202" s="1119"/>
      <c r="AD202" s="1119"/>
      <c r="AE202" s="1119"/>
      <c r="AF202" s="1203"/>
      <c r="AG202" s="1204"/>
      <c r="AH202" s="1204"/>
      <c r="AI202" s="1204"/>
    </row>
    <row r="203" spans="1:36" s="4" customFormat="1" ht="15" customHeight="1">
      <c r="A203" s="1076"/>
      <c r="B203" s="1076"/>
      <c r="C203" s="1076"/>
      <c r="D203" s="1076"/>
      <c r="E203" s="1076"/>
      <c r="F203" s="1076"/>
      <c r="G203" s="1076"/>
      <c r="H203" s="1245">
        <v>66</v>
      </c>
      <c r="I203" s="889" t="s">
        <v>137</v>
      </c>
      <c r="J203" s="858">
        <v>1568393.6</v>
      </c>
      <c r="K203" s="1119">
        <v>3920984</v>
      </c>
      <c r="L203" s="1119"/>
      <c r="M203" s="1171">
        <v>40413</v>
      </c>
      <c r="N203" s="1196">
        <v>3920984</v>
      </c>
      <c r="O203" s="858">
        <v>1568393.6</v>
      </c>
      <c r="P203" s="858">
        <v>0</v>
      </c>
      <c r="Q203" s="858">
        <v>1568000</v>
      </c>
      <c r="R203" s="1119"/>
      <c r="S203" s="1076"/>
      <c r="T203" s="840" t="s">
        <v>387</v>
      </c>
      <c r="U203" s="866">
        <v>1568000</v>
      </c>
      <c r="V203" s="855">
        <v>40442</v>
      </c>
      <c r="W203" s="866"/>
      <c r="X203" s="1084">
        <v>1568000</v>
      </c>
      <c r="Y203" s="1084"/>
      <c r="Z203" s="827">
        <v>0</v>
      </c>
      <c r="AA203" s="827">
        <v>0</v>
      </c>
      <c r="AB203" s="1119">
        <v>-1568000</v>
      </c>
      <c r="AC203" s="1119">
        <v>984</v>
      </c>
      <c r="AD203" s="1119">
        <v>2352000</v>
      </c>
      <c r="AE203" s="1119">
        <v>984</v>
      </c>
      <c r="AF203" s="1203"/>
      <c r="AG203" s="1204"/>
      <c r="AH203" s="1204"/>
      <c r="AI203" s="1204"/>
    </row>
    <row r="204" spans="1:36" s="4" customFormat="1" ht="15" customHeight="1">
      <c r="A204" s="1076"/>
      <c r="B204" s="1076"/>
      <c r="C204" s="1076"/>
      <c r="D204" s="1076"/>
      <c r="E204" s="1076"/>
      <c r="F204" s="1076"/>
      <c r="G204" s="1076"/>
      <c r="H204" s="1245"/>
      <c r="I204" s="889" t="s">
        <v>7</v>
      </c>
      <c r="J204" s="858">
        <v>2352590.4</v>
      </c>
      <c r="K204" s="1119"/>
      <c r="L204" s="1119"/>
      <c r="M204" s="1171"/>
      <c r="N204" s="1196"/>
      <c r="O204" s="858">
        <v>2352590.4</v>
      </c>
      <c r="P204" s="858">
        <v>0</v>
      </c>
      <c r="Q204" s="858">
        <v>2352000</v>
      </c>
      <c r="R204" s="1119"/>
      <c r="S204" s="1076"/>
      <c r="T204" s="840"/>
      <c r="U204" s="866">
        <v>0</v>
      </c>
      <c r="V204" s="855"/>
      <c r="W204" s="866"/>
      <c r="X204" s="1084"/>
      <c r="Y204" s="1084"/>
      <c r="Z204" s="827">
        <v>0</v>
      </c>
      <c r="AA204" s="827">
        <v>0</v>
      </c>
      <c r="AB204" s="1119"/>
      <c r="AC204" s="1119"/>
      <c r="AD204" s="1119"/>
      <c r="AE204" s="1119"/>
      <c r="AF204" s="1203"/>
      <c r="AG204" s="1204"/>
      <c r="AH204" s="1204"/>
      <c r="AI204" s="1204"/>
    </row>
    <row r="205" spans="1:36" s="4" customFormat="1" ht="15" customHeight="1">
      <c r="A205" s="1076"/>
      <c r="B205" s="1076"/>
      <c r="C205" s="1076"/>
      <c r="D205" s="1076"/>
      <c r="E205" s="1076"/>
      <c r="F205" s="1076"/>
      <c r="G205" s="1076"/>
      <c r="H205" s="1245">
        <v>67</v>
      </c>
      <c r="I205" s="889" t="s">
        <v>137</v>
      </c>
      <c r="J205" s="858">
        <v>5728000</v>
      </c>
      <c r="K205" s="1119">
        <v>14320000</v>
      </c>
      <c r="L205" s="1119"/>
      <c r="M205" s="1171">
        <v>40413</v>
      </c>
      <c r="N205" s="1196">
        <v>14320000</v>
      </c>
      <c r="O205" s="858">
        <v>5728000</v>
      </c>
      <c r="P205" s="858">
        <v>0</v>
      </c>
      <c r="Q205" s="858">
        <v>5728000</v>
      </c>
      <c r="R205" s="1119"/>
      <c r="S205" s="1076"/>
      <c r="T205" s="840" t="s">
        <v>387</v>
      </c>
      <c r="U205" s="866">
        <v>5728000</v>
      </c>
      <c r="V205" s="855">
        <v>40442</v>
      </c>
      <c r="W205" s="866"/>
      <c r="X205" s="1084">
        <v>5728000</v>
      </c>
      <c r="Y205" s="1084"/>
      <c r="Z205" s="827">
        <v>0</v>
      </c>
      <c r="AA205" s="827">
        <v>0</v>
      </c>
      <c r="AB205" s="1119">
        <v>-5728000</v>
      </c>
      <c r="AC205" s="1119">
        <v>0</v>
      </c>
      <c r="AD205" s="1119">
        <v>8592000</v>
      </c>
      <c r="AE205" s="1119"/>
      <c r="AF205" s="1203"/>
      <c r="AG205" s="1204"/>
      <c r="AH205" s="1204"/>
      <c r="AI205" s="1204"/>
    </row>
    <row r="206" spans="1:36" s="4" customFormat="1" ht="15" customHeight="1">
      <c r="A206" s="1076"/>
      <c r="B206" s="1076"/>
      <c r="C206" s="1076"/>
      <c r="D206" s="1076"/>
      <c r="E206" s="1076"/>
      <c r="F206" s="1076"/>
      <c r="G206" s="1076"/>
      <c r="H206" s="1245"/>
      <c r="I206" s="889" t="s">
        <v>7</v>
      </c>
      <c r="J206" s="858">
        <v>8592000</v>
      </c>
      <c r="K206" s="1119"/>
      <c r="L206" s="1119"/>
      <c r="M206" s="1171"/>
      <c r="N206" s="1196"/>
      <c r="O206" s="858">
        <v>8592000</v>
      </c>
      <c r="P206" s="858">
        <v>0</v>
      </c>
      <c r="Q206" s="858">
        <v>8592000</v>
      </c>
      <c r="R206" s="1119"/>
      <c r="S206" s="1076"/>
      <c r="T206" s="840"/>
      <c r="U206" s="866">
        <v>0</v>
      </c>
      <c r="V206" s="855"/>
      <c r="W206" s="866"/>
      <c r="X206" s="1084"/>
      <c r="Y206" s="1084"/>
      <c r="Z206" s="827">
        <v>0</v>
      </c>
      <c r="AA206" s="827">
        <v>0</v>
      </c>
      <c r="AB206" s="1119"/>
      <c r="AC206" s="1119"/>
      <c r="AD206" s="1119"/>
      <c r="AE206" s="1119"/>
      <c r="AF206" s="1203"/>
      <c r="AG206" s="1204"/>
      <c r="AH206" s="1204"/>
      <c r="AI206" s="1204"/>
    </row>
    <row r="207" spans="1:36" s="4" customFormat="1" ht="15" customHeight="1">
      <c r="A207" s="1076"/>
      <c r="B207" s="1076"/>
      <c r="C207" s="1076"/>
      <c r="D207" s="1076"/>
      <c r="E207" s="823" t="s">
        <v>67</v>
      </c>
      <c r="F207" s="1076"/>
      <c r="G207" s="1076"/>
      <c r="H207" s="876">
        <v>163</v>
      </c>
      <c r="I207" s="889" t="s">
        <v>7</v>
      </c>
      <c r="J207" s="858">
        <v>1905779</v>
      </c>
      <c r="K207" s="858">
        <v>1905779</v>
      </c>
      <c r="L207" s="1119"/>
      <c r="M207" s="855">
        <v>40701</v>
      </c>
      <c r="N207" s="862">
        <v>1905779</v>
      </c>
      <c r="O207" s="858">
        <v>1905779</v>
      </c>
      <c r="P207" s="858">
        <v>0</v>
      </c>
      <c r="Q207" s="858">
        <v>1905779</v>
      </c>
      <c r="R207" s="1119"/>
      <c r="S207" s="1076"/>
      <c r="T207" s="840"/>
      <c r="U207" s="866">
        <v>0</v>
      </c>
      <c r="V207" s="855"/>
      <c r="W207" s="866"/>
      <c r="X207" s="827">
        <v>0</v>
      </c>
      <c r="Y207" s="1084"/>
      <c r="Z207" s="827">
        <v>0</v>
      </c>
      <c r="AA207" s="827">
        <v>0</v>
      </c>
      <c r="AB207" s="858">
        <v>0</v>
      </c>
      <c r="AC207" s="858">
        <v>0</v>
      </c>
      <c r="AD207" s="858">
        <v>1905779</v>
      </c>
      <c r="AE207" s="858"/>
      <c r="AF207" s="1203"/>
      <c r="AG207" s="1204"/>
      <c r="AH207" s="1204"/>
      <c r="AI207" s="1204"/>
    </row>
    <row r="208" spans="1:36" s="6" customFormat="1" ht="15" customHeight="1">
      <c r="A208" s="1142" t="s">
        <v>392</v>
      </c>
      <c r="B208" s="1142" t="s">
        <v>394</v>
      </c>
      <c r="C208" s="1142" t="s">
        <v>70</v>
      </c>
      <c r="D208" s="1142" t="s">
        <v>177</v>
      </c>
      <c r="E208" s="1142" t="s">
        <v>66</v>
      </c>
      <c r="F208" s="1142" t="s">
        <v>50</v>
      </c>
      <c r="G208" s="1142" t="s">
        <v>411</v>
      </c>
      <c r="H208" s="1286">
        <v>58</v>
      </c>
      <c r="I208" s="1326" t="s">
        <v>137</v>
      </c>
      <c r="J208" s="1084">
        <v>964000</v>
      </c>
      <c r="K208" s="1043">
        <v>2410000</v>
      </c>
      <c r="L208" s="1043">
        <v>26823931</v>
      </c>
      <c r="M208" s="1120">
        <v>40413</v>
      </c>
      <c r="N208" s="827"/>
      <c r="O208" s="827"/>
      <c r="P208" s="827"/>
      <c r="Q208" s="1084">
        <v>964000</v>
      </c>
      <c r="R208" s="1043">
        <v>26824371</v>
      </c>
      <c r="S208" s="1142" t="s">
        <v>282</v>
      </c>
      <c r="T208" s="853" t="s">
        <v>396</v>
      </c>
      <c r="U208" s="866">
        <v>964000</v>
      </c>
      <c r="V208" s="901">
        <v>40438</v>
      </c>
      <c r="W208" s="827" t="s">
        <v>137</v>
      </c>
      <c r="X208" s="1043">
        <v>2265400</v>
      </c>
      <c r="Y208" s="1084">
        <v>24998252</v>
      </c>
      <c r="Z208" s="827">
        <v>0</v>
      </c>
      <c r="AA208" s="1084">
        <v>-520560</v>
      </c>
      <c r="AB208" s="1043">
        <v>144600</v>
      </c>
      <c r="AC208" s="1043">
        <v>0</v>
      </c>
      <c r="AD208" s="1043">
        <v>0</v>
      </c>
      <c r="AE208" s="1043">
        <v>0</v>
      </c>
      <c r="AF208" s="1328" t="s">
        <v>412</v>
      </c>
      <c r="AG208" s="1329" t="s">
        <v>789</v>
      </c>
      <c r="AH208" s="1329" t="s">
        <v>194</v>
      </c>
      <c r="AI208" s="1329" t="s">
        <v>368</v>
      </c>
    </row>
    <row r="209" spans="1:35" s="6" customFormat="1" ht="15" customHeight="1">
      <c r="A209" s="1143"/>
      <c r="B209" s="1143"/>
      <c r="C209" s="1143"/>
      <c r="D209" s="1143"/>
      <c r="E209" s="1143"/>
      <c r="F209" s="1143"/>
      <c r="G209" s="1143"/>
      <c r="H209" s="1287"/>
      <c r="I209" s="1326"/>
      <c r="J209" s="1084"/>
      <c r="K209" s="1044"/>
      <c r="L209" s="1044"/>
      <c r="M209" s="1121"/>
      <c r="N209" s="827"/>
      <c r="O209" s="827"/>
      <c r="P209" s="827"/>
      <c r="Q209" s="1084"/>
      <c r="R209" s="1044"/>
      <c r="S209" s="1143"/>
      <c r="T209" s="1254" t="s">
        <v>409</v>
      </c>
      <c r="U209" s="866">
        <v>520560</v>
      </c>
      <c r="V209" s="1253">
        <v>41047</v>
      </c>
      <c r="W209" s="827" t="s">
        <v>137</v>
      </c>
      <c r="X209" s="1044"/>
      <c r="Y209" s="1084"/>
      <c r="Z209" s="827">
        <v>0</v>
      </c>
      <c r="AA209" s="1084"/>
      <c r="AB209" s="1044"/>
      <c r="AC209" s="1044"/>
      <c r="AD209" s="1044"/>
      <c r="AE209" s="1044"/>
      <c r="AF209" s="1328"/>
      <c r="AG209" s="1329"/>
      <c r="AH209" s="1329"/>
      <c r="AI209" s="1329"/>
    </row>
    <row r="210" spans="1:35" s="6" customFormat="1" ht="15" customHeight="1">
      <c r="A210" s="1143"/>
      <c r="B210" s="1143"/>
      <c r="C210" s="1143"/>
      <c r="D210" s="1143"/>
      <c r="E210" s="1143"/>
      <c r="F210" s="1143"/>
      <c r="G210" s="1143"/>
      <c r="H210" s="1287"/>
      <c r="I210" s="1316" t="s">
        <v>7</v>
      </c>
      <c r="J210" s="1043">
        <v>1446000</v>
      </c>
      <c r="K210" s="1044"/>
      <c r="L210" s="1044"/>
      <c r="M210" s="1121"/>
      <c r="N210" s="827"/>
      <c r="O210" s="827"/>
      <c r="P210" s="827"/>
      <c r="Q210" s="1043">
        <v>1446000</v>
      </c>
      <c r="R210" s="1044"/>
      <c r="S210" s="1143"/>
      <c r="T210" s="1254"/>
      <c r="U210" s="866">
        <v>780840</v>
      </c>
      <c r="V210" s="1253"/>
      <c r="W210" s="827" t="s">
        <v>7</v>
      </c>
      <c r="X210" s="1044"/>
      <c r="Y210" s="1084"/>
      <c r="Z210" s="827">
        <v>0</v>
      </c>
      <c r="AA210" s="1043">
        <v>665160</v>
      </c>
      <c r="AB210" s="1044"/>
      <c r="AC210" s="1044"/>
      <c r="AD210" s="1044"/>
      <c r="AE210" s="1044"/>
      <c r="AF210" s="1328"/>
      <c r="AG210" s="1329"/>
      <c r="AH210" s="1329"/>
      <c r="AI210" s="1329"/>
    </row>
    <row r="211" spans="1:35" s="6" customFormat="1" ht="15" customHeight="1">
      <c r="A211" s="1143"/>
      <c r="B211" s="1143"/>
      <c r="C211" s="1143"/>
      <c r="D211" s="1143"/>
      <c r="E211" s="1143"/>
      <c r="F211" s="1143"/>
      <c r="G211" s="1143"/>
      <c r="H211" s="1288"/>
      <c r="I211" s="1317"/>
      <c r="J211" s="1045"/>
      <c r="K211" s="1045"/>
      <c r="L211" s="1044"/>
      <c r="M211" s="1160"/>
      <c r="N211" s="827"/>
      <c r="O211" s="827"/>
      <c r="P211" s="827"/>
      <c r="Q211" s="1045"/>
      <c r="R211" s="1044"/>
      <c r="S211" s="1143"/>
      <c r="T211" s="853"/>
      <c r="U211" s="866">
        <v>0</v>
      </c>
      <c r="V211" s="900"/>
      <c r="W211" s="827"/>
      <c r="X211" s="1045"/>
      <c r="Y211" s="1084"/>
      <c r="Z211" s="827">
        <v>144600</v>
      </c>
      <c r="AA211" s="1045"/>
      <c r="AB211" s="1045"/>
      <c r="AC211" s="1045"/>
      <c r="AD211" s="1045"/>
      <c r="AE211" s="1045"/>
      <c r="AF211" s="1328"/>
      <c r="AG211" s="1329"/>
      <c r="AH211" s="1329"/>
      <c r="AI211" s="1329"/>
    </row>
    <row r="212" spans="1:35" s="6" customFormat="1" ht="15" customHeight="1">
      <c r="A212" s="1143"/>
      <c r="B212" s="1143"/>
      <c r="C212" s="1143"/>
      <c r="D212" s="1143"/>
      <c r="E212" s="1143"/>
      <c r="F212" s="1143"/>
      <c r="G212" s="1143"/>
      <c r="H212" s="1286">
        <v>59</v>
      </c>
      <c r="I212" s="1326" t="s">
        <v>137</v>
      </c>
      <c r="J212" s="1084">
        <v>424000</v>
      </c>
      <c r="K212" s="1043">
        <v>1060000</v>
      </c>
      <c r="L212" s="1044"/>
      <c r="M212" s="1120">
        <v>40413</v>
      </c>
      <c r="N212" s="883"/>
      <c r="O212" s="827"/>
      <c r="P212" s="827"/>
      <c r="Q212" s="1084">
        <v>424000</v>
      </c>
      <c r="R212" s="1044"/>
      <c r="S212" s="1143"/>
      <c r="T212" s="878" t="s">
        <v>397</v>
      </c>
      <c r="U212" s="866">
        <v>424000</v>
      </c>
      <c r="V212" s="881">
        <v>40438</v>
      </c>
      <c r="W212" s="866" t="s">
        <v>137</v>
      </c>
      <c r="X212" s="1043">
        <v>996400</v>
      </c>
      <c r="Y212" s="1084"/>
      <c r="Z212" s="827">
        <v>0</v>
      </c>
      <c r="AA212" s="1084">
        <v>-343440</v>
      </c>
      <c r="AB212" s="1043">
        <v>63600</v>
      </c>
      <c r="AC212" s="1043">
        <v>0</v>
      </c>
      <c r="AD212" s="1043">
        <v>0</v>
      </c>
      <c r="AE212" s="1043">
        <v>0</v>
      </c>
      <c r="AF212" s="1328"/>
      <c r="AG212" s="1329"/>
      <c r="AH212" s="1329"/>
      <c r="AI212" s="1329"/>
    </row>
    <row r="213" spans="1:35" s="6" customFormat="1" ht="15" customHeight="1">
      <c r="A213" s="1143"/>
      <c r="B213" s="1143"/>
      <c r="C213" s="1143"/>
      <c r="D213" s="1143"/>
      <c r="E213" s="1143"/>
      <c r="F213" s="1143"/>
      <c r="G213" s="1143"/>
      <c r="H213" s="1287"/>
      <c r="I213" s="1326"/>
      <c r="J213" s="1084"/>
      <c r="K213" s="1044"/>
      <c r="L213" s="1044"/>
      <c r="M213" s="1121"/>
      <c r="N213" s="883"/>
      <c r="O213" s="827"/>
      <c r="P213" s="827"/>
      <c r="Q213" s="1084"/>
      <c r="R213" s="1044"/>
      <c r="S213" s="1143"/>
      <c r="T213" s="1254" t="s">
        <v>401</v>
      </c>
      <c r="U213" s="866">
        <v>343440</v>
      </c>
      <c r="V213" s="1253">
        <v>40835</v>
      </c>
      <c r="W213" s="866" t="s">
        <v>137</v>
      </c>
      <c r="X213" s="1044"/>
      <c r="Y213" s="1084"/>
      <c r="Z213" s="827">
        <v>-114480</v>
      </c>
      <c r="AA213" s="1084"/>
      <c r="AB213" s="1044"/>
      <c r="AC213" s="1044"/>
      <c r="AD213" s="1044"/>
      <c r="AE213" s="1044"/>
      <c r="AF213" s="1328"/>
      <c r="AG213" s="1329"/>
      <c r="AH213" s="1329"/>
      <c r="AI213" s="1329"/>
    </row>
    <row r="214" spans="1:35" s="6" customFormat="1" ht="15" customHeight="1">
      <c r="A214" s="1143"/>
      <c r="B214" s="1143"/>
      <c r="C214" s="1143"/>
      <c r="D214" s="1143"/>
      <c r="E214" s="1143"/>
      <c r="F214" s="1143"/>
      <c r="G214" s="1143"/>
      <c r="H214" s="1287"/>
      <c r="I214" s="1316" t="s">
        <v>7</v>
      </c>
      <c r="J214" s="1043">
        <v>636000</v>
      </c>
      <c r="K214" s="1044"/>
      <c r="L214" s="1044"/>
      <c r="M214" s="1121"/>
      <c r="N214" s="883"/>
      <c r="O214" s="827"/>
      <c r="P214" s="827"/>
      <c r="Q214" s="1043">
        <v>636000</v>
      </c>
      <c r="R214" s="1044"/>
      <c r="S214" s="1143"/>
      <c r="T214" s="1254"/>
      <c r="U214" s="866">
        <v>228960</v>
      </c>
      <c r="V214" s="1253"/>
      <c r="W214" s="866" t="s">
        <v>7</v>
      </c>
      <c r="X214" s="1044"/>
      <c r="Y214" s="1084"/>
      <c r="Z214" s="827">
        <v>114480</v>
      </c>
      <c r="AA214" s="1043">
        <v>407040</v>
      </c>
      <c r="AB214" s="1044"/>
      <c r="AC214" s="1044"/>
      <c r="AD214" s="1044"/>
      <c r="AE214" s="1044"/>
      <c r="AF214" s="1328"/>
      <c r="AG214" s="1329"/>
      <c r="AH214" s="1329"/>
      <c r="AI214" s="1329"/>
    </row>
    <row r="215" spans="1:35" s="6" customFormat="1" ht="15" customHeight="1">
      <c r="A215" s="1143"/>
      <c r="B215" s="1143"/>
      <c r="C215" s="1143"/>
      <c r="D215" s="1143"/>
      <c r="E215" s="1143"/>
      <c r="F215" s="1143"/>
      <c r="G215" s="1143"/>
      <c r="H215" s="1288"/>
      <c r="I215" s="1317"/>
      <c r="J215" s="1045"/>
      <c r="K215" s="1045"/>
      <c r="L215" s="1044"/>
      <c r="M215" s="1160"/>
      <c r="N215" s="883"/>
      <c r="O215" s="827"/>
      <c r="P215" s="827"/>
      <c r="Q215" s="1045"/>
      <c r="R215" s="1044"/>
      <c r="S215" s="1143"/>
      <c r="T215" s="878"/>
      <c r="U215" s="866">
        <v>0</v>
      </c>
      <c r="V215" s="881"/>
      <c r="W215" s="866"/>
      <c r="X215" s="1045"/>
      <c r="Y215" s="1084"/>
      <c r="Z215" s="827">
        <v>63600</v>
      </c>
      <c r="AA215" s="1045"/>
      <c r="AB215" s="1045"/>
      <c r="AC215" s="1045"/>
      <c r="AD215" s="1045"/>
      <c r="AE215" s="1045"/>
      <c r="AF215" s="1328"/>
      <c r="AG215" s="1329"/>
      <c r="AH215" s="1329"/>
      <c r="AI215" s="1329"/>
    </row>
    <row r="216" spans="1:35" s="6" customFormat="1" ht="15" customHeight="1">
      <c r="A216" s="1143"/>
      <c r="B216" s="1143"/>
      <c r="C216" s="1143"/>
      <c r="D216" s="1143"/>
      <c r="E216" s="1143"/>
      <c r="F216" s="1143"/>
      <c r="G216" s="1143"/>
      <c r="H216" s="1286">
        <v>60</v>
      </c>
      <c r="I216" s="1326" t="s">
        <v>137</v>
      </c>
      <c r="J216" s="1084">
        <v>2100000</v>
      </c>
      <c r="K216" s="1043">
        <v>5250000</v>
      </c>
      <c r="L216" s="1044"/>
      <c r="M216" s="1120">
        <v>40413</v>
      </c>
      <c r="N216" s="883"/>
      <c r="O216" s="827"/>
      <c r="P216" s="827"/>
      <c r="Q216" s="1084">
        <v>2100000</v>
      </c>
      <c r="R216" s="1044"/>
      <c r="S216" s="1143"/>
      <c r="T216" s="878" t="s">
        <v>398</v>
      </c>
      <c r="U216" s="866">
        <v>2100000</v>
      </c>
      <c r="V216" s="881">
        <v>40438</v>
      </c>
      <c r="W216" s="866" t="s">
        <v>137</v>
      </c>
      <c r="X216" s="1043">
        <v>4935000</v>
      </c>
      <c r="Y216" s="1084"/>
      <c r="Z216" s="827">
        <v>0</v>
      </c>
      <c r="AA216" s="1084">
        <v>-1134000</v>
      </c>
      <c r="AB216" s="1043">
        <v>315000</v>
      </c>
      <c r="AC216" s="1043">
        <v>0</v>
      </c>
      <c r="AD216" s="1043">
        <v>0</v>
      </c>
      <c r="AE216" s="1043">
        <v>0</v>
      </c>
      <c r="AF216" s="1328"/>
      <c r="AG216" s="1329"/>
      <c r="AH216" s="1329"/>
      <c r="AI216" s="1329"/>
    </row>
    <row r="217" spans="1:35" s="6" customFormat="1" ht="15" customHeight="1">
      <c r="A217" s="1143"/>
      <c r="B217" s="1143"/>
      <c r="C217" s="1143"/>
      <c r="D217" s="1143"/>
      <c r="E217" s="1143"/>
      <c r="F217" s="1143"/>
      <c r="G217" s="1143"/>
      <c r="H217" s="1287"/>
      <c r="I217" s="1326"/>
      <c r="J217" s="1084"/>
      <c r="K217" s="1044"/>
      <c r="L217" s="1044"/>
      <c r="M217" s="1121"/>
      <c r="N217" s="883"/>
      <c r="O217" s="827"/>
      <c r="P217" s="827"/>
      <c r="Q217" s="1084"/>
      <c r="R217" s="1044"/>
      <c r="S217" s="1143"/>
      <c r="T217" s="1254" t="s">
        <v>404</v>
      </c>
      <c r="U217" s="866">
        <v>1134000</v>
      </c>
      <c r="V217" s="1253">
        <v>40837</v>
      </c>
      <c r="W217" s="866" t="s">
        <v>137</v>
      </c>
      <c r="X217" s="1044"/>
      <c r="Y217" s="1084"/>
      <c r="Z217" s="827">
        <v>0</v>
      </c>
      <c r="AA217" s="1084"/>
      <c r="AB217" s="1044"/>
      <c r="AC217" s="1044"/>
      <c r="AD217" s="1044"/>
      <c r="AE217" s="1044"/>
      <c r="AF217" s="1328"/>
      <c r="AG217" s="1329"/>
      <c r="AH217" s="1329"/>
      <c r="AI217" s="1329"/>
    </row>
    <row r="218" spans="1:35" s="6" customFormat="1" ht="15" customHeight="1">
      <c r="A218" s="1143"/>
      <c r="B218" s="1143"/>
      <c r="C218" s="1143"/>
      <c r="D218" s="1143"/>
      <c r="E218" s="1143"/>
      <c r="F218" s="1143"/>
      <c r="G218" s="1143"/>
      <c r="H218" s="1287"/>
      <c r="I218" s="1316" t="s">
        <v>7</v>
      </c>
      <c r="J218" s="1043">
        <v>3150000</v>
      </c>
      <c r="K218" s="1044"/>
      <c r="L218" s="1044"/>
      <c r="M218" s="1121"/>
      <c r="N218" s="883"/>
      <c r="O218" s="827"/>
      <c r="P218" s="827"/>
      <c r="Q218" s="1043">
        <v>3150000</v>
      </c>
      <c r="R218" s="1044"/>
      <c r="S218" s="1143"/>
      <c r="T218" s="1254"/>
      <c r="U218" s="866">
        <v>1701000</v>
      </c>
      <c r="V218" s="1253"/>
      <c r="W218" s="866" t="s">
        <v>7</v>
      </c>
      <c r="X218" s="1044"/>
      <c r="Y218" s="1084"/>
      <c r="Z218" s="827">
        <v>0</v>
      </c>
      <c r="AA218" s="1043">
        <v>1449000</v>
      </c>
      <c r="AB218" s="1044"/>
      <c r="AC218" s="1044"/>
      <c r="AD218" s="1044"/>
      <c r="AE218" s="1044"/>
      <c r="AF218" s="1328"/>
      <c r="AG218" s="1329"/>
      <c r="AH218" s="1329"/>
      <c r="AI218" s="1329"/>
    </row>
    <row r="219" spans="1:35" s="6" customFormat="1" ht="15" customHeight="1">
      <c r="A219" s="1143"/>
      <c r="B219" s="1143"/>
      <c r="C219" s="1143"/>
      <c r="D219" s="1143"/>
      <c r="E219" s="1143"/>
      <c r="F219" s="1143"/>
      <c r="G219" s="1143"/>
      <c r="H219" s="1288"/>
      <c r="I219" s="1317"/>
      <c r="J219" s="1045"/>
      <c r="K219" s="1045"/>
      <c r="L219" s="1044"/>
      <c r="M219" s="1160"/>
      <c r="N219" s="883"/>
      <c r="O219" s="827"/>
      <c r="P219" s="827"/>
      <c r="Q219" s="1045"/>
      <c r="R219" s="1044"/>
      <c r="S219" s="1143"/>
      <c r="T219" s="878"/>
      <c r="U219" s="866">
        <v>0</v>
      </c>
      <c r="V219" s="881"/>
      <c r="W219" s="866"/>
      <c r="X219" s="1045"/>
      <c r="Y219" s="1084"/>
      <c r="Z219" s="827">
        <v>315000</v>
      </c>
      <c r="AA219" s="1045"/>
      <c r="AB219" s="1045"/>
      <c r="AC219" s="1045"/>
      <c r="AD219" s="1045"/>
      <c r="AE219" s="1045"/>
      <c r="AF219" s="1328"/>
      <c r="AG219" s="1329"/>
      <c r="AH219" s="1329"/>
      <c r="AI219" s="1329"/>
    </row>
    <row r="220" spans="1:35" s="6" customFormat="1" ht="15" customHeight="1">
      <c r="A220" s="1143"/>
      <c r="B220" s="1143"/>
      <c r="C220" s="1143"/>
      <c r="D220" s="1143"/>
      <c r="E220" s="1143"/>
      <c r="F220" s="1143"/>
      <c r="G220" s="1143"/>
      <c r="H220" s="1286">
        <v>61</v>
      </c>
      <c r="I220" s="1326" t="s">
        <v>137</v>
      </c>
      <c r="J220" s="1084">
        <v>788000</v>
      </c>
      <c r="K220" s="1043">
        <v>1970000</v>
      </c>
      <c r="L220" s="1044"/>
      <c r="M220" s="1120">
        <v>40413</v>
      </c>
      <c r="N220" s="883"/>
      <c r="O220" s="827"/>
      <c r="P220" s="827"/>
      <c r="Q220" s="1084">
        <v>788000</v>
      </c>
      <c r="R220" s="1044"/>
      <c r="S220" s="1143"/>
      <c r="T220" s="878" t="s">
        <v>399</v>
      </c>
      <c r="U220" s="866">
        <v>788000</v>
      </c>
      <c r="V220" s="881">
        <v>40438</v>
      </c>
      <c r="W220" s="866" t="s">
        <v>137</v>
      </c>
      <c r="X220" s="1043">
        <v>1851800</v>
      </c>
      <c r="Y220" s="1084"/>
      <c r="Z220" s="827">
        <v>0</v>
      </c>
      <c r="AA220" s="1084">
        <v>-425520</v>
      </c>
      <c r="AB220" s="1043">
        <v>118200</v>
      </c>
      <c r="AC220" s="1043">
        <v>0</v>
      </c>
      <c r="AD220" s="1043">
        <v>0</v>
      </c>
      <c r="AE220" s="1043">
        <v>0</v>
      </c>
      <c r="AF220" s="1328"/>
      <c r="AG220" s="1329"/>
      <c r="AH220" s="1329"/>
      <c r="AI220" s="1329"/>
    </row>
    <row r="221" spans="1:35" s="6" customFormat="1" ht="15" customHeight="1">
      <c r="A221" s="1143"/>
      <c r="B221" s="1143"/>
      <c r="C221" s="1143"/>
      <c r="D221" s="1143"/>
      <c r="E221" s="1143"/>
      <c r="F221" s="1143"/>
      <c r="G221" s="1143"/>
      <c r="H221" s="1287"/>
      <c r="I221" s="1326"/>
      <c r="J221" s="1084"/>
      <c r="K221" s="1044"/>
      <c r="L221" s="1044"/>
      <c r="M221" s="1121"/>
      <c r="N221" s="883"/>
      <c r="O221" s="827"/>
      <c r="P221" s="827"/>
      <c r="Q221" s="1084"/>
      <c r="R221" s="1044"/>
      <c r="S221" s="1143"/>
      <c r="T221" s="1254" t="s">
        <v>410</v>
      </c>
      <c r="U221" s="866">
        <v>425520</v>
      </c>
      <c r="V221" s="1253">
        <v>41191</v>
      </c>
      <c r="W221" s="866" t="s">
        <v>137</v>
      </c>
      <c r="X221" s="1044"/>
      <c r="Y221" s="1084"/>
      <c r="Z221" s="827">
        <v>0</v>
      </c>
      <c r="AA221" s="1084"/>
      <c r="AB221" s="1044"/>
      <c r="AC221" s="1044"/>
      <c r="AD221" s="1044"/>
      <c r="AE221" s="1044"/>
      <c r="AF221" s="1328"/>
      <c r="AG221" s="1329"/>
      <c r="AH221" s="1329"/>
      <c r="AI221" s="1329"/>
    </row>
    <row r="222" spans="1:35" s="6" customFormat="1" ht="15" customHeight="1">
      <c r="A222" s="1143"/>
      <c r="B222" s="1143"/>
      <c r="C222" s="1143"/>
      <c r="D222" s="1143"/>
      <c r="E222" s="1143"/>
      <c r="F222" s="1143"/>
      <c r="G222" s="1143"/>
      <c r="H222" s="1287"/>
      <c r="I222" s="1316" t="s">
        <v>7</v>
      </c>
      <c r="J222" s="1043">
        <v>1182000</v>
      </c>
      <c r="K222" s="1044"/>
      <c r="L222" s="1044"/>
      <c r="M222" s="1121"/>
      <c r="N222" s="883"/>
      <c r="O222" s="827"/>
      <c r="P222" s="827"/>
      <c r="Q222" s="1043">
        <v>1182000</v>
      </c>
      <c r="R222" s="1044"/>
      <c r="S222" s="1143"/>
      <c r="T222" s="1254"/>
      <c r="U222" s="866">
        <v>638280</v>
      </c>
      <c r="V222" s="1253"/>
      <c r="W222" s="866" t="s">
        <v>7</v>
      </c>
      <c r="X222" s="1044"/>
      <c r="Y222" s="1084"/>
      <c r="Z222" s="827">
        <v>0</v>
      </c>
      <c r="AA222" s="1043">
        <v>543720</v>
      </c>
      <c r="AB222" s="1044"/>
      <c r="AC222" s="1044"/>
      <c r="AD222" s="1044"/>
      <c r="AE222" s="1044"/>
      <c r="AF222" s="1328"/>
      <c r="AG222" s="1329"/>
      <c r="AH222" s="1329"/>
      <c r="AI222" s="1329"/>
    </row>
    <row r="223" spans="1:35" s="6" customFormat="1" ht="15" customHeight="1">
      <c r="A223" s="1143"/>
      <c r="B223" s="1143"/>
      <c r="C223" s="1143"/>
      <c r="D223" s="1143"/>
      <c r="E223" s="1143"/>
      <c r="F223" s="1143"/>
      <c r="G223" s="1143"/>
      <c r="H223" s="1288"/>
      <c r="I223" s="1317"/>
      <c r="J223" s="1045"/>
      <c r="K223" s="1045"/>
      <c r="L223" s="1044"/>
      <c r="M223" s="1160"/>
      <c r="N223" s="883"/>
      <c r="O223" s="827"/>
      <c r="P223" s="827"/>
      <c r="Q223" s="1045"/>
      <c r="R223" s="1044"/>
      <c r="S223" s="1143"/>
      <c r="T223" s="878"/>
      <c r="U223" s="866">
        <v>0</v>
      </c>
      <c r="V223" s="881"/>
      <c r="W223" s="866"/>
      <c r="X223" s="1045"/>
      <c r="Y223" s="1084"/>
      <c r="Z223" s="827">
        <v>118200</v>
      </c>
      <c r="AA223" s="1045"/>
      <c r="AB223" s="1045"/>
      <c r="AC223" s="1045"/>
      <c r="AD223" s="1045"/>
      <c r="AE223" s="1045"/>
      <c r="AF223" s="1328"/>
      <c r="AG223" s="1329"/>
      <c r="AH223" s="1329"/>
      <c r="AI223" s="1329"/>
    </row>
    <row r="224" spans="1:35" s="6" customFormat="1" ht="15" customHeight="1">
      <c r="A224" s="1143"/>
      <c r="B224" s="1143"/>
      <c r="C224" s="1143"/>
      <c r="D224" s="1143"/>
      <c r="E224" s="1143"/>
      <c r="F224" s="1143"/>
      <c r="G224" s="1143"/>
      <c r="H224" s="1286">
        <v>62</v>
      </c>
      <c r="I224" s="1326" t="s">
        <v>137</v>
      </c>
      <c r="J224" s="1084">
        <v>1040000</v>
      </c>
      <c r="K224" s="1043">
        <v>2600000</v>
      </c>
      <c r="L224" s="1044"/>
      <c r="M224" s="1120">
        <v>40413</v>
      </c>
      <c r="N224" s="883"/>
      <c r="O224" s="827"/>
      <c r="P224" s="827"/>
      <c r="Q224" s="1084">
        <v>1040000</v>
      </c>
      <c r="R224" s="1044"/>
      <c r="S224" s="1143"/>
      <c r="T224" s="878" t="s">
        <v>399</v>
      </c>
      <c r="U224" s="866">
        <v>1040000</v>
      </c>
      <c r="V224" s="881">
        <v>40438</v>
      </c>
      <c r="W224" s="866" t="s">
        <v>137</v>
      </c>
      <c r="X224" s="1043">
        <v>2444000</v>
      </c>
      <c r="Y224" s="1084"/>
      <c r="Z224" s="827">
        <v>0</v>
      </c>
      <c r="AA224" s="1084">
        <v>-561600</v>
      </c>
      <c r="AB224" s="1043">
        <v>156000</v>
      </c>
      <c r="AC224" s="1043">
        <v>0</v>
      </c>
      <c r="AD224" s="1043">
        <v>0</v>
      </c>
      <c r="AE224" s="1043">
        <v>0</v>
      </c>
      <c r="AF224" s="1328"/>
      <c r="AG224" s="1329"/>
      <c r="AH224" s="1329"/>
      <c r="AI224" s="1329"/>
    </row>
    <row r="225" spans="1:35" s="6" customFormat="1" ht="15" customHeight="1">
      <c r="A225" s="1143"/>
      <c r="B225" s="1143"/>
      <c r="C225" s="1143"/>
      <c r="D225" s="1143"/>
      <c r="E225" s="1143"/>
      <c r="F225" s="1143"/>
      <c r="G225" s="1143"/>
      <c r="H225" s="1287"/>
      <c r="I225" s="1326"/>
      <c r="J225" s="1084"/>
      <c r="K225" s="1044"/>
      <c r="L225" s="1044"/>
      <c r="M225" s="1121"/>
      <c r="N225" s="883"/>
      <c r="O225" s="827"/>
      <c r="P225" s="827"/>
      <c r="Q225" s="1084"/>
      <c r="R225" s="1044"/>
      <c r="S225" s="1143"/>
      <c r="T225" s="1254" t="s">
        <v>403</v>
      </c>
      <c r="U225" s="866">
        <v>561600</v>
      </c>
      <c r="V225" s="1253">
        <v>40835</v>
      </c>
      <c r="W225" s="866" t="s">
        <v>137</v>
      </c>
      <c r="X225" s="1044"/>
      <c r="Y225" s="1084"/>
      <c r="Z225" s="827">
        <v>0</v>
      </c>
      <c r="AA225" s="1084"/>
      <c r="AB225" s="1044"/>
      <c r="AC225" s="1044"/>
      <c r="AD225" s="1044"/>
      <c r="AE225" s="1044"/>
      <c r="AF225" s="1328"/>
      <c r="AG225" s="1329"/>
      <c r="AH225" s="1329"/>
      <c r="AI225" s="1329"/>
    </row>
    <row r="226" spans="1:35" s="6" customFormat="1" ht="15" customHeight="1">
      <c r="A226" s="1143"/>
      <c r="B226" s="1143"/>
      <c r="C226" s="1143"/>
      <c r="D226" s="1143"/>
      <c r="E226" s="1143"/>
      <c r="F226" s="1143"/>
      <c r="G226" s="1143"/>
      <c r="H226" s="1287"/>
      <c r="I226" s="1157" t="s">
        <v>7</v>
      </c>
      <c r="J226" s="1043">
        <v>1560000</v>
      </c>
      <c r="K226" s="1044"/>
      <c r="L226" s="1044"/>
      <c r="M226" s="1121"/>
      <c r="N226" s="883"/>
      <c r="O226" s="827"/>
      <c r="P226" s="827"/>
      <c r="Q226" s="1043">
        <v>1560000</v>
      </c>
      <c r="R226" s="1044"/>
      <c r="S226" s="1143"/>
      <c r="T226" s="1254"/>
      <c r="U226" s="866">
        <v>842400</v>
      </c>
      <c r="V226" s="1253"/>
      <c r="W226" s="866" t="s">
        <v>7</v>
      </c>
      <c r="X226" s="1044"/>
      <c r="Y226" s="1084"/>
      <c r="Z226" s="827">
        <v>0</v>
      </c>
      <c r="AA226" s="1043">
        <v>717600</v>
      </c>
      <c r="AB226" s="1044"/>
      <c r="AC226" s="1044"/>
      <c r="AD226" s="1044"/>
      <c r="AE226" s="1044"/>
      <c r="AF226" s="1328"/>
      <c r="AG226" s="1329"/>
      <c r="AH226" s="1329"/>
      <c r="AI226" s="1329"/>
    </row>
    <row r="227" spans="1:35" s="6" customFormat="1" ht="15" customHeight="1">
      <c r="A227" s="1143"/>
      <c r="B227" s="1143"/>
      <c r="C227" s="1143"/>
      <c r="D227" s="1143"/>
      <c r="E227" s="1143"/>
      <c r="F227" s="1143"/>
      <c r="G227" s="1143"/>
      <c r="H227" s="1288"/>
      <c r="I227" s="1159"/>
      <c r="J227" s="1045"/>
      <c r="K227" s="1045"/>
      <c r="L227" s="1044"/>
      <c r="M227" s="1160"/>
      <c r="N227" s="883"/>
      <c r="O227" s="827"/>
      <c r="P227" s="827"/>
      <c r="Q227" s="1045"/>
      <c r="R227" s="1044"/>
      <c r="S227" s="1143"/>
      <c r="T227" s="878"/>
      <c r="U227" s="866">
        <v>0</v>
      </c>
      <c r="V227" s="881"/>
      <c r="W227" s="866"/>
      <c r="X227" s="1045"/>
      <c r="Y227" s="1084"/>
      <c r="Z227" s="827">
        <v>156000</v>
      </c>
      <c r="AA227" s="1045"/>
      <c r="AB227" s="1045"/>
      <c r="AC227" s="1045"/>
      <c r="AD227" s="1045"/>
      <c r="AE227" s="1045"/>
      <c r="AF227" s="1328"/>
      <c r="AG227" s="1329"/>
      <c r="AH227" s="1329"/>
      <c r="AI227" s="1329"/>
    </row>
    <row r="228" spans="1:35" s="6" customFormat="1" ht="15" customHeight="1">
      <c r="A228" s="1143"/>
      <c r="B228" s="1143"/>
      <c r="C228" s="1143"/>
      <c r="D228" s="1143"/>
      <c r="E228" s="1143"/>
      <c r="F228" s="1143"/>
      <c r="G228" s="1143"/>
      <c r="H228" s="1286">
        <v>63</v>
      </c>
      <c r="I228" s="1326" t="s">
        <v>137</v>
      </c>
      <c r="J228" s="1084">
        <v>1592000</v>
      </c>
      <c r="K228" s="1043">
        <v>3980000</v>
      </c>
      <c r="L228" s="1044"/>
      <c r="M228" s="1120">
        <v>40413</v>
      </c>
      <c r="N228" s="883"/>
      <c r="O228" s="827"/>
      <c r="P228" s="827"/>
      <c r="Q228" s="1084">
        <v>1592000</v>
      </c>
      <c r="R228" s="1044"/>
      <c r="S228" s="1143"/>
      <c r="T228" s="878" t="s">
        <v>399</v>
      </c>
      <c r="U228" s="866">
        <v>1592000</v>
      </c>
      <c r="V228" s="881">
        <v>40438</v>
      </c>
      <c r="W228" s="866" t="s">
        <v>137</v>
      </c>
      <c r="X228" s="1043">
        <v>3741200</v>
      </c>
      <c r="Y228" s="1084"/>
      <c r="Z228" s="827">
        <v>0</v>
      </c>
      <c r="AA228" s="1084">
        <v>-859680.5</v>
      </c>
      <c r="AB228" s="1043">
        <v>238800</v>
      </c>
      <c r="AC228" s="1043">
        <v>0</v>
      </c>
      <c r="AD228" s="1043">
        <v>0</v>
      </c>
      <c r="AE228" s="1043">
        <v>0</v>
      </c>
      <c r="AF228" s="1328"/>
      <c r="AG228" s="1329"/>
      <c r="AH228" s="1329"/>
      <c r="AI228" s="1329"/>
    </row>
    <row r="229" spans="1:35" s="6" customFormat="1" ht="15" customHeight="1">
      <c r="A229" s="1143"/>
      <c r="B229" s="1143"/>
      <c r="C229" s="1143"/>
      <c r="D229" s="1143"/>
      <c r="E229" s="1143"/>
      <c r="F229" s="1143"/>
      <c r="G229" s="1143"/>
      <c r="H229" s="1287"/>
      <c r="I229" s="1326"/>
      <c r="J229" s="1084"/>
      <c r="K229" s="1044"/>
      <c r="L229" s="1044"/>
      <c r="M229" s="1121"/>
      <c r="N229" s="883"/>
      <c r="O229" s="827"/>
      <c r="P229" s="827"/>
      <c r="Q229" s="1084"/>
      <c r="R229" s="1044"/>
      <c r="S229" s="1143"/>
      <c r="T229" s="1254" t="s">
        <v>402</v>
      </c>
      <c r="U229" s="866">
        <v>859680.5</v>
      </c>
      <c r="V229" s="1253">
        <v>40835</v>
      </c>
      <c r="W229" s="866" t="s">
        <v>137</v>
      </c>
      <c r="X229" s="1044"/>
      <c r="Y229" s="1084"/>
      <c r="Z229" s="827">
        <v>-0.5</v>
      </c>
      <c r="AA229" s="1084"/>
      <c r="AB229" s="1044"/>
      <c r="AC229" s="1044"/>
      <c r="AD229" s="1044"/>
      <c r="AE229" s="1044"/>
      <c r="AF229" s="1328"/>
      <c r="AG229" s="1329"/>
      <c r="AH229" s="1329"/>
      <c r="AI229" s="1329"/>
    </row>
    <row r="230" spans="1:35" s="6" customFormat="1" ht="15" customHeight="1">
      <c r="A230" s="1143"/>
      <c r="B230" s="1143"/>
      <c r="C230" s="1143"/>
      <c r="D230" s="1143"/>
      <c r="E230" s="1143"/>
      <c r="F230" s="1143"/>
      <c r="G230" s="1143"/>
      <c r="H230" s="1287"/>
      <c r="I230" s="1157" t="s">
        <v>7</v>
      </c>
      <c r="J230" s="1043">
        <v>2388000</v>
      </c>
      <c r="K230" s="1044"/>
      <c r="L230" s="1044"/>
      <c r="M230" s="1121"/>
      <c r="N230" s="883"/>
      <c r="O230" s="827"/>
      <c r="P230" s="827"/>
      <c r="Q230" s="1043">
        <v>2388000</v>
      </c>
      <c r="R230" s="1044"/>
      <c r="S230" s="1143"/>
      <c r="T230" s="1254"/>
      <c r="U230" s="866">
        <v>1289519.5</v>
      </c>
      <c r="V230" s="1253"/>
      <c r="W230" s="866" t="s">
        <v>7</v>
      </c>
      <c r="X230" s="1044"/>
      <c r="Y230" s="1084"/>
      <c r="Z230" s="827">
        <v>0.5</v>
      </c>
      <c r="AA230" s="1043">
        <v>1098480.5</v>
      </c>
      <c r="AB230" s="1044"/>
      <c r="AC230" s="1044"/>
      <c r="AD230" s="1044"/>
      <c r="AE230" s="1044"/>
      <c r="AF230" s="1328"/>
      <c r="AG230" s="1329"/>
      <c r="AH230" s="1329"/>
      <c r="AI230" s="1329"/>
    </row>
    <row r="231" spans="1:35" s="6" customFormat="1" ht="15" customHeight="1">
      <c r="A231" s="1143"/>
      <c r="B231" s="1143"/>
      <c r="C231" s="1143"/>
      <c r="D231" s="1143"/>
      <c r="E231" s="1143"/>
      <c r="F231" s="1143"/>
      <c r="G231" s="1143"/>
      <c r="H231" s="1288"/>
      <c r="I231" s="1159"/>
      <c r="J231" s="1045"/>
      <c r="K231" s="1045"/>
      <c r="L231" s="1044"/>
      <c r="M231" s="1160"/>
      <c r="N231" s="883"/>
      <c r="O231" s="827"/>
      <c r="P231" s="827"/>
      <c r="Q231" s="1045"/>
      <c r="R231" s="1044"/>
      <c r="S231" s="1143"/>
      <c r="T231" s="878"/>
      <c r="U231" s="866">
        <v>0</v>
      </c>
      <c r="V231" s="881"/>
      <c r="W231" s="866"/>
      <c r="X231" s="1045"/>
      <c r="Y231" s="1084"/>
      <c r="Z231" s="827">
        <v>238800</v>
      </c>
      <c r="AA231" s="1045"/>
      <c r="AB231" s="1045"/>
      <c r="AC231" s="1045"/>
      <c r="AD231" s="1045"/>
      <c r="AE231" s="1045"/>
      <c r="AF231" s="1328"/>
      <c r="AG231" s="1329"/>
      <c r="AH231" s="1329"/>
      <c r="AI231" s="1329"/>
    </row>
    <row r="232" spans="1:35" s="6" customFormat="1" ht="15" customHeight="1">
      <c r="A232" s="1143"/>
      <c r="B232" s="1143"/>
      <c r="C232" s="1143"/>
      <c r="D232" s="1143"/>
      <c r="E232" s="1143"/>
      <c r="F232" s="1143"/>
      <c r="G232" s="1143"/>
      <c r="H232" s="1286">
        <v>64</v>
      </c>
      <c r="I232" s="1326" t="s">
        <v>137</v>
      </c>
      <c r="J232" s="1084">
        <v>1655172.4</v>
      </c>
      <c r="K232" s="1043">
        <v>4137931</v>
      </c>
      <c r="L232" s="1044"/>
      <c r="M232" s="1120">
        <v>40413</v>
      </c>
      <c r="N232" s="883"/>
      <c r="O232" s="827"/>
      <c r="P232" s="827"/>
      <c r="Q232" s="1084">
        <v>1655172.4</v>
      </c>
      <c r="R232" s="1044"/>
      <c r="S232" s="1143"/>
      <c r="T232" s="878" t="s">
        <v>400</v>
      </c>
      <c r="U232" s="866">
        <v>1655173</v>
      </c>
      <c r="V232" s="881">
        <v>40438</v>
      </c>
      <c r="W232" s="866" t="s">
        <v>137</v>
      </c>
      <c r="X232" s="1043">
        <v>3889656</v>
      </c>
      <c r="Y232" s="1084"/>
      <c r="Z232" s="827">
        <v>-1</v>
      </c>
      <c r="AA232" s="1084">
        <v>-893793.54</v>
      </c>
      <c r="AB232" s="1043">
        <v>248275</v>
      </c>
      <c r="AC232" s="1043">
        <v>0</v>
      </c>
      <c r="AD232" s="1043">
        <v>0</v>
      </c>
      <c r="AE232" s="1043">
        <v>0</v>
      </c>
      <c r="AF232" s="1328"/>
      <c r="AG232" s="1329"/>
      <c r="AH232" s="1329"/>
      <c r="AI232" s="1329"/>
    </row>
    <row r="233" spans="1:35" s="6" customFormat="1" ht="15" customHeight="1">
      <c r="A233" s="1143"/>
      <c r="B233" s="1143"/>
      <c r="C233" s="1143"/>
      <c r="D233" s="1143"/>
      <c r="E233" s="1143"/>
      <c r="F233" s="1143"/>
      <c r="G233" s="1143"/>
      <c r="H233" s="1287"/>
      <c r="I233" s="1326"/>
      <c r="J233" s="1084"/>
      <c r="K233" s="1044"/>
      <c r="L233" s="1044"/>
      <c r="M233" s="1121"/>
      <c r="N233" s="883"/>
      <c r="O233" s="827"/>
      <c r="P233" s="827"/>
      <c r="Q233" s="1084"/>
      <c r="R233" s="1044"/>
      <c r="S233" s="1143"/>
      <c r="T233" s="1254" t="s">
        <v>405</v>
      </c>
      <c r="U233" s="866">
        <v>893792.94</v>
      </c>
      <c r="V233" s="1253">
        <v>40835</v>
      </c>
      <c r="W233" s="866" t="s">
        <v>137</v>
      </c>
      <c r="X233" s="1044"/>
      <c r="Y233" s="1084"/>
      <c r="Z233" s="827">
        <v>6.0000000055879354E-2</v>
      </c>
      <c r="AA233" s="1084"/>
      <c r="AB233" s="1044"/>
      <c r="AC233" s="1044"/>
      <c r="AD233" s="1044"/>
      <c r="AE233" s="1044"/>
      <c r="AF233" s="1328"/>
      <c r="AG233" s="1329"/>
      <c r="AH233" s="1329"/>
      <c r="AI233" s="1329"/>
    </row>
    <row r="234" spans="1:35" s="6" customFormat="1" ht="15" customHeight="1">
      <c r="A234" s="1143"/>
      <c r="B234" s="1143"/>
      <c r="C234" s="1143"/>
      <c r="D234" s="1143"/>
      <c r="E234" s="1143"/>
      <c r="F234" s="1143"/>
      <c r="G234" s="1143"/>
      <c r="H234" s="1287"/>
      <c r="I234" s="1157" t="s">
        <v>7</v>
      </c>
      <c r="J234" s="1043">
        <v>2482758.6</v>
      </c>
      <c r="K234" s="1044"/>
      <c r="L234" s="1044"/>
      <c r="M234" s="1121"/>
      <c r="N234" s="883"/>
      <c r="O234" s="827"/>
      <c r="P234" s="827"/>
      <c r="Q234" s="1043">
        <v>2482758.6</v>
      </c>
      <c r="R234" s="1044"/>
      <c r="S234" s="1143"/>
      <c r="T234" s="1254"/>
      <c r="U234" s="866">
        <v>1340690.06</v>
      </c>
      <c r="V234" s="1253"/>
      <c r="W234" s="866" t="s">
        <v>7</v>
      </c>
      <c r="X234" s="1044"/>
      <c r="Y234" s="1084"/>
      <c r="Z234" s="827">
        <v>-6.0000000055879354E-2</v>
      </c>
      <c r="AA234" s="1043">
        <v>1142068.54</v>
      </c>
      <c r="AB234" s="1044"/>
      <c r="AC234" s="1044"/>
      <c r="AD234" s="1044"/>
      <c r="AE234" s="1044"/>
      <c r="AF234" s="1328"/>
      <c r="AG234" s="1329"/>
      <c r="AH234" s="1329"/>
      <c r="AI234" s="1329"/>
    </row>
    <row r="235" spans="1:35" s="6" customFormat="1" ht="15" customHeight="1">
      <c r="A235" s="1143"/>
      <c r="B235" s="1143"/>
      <c r="C235" s="1143"/>
      <c r="D235" s="1143"/>
      <c r="E235" s="1144"/>
      <c r="F235" s="1143"/>
      <c r="G235" s="1143"/>
      <c r="H235" s="1288"/>
      <c r="I235" s="1159"/>
      <c r="J235" s="1045"/>
      <c r="K235" s="1045"/>
      <c r="L235" s="1044"/>
      <c r="M235" s="1160"/>
      <c r="N235" s="883"/>
      <c r="O235" s="827"/>
      <c r="P235" s="827"/>
      <c r="Q235" s="1045"/>
      <c r="R235" s="1044"/>
      <c r="S235" s="1143"/>
      <c r="T235" s="878"/>
      <c r="U235" s="866">
        <v>0</v>
      </c>
      <c r="V235" s="881"/>
      <c r="W235" s="866"/>
      <c r="X235" s="1045"/>
      <c r="Y235" s="1084"/>
      <c r="Z235" s="827">
        <v>248276</v>
      </c>
      <c r="AA235" s="1045"/>
      <c r="AB235" s="1045"/>
      <c r="AC235" s="1045"/>
      <c r="AD235" s="1045"/>
      <c r="AE235" s="1045"/>
      <c r="AF235" s="1328"/>
      <c r="AG235" s="1329"/>
      <c r="AH235" s="1329"/>
      <c r="AI235" s="1329"/>
    </row>
    <row r="236" spans="1:35" s="6" customFormat="1" ht="15" customHeight="1">
      <c r="A236" s="1143"/>
      <c r="B236" s="1143"/>
      <c r="C236" s="1143"/>
      <c r="D236" s="1143"/>
      <c r="E236" s="849" t="s">
        <v>67</v>
      </c>
      <c r="F236" s="1143"/>
      <c r="G236" s="1143"/>
      <c r="H236" s="891">
        <v>196</v>
      </c>
      <c r="I236" s="851" t="s">
        <v>7</v>
      </c>
      <c r="J236" s="805">
        <v>1924000</v>
      </c>
      <c r="K236" s="805">
        <v>1924000</v>
      </c>
      <c r="L236" s="1044"/>
      <c r="M236" s="852">
        <v>40779</v>
      </c>
      <c r="N236" s="883"/>
      <c r="O236" s="827"/>
      <c r="P236" s="827"/>
      <c r="Q236" s="805">
        <v>1924440</v>
      </c>
      <c r="R236" s="1044"/>
      <c r="S236" s="1143"/>
      <c r="T236" s="878"/>
      <c r="U236" s="866">
        <v>0</v>
      </c>
      <c r="V236" s="881"/>
      <c r="W236" s="866"/>
      <c r="X236" s="805">
        <v>0</v>
      </c>
      <c r="Y236" s="1084"/>
      <c r="Z236" s="827">
        <v>1924440</v>
      </c>
      <c r="AA236" s="827"/>
      <c r="AB236" s="827">
        <v>1924440</v>
      </c>
      <c r="AC236" s="827">
        <v>-440</v>
      </c>
      <c r="AD236" s="827">
        <v>0</v>
      </c>
      <c r="AE236" s="827">
        <v>0</v>
      </c>
      <c r="AF236" s="1328"/>
      <c r="AG236" s="1329"/>
      <c r="AH236" s="1329"/>
      <c r="AI236" s="1329"/>
    </row>
    <row r="237" spans="1:35" s="6" customFormat="1" ht="15" customHeight="1">
      <c r="A237" s="1143"/>
      <c r="B237" s="1143"/>
      <c r="C237" s="1143"/>
      <c r="D237" s="1143"/>
      <c r="E237" s="1142" t="s">
        <v>171</v>
      </c>
      <c r="F237" s="1143"/>
      <c r="G237" s="1143"/>
      <c r="H237" s="1286">
        <v>174</v>
      </c>
      <c r="I237" s="1157" t="s">
        <v>7</v>
      </c>
      <c r="J237" s="827">
        <v>1392000</v>
      </c>
      <c r="K237" s="827">
        <v>1392000</v>
      </c>
      <c r="L237" s="1044"/>
      <c r="M237" s="1120"/>
      <c r="N237" s="883"/>
      <c r="O237" s="827"/>
      <c r="P237" s="827"/>
      <c r="Q237" s="827">
        <v>1392000</v>
      </c>
      <c r="R237" s="1044"/>
      <c r="S237" s="1143"/>
      <c r="T237" s="878" t="s">
        <v>406</v>
      </c>
      <c r="U237" s="866">
        <v>1731996</v>
      </c>
      <c r="V237" s="881">
        <v>41093</v>
      </c>
      <c r="W237" s="866" t="s">
        <v>7</v>
      </c>
      <c r="X237" s="1084">
        <v>4874796</v>
      </c>
      <c r="Y237" s="1084"/>
      <c r="Z237" s="827">
        <v>0</v>
      </c>
      <c r="AA237" s="1043"/>
      <c r="AB237" s="1084">
        <v>0</v>
      </c>
      <c r="AC237" s="1084">
        <v>0</v>
      </c>
      <c r="AD237" s="1084">
        <v>0</v>
      </c>
      <c r="AE237" s="1084">
        <v>0</v>
      </c>
      <c r="AF237" s="1328"/>
      <c r="AG237" s="1329"/>
      <c r="AH237" s="1329"/>
      <c r="AI237" s="1329"/>
    </row>
    <row r="238" spans="1:35" s="6" customFormat="1" ht="15" customHeight="1">
      <c r="A238" s="1143"/>
      <c r="B238" s="1143"/>
      <c r="C238" s="1143"/>
      <c r="D238" s="1143"/>
      <c r="E238" s="1144"/>
      <c r="F238" s="1143"/>
      <c r="G238" s="1143"/>
      <c r="H238" s="1287"/>
      <c r="I238" s="1158"/>
      <c r="J238" s="1043">
        <v>2100000</v>
      </c>
      <c r="K238" s="1043">
        <v>2100000</v>
      </c>
      <c r="L238" s="1044"/>
      <c r="M238" s="1121"/>
      <c r="N238" s="883"/>
      <c r="O238" s="827"/>
      <c r="P238" s="827"/>
      <c r="Q238" s="1043">
        <v>2100000</v>
      </c>
      <c r="R238" s="1044"/>
      <c r="S238" s="1143"/>
      <c r="T238" s="878" t="s">
        <v>407</v>
      </c>
      <c r="U238" s="866">
        <v>1890000</v>
      </c>
      <c r="V238" s="881">
        <v>41093</v>
      </c>
      <c r="W238" s="866" t="s">
        <v>7</v>
      </c>
      <c r="X238" s="1084"/>
      <c r="Y238" s="1084"/>
      <c r="Z238" s="827">
        <v>0</v>
      </c>
      <c r="AA238" s="1044"/>
      <c r="AB238" s="1084"/>
      <c r="AC238" s="1084"/>
      <c r="AD238" s="1084"/>
      <c r="AE238" s="1084"/>
      <c r="AF238" s="1328"/>
      <c r="AG238" s="1329"/>
      <c r="AH238" s="1329"/>
      <c r="AI238" s="1329"/>
    </row>
    <row r="239" spans="1:35" s="6" customFormat="1" ht="15" customHeight="1">
      <c r="A239" s="1143"/>
      <c r="B239" s="1143"/>
      <c r="C239" s="1143"/>
      <c r="D239" s="1143"/>
      <c r="E239" s="849" t="s">
        <v>172</v>
      </c>
      <c r="F239" s="1143"/>
      <c r="G239" s="1143"/>
      <c r="H239" s="1287"/>
      <c r="I239" s="1158"/>
      <c r="J239" s="1044"/>
      <c r="K239" s="1044"/>
      <c r="L239" s="1044"/>
      <c r="M239" s="1121"/>
      <c r="N239" s="883"/>
      <c r="O239" s="827"/>
      <c r="P239" s="827"/>
      <c r="Q239" s="1044"/>
      <c r="R239" s="1044"/>
      <c r="S239" s="1143"/>
      <c r="T239" s="878" t="s">
        <v>408</v>
      </c>
      <c r="U239" s="866">
        <v>1252800</v>
      </c>
      <c r="V239" s="881">
        <v>41093</v>
      </c>
      <c r="W239" s="866" t="s">
        <v>7</v>
      </c>
      <c r="X239" s="1084"/>
      <c r="Y239" s="1084"/>
      <c r="Z239" s="827">
        <v>0</v>
      </c>
      <c r="AA239" s="1045"/>
      <c r="AB239" s="1084"/>
      <c r="AC239" s="1084"/>
      <c r="AD239" s="1084"/>
      <c r="AE239" s="1084"/>
      <c r="AF239" s="1328"/>
      <c r="AG239" s="1329"/>
      <c r="AH239" s="1329"/>
      <c r="AI239" s="1329"/>
    </row>
    <row r="240" spans="1:35" s="4" customFormat="1" ht="15" customHeight="1">
      <c r="A240" s="1076" t="s">
        <v>413</v>
      </c>
      <c r="B240" s="1076" t="s">
        <v>415</v>
      </c>
      <c r="C240" s="1076" t="s">
        <v>70</v>
      </c>
      <c r="D240" s="1076" t="s">
        <v>177</v>
      </c>
      <c r="E240" s="1076" t="s">
        <v>66</v>
      </c>
      <c r="F240" s="1076" t="s">
        <v>49</v>
      </c>
      <c r="G240" s="1076" t="s">
        <v>421</v>
      </c>
      <c r="H240" s="1245">
        <v>52</v>
      </c>
      <c r="I240" s="1282" t="s">
        <v>137</v>
      </c>
      <c r="J240" s="1119">
        <v>1584000</v>
      </c>
      <c r="K240" s="1119">
        <v>3960000</v>
      </c>
      <c r="L240" s="1119">
        <v>19857878</v>
      </c>
      <c r="M240" s="1171">
        <v>40413</v>
      </c>
      <c r="N240" s="862"/>
      <c r="O240" s="858"/>
      <c r="P240" s="858"/>
      <c r="Q240" s="1119">
        <v>1584000</v>
      </c>
      <c r="R240" s="1119">
        <v>19857878</v>
      </c>
      <c r="S240" s="1076" t="s">
        <v>282</v>
      </c>
      <c r="T240" s="840" t="s">
        <v>416</v>
      </c>
      <c r="U240" s="866">
        <v>1584000</v>
      </c>
      <c r="V240" s="855">
        <v>40443</v>
      </c>
      <c r="W240" s="866" t="s">
        <v>137</v>
      </c>
      <c r="X240" s="1084">
        <v>3500816</v>
      </c>
      <c r="Y240" s="1084">
        <v>14710237</v>
      </c>
      <c r="Z240" s="827">
        <v>0</v>
      </c>
      <c r="AA240" s="1084">
        <v>-1150090</v>
      </c>
      <c r="AB240" s="1119">
        <v>1</v>
      </c>
      <c r="AC240" s="1119">
        <v>0</v>
      </c>
      <c r="AD240" s="1119">
        <v>459183</v>
      </c>
      <c r="AE240" s="1119"/>
      <c r="AF240" s="1203" t="s">
        <v>418</v>
      </c>
      <c r="AG240" s="1204" t="s">
        <v>790</v>
      </c>
      <c r="AH240" s="1204" t="s">
        <v>194</v>
      </c>
      <c r="AI240" s="1204" t="s">
        <v>368</v>
      </c>
    </row>
    <row r="241" spans="1:35" s="4" customFormat="1" ht="15" customHeight="1">
      <c r="A241" s="1076"/>
      <c r="B241" s="1076"/>
      <c r="C241" s="1076"/>
      <c r="D241" s="1076"/>
      <c r="E241" s="1076"/>
      <c r="F241" s="1076"/>
      <c r="G241" s="1076"/>
      <c r="H241" s="1245"/>
      <c r="I241" s="1282"/>
      <c r="J241" s="1119"/>
      <c r="K241" s="1119"/>
      <c r="L241" s="1119"/>
      <c r="M241" s="1171"/>
      <c r="N241" s="862"/>
      <c r="O241" s="858"/>
      <c r="P241" s="858"/>
      <c r="Q241" s="1119"/>
      <c r="R241" s="1119"/>
      <c r="S241" s="1076"/>
      <c r="T241" s="1123" t="s">
        <v>419</v>
      </c>
      <c r="U241" s="866">
        <v>1150090</v>
      </c>
      <c r="V241" s="1171">
        <v>41492</v>
      </c>
      <c r="W241" s="866" t="s">
        <v>137</v>
      </c>
      <c r="X241" s="1084"/>
      <c r="Y241" s="1084"/>
      <c r="Z241" s="827">
        <v>0</v>
      </c>
      <c r="AA241" s="1084"/>
      <c r="AB241" s="1119"/>
      <c r="AC241" s="1119"/>
      <c r="AD241" s="1119"/>
      <c r="AE241" s="1119"/>
      <c r="AF241" s="1203"/>
      <c r="AG241" s="1204"/>
      <c r="AH241" s="1204"/>
      <c r="AI241" s="1204"/>
    </row>
    <row r="242" spans="1:35" s="4" customFormat="1" ht="15" customHeight="1">
      <c r="A242" s="1076"/>
      <c r="B242" s="1076"/>
      <c r="C242" s="1076"/>
      <c r="D242" s="1076"/>
      <c r="E242" s="1076"/>
      <c r="F242" s="1076"/>
      <c r="G242" s="1076"/>
      <c r="H242" s="1245"/>
      <c r="I242" s="889" t="s">
        <v>7</v>
      </c>
      <c r="J242" s="858">
        <v>2376000</v>
      </c>
      <c r="K242" s="1119"/>
      <c r="L242" s="1119"/>
      <c r="M242" s="1171"/>
      <c r="N242" s="862"/>
      <c r="O242" s="858"/>
      <c r="P242" s="858"/>
      <c r="Q242" s="858">
        <v>2376000</v>
      </c>
      <c r="R242" s="1119"/>
      <c r="S242" s="1076"/>
      <c r="T242" s="1123"/>
      <c r="U242" s="866">
        <v>766726</v>
      </c>
      <c r="V242" s="1171"/>
      <c r="W242" s="866" t="s">
        <v>7</v>
      </c>
      <c r="X242" s="1084"/>
      <c r="Y242" s="1084"/>
      <c r="Z242" s="827">
        <v>0</v>
      </c>
      <c r="AA242" s="827">
        <v>1609274</v>
      </c>
      <c r="AB242" s="1119"/>
      <c r="AC242" s="1119"/>
      <c r="AD242" s="1119"/>
      <c r="AE242" s="1119"/>
      <c r="AF242" s="1203"/>
      <c r="AG242" s="1204"/>
      <c r="AH242" s="1204"/>
      <c r="AI242" s="1204"/>
    </row>
    <row r="243" spans="1:35" s="4" customFormat="1" ht="15" customHeight="1">
      <c r="A243" s="1076"/>
      <c r="B243" s="1076"/>
      <c r="C243" s="1076"/>
      <c r="D243" s="1076"/>
      <c r="E243" s="1076"/>
      <c r="F243" s="1076"/>
      <c r="G243" s="1076"/>
      <c r="H243" s="1245">
        <v>53</v>
      </c>
      <c r="I243" s="889" t="s">
        <v>137</v>
      </c>
      <c r="J243" s="858">
        <v>992000</v>
      </c>
      <c r="K243" s="1119">
        <v>2480000</v>
      </c>
      <c r="L243" s="1119"/>
      <c r="M243" s="1171">
        <v>40413</v>
      </c>
      <c r="N243" s="862"/>
      <c r="O243" s="858"/>
      <c r="P243" s="858"/>
      <c r="Q243" s="858">
        <v>992000</v>
      </c>
      <c r="R243" s="1119"/>
      <c r="S243" s="1076"/>
      <c r="T243" s="840" t="s">
        <v>416</v>
      </c>
      <c r="U243" s="866">
        <v>992000</v>
      </c>
      <c r="V243" s="855">
        <v>40443</v>
      </c>
      <c r="W243" s="866" t="s">
        <v>137</v>
      </c>
      <c r="X243" s="1084">
        <v>2192430</v>
      </c>
      <c r="Y243" s="1084"/>
      <c r="Z243" s="827">
        <v>0</v>
      </c>
      <c r="AA243" s="827">
        <v>0</v>
      </c>
      <c r="AB243" s="1119">
        <v>0</v>
      </c>
      <c r="AC243" s="1119">
        <v>0</v>
      </c>
      <c r="AD243" s="1119">
        <v>287570</v>
      </c>
      <c r="AE243" s="1119"/>
      <c r="AF243" s="1203"/>
      <c r="AG243" s="1204"/>
      <c r="AH243" s="1204"/>
      <c r="AI243" s="1204"/>
    </row>
    <row r="244" spans="1:35" s="4" customFormat="1" ht="15" customHeight="1">
      <c r="A244" s="1076"/>
      <c r="B244" s="1076"/>
      <c r="C244" s="1076"/>
      <c r="D244" s="1076"/>
      <c r="E244" s="1076"/>
      <c r="F244" s="1076"/>
      <c r="G244" s="1076"/>
      <c r="H244" s="1245"/>
      <c r="I244" s="1282" t="s">
        <v>7</v>
      </c>
      <c r="J244" s="1119">
        <v>1488000</v>
      </c>
      <c r="K244" s="1119"/>
      <c r="L244" s="1119"/>
      <c r="M244" s="1171"/>
      <c r="N244" s="862"/>
      <c r="O244" s="858"/>
      <c r="P244" s="858"/>
      <c r="Q244" s="1119">
        <v>1488000</v>
      </c>
      <c r="R244" s="1119"/>
      <c r="S244" s="1076"/>
      <c r="T244" s="1123" t="s">
        <v>419</v>
      </c>
      <c r="U244" s="866">
        <v>720258</v>
      </c>
      <c r="V244" s="1171">
        <v>41492</v>
      </c>
      <c r="W244" s="866" t="s">
        <v>7</v>
      </c>
      <c r="X244" s="1084"/>
      <c r="Y244" s="1084"/>
      <c r="Z244" s="827">
        <v>0</v>
      </c>
      <c r="AA244" s="1084">
        <v>287570</v>
      </c>
      <c r="AB244" s="1119"/>
      <c r="AC244" s="1119"/>
      <c r="AD244" s="1119"/>
      <c r="AE244" s="1119"/>
      <c r="AF244" s="1203"/>
      <c r="AG244" s="1204"/>
      <c r="AH244" s="1204"/>
      <c r="AI244" s="1204"/>
    </row>
    <row r="245" spans="1:35" s="4" customFormat="1" ht="15" customHeight="1">
      <c r="A245" s="1076"/>
      <c r="B245" s="1076"/>
      <c r="C245" s="1076"/>
      <c r="D245" s="1076"/>
      <c r="E245" s="1076"/>
      <c r="F245" s="1076"/>
      <c r="G245" s="1076"/>
      <c r="H245" s="1245"/>
      <c r="I245" s="1282"/>
      <c r="J245" s="1119"/>
      <c r="K245" s="1119"/>
      <c r="L245" s="1119"/>
      <c r="M245" s="1171"/>
      <c r="N245" s="862"/>
      <c r="O245" s="858"/>
      <c r="P245" s="858"/>
      <c r="Q245" s="1119"/>
      <c r="R245" s="1119"/>
      <c r="S245" s="1076"/>
      <c r="T245" s="1123"/>
      <c r="U245" s="866">
        <v>480172</v>
      </c>
      <c r="V245" s="1171"/>
      <c r="W245" s="866" t="s">
        <v>7</v>
      </c>
      <c r="X245" s="1084"/>
      <c r="Y245" s="1084"/>
      <c r="Z245" s="827">
        <v>0</v>
      </c>
      <c r="AA245" s="1084"/>
      <c r="AB245" s="1119"/>
      <c r="AC245" s="1119"/>
      <c r="AD245" s="1119"/>
      <c r="AE245" s="1119"/>
      <c r="AF245" s="1203"/>
      <c r="AG245" s="1204"/>
      <c r="AH245" s="1204"/>
      <c r="AI245" s="1204"/>
    </row>
    <row r="246" spans="1:35" s="4" customFormat="1" ht="15" customHeight="1">
      <c r="A246" s="1076"/>
      <c r="B246" s="1076"/>
      <c r="C246" s="1076"/>
      <c r="D246" s="1076"/>
      <c r="E246" s="1076"/>
      <c r="F246" s="1076"/>
      <c r="G246" s="1076"/>
      <c r="H246" s="1245">
        <v>54</v>
      </c>
      <c r="I246" s="1282" t="s">
        <v>137</v>
      </c>
      <c r="J246" s="1119">
        <v>948000</v>
      </c>
      <c r="K246" s="1119">
        <v>2370000</v>
      </c>
      <c r="L246" s="1119"/>
      <c r="M246" s="1171">
        <v>40413</v>
      </c>
      <c r="N246" s="862"/>
      <c r="O246" s="858"/>
      <c r="P246" s="858"/>
      <c r="Q246" s="1119">
        <v>948000</v>
      </c>
      <c r="R246" s="1119"/>
      <c r="S246" s="1076"/>
      <c r="T246" s="840" t="s">
        <v>416</v>
      </c>
      <c r="U246" s="866">
        <v>948000</v>
      </c>
      <c r="V246" s="855">
        <v>40443</v>
      </c>
      <c r="W246" s="866" t="s">
        <v>137</v>
      </c>
      <c r="X246" s="1084">
        <v>2095185</v>
      </c>
      <c r="Y246" s="1084"/>
      <c r="Z246" s="827">
        <v>0</v>
      </c>
      <c r="AA246" s="1084">
        <v>-458874</v>
      </c>
      <c r="AB246" s="1119">
        <v>0</v>
      </c>
      <c r="AC246" s="1119">
        <v>0</v>
      </c>
      <c r="AD246" s="1119">
        <v>274815</v>
      </c>
      <c r="AE246" s="1119"/>
      <c r="AF246" s="1203"/>
      <c r="AG246" s="1204"/>
      <c r="AH246" s="1204"/>
      <c r="AI246" s="1204"/>
    </row>
    <row r="247" spans="1:35" s="4" customFormat="1" ht="15" customHeight="1">
      <c r="A247" s="1076"/>
      <c r="B247" s="1076"/>
      <c r="C247" s="1076"/>
      <c r="D247" s="1076"/>
      <c r="E247" s="1076"/>
      <c r="F247" s="1076"/>
      <c r="G247" s="1076"/>
      <c r="H247" s="1245"/>
      <c r="I247" s="1282"/>
      <c r="J247" s="1119"/>
      <c r="K247" s="1119"/>
      <c r="L247" s="1119"/>
      <c r="M247" s="1171"/>
      <c r="N247" s="862"/>
      <c r="O247" s="858"/>
      <c r="P247" s="858"/>
      <c r="Q247" s="1119"/>
      <c r="R247" s="1119"/>
      <c r="S247" s="1076"/>
      <c r="T247" s="1123" t="s">
        <v>419</v>
      </c>
      <c r="U247" s="866">
        <v>458874</v>
      </c>
      <c r="V247" s="1171">
        <v>41492</v>
      </c>
      <c r="W247" s="866" t="s">
        <v>137</v>
      </c>
      <c r="X247" s="1084"/>
      <c r="Y247" s="1084"/>
      <c r="Z247" s="827">
        <v>0</v>
      </c>
      <c r="AA247" s="1084"/>
      <c r="AB247" s="1119"/>
      <c r="AC247" s="1119"/>
      <c r="AD247" s="1119"/>
      <c r="AE247" s="1119"/>
      <c r="AF247" s="1203"/>
      <c r="AG247" s="1204"/>
      <c r="AH247" s="1204"/>
      <c r="AI247" s="1204"/>
    </row>
    <row r="248" spans="1:35" s="4" customFormat="1" ht="15" customHeight="1">
      <c r="A248" s="1076"/>
      <c r="B248" s="1076"/>
      <c r="C248" s="1076"/>
      <c r="D248" s="1076"/>
      <c r="E248" s="1076"/>
      <c r="F248" s="1076"/>
      <c r="G248" s="1076"/>
      <c r="H248" s="1245"/>
      <c r="I248" s="889" t="s">
        <v>7</v>
      </c>
      <c r="J248" s="858">
        <v>1422000</v>
      </c>
      <c r="K248" s="1119"/>
      <c r="L248" s="1119"/>
      <c r="M248" s="1171"/>
      <c r="N248" s="862"/>
      <c r="O248" s="858"/>
      <c r="P248" s="858"/>
      <c r="Q248" s="858">
        <v>1422000</v>
      </c>
      <c r="R248" s="1119"/>
      <c r="S248" s="1076"/>
      <c r="T248" s="1123"/>
      <c r="U248" s="866">
        <v>688311</v>
      </c>
      <c r="V248" s="1171"/>
      <c r="W248" s="866" t="s">
        <v>7</v>
      </c>
      <c r="X248" s="1084"/>
      <c r="Y248" s="1084"/>
      <c r="Z248" s="827">
        <v>0</v>
      </c>
      <c r="AA248" s="827">
        <v>733689</v>
      </c>
      <c r="AB248" s="1119"/>
      <c r="AC248" s="1119"/>
      <c r="AD248" s="1119"/>
      <c r="AE248" s="1119"/>
      <c r="AF248" s="1203"/>
      <c r="AG248" s="1204"/>
      <c r="AH248" s="1204"/>
      <c r="AI248" s="1204"/>
    </row>
    <row r="249" spans="1:35" s="4" customFormat="1" ht="15" customHeight="1">
      <c r="A249" s="1076"/>
      <c r="B249" s="1076"/>
      <c r="C249" s="1076"/>
      <c r="D249" s="1076"/>
      <c r="E249" s="1076"/>
      <c r="F249" s="1076"/>
      <c r="G249" s="1076"/>
      <c r="H249" s="1245">
        <v>55</v>
      </c>
      <c r="I249" s="1282" t="s">
        <v>137</v>
      </c>
      <c r="J249" s="1119">
        <v>1976847.2</v>
      </c>
      <c r="K249" s="1119">
        <v>4942118</v>
      </c>
      <c r="L249" s="1119"/>
      <c r="M249" s="1171">
        <v>40413</v>
      </c>
      <c r="N249" s="862"/>
      <c r="O249" s="858"/>
      <c r="P249" s="858"/>
      <c r="Q249" s="1119">
        <v>1976847.2</v>
      </c>
      <c r="R249" s="1119"/>
      <c r="S249" s="1076"/>
      <c r="T249" s="840" t="s">
        <v>417</v>
      </c>
      <c r="U249" s="866">
        <v>1976847</v>
      </c>
      <c r="V249" s="855">
        <v>40443</v>
      </c>
      <c r="W249" s="866" t="s">
        <v>137</v>
      </c>
      <c r="X249" s="1084">
        <v>3623724</v>
      </c>
      <c r="Y249" s="1084"/>
      <c r="Z249" s="827">
        <v>0.20000000018626451</v>
      </c>
      <c r="AA249" s="1084">
        <v>-658750.80000000005</v>
      </c>
      <c r="AB249" s="1119">
        <v>0</v>
      </c>
      <c r="AC249" s="1119">
        <v>0</v>
      </c>
      <c r="AD249" s="1119">
        <v>1318394</v>
      </c>
      <c r="AE249" s="1119"/>
      <c r="AF249" s="1203"/>
      <c r="AG249" s="1204"/>
      <c r="AH249" s="1204"/>
      <c r="AI249" s="1204"/>
    </row>
    <row r="250" spans="1:35" s="4" customFormat="1" ht="15" customHeight="1">
      <c r="A250" s="1076"/>
      <c r="B250" s="1076"/>
      <c r="C250" s="1076"/>
      <c r="D250" s="1076"/>
      <c r="E250" s="1076"/>
      <c r="F250" s="1076"/>
      <c r="G250" s="1076"/>
      <c r="H250" s="1245"/>
      <c r="I250" s="1282"/>
      <c r="J250" s="1119"/>
      <c r="K250" s="1119"/>
      <c r="L250" s="1119"/>
      <c r="M250" s="1171"/>
      <c r="N250" s="862"/>
      <c r="O250" s="858"/>
      <c r="P250" s="858"/>
      <c r="Q250" s="1119"/>
      <c r="R250" s="1119"/>
      <c r="S250" s="1076"/>
      <c r="T250" s="1123" t="s">
        <v>420</v>
      </c>
      <c r="U250" s="866">
        <v>658751</v>
      </c>
      <c r="V250" s="855">
        <v>41535</v>
      </c>
      <c r="W250" s="866" t="s">
        <v>137</v>
      </c>
      <c r="X250" s="1084"/>
      <c r="Y250" s="1084"/>
      <c r="Z250" s="827">
        <v>0</v>
      </c>
      <c r="AA250" s="1084"/>
      <c r="AB250" s="1119"/>
      <c r="AC250" s="1119"/>
      <c r="AD250" s="1119"/>
      <c r="AE250" s="1119"/>
      <c r="AF250" s="1203"/>
      <c r="AG250" s="1204"/>
      <c r="AH250" s="1204"/>
      <c r="AI250" s="1204"/>
    </row>
    <row r="251" spans="1:35" s="4" customFormat="1" ht="15" customHeight="1">
      <c r="A251" s="1076"/>
      <c r="B251" s="1076"/>
      <c r="C251" s="1076"/>
      <c r="D251" s="1076"/>
      <c r="E251" s="1076"/>
      <c r="F251" s="1076"/>
      <c r="G251" s="1076"/>
      <c r="H251" s="1245"/>
      <c r="I251" s="889" t="s">
        <v>7</v>
      </c>
      <c r="J251" s="858">
        <v>2965270.8</v>
      </c>
      <c r="K251" s="1119"/>
      <c r="L251" s="1119"/>
      <c r="M251" s="1171"/>
      <c r="N251" s="862"/>
      <c r="O251" s="858"/>
      <c r="P251" s="858"/>
      <c r="Q251" s="858">
        <v>2965270.8</v>
      </c>
      <c r="R251" s="1119"/>
      <c r="S251" s="1076"/>
      <c r="T251" s="1123"/>
      <c r="U251" s="866">
        <v>988126</v>
      </c>
      <c r="V251" s="855">
        <v>41492</v>
      </c>
      <c r="W251" s="866" t="s">
        <v>7</v>
      </c>
      <c r="X251" s="1084"/>
      <c r="Y251" s="1084"/>
      <c r="Z251" s="827">
        <v>0</v>
      </c>
      <c r="AA251" s="827">
        <v>1977144.7999999998</v>
      </c>
      <c r="AB251" s="1119"/>
      <c r="AC251" s="1119"/>
      <c r="AD251" s="1119"/>
      <c r="AE251" s="1119"/>
      <c r="AF251" s="1203"/>
      <c r="AG251" s="1204"/>
      <c r="AH251" s="1204"/>
      <c r="AI251" s="1204"/>
    </row>
    <row r="252" spans="1:35" s="4" customFormat="1" ht="15" customHeight="1">
      <c r="A252" s="1076"/>
      <c r="B252" s="1076"/>
      <c r="C252" s="1076"/>
      <c r="D252" s="1076"/>
      <c r="E252" s="1076"/>
      <c r="F252" s="1076"/>
      <c r="G252" s="1076"/>
      <c r="H252" s="1245">
        <v>56</v>
      </c>
      <c r="I252" s="889" t="s">
        <v>137</v>
      </c>
      <c r="J252" s="858">
        <v>899600</v>
      </c>
      <c r="K252" s="1119">
        <v>2249000</v>
      </c>
      <c r="L252" s="1119"/>
      <c r="M252" s="1171">
        <v>40413</v>
      </c>
      <c r="N252" s="862"/>
      <c r="O252" s="858"/>
      <c r="P252" s="858"/>
      <c r="Q252" s="858">
        <v>899600</v>
      </c>
      <c r="R252" s="1119"/>
      <c r="S252" s="1076"/>
      <c r="T252" s="840" t="s">
        <v>417</v>
      </c>
      <c r="U252" s="866">
        <v>899600</v>
      </c>
      <c r="V252" s="855">
        <v>40443</v>
      </c>
      <c r="W252" s="866" t="s">
        <v>137</v>
      </c>
      <c r="X252" s="1084">
        <v>1649041</v>
      </c>
      <c r="Y252" s="1084"/>
      <c r="Z252" s="827">
        <v>0</v>
      </c>
      <c r="AA252" s="827">
        <v>0</v>
      </c>
      <c r="AB252" s="1119">
        <v>0</v>
      </c>
      <c r="AC252" s="1119">
        <v>0</v>
      </c>
      <c r="AD252" s="1119">
        <v>599959</v>
      </c>
      <c r="AE252" s="1119"/>
      <c r="AF252" s="1203"/>
      <c r="AG252" s="1204"/>
      <c r="AH252" s="1204"/>
      <c r="AI252" s="1204"/>
    </row>
    <row r="253" spans="1:35" s="4" customFormat="1" ht="15" customHeight="1">
      <c r="A253" s="1076"/>
      <c r="B253" s="1076"/>
      <c r="C253" s="1076"/>
      <c r="D253" s="1076"/>
      <c r="E253" s="1076"/>
      <c r="F253" s="1076"/>
      <c r="G253" s="1076"/>
      <c r="H253" s="1245"/>
      <c r="I253" s="1282" t="s">
        <v>7</v>
      </c>
      <c r="J253" s="1119">
        <v>1349400</v>
      </c>
      <c r="K253" s="1119"/>
      <c r="L253" s="1119"/>
      <c r="M253" s="1171"/>
      <c r="N253" s="862"/>
      <c r="O253" s="858"/>
      <c r="P253" s="858"/>
      <c r="Q253" s="1119">
        <v>1349400</v>
      </c>
      <c r="R253" s="1119"/>
      <c r="S253" s="1076"/>
      <c r="T253" s="1123" t="s">
        <v>420</v>
      </c>
      <c r="U253" s="866">
        <v>449665</v>
      </c>
      <c r="V253" s="1171">
        <v>41492</v>
      </c>
      <c r="W253" s="866" t="s">
        <v>7</v>
      </c>
      <c r="X253" s="1084"/>
      <c r="Y253" s="1084"/>
      <c r="Z253" s="827">
        <v>0</v>
      </c>
      <c r="AA253" s="1084">
        <v>599959</v>
      </c>
      <c r="AB253" s="1119"/>
      <c r="AC253" s="1119"/>
      <c r="AD253" s="1119"/>
      <c r="AE253" s="1119"/>
      <c r="AF253" s="1203"/>
      <c r="AG253" s="1204"/>
      <c r="AH253" s="1204"/>
      <c r="AI253" s="1204"/>
    </row>
    <row r="254" spans="1:35" s="4" customFormat="1" ht="15" customHeight="1">
      <c r="A254" s="1076"/>
      <c r="B254" s="1076"/>
      <c r="C254" s="1076"/>
      <c r="D254" s="1076"/>
      <c r="E254" s="1076"/>
      <c r="F254" s="1076"/>
      <c r="G254" s="1076"/>
      <c r="H254" s="1245"/>
      <c r="I254" s="1282"/>
      <c r="J254" s="1119"/>
      <c r="K254" s="1119"/>
      <c r="L254" s="1119"/>
      <c r="M254" s="1171"/>
      <c r="N254" s="862"/>
      <c r="O254" s="858"/>
      <c r="P254" s="858"/>
      <c r="Q254" s="1119"/>
      <c r="R254" s="1119"/>
      <c r="S254" s="1076"/>
      <c r="T254" s="1123"/>
      <c r="U254" s="866">
        <v>299776</v>
      </c>
      <c r="V254" s="1171"/>
      <c r="W254" s="866" t="s">
        <v>7</v>
      </c>
      <c r="X254" s="1084"/>
      <c r="Y254" s="1084"/>
      <c r="Z254" s="827">
        <v>0</v>
      </c>
      <c r="AA254" s="1084"/>
      <c r="AB254" s="1119"/>
      <c r="AC254" s="1119"/>
      <c r="AD254" s="1119"/>
      <c r="AE254" s="1119"/>
      <c r="AF254" s="1203"/>
      <c r="AG254" s="1204"/>
      <c r="AH254" s="1204"/>
      <c r="AI254" s="1204"/>
    </row>
    <row r="255" spans="1:35" s="4" customFormat="1" ht="15" customHeight="1">
      <c r="A255" s="1076"/>
      <c r="B255" s="1076"/>
      <c r="C255" s="1076"/>
      <c r="D255" s="1076"/>
      <c r="E255" s="1076"/>
      <c r="F255" s="1076"/>
      <c r="G255" s="1076"/>
      <c r="H255" s="1245">
        <v>57</v>
      </c>
      <c r="I255" s="1282" t="s">
        <v>137</v>
      </c>
      <c r="J255" s="1119">
        <v>899600</v>
      </c>
      <c r="K255" s="1119">
        <v>2249000</v>
      </c>
      <c r="L255" s="1119"/>
      <c r="M255" s="1171">
        <v>40413</v>
      </c>
      <c r="N255" s="862"/>
      <c r="O255" s="858"/>
      <c r="P255" s="858"/>
      <c r="Q255" s="1119">
        <v>899600</v>
      </c>
      <c r="R255" s="1119"/>
      <c r="S255" s="1076"/>
      <c r="T255" s="840" t="s">
        <v>417</v>
      </c>
      <c r="U255" s="866">
        <v>899600</v>
      </c>
      <c r="V255" s="855">
        <v>40443</v>
      </c>
      <c r="W255" s="866" t="s">
        <v>137</v>
      </c>
      <c r="X255" s="1084">
        <v>1649041</v>
      </c>
      <c r="Y255" s="1084"/>
      <c r="Z255" s="827">
        <v>0</v>
      </c>
      <c r="AA255" s="1084">
        <v>-449665</v>
      </c>
      <c r="AB255" s="1119">
        <v>0</v>
      </c>
      <c r="AC255" s="1119">
        <v>0</v>
      </c>
      <c r="AD255" s="1119">
        <v>599959</v>
      </c>
      <c r="AE255" s="1119"/>
      <c r="AF255" s="1203"/>
      <c r="AG255" s="1204"/>
      <c r="AH255" s="1204"/>
      <c r="AI255" s="1204"/>
    </row>
    <row r="256" spans="1:35" s="4" customFormat="1" ht="15" customHeight="1">
      <c r="A256" s="1076"/>
      <c r="B256" s="1076"/>
      <c r="C256" s="1076"/>
      <c r="D256" s="1076"/>
      <c r="E256" s="1076"/>
      <c r="F256" s="1076"/>
      <c r="G256" s="1076"/>
      <c r="H256" s="1245"/>
      <c r="I256" s="1282"/>
      <c r="J256" s="1119"/>
      <c r="K256" s="1119"/>
      <c r="L256" s="1119"/>
      <c r="M256" s="1171"/>
      <c r="N256" s="862"/>
      <c r="O256" s="858"/>
      <c r="P256" s="858"/>
      <c r="Q256" s="1119"/>
      <c r="R256" s="1119"/>
      <c r="S256" s="1076"/>
      <c r="T256" s="1123" t="s">
        <v>420</v>
      </c>
      <c r="U256" s="866">
        <v>449665</v>
      </c>
      <c r="V256" s="1171">
        <v>41492</v>
      </c>
      <c r="W256" s="866" t="s">
        <v>137</v>
      </c>
      <c r="X256" s="1084"/>
      <c r="Y256" s="1084"/>
      <c r="Z256" s="827">
        <v>0</v>
      </c>
      <c r="AA256" s="1084"/>
      <c r="AB256" s="1119"/>
      <c r="AC256" s="1119"/>
      <c r="AD256" s="1119"/>
      <c r="AE256" s="1119"/>
      <c r="AF256" s="1203"/>
      <c r="AG256" s="1204"/>
      <c r="AH256" s="1204"/>
      <c r="AI256" s="1204"/>
    </row>
    <row r="257" spans="1:35" s="4" customFormat="1" ht="15" customHeight="1">
      <c r="A257" s="1076"/>
      <c r="B257" s="1076"/>
      <c r="C257" s="1076"/>
      <c r="D257" s="1076"/>
      <c r="E257" s="1076"/>
      <c r="F257" s="1076"/>
      <c r="G257" s="1076"/>
      <c r="H257" s="1245"/>
      <c r="I257" s="889" t="s">
        <v>7</v>
      </c>
      <c r="J257" s="858">
        <v>1349400</v>
      </c>
      <c r="K257" s="1119"/>
      <c r="L257" s="1119"/>
      <c r="M257" s="1171"/>
      <c r="N257" s="862"/>
      <c r="O257" s="858"/>
      <c r="P257" s="858"/>
      <c r="Q257" s="858">
        <v>1349400</v>
      </c>
      <c r="R257" s="1119"/>
      <c r="S257" s="1076"/>
      <c r="T257" s="1123"/>
      <c r="U257" s="866">
        <v>299776</v>
      </c>
      <c r="V257" s="1171"/>
      <c r="W257" s="866" t="s">
        <v>7</v>
      </c>
      <c r="X257" s="1084"/>
      <c r="Y257" s="1084"/>
      <c r="Z257" s="827">
        <v>0</v>
      </c>
      <c r="AA257" s="827">
        <v>1049624</v>
      </c>
      <c r="AB257" s="1119"/>
      <c r="AC257" s="1119"/>
      <c r="AD257" s="1119"/>
      <c r="AE257" s="1119"/>
      <c r="AF257" s="1203"/>
      <c r="AG257" s="1204"/>
      <c r="AH257" s="1204"/>
      <c r="AI257" s="1204"/>
    </row>
    <row r="258" spans="1:35" s="4" customFormat="1" ht="15" customHeight="1">
      <c r="A258" s="1076"/>
      <c r="B258" s="1076"/>
      <c r="C258" s="1076"/>
      <c r="D258" s="1076"/>
      <c r="E258" s="823" t="s">
        <v>67</v>
      </c>
      <c r="F258" s="1076"/>
      <c r="G258" s="1076"/>
      <c r="H258" s="876">
        <v>197</v>
      </c>
      <c r="I258" s="889" t="s">
        <v>7</v>
      </c>
      <c r="J258" s="858">
        <v>1607760</v>
      </c>
      <c r="K258" s="858">
        <v>1607760</v>
      </c>
      <c r="L258" s="1119"/>
      <c r="M258" s="855"/>
      <c r="N258" s="862"/>
      <c r="O258" s="858"/>
      <c r="P258" s="858"/>
      <c r="Q258" s="858">
        <v>1607760</v>
      </c>
      <c r="R258" s="1119"/>
      <c r="S258" s="823"/>
      <c r="T258" s="840"/>
      <c r="U258" s="866">
        <v>0</v>
      </c>
      <c r="V258" s="855"/>
      <c r="W258" s="866"/>
      <c r="X258" s="827">
        <v>0</v>
      </c>
      <c r="Y258" s="1084"/>
      <c r="Z258" s="827">
        <v>0</v>
      </c>
      <c r="AA258" s="827"/>
      <c r="AB258" s="858">
        <v>0</v>
      </c>
      <c r="AC258" s="858">
        <v>0</v>
      </c>
      <c r="AD258" s="858">
        <v>1607760</v>
      </c>
      <c r="AE258" s="858"/>
      <c r="AF258" s="1203"/>
      <c r="AG258" s="1204"/>
      <c r="AH258" s="1204"/>
      <c r="AI258" s="1204"/>
    </row>
    <row r="259" spans="1:35" ht="15" customHeight="1">
      <c r="A259" s="1011" t="s">
        <v>1560</v>
      </c>
      <c r="B259" s="1011" t="s">
        <v>1562</v>
      </c>
      <c r="C259" s="1011" t="s">
        <v>70</v>
      </c>
      <c r="D259" s="1011" t="s">
        <v>206</v>
      </c>
      <c r="E259" s="1011" t="s">
        <v>66</v>
      </c>
      <c r="F259" s="1011" t="s">
        <v>217</v>
      </c>
      <c r="G259" s="1011" t="s">
        <v>1565</v>
      </c>
      <c r="H259" s="1286">
        <v>68</v>
      </c>
      <c r="I259" s="1065" t="s">
        <v>137</v>
      </c>
      <c r="J259" s="1062">
        <v>928000</v>
      </c>
      <c r="K259" s="1062">
        <v>2320000</v>
      </c>
      <c r="L259" s="1062">
        <v>24219015</v>
      </c>
      <c r="M259" s="1068">
        <v>40413</v>
      </c>
      <c r="N259" s="1092">
        <v>928000</v>
      </c>
      <c r="O259" s="1062">
        <v>928000</v>
      </c>
      <c r="P259" s="1119">
        <v>0</v>
      </c>
      <c r="Q259" s="1062">
        <v>928000</v>
      </c>
      <c r="R259" s="1062">
        <v>24219015</v>
      </c>
      <c r="S259" s="1011" t="s">
        <v>1564</v>
      </c>
      <c r="T259" s="840" t="s">
        <v>1567</v>
      </c>
      <c r="U259" s="866">
        <v>928000</v>
      </c>
      <c r="V259" s="855">
        <v>40438</v>
      </c>
      <c r="W259" s="866" t="s">
        <v>137</v>
      </c>
      <c r="X259" s="1043">
        <v>2320000</v>
      </c>
      <c r="Y259" s="1043">
        <v>20598701.359999999</v>
      </c>
      <c r="Z259" s="827">
        <v>0</v>
      </c>
      <c r="AA259" s="1043">
        <v>-554944</v>
      </c>
      <c r="AB259" s="1062">
        <v>3620313.6400000006</v>
      </c>
      <c r="AC259" s="1062">
        <v>0</v>
      </c>
      <c r="AD259" s="1062">
        <v>0</v>
      </c>
      <c r="AE259" s="1062">
        <v>0</v>
      </c>
      <c r="AF259" s="1108" t="s">
        <v>1579</v>
      </c>
      <c r="AG259" s="1103" t="s">
        <v>1580</v>
      </c>
      <c r="AH259" s="1103" t="s">
        <v>194</v>
      </c>
      <c r="AI259" s="1103" t="s">
        <v>1563</v>
      </c>
    </row>
    <row r="260" spans="1:35" ht="15" customHeight="1">
      <c r="A260" s="1033"/>
      <c r="B260" s="1033"/>
      <c r="C260" s="1033"/>
      <c r="D260" s="1033"/>
      <c r="E260" s="1033"/>
      <c r="F260" s="1033"/>
      <c r="G260" s="1033"/>
      <c r="H260" s="1287"/>
      <c r="I260" s="1066"/>
      <c r="J260" s="1063"/>
      <c r="K260" s="1063"/>
      <c r="L260" s="1063"/>
      <c r="M260" s="1069"/>
      <c r="N260" s="1093"/>
      <c r="O260" s="1063"/>
      <c r="P260" s="1119"/>
      <c r="Q260" s="1063"/>
      <c r="R260" s="1063"/>
      <c r="S260" s="1033"/>
      <c r="T260" s="1065" t="s">
        <v>1568</v>
      </c>
      <c r="U260" s="866">
        <v>462144</v>
      </c>
      <c r="V260" s="1068">
        <v>40585</v>
      </c>
      <c r="W260" s="866" t="s">
        <v>137</v>
      </c>
      <c r="X260" s="1044"/>
      <c r="Y260" s="1044"/>
      <c r="Z260" s="827">
        <v>0</v>
      </c>
      <c r="AA260" s="1044"/>
      <c r="AB260" s="1063"/>
      <c r="AC260" s="1063"/>
      <c r="AD260" s="1063"/>
      <c r="AE260" s="1063"/>
      <c r="AF260" s="1109"/>
      <c r="AG260" s="1104"/>
      <c r="AH260" s="1104"/>
      <c r="AI260" s="1104"/>
    </row>
    <row r="261" spans="1:35" ht="15" customHeight="1">
      <c r="A261" s="1033"/>
      <c r="B261" s="1033"/>
      <c r="C261" s="1033"/>
      <c r="D261" s="1033"/>
      <c r="E261" s="1033"/>
      <c r="F261" s="1033"/>
      <c r="G261" s="1033"/>
      <c r="H261" s="1287"/>
      <c r="I261" s="1067"/>
      <c r="J261" s="1064"/>
      <c r="K261" s="1063"/>
      <c r="L261" s="1063"/>
      <c r="M261" s="1069"/>
      <c r="N261" s="1093"/>
      <c r="O261" s="1064"/>
      <c r="P261" s="1119"/>
      <c r="Q261" s="1064"/>
      <c r="R261" s="1063"/>
      <c r="S261" s="1033"/>
      <c r="T261" s="1067"/>
      <c r="U261" s="866">
        <v>693216</v>
      </c>
      <c r="V261" s="1070"/>
      <c r="W261" s="866" t="s">
        <v>7</v>
      </c>
      <c r="X261" s="1044"/>
      <c r="Y261" s="1044"/>
      <c r="Z261" s="827">
        <v>0</v>
      </c>
      <c r="AA261" s="1045"/>
      <c r="AB261" s="1063"/>
      <c r="AC261" s="1063"/>
      <c r="AD261" s="1063"/>
      <c r="AE261" s="1063"/>
      <c r="AF261" s="1109"/>
      <c r="AG261" s="1104"/>
      <c r="AH261" s="1104"/>
      <c r="AI261" s="1104"/>
    </row>
    <row r="262" spans="1:35" ht="15" customHeight="1">
      <c r="A262" s="1033"/>
      <c r="B262" s="1033"/>
      <c r="C262" s="1033"/>
      <c r="D262" s="1033"/>
      <c r="E262" s="1033"/>
      <c r="F262" s="1033"/>
      <c r="G262" s="1033"/>
      <c r="H262" s="1287"/>
      <c r="I262" s="1065" t="s">
        <v>7</v>
      </c>
      <c r="J262" s="1062">
        <v>1392000</v>
      </c>
      <c r="K262" s="1063"/>
      <c r="L262" s="1063"/>
      <c r="M262" s="1069"/>
      <c r="N262" s="1093"/>
      <c r="O262" s="1062">
        <v>1392000</v>
      </c>
      <c r="P262" s="1119">
        <v>0</v>
      </c>
      <c r="Q262" s="1062">
        <v>1392000</v>
      </c>
      <c r="R262" s="1063"/>
      <c r="S262" s="1033"/>
      <c r="T262" s="1065" t="s">
        <v>1575</v>
      </c>
      <c r="U262" s="866">
        <v>92800</v>
      </c>
      <c r="V262" s="1068">
        <v>41045</v>
      </c>
      <c r="W262" s="866" t="s">
        <v>137</v>
      </c>
      <c r="X262" s="1044"/>
      <c r="Y262" s="1044"/>
      <c r="Z262" s="827">
        <v>0</v>
      </c>
      <c r="AA262" s="1043">
        <v>554944</v>
      </c>
      <c r="AB262" s="1063"/>
      <c r="AC262" s="1063"/>
      <c r="AD262" s="1063"/>
      <c r="AE262" s="1063"/>
      <c r="AF262" s="1109"/>
      <c r="AG262" s="1104"/>
      <c r="AH262" s="1104"/>
      <c r="AI262" s="1104"/>
    </row>
    <row r="263" spans="1:35" ht="15" customHeight="1">
      <c r="A263" s="1033"/>
      <c r="B263" s="1033"/>
      <c r="C263" s="1033"/>
      <c r="D263" s="1033"/>
      <c r="E263" s="1033"/>
      <c r="F263" s="1033"/>
      <c r="G263" s="1033"/>
      <c r="H263" s="1288"/>
      <c r="I263" s="1067"/>
      <c r="J263" s="1064"/>
      <c r="K263" s="1064"/>
      <c r="L263" s="1063"/>
      <c r="M263" s="1070"/>
      <c r="N263" s="1094"/>
      <c r="O263" s="1064"/>
      <c r="P263" s="1119"/>
      <c r="Q263" s="1064"/>
      <c r="R263" s="1063"/>
      <c r="S263" s="1033"/>
      <c r="T263" s="1067"/>
      <c r="U263" s="866">
        <v>143840</v>
      </c>
      <c r="V263" s="1070"/>
      <c r="W263" s="866" t="s">
        <v>7</v>
      </c>
      <c r="X263" s="1045"/>
      <c r="Y263" s="1044"/>
      <c r="Z263" s="827">
        <v>0</v>
      </c>
      <c r="AA263" s="1045"/>
      <c r="AB263" s="1063"/>
      <c r="AC263" s="1064"/>
      <c r="AD263" s="1064"/>
      <c r="AE263" s="1064"/>
      <c r="AF263" s="1109"/>
      <c r="AG263" s="1104"/>
      <c r="AH263" s="1104"/>
      <c r="AI263" s="1104"/>
    </row>
    <row r="264" spans="1:35" ht="15" customHeight="1">
      <c r="A264" s="1033"/>
      <c r="B264" s="1033"/>
      <c r="C264" s="1033"/>
      <c r="D264" s="1033"/>
      <c r="E264" s="1033"/>
      <c r="F264" s="1033"/>
      <c r="G264" s="1033"/>
      <c r="H264" s="1286">
        <v>69</v>
      </c>
      <c r="I264" s="1065" t="s">
        <v>137</v>
      </c>
      <c r="J264" s="1062">
        <v>2744000</v>
      </c>
      <c r="K264" s="1062">
        <v>6860000</v>
      </c>
      <c r="L264" s="1063"/>
      <c r="M264" s="1068">
        <v>40413</v>
      </c>
      <c r="N264" s="1092">
        <v>6860000</v>
      </c>
      <c r="O264" s="1092">
        <v>2744000</v>
      </c>
      <c r="P264" s="1092">
        <v>0</v>
      </c>
      <c r="Q264" s="1062">
        <v>2744000</v>
      </c>
      <c r="R264" s="1063"/>
      <c r="S264" s="1033"/>
      <c r="T264" s="840" t="s">
        <v>1567</v>
      </c>
      <c r="U264" s="866">
        <v>2744000</v>
      </c>
      <c r="V264" s="855">
        <v>40438</v>
      </c>
      <c r="W264" s="866" t="s">
        <v>137</v>
      </c>
      <c r="X264" s="1043">
        <v>6172628</v>
      </c>
      <c r="Y264" s="1044"/>
      <c r="Z264" s="827">
        <v>0</v>
      </c>
      <c r="AA264" s="1043">
        <v>-2058000</v>
      </c>
      <c r="AB264" s="1063"/>
      <c r="AC264" s="1062">
        <v>0</v>
      </c>
      <c r="AD264" s="1062">
        <v>0</v>
      </c>
      <c r="AE264" s="1062">
        <v>0</v>
      </c>
      <c r="AF264" s="1109"/>
      <c r="AG264" s="1104"/>
      <c r="AH264" s="1104"/>
      <c r="AI264" s="1104"/>
    </row>
    <row r="265" spans="1:35" ht="15" customHeight="1">
      <c r="A265" s="1033"/>
      <c r="B265" s="1033"/>
      <c r="C265" s="1033"/>
      <c r="D265" s="1033"/>
      <c r="E265" s="1033"/>
      <c r="F265" s="1033"/>
      <c r="G265" s="1033"/>
      <c r="H265" s="1287"/>
      <c r="I265" s="1066"/>
      <c r="J265" s="1063"/>
      <c r="K265" s="1063"/>
      <c r="L265" s="1063"/>
      <c r="M265" s="1069"/>
      <c r="N265" s="1093"/>
      <c r="O265" s="1093"/>
      <c r="P265" s="1093"/>
      <c r="Q265" s="1063"/>
      <c r="R265" s="1063"/>
      <c r="S265" s="1033"/>
      <c r="T265" s="1065" t="s">
        <v>1571</v>
      </c>
      <c r="U265" s="866">
        <v>823200</v>
      </c>
      <c r="V265" s="1068">
        <v>40711</v>
      </c>
      <c r="W265" s="866" t="s">
        <v>137</v>
      </c>
      <c r="X265" s="1044"/>
      <c r="Y265" s="1044"/>
      <c r="Z265" s="827">
        <v>0</v>
      </c>
      <c r="AA265" s="1044"/>
      <c r="AB265" s="1063"/>
      <c r="AC265" s="1063"/>
      <c r="AD265" s="1063"/>
      <c r="AE265" s="1063"/>
      <c r="AF265" s="1109"/>
      <c r="AG265" s="1104"/>
      <c r="AH265" s="1104"/>
      <c r="AI265" s="1104"/>
    </row>
    <row r="266" spans="1:35" ht="15" customHeight="1">
      <c r="A266" s="1033"/>
      <c r="B266" s="1033"/>
      <c r="C266" s="1033"/>
      <c r="D266" s="1033"/>
      <c r="E266" s="1033"/>
      <c r="F266" s="1033"/>
      <c r="G266" s="1033"/>
      <c r="H266" s="1287"/>
      <c r="I266" s="1066"/>
      <c r="J266" s="1063"/>
      <c r="K266" s="1063"/>
      <c r="L266" s="1063"/>
      <c r="M266" s="1069"/>
      <c r="N266" s="1093"/>
      <c r="O266" s="1093"/>
      <c r="P266" s="1093"/>
      <c r="Q266" s="1063"/>
      <c r="R266" s="1063"/>
      <c r="S266" s="1033"/>
      <c r="T266" s="1067"/>
      <c r="U266" s="866">
        <v>1234800</v>
      </c>
      <c r="V266" s="1070"/>
      <c r="W266" s="866" t="s">
        <v>137</v>
      </c>
      <c r="X266" s="1044"/>
      <c r="Y266" s="1044"/>
      <c r="Z266" s="827">
        <v>0</v>
      </c>
      <c r="AA266" s="1044"/>
      <c r="AB266" s="1063"/>
      <c r="AC266" s="1063"/>
      <c r="AD266" s="1063"/>
      <c r="AE266" s="1063"/>
      <c r="AF266" s="1109"/>
      <c r="AG266" s="1104"/>
      <c r="AH266" s="1104"/>
      <c r="AI266" s="1104"/>
    </row>
    <row r="267" spans="1:35" ht="15" customHeight="1">
      <c r="A267" s="1033"/>
      <c r="B267" s="1033"/>
      <c r="C267" s="1033"/>
      <c r="D267" s="1033"/>
      <c r="E267" s="1033"/>
      <c r="F267" s="1033"/>
      <c r="G267" s="1033"/>
      <c r="H267" s="1287"/>
      <c r="I267" s="1067"/>
      <c r="J267" s="1064"/>
      <c r="K267" s="1063"/>
      <c r="L267" s="1063"/>
      <c r="M267" s="1069"/>
      <c r="N267" s="1093"/>
      <c r="O267" s="1094"/>
      <c r="P267" s="1094"/>
      <c r="Q267" s="1064"/>
      <c r="R267" s="1063"/>
      <c r="S267" s="1033"/>
      <c r="T267" s="1065" t="s">
        <v>1572</v>
      </c>
      <c r="U267" s="866">
        <v>548250.54</v>
      </c>
      <c r="V267" s="1068">
        <v>40736</v>
      </c>
      <c r="W267" s="866" t="s">
        <v>7</v>
      </c>
      <c r="X267" s="1044"/>
      <c r="Y267" s="1044"/>
      <c r="Z267" s="827">
        <v>0</v>
      </c>
      <c r="AA267" s="1045"/>
      <c r="AB267" s="1063"/>
      <c r="AC267" s="1063"/>
      <c r="AD267" s="1063"/>
      <c r="AE267" s="1063"/>
      <c r="AF267" s="1109"/>
      <c r="AG267" s="1104"/>
      <c r="AH267" s="1104"/>
      <c r="AI267" s="1104"/>
    </row>
    <row r="268" spans="1:35" ht="15" customHeight="1">
      <c r="A268" s="1033"/>
      <c r="B268" s="1033"/>
      <c r="C268" s="1033"/>
      <c r="D268" s="1033"/>
      <c r="E268" s="1033"/>
      <c r="F268" s="1033"/>
      <c r="G268" s="1033"/>
      <c r="H268" s="1287"/>
      <c r="I268" s="1065" t="s">
        <v>7</v>
      </c>
      <c r="J268" s="1062">
        <v>4116000</v>
      </c>
      <c r="K268" s="1063"/>
      <c r="L268" s="1063"/>
      <c r="M268" s="1069"/>
      <c r="N268" s="1093"/>
      <c r="O268" s="1062">
        <v>4116000</v>
      </c>
      <c r="P268" s="1062">
        <v>0</v>
      </c>
      <c r="Q268" s="1062">
        <v>4116000</v>
      </c>
      <c r="R268" s="1063"/>
      <c r="S268" s="1033"/>
      <c r="T268" s="1067"/>
      <c r="U268" s="866">
        <v>822377.46</v>
      </c>
      <c r="V268" s="1070"/>
      <c r="W268" s="866" t="s">
        <v>7</v>
      </c>
      <c r="X268" s="1044"/>
      <c r="Y268" s="1044"/>
      <c r="Z268" s="827">
        <v>0</v>
      </c>
      <c r="AA268" s="1043">
        <v>2745372</v>
      </c>
      <c r="AB268" s="1063"/>
      <c r="AC268" s="1063"/>
      <c r="AD268" s="1063"/>
      <c r="AE268" s="1063"/>
      <c r="AF268" s="1109"/>
      <c r="AG268" s="1104"/>
      <c r="AH268" s="1104"/>
      <c r="AI268" s="1104"/>
    </row>
    <row r="269" spans="1:35" ht="15" customHeight="1">
      <c r="A269" s="1033"/>
      <c r="B269" s="1033"/>
      <c r="C269" s="1033"/>
      <c r="D269" s="1033"/>
      <c r="E269" s="1033"/>
      <c r="F269" s="1033"/>
      <c r="G269" s="1033"/>
      <c r="H269" s="1287"/>
      <c r="I269" s="1066"/>
      <c r="J269" s="1063"/>
      <c r="K269" s="1063"/>
      <c r="L269" s="1063"/>
      <c r="M269" s="1069"/>
      <c r="N269" s="1093"/>
      <c r="O269" s="1063"/>
      <c r="P269" s="1063"/>
      <c r="Q269" s="1063"/>
      <c r="R269" s="1063"/>
      <c r="S269" s="1033"/>
      <c r="T269" s="1065" t="s">
        <v>1578</v>
      </c>
      <c r="U269" s="866">
        <v>0</v>
      </c>
      <c r="V269" s="855"/>
      <c r="W269" s="866"/>
      <c r="X269" s="1044"/>
      <c r="Y269" s="1044"/>
      <c r="Z269" s="827">
        <v>274948.8</v>
      </c>
      <c r="AA269" s="1044"/>
      <c r="AB269" s="1063"/>
      <c r="AC269" s="1063"/>
      <c r="AD269" s="1063"/>
      <c r="AE269" s="1063"/>
      <c r="AF269" s="1109"/>
      <c r="AG269" s="1104"/>
      <c r="AH269" s="1104"/>
      <c r="AI269" s="1104"/>
    </row>
    <row r="270" spans="1:35" ht="15" customHeight="1">
      <c r="A270" s="1033"/>
      <c r="B270" s="1033"/>
      <c r="C270" s="1033"/>
      <c r="D270" s="1033"/>
      <c r="E270" s="1033"/>
      <c r="F270" s="1033"/>
      <c r="G270" s="1033"/>
      <c r="H270" s="1288"/>
      <c r="I270" s="1067"/>
      <c r="J270" s="1064"/>
      <c r="K270" s="1064"/>
      <c r="L270" s="1063"/>
      <c r="M270" s="1070"/>
      <c r="N270" s="1094"/>
      <c r="O270" s="1064"/>
      <c r="P270" s="1064"/>
      <c r="Q270" s="1064"/>
      <c r="R270" s="1063"/>
      <c r="S270" s="1033"/>
      <c r="T270" s="1067"/>
      <c r="U270" s="866">
        <v>0</v>
      </c>
      <c r="V270" s="855"/>
      <c r="W270" s="866"/>
      <c r="X270" s="1045"/>
      <c r="Y270" s="1044"/>
      <c r="Z270" s="827">
        <v>412423.2</v>
      </c>
      <c r="AA270" s="1045"/>
      <c r="AB270" s="1063"/>
      <c r="AC270" s="1064"/>
      <c r="AD270" s="1064"/>
      <c r="AE270" s="1064"/>
      <c r="AF270" s="1109"/>
      <c r="AG270" s="1104"/>
      <c r="AH270" s="1104"/>
      <c r="AI270" s="1104"/>
    </row>
    <row r="271" spans="1:35" ht="15" customHeight="1">
      <c r="A271" s="1033"/>
      <c r="B271" s="1033"/>
      <c r="C271" s="1033"/>
      <c r="D271" s="1033"/>
      <c r="E271" s="1033"/>
      <c r="F271" s="1033"/>
      <c r="G271" s="1033"/>
      <c r="H271" s="1286">
        <v>70</v>
      </c>
      <c r="I271" s="1065" t="s">
        <v>137</v>
      </c>
      <c r="J271" s="1062">
        <v>1705623.2</v>
      </c>
      <c r="K271" s="1062">
        <v>4264058</v>
      </c>
      <c r="L271" s="1063"/>
      <c r="M271" s="1068">
        <v>40413</v>
      </c>
      <c r="N271" s="1092">
        <v>4264058</v>
      </c>
      <c r="O271" s="1062">
        <v>1705623.2</v>
      </c>
      <c r="P271" s="1062">
        <v>0</v>
      </c>
      <c r="Q271" s="1062">
        <v>1705623.2</v>
      </c>
      <c r="R271" s="1063"/>
      <c r="S271" s="1033"/>
      <c r="T271" s="840" t="s">
        <v>1566</v>
      </c>
      <c r="U271" s="866">
        <v>1705623</v>
      </c>
      <c r="V271" s="855">
        <v>40438</v>
      </c>
      <c r="W271" s="866" t="s">
        <v>137</v>
      </c>
      <c r="X271" s="1043">
        <v>4008214.3600000003</v>
      </c>
      <c r="Y271" s="1044"/>
      <c r="Z271" s="827">
        <v>0</v>
      </c>
      <c r="AA271" s="1043">
        <v>-716361.3600000001</v>
      </c>
      <c r="AB271" s="1063"/>
      <c r="AC271" s="1062">
        <v>0</v>
      </c>
      <c r="AD271" s="1062">
        <v>0</v>
      </c>
      <c r="AE271" s="1062">
        <v>0</v>
      </c>
      <c r="AF271" s="1109"/>
      <c r="AG271" s="1104"/>
      <c r="AH271" s="1104"/>
      <c r="AI271" s="1104"/>
    </row>
    <row r="272" spans="1:35" ht="15" customHeight="1">
      <c r="A272" s="1033"/>
      <c r="B272" s="1033"/>
      <c r="C272" s="1033"/>
      <c r="D272" s="1033"/>
      <c r="E272" s="1033"/>
      <c r="F272" s="1033"/>
      <c r="G272" s="1033"/>
      <c r="H272" s="1287"/>
      <c r="I272" s="1066"/>
      <c r="J272" s="1063"/>
      <c r="K272" s="1063"/>
      <c r="L272" s="1063"/>
      <c r="M272" s="1069"/>
      <c r="N272" s="1093"/>
      <c r="O272" s="1063"/>
      <c r="P272" s="1063"/>
      <c r="Q272" s="1063"/>
      <c r="R272" s="1063"/>
      <c r="S272" s="1033"/>
      <c r="T272" s="1065" t="s">
        <v>1569</v>
      </c>
      <c r="U272" s="866">
        <v>716361.56</v>
      </c>
      <c r="V272" s="1068">
        <v>40585</v>
      </c>
      <c r="W272" s="866" t="s">
        <v>137</v>
      </c>
      <c r="X272" s="1044"/>
      <c r="Y272" s="1044"/>
      <c r="Z272" s="827">
        <v>0</v>
      </c>
      <c r="AA272" s="1044"/>
      <c r="AB272" s="1063"/>
      <c r="AC272" s="1063"/>
      <c r="AD272" s="1063"/>
      <c r="AE272" s="1063"/>
      <c r="AF272" s="1109"/>
      <c r="AG272" s="1104"/>
      <c r="AH272" s="1104"/>
      <c r="AI272" s="1104"/>
    </row>
    <row r="273" spans="1:36" ht="15" customHeight="1">
      <c r="A273" s="1033"/>
      <c r="B273" s="1033"/>
      <c r="C273" s="1033"/>
      <c r="D273" s="1033"/>
      <c r="E273" s="1033"/>
      <c r="F273" s="1033"/>
      <c r="G273" s="1033"/>
      <c r="H273" s="1287"/>
      <c r="I273" s="1067"/>
      <c r="J273" s="1064"/>
      <c r="K273" s="1063"/>
      <c r="L273" s="1063"/>
      <c r="M273" s="1069"/>
      <c r="N273" s="1093"/>
      <c r="O273" s="1064"/>
      <c r="P273" s="1064"/>
      <c r="Q273" s="1064"/>
      <c r="R273" s="1063"/>
      <c r="S273" s="1033"/>
      <c r="T273" s="1067"/>
      <c r="U273" s="866">
        <v>1074542.8</v>
      </c>
      <c r="V273" s="1070"/>
      <c r="W273" s="866" t="s">
        <v>7</v>
      </c>
      <c r="X273" s="1044"/>
      <c r="Y273" s="1044"/>
      <c r="Z273" s="827">
        <v>0</v>
      </c>
      <c r="AA273" s="1045"/>
      <c r="AB273" s="1063"/>
      <c r="AC273" s="1063"/>
      <c r="AD273" s="1063"/>
      <c r="AE273" s="1063"/>
      <c r="AF273" s="1109"/>
      <c r="AG273" s="1104"/>
      <c r="AH273" s="1104"/>
      <c r="AI273" s="1104"/>
    </row>
    <row r="274" spans="1:36" ht="15" customHeight="1">
      <c r="A274" s="1033"/>
      <c r="B274" s="1033"/>
      <c r="C274" s="1033"/>
      <c r="D274" s="1033"/>
      <c r="E274" s="1033"/>
      <c r="F274" s="1033"/>
      <c r="G274" s="1033"/>
      <c r="H274" s="1287"/>
      <c r="I274" s="1065" t="s">
        <v>7</v>
      </c>
      <c r="J274" s="1062">
        <v>2558434.7999999998</v>
      </c>
      <c r="K274" s="1063"/>
      <c r="L274" s="1063"/>
      <c r="M274" s="1069"/>
      <c r="N274" s="1093"/>
      <c r="O274" s="1062">
        <v>2558434.7999999998</v>
      </c>
      <c r="P274" s="1062">
        <v>0</v>
      </c>
      <c r="Q274" s="1062">
        <v>2558434.7999999998</v>
      </c>
      <c r="R274" s="1063"/>
      <c r="S274" s="1033"/>
      <c r="T274" s="1065" t="s">
        <v>1577</v>
      </c>
      <c r="U274" s="866">
        <v>204675</v>
      </c>
      <c r="V274" s="1068">
        <v>41017</v>
      </c>
      <c r="W274" s="866" t="s">
        <v>7</v>
      </c>
      <c r="X274" s="1044"/>
      <c r="Y274" s="1044"/>
      <c r="Z274" s="827">
        <v>0</v>
      </c>
      <c r="AA274" s="1043">
        <v>972204.99999999977</v>
      </c>
      <c r="AB274" s="1063"/>
      <c r="AC274" s="1063"/>
      <c r="AD274" s="1063"/>
      <c r="AE274" s="1063"/>
      <c r="AF274" s="1109"/>
      <c r="AG274" s="1104"/>
      <c r="AH274" s="1104"/>
      <c r="AI274" s="1104"/>
    </row>
    <row r="275" spans="1:36" ht="15" customHeight="1">
      <c r="A275" s="1033"/>
      <c r="B275" s="1033"/>
      <c r="C275" s="1033"/>
      <c r="D275" s="1033"/>
      <c r="E275" s="1033"/>
      <c r="F275" s="1033"/>
      <c r="G275" s="1033"/>
      <c r="H275" s="1287"/>
      <c r="I275" s="1066"/>
      <c r="J275" s="1063"/>
      <c r="K275" s="1063"/>
      <c r="L275" s="1063"/>
      <c r="M275" s="1069"/>
      <c r="N275" s="1093"/>
      <c r="O275" s="1063"/>
      <c r="P275" s="1063"/>
      <c r="Q275" s="1063"/>
      <c r="R275" s="1063"/>
      <c r="S275" s="1033"/>
      <c r="T275" s="1067"/>
      <c r="U275" s="866">
        <v>307012</v>
      </c>
      <c r="V275" s="1070"/>
      <c r="W275" s="866" t="s">
        <v>7</v>
      </c>
      <c r="X275" s="1044"/>
      <c r="Y275" s="1044"/>
      <c r="Z275" s="827">
        <v>0</v>
      </c>
      <c r="AA275" s="1044"/>
      <c r="AB275" s="1063"/>
      <c r="AC275" s="1063"/>
      <c r="AD275" s="1063"/>
      <c r="AE275" s="1063"/>
      <c r="AF275" s="1109"/>
      <c r="AG275" s="1104"/>
      <c r="AH275" s="1104"/>
      <c r="AI275" s="1104"/>
    </row>
    <row r="276" spans="1:36" ht="15" customHeight="1">
      <c r="A276" s="1033"/>
      <c r="B276" s="1033"/>
      <c r="C276" s="1033"/>
      <c r="D276" s="1033"/>
      <c r="E276" s="1033"/>
      <c r="F276" s="1033"/>
      <c r="G276" s="1033"/>
      <c r="H276" s="1287"/>
      <c r="I276" s="1066"/>
      <c r="J276" s="1063"/>
      <c r="K276" s="1063"/>
      <c r="L276" s="1063"/>
      <c r="M276" s="1069"/>
      <c r="N276" s="1093"/>
      <c r="O276" s="1063"/>
      <c r="P276" s="1063"/>
      <c r="Q276" s="1063"/>
      <c r="R276" s="1063"/>
      <c r="S276" s="1033"/>
      <c r="T276" s="1065" t="s">
        <v>1578</v>
      </c>
      <c r="U276" s="866">
        <v>0</v>
      </c>
      <c r="V276" s="855"/>
      <c r="W276" s="866"/>
      <c r="X276" s="1044"/>
      <c r="Y276" s="1044"/>
      <c r="Z276" s="827">
        <v>102337.39200000001</v>
      </c>
      <c r="AA276" s="1044"/>
      <c r="AB276" s="1063"/>
      <c r="AC276" s="1063"/>
      <c r="AD276" s="1063"/>
      <c r="AE276" s="1063"/>
      <c r="AF276" s="1109"/>
      <c r="AG276" s="1104"/>
      <c r="AH276" s="1104"/>
      <c r="AI276" s="1104"/>
    </row>
    <row r="277" spans="1:36" ht="15" customHeight="1">
      <c r="A277" s="1033"/>
      <c r="B277" s="1033"/>
      <c r="C277" s="1033"/>
      <c r="D277" s="1033"/>
      <c r="E277" s="1033"/>
      <c r="F277" s="1033"/>
      <c r="G277" s="1033"/>
      <c r="H277" s="1288"/>
      <c r="I277" s="1067"/>
      <c r="J277" s="1064"/>
      <c r="K277" s="1064"/>
      <c r="L277" s="1063"/>
      <c r="M277" s="1070"/>
      <c r="N277" s="1094"/>
      <c r="O277" s="1064"/>
      <c r="P277" s="1064"/>
      <c r="Q277" s="1064"/>
      <c r="R277" s="1063"/>
      <c r="S277" s="1033"/>
      <c r="T277" s="1067"/>
      <c r="U277" s="866">
        <v>0</v>
      </c>
      <c r="V277" s="855"/>
      <c r="W277" s="866"/>
      <c r="X277" s="1045"/>
      <c r="Y277" s="1044"/>
      <c r="Z277" s="827">
        <v>153506.24799999996</v>
      </c>
      <c r="AA277" s="1045"/>
      <c r="AB277" s="1063"/>
      <c r="AC277" s="1064"/>
      <c r="AD277" s="1064"/>
      <c r="AE277" s="1064"/>
      <c r="AF277" s="1109"/>
      <c r="AG277" s="1104"/>
      <c r="AH277" s="1104"/>
      <c r="AI277" s="1104"/>
    </row>
    <row r="278" spans="1:36" ht="15" customHeight="1">
      <c r="A278" s="1033"/>
      <c r="B278" s="1033"/>
      <c r="C278" s="1033"/>
      <c r="D278" s="1033"/>
      <c r="E278" s="1033"/>
      <c r="F278" s="1033"/>
      <c r="G278" s="1033"/>
      <c r="H278" s="1286">
        <v>71</v>
      </c>
      <c r="I278" s="1065" t="s">
        <v>137</v>
      </c>
      <c r="J278" s="1062">
        <v>2724000</v>
      </c>
      <c r="K278" s="1062">
        <v>6810000</v>
      </c>
      <c r="L278" s="1063"/>
      <c r="M278" s="1068">
        <v>40413</v>
      </c>
      <c r="N278" s="1092">
        <v>6810000</v>
      </c>
      <c r="O278" s="1062">
        <v>2724000</v>
      </c>
      <c r="P278" s="1062">
        <v>0</v>
      </c>
      <c r="Q278" s="1062">
        <v>2724000</v>
      </c>
      <c r="R278" s="1063"/>
      <c r="S278" s="1033"/>
      <c r="T278" s="840" t="s">
        <v>1566</v>
      </c>
      <c r="U278" s="866">
        <v>2724000</v>
      </c>
      <c r="V278" s="855">
        <v>40438</v>
      </c>
      <c r="W278" s="866" t="s">
        <v>137</v>
      </c>
      <c r="X278" s="1043">
        <v>6115380</v>
      </c>
      <c r="Y278" s="1044"/>
      <c r="Z278" s="827">
        <v>0</v>
      </c>
      <c r="AA278" s="1043">
        <v>-2043000</v>
      </c>
      <c r="AB278" s="1063"/>
      <c r="AC278" s="1062">
        <v>0</v>
      </c>
      <c r="AD278" s="1062">
        <v>0</v>
      </c>
      <c r="AE278" s="1062">
        <v>0</v>
      </c>
      <c r="AF278" s="1109"/>
      <c r="AG278" s="1104"/>
      <c r="AH278" s="1104"/>
      <c r="AI278" s="1104"/>
      <c r="AJ278" s="344" t="s">
        <v>2498</v>
      </c>
    </row>
    <row r="279" spans="1:36" ht="15" customHeight="1">
      <c r="A279" s="1033"/>
      <c r="B279" s="1033"/>
      <c r="C279" s="1033"/>
      <c r="D279" s="1033"/>
      <c r="E279" s="1033"/>
      <c r="F279" s="1033"/>
      <c r="G279" s="1033"/>
      <c r="H279" s="1287"/>
      <c r="I279" s="1066"/>
      <c r="J279" s="1063"/>
      <c r="K279" s="1063"/>
      <c r="L279" s="1063"/>
      <c r="M279" s="1069"/>
      <c r="N279" s="1093"/>
      <c r="O279" s="1063"/>
      <c r="P279" s="1063"/>
      <c r="Q279" s="1063"/>
      <c r="R279" s="1063"/>
      <c r="S279" s="1033"/>
      <c r="T279" s="1065" t="s">
        <v>1570</v>
      </c>
      <c r="U279" s="866">
        <v>817200</v>
      </c>
      <c r="V279" s="1068">
        <v>40711</v>
      </c>
      <c r="W279" s="866" t="s">
        <v>137</v>
      </c>
      <c r="X279" s="1044"/>
      <c r="Y279" s="1044"/>
      <c r="Z279" s="827">
        <v>0</v>
      </c>
      <c r="AA279" s="1044"/>
      <c r="AB279" s="1063"/>
      <c r="AC279" s="1063"/>
      <c r="AD279" s="1063"/>
      <c r="AE279" s="1063"/>
      <c r="AF279" s="1109"/>
      <c r="AG279" s="1104"/>
      <c r="AH279" s="1104"/>
      <c r="AI279" s="1104"/>
    </row>
    <row r="280" spans="1:36" ht="15" customHeight="1">
      <c r="A280" s="1033"/>
      <c r="B280" s="1033"/>
      <c r="C280" s="1033"/>
      <c r="D280" s="1033"/>
      <c r="E280" s="1033"/>
      <c r="F280" s="1033"/>
      <c r="G280" s="1033"/>
      <c r="H280" s="1287"/>
      <c r="I280" s="1066"/>
      <c r="J280" s="1063"/>
      <c r="K280" s="1063"/>
      <c r="L280" s="1063"/>
      <c r="M280" s="1069"/>
      <c r="N280" s="1093"/>
      <c r="O280" s="1063"/>
      <c r="P280" s="1063"/>
      <c r="Q280" s="1063"/>
      <c r="R280" s="1063"/>
      <c r="S280" s="1033"/>
      <c r="T280" s="1067"/>
      <c r="U280" s="866">
        <v>1225800</v>
      </c>
      <c r="V280" s="1070"/>
      <c r="W280" s="866" t="s">
        <v>137</v>
      </c>
      <c r="X280" s="1044"/>
      <c r="Y280" s="1044"/>
      <c r="Z280" s="827">
        <v>0</v>
      </c>
      <c r="AA280" s="1044"/>
      <c r="AB280" s="1063"/>
      <c r="AC280" s="1063"/>
      <c r="AD280" s="1063"/>
      <c r="AE280" s="1063"/>
      <c r="AF280" s="1109"/>
      <c r="AG280" s="1104"/>
      <c r="AH280" s="1104"/>
      <c r="AI280" s="1104"/>
    </row>
    <row r="281" spans="1:36" ht="15" customHeight="1">
      <c r="A281" s="1033"/>
      <c r="B281" s="1033"/>
      <c r="C281" s="1033"/>
      <c r="D281" s="1033"/>
      <c r="E281" s="1033"/>
      <c r="F281" s="1033"/>
      <c r="G281" s="1033"/>
      <c r="H281" s="1287"/>
      <c r="I281" s="1067"/>
      <c r="J281" s="1064"/>
      <c r="K281" s="1063"/>
      <c r="L281" s="1063"/>
      <c r="M281" s="1069"/>
      <c r="N281" s="1093"/>
      <c r="O281" s="1064"/>
      <c r="P281" s="1064"/>
      <c r="Q281" s="1064"/>
      <c r="R281" s="1063"/>
      <c r="S281" s="1033"/>
      <c r="T281" s="1065" t="s">
        <v>1576</v>
      </c>
      <c r="U281" s="866">
        <v>539352</v>
      </c>
      <c r="V281" s="1068">
        <v>41018</v>
      </c>
      <c r="W281" s="866" t="s">
        <v>7</v>
      </c>
      <c r="X281" s="1044"/>
      <c r="Y281" s="1044"/>
      <c r="Z281" s="827">
        <v>0</v>
      </c>
      <c r="AA281" s="1045"/>
      <c r="AB281" s="1063"/>
      <c r="AC281" s="1063"/>
      <c r="AD281" s="1063"/>
      <c r="AE281" s="1063"/>
      <c r="AF281" s="1109"/>
      <c r="AG281" s="1104"/>
      <c r="AH281" s="1104"/>
      <c r="AI281" s="1104"/>
    </row>
    <row r="282" spans="1:36" ht="15" customHeight="1">
      <c r="A282" s="1033"/>
      <c r="B282" s="1033"/>
      <c r="C282" s="1033"/>
      <c r="D282" s="1033"/>
      <c r="E282" s="1033"/>
      <c r="F282" s="1033"/>
      <c r="G282" s="1033"/>
      <c r="H282" s="1287"/>
      <c r="I282" s="1065" t="s">
        <v>7</v>
      </c>
      <c r="J282" s="1062">
        <v>4086000</v>
      </c>
      <c r="K282" s="1063"/>
      <c r="L282" s="1063"/>
      <c r="M282" s="1069"/>
      <c r="N282" s="1093"/>
      <c r="O282" s="1062">
        <v>4086000</v>
      </c>
      <c r="P282" s="1062">
        <v>0</v>
      </c>
      <c r="Q282" s="1062">
        <v>4086000</v>
      </c>
      <c r="R282" s="1063"/>
      <c r="S282" s="1033"/>
      <c r="T282" s="1067"/>
      <c r="U282" s="866">
        <v>809028</v>
      </c>
      <c r="V282" s="1070"/>
      <c r="W282" s="866" t="s">
        <v>7</v>
      </c>
      <c r="X282" s="1044"/>
      <c r="Y282" s="1044"/>
      <c r="Z282" s="827">
        <v>0</v>
      </c>
      <c r="AA282" s="1043">
        <v>2737620</v>
      </c>
      <c r="AB282" s="1063"/>
      <c r="AC282" s="1063"/>
      <c r="AD282" s="1063"/>
      <c r="AE282" s="1063"/>
      <c r="AF282" s="1109"/>
      <c r="AG282" s="1104"/>
      <c r="AH282" s="1104"/>
      <c r="AI282" s="1104"/>
    </row>
    <row r="283" spans="1:36" ht="15" customHeight="1">
      <c r="A283" s="1033"/>
      <c r="B283" s="1033"/>
      <c r="C283" s="1033"/>
      <c r="D283" s="1033"/>
      <c r="E283" s="1033"/>
      <c r="F283" s="1033"/>
      <c r="G283" s="1033"/>
      <c r="H283" s="1287"/>
      <c r="I283" s="1066"/>
      <c r="J283" s="1063"/>
      <c r="K283" s="1063"/>
      <c r="L283" s="1063"/>
      <c r="M283" s="1069"/>
      <c r="N283" s="1093"/>
      <c r="O283" s="1063"/>
      <c r="P283" s="1063"/>
      <c r="Q283" s="1063"/>
      <c r="R283" s="1063"/>
      <c r="S283" s="1033"/>
      <c r="T283" s="1065" t="s">
        <v>1578</v>
      </c>
      <c r="U283" s="866">
        <v>0</v>
      </c>
      <c r="V283" s="855"/>
      <c r="W283" s="866"/>
      <c r="X283" s="1044"/>
      <c r="Y283" s="1044"/>
      <c r="Z283" s="827">
        <v>277848</v>
      </c>
      <c r="AA283" s="1044"/>
      <c r="AB283" s="1063"/>
      <c r="AC283" s="1063"/>
      <c r="AD283" s="1063"/>
      <c r="AE283" s="1063"/>
      <c r="AF283" s="1109"/>
      <c r="AG283" s="1104"/>
      <c r="AH283" s="1104"/>
      <c r="AI283" s="1104"/>
    </row>
    <row r="284" spans="1:36" ht="15" customHeight="1">
      <c r="A284" s="1033"/>
      <c r="B284" s="1033"/>
      <c r="C284" s="1033"/>
      <c r="D284" s="1033"/>
      <c r="E284" s="1012"/>
      <c r="F284" s="1033"/>
      <c r="G284" s="1033"/>
      <c r="H284" s="1288"/>
      <c r="I284" s="1067"/>
      <c r="J284" s="1064"/>
      <c r="K284" s="1064"/>
      <c r="L284" s="1063"/>
      <c r="M284" s="1070"/>
      <c r="N284" s="1094"/>
      <c r="O284" s="1064"/>
      <c r="P284" s="1064"/>
      <c r="Q284" s="1064"/>
      <c r="R284" s="1063"/>
      <c r="S284" s="1033"/>
      <c r="T284" s="1067"/>
      <c r="U284" s="866">
        <v>0</v>
      </c>
      <c r="V284" s="855"/>
      <c r="W284" s="866"/>
      <c r="X284" s="1045"/>
      <c r="Y284" s="1044"/>
      <c r="Z284" s="827">
        <v>416772</v>
      </c>
      <c r="AA284" s="1045"/>
      <c r="AB284" s="1063"/>
      <c r="AC284" s="1064"/>
      <c r="AD284" s="1064"/>
      <c r="AE284" s="1064"/>
      <c r="AF284" s="1109"/>
      <c r="AG284" s="1104"/>
      <c r="AH284" s="1104"/>
      <c r="AI284" s="1104"/>
    </row>
    <row r="285" spans="1:36" ht="15" customHeight="1">
      <c r="A285" s="1033"/>
      <c r="B285" s="1033"/>
      <c r="C285" s="1033"/>
      <c r="D285" s="1033"/>
      <c r="E285" s="1011" t="s">
        <v>67</v>
      </c>
      <c r="F285" s="1033"/>
      <c r="G285" s="1033"/>
      <c r="H285" s="1286">
        <v>168</v>
      </c>
      <c r="I285" s="1065" t="s">
        <v>7</v>
      </c>
      <c r="J285" s="1062">
        <v>2008742</v>
      </c>
      <c r="K285" s="1062">
        <v>2008742</v>
      </c>
      <c r="L285" s="1063"/>
      <c r="M285" s="1068">
        <v>40707</v>
      </c>
      <c r="N285" s="1092">
        <v>2008742</v>
      </c>
      <c r="O285" s="1092">
        <v>2008742</v>
      </c>
      <c r="P285" s="1092">
        <v>0</v>
      </c>
      <c r="Q285" s="1062">
        <v>2008742</v>
      </c>
      <c r="R285" s="1063"/>
      <c r="S285" s="1033"/>
      <c r="T285" s="840" t="s">
        <v>1573</v>
      </c>
      <c r="U285" s="866">
        <v>1004371</v>
      </c>
      <c r="V285" s="855">
        <v>41089</v>
      </c>
      <c r="W285" s="866" t="s">
        <v>7</v>
      </c>
      <c r="X285" s="1043">
        <v>1004371</v>
      </c>
      <c r="Y285" s="1044"/>
      <c r="Z285" s="827">
        <v>0</v>
      </c>
      <c r="AA285" s="1043">
        <v>1004371</v>
      </c>
      <c r="AB285" s="1063"/>
      <c r="AC285" s="1062">
        <v>0</v>
      </c>
      <c r="AD285" s="1062">
        <v>0</v>
      </c>
      <c r="AE285" s="1062">
        <v>0</v>
      </c>
      <c r="AF285" s="1109"/>
      <c r="AG285" s="1104"/>
      <c r="AH285" s="1104"/>
      <c r="AI285" s="1104"/>
    </row>
    <row r="286" spans="1:36" ht="15" customHeight="1">
      <c r="A286" s="1033"/>
      <c r="B286" s="1033"/>
      <c r="C286" s="1033"/>
      <c r="D286" s="1033"/>
      <c r="E286" s="1012"/>
      <c r="F286" s="1033"/>
      <c r="G286" s="1033"/>
      <c r="H286" s="1288"/>
      <c r="I286" s="1067"/>
      <c r="J286" s="1064"/>
      <c r="K286" s="1064"/>
      <c r="L286" s="1063"/>
      <c r="M286" s="1070"/>
      <c r="N286" s="1094"/>
      <c r="O286" s="1094"/>
      <c r="P286" s="1094"/>
      <c r="Q286" s="1064"/>
      <c r="R286" s="1063"/>
      <c r="S286" s="1033"/>
      <c r="T286" s="840" t="s">
        <v>1578</v>
      </c>
      <c r="U286" s="866">
        <v>0</v>
      </c>
      <c r="V286" s="855"/>
      <c r="W286" s="866"/>
      <c r="X286" s="1045"/>
      <c r="Y286" s="1044"/>
      <c r="Z286" s="827">
        <v>1004371</v>
      </c>
      <c r="AA286" s="1045"/>
      <c r="AB286" s="1063"/>
      <c r="AC286" s="1064"/>
      <c r="AD286" s="1064"/>
      <c r="AE286" s="1064"/>
      <c r="AF286" s="1109"/>
      <c r="AG286" s="1104"/>
      <c r="AH286" s="1104"/>
      <c r="AI286" s="1104"/>
    </row>
    <row r="287" spans="1:36" ht="15" customHeight="1">
      <c r="A287" s="1033"/>
      <c r="B287" s="1033"/>
      <c r="C287" s="1033"/>
      <c r="D287" s="1033"/>
      <c r="E287" s="1011" t="s">
        <v>171</v>
      </c>
      <c r="F287" s="1033"/>
      <c r="G287" s="1033"/>
      <c r="H287" s="1286">
        <v>174</v>
      </c>
      <c r="I287" s="1065" t="s">
        <v>7</v>
      </c>
      <c r="J287" s="1062">
        <v>1956215</v>
      </c>
      <c r="K287" s="1062">
        <v>1956215</v>
      </c>
      <c r="L287" s="1063"/>
      <c r="M287" s="1068">
        <v>40745</v>
      </c>
      <c r="N287" s="1092">
        <v>1956215</v>
      </c>
      <c r="O287" s="1092">
        <v>1956215</v>
      </c>
      <c r="P287" s="1092">
        <v>0</v>
      </c>
      <c r="Q287" s="1062">
        <v>1956215</v>
      </c>
      <c r="R287" s="1063"/>
      <c r="S287" s="1033"/>
      <c r="T287" s="840" t="s">
        <v>1574</v>
      </c>
      <c r="U287" s="866">
        <v>978108</v>
      </c>
      <c r="V287" s="855">
        <v>41089</v>
      </c>
      <c r="W287" s="866" t="s">
        <v>7</v>
      </c>
      <c r="X287" s="1043">
        <v>978108</v>
      </c>
      <c r="Y287" s="1044"/>
      <c r="Z287" s="827">
        <v>1956216</v>
      </c>
      <c r="AA287" s="1043">
        <v>978107</v>
      </c>
      <c r="AB287" s="1063"/>
      <c r="AC287" s="1062">
        <v>0</v>
      </c>
      <c r="AD287" s="1062">
        <v>0</v>
      </c>
      <c r="AE287" s="1062">
        <v>0</v>
      </c>
      <c r="AF287" s="1109"/>
      <c r="AG287" s="1104"/>
      <c r="AH287" s="1104"/>
      <c r="AI287" s="1104"/>
    </row>
    <row r="288" spans="1:36" ht="15" customHeight="1">
      <c r="A288" s="1012"/>
      <c r="B288" s="1012"/>
      <c r="C288" s="1012"/>
      <c r="D288" s="1012"/>
      <c r="E288" s="1012"/>
      <c r="F288" s="1012"/>
      <c r="G288" s="1012"/>
      <c r="H288" s="1288"/>
      <c r="I288" s="1067"/>
      <c r="J288" s="1064"/>
      <c r="K288" s="1064"/>
      <c r="L288" s="1064"/>
      <c r="M288" s="1070"/>
      <c r="N288" s="1094"/>
      <c r="O288" s="1094"/>
      <c r="P288" s="1094"/>
      <c r="Q288" s="1064"/>
      <c r="R288" s="1064"/>
      <c r="S288" s="1012"/>
      <c r="T288" s="840" t="s">
        <v>1578</v>
      </c>
      <c r="U288" s="866">
        <v>0</v>
      </c>
      <c r="V288" s="855"/>
      <c r="W288" s="866"/>
      <c r="X288" s="1045"/>
      <c r="Y288" s="1045"/>
      <c r="Z288" s="827">
        <v>978107</v>
      </c>
      <c r="AA288" s="1045"/>
      <c r="AB288" s="1064"/>
      <c r="AC288" s="1064"/>
      <c r="AD288" s="1064"/>
      <c r="AE288" s="1064"/>
      <c r="AF288" s="1110"/>
      <c r="AG288" s="1105"/>
      <c r="AH288" s="1105"/>
      <c r="AI288" s="1105"/>
    </row>
    <row r="289" spans="1:35" s="10" customFormat="1" ht="15" customHeight="1">
      <c r="A289" s="1296" t="s">
        <v>431</v>
      </c>
      <c r="B289" s="1076" t="s">
        <v>432</v>
      </c>
      <c r="C289" s="1296" t="s">
        <v>70</v>
      </c>
      <c r="D289" s="1296" t="s">
        <v>177</v>
      </c>
      <c r="E289" s="1310" t="s">
        <v>66</v>
      </c>
      <c r="F289" s="1076" t="s">
        <v>217</v>
      </c>
      <c r="G289" s="1076" t="s">
        <v>436</v>
      </c>
      <c r="H289" s="1292">
        <v>72</v>
      </c>
      <c r="I289" s="170" t="s">
        <v>137</v>
      </c>
      <c r="J289" s="888">
        <v>2476910.7999999998</v>
      </c>
      <c r="K289" s="1265">
        <v>6192277</v>
      </c>
      <c r="L289" s="1258">
        <v>20906986</v>
      </c>
      <c r="M289" s="1332">
        <v>40413</v>
      </c>
      <c r="N289" s="1265">
        <v>6192277</v>
      </c>
      <c r="O289" s="888">
        <v>2476910.7999999998</v>
      </c>
      <c r="P289" s="888">
        <v>0</v>
      </c>
      <c r="Q289" s="888">
        <v>2476910.7999999998</v>
      </c>
      <c r="R289" s="1258">
        <v>20906986</v>
      </c>
      <c r="S289" s="1349" t="s">
        <v>282</v>
      </c>
      <c r="T289" s="840" t="s">
        <v>434</v>
      </c>
      <c r="U289" s="57">
        <v>2476910.7999999998</v>
      </c>
      <c r="V289" s="898">
        <v>40554</v>
      </c>
      <c r="W289" s="888" t="s">
        <v>137</v>
      </c>
      <c r="X289" s="1265">
        <v>2476910.7999999998</v>
      </c>
      <c r="Y289" s="1258">
        <v>7810794.4000000004</v>
      </c>
      <c r="Z289" s="888">
        <v>0</v>
      </c>
      <c r="AA289" s="888"/>
      <c r="AB289" s="1265">
        <v>3715366.2</v>
      </c>
      <c r="AC289" s="1265">
        <v>0</v>
      </c>
      <c r="AD289" s="1265">
        <v>0</v>
      </c>
      <c r="AE289" s="1265">
        <v>0</v>
      </c>
      <c r="AF289" s="1203" t="s">
        <v>437</v>
      </c>
      <c r="AG289" s="1204" t="s">
        <v>804</v>
      </c>
      <c r="AH289" s="1259" t="s">
        <v>194</v>
      </c>
      <c r="AI289" s="1204" t="s">
        <v>368</v>
      </c>
    </row>
    <row r="290" spans="1:35" s="10" customFormat="1" ht="15" customHeight="1">
      <c r="A290" s="1296"/>
      <c r="B290" s="1076"/>
      <c r="C290" s="1296"/>
      <c r="D290" s="1296"/>
      <c r="E290" s="1311"/>
      <c r="F290" s="1076"/>
      <c r="G290" s="1076"/>
      <c r="H290" s="1293"/>
      <c r="I290" s="1065" t="s">
        <v>7</v>
      </c>
      <c r="J290" s="1265">
        <v>3715366.2</v>
      </c>
      <c r="K290" s="1266"/>
      <c r="L290" s="1258"/>
      <c r="M290" s="1333"/>
      <c r="N290" s="1266"/>
      <c r="O290" s="1265">
        <v>3715366.2</v>
      </c>
      <c r="P290" s="1265">
        <v>0</v>
      </c>
      <c r="Q290" s="1265">
        <v>3715366.2</v>
      </c>
      <c r="R290" s="1258"/>
      <c r="S290" s="1349"/>
      <c r="T290" s="1313"/>
      <c r="U290" s="57">
        <v>0</v>
      </c>
      <c r="V290" s="898"/>
      <c r="W290" s="888" t="s">
        <v>137</v>
      </c>
      <c r="X290" s="1266"/>
      <c r="Y290" s="1258"/>
      <c r="Z290" s="888">
        <v>0</v>
      </c>
      <c r="AA290" s="1265"/>
      <c r="AB290" s="1266"/>
      <c r="AC290" s="1266"/>
      <c r="AD290" s="1266"/>
      <c r="AE290" s="1266"/>
      <c r="AF290" s="1203"/>
      <c r="AG290" s="1204"/>
      <c r="AH290" s="1259"/>
      <c r="AI290" s="1204"/>
    </row>
    <row r="291" spans="1:35" s="10" customFormat="1" ht="15" customHeight="1">
      <c r="A291" s="1296"/>
      <c r="B291" s="1076"/>
      <c r="C291" s="1296"/>
      <c r="D291" s="1296"/>
      <c r="E291" s="1311"/>
      <c r="F291" s="1076"/>
      <c r="G291" s="1076"/>
      <c r="H291" s="1294"/>
      <c r="I291" s="1067"/>
      <c r="J291" s="1267"/>
      <c r="K291" s="1267"/>
      <c r="L291" s="1258"/>
      <c r="M291" s="1334"/>
      <c r="N291" s="1267"/>
      <c r="O291" s="1267"/>
      <c r="P291" s="1267"/>
      <c r="Q291" s="1267"/>
      <c r="R291" s="1258"/>
      <c r="S291" s="1349"/>
      <c r="T291" s="1314"/>
      <c r="U291" s="57">
        <v>0</v>
      </c>
      <c r="V291" s="898"/>
      <c r="W291" s="888" t="s">
        <v>7</v>
      </c>
      <c r="X291" s="1267"/>
      <c r="Y291" s="1258"/>
      <c r="Z291" s="888">
        <v>3715366.2</v>
      </c>
      <c r="AA291" s="1267"/>
      <c r="AB291" s="1267"/>
      <c r="AC291" s="1267"/>
      <c r="AD291" s="1267"/>
      <c r="AE291" s="1267"/>
      <c r="AF291" s="1203"/>
      <c r="AG291" s="1204"/>
      <c r="AH291" s="1259"/>
      <c r="AI291" s="1204"/>
    </row>
    <row r="292" spans="1:35" s="10" customFormat="1" ht="15" customHeight="1">
      <c r="A292" s="1296"/>
      <c r="B292" s="1076"/>
      <c r="C292" s="1296"/>
      <c r="D292" s="1296"/>
      <c r="E292" s="1311"/>
      <c r="F292" s="1076"/>
      <c r="G292" s="1076"/>
      <c r="H292" s="1292">
        <v>73</v>
      </c>
      <c r="I292" s="170" t="s">
        <v>137</v>
      </c>
      <c r="J292" s="888">
        <v>1576563.6</v>
      </c>
      <c r="K292" s="1265">
        <v>3941409</v>
      </c>
      <c r="L292" s="1258"/>
      <c r="M292" s="1332">
        <v>40413</v>
      </c>
      <c r="N292" s="1265">
        <v>3941409</v>
      </c>
      <c r="O292" s="888">
        <v>1576563.6</v>
      </c>
      <c r="P292" s="888">
        <v>0</v>
      </c>
      <c r="Q292" s="888">
        <v>1576563.6</v>
      </c>
      <c r="R292" s="1258"/>
      <c r="S292" s="1349"/>
      <c r="T292" s="840" t="s">
        <v>434</v>
      </c>
      <c r="U292" s="57">
        <v>1576563.6</v>
      </c>
      <c r="V292" s="898">
        <v>40554</v>
      </c>
      <c r="W292" s="888" t="s">
        <v>137</v>
      </c>
      <c r="X292" s="1265">
        <v>1576563.6</v>
      </c>
      <c r="Y292" s="1258"/>
      <c r="Z292" s="888">
        <v>0</v>
      </c>
      <c r="AA292" s="888"/>
      <c r="AB292" s="1265">
        <v>2364845.4</v>
      </c>
      <c r="AC292" s="1265">
        <v>0</v>
      </c>
      <c r="AD292" s="1265">
        <v>0</v>
      </c>
      <c r="AE292" s="1265">
        <v>0</v>
      </c>
      <c r="AF292" s="1203"/>
      <c r="AG292" s="1204"/>
      <c r="AH292" s="1259"/>
      <c r="AI292" s="1204"/>
    </row>
    <row r="293" spans="1:35" s="10" customFormat="1" ht="15" customHeight="1">
      <c r="A293" s="1296"/>
      <c r="B293" s="1076"/>
      <c r="C293" s="1296"/>
      <c r="D293" s="1296"/>
      <c r="E293" s="1311"/>
      <c r="F293" s="1076"/>
      <c r="G293" s="1076"/>
      <c r="H293" s="1293"/>
      <c r="I293" s="1065" t="s">
        <v>7</v>
      </c>
      <c r="J293" s="1265">
        <v>2364845.4</v>
      </c>
      <c r="K293" s="1266"/>
      <c r="L293" s="1258"/>
      <c r="M293" s="1333"/>
      <c r="N293" s="1266"/>
      <c r="O293" s="1265">
        <v>2364845.4</v>
      </c>
      <c r="P293" s="1265">
        <v>0</v>
      </c>
      <c r="Q293" s="1265">
        <v>2364845.4</v>
      </c>
      <c r="R293" s="1258"/>
      <c r="S293" s="1349"/>
      <c r="T293" s="1313"/>
      <c r="U293" s="57">
        <v>0</v>
      </c>
      <c r="V293" s="898"/>
      <c r="W293" s="888" t="s">
        <v>137</v>
      </c>
      <c r="X293" s="1266"/>
      <c r="Y293" s="1258"/>
      <c r="Z293" s="888">
        <v>0</v>
      </c>
      <c r="AA293" s="1265"/>
      <c r="AB293" s="1266"/>
      <c r="AC293" s="1266"/>
      <c r="AD293" s="1266"/>
      <c r="AE293" s="1266"/>
      <c r="AF293" s="1203"/>
      <c r="AG293" s="1204"/>
      <c r="AH293" s="1259"/>
      <c r="AI293" s="1204"/>
    </row>
    <row r="294" spans="1:35" s="10" customFormat="1" ht="15" customHeight="1">
      <c r="A294" s="1296"/>
      <c r="B294" s="1076"/>
      <c r="C294" s="1296"/>
      <c r="D294" s="1296"/>
      <c r="E294" s="1311"/>
      <c r="F294" s="1076"/>
      <c r="G294" s="1076"/>
      <c r="H294" s="1294"/>
      <c r="I294" s="1067"/>
      <c r="J294" s="1267"/>
      <c r="K294" s="1267"/>
      <c r="L294" s="1258"/>
      <c r="M294" s="1334"/>
      <c r="N294" s="1267"/>
      <c r="O294" s="1267"/>
      <c r="P294" s="1267"/>
      <c r="Q294" s="1267"/>
      <c r="R294" s="1258"/>
      <c r="S294" s="1349"/>
      <c r="T294" s="1314"/>
      <c r="U294" s="57">
        <v>0</v>
      </c>
      <c r="V294" s="898"/>
      <c r="W294" s="888" t="s">
        <v>7</v>
      </c>
      <c r="X294" s="1267"/>
      <c r="Y294" s="1258"/>
      <c r="Z294" s="888">
        <v>2364845.4</v>
      </c>
      <c r="AA294" s="1267"/>
      <c r="AB294" s="1267"/>
      <c r="AC294" s="1267"/>
      <c r="AD294" s="1267"/>
      <c r="AE294" s="1267"/>
      <c r="AF294" s="1203"/>
      <c r="AG294" s="1204"/>
      <c r="AH294" s="1259"/>
      <c r="AI294" s="1204"/>
    </row>
    <row r="295" spans="1:35" s="10" customFormat="1" ht="15" customHeight="1">
      <c r="A295" s="1296"/>
      <c r="B295" s="1076"/>
      <c r="C295" s="1296"/>
      <c r="D295" s="1296"/>
      <c r="E295" s="1311"/>
      <c r="F295" s="1076"/>
      <c r="G295" s="1076"/>
      <c r="H295" s="1292">
        <v>74</v>
      </c>
      <c r="I295" s="170" t="s">
        <v>137</v>
      </c>
      <c r="J295" s="888">
        <v>1657320</v>
      </c>
      <c r="K295" s="1265">
        <v>4143300</v>
      </c>
      <c r="L295" s="1258"/>
      <c r="M295" s="1332">
        <v>40413</v>
      </c>
      <c r="N295" s="1265">
        <v>4143300</v>
      </c>
      <c r="O295" s="888">
        <v>1657320</v>
      </c>
      <c r="P295" s="888">
        <v>0</v>
      </c>
      <c r="Q295" s="888">
        <v>1657320</v>
      </c>
      <c r="R295" s="1258"/>
      <c r="S295" s="1349"/>
      <c r="T295" s="840" t="s">
        <v>435</v>
      </c>
      <c r="U295" s="57">
        <v>1657320</v>
      </c>
      <c r="V295" s="898">
        <v>40554</v>
      </c>
      <c r="W295" s="888" t="s">
        <v>137</v>
      </c>
      <c r="X295" s="1265">
        <v>1657320</v>
      </c>
      <c r="Y295" s="1258"/>
      <c r="Z295" s="888">
        <v>0</v>
      </c>
      <c r="AA295" s="888"/>
      <c r="AB295" s="1265">
        <v>2485980</v>
      </c>
      <c r="AC295" s="1265">
        <v>0</v>
      </c>
      <c r="AD295" s="1265">
        <v>0</v>
      </c>
      <c r="AE295" s="1265">
        <v>0</v>
      </c>
      <c r="AF295" s="1203"/>
      <c r="AG295" s="1204"/>
      <c r="AH295" s="1259"/>
      <c r="AI295" s="1204"/>
    </row>
    <row r="296" spans="1:35" s="10" customFormat="1" ht="15" customHeight="1">
      <c r="A296" s="1296"/>
      <c r="B296" s="1076"/>
      <c r="C296" s="1296"/>
      <c r="D296" s="1296"/>
      <c r="E296" s="1311"/>
      <c r="F296" s="1076"/>
      <c r="G296" s="1076"/>
      <c r="H296" s="1293"/>
      <c r="I296" s="1065" t="s">
        <v>7</v>
      </c>
      <c r="J296" s="1265">
        <v>2485980</v>
      </c>
      <c r="K296" s="1266"/>
      <c r="L296" s="1258"/>
      <c r="M296" s="1333"/>
      <c r="N296" s="1266"/>
      <c r="O296" s="1265">
        <v>2485980</v>
      </c>
      <c r="P296" s="1265">
        <v>0</v>
      </c>
      <c r="Q296" s="1265">
        <v>2485980</v>
      </c>
      <c r="R296" s="1258"/>
      <c r="S296" s="1349"/>
      <c r="T296" s="1313"/>
      <c r="U296" s="57">
        <v>0</v>
      </c>
      <c r="V296" s="898"/>
      <c r="W296" s="888" t="s">
        <v>137</v>
      </c>
      <c r="X296" s="1266"/>
      <c r="Y296" s="1258"/>
      <c r="Z296" s="888">
        <v>0</v>
      </c>
      <c r="AA296" s="1265"/>
      <c r="AB296" s="1266"/>
      <c r="AC296" s="1266"/>
      <c r="AD296" s="1266"/>
      <c r="AE296" s="1266"/>
      <c r="AF296" s="1203"/>
      <c r="AG296" s="1204"/>
      <c r="AH296" s="1259"/>
      <c r="AI296" s="1204"/>
    </row>
    <row r="297" spans="1:35" s="10" customFormat="1" ht="15" customHeight="1">
      <c r="A297" s="1296"/>
      <c r="B297" s="1076"/>
      <c r="C297" s="1296"/>
      <c r="D297" s="1296"/>
      <c r="E297" s="1311"/>
      <c r="F297" s="1076"/>
      <c r="G297" s="1076"/>
      <c r="H297" s="1294"/>
      <c r="I297" s="1067"/>
      <c r="J297" s="1267"/>
      <c r="K297" s="1267"/>
      <c r="L297" s="1258"/>
      <c r="M297" s="1334"/>
      <c r="N297" s="1267"/>
      <c r="O297" s="1267"/>
      <c r="P297" s="1267"/>
      <c r="Q297" s="1267"/>
      <c r="R297" s="1258"/>
      <c r="S297" s="1349"/>
      <c r="T297" s="1314"/>
      <c r="U297" s="57">
        <v>0</v>
      </c>
      <c r="V297" s="898"/>
      <c r="W297" s="888" t="s">
        <v>7</v>
      </c>
      <c r="X297" s="1267"/>
      <c r="Y297" s="1258"/>
      <c r="Z297" s="888">
        <v>2485980</v>
      </c>
      <c r="AA297" s="1267"/>
      <c r="AB297" s="1267"/>
      <c r="AC297" s="1267"/>
      <c r="AD297" s="1267"/>
      <c r="AE297" s="1267"/>
      <c r="AF297" s="1203"/>
      <c r="AG297" s="1204"/>
      <c r="AH297" s="1259"/>
      <c r="AI297" s="1204"/>
    </row>
    <row r="298" spans="1:35" s="10" customFormat="1" ht="15" customHeight="1">
      <c r="A298" s="1296"/>
      <c r="B298" s="1076"/>
      <c r="C298" s="1296"/>
      <c r="D298" s="1296"/>
      <c r="E298" s="1311"/>
      <c r="F298" s="1076"/>
      <c r="G298" s="1076"/>
      <c r="H298" s="1292">
        <v>75</v>
      </c>
      <c r="I298" s="170" t="s">
        <v>137</v>
      </c>
      <c r="J298" s="888">
        <v>2100000</v>
      </c>
      <c r="K298" s="1265">
        <v>5250000</v>
      </c>
      <c r="L298" s="1258"/>
      <c r="M298" s="1332">
        <v>40413</v>
      </c>
      <c r="N298" s="1265">
        <v>5250000</v>
      </c>
      <c r="O298" s="888">
        <v>2100000</v>
      </c>
      <c r="P298" s="888">
        <v>0</v>
      </c>
      <c r="Q298" s="888">
        <v>2100000</v>
      </c>
      <c r="R298" s="1258"/>
      <c r="S298" s="1349"/>
      <c r="T298" s="840" t="s">
        <v>435</v>
      </c>
      <c r="U298" s="57">
        <v>2100000</v>
      </c>
      <c r="V298" s="898">
        <v>40554</v>
      </c>
      <c r="W298" s="888" t="s">
        <v>137</v>
      </c>
      <c r="X298" s="1265">
        <v>2100000</v>
      </c>
      <c r="Y298" s="1258"/>
      <c r="Z298" s="888">
        <v>0</v>
      </c>
      <c r="AA298" s="888"/>
      <c r="AB298" s="1265">
        <v>3150000</v>
      </c>
      <c r="AC298" s="1265">
        <v>0</v>
      </c>
      <c r="AD298" s="1265">
        <v>0</v>
      </c>
      <c r="AE298" s="1265">
        <v>0</v>
      </c>
      <c r="AF298" s="1203"/>
      <c r="AG298" s="1204"/>
      <c r="AH298" s="1259"/>
      <c r="AI298" s="1204"/>
    </row>
    <row r="299" spans="1:35" s="10" customFormat="1" ht="15" customHeight="1">
      <c r="A299" s="1296"/>
      <c r="B299" s="1076"/>
      <c r="C299" s="1296"/>
      <c r="D299" s="1296"/>
      <c r="E299" s="1311"/>
      <c r="F299" s="1076"/>
      <c r="G299" s="1076"/>
      <c r="H299" s="1293"/>
      <c r="I299" s="1065" t="s">
        <v>7</v>
      </c>
      <c r="J299" s="1265">
        <v>3150000</v>
      </c>
      <c r="K299" s="1266"/>
      <c r="L299" s="1258"/>
      <c r="M299" s="1333"/>
      <c r="N299" s="1266"/>
      <c r="O299" s="1265">
        <v>3150000</v>
      </c>
      <c r="P299" s="1265">
        <v>0</v>
      </c>
      <c r="Q299" s="1265">
        <v>3150000</v>
      </c>
      <c r="R299" s="1258"/>
      <c r="S299" s="1349"/>
      <c r="T299" s="1313"/>
      <c r="U299" s="57">
        <v>0</v>
      </c>
      <c r="V299" s="898"/>
      <c r="W299" s="888" t="s">
        <v>137</v>
      </c>
      <c r="X299" s="1266"/>
      <c r="Y299" s="1258"/>
      <c r="Z299" s="888">
        <v>0</v>
      </c>
      <c r="AA299" s="1265"/>
      <c r="AB299" s="1266"/>
      <c r="AC299" s="1266"/>
      <c r="AD299" s="1266"/>
      <c r="AE299" s="1266"/>
      <c r="AF299" s="1203"/>
      <c r="AG299" s="1204"/>
      <c r="AH299" s="1259"/>
      <c r="AI299" s="1204"/>
    </row>
    <row r="300" spans="1:35" s="10" customFormat="1" ht="15" customHeight="1">
      <c r="A300" s="1296"/>
      <c r="B300" s="1076"/>
      <c r="C300" s="1296"/>
      <c r="D300" s="1296"/>
      <c r="E300" s="1312"/>
      <c r="F300" s="1076"/>
      <c r="G300" s="1076"/>
      <c r="H300" s="1294"/>
      <c r="I300" s="1067"/>
      <c r="J300" s="1267"/>
      <c r="K300" s="1267"/>
      <c r="L300" s="1258"/>
      <c r="M300" s="1334"/>
      <c r="N300" s="1267"/>
      <c r="O300" s="1267"/>
      <c r="P300" s="1267"/>
      <c r="Q300" s="1267"/>
      <c r="R300" s="1258"/>
      <c r="S300" s="1349"/>
      <c r="T300" s="1314"/>
      <c r="U300" s="57">
        <v>0</v>
      </c>
      <c r="V300" s="898"/>
      <c r="W300" s="888" t="s">
        <v>7</v>
      </c>
      <c r="X300" s="1267"/>
      <c r="Y300" s="1258"/>
      <c r="Z300" s="888">
        <v>3150000</v>
      </c>
      <c r="AA300" s="1267"/>
      <c r="AB300" s="1267"/>
      <c r="AC300" s="1267"/>
      <c r="AD300" s="1267"/>
      <c r="AE300" s="1267"/>
      <c r="AF300" s="1203"/>
      <c r="AG300" s="1204"/>
      <c r="AH300" s="1259"/>
      <c r="AI300" s="1204"/>
    </row>
    <row r="301" spans="1:35" s="10" customFormat="1" ht="15" customHeight="1">
      <c r="A301" s="1296"/>
      <c r="B301" s="1076"/>
      <c r="C301" s="1296"/>
      <c r="D301" s="1296"/>
      <c r="E301" s="823" t="s">
        <v>171</v>
      </c>
      <c r="F301" s="1076"/>
      <c r="G301" s="1076"/>
      <c r="H301" s="171">
        <v>200</v>
      </c>
      <c r="I301" s="889" t="s">
        <v>7</v>
      </c>
      <c r="J301" s="888">
        <v>1380000</v>
      </c>
      <c r="K301" s="888">
        <v>1380000</v>
      </c>
      <c r="L301" s="1258"/>
      <c r="M301" s="893">
        <v>40779</v>
      </c>
      <c r="N301" s="888">
        <v>1380000</v>
      </c>
      <c r="O301" s="888">
        <v>1380000</v>
      </c>
      <c r="P301" s="888">
        <v>0</v>
      </c>
      <c r="Q301" s="888">
        <v>1380000</v>
      </c>
      <c r="R301" s="1258"/>
      <c r="S301" s="1349"/>
      <c r="T301" s="172"/>
      <c r="U301" s="57">
        <v>0</v>
      </c>
      <c r="V301" s="899"/>
      <c r="W301" s="888" t="s">
        <v>7</v>
      </c>
      <c r="X301" s="888">
        <v>0</v>
      </c>
      <c r="Y301" s="1258"/>
      <c r="Z301" s="888">
        <v>1380000</v>
      </c>
      <c r="AA301" s="888"/>
      <c r="AB301" s="888">
        <v>1380000</v>
      </c>
      <c r="AC301" s="888">
        <v>0</v>
      </c>
      <c r="AD301" s="888">
        <v>0</v>
      </c>
      <c r="AE301" s="888">
        <v>0</v>
      </c>
      <c r="AF301" s="1203"/>
      <c r="AG301" s="1204"/>
      <c r="AH301" s="1259"/>
      <c r="AI301" s="1204"/>
    </row>
    <row r="302" spans="1:35" s="4" customFormat="1" ht="15" customHeight="1">
      <c r="A302" s="1011" t="s">
        <v>2079</v>
      </c>
      <c r="B302" s="1011" t="s">
        <v>2070</v>
      </c>
      <c r="C302" s="1011" t="s">
        <v>72</v>
      </c>
      <c r="D302" s="1011" t="s">
        <v>70</v>
      </c>
      <c r="E302" s="1011" t="s">
        <v>66</v>
      </c>
      <c r="F302" s="1011" t="s">
        <v>49</v>
      </c>
      <c r="G302" s="1011" t="s">
        <v>2082</v>
      </c>
      <c r="H302" s="1009">
        <v>76</v>
      </c>
      <c r="I302" s="1065" t="s">
        <v>137</v>
      </c>
      <c r="J302" s="1100">
        <v>1360000</v>
      </c>
      <c r="K302" s="1100">
        <v>3400000</v>
      </c>
      <c r="L302" s="1100">
        <v>24086400</v>
      </c>
      <c r="M302" s="1132">
        <v>40413</v>
      </c>
      <c r="N302" s="874"/>
      <c r="O302" s="875"/>
      <c r="P302" s="875"/>
      <c r="Q302" s="1100">
        <v>1360000</v>
      </c>
      <c r="R302" s="1100">
        <v>24086400</v>
      </c>
      <c r="S302" s="1011"/>
      <c r="T302" s="840" t="s">
        <v>2071</v>
      </c>
      <c r="U302" s="83">
        <v>1360000</v>
      </c>
      <c r="V302" s="855">
        <v>40444</v>
      </c>
      <c r="W302" s="1065" t="s">
        <v>137</v>
      </c>
      <c r="X302" s="1023">
        <v>2176000</v>
      </c>
      <c r="Y302" s="1023">
        <v>22420160</v>
      </c>
      <c r="Z302" s="1023">
        <v>0</v>
      </c>
      <c r="AA302" s="1023">
        <v>0</v>
      </c>
      <c r="AB302" s="1023">
        <v>0</v>
      </c>
      <c r="AC302" s="1023">
        <v>0</v>
      </c>
      <c r="AD302" s="1023"/>
      <c r="AE302" s="1023"/>
      <c r="AF302" s="1023"/>
      <c r="AG302" s="1023" t="s">
        <v>2083</v>
      </c>
      <c r="AH302" s="1103" t="s">
        <v>195</v>
      </c>
      <c r="AI302" s="1103" t="s">
        <v>1911</v>
      </c>
    </row>
    <row r="303" spans="1:35" s="4" customFormat="1" ht="15" customHeight="1">
      <c r="A303" s="1033"/>
      <c r="B303" s="1033"/>
      <c r="C303" s="1033"/>
      <c r="D303" s="1033"/>
      <c r="E303" s="1033"/>
      <c r="F303" s="1033"/>
      <c r="G303" s="1033"/>
      <c r="H303" s="1039"/>
      <c r="I303" s="1066"/>
      <c r="J303" s="1101"/>
      <c r="K303" s="1101"/>
      <c r="L303" s="1101"/>
      <c r="M303" s="1133"/>
      <c r="N303" s="874"/>
      <c r="O303" s="875"/>
      <c r="P303" s="875"/>
      <c r="Q303" s="1102"/>
      <c r="R303" s="1101"/>
      <c r="S303" s="1033"/>
      <c r="T303" s="840" t="s">
        <v>2072</v>
      </c>
      <c r="U303" s="83">
        <v>816000</v>
      </c>
      <c r="V303" s="855">
        <v>41290</v>
      </c>
      <c r="W303" s="1066"/>
      <c r="X303" s="1024"/>
      <c r="Y303" s="1124"/>
      <c r="Z303" s="1124"/>
      <c r="AA303" s="1124"/>
      <c r="AB303" s="1124"/>
      <c r="AC303" s="1124"/>
      <c r="AD303" s="1124"/>
      <c r="AE303" s="1124"/>
      <c r="AF303" s="1124"/>
      <c r="AG303" s="1124"/>
      <c r="AH303" s="1104"/>
      <c r="AI303" s="1104"/>
    </row>
    <row r="304" spans="1:35" s="4" customFormat="1" ht="15" customHeight="1">
      <c r="A304" s="1033"/>
      <c r="B304" s="1033"/>
      <c r="C304" s="1033"/>
      <c r="D304" s="1033"/>
      <c r="E304" s="1033"/>
      <c r="F304" s="1033"/>
      <c r="G304" s="1033"/>
      <c r="H304" s="1039"/>
      <c r="I304" s="1065" t="s">
        <v>7</v>
      </c>
      <c r="J304" s="1100">
        <v>2040000</v>
      </c>
      <c r="K304" s="1101"/>
      <c r="L304" s="1101"/>
      <c r="M304" s="1133"/>
      <c r="N304" s="874"/>
      <c r="O304" s="875"/>
      <c r="P304" s="875"/>
      <c r="Q304" s="1100">
        <v>2040000</v>
      </c>
      <c r="R304" s="1101"/>
      <c r="S304" s="1033"/>
      <c r="T304" s="840" t="s">
        <v>2072</v>
      </c>
      <c r="U304" s="83">
        <v>1020000</v>
      </c>
      <c r="V304" s="855">
        <v>41290</v>
      </c>
      <c r="W304" s="1065" t="s">
        <v>7</v>
      </c>
      <c r="X304" s="1023">
        <v>1020000</v>
      </c>
      <c r="Y304" s="1124"/>
      <c r="Z304" s="1124"/>
      <c r="AA304" s="1124"/>
      <c r="AB304" s="1124"/>
      <c r="AC304" s="1124"/>
      <c r="AD304" s="1124"/>
      <c r="AE304" s="1124"/>
      <c r="AF304" s="1124"/>
      <c r="AG304" s="1124"/>
      <c r="AH304" s="1104"/>
      <c r="AI304" s="1104"/>
    </row>
    <row r="305" spans="1:35" s="4" customFormat="1" ht="15" customHeight="1">
      <c r="A305" s="1033"/>
      <c r="B305" s="1033"/>
      <c r="C305" s="1033"/>
      <c r="D305" s="1033"/>
      <c r="E305" s="1033"/>
      <c r="F305" s="1033"/>
      <c r="G305" s="1033"/>
      <c r="H305" s="1010"/>
      <c r="I305" s="1066"/>
      <c r="J305" s="1101"/>
      <c r="K305" s="1102"/>
      <c r="L305" s="1101"/>
      <c r="M305" s="1134"/>
      <c r="N305" s="874"/>
      <c r="O305" s="875"/>
      <c r="P305" s="875"/>
      <c r="Q305" s="1102">
        <v>0</v>
      </c>
      <c r="R305" s="1101"/>
      <c r="S305" s="1033"/>
      <c r="T305" s="840"/>
      <c r="U305" s="83"/>
      <c r="V305" s="855"/>
      <c r="W305" s="1066"/>
      <c r="X305" s="1024"/>
      <c r="Y305" s="1124"/>
      <c r="Z305" s="1124"/>
      <c r="AA305" s="1124"/>
      <c r="AB305" s="1124"/>
      <c r="AC305" s="1124"/>
      <c r="AD305" s="1124"/>
      <c r="AE305" s="1124"/>
      <c r="AF305" s="1124"/>
      <c r="AG305" s="1124"/>
      <c r="AH305" s="1104"/>
      <c r="AI305" s="1104"/>
    </row>
    <row r="306" spans="1:35" s="4" customFormat="1" ht="15" customHeight="1">
      <c r="A306" s="1033"/>
      <c r="B306" s="1033"/>
      <c r="C306" s="1033"/>
      <c r="D306" s="1033"/>
      <c r="E306" s="1033"/>
      <c r="F306" s="1033"/>
      <c r="G306" s="1033"/>
      <c r="H306" s="1009">
        <v>77</v>
      </c>
      <c r="I306" s="1065" t="s">
        <v>137</v>
      </c>
      <c r="J306" s="1100">
        <v>1216000</v>
      </c>
      <c r="K306" s="1100">
        <v>3040000</v>
      </c>
      <c r="L306" s="1101"/>
      <c r="M306" s="1132">
        <v>40413</v>
      </c>
      <c r="N306" s="874"/>
      <c r="O306" s="875"/>
      <c r="P306" s="875"/>
      <c r="Q306" s="1100">
        <v>1216000</v>
      </c>
      <c r="R306" s="1101"/>
      <c r="S306" s="1033"/>
      <c r="T306" s="840" t="s">
        <v>2071</v>
      </c>
      <c r="U306" s="83">
        <v>1216000</v>
      </c>
      <c r="V306" s="855">
        <v>40444</v>
      </c>
      <c r="W306" s="1065" t="s">
        <v>137</v>
      </c>
      <c r="X306" s="1023">
        <v>1945600</v>
      </c>
      <c r="Y306" s="1124"/>
      <c r="Z306" s="1124"/>
      <c r="AA306" s="1124"/>
      <c r="AB306" s="1124"/>
      <c r="AC306" s="1124"/>
      <c r="AD306" s="1124"/>
      <c r="AE306" s="1124"/>
      <c r="AF306" s="1124"/>
      <c r="AG306" s="1124"/>
      <c r="AH306" s="1104"/>
      <c r="AI306" s="1104"/>
    </row>
    <row r="307" spans="1:35" s="4" customFormat="1" ht="15" customHeight="1">
      <c r="A307" s="1033"/>
      <c r="B307" s="1033"/>
      <c r="C307" s="1033"/>
      <c r="D307" s="1033"/>
      <c r="E307" s="1033"/>
      <c r="F307" s="1033"/>
      <c r="G307" s="1033"/>
      <c r="H307" s="1039"/>
      <c r="I307" s="1066"/>
      <c r="J307" s="1101"/>
      <c r="K307" s="1101"/>
      <c r="L307" s="1101"/>
      <c r="M307" s="1133"/>
      <c r="N307" s="874"/>
      <c r="O307" s="875"/>
      <c r="P307" s="875"/>
      <c r="Q307" s="1102">
        <v>0</v>
      </c>
      <c r="R307" s="1101"/>
      <c r="S307" s="1033"/>
      <c r="T307" s="840" t="s">
        <v>2072</v>
      </c>
      <c r="U307" s="83">
        <v>729600</v>
      </c>
      <c r="V307" s="855">
        <v>41290</v>
      </c>
      <c r="W307" s="1066"/>
      <c r="X307" s="1024"/>
      <c r="Y307" s="1124"/>
      <c r="Z307" s="1124"/>
      <c r="AA307" s="1124"/>
      <c r="AB307" s="1124"/>
      <c r="AC307" s="1124"/>
      <c r="AD307" s="1124"/>
      <c r="AE307" s="1124"/>
      <c r="AF307" s="1124"/>
      <c r="AG307" s="1124"/>
      <c r="AH307" s="1104"/>
      <c r="AI307" s="1104"/>
    </row>
    <row r="308" spans="1:35" s="4" customFormat="1" ht="15" customHeight="1">
      <c r="A308" s="1033"/>
      <c r="B308" s="1033"/>
      <c r="C308" s="1033"/>
      <c r="D308" s="1033"/>
      <c r="E308" s="1033"/>
      <c r="F308" s="1033"/>
      <c r="G308" s="1033"/>
      <c r="H308" s="1039"/>
      <c r="I308" s="1065" t="s">
        <v>7</v>
      </c>
      <c r="J308" s="1100">
        <v>1824000</v>
      </c>
      <c r="K308" s="1101"/>
      <c r="L308" s="1101"/>
      <c r="M308" s="1133"/>
      <c r="N308" s="874"/>
      <c r="O308" s="875"/>
      <c r="P308" s="875"/>
      <c r="Q308" s="1100">
        <v>1824000</v>
      </c>
      <c r="R308" s="1101"/>
      <c r="S308" s="1033"/>
      <c r="T308" s="840" t="s">
        <v>2073</v>
      </c>
      <c r="U308" s="83">
        <v>912000</v>
      </c>
      <c r="V308" s="855">
        <v>41290</v>
      </c>
      <c r="W308" s="1065" t="s">
        <v>7</v>
      </c>
      <c r="X308" s="1023">
        <v>912000</v>
      </c>
      <c r="Y308" s="1124"/>
      <c r="Z308" s="1124"/>
      <c r="AA308" s="1124"/>
      <c r="AB308" s="1124"/>
      <c r="AC308" s="1124"/>
      <c r="AD308" s="1124"/>
      <c r="AE308" s="1124"/>
      <c r="AF308" s="1124"/>
      <c r="AG308" s="1124"/>
      <c r="AH308" s="1104"/>
      <c r="AI308" s="1104"/>
    </row>
    <row r="309" spans="1:35" s="4" customFormat="1" ht="15" customHeight="1">
      <c r="A309" s="1033"/>
      <c r="B309" s="1033"/>
      <c r="C309" s="1033"/>
      <c r="D309" s="1033"/>
      <c r="E309" s="1033"/>
      <c r="F309" s="1033"/>
      <c r="G309" s="1033"/>
      <c r="H309" s="1010"/>
      <c r="I309" s="1066"/>
      <c r="J309" s="1101"/>
      <c r="K309" s="1102"/>
      <c r="L309" s="1101"/>
      <c r="M309" s="1134"/>
      <c r="N309" s="874"/>
      <c r="O309" s="875"/>
      <c r="P309" s="875"/>
      <c r="Q309" s="1102">
        <v>0</v>
      </c>
      <c r="R309" s="1101"/>
      <c r="S309" s="1033"/>
      <c r="T309" s="840"/>
      <c r="U309" s="83"/>
      <c r="V309" s="855"/>
      <c r="W309" s="1066"/>
      <c r="X309" s="1024"/>
      <c r="Y309" s="1124"/>
      <c r="Z309" s="1124"/>
      <c r="AA309" s="1124"/>
      <c r="AB309" s="1124"/>
      <c r="AC309" s="1124"/>
      <c r="AD309" s="1124"/>
      <c r="AE309" s="1124"/>
      <c r="AF309" s="1124"/>
      <c r="AG309" s="1124"/>
      <c r="AH309" s="1104"/>
      <c r="AI309" s="1104"/>
    </row>
    <row r="310" spans="1:35" s="4" customFormat="1" ht="15" customHeight="1">
      <c r="A310" s="1033"/>
      <c r="B310" s="1033"/>
      <c r="C310" s="1033"/>
      <c r="D310" s="1033"/>
      <c r="E310" s="1033"/>
      <c r="F310" s="1033"/>
      <c r="G310" s="1033"/>
      <c r="H310" s="1009">
        <v>78</v>
      </c>
      <c r="I310" s="1065" t="s">
        <v>137</v>
      </c>
      <c r="J310" s="1100">
        <v>1216000</v>
      </c>
      <c r="K310" s="1100">
        <v>3040000</v>
      </c>
      <c r="L310" s="1101"/>
      <c r="M310" s="1132">
        <v>40413</v>
      </c>
      <c r="N310" s="874"/>
      <c r="O310" s="875"/>
      <c r="P310" s="875"/>
      <c r="Q310" s="1100">
        <v>1216000</v>
      </c>
      <c r="R310" s="1101"/>
      <c r="S310" s="1033"/>
      <c r="T310" s="840" t="s">
        <v>2071</v>
      </c>
      <c r="U310" s="83">
        <v>1216000</v>
      </c>
      <c r="V310" s="855">
        <v>40444</v>
      </c>
      <c r="W310" s="1065" t="s">
        <v>137</v>
      </c>
      <c r="X310" s="1023">
        <v>1945600</v>
      </c>
      <c r="Y310" s="1124"/>
      <c r="Z310" s="1124"/>
      <c r="AA310" s="1124"/>
      <c r="AB310" s="1124"/>
      <c r="AC310" s="1124"/>
      <c r="AD310" s="1124"/>
      <c r="AE310" s="1124"/>
      <c r="AF310" s="1124"/>
      <c r="AG310" s="1124"/>
      <c r="AH310" s="1104"/>
      <c r="AI310" s="1104"/>
    </row>
    <row r="311" spans="1:35" s="4" customFormat="1" ht="15" customHeight="1">
      <c r="A311" s="1033"/>
      <c r="B311" s="1033"/>
      <c r="C311" s="1033"/>
      <c r="D311" s="1033"/>
      <c r="E311" s="1033"/>
      <c r="F311" s="1033"/>
      <c r="G311" s="1033"/>
      <c r="H311" s="1039"/>
      <c r="I311" s="1066"/>
      <c r="J311" s="1101"/>
      <c r="K311" s="1101"/>
      <c r="L311" s="1101"/>
      <c r="M311" s="1133"/>
      <c r="N311" s="874"/>
      <c r="O311" s="875"/>
      <c r="P311" s="875"/>
      <c r="Q311" s="1102">
        <v>0</v>
      </c>
      <c r="R311" s="1101"/>
      <c r="S311" s="1033"/>
      <c r="T311" s="840" t="s">
        <v>2072</v>
      </c>
      <c r="U311" s="83">
        <v>729600</v>
      </c>
      <c r="V311" s="855">
        <v>41290</v>
      </c>
      <c r="W311" s="1066"/>
      <c r="X311" s="1024"/>
      <c r="Y311" s="1124"/>
      <c r="Z311" s="1124"/>
      <c r="AA311" s="1124"/>
      <c r="AB311" s="1124"/>
      <c r="AC311" s="1124"/>
      <c r="AD311" s="1124"/>
      <c r="AE311" s="1124"/>
      <c r="AF311" s="1124"/>
      <c r="AG311" s="1124"/>
      <c r="AH311" s="1104"/>
      <c r="AI311" s="1104"/>
    </row>
    <row r="312" spans="1:35" s="4" customFormat="1" ht="15" customHeight="1">
      <c r="A312" s="1033"/>
      <c r="B312" s="1033"/>
      <c r="C312" s="1033"/>
      <c r="D312" s="1033"/>
      <c r="E312" s="1033"/>
      <c r="F312" s="1033"/>
      <c r="G312" s="1033"/>
      <c r="H312" s="1039"/>
      <c r="I312" s="1065" t="s">
        <v>7</v>
      </c>
      <c r="J312" s="1100">
        <v>1824000</v>
      </c>
      <c r="K312" s="1101"/>
      <c r="L312" s="1101"/>
      <c r="M312" s="1133"/>
      <c r="N312" s="874"/>
      <c r="O312" s="875"/>
      <c r="P312" s="875"/>
      <c r="Q312" s="1100">
        <v>1824000</v>
      </c>
      <c r="R312" s="1101"/>
      <c r="S312" s="1033"/>
      <c r="T312" s="840" t="s">
        <v>2072</v>
      </c>
      <c r="U312" s="83">
        <v>912000</v>
      </c>
      <c r="V312" s="855">
        <v>41290</v>
      </c>
      <c r="W312" s="1065" t="s">
        <v>7</v>
      </c>
      <c r="X312" s="1023">
        <v>912000</v>
      </c>
      <c r="Y312" s="1124"/>
      <c r="Z312" s="1124"/>
      <c r="AA312" s="1124"/>
      <c r="AB312" s="1124"/>
      <c r="AC312" s="1124"/>
      <c r="AD312" s="1124"/>
      <c r="AE312" s="1124"/>
      <c r="AF312" s="1124"/>
      <c r="AG312" s="1124"/>
      <c r="AH312" s="1104"/>
      <c r="AI312" s="1104"/>
    </row>
    <row r="313" spans="1:35" s="4" customFormat="1" ht="15" customHeight="1">
      <c r="A313" s="1033"/>
      <c r="B313" s="1033"/>
      <c r="C313" s="1033"/>
      <c r="D313" s="1033"/>
      <c r="E313" s="1033"/>
      <c r="F313" s="1033"/>
      <c r="G313" s="1033"/>
      <c r="H313" s="1010"/>
      <c r="I313" s="1066"/>
      <c r="J313" s="1101"/>
      <c r="K313" s="1102"/>
      <c r="L313" s="1101"/>
      <c r="M313" s="1134"/>
      <c r="N313" s="874"/>
      <c r="O313" s="875"/>
      <c r="P313" s="875"/>
      <c r="Q313" s="1102">
        <v>0</v>
      </c>
      <c r="R313" s="1101"/>
      <c r="S313" s="1033"/>
      <c r="T313" s="840"/>
      <c r="U313" s="83"/>
      <c r="V313" s="855"/>
      <c r="W313" s="1066"/>
      <c r="X313" s="1024"/>
      <c r="Y313" s="1124"/>
      <c r="Z313" s="1124"/>
      <c r="AA313" s="1124"/>
      <c r="AB313" s="1124"/>
      <c r="AC313" s="1124"/>
      <c r="AD313" s="1124"/>
      <c r="AE313" s="1124"/>
      <c r="AF313" s="1124"/>
      <c r="AG313" s="1124"/>
      <c r="AH313" s="1104"/>
      <c r="AI313" s="1104"/>
    </row>
    <row r="314" spans="1:35" s="4" customFormat="1" ht="15" customHeight="1">
      <c r="A314" s="1033"/>
      <c r="B314" s="1033"/>
      <c r="C314" s="1033"/>
      <c r="D314" s="1033"/>
      <c r="E314" s="1033"/>
      <c r="F314" s="1033"/>
      <c r="G314" s="1033"/>
      <c r="H314" s="1009">
        <v>79</v>
      </c>
      <c r="I314" s="1065" t="s">
        <v>137</v>
      </c>
      <c r="J314" s="1100">
        <v>1216000</v>
      </c>
      <c r="K314" s="1100">
        <v>3040000</v>
      </c>
      <c r="L314" s="1101"/>
      <c r="M314" s="1132">
        <v>40413</v>
      </c>
      <c r="N314" s="874"/>
      <c r="O314" s="875"/>
      <c r="P314" s="875"/>
      <c r="Q314" s="1100">
        <v>1216000</v>
      </c>
      <c r="R314" s="1101"/>
      <c r="S314" s="1033"/>
      <c r="T314" s="840" t="s">
        <v>2074</v>
      </c>
      <c r="U314" s="83">
        <v>814720</v>
      </c>
      <c r="V314" s="855">
        <v>40473</v>
      </c>
      <c r="W314" s="1065" t="s">
        <v>137</v>
      </c>
      <c r="X314" s="1023">
        <v>1544320</v>
      </c>
      <c r="Y314" s="1124"/>
      <c r="Z314" s="1124"/>
      <c r="AA314" s="1124"/>
      <c r="AB314" s="1124"/>
      <c r="AC314" s="1124"/>
      <c r="AD314" s="1124"/>
      <c r="AE314" s="1124"/>
      <c r="AF314" s="1124"/>
      <c r="AG314" s="1124"/>
      <c r="AH314" s="1104"/>
      <c r="AI314" s="1104"/>
    </row>
    <row r="315" spans="1:35" s="4" customFormat="1" ht="15" customHeight="1">
      <c r="A315" s="1033"/>
      <c r="B315" s="1033"/>
      <c r="C315" s="1033"/>
      <c r="D315" s="1033"/>
      <c r="E315" s="1033"/>
      <c r="F315" s="1033"/>
      <c r="G315" s="1033"/>
      <c r="H315" s="1039"/>
      <c r="I315" s="1066"/>
      <c r="J315" s="1101"/>
      <c r="K315" s="1101"/>
      <c r="L315" s="1101"/>
      <c r="M315" s="1133"/>
      <c r="N315" s="874"/>
      <c r="O315" s="875"/>
      <c r="P315" s="875"/>
      <c r="Q315" s="1102">
        <v>0</v>
      </c>
      <c r="R315" s="1101"/>
      <c r="S315" s="1033"/>
      <c r="T315" s="840" t="s">
        <v>2075</v>
      </c>
      <c r="U315" s="83">
        <v>729600</v>
      </c>
      <c r="V315" s="855">
        <v>41467</v>
      </c>
      <c r="W315" s="1066"/>
      <c r="X315" s="1024"/>
      <c r="Y315" s="1124"/>
      <c r="Z315" s="1124"/>
      <c r="AA315" s="1124"/>
      <c r="AB315" s="1124"/>
      <c r="AC315" s="1124"/>
      <c r="AD315" s="1124"/>
      <c r="AE315" s="1124"/>
      <c r="AF315" s="1124"/>
      <c r="AG315" s="1124"/>
      <c r="AH315" s="1104"/>
      <c r="AI315" s="1104"/>
    </row>
    <row r="316" spans="1:35" s="4" customFormat="1" ht="15" customHeight="1">
      <c r="A316" s="1033"/>
      <c r="B316" s="1033"/>
      <c r="C316" s="1033"/>
      <c r="D316" s="1033"/>
      <c r="E316" s="1033"/>
      <c r="F316" s="1033"/>
      <c r="G316" s="1033"/>
      <c r="H316" s="1039"/>
      <c r="I316" s="1065" t="s">
        <v>7</v>
      </c>
      <c r="J316" s="1100">
        <v>1824000</v>
      </c>
      <c r="K316" s="1101"/>
      <c r="L316" s="1101"/>
      <c r="M316" s="1133"/>
      <c r="N316" s="874"/>
      <c r="O316" s="875"/>
      <c r="P316" s="875"/>
      <c r="Q316" s="1100">
        <v>1824000</v>
      </c>
      <c r="R316" s="1101"/>
      <c r="S316" s="1033"/>
      <c r="T316" s="840" t="s">
        <v>2074</v>
      </c>
      <c r="U316" s="83">
        <v>401280</v>
      </c>
      <c r="V316" s="855">
        <v>40473</v>
      </c>
      <c r="W316" s="1065" t="s">
        <v>7</v>
      </c>
      <c r="X316" s="1023">
        <v>1495680</v>
      </c>
      <c r="Y316" s="1124"/>
      <c r="Z316" s="1124"/>
      <c r="AA316" s="1124"/>
      <c r="AB316" s="1124"/>
      <c r="AC316" s="1124"/>
      <c r="AD316" s="1124"/>
      <c r="AE316" s="1124"/>
      <c r="AF316" s="1124"/>
      <c r="AG316" s="1124"/>
      <c r="AH316" s="1104"/>
      <c r="AI316" s="1104"/>
    </row>
    <row r="317" spans="1:35" s="4" customFormat="1" ht="15" customHeight="1">
      <c r="A317" s="1033"/>
      <c r="B317" s="1033"/>
      <c r="C317" s="1033"/>
      <c r="D317" s="1033"/>
      <c r="E317" s="1033"/>
      <c r="F317" s="1033"/>
      <c r="G317" s="1033"/>
      <c r="H317" s="1010"/>
      <c r="I317" s="1066"/>
      <c r="J317" s="1101"/>
      <c r="K317" s="1102"/>
      <c r="L317" s="1101"/>
      <c r="M317" s="1134"/>
      <c r="N317" s="874"/>
      <c r="O317" s="875"/>
      <c r="P317" s="875"/>
      <c r="Q317" s="1102">
        <v>0</v>
      </c>
      <c r="R317" s="1101"/>
      <c r="S317" s="1033"/>
      <c r="T317" s="840" t="s">
        <v>2076</v>
      </c>
      <c r="U317" s="83">
        <v>1094400</v>
      </c>
      <c r="V317" s="855">
        <v>41467</v>
      </c>
      <c r="W317" s="1066"/>
      <c r="X317" s="1024"/>
      <c r="Y317" s="1124"/>
      <c r="Z317" s="1124"/>
      <c r="AA317" s="1124"/>
      <c r="AB317" s="1124"/>
      <c r="AC317" s="1124"/>
      <c r="AD317" s="1124"/>
      <c r="AE317" s="1124"/>
      <c r="AF317" s="1124"/>
      <c r="AG317" s="1124"/>
      <c r="AH317" s="1104"/>
      <c r="AI317" s="1104"/>
    </row>
    <row r="318" spans="1:35" s="4" customFormat="1" ht="15" customHeight="1">
      <c r="A318" s="1033"/>
      <c r="B318" s="1033"/>
      <c r="C318" s="1033"/>
      <c r="D318" s="1033"/>
      <c r="E318" s="1033"/>
      <c r="F318" s="1033"/>
      <c r="G318" s="1033"/>
      <c r="H318" s="1009">
        <v>80</v>
      </c>
      <c r="I318" s="1065" t="s">
        <v>137</v>
      </c>
      <c r="J318" s="1100">
        <v>1200000</v>
      </c>
      <c r="K318" s="1100">
        <v>3000000</v>
      </c>
      <c r="L318" s="1101"/>
      <c r="M318" s="1132">
        <v>40413</v>
      </c>
      <c r="N318" s="874"/>
      <c r="O318" s="875"/>
      <c r="P318" s="875"/>
      <c r="Q318" s="1100">
        <v>1200000</v>
      </c>
      <c r="R318" s="1101"/>
      <c r="S318" s="1033"/>
      <c r="T318" s="840" t="s">
        <v>2071</v>
      </c>
      <c r="U318" s="83">
        <v>1200000</v>
      </c>
      <c r="V318" s="855">
        <v>40444</v>
      </c>
      <c r="W318" s="1065" t="s">
        <v>137</v>
      </c>
      <c r="X318" s="1023">
        <v>1848000</v>
      </c>
      <c r="Y318" s="1124"/>
      <c r="Z318" s="1124"/>
      <c r="AA318" s="1124"/>
      <c r="AB318" s="1124"/>
      <c r="AC318" s="1124"/>
      <c r="AD318" s="1124"/>
      <c r="AE318" s="1124"/>
      <c r="AF318" s="1124"/>
      <c r="AG318" s="1124"/>
      <c r="AH318" s="1104"/>
      <c r="AI318" s="1104"/>
    </row>
    <row r="319" spans="1:35" s="4" customFormat="1" ht="15" customHeight="1">
      <c r="A319" s="1033"/>
      <c r="B319" s="1033"/>
      <c r="C319" s="1033"/>
      <c r="D319" s="1033"/>
      <c r="E319" s="1033"/>
      <c r="F319" s="1033"/>
      <c r="G319" s="1033"/>
      <c r="H319" s="1039"/>
      <c r="I319" s="1066"/>
      <c r="J319" s="1101"/>
      <c r="K319" s="1101"/>
      <c r="L319" s="1101"/>
      <c r="M319" s="1133"/>
      <c r="N319" s="874"/>
      <c r="O319" s="875"/>
      <c r="P319" s="875"/>
      <c r="Q319" s="1102">
        <v>0</v>
      </c>
      <c r="R319" s="1101"/>
      <c r="S319" s="1033"/>
      <c r="T319" s="840" t="s">
        <v>2077</v>
      </c>
      <c r="U319" s="83">
        <v>648000</v>
      </c>
      <c r="V319" s="855">
        <v>41292</v>
      </c>
      <c r="W319" s="1066"/>
      <c r="X319" s="1024"/>
      <c r="Y319" s="1124"/>
      <c r="Z319" s="1124"/>
      <c r="AA319" s="1124"/>
      <c r="AB319" s="1124"/>
      <c r="AC319" s="1124"/>
      <c r="AD319" s="1124"/>
      <c r="AE319" s="1124"/>
      <c r="AF319" s="1124"/>
      <c r="AG319" s="1124"/>
      <c r="AH319" s="1104"/>
      <c r="AI319" s="1104"/>
    </row>
    <row r="320" spans="1:35" s="4" customFormat="1" ht="15" customHeight="1">
      <c r="A320" s="1033"/>
      <c r="B320" s="1033"/>
      <c r="C320" s="1033"/>
      <c r="D320" s="1033"/>
      <c r="E320" s="1033"/>
      <c r="F320" s="1033"/>
      <c r="G320" s="1033"/>
      <c r="H320" s="1039"/>
      <c r="I320" s="1065" t="s">
        <v>7</v>
      </c>
      <c r="J320" s="1100">
        <v>1800000</v>
      </c>
      <c r="K320" s="1101"/>
      <c r="L320" s="1101"/>
      <c r="M320" s="1133"/>
      <c r="N320" s="874"/>
      <c r="O320" s="875"/>
      <c r="P320" s="875"/>
      <c r="Q320" s="1100">
        <v>1800000</v>
      </c>
      <c r="R320" s="1101"/>
      <c r="S320" s="1033"/>
      <c r="T320" s="840" t="s">
        <v>2078</v>
      </c>
      <c r="U320" s="83">
        <v>972000</v>
      </c>
      <c r="V320" s="855">
        <v>41292</v>
      </c>
      <c r="W320" s="1065" t="s">
        <v>7</v>
      </c>
      <c r="X320" s="1023">
        <v>972000</v>
      </c>
      <c r="Y320" s="1124"/>
      <c r="Z320" s="1124"/>
      <c r="AA320" s="1124"/>
      <c r="AB320" s="1124"/>
      <c r="AC320" s="1124"/>
      <c r="AD320" s="1124"/>
      <c r="AE320" s="1124"/>
      <c r="AF320" s="1124"/>
      <c r="AG320" s="1124"/>
      <c r="AH320" s="1104"/>
      <c r="AI320" s="1104"/>
    </row>
    <row r="321" spans="1:40" s="4" customFormat="1" ht="15" customHeight="1">
      <c r="A321" s="1033"/>
      <c r="B321" s="1033"/>
      <c r="C321" s="1033"/>
      <c r="D321" s="1033"/>
      <c r="E321" s="1033"/>
      <c r="F321" s="1033"/>
      <c r="G321" s="1033"/>
      <c r="H321" s="1010"/>
      <c r="I321" s="1066"/>
      <c r="J321" s="1101"/>
      <c r="K321" s="1102"/>
      <c r="L321" s="1101"/>
      <c r="M321" s="1134"/>
      <c r="N321" s="874"/>
      <c r="O321" s="875"/>
      <c r="P321" s="875"/>
      <c r="Q321" s="1102">
        <v>0</v>
      </c>
      <c r="R321" s="1101"/>
      <c r="S321" s="1033"/>
      <c r="T321" s="840"/>
      <c r="U321" s="83"/>
      <c r="V321" s="855"/>
      <c r="W321" s="1066"/>
      <c r="X321" s="1024"/>
      <c r="Y321" s="1124"/>
      <c r="Z321" s="1124"/>
      <c r="AA321" s="1124"/>
      <c r="AB321" s="1124"/>
      <c r="AC321" s="1124"/>
      <c r="AD321" s="1124"/>
      <c r="AE321" s="1124"/>
      <c r="AF321" s="1124"/>
      <c r="AG321" s="1124"/>
      <c r="AH321" s="1104"/>
      <c r="AI321" s="1104"/>
    </row>
    <row r="322" spans="1:40" s="4" customFormat="1" ht="15" customHeight="1">
      <c r="A322" s="1033"/>
      <c r="B322" s="1033"/>
      <c r="C322" s="1033"/>
      <c r="D322" s="1033"/>
      <c r="E322" s="1033"/>
      <c r="F322" s="1033"/>
      <c r="G322" s="1033"/>
      <c r="H322" s="1009">
        <v>83</v>
      </c>
      <c r="I322" s="1065" t="s">
        <v>137</v>
      </c>
      <c r="J322" s="1100">
        <v>1216000</v>
      </c>
      <c r="K322" s="1100">
        <v>3040000</v>
      </c>
      <c r="L322" s="1101"/>
      <c r="M322" s="1132">
        <v>40413</v>
      </c>
      <c r="N322" s="874"/>
      <c r="O322" s="875"/>
      <c r="P322" s="875"/>
      <c r="Q322" s="1100">
        <v>1216000</v>
      </c>
      <c r="R322" s="1101"/>
      <c r="S322" s="1033"/>
      <c r="T322" s="840" t="s">
        <v>2071</v>
      </c>
      <c r="U322" s="83">
        <v>1216000</v>
      </c>
      <c r="V322" s="855">
        <v>40444</v>
      </c>
      <c r="W322" s="1065" t="s">
        <v>137</v>
      </c>
      <c r="X322" s="1023">
        <v>1945600</v>
      </c>
      <c r="Y322" s="1124"/>
      <c r="Z322" s="1124"/>
      <c r="AA322" s="1124"/>
      <c r="AB322" s="1124"/>
      <c r="AC322" s="1124"/>
      <c r="AD322" s="1124"/>
      <c r="AE322" s="1124"/>
      <c r="AF322" s="1124"/>
      <c r="AG322" s="1124"/>
      <c r="AH322" s="1104"/>
      <c r="AI322" s="1104"/>
    </row>
    <row r="323" spans="1:40" s="4" customFormat="1" ht="15" customHeight="1">
      <c r="A323" s="1033"/>
      <c r="B323" s="1033"/>
      <c r="C323" s="1033"/>
      <c r="D323" s="1033"/>
      <c r="E323" s="1033"/>
      <c r="F323" s="1033"/>
      <c r="G323" s="1033"/>
      <c r="H323" s="1039"/>
      <c r="I323" s="1066"/>
      <c r="J323" s="1101"/>
      <c r="K323" s="1101"/>
      <c r="L323" s="1101"/>
      <c r="M323" s="1133"/>
      <c r="N323" s="874"/>
      <c r="O323" s="875"/>
      <c r="P323" s="875"/>
      <c r="Q323" s="1102">
        <v>0</v>
      </c>
      <c r="R323" s="1101"/>
      <c r="S323" s="1033"/>
      <c r="T323" s="840" t="s">
        <v>2072</v>
      </c>
      <c r="U323" s="83">
        <v>729600</v>
      </c>
      <c r="V323" s="855">
        <v>41290</v>
      </c>
      <c r="W323" s="1066"/>
      <c r="X323" s="1024"/>
      <c r="Y323" s="1124"/>
      <c r="Z323" s="1124"/>
      <c r="AA323" s="1124"/>
      <c r="AB323" s="1124"/>
      <c r="AC323" s="1124"/>
      <c r="AD323" s="1124"/>
      <c r="AE323" s="1124"/>
      <c r="AF323" s="1124"/>
      <c r="AG323" s="1124"/>
      <c r="AH323" s="1104"/>
      <c r="AI323" s="1104"/>
    </row>
    <row r="324" spans="1:40" s="4" customFormat="1" ht="15" customHeight="1">
      <c r="A324" s="1033"/>
      <c r="B324" s="1033"/>
      <c r="C324" s="1033"/>
      <c r="D324" s="1033"/>
      <c r="E324" s="1033"/>
      <c r="F324" s="1033"/>
      <c r="G324" s="1033"/>
      <c r="H324" s="1039"/>
      <c r="I324" s="1065" t="s">
        <v>7</v>
      </c>
      <c r="J324" s="1100">
        <v>1824000</v>
      </c>
      <c r="K324" s="1101"/>
      <c r="L324" s="1101"/>
      <c r="M324" s="1133"/>
      <c r="N324" s="874"/>
      <c r="O324" s="875"/>
      <c r="P324" s="875"/>
      <c r="Q324" s="1100">
        <v>1824000</v>
      </c>
      <c r="R324" s="1101"/>
      <c r="S324" s="1033"/>
      <c r="T324" s="840" t="s">
        <v>2072</v>
      </c>
      <c r="U324" s="83">
        <v>912000</v>
      </c>
      <c r="V324" s="855">
        <v>41290</v>
      </c>
      <c r="W324" s="1065" t="s">
        <v>7</v>
      </c>
      <c r="X324" s="1023">
        <v>912000</v>
      </c>
      <c r="Y324" s="1124"/>
      <c r="Z324" s="1124"/>
      <c r="AA324" s="1124"/>
      <c r="AB324" s="1124"/>
      <c r="AC324" s="1124"/>
      <c r="AD324" s="1124"/>
      <c r="AE324" s="1124"/>
      <c r="AF324" s="1124"/>
      <c r="AG324" s="1124"/>
      <c r="AH324" s="1104"/>
      <c r="AI324" s="1104"/>
    </row>
    <row r="325" spans="1:40" s="4" customFormat="1" ht="15" customHeight="1">
      <c r="A325" s="1033"/>
      <c r="B325" s="1033"/>
      <c r="C325" s="1033"/>
      <c r="D325" s="1033"/>
      <c r="E325" s="1033"/>
      <c r="F325" s="1033"/>
      <c r="G325" s="1033"/>
      <c r="H325" s="1010"/>
      <c r="I325" s="1066"/>
      <c r="J325" s="1101"/>
      <c r="K325" s="1102"/>
      <c r="L325" s="1101"/>
      <c r="M325" s="1134"/>
      <c r="N325" s="874"/>
      <c r="O325" s="875"/>
      <c r="P325" s="875"/>
      <c r="Q325" s="1102">
        <v>0</v>
      </c>
      <c r="R325" s="1101"/>
      <c r="S325" s="1033"/>
      <c r="T325" s="840"/>
      <c r="U325" s="83"/>
      <c r="V325" s="855"/>
      <c r="W325" s="1066"/>
      <c r="X325" s="1024"/>
      <c r="Y325" s="1124"/>
      <c r="Z325" s="1124"/>
      <c r="AA325" s="1124"/>
      <c r="AB325" s="1124"/>
      <c r="AC325" s="1124"/>
      <c r="AD325" s="1124"/>
      <c r="AE325" s="1124"/>
      <c r="AF325" s="1124"/>
      <c r="AG325" s="1124"/>
      <c r="AH325" s="1104"/>
      <c r="AI325" s="1104"/>
    </row>
    <row r="326" spans="1:40" s="4" customFormat="1" ht="15" customHeight="1">
      <c r="A326" s="1033"/>
      <c r="B326" s="1033"/>
      <c r="C326" s="1033"/>
      <c r="D326" s="1033"/>
      <c r="E326" s="1012"/>
      <c r="F326" s="1033"/>
      <c r="G326" s="1033"/>
      <c r="H326" s="796">
        <v>174</v>
      </c>
      <c r="I326" s="844" t="s">
        <v>7</v>
      </c>
      <c r="J326" s="875">
        <v>2000000</v>
      </c>
      <c r="K326" s="845">
        <v>2000000</v>
      </c>
      <c r="L326" s="1101"/>
      <c r="M326" s="845">
        <v>2000000</v>
      </c>
      <c r="N326" s="874"/>
      <c r="O326" s="875"/>
      <c r="P326" s="875"/>
      <c r="Q326" s="845"/>
      <c r="R326" s="1101"/>
      <c r="S326" s="1033"/>
      <c r="T326" s="173" t="s">
        <v>115</v>
      </c>
      <c r="U326" s="83">
        <v>1617600</v>
      </c>
      <c r="V326" s="855">
        <v>41467</v>
      </c>
      <c r="W326" s="844" t="s">
        <v>7</v>
      </c>
      <c r="X326" s="853">
        <v>1617600</v>
      </c>
      <c r="Y326" s="1124"/>
      <c r="Z326" s="1124"/>
      <c r="AA326" s="1124"/>
      <c r="AB326" s="1124"/>
      <c r="AC326" s="1124"/>
      <c r="AD326" s="1124"/>
      <c r="AE326" s="1124"/>
      <c r="AF326" s="1124"/>
      <c r="AG326" s="1124"/>
      <c r="AH326" s="1104"/>
      <c r="AI326" s="1104"/>
      <c r="AJ326" s="174"/>
      <c r="AK326" s="174"/>
      <c r="AL326" s="173"/>
      <c r="AM326" s="175"/>
      <c r="AN326" s="176"/>
    </row>
    <row r="327" spans="1:40" s="4" customFormat="1" ht="15" customHeight="1">
      <c r="A327" s="1033"/>
      <c r="B327" s="1033"/>
      <c r="C327" s="1033"/>
      <c r="D327" s="1033"/>
      <c r="E327" s="1011" t="s">
        <v>67</v>
      </c>
      <c r="F327" s="1033"/>
      <c r="G327" s="1033"/>
      <c r="H327" s="1009">
        <v>199</v>
      </c>
      <c r="I327" s="1065" t="s">
        <v>7</v>
      </c>
      <c r="J327" s="1100">
        <v>1763200</v>
      </c>
      <c r="K327" s="1100">
        <v>1763200</v>
      </c>
      <c r="L327" s="1101"/>
      <c r="M327" s="1132">
        <v>40779</v>
      </c>
      <c r="N327" s="874"/>
      <c r="O327" s="875"/>
      <c r="P327" s="875"/>
      <c r="Q327" s="1100">
        <v>1763200</v>
      </c>
      <c r="R327" s="1101"/>
      <c r="S327" s="1033"/>
      <c r="T327" s="840" t="s">
        <v>2072</v>
      </c>
      <c r="U327" s="83">
        <v>1586880</v>
      </c>
      <c r="V327" s="855">
        <v>41290</v>
      </c>
      <c r="W327" s="1065" t="s">
        <v>7</v>
      </c>
      <c r="X327" s="1023">
        <v>1586880</v>
      </c>
      <c r="Y327" s="1124"/>
      <c r="Z327" s="1124"/>
      <c r="AA327" s="1124"/>
      <c r="AB327" s="1124"/>
      <c r="AC327" s="1124"/>
      <c r="AD327" s="1124"/>
      <c r="AE327" s="1124"/>
      <c r="AF327" s="1124"/>
      <c r="AG327" s="1124"/>
      <c r="AH327" s="1104"/>
      <c r="AI327" s="1104"/>
    </row>
    <row r="328" spans="1:40" s="4" customFormat="1" ht="15" customHeight="1">
      <c r="A328" s="1033"/>
      <c r="B328" s="1033"/>
      <c r="C328" s="1033"/>
      <c r="D328" s="1033"/>
      <c r="E328" s="1033"/>
      <c r="F328" s="1033"/>
      <c r="G328" s="1033"/>
      <c r="H328" s="1010"/>
      <c r="I328" s="1066"/>
      <c r="J328" s="1101"/>
      <c r="K328" s="1102"/>
      <c r="L328" s="1101"/>
      <c r="M328" s="1133"/>
      <c r="N328" s="874"/>
      <c r="O328" s="875"/>
      <c r="P328" s="875"/>
      <c r="Q328" s="1102">
        <v>0</v>
      </c>
      <c r="R328" s="1101"/>
      <c r="S328" s="1033"/>
      <c r="T328" s="840"/>
      <c r="U328" s="83"/>
      <c r="V328" s="855"/>
      <c r="W328" s="1066"/>
      <c r="X328" s="1024"/>
      <c r="Y328" s="1124"/>
      <c r="Z328" s="1124"/>
      <c r="AA328" s="1124"/>
      <c r="AB328" s="1124"/>
      <c r="AC328" s="1124"/>
      <c r="AD328" s="1124"/>
      <c r="AE328" s="1124"/>
      <c r="AF328" s="1124"/>
      <c r="AG328" s="1124"/>
      <c r="AH328" s="1104"/>
      <c r="AI328" s="1104"/>
    </row>
    <row r="329" spans="1:40" s="4" customFormat="1" ht="15" customHeight="1">
      <c r="A329" s="1033"/>
      <c r="B329" s="1033"/>
      <c r="C329" s="1033"/>
      <c r="D329" s="1033"/>
      <c r="E329" s="1033"/>
      <c r="F329" s="1033"/>
      <c r="G329" s="1033"/>
      <c r="H329" s="1009">
        <v>198</v>
      </c>
      <c r="I329" s="1065" t="s">
        <v>7</v>
      </c>
      <c r="J329" s="1100">
        <v>1763200</v>
      </c>
      <c r="K329" s="1100">
        <v>1763200</v>
      </c>
      <c r="L329" s="1101"/>
      <c r="M329" s="1132">
        <v>40779</v>
      </c>
      <c r="N329" s="874"/>
      <c r="O329" s="875"/>
      <c r="P329" s="875"/>
      <c r="Q329" s="1100">
        <v>1763200</v>
      </c>
      <c r="R329" s="1101"/>
      <c r="S329" s="1033"/>
      <c r="T329" s="840" t="s">
        <v>2072</v>
      </c>
      <c r="U329" s="83">
        <v>1586880</v>
      </c>
      <c r="V329" s="855">
        <v>41290</v>
      </c>
      <c r="W329" s="1065" t="s">
        <v>7</v>
      </c>
      <c r="X329" s="1023">
        <v>1586880</v>
      </c>
      <c r="Y329" s="1124"/>
      <c r="Z329" s="1124"/>
      <c r="AA329" s="1124"/>
      <c r="AB329" s="1124"/>
      <c r="AC329" s="1124"/>
      <c r="AD329" s="1124"/>
      <c r="AE329" s="1124"/>
      <c r="AF329" s="1124"/>
      <c r="AG329" s="1124"/>
      <c r="AH329" s="1104"/>
      <c r="AI329" s="1104"/>
    </row>
    <row r="330" spans="1:40" s="4" customFormat="1" ht="15" customHeight="1">
      <c r="A330" s="1012"/>
      <c r="B330" s="1012"/>
      <c r="C330" s="1012"/>
      <c r="D330" s="1012"/>
      <c r="E330" s="1012"/>
      <c r="F330" s="1012"/>
      <c r="G330" s="1012"/>
      <c r="H330" s="1010"/>
      <c r="I330" s="1066"/>
      <c r="J330" s="1101"/>
      <c r="K330" s="1102"/>
      <c r="L330" s="1102"/>
      <c r="M330" s="1133"/>
      <c r="N330" s="874"/>
      <c r="O330" s="875"/>
      <c r="P330" s="875"/>
      <c r="Q330" s="1102">
        <v>0</v>
      </c>
      <c r="R330" s="1102"/>
      <c r="S330" s="1012"/>
      <c r="T330" s="840"/>
      <c r="U330" s="83"/>
      <c r="V330" s="855"/>
      <c r="W330" s="1066"/>
      <c r="X330" s="1024"/>
      <c r="Y330" s="1024"/>
      <c r="Z330" s="1024"/>
      <c r="AA330" s="1024"/>
      <c r="AB330" s="1024"/>
      <c r="AC330" s="1024"/>
      <c r="AD330" s="1024"/>
      <c r="AE330" s="1024"/>
      <c r="AF330" s="1024"/>
      <c r="AG330" s="1024"/>
      <c r="AH330" s="1105"/>
      <c r="AI330" s="1105"/>
    </row>
    <row r="331" spans="1:40" s="4" customFormat="1" ht="15" customHeight="1">
      <c r="A331" s="1076" t="s">
        <v>422</v>
      </c>
      <c r="B331" s="1076" t="s">
        <v>424</v>
      </c>
      <c r="C331" s="1076" t="s">
        <v>70</v>
      </c>
      <c r="D331" s="1076" t="s">
        <v>177</v>
      </c>
      <c r="E331" s="1076" t="s">
        <v>66</v>
      </c>
      <c r="F331" s="1076" t="s">
        <v>183</v>
      </c>
      <c r="G331" s="1076" t="s">
        <v>425</v>
      </c>
      <c r="H331" s="1245">
        <v>81</v>
      </c>
      <c r="I331" s="1282" t="s">
        <v>137</v>
      </c>
      <c r="J331" s="1119">
        <v>7692307.5999999996</v>
      </c>
      <c r="K331" s="1119">
        <v>19230769</v>
      </c>
      <c r="L331" s="1119">
        <v>22822129</v>
      </c>
      <c r="M331" s="1171">
        <v>40413</v>
      </c>
      <c r="N331" s="1196">
        <v>19000000</v>
      </c>
      <c r="O331" s="1196">
        <v>7599999.5999999996</v>
      </c>
      <c r="P331" s="1119">
        <v>92308</v>
      </c>
      <c r="Q331" s="1119">
        <v>7599999.5999999996</v>
      </c>
      <c r="R331" s="1119">
        <v>22591360</v>
      </c>
      <c r="S331" s="1076" t="s">
        <v>282</v>
      </c>
      <c r="T331" s="1123" t="s">
        <v>426</v>
      </c>
      <c r="U331" s="866">
        <v>5092000</v>
      </c>
      <c r="V331" s="1171">
        <v>40448</v>
      </c>
      <c r="W331" s="866" t="s">
        <v>137</v>
      </c>
      <c r="X331" s="1084">
        <v>19000000</v>
      </c>
      <c r="Y331" s="1084">
        <v>22591360</v>
      </c>
      <c r="Z331" s="827">
        <v>0</v>
      </c>
      <c r="AA331" s="1084">
        <v>-2052000.4000000004</v>
      </c>
      <c r="AB331" s="1119">
        <v>0</v>
      </c>
      <c r="AC331" s="1119">
        <v>0</v>
      </c>
      <c r="AD331" s="1119">
        <v>0</v>
      </c>
      <c r="AE331" s="1119">
        <v>0</v>
      </c>
      <c r="AF331" s="1203" t="s">
        <v>430</v>
      </c>
      <c r="AG331" s="1204" t="s">
        <v>785</v>
      </c>
      <c r="AH331" s="1204" t="s">
        <v>194</v>
      </c>
      <c r="AI331" s="1204" t="s">
        <v>368</v>
      </c>
    </row>
    <row r="332" spans="1:40" s="4" customFormat="1" ht="15" customHeight="1">
      <c r="A332" s="1076"/>
      <c r="B332" s="1076"/>
      <c r="C332" s="1076"/>
      <c r="D332" s="1076"/>
      <c r="E332" s="1076"/>
      <c r="F332" s="1076"/>
      <c r="G332" s="1076"/>
      <c r="H332" s="1245"/>
      <c r="I332" s="1282"/>
      <c r="J332" s="1119"/>
      <c r="K332" s="1119"/>
      <c r="L332" s="1119"/>
      <c r="M332" s="1171"/>
      <c r="N332" s="1196"/>
      <c r="O332" s="1196"/>
      <c r="P332" s="1119"/>
      <c r="Q332" s="1119"/>
      <c r="R332" s="1119"/>
      <c r="S332" s="1076"/>
      <c r="T332" s="1123"/>
      <c r="U332" s="866">
        <v>2508000</v>
      </c>
      <c r="V332" s="1171"/>
      <c r="W332" s="866" t="s">
        <v>7</v>
      </c>
      <c r="X332" s="1084"/>
      <c r="Y332" s="1084"/>
      <c r="Z332" s="827">
        <v>0</v>
      </c>
      <c r="AA332" s="1084"/>
      <c r="AB332" s="1119"/>
      <c r="AC332" s="1119"/>
      <c r="AD332" s="1119"/>
      <c r="AE332" s="1119"/>
      <c r="AF332" s="1203"/>
      <c r="AG332" s="1204"/>
      <c r="AH332" s="1204"/>
      <c r="AI332" s="1204"/>
    </row>
    <row r="333" spans="1:40" s="4" customFormat="1" ht="15" customHeight="1">
      <c r="A333" s="1076"/>
      <c r="B333" s="1076"/>
      <c r="C333" s="1076"/>
      <c r="D333" s="1076"/>
      <c r="E333" s="1076"/>
      <c r="F333" s="1076"/>
      <c r="G333" s="1076"/>
      <c r="H333" s="1245"/>
      <c r="I333" s="1282"/>
      <c r="J333" s="1119"/>
      <c r="K333" s="1119"/>
      <c r="L333" s="1119"/>
      <c r="M333" s="1171"/>
      <c r="N333" s="1196"/>
      <c r="O333" s="1196"/>
      <c r="P333" s="1119"/>
      <c r="Q333" s="1119"/>
      <c r="R333" s="1119"/>
      <c r="S333" s="1076"/>
      <c r="T333" s="1123" t="s">
        <v>427</v>
      </c>
      <c r="U333" s="866">
        <v>6156000</v>
      </c>
      <c r="V333" s="1171">
        <v>40863</v>
      </c>
      <c r="W333" s="866" t="s">
        <v>7</v>
      </c>
      <c r="X333" s="1084"/>
      <c r="Y333" s="1084"/>
      <c r="Z333" s="827">
        <v>0</v>
      </c>
      <c r="AA333" s="1084"/>
      <c r="AB333" s="1119"/>
      <c r="AC333" s="1119"/>
      <c r="AD333" s="1119"/>
      <c r="AE333" s="1119"/>
      <c r="AF333" s="1203"/>
      <c r="AG333" s="1204"/>
      <c r="AH333" s="1204"/>
      <c r="AI333" s="1204"/>
    </row>
    <row r="334" spans="1:40" s="4" customFormat="1" ht="15" customHeight="1">
      <c r="A334" s="1076"/>
      <c r="B334" s="1076"/>
      <c r="C334" s="1076"/>
      <c r="D334" s="1076"/>
      <c r="E334" s="1076"/>
      <c r="F334" s="1076"/>
      <c r="G334" s="1076"/>
      <c r="H334" s="1245"/>
      <c r="I334" s="1282" t="s">
        <v>7</v>
      </c>
      <c r="J334" s="1119">
        <v>11538461.4</v>
      </c>
      <c r="K334" s="1119"/>
      <c r="L334" s="1119"/>
      <c r="M334" s="1171"/>
      <c r="N334" s="1196"/>
      <c r="O334" s="1196">
        <v>11400000.4</v>
      </c>
      <c r="P334" s="1119">
        <v>138461</v>
      </c>
      <c r="Q334" s="1119">
        <v>11400000.4</v>
      </c>
      <c r="R334" s="1119"/>
      <c r="S334" s="1076"/>
      <c r="T334" s="1123"/>
      <c r="U334" s="866">
        <v>4104000</v>
      </c>
      <c r="V334" s="1171"/>
      <c r="W334" s="866" t="s">
        <v>137</v>
      </c>
      <c r="X334" s="1084"/>
      <c r="Y334" s="1084"/>
      <c r="Z334" s="827">
        <v>0</v>
      </c>
      <c r="AA334" s="1084">
        <v>2052000.4000000004</v>
      </c>
      <c r="AB334" s="1119"/>
      <c r="AC334" s="1119"/>
      <c r="AD334" s="1119"/>
      <c r="AE334" s="1119"/>
      <c r="AF334" s="1203"/>
      <c r="AG334" s="1204"/>
      <c r="AH334" s="1204"/>
      <c r="AI334" s="1204"/>
    </row>
    <row r="335" spans="1:40" s="4" customFormat="1" ht="15" customHeight="1">
      <c r="A335" s="1076"/>
      <c r="B335" s="1076"/>
      <c r="C335" s="1076"/>
      <c r="D335" s="1076"/>
      <c r="E335" s="1076"/>
      <c r="F335" s="1076"/>
      <c r="G335" s="1076"/>
      <c r="H335" s="1245"/>
      <c r="I335" s="1282"/>
      <c r="J335" s="1119"/>
      <c r="K335" s="1119"/>
      <c r="L335" s="1119"/>
      <c r="M335" s="1171"/>
      <c r="N335" s="1196"/>
      <c r="O335" s="1196"/>
      <c r="P335" s="1119"/>
      <c r="Q335" s="1119"/>
      <c r="R335" s="1119"/>
      <c r="S335" s="1076"/>
      <c r="T335" s="1123" t="s">
        <v>428</v>
      </c>
      <c r="U335" s="866">
        <v>684000</v>
      </c>
      <c r="V335" s="1171">
        <v>41569</v>
      </c>
      <c r="W335" s="866" t="s">
        <v>7</v>
      </c>
      <c r="X335" s="1084"/>
      <c r="Y335" s="1084"/>
      <c r="Z335" s="827">
        <v>0</v>
      </c>
      <c r="AA335" s="1084"/>
      <c r="AB335" s="1119"/>
      <c r="AC335" s="1119"/>
      <c r="AD335" s="1119"/>
      <c r="AE335" s="1119"/>
      <c r="AF335" s="1203"/>
      <c r="AG335" s="1204"/>
      <c r="AH335" s="1204"/>
      <c r="AI335" s="1204"/>
    </row>
    <row r="336" spans="1:40" s="4" customFormat="1" ht="15" customHeight="1">
      <c r="A336" s="1076"/>
      <c r="B336" s="1076"/>
      <c r="C336" s="1076"/>
      <c r="D336" s="1076"/>
      <c r="E336" s="1076"/>
      <c r="F336" s="1076"/>
      <c r="G336" s="1076"/>
      <c r="H336" s="1245"/>
      <c r="I336" s="1282"/>
      <c r="J336" s="1119"/>
      <c r="K336" s="1119"/>
      <c r="L336" s="1119"/>
      <c r="M336" s="1171"/>
      <c r="N336" s="1196"/>
      <c r="O336" s="1196"/>
      <c r="P336" s="1119"/>
      <c r="Q336" s="1119"/>
      <c r="R336" s="1119"/>
      <c r="S336" s="1076"/>
      <c r="T336" s="1123"/>
      <c r="U336" s="866">
        <v>456000</v>
      </c>
      <c r="V336" s="1171"/>
      <c r="W336" s="866" t="s">
        <v>137</v>
      </c>
      <c r="X336" s="1084"/>
      <c r="Y336" s="1084"/>
      <c r="Z336" s="827">
        <v>0</v>
      </c>
      <c r="AA336" s="1084"/>
      <c r="AB336" s="1119"/>
      <c r="AC336" s="1119"/>
      <c r="AD336" s="1119"/>
      <c r="AE336" s="1119"/>
      <c r="AF336" s="1203"/>
      <c r="AG336" s="1204"/>
      <c r="AH336" s="1204"/>
      <c r="AI336" s="1204"/>
    </row>
    <row r="337" spans="1:36" s="4" customFormat="1" ht="15" customHeight="1">
      <c r="A337" s="1076"/>
      <c r="B337" s="1076"/>
      <c r="C337" s="1076"/>
      <c r="D337" s="1076"/>
      <c r="E337" s="823" t="s">
        <v>171</v>
      </c>
      <c r="F337" s="1076"/>
      <c r="G337" s="1076"/>
      <c r="H337" s="876">
        <v>174</v>
      </c>
      <c r="I337" s="889" t="s">
        <v>7</v>
      </c>
      <c r="J337" s="858">
        <v>3591360</v>
      </c>
      <c r="K337" s="858">
        <v>3591360</v>
      </c>
      <c r="L337" s="1119"/>
      <c r="M337" s="855"/>
      <c r="N337" s="862">
        <v>3591360</v>
      </c>
      <c r="O337" s="858">
        <v>3591360</v>
      </c>
      <c r="P337" s="858">
        <v>0</v>
      </c>
      <c r="Q337" s="858">
        <v>3591360</v>
      </c>
      <c r="R337" s="1119"/>
      <c r="S337" s="1076"/>
      <c r="T337" s="840" t="s">
        <v>429</v>
      </c>
      <c r="U337" s="866">
        <v>3591360</v>
      </c>
      <c r="V337" s="855">
        <v>41569</v>
      </c>
      <c r="W337" s="866" t="s">
        <v>7</v>
      </c>
      <c r="X337" s="827">
        <v>3591360</v>
      </c>
      <c r="Y337" s="1084"/>
      <c r="Z337" s="827">
        <v>0</v>
      </c>
      <c r="AA337" s="827">
        <v>0</v>
      </c>
      <c r="AB337" s="858">
        <v>0</v>
      </c>
      <c r="AC337" s="858">
        <v>0</v>
      </c>
      <c r="AD337" s="858">
        <v>0</v>
      </c>
      <c r="AE337" s="858">
        <v>0</v>
      </c>
      <c r="AF337" s="1203"/>
      <c r="AG337" s="1204"/>
      <c r="AH337" s="1204"/>
      <c r="AI337" s="1204"/>
    </row>
    <row r="338" spans="1:36" s="24" customFormat="1" ht="15" customHeight="1">
      <c r="A338" s="1076" t="s">
        <v>453</v>
      </c>
      <c r="B338" s="1076" t="s">
        <v>454</v>
      </c>
      <c r="C338" s="1076" t="s">
        <v>72</v>
      </c>
      <c r="D338" s="1076" t="s">
        <v>177</v>
      </c>
      <c r="E338" s="1076" t="s">
        <v>66</v>
      </c>
      <c r="F338" s="1076" t="s">
        <v>183</v>
      </c>
      <c r="G338" s="1076" t="s">
        <v>452</v>
      </c>
      <c r="H338" s="1245">
        <v>84</v>
      </c>
      <c r="I338" s="1282" t="s">
        <v>451</v>
      </c>
      <c r="J338" s="1119">
        <v>28664281.600000001</v>
      </c>
      <c r="K338" s="1119">
        <v>71660704</v>
      </c>
      <c r="L338" s="1119">
        <v>71660704</v>
      </c>
      <c r="M338" s="1171">
        <v>40413</v>
      </c>
      <c r="N338" s="1119">
        <v>71660704</v>
      </c>
      <c r="O338" s="1119">
        <v>28664282</v>
      </c>
      <c r="P338" s="1119">
        <v>0</v>
      </c>
      <c r="Q338" s="1119">
        <v>28663577.600000001</v>
      </c>
      <c r="R338" s="1119">
        <v>71660000</v>
      </c>
      <c r="S338" s="1203" t="s">
        <v>282</v>
      </c>
      <c r="T338" s="1123" t="s">
        <v>458</v>
      </c>
      <c r="U338" s="895">
        <v>11465600</v>
      </c>
      <c r="V338" s="1171">
        <v>40445</v>
      </c>
      <c r="W338" s="858" t="s">
        <v>137</v>
      </c>
      <c r="X338" s="1119">
        <v>71660000</v>
      </c>
      <c r="Y338" s="1119">
        <v>71660000</v>
      </c>
      <c r="Z338" s="1119">
        <v>0</v>
      </c>
      <c r="AA338" s="858">
        <v>-11179382.399999999</v>
      </c>
      <c r="AB338" s="1119">
        <v>0</v>
      </c>
      <c r="AC338" s="858">
        <v>704</v>
      </c>
      <c r="AD338" s="1119">
        <v>0</v>
      </c>
      <c r="AE338" s="858">
        <v>704</v>
      </c>
      <c r="AF338" s="1203"/>
      <c r="AG338" s="1203" t="s">
        <v>791</v>
      </c>
      <c r="AH338" s="1203" t="s">
        <v>195</v>
      </c>
      <c r="AI338" s="1204" t="s">
        <v>368</v>
      </c>
    </row>
    <row r="339" spans="1:36" s="24" customFormat="1" ht="15" customHeight="1">
      <c r="A339" s="1076"/>
      <c r="B339" s="1076"/>
      <c r="C339" s="1076"/>
      <c r="D339" s="1076"/>
      <c r="E339" s="1076"/>
      <c r="F339" s="1076"/>
      <c r="G339" s="1076"/>
      <c r="H339" s="1245"/>
      <c r="I339" s="1282"/>
      <c r="J339" s="1119"/>
      <c r="K339" s="1119"/>
      <c r="L339" s="1119"/>
      <c r="M339" s="1171"/>
      <c r="N339" s="1119"/>
      <c r="O339" s="1119"/>
      <c r="P339" s="1119"/>
      <c r="Q339" s="1119"/>
      <c r="R339" s="1119"/>
      <c r="S339" s="1203"/>
      <c r="T339" s="1123"/>
      <c r="U339" s="895">
        <v>17198400</v>
      </c>
      <c r="V339" s="1171"/>
      <c r="W339" s="858" t="s">
        <v>7</v>
      </c>
      <c r="X339" s="1119"/>
      <c r="Y339" s="1119"/>
      <c r="Z339" s="1119"/>
      <c r="AA339" s="1119">
        <v>11179382.399999999</v>
      </c>
      <c r="AB339" s="1119"/>
      <c r="AC339" s="1119"/>
      <c r="AD339" s="1119"/>
      <c r="AE339" s="1119"/>
      <c r="AF339" s="1203"/>
      <c r="AG339" s="1203"/>
      <c r="AH339" s="1203"/>
      <c r="AI339" s="1204"/>
    </row>
    <row r="340" spans="1:36" s="24" customFormat="1" ht="15" customHeight="1">
      <c r="A340" s="1076"/>
      <c r="B340" s="1076"/>
      <c r="C340" s="1076"/>
      <c r="D340" s="1076"/>
      <c r="E340" s="1076"/>
      <c r="F340" s="1076"/>
      <c r="G340" s="1076"/>
      <c r="H340" s="1245"/>
      <c r="I340" s="1282"/>
      <c r="J340" s="1119"/>
      <c r="K340" s="1119"/>
      <c r="L340" s="1119"/>
      <c r="M340" s="1171"/>
      <c r="N340" s="1119"/>
      <c r="O340" s="1119"/>
      <c r="P340" s="1119"/>
      <c r="Q340" s="1119"/>
      <c r="R340" s="1119"/>
      <c r="S340" s="1203"/>
      <c r="T340" s="1123" t="s">
        <v>459</v>
      </c>
      <c r="U340" s="895">
        <v>8599200</v>
      </c>
      <c r="V340" s="1171">
        <v>40785</v>
      </c>
      <c r="W340" s="858" t="s">
        <v>137</v>
      </c>
      <c r="X340" s="1119"/>
      <c r="Y340" s="1119"/>
      <c r="Z340" s="1119"/>
      <c r="AA340" s="1119"/>
      <c r="AB340" s="1119"/>
      <c r="AC340" s="1119"/>
      <c r="AD340" s="1119"/>
      <c r="AE340" s="1119"/>
      <c r="AF340" s="1203"/>
      <c r="AG340" s="1203"/>
      <c r="AH340" s="1203"/>
      <c r="AI340" s="1204"/>
    </row>
    <row r="341" spans="1:36" s="24" customFormat="1" ht="15" customHeight="1">
      <c r="A341" s="1076"/>
      <c r="B341" s="1076"/>
      <c r="C341" s="1076"/>
      <c r="D341" s="1076"/>
      <c r="E341" s="1076"/>
      <c r="F341" s="1076"/>
      <c r="G341" s="1076"/>
      <c r="H341" s="1245"/>
      <c r="I341" s="1282"/>
      <c r="J341" s="1119"/>
      <c r="K341" s="1119"/>
      <c r="L341" s="1119"/>
      <c r="M341" s="1171"/>
      <c r="N341" s="1119"/>
      <c r="O341" s="1119"/>
      <c r="P341" s="1119"/>
      <c r="Q341" s="1119"/>
      <c r="R341" s="1119"/>
      <c r="S341" s="1203"/>
      <c r="T341" s="1123"/>
      <c r="U341" s="895">
        <v>12898800</v>
      </c>
      <c r="V341" s="1171"/>
      <c r="W341" s="858" t="s">
        <v>137</v>
      </c>
      <c r="X341" s="1119"/>
      <c r="Y341" s="1119"/>
      <c r="Z341" s="1119"/>
      <c r="AA341" s="1119"/>
      <c r="AB341" s="1119"/>
      <c r="AC341" s="1119"/>
      <c r="AD341" s="1119"/>
      <c r="AE341" s="1119"/>
      <c r="AF341" s="1203"/>
      <c r="AG341" s="1203"/>
      <c r="AH341" s="1203"/>
      <c r="AI341" s="1204"/>
    </row>
    <row r="342" spans="1:36" s="24" customFormat="1" ht="15" customHeight="1">
      <c r="A342" s="1076"/>
      <c r="B342" s="1076"/>
      <c r="C342" s="1076"/>
      <c r="D342" s="1076"/>
      <c r="E342" s="1076"/>
      <c r="F342" s="1076"/>
      <c r="G342" s="1076"/>
      <c r="H342" s="1245"/>
      <c r="I342" s="1282"/>
      <c r="J342" s="1119"/>
      <c r="K342" s="1119"/>
      <c r="L342" s="1119"/>
      <c r="M342" s="1171"/>
      <c r="N342" s="1119"/>
      <c r="O342" s="1119"/>
      <c r="P342" s="1119"/>
      <c r="Q342" s="1119"/>
      <c r="R342" s="1119"/>
      <c r="S342" s="1203"/>
      <c r="T342" s="1123" t="s">
        <v>460</v>
      </c>
      <c r="U342" s="895">
        <v>6879360</v>
      </c>
      <c r="V342" s="1171">
        <v>40891</v>
      </c>
      <c r="W342" s="858" t="s">
        <v>137</v>
      </c>
      <c r="X342" s="1119"/>
      <c r="Y342" s="1119"/>
      <c r="Z342" s="1119"/>
      <c r="AA342" s="1119"/>
      <c r="AB342" s="1119"/>
      <c r="AC342" s="1119"/>
      <c r="AD342" s="1119"/>
      <c r="AE342" s="1119"/>
      <c r="AF342" s="1203"/>
      <c r="AG342" s="1203"/>
      <c r="AH342" s="1203"/>
      <c r="AI342" s="1204"/>
    </row>
    <row r="343" spans="1:36" s="24" customFormat="1" ht="15" customHeight="1">
      <c r="A343" s="1076"/>
      <c r="B343" s="1076"/>
      <c r="C343" s="1076"/>
      <c r="D343" s="1076"/>
      <c r="E343" s="1076"/>
      <c r="F343" s="1076"/>
      <c r="G343" s="1076"/>
      <c r="H343" s="1245"/>
      <c r="I343" s="1282" t="s">
        <v>7</v>
      </c>
      <c r="J343" s="1119">
        <v>42996422.399999999</v>
      </c>
      <c r="K343" s="1119"/>
      <c r="L343" s="1119"/>
      <c r="M343" s="1171"/>
      <c r="N343" s="1119"/>
      <c r="O343" s="1119">
        <v>42996422</v>
      </c>
      <c r="P343" s="1119"/>
      <c r="Q343" s="1119">
        <v>42996422.399999999</v>
      </c>
      <c r="R343" s="1119"/>
      <c r="S343" s="1203"/>
      <c r="T343" s="1123"/>
      <c r="U343" s="895">
        <v>10319040</v>
      </c>
      <c r="V343" s="1171"/>
      <c r="W343" s="858" t="s">
        <v>7</v>
      </c>
      <c r="X343" s="1119"/>
      <c r="Y343" s="1119"/>
      <c r="Z343" s="1119"/>
      <c r="AA343" s="1119"/>
      <c r="AB343" s="1119"/>
      <c r="AC343" s="1119"/>
      <c r="AD343" s="1119"/>
      <c r="AE343" s="1119"/>
      <c r="AF343" s="1203"/>
      <c r="AG343" s="1203"/>
      <c r="AH343" s="1203"/>
      <c r="AI343" s="1204"/>
    </row>
    <row r="344" spans="1:36" s="24" customFormat="1" ht="15" customHeight="1">
      <c r="A344" s="1076"/>
      <c r="B344" s="1076"/>
      <c r="C344" s="1076"/>
      <c r="D344" s="1076"/>
      <c r="E344" s="1076"/>
      <c r="F344" s="1076"/>
      <c r="G344" s="1076"/>
      <c r="H344" s="1245"/>
      <c r="I344" s="1282"/>
      <c r="J344" s="1119"/>
      <c r="K344" s="1119"/>
      <c r="L344" s="1119"/>
      <c r="M344" s="1171"/>
      <c r="N344" s="1119"/>
      <c r="O344" s="1119"/>
      <c r="P344" s="1119"/>
      <c r="Q344" s="1119"/>
      <c r="R344" s="1119"/>
      <c r="S344" s="1203"/>
      <c r="T344" s="1123" t="s">
        <v>461</v>
      </c>
      <c r="U344" s="895">
        <v>1719840</v>
      </c>
      <c r="V344" s="1171">
        <v>41591</v>
      </c>
      <c r="W344" s="858" t="s">
        <v>7</v>
      </c>
      <c r="X344" s="1119"/>
      <c r="Y344" s="1119"/>
      <c r="Z344" s="1119"/>
      <c r="AA344" s="1119"/>
      <c r="AB344" s="1119"/>
      <c r="AC344" s="1119"/>
      <c r="AD344" s="1119"/>
      <c r="AE344" s="1119"/>
      <c r="AF344" s="1203"/>
      <c r="AG344" s="1203"/>
      <c r="AH344" s="1203"/>
      <c r="AI344" s="1204"/>
    </row>
    <row r="345" spans="1:36" s="24" customFormat="1" ht="15" customHeight="1">
      <c r="A345" s="1076"/>
      <c r="B345" s="1076"/>
      <c r="C345" s="1076"/>
      <c r="D345" s="1076"/>
      <c r="E345" s="1076"/>
      <c r="F345" s="1076"/>
      <c r="G345" s="1076"/>
      <c r="H345" s="1245"/>
      <c r="I345" s="1282"/>
      <c r="J345" s="1119"/>
      <c r="K345" s="1119"/>
      <c r="L345" s="1119"/>
      <c r="M345" s="1171"/>
      <c r="N345" s="1119"/>
      <c r="O345" s="1119"/>
      <c r="P345" s="1119"/>
      <c r="Q345" s="1119"/>
      <c r="R345" s="1119"/>
      <c r="S345" s="1203"/>
      <c r="T345" s="1123"/>
      <c r="U345" s="895">
        <v>2579760</v>
      </c>
      <c r="V345" s="1171"/>
      <c r="W345" s="858" t="s">
        <v>7</v>
      </c>
      <c r="X345" s="1119"/>
      <c r="Y345" s="1119"/>
      <c r="Z345" s="1119"/>
      <c r="AA345" s="1119"/>
      <c r="AB345" s="1119"/>
      <c r="AC345" s="1119"/>
      <c r="AD345" s="1119"/>
      <c r="AE345" s="1119"/>
      <c r="AF345" s="1203"/>
      <c r="AG345" s="1203"/>
      <c r="AH345" s="1203"/>
      <c r="AI345" s="1204"/>
    </row>
    <row r="346" spans="1:36" s="4" customFormat="1" ht="15" customHeight="1">
      <c r="A346" s="1040" t="s">
        <v>807</v>
      </c>
      <c r="B346" s="1040" t="s">
        <v>464</v>
      </c>
      <c r="C346" s="1040" t="s">
        <v>72</v>
      </c>
      <c r="D346" s="1040" t="s">
        <v>177</v>
      </c>
      <c r="E346" s="1040" t="s">
        <v>66</v>
      </c>
      <c r="F346" s="1040" t="s">
        <v>50</v>
      </c>
      <c r="G346" s="1040" t="s">
        <v>466</v>
      </c>
      <c r="H346" s="1286">
        <v>85</v>
      </c>
      <c r="I346" s="1065" t="s">
        <v>7</v>
      </c>
      <c r="J346" s="1062">
        <v>19566301.800000001</v>
      </c>
      <c r="K346" s="1062">
        <v>32610503</v>
      </c>
      <c r="L346" s="1062">
        <v>32610503</v>
      </c>
      <c r="M346" s="1068">
        <v>40413</v>
      </c>
      <c r="N346" s="1062">
        <v>19566301.800000001</v>
      </c>
      <c r="O346" s="1062">
        <v>19566301.800000001</v>
      </c>
      <c r="P346" s="1062">
        <v>0</v>
      </c>
      <c r="Q346" s="1062">
        <v>19566301.800000001</v>
      </c>
      <c r="R346" s="1119">
        <v>32610503</v>
      </c>
      <c r="S346" s="1076" t="s">
        <v>467</v>
      </c>
      <c r="T346" s="1123" t="s">
        <v>468</v>
      </c>
      <c r="U346" s="895">
        <v>7826521</v>
      </c>
      <c r="V346" s="1171">
        <v>40449</v>
      </c>
      <c r="W346" s="858" t="s">
        <v>7</v>
      </c>
      <c r="X346" s="1062">
        <v>31632188</v>
      </c>
      <c r="Y346" s="1062">
        <v>31632188</v>
      </c>
      <c r="Z346" s="858">
        <v>-0.27999999932944775</v>
      </c>
      <c r="AA346" s="1062">
        <v>-0.19999999925494194</v>
      </c>
      <c r="AB346" s="1062">
        <v>0</v>
      </c>
      <c r="AC346" s="1062">
        <v>0</v>
      </c>
      <c r="AD346" s="1062">
        <v>978315</v>
      </c>
      <c r="AE346" s="1062">
        <v>978315</v>
      </c>
      <c r="AF346" s="1040" t="s">
        <v>437</v>
      </c>
      <c r="AG346" s="1040" t="s">
        <v>810</v>
      </c>
      <c r="AH346" s="1103" t="s">
        <v>195</v>
      </c>
      <c r="AI346" s="1103" t="s">
        <v>368</v>
      </c>
      <c r="AJ346" s="1074" t="s">
        <v>2499</v>
      </c>
    </row>
    <row r="347" spans="1:36" s="4" customFormat="1" ht="15" customHeight="1">
      <c r="A347" s="1041"/>
      <c r="B347" s="1041"/>
      <c r="C347" s="1041"/>
      <c r="D347" s="1041"/>
      <c r="E347" s="1041"/>
      <c r="F347" s="1041"/>
      <c r="G347" s="1041"/>
      <c r="H347" s="1287"/>
      <c r="I347" s="1067"/>
      <c r="J347" s="1064"/>
      <c r="K347" s="1063"/>
      <c r="L347" s="1063"/>
      <c r="M347" s="1069"/>
      <c r="N347" s="1063"/>
      <c r="O347" s="1064"/>
      <c r="P347" s="1064"/>
      <c r="Q347" s="1064"/>
      <c r="R347" s="1119"/>
      <c r="S347" s="1076"/>
      <c r="T347" s="1123"/>
      <c r="U347" s="895">
        <v>5217680</v>
      </c>
      <c r="V347" s="1171"/>
      <c r="W347" s="858" t="s">
        <v>137</v>
      </c>
      <c r="X347" s="1063"/>
      <c r="Y347" s="1063"/>
      <c r="Z347" s="858">
        <v>0.48000000044703484</v>
      </c>
      <c r="AA347" s="1064"/>
      <c r="AB347" s="1063"/>
      <c r="AC347" s="1063"/>
      <c r="AD347" s="1063"/>
      <c r="AE347" s="1063"/>
      <c r="AF347" s="1041"/>
      <c r="AG347" s="1041"/>
      <c r="AH347" s="1104"/>
      <c r="AI347" s="1104"/>
      <c r="AJ347" s="1074"/>
    </row>
    <row r="348" spans="1:36" s="4" customFormat="1" ht="15" customHeight="1">
      <c r="A348" s="1041"/>
      <c r="B348" s="1041"/>
      <c r="C348" s="1041"/>
      <c r="D348" s="1041"/>
      <c r="E348" s="1041"/>
      <c r="F348" s="1041"/>
      <c r="G348" s="1041"/>
      <c r="H348" s="1287"/>
      <c r="I348" s="1065" t="s">
        <v>451</v>
      </c>
      <c r="J348" s="1062">
        <v>13044201.199999999</v>
      </c>
      <c r="K348" s="1063"/>
      <c r="L348" s="1063"/>
      <c r="M348" s="1069"/>
      <c r="N348" s="1063"/>
      <c r="O348" s="1062">
        <v>13044201.199999999</v>
      </c>
      <c r="P348" s="1062">
        <v>0</v>
      </c>
      <c r="Q348" s="1062">
        <v>13044201.199999999</v>
      </c>
      <c r="R348" s="858"/>
      <c r="S348" s="789"/>
      <c r="T348" s="1065" t="s">
        <v>809</v>
      </c>
      <c r="U348" s="895">
        <v>11739781</v>
      </c>
      <c r="V348" s="855">
        <v>43066</v>
      </c>
      <c r="W348" s="58" t="s">
        <v>7</v>
      </c>
      <c r="X348" s="1063"/>
      <c r="Y348" s="1063"/>
      <c r="Z348" s="858">
        <v>-586988.91999999806</v>
      </c>
      <c r="AA348" s="1062">
        <v>978315.19999999925</v>
      </c>
      <c r="AB348" s="1063"/>
      <c r="AC348" s="1063"/>
      <c r="AD348" s="1063"/>
      <c r="AE348" s="1063"/>
      <c r="AF348" s="1041"/>
      <c r="AG348" s="1041"/>
      <c r="AH348" s="1104"/>
      <c r="AI348" s="1104"/>
      <c r="AJ348" s="1074"/>
    </row>
    <row r="349" spans="1:36" s="4" customFormat="1" ht="15" customHeight="1">
      <c r="A349" s="1042"/>
      <c r="B349" s="1042"/>
      <c r="C349" s="1042"/>
      <c r="D349" s="1042"/>
      <c r="E349" s="1042"/>
      <c r="F349" s="1042"/>
      <c r="G349" s="1042"/>
      <c r="H349" s="1288"/>
      <c r="I349" s="1067"/>
      <c r="J349" s="1064"/>
      <c r="K349" s="1064"/>
      <c r="L349" s="1064"/>
      <c r="M349" s="1070"/>
      <c r="N349" s="1064"/>
      <c r="O349" s="1064"/>
      <c r="P349" s="1064"/>
      <c r="Q349" s="1064"/>
      <c r="R349" s="858"/>
      <c r="S349" s="789"/>
      <c r="T349" s="1067"/>
      <c r="U349" s="895">
        <v>6848206</v>
      </c>
      <c r="V349" s="855">
        <v>43066</v>
      </c>
      <c r="W349" s="58" t="s">
        <v>137</v>
      </c>
      <c r="X349" s="1064"/>
      <c r="Y349" s="1064"/>
      <c r="Z349" s="858">
        <v>586988.71999999881</v>
      </c>
      <c r="AA349" s="1064"/>
      <c r="AB349" s="1064"/>
      <c r="AC349" s="1064"/>
      <c r="AD349" s="1064"/>
      <c r="AE349" s="1064"/>
      <c r="AF349" s="1042"/>
      <c r="AG349" s="1042"/>
      <c r="AH349" s="1105"/>
      <c r="AI349" s="1105"/>
      <c r="AJ349" s="1074"/>
    </row>
    <row r="350" spans="1:36" s="24" customFormat="1" ht="15" customHeight="1">
      <c r="A350" s="1040" t="s">
        <v>476</v>
      </c>
      <c r="B350" s="1040" t="s">
        <v>478</v>
      </c>
      <c r="C350" s="1040" t="s">
        <v>72</v>
      </c>
      <c r="D350" s="1040" t="s">
        <v>177</v>
      </c>
      <c r="E350" s="1040" t="s">
        <v>66</v>
      </c>
      <c r="F350" s="1040" t="s">
        <v>50</v>
      </c>
      <c r="G350" s="1040" t="s">
        <v>475</v>
      </c>
      <c r="H350" s="1220">
        <v>86</v>
      </c>
      <c r="I350" s="1065" t="s">
        <v>7</v>
      </c>
      <c r="J350" s="1062">
        <v>19566302</v>
      </c>
      <c r="K350" s="1062">
        <v>32610503</v>
      </c>
      <c r="L350" s="1062">
        <v>32610503</v>
      </c>
      <c r="M350" s="1068">
        <v>42970</v>
      </c>
      <c r="N350" s="1062">
        <v>19566301.800000001</v>
      </c>
      <c r="O350" s="1062">
        <v>19566301.800000001</v>
      </c>
      <c r="P350" s="1062">
        <v>0.19999999925494194</v>
      </c>
      <c r="Q350" s="1062">
        <v>19566302</v>
      </c>
      <c r="R350" s="1119">
        <v>32610503</v>
      </c>
      <c r="S350" s="1011" t="s">
        <v>467</v>
      </c>
      <c r="T350" s="1123" t="s">
        <v>479</v>
      </c>
      <c r="U350" s="895">
        <v>7826521</v>
      </c>
      <c r="V350" s="1171">
        <v>40449</v>
      </c>
      <c r="W350" s="58" t="s">
        <v>7</v>
      </c>
      <c r="X350" s="1062">
        <v>13044201</v>
      </c>
      <c r="Y350" s="1062">
        <v>13044201</v>
      </c>
      <c r="Z350" s="1119"/>
      <c r="AA350" s="1119"/>
      <c r="AB350" s="1062">
        <v>-3261050</v>
      </c>
      <c r="AC350" s="1062">
        <v>0</v>
      </c>
      <c r="AD350" s="1062">
        <v>19566302</v>
      </c>
      <c r="AE350" s="1062">
        <v>19566302</v>
      </c>
      <c r="AF350" s="1040" t="s">
        <v>437</v>
      </c>
      <c r="AG350" s="1040" t="s">
        <v>792</v>
      </c>
      <c r="AH350" s="1186" t="s">
        <v>195</v>
      </c>
      <c r="AI350" s="1103" t="s">
        <v>368</v>
      </c>
    </row>
    <row r="351" spans="1:36" s="24" customFormat="1" ht="15" customHeight="1">
      <c r="A351" s="1041"/>
      <c r="B351" s="1041"/>
      <c r="C351" s="1041"/>
      <c r="D351" s="1041"/>
      <c r="E351" s="1041"/>
      <c r="F351" s="1041"/>
      <c r="G351" s="1041"/>
      <c r="H351" s="1221"/>
      <c r="I351" s="1067"/>
      <c r="J351" s="1064"/>
      <c r="K351" s="1063"/>
      <c r="L351" s="1063"/>
      <c r="M351" s="1069"/>
      <c r="N351" s="1063"/>
      <c r="O351" s="1064"/>
      <c r="P351" s="1064"/>
      <c r="Q351" s="1064"/>
      <c r="R351" s="1119"/>
      <c r="S351" s="1033"/>
      <c r="T351" s="1123"/>
      <c r="U351" s="895">
        <v>5217680</v>
      </c>
      <c r="V351" s="1171"/>
      <c r="W351" s="58" t="s">
        <v>137</v>
      </c>
      <c r="X351" s="1063"/>
      <c r="Y351" s="1063"/>
      <c r="Z351" s="1119"/>
      <c r="AA351" s="1119"/>
      <c r="AB351" s="1063"/>
      <c r="AC351" s="1063"/>
      <c r="AD351" s="1063"/>
      <c r="AE351" s="1063"/>
      <c r="AF351" s="1041"/>
      <c r="AG351" s="1041"/>
      <c r="AH351" s="1187"/>
      <c r="AI351" s="1104"/>
    </row>
    <row r="352" spans="1:36" s="24" customFormat="1" ht="15" customHeight="1">
      <c r="A352" s="1041"/>
      <c r="B352" s="1041"/>
      <c r="C352" s="1041"/>
      <c r="D352" s="1041"/>
      <c r="E352" s="1041"/>
      <c r="F352" s="1041"/>
      <c r="G352" s="1041"/>
      <c r="H352" s="1221"/>
      <c r="I352" s="1065" t="s">
        <v>451</v>
      </c>
      <c r="J352" s="1062">
        <v>13044201</v>
      </c>
      <c r="K352" s="1063"/>
      <c r="L352" s="1063"/>
      <c r="M352" s="1069"/>
      <c r="N352" s="1063"/>
      <c r="O352" s="1062">
        <v>13044201.199999999</v>
      </c>
      <c r="P352" s="1062">
        <v>-0.19999999925494194</v>
      </c>
      <c r="Q352" s="1062">
        <v>13044201</v>
      </c>
      <c r="R352" s="797"/>
      <c r="S352" s="790"/>
      <c r="T352" s="1065"/>
      <c r="U352" s="895">
        <v>0</v>
      </c>
      <c r="V352" s="816"/>
      <c r="W352" s="58" t="s">
        <v>7</v>
      </c>
      <c r="X352" s="1063"/>
      <c r="Y352" s="1063"/>
      <c r="Z352" s="858"/>
      <c r="AA352" s="797"/>
      <c r="AB352" s="1063"/>
      <c r="AC352" s="1063"/>
      <c r="AD352" s="1063"/>
      <c r="AE352" s="1063"/>
      <c r="AF352" s="1041"/>
      <c r="AG352" s="1041"/>
      <c r="AH352" s="1187"/>
      <c r="AI352" s="1104"/>
    </row>
    <row r="353" spans="1:35" s="24" customFormat="1" ht="15" customHeight="1">
      <c r="A353" s="1042"/>
      <c r="B353" s="1042"/>
      <c r="C353" s="1042"/>
      <c r="D353" s="1042"/>
      <c r="E353" s="1042"/>
      <c r="F353" s="1042"/>
      <c r="G353" s="1042"/>
      <c r="H353" s="1222"/>
      <c r="I353" s="1067"/>
      <c r="J353" s="1064"/>
      <c r="K353" s="1064"/>
      <c r="L353" s="1064"/>
      <c r="M353" s="1070"/>
      <c r="N353" s="1064"/>
      <c r="O353" s="1064"/>
      <c r="P353" s="1064"/>
      <c r="Q353" s="1064"/>
      <c r="R353" s="797"/>
      <c r="S353" s="790"/>
      <c r="T353" s="1067"/>
      <c r="U353" s="895">
        <v>0</v>
      </c>
      <c r="V353" s="816"/>
      <c r="W353" s="58" t="s">
        <v>137</v>
      </c>
      <c r="X353" s="1064"/>
      <c r="Y353" s="1064"/>
      <c r="Z353" s="858"/>
      <c r="AA353" s="797"/>
      <c r="AB353" s="1064"/>
      <c r="AC353" s="1064"/>
      <c r="AD353" s="1064"/>
      <c r="AE353" s="1064"/>
      <c r="AF353" s="1042"/>
      <c r="AG353" s="1042"/>
      <c r="AH353" s="1188"/>
      <c r="AI353" s="1105"/>
    </row>
    <row r="354" spans="1:35" s="940" customFormat="1" ht="15" customHeight="1">
      <c r="A354" s="1011" t="s">
        <v>469</v>
      </c>
      <c r="B354" s="1011" t="s">
        <v>470</v>
      </c>
      <c r="C354" s="1011" t="s">
        <v>72</v>
      </c>
      <c r="D354" s="1011" t="s">
        <v>177</v>
      </c>
      <c r="E354" s="1426" t="s">
        <v>66</v>
      </c>
      <c r="F354" s="1011" t="s">
        <v>217</v>
      </c>
      <c r="G354" s="1011" t="s">
        <v>472</v>
      </c>
      <c r="H354" s="1444">
        <v>87</v>
      </c>
      <c r="I354" s="1451" t="s">
        <v>137</v>
      </c>
      <c r="J354" s="1415">
        <v>22741707</v>
      </c>
      <c r="K354" s="1415">
        <v>56854267</v>
      </c>
      <c r="L354" s="1062">
        <v>80676508</v>
      </c>
      <c r="M354" s="1423">
        <v>40413</v>
      </c>
      <c r="N354" s="1433">
        <v>56854267</v>
      </c>
      <c r="O354" s="1415">
        <v>22741706.800000001</v>
      </c>
      <c r="P354" s="1415">
        <v>0.19999999925494194</v>
      </c>
      <c r="Q354" s="1415">
        <v>22741707</v>
      </c>
      <c r="R354" s="1062">
        <v>80676508</v>
      </c>
      <c r="S354" s="1011" t="s">
        <v>467</v>
      </c>
      <c r="T354" s="1420" t="s">
        <v>473</v>
      </c>
      <c r="U354" s="938">
        <v>9096683</v>
      </c>
      <c r="V354" s="1423">
        <v>40445</v>
      </c>
      <c r="W354" s="938" t="s">
        <v>137</v>
      </c>
      <c r="X354" s="1409">
        <v>39797987</v>
      </c>
      <c r="Y354" s="1043">
        <v>39797987</v>
      </c>
      <c r="Z354" s="939">
        <v>-0.19999999925494194</v>
      </c>
      <c r="AA354" s="1409">
        <v>0</v>
      </c>
      <c r="AB354" s="1415">
        <v>11852223.710000005</v>
      </c>
      <c r="AC354" s="1415">
        <v>0</v>
      </c>
      <c r="AD354" s="1415">
        <v>5204056.2899999944</v>
      </c>
      <c r="AE354" s="1415">
        <v>5204056.2899999944</v>
      </c>
      <c r="AF354" s="1108" t="s">
        <v>437</v>
      </c>
      <c r="AG354" s="1204" t="s">
        <v>812</v>
      </c>
      <c r="AH354" s="1204" t="s">
        <v>194</v>
      </c>
      <c r="AI354" s="1204" t="s">
        <v>368</v>
      </c>
    </row>
    <row r="355" spans="1:35" s="940" customFormat="1" ht="15" customHeight="1">
      <c r="A355" s="1033"/>
      <c r="B355" s="1033"/>
      <c r="C355" s="1033"/>
      <c r="D355" s="1033"/>
      <c r="E355" s="1443"/>
      <c r="F355" s="1033"/>
      <c r="G355" s="1033"/>
      <c r="H355" s="1445"/>
      <c r="I355" s="1453"/>
      <c r="J355" s="1417"/>
      <c r="K355" s="1416"/>
      <c r="L355" s="1063"/>
      <c r="M355" s="1424"/>
      <c r="N355" s="1442"/>
      <c r="O355" s="1417"/>
      <c r="P355" s="1417"/>
      <c r="Q355" s="1417"/>
      <c r="R355" s="1063"/>
      <c r="S355" s="1033"/>
      <c r="T355" s="1422"/>
      <c r="U355" s="938">
        <v>13645024</v>
      </c>
      <c r="V355" s="1425"/>
      <c r="W355" s="938" t="s">
        <v>7</v>
      </c>
      <c r="X355" s="1410"/>
      <c r="Y355" s="1044"/>
      <c r="Z355" s="939">
        <v>0</v>
      </c>
      <c r="AA355" s="1411"/>
      <c r="AB355" s="1416"/>
      <c r="AC355" s="1416"/>
      <c r="AD355" s="1416"/>
      <c r="AE355" s="1416"/>
      <c r="AF355" s="1109"/>
      <c r="AG355" s="1204"/>
      <c r="AH355" s="1204"/>
      <c r="AI355" s="1204"/>
    </row>
    <row r="356" spans="1:35" s="940" customFormat="1" ht="15" customHeight="1">
      <c r="A356" s="1033"/>
      <c r="B356" s="1033"/>
      <c r="C356" s="1033"/>
      <c r="D356" s="1033"/>
      <c r="E356" s="1443"/>
      <c r="F356" s="1033"/>
      <c r="G356" s="1033"/>
      <c r="H356" s="1445"/>
      <c r="I356" s="1451" t="s">
        <v>7</v>
      </c>
      <c r="J356" s="1415">
        <v>34112560</v>
      </c>
      <c r="K356" s="1416"/>
      <c r="L356" s="1063"/>
      <c r="M356" s="1424"/>
      <c r="N356" s="1442"/>
      <c r="O356" s="1415">
        <v>34112560.200000003</v>
      </c>
      <c r="P356" s="1415">
        <v>-0.20000000298023224</v>
      </c>
      <c r="Q356" s="1415">
        <v>34112560</v>
      </c>
      <c r="R356" s="1063"/>
      <c r="S356" s="1033"/>
      <c r="T356" s="1420" t="s">
        <v>474</v>
      </c>
      <c r="U356" s="938">
        <v>6822512</v>
      </c>
      <c r="V356" s="1423">
        <v>40736</v>
      </c>
      <c r="W356" s="938" t="s">
        <v>137</v>
      </c>
      <c r="X356" s="1410"/>
      <c r="Y356" s="1044"/>
      <c r="Z356" s="939">
        <v>0</v>
      </c>
      <c r="AA356" s="1409">
        <v>0</v>
      </c>
      <c r="AB356" s="1416"/>
      <c r="AC356" s="1416"/>
      <c r="AD356" s="1416"/>
      <c r="AE356" s="1416"/>
      <c r="AF356" s="1109"/>
      <c r="AG356" s="1204"/>
      <c r="AH356" s="1204"/>
      <c r="AI356" s="1204"/>
    </row>
    <row r="357" spans="1:35" s="940" customFormat="1" ht="15" customHeight="1">
      <c r="A357" s="1033"/>
      <c r="B357" s="1033"/>
      <c r="C357" s="1033"/>
      <c r="D357" s="1033"/>
      <c r="E357" s="1443"/>
      <c r="F357" s="1033"/>
      <c r="G357" s="1033"/>
      <c r="H357" s="1445"/>
      <c r="I357" s="1452"/>
      <c r="J357" s="1416"/>
      <c r="K357" s="1416"/>
      <c r="L357" s="1063"/>
      <c r="M357" s="1424"/>
      <c r="N357" s="1442"/>
      <c r="O357" s="1416"/>
      <c r="P357" s="1416"/>
      <c r="Q357" s="1416"/>
      <c r="R357" s="1063"/>
      <c r="S357" s="1033"/>
      <c r="T357" s="1422"/>
      <c r="U357" s="938">
        <v>10233768</v>
      </c>
      <c r="V357" s="1425"/>
      <c r="W357" s="938" t="s">
        <v>7</v>
      </c>
      <c r="X357" s="1410"/>
      <c r="Y357" s="1044"/>
      <c r="Z357" s="939">
        <v>0</v>
      </c>
      <c r="AA357" s="1410"/>
      <c r="AB357" s="1416"/>
      <c r="AC357" s="1416"/>
      <c r="AD357" s="1416"/>
      <c r="AE357" s="1416"/>
      <c r="AF357" s="1109"/>
      <c r="AG357" s="1204"/>
      <c r="AH357" s="1204"/>
      <c r="AI357" s="1204"/>
    </row>
    <row r="358" spans="1:35" s="940" customFormat="1" ht="15" customHeight="1">
      <c r="A358" s="1033"/>
      <c r="B358" s="1033"/>
      <c r="C358" s="1033"/>
      <c r="D358" s="1033"/>
      <c r="E358" s="1427"/>
      <c r="F358" s="1033"/>
      <c r="G358" s="1033"/>
      <c r="H358" s="1446"/>
      <c r="I358" s="1453"/>
      <c r="J358" s="1417"/>
      <c r="K358" s="1417"/>
      <c r="L358" s="1063"/>
      <c r="M358" s="1425"/>
      <c r="N358" s="1434"/>
      <c r="O358" s="1417"/>
      <c r="P358" s="1417"/>
      <c r="Q358" s="1417"/>
      <c r="R358" s="1063"/>
      <c r="S358" s="1033"/>
      <c r="T358" s="941" t="s">
        <v>811</v>
      </c>
      <c r="U358" s="938">
        <v>0</v>
      </c>
      <c r="V358" s="942"/>
      <c r="W358" s="938"/>
      <c r="X358" s="1411"/>
      <c r="Y358" s="1044"/>
      <c r="Z358" s="939"/>
      <c r="AA358" s="1411"/>
      <c r="AB358" s="1417"/>
      <c r="AC358" s="1417"/>
      <c r="AD358" s="1417"/>
      <c r="AE358" s="1417"/>
      <c r="AF358" s="1109"/>
      <c r="AG358" s="1204"/>
      <c r="AH358" s="1204"/>
      <c r="AI358" s="1204"/>
    </row>
    <row r="359" spans="1:35" s="4" customFormat="1" ht="15" customHeight="1">
      <c r="A359" s="1012"/>
      <c r="B359" s="1012"/>
      <c r="C359" s="1012"/>
      <c r="D359" s="1012"/>
      <c r="E359" s="823" t="s">
        <v>67</v>
      </c>
      <c r="F359" s="1012"/>
      <c r="G359" s="1012"/>
      <c r="H359" s="876">
        <v>162</v>
      </c>
      <c r="I359" s="889" t="s">
        <v>7</v>
      </c>
      <c r="J359" s="858">
        <v>23822241</v>
      </c>
      <c r="K359" s="858">
        <v>23822241</v>
      </c>
      <c r="L359" s="1064"/>
      <c r="M359" s="855">
        <v>40701</v>
      </c>
      <c r="N359" s="862">
        <v>23822241</v>
      </c>
      <c r="O359" s="858">
        <v>23822241</v>
      </c>
      <c r="P359" s="858">
        <v>0</v>
      </c>
      <c r="Q359" s="858">
        <v>23822241</v>
      </c>
      <c r="R359" s="1064"/>
      <c r="S359" s="1012"/>
      <c r="T359" s="840"/>
      <c r="U359" s="866">
        <v>0</v>
      </c>
      <c r="V359" s="855"/>
      <c r="W359" s="866"/>
      <c r="X359" s="827"/>
      <c r="Y359" s="1045"/>
      <c r="Z359" s="827"/>
      <c r="AA359" s="827"/>
      <c r="AB359" s="858">
        <v>0</v>
      </c>
      <c r="AC359" s="858">
        <v>0</v>
      </c>
      <c r="AD359" s="858">
        <v>23822241</v>
      </c>
      <c r="AE359" s="858">
        <v>23822241</v>
      </c>
      <c r="AF359" s="1110"/>
      <c r="AG359" s="1204"/>
      <c r="AH359" s="1204"/>
      <c r="AI359" s="1204"/>
    </row>
    <row r="360" spans="1:35" s="940" customFormat="1" ht="15" customHeight="1">
      <c r="A360" s="1250" t="s">
        <v>480</v>
      </c>
      <c r="B360" s="1250" t="s">
        <v>482</v>
      </c>
      <c r="C360" s="1250" t="s">
        <v>72</v>
      </c>
      <c r="D360" s="1250" t="s">
        <v>177</v>
      </c>
      <c r="E360" s="1250" t="s">
        <v>66</v>
      </c>
      <c r="F360" s="1250" t="s">
        <v>49</v>
      </c>
      <c r="G360" s="1250" t="s">
        <v>389</v>
      </c>
      <c r="H360" s="1450">
        <v>88</v>
      </c>
      <c r="I360" s="956" t="s">
        <v>137</v>
      </c>
      <c r="J360" s="944">
        <v>83056000</v>
      </c>
      <c r="K360" s="1255">
        <v>207640000</v>
      </c>
      <c r="L360" s="944"/>
      <c r="M360" s="1270">
        <v>40413</v>
      </c>
      <c r="N360" s="1272">
        <v>207640000</v>
      </c>
      <c r="O360" s="944">
        <v>83056000</v>
      </c>
      <c r="P360" s="944">
        <v>0</v>
      </c>
      <c r="Q360" s="944">
        <v>83056000</v>
      </c>
      <c r="R360" s="1255">
        <v>207640000</v>
      </c>
      <c r="S360" s="1250" t="s">
        <v>467</v>
      </c>
      <c r="T360" s="1271" t="s">
        <v>485</v>
      </c>
      <c r="U360" s="938">
        <v>33222400</v>
      </c>
      <c r="V360" s="1270">
        <v>40452</v>
      </c>
      <c r="W360" s="938" t="s">
        <v>137</v>
      </c>
      <c r="X360" s="1264">
        <v>83056000</v>
      </c>
      <c r="Y360" s="939"/>
      <c r="Z360" s="939"/>
      <c r="AA360" s="939"/>
      <c r="AB360" s="1255">
        <v>-83056000</v>
      </c>
      <c r="AC360" s="1255">
        <v>0</v>
      </c>
      <c r="AD360" s="1255">
        <v>124584000</v>
      </c>
      <c r="AE360" s="1255"/>
      <c r="AF360" s="1435" t="s">
        <v>437</v>
      </c>
      <c r="AG360" s="1436" t="s">
        <v>806</v>
      </c>
      <c r="AH360" s="1436" t="s">
        <v>194</v>
      </c>
      <c r="AI360" s="1436" t="s">
        <v>368</v>
      </c>
    </row>
    <row r="361" spans="1:35" s="940" customFormat="1" ht="15" customHeight="1">
      <c r="A361" s="1250"/>
      <c r="B361" s="1250"/>
      <c r="C361" s="1250"/>
      <c r="D361" s="1250"/>
      <c r="E361" s="1250"/>
      <c r="F361" s="1250"/>
      <c r="G361" s="1250"/>
      <c r="H361" s="1450"/>
      <c r="I361" s="956" t="s">
        <v>7</v>
      </c>
      <c r="J361" s="944">
        <v>124584000</v>
      </c>
      <c r="K361" s="1255"/>
      <c r="L361" s="944"/>
      <c r="M361" s="1270"/>
      <c r="N361" s="1272"/>
      <c r="O361" s="944">
        <v>124584000</v>
      </c>
      <c r="P361" s="944">
        <v>0</v>
      </c>
      <c r="Q361" s="944">
        <v>124584000</v>
      </c>
      <c r="R361" s="1255"/>
      <c r="S361" s="1250"/>
      <c r="T361" s="1271"/>
      <c r="U361" s="938">
        <v>49833600</v>
      </c>
      <c r="V361" s="1270"/>
      <c r="W361" s="938" t="s">
        <v>7</v>
      </c>
      <c r="X361" s="1264"/>
      <c r="Y361" s="939"/>
      <c r="Z361" s="939"/>
      <c r="AA361" s="939"/>
      <c r="AB361" s="1255"/>
      <c r="AC361" s="1255"/>
      <c r="AD361" s="1255"/>
      <c r="AE361" s="1255"/>
      <c r="AF361" s="1435"/>
      <c r="AG361" s="1436"/>
      <c r="AH361" s="1436"/>
      <c r="AI361" s="1436"/>
    </row>
    <row r="362" spans="1:35" s="24" customFormat="1" ht="15" customHeight="1">
      <c r="A362" s="1260" t="s">
        <v>494</v>
      </c>
      <c r="B362" s="1260" t="s">
        <v>495</v>
      </c>
      <c r="C362" s="1260" t="s">
        <v>72</v>
      </c>
      <c r="D362" s="1260" t="s">
        <v>177</v>
      </c>
      <c r="E362" s="1260" t="s">
        <v>66</v>
      </c>
      <c r="F362" s="1260" t="s">
        <v>697</v>
      </c>
      <c r="G362" s="1260" t="s">
        <v>496</v>
      </c>
      <c r="H362" s="1245">
        <v>89</v>
      </c>
      <c r="I362" s="889" t="s">
        <v>137</v>
      </c>
      <c r="J362" s="858">
        <v>30450001</v>
      </c>
      <c r="K362" s="1119">
        <v>76125003</v>
      </c>
      <c r="L362" s="1119">
        <v>76125003</v>
      </c>
      <c r="M362" s="1068">
        <v>40413</v>
      </c>
      <c r="N362" s="1119">
        <v>76125003</v>
      </c>
      <c r="O362" s="858">
        <v>30450001.199999999</v>
      </c>
      <c r="P362" s="858">
        <v>-0.19999999925494194</v>
      </c>
      <c r="Q362" s="858">
        <v>30450000</v>
      </c>
      <c r="R362" s="1119">
        <v>76125000</v>
      </c>
      <c r="S362" s="1203" t="s">
        <v>467</v>
      </c>
      <c r="T362" s="1123" t="s">
        <v>498</v>
      </c>
      <c r="U362" s="895">
        <v>12180000</v>
      </c>
      <c r="V362" s="1171">
        <v>40450</v>
      </c>
      <c r="W362" s="858" t="s">
        <v>137</v>
      </c>
      <c r="X362" s="1119">
        <v>30450000</v>
      </c>
      <c r="Y362" s="1119">
        <v>30450000</v>
      </c>
      <c r="Z362" s="1119">
        <v>0</v>
      </c>
      <c r="AA362" s="1119">
        <v>0</v>
      </c>
      <c r="AB362" s="1119">
        <v>0</v>
      </c>
      <c r="AC362" s="1119">
        <v>3</v>
      </c>
      <c r="AD362" s="1119">
        <v>45675000</v>
      </c>
      <c r="AE362" s="1119">
        <v>45675003</v>
      </c>
      <c r="AF362" s="1203" t="s">
        <v>437</v>
      </c>
      <c r="AG362" s="1203" t="s">
        <v>793</v>
      </c>
      <c r="AH362" s="1186" t="s">
        <v>195</v>
      </c>
      <c r="AI362" s="1103" t="s">
        <v>368</v>
      </c>
    </row>
    <row r="363" spans="1:35" s="24" customFormat="1" ht="15" customHeight="1">
      <c r="A363" s="1260"/>
      <c r="B363" s="1260"/>
      <c r="C363" s="1260"/>
      <c r="D363" s="1260"/>
      <c r="E363" s="1260"/>
      <c r="F363" s="1260"/>
      <c r="G363" s="1260"/>
      <c r="H363" s="1245"/>
      <c r="I363" s="1282" t="s">
        <v>7</v>
      </c>
      <c r="J363" s="1119">
        <v>45675002</v>
      </c>
      <c r="K363" s="1119"/>
      <c r="L363" s="1119"/>
      <c r="M363" s="1069"/>
      <c r="N363" s="1119"/>
      <c r="O363" s="1062">
        <v>45675001.799999997</v>
      </c>
      <c r="P363" s="1062">
        <v>0.20000000298023224</v>
      </c>
      <c r="Q363" s="1062">
        <v>45675000</v>
      </c>
      <c r="R363" s="1119"/>
      <c r="S363" s="1203"/>
      <c r="T363" s="1123"/>
      <c r="U363" s="895">
        <v>18270000</v>
      </c>
      <c r="V363" s="1171"/>
      <c r="W363" s="858" t="s">
        <v>7</v>
      </c>
      <c r="X363" s="1119"/>
      <c r="Y363" s="1119"/>
      <c r="Z363" s="1119"/>
      <c r="AA363" s="1119"/>
      <c r="AB363" s="1119"/>
      <c r="AC363" s="1119"/>
      <c r="AD363" s="1119"/>
      <c r="AE363" s="1119"/>
      <c r="AF363" s="1203"/>
      <c r="AG363" s="1203"/>
      <c r="AH363" s="1187"/>
      <c r="AI363" s="1104"/>
    </row>
    <row r="364" spans="1:35" s="24" customFormat="1" ht="15" customHeight="1">
      <c r="A364" s="1260"/>
      <c r="B364" s="1260"/>
      <c r="C364" s="1260"/>
      <c r="D364" s="1260"/>
      <c r="E364" s="1260"/>
      <c r="F364" s="1260"/>
      <c r="G364" s="1260"/>
      <c r="H364" s="1245"/>
      <c r="I364" s="1282"/>
      <c r="J364" s="1119"/>
      <c r="K364" s="1119"/>
      <c r="L364" s="1119"/>
      <c r="M364" s="1070"/>
      <c r="N364" s="1119"/>
      <c r="O364" s="1064"/>
      <c r="P364" s="1064"/>
      <c r="Q364" s="1064"/>
      <c r="R364" s="1119"/>
      <c r="S364" s="1203"/>
      <c r="T364" s="840" t="s">
        <v>497</v>
      </c>
      <c r="U364" s="895">
        <v>0</v>
      </c>
      <c r="V364" s="855"/>
      <c r="W364" s="858"/>
      <c r="X364" s="1119"/>
      <c r="Y364" s="1119">
        <v>0</v>
      </c>
      <c r="Z364" s="1119"/>
      <c r="AA364" s="1119"/>
      <c r="AB364" s="1119"/>
      <c r="AC364" s="1119"/>
      <c r="AD364" s="1119"/>
      <c r="AE364" s="1119"/>
      <c r="AF364" s="1203"/>
      <c r="AG364" s="1203"/>
      <c r="AH364" s="1188"/>
      <c r="AI364" s="1105"/>
    </row>
    <row r="365" spans="1:35" s="955" customFormat="1" ht="15" customHeight="1">
      <c r="A365" s="1449" t="s">
        <v>634</v>
      </c>
      <c r="B365" s="1449" t="s">
        <v>635</v>
      </c>
      <c r="C365" s="1449" t="s">
        <v>72</v>
      </c>
      <c r="D365" s="1449" t="s">
        <v>177</v>
      </c>
      <c r="E365" s="1449" t="s">
        <v>66</v>
      </c>
      <c r="F365" s="1449" t="s">
        <v>183</v>
      </c>
      <c r="G365" s="1449" t="s">
        <v>636</v>
      </c>
      <c r="H365" s="1269">
        <v>113</v>
      </c>
      <c r="I365" s="1271" t="s">
        <v>137</v>
      </c>
      <c r="J365" s="1255">
        <v>24534000</v>
      </c>
      <c r="K365" s="1255">
        <v>61335000</v>
      </c>
      <c r="L365" s="1255">
        <v>61335000</v>
      </c>
      <c r="M365" s="1270">
        <v>40413</v>
      </c>
      <c r="N365" s="1255">
        <v>61335000</v>
      </c>
      <c r="O365" s="1255">
        <v>24534000</v>
      </c>
      <c r="P365" s="1255">
        <v>0</v>
      </c>
      <c r="Q365" s="1255">
        <v>24534000</v>
      </c>
      <c r="R365" s="1255">
        <v>61335000</v>
      </c>
      <c r="S365" s="1435" t="s">
        <v>467</v>
      </c>
      <c r="T365" s="1271" t="s">
        <v>637</v>
      </c>
      <c r="U365" s="907">
        <v>9813600</v>
      </c>
      <c r="V365" s="1270">
        <v>40732</v>
      </c>
      <c r="W365" s="944" t="s">
        <v>137</v>
      </c>
      <c r="X365" s="1255">
        <v>61335000</v>
      </c>
      <c r="Y365" s="1255">
        <v>61335000</v>
      </c>
      <c r="Z365" s="944">
        <v>0</v>
      </c>
      <c r="AA365" s="1255">
        <v>0</v>
      </c>
      <c r="AB365" s="1255">
        <v>0</v>
      </c>
      <c r="AC365" s="1255">
        <v>0</v>
      </c>
      <c r="AD365" s="1255">
        <v>0</v>
      </c>
      <c r="AE365" s="1255">
        <v>0</v>
      </c>
      <c r="AF365" s="1449" t="s">
        <v>606</v>
      </c>
      <c r="AG365" s="1449" t="s">
        <v>774</v>
      </c>
      <c r="AH365" s="1449" t="s">
        <v>195</v>
      </c>
      <c r="AI365" s="1448" t="s">
        <v>558</v>
      </c>
    </row>
    <row r="366" spans="1:35" s="955" customFormat="1" ht="15" customHeight="1">
      <c r="A366" s="1449"/>
      <c r="B366" s="1449"/>
      <c r="C366" s="1449"/>
      <c r="D366" s="1449"/>
      <c r="E366" s="1449"/>
      <c r="F366" s="1449"/>
      <c r="G366" s="1449"/>
      <c r="H366" s="1269"/>
      <c r="I366" s="1271"/>
      <c r="J366" s="1255"/>
      <c r="K366" s="1255"/>
      <c r="L366" s="1255"/>
      <c r="M366" s="1270"/>
      <c r="N366" s="1255"/>
      <c r="O366" s="1255"/>
      <c r="P366" s="1255"/>
      <c r="Q366" s="1255"/>
      <c r="R366" s="1255"/>
      <c r="S366" s="1435"/>
      <c r="T366" s="1271"/>
      <c r="U366" s="907">
        <v>14720400</v>
      </c>
      <c r="V366" s="1270"/>
      <c r="W366" s="944" t="s">
        <v>7</v>
      </c>
      <c r="X366" s="1255"/>
      <c r="Y366" s="1255"/>
      <c r="Z366" s="944">
        <v>0</v>
      </c>
      <c r="AA366" s="1255"/>
      <c r="AB366" s="1255"/>
      <c r="AC366" s="1255"/>
      <c r="AD366" s="1255"/>
      <c r="AE366" s="1255"/>
      <c r="AF366" s="1449"/>
      <c r="AG366" s="1449"/>
      <c r="AH366" s="1449"/>
      <c r="AI366" s="1448"/>
    </row>
    <row r="367" spans="1:35" s="955" customFormat="1" ht="15" customHeight="1">
      <c r="A367" s="1449"/>
      <c r="B367" s="1449"/>
      <c r="C367" s="1449"/>
      <c r="D367" s="1449"/>
      <c r="E367" s="1449"/>
      <c r="F367" s="1449"/>
      <c r="G367" s="1449"/>
      <c r="H367" s="1269"/>
      <c r="I367" s="1271" t="s">
        <v>7</v>
      </c>
      <c r="J367" s="1255">
        <v>36801000</v>
      </c>
      <c r="K367" s="1255"/>
      <c r="L367" s="1255"/>
      <c r="M367" s="1270"/>
      <c r="N367" s="1255"/>
      <c r="O367" s="1255">
        <v>36801000</v>
      </c>
      <c r="P367" s="1255">
        <v>0</v>
      </c>
      <c r="Q367" s="1255">
        <v>36801000</v>
      </c>
      <c r="R367" s="1255"/>
      <c r="S367" s="1435"/>
      <c r="T367" s="1271" t="s">
        <v>638</v>
      </c>
      <c r="U367" s="907">
        <v>14720400</v>
      </c>
      <c r="V367" s="1270">
        <v>41593</v>
      </c>
      <c r="W367" s="944" t="s">
        <v>137</v>
      </c>
      <c r="X367" s="1255"/>
      <c r="Y367" s="1255"/>
      <c r="Z367" s="944">
        <v>0</v>
      </c>
      <c r="AA367" s="1255"/>
      <c r="AB367" s="1255"/>
      <c r="AC367" s="1255"/>
      <c r="AD367" s="1255"/>
      <c r="AE367" s="1255"/>
      <c r="AF367" s="1449"/>
      <c r="AG367" s="1449"/>
      <c r="AH367" s="1449"/>
      <c r="AI367" s="1448"/>
    </row>
    <row r="368" spans="1:35" s="955" customFormat="1" ht="15" customHeight="1">
      <c r="A368" s="1449"/>
      <c r="B368" s="1449"/>
      <c r="C368" s="1449"/>
      <c r="D368" s="1449"/>
      <c r="E368" s="1449"/>
      <c r="F368" s="1449"/>
      <c r="G368" s="1449"/>
      <c r="H368" s="1269"/>
      <c r="I368" s="1271"/>
      <c r="J368" s="1255"/>
      <c r="K368" s="1255"/>
      <c r="L368" s="1255"/>
      <c r="M368" s="1270"/>
      <c r="N368" s="1255"/>
      <c r="O368" s="1255"/>
      <c r="P368" s="1255"/>
      <c r="Q368" s="1255"/>
      <c r="R368" s="1255"/>
      <c r="S368" s="1435"/>
      <c r="T368" s="1271"/>
      <c r="U368" s="907">
        <v>22080600</v>
      </c>
      <c r="V368" s="1270"/>
      <c r="W368" s="944" t="s">
        <v>7</v>
      </c>
      <c r="X368" s="1255"/>
      <c r="Y368" s="1255"/>
      <c r="Z368" s="944">
        <v>0</v>
      </c>
      <c r="AA368" s="1255"/>
      <c r="AB368" s="1255"/>
      <c r="AC368" s="1255"/>
      <c r="AD368" s="1255"/>
      <c r="AE368" s="1255"/>
      <c r="AF368" s="1449"/>
      <c r="AG368" s="1449"/>
      <c r="AH368" s="1449"/>
      <c r="AI368" s="1448"/>
    </row>
    <row r="369" spans="1:35" ht="15" customHeight="1">
      <c r="A369" s="1076" t="s">
        <v>624</v>
      </c>
      <c r="B369" s="1076" t="s">
        <v>626</v>
      </c>
      <c r="C369" s="1076" t="s">
        <v>72</v>
      </c>
      <c r="D369" s="1076" t="s">
        <v>177</v>
      </c>
      <c r="E369" s="1076" t="s">
        <v>66</v>
      </c>
      <c r="F369" s="1076" t="s">
        <v>217</v>
      </c>
      <c r="G369" s="1076" t="s">
        <v>628</v>
      </c>
      <c r="H369" s="1251">
        <v>90</v>
      </c>
      <c r="I369" s="1123" t="s">
        <v>137</v>
      </c>
      <c r="J369" s="1119">
        <v>13456000</v>
      </c>
      <c r="K369" s="1119">
        <v>33640000</v>
      </c>
      <c r="L369" s="1119">
        <v>33640000</v>
      </c>
      <c r="M369" s="1171">
        <v>40413</v>
      </c>
      <c r="N369" s="1196">
        <v>33640000</v>
      </c>
      <c r="O369" s="1119">
        <v>13456000</v>
      </c>
      <c r="P369" s="1119">
        <v>0</v>
      </c>
      <c r="Q369" s="1119">
        <v>13437242.4</v>
      </c>
      <c r="R369" s="1119">
        <v>33593106</v>
      </c>
      <c r="S369" s="1076" t="s">
        <v>467</v>
      </c>
      <c r="T369" s="1123" t="s">
        <v>627</v>
      </c>
      <c r="U369" s="866">
        <v>5363642</v>
      </c>
      <c r="V369" s="1171">
        <v>40569</v>
      </c>
      <c r="W369" s="866" t="s">
        <v>137</v>
      </c>
      <c r="X369" s="1084">
        <v>23515174</v>
      </c>
      <c r="Y369" s="1084">
        <v>23515174</v>
      </c>
      <c r="Z369" s="827">
        <v>0</v>
      </c>
      <c r="AA369" s="1084">
        <v>18758</v>
      </c>
      <c r="AB369" s="1119">
        <v>10077942</v>
      </c>
      <c r="AC369" s="1119">
        <v>18757.599999999627</v>
      </c>
      <c r="AD369" s="1119">
        <v>-10</v>
      </c>
      <c r="AE369" s="1119">
        <v>46884.000000001863</v>
      </c>
      <c r="AF369" s="1203" t="s">
        <v>632</v>
      </c>
      <c r="AG369" s="1204" t="s">
        <v>766</v>
      </c>
      <c r="AH369" s="1204" t="s">
        <v>194</v>
      </c>
      <c r="AI369" s="1204" t="s">
        <v>558</v>
      </c>
    </row>
    <row r="370" spans="1:35" ht="15" customHeight="1">
      <c r="A370" s="1076"/>
      <c r="B370" s="1076"/>
      <c r="C370" s="1076"/>
      <c r="D370" s="1076"/>
      <c r="E370" s="1076"/>
      <c r="F370" s="1076"/>
      <c r="G370" s="1076"/>
      <c r="H370" s="1251"/>
      <c r="I370" s="1123"/>
      <c r="J370" s="1119"/>
      <c r="K370" s="1119"/>
      <c r="L370" s="1119"/>
      <c r="M370" s="1171"/>
      <c r="N370" s="1196"/>
      <c r="O370" s="1119"/>
      <c r="P370" s="1119"/>
      <c r="Q370" s="1119"/>
      <c r="R370" s="1119"/>
      <c r="S370" s="1076"/>
      <c r="T370" s="1123"/>
      <c r="U370" s="866">
        <v>8073600</v>
      </c>
      <c r="V370" s="1171"/>
      <c r="W370" s="866" t="s">
        <v>137</v>
      </c>
      <c r="X370" s="1084"/>
      <c r="Y370" s="1084"/>
      <c r="Z370" s="827">
        <v>0</v>
      </c>
      <c r="AA370" s="1084"/>
      <c r="AB370" s="1119"/>
      <c r="AC370" s="1119"/>
      <c r="AD370" s="1119"/>
      <c r="AE370" s="1119"/>
      <c r="AF370" s="1203"/>
      <c r="AG370" s="1204"/>
      <c r="AH370" s="1204"/>
      <c r="AI370" s="1204"/>
    </row>
    <row r="371" spans="1:35" ht="15" customHeight="1">
      <c r="A371" s="1076"/>
      <c r="B371" s="1076"/>
      <c r="C371" s="1076"/>
      <c r="D371" s="1076"/>
      <c r="E371" s="1076"/>
      <c r="F371" s="1076"/>
      <c r="G371" s="1076"/>
      <c r="H371" s="1251"/>
      <c r="I371" s="1123" t="s">
        <v>7</v>
      </c>
      <c r="J371" s="1119">
        <v>20184000</v>
      </c>
      <c r="K371" s="1119"/>
      <c r="L371" s="1119"/>
      <c r="M371" s="1171"/>
      <c r="N371" s="1196"/>
      <c r="O371" s="1119">
        <v>20184000</v>
      </c>
      <c r="P371" s="1119">
        <v>0</v>
      </c>
      <c r="Q371" s="1119">
        <v>20155863.599999998</v>
      </c>
      <c r="R371" s="1119"/>
      <c r="S371" s="1076"/>
      <c r="T371" s="1123" t="s">
        <v>629</v>
      </c>
      <c r="U371" s="866">
        <v>4022732</v>
      </c>
      <c r="V371" s="1171">
        <v>40666</v>
      </c>
      <c r="W371" s="866" t="s">
        <v>7</v>
      </c>
      <c r="X371" s="1084"/>
      <c r="Y371" s="1084"/>
      <c r="Z371" s="827">
        <v>0</v>
      </c>
      <c r="AA371" s="1084">
        <v>10106068</v>
      </c>
      <c r="AB371" s="1119"/>
      <c r="AC371" s="1119">
        <v>28136.400000002235</v>
      </c>
      <c r="AD371" s="1119"/>
      <c r="AE371" s="1119"/>
      <c r="AF371" s="1203"/>
      <c r="AG371" s="1204"/>
      <c r="AH371" s="1204"/>
      <c r="AI371" s="1204"/>
    </row>
    <row r="372" spans="1:35" ht="15" customHeight="1">
      <c r="A372" s="1076"/>
      <c r="B372" s="1076"/>
      <c r="C372" s="1076"/>
      <c r="D372" s="1076"/>
      <c r="E372" s="1076"/>
      <c r="F372" s="1076"/>
      <c r="G372" s="1076"/>
      <c r="H372" s="1251"/>
      <c r="I372" s="1123"/>
      <c r="J372" s="1119"/>
      <c r="K372" s="1119"/>
      <c r="L372" s="1119"/>
      <c r="M372" s="1171"/>
      <c r="N372" s="1196"/>
      <c r="O372" s="1119"/>
      <c r="P372" s="1119"/>
      <c r="Q372" s="1119"/>
      <c r="R372" s="1119"/>
      <c r="S372" s="1076"/>
      <c r="T372" s="1123"/>
      <c r="U372" s="866">
        <v>6055200</v>
      </c>
      <c r="V372" s="1171"/>
      <c r="W372" s="866" t="s">
        <v>7</v>
      </c>
      <c r="X372" s="1084"/>
      <c r="Y372" s="1084"/>
      <c r="Z372" s="827">
        <v>0</v>
      </c>
      <c r="AA372" s="1084"/>
      <c r="AB372" s="1119"/>
      <c r="AC372" s="1119"/>
      <c r="AD372" s="1119"/>
      <c r="AE372" s="1119"/>
      <c r="AF372" s="1203"/>
      <c r="AG372" s="1204"/>
      <c r="AH372" s="1204"/>
      <c r="AI372" s="1204"/>
    </row>
    <row r="373" spans="1:35" ht="15" customHeight="1">
      <c r="A373" s="1076"/>
      <c r="B373" s="1076"/>
      <c r="C373" s="1076"/>
      <c r="D373" s="1076"/>
      <c r="E373" s="1076"/>
      <c r="F373" s="1076"/>
      <c r="G373" s="1076"/>
      <c r="H373" s="1251"/>
      <c r="I373" s="1123"/>
      <c r="J373" s="1119"/>
      <c r="K373" s="1119"/>
      <c r="L373" s="1119"/>
      <c r="M373" s="1171"/>
      <c r="N373" s="1196"/>
      <c r="O373" s="1119"/>
      <c r="P373" s="1119"/>
      <c r="Q373" s="1119"/>
      <c r="R373" s="1119"/>
      <c r="S373" s="1076"/>
      <c r="T373" s="840" t="s">
        <v>631</v>
      </c>
      <c r="U373" s="866">
        <v>0</v>
      </c>
      <c r="V373" s="855"/>
      <c r="W373" s="866" t="s">
        <v>7</v>
      </c>
      <c r="X373" s="1084"/>
      <c r="Y373" s="1084"/>
      <c r="Z373" s="827">
        <v>8062345.4400000004</v>
      </c>
      <c r="AA373" s="1084"/>
      <c r="AB373" s="1119"/>
      <c r="AC373" s="1119"/>
      <c r="AD373" s="1119"/>
      <c r="AE373" s="1119"/>
      <c r="AF373" s="1203"/>
      <c r="AG373" s="1204"/>
      <c r="AH373" s="1204"/>
      <c r="AI373" s="1204"/>
    </row>
    <row r="374" spans="1:35" ht="15" customHeight="1">
      <c r="A374" s="1076"/>
      <c r="B374" s="1076"/>
      <c r="C374" s="1076"/>
      <c r="D374" s="1076"/>
      <c r="E374" s="1076"/>
      <c r="F374" s="1076"/>
      <c r="G374" s="1076"/>
      <c r="H374" s="1251"/>
      <c r="I374" s="1123"/>
      <c r="J374" s="1119"/>
      <c r="K374" s="1119"/>
      <c r="L374" s="1119"/>
      <c r="M374" s="1171"/>
      <c r="N374" s="1196"/>
      <c r="O374" s="1119"/>
      <c r="P374" s="1119"/>
      <c r="Q374" s="1119"/>
      <c r="R374" s="1119"/>
      <c r="S374" s="1076"/>
      <c r="T374" s="840" t="s">
        <v>630</v>
      </c>
      <c r="U374" s="866">
        <v>0</v>
      </c>
      <c r="V374" s="855"/>
      <c r="W374" s="866" t="s">
        <v>7</v>
      </c>
      <c r="X374" s="1084"/>
      <c r="Y374" s="1084"/>
      <c r="Z374" s="827">
        <v>2015596.36</v>
      </c>
      <c r="AA374" s="1084"/>
      <c r="AB374" s="1119"/>
      <c r="AC374" s="1119"/>
      <c r="AD374" s="1119"/>
      <c r="AE374" s="1119"/>
      <c r="AF374" s="1203"/>
      <c r="AG374" s="1204"/>
      <c r="AH374" s="1204"/>
      <c r="AI374" s="1204"/>
    </row>
    <row r="375" spans="1:35" ht="15" customHeight="1">
      <c r="A375" s="1076" t="s">
        <v>639</v>
      </c>
      <c r="B375" s="1076" t="s">
        <v>640</v>
      </c>
      <c r="C375" s="1076" t="s">
        <v>72</v>
      </c>
      <c r="D375" s="1076" t="s">
        <v>177</v>
      </c>
      <c r="E375" s="1076" t="s">
        <v>66</v>
      </c>
      <c r="F375" s="1076" t="s">
        <v>183</v>
      </c>
      <c r="G375" s="1076" t="s">
        <v>650</v>
      </c>
      <c r="H375" s="1251">
        <v>91</v>
      </c>
      <c r="I375" s="1123" t="s">
        <v>137</v>
      </c>
      <c r="J375" s="1119">
        <v>39788000</v>
      </c>
      <c r="K375" s="1119">
        <v>99470000</v>
      </c>
      <c r="L375" s="1119">
        <v>149031957</v>
      </c>
      <c r="M375" s="1171">
        <v>40707</v>
      </c>
      <c r="N375" s="1196">
        <v>99470000</v>
      </c>
      <c r="O375" s="1119">
        <v>39788000</v>
      </c>
      <c r="P375" s="1119">
        <v>0</v>
      </c>
      <c r="Q375" s="1258">
        <v>39712971.200000003</v>
      </c>
      <c r="R375" s="1119">
        <v>148844385</v>
      </c>
      <c r="S375" s="1076" t="s">
        <v>467</v>
      </c>
      <c r="T375" s="1123" t="s">
        <v>644</v>
      </c>
      <c r="U375" s="866">
        <v>15885188</v>
      </c>
      <c r="V375" s="1171">
        <v>40450</v>
      </c>
      <c r="W375" s="866" t="s">
        <v>137</v>
      </c>
      <c r="X375" s="1084">
        <v>99282428</v>
      </c>
      <c r="Y375" s="1084">
        <v>148844385</v>
      </c>
      <c r="Z375" s="827">
        <v>0.48000000230967999</v>
      </c>
      <c r="AA375" s="1084">
        <v>75029.430000001099</v>
      </c>
      <c r="AB375" s="1119">
        <v>0</v>
      </c>
      <c r="AC375" s="1119">
        <v>75028.79999999702</v>
      </c>
      <c r="AD375" s="1119">
        <v>0</v>
      </c>
      <c r="AE375" s="1119">
        <v>187572</v>
      </c>
      <c r="AF375" s="1203" t="s">
        <v>642</v>
      </c>
      <c r="AG375" s="1204" t="s">
        <v>775</v>
      </c>
      <c r="AH375" s="1204" t="s">
        <v>194</v>
      </c>
      <c r="AI375" s="1204" t="s">
        <v>558</v>
      </c>
    </row>
    <row r="376" spans="1:35" ht="15" customHeight="1">
      <c r="A376" s="1076"/>
      <c r="B376" s="1076"/>
      <c r="C376" s="1076"/>
      <c r="D376" s="1076"/>
      <c r="E376" s="1076"/>
      <c r="F376" s="1076"/>
      <c r="G376" s="1076"/>
      <c r="H376" s="1251"/>
      <c r="I376" s="1123"/>
      <c r="J376" s="1119"/>
      <c r="K376" s="1119"/>
      <c r="L376" s="1119"/>
      <c r="M376" s="1171"/>
      <c r="N376" s="1196"/>
      <c r="O376" s="1119"/>
      <c r="P376" s="1119"/>
      <c r="Q376" s="1258"/>
      <c r="R376" s="1119"/>
      <c r="S376" s="1076"/>
      <c r="T376" s="1123"/>
      <c r="U376" s="866">
        <v>23827783</v>
      </c>
      <c r="V376" s="1171"/>
      <c r="W376" s="866" t="s">
        <v>7</v>
      </c>
      <c r="X376" s="1084"/>
      <c r="Y376" s="1084"/>
      <c r="Z376" s="827">
        <v>-0.2800000011920929</v>
      </c>
      <c r="AA376" s="1084"/>
      <c r="AB376" s="1119"/>
      <c r="AC376" s="1119"/>
      <c r="AD376" s="1119"/>
      <c r="AE376" s="1119"/>
      <c r="AF376" s="1203"/>
      <c r="AG376" s="1204"/>
      <c r="AH376" s="1204"/>
      <c r="AI376" s="1204"/>
    </row>
    <row r="377" spans="1:35" ht="15" customHeight="1">
      <c r="A377" s="1076"/>
      <c r="B377" s="1076"/>
      <c r="C377" s="1076"/>
      <c r="D377" s="1076"/>
      <c r="E377" s="1076"/>
      <c r="F377" s="1076"/>
      <c r="G377" s="1076"/>
      <c r="H377" s="1251"/>
      <c r="I377" s="1123"/>
      <c r="J377" s="1119"/>
      <c r="K377" s="1119"/>
      <c r="L377" s="1119"/>
      <c r="M377" s="1171"/>
      <c r="N377" s="1196"/>
      <c r="O377" s="1119"/>
      <c r="P377" s="1119"/>
      <c r="Q377" s="1258"/>
      <c r="R377" s="1119"/>
      <c r="S377" s="1076"/>
      <c r="T377" s="1123" t="s">
        <v>645</v>
      </c>
      <c r="U377" s="866">
        <v>19848542.969999999</v>
      </c>
      <c r="V377" s="1171">
        <v>40722</v>
      </c>
      <c r="W377" s="866" t="s">
        <v>137</v>
      </c>
      <c r="X377" s="1084"/>
      <c r="Y377" s="1084"/>
      <c r="Z377" s="827">
        <v>0</v>
      </c>
      <c r="AA377" s="1084"/>
      <c r="AB377" s="1119"/>
      <c r="AC377" s="1119"/>
      <c r="AD377" s="1119"/>
      <c r="AE377" s="1119"/>
      <c r="AF377" s="1203"/>
      <c r="AG377" s="1204"/>
      <c r="AH377" s="1204"/>
      <c r="AI377" s="1204"/>
    </row>
    <row r="378" spans="1:35" ht="15" customHeight="1">
      <c r="A378" s="1076"/>
      <c r="B378" s="1076"/>
      <c r="C378" s="1076"/>
      <c r="D378" s="1076"/>
      <c r="E378" s="1076"/>
      <c r="F378" s="1076"/>
      <c r="G378" s="1076"/>
      <c r="H378" s="1251"/>
      <c r="I378" s="1123" t="s">
        <v>7</v>
      </c>
      <c r="J378" s="1119">
        <v>59682000</v>
      </c>
      <c r="K378" s="1119"/>
      <c r="L378" s="1119"/>
      <c r="M378" s="1171"/>
      <c r="N378" s="1196"/>
      <c r="O378" s="1119">
        <v>59682000</v>
      </c>
      <c r="P378" s="1119">
        <v>0</v>
      </c>
      <c r="Q378" s="1119">
        <v>59569456.799999997</v>
      </c>
      <c r="R378" s="1119"/>
      <c r="S378" s="1076"/>
      <c r="T378" s="1123"/>
      <c r="U378" s="866">
        <v>29772815.030000001</v>
      </c>
      <c r="V378" s="1171"/>
      <c r="W378" s="866" t="s">
        <v>7</v>
      </c>
      <c r="X378" s="1084"/>
      <c r="Y378" s="1084"/>
      <c r="Z378" s="827">
        <v>0</v>
      </c>
      <c r="AA378" s="1084">
        <v>112542.56999999844</v>
      </c>
      <c r="AB378" s="1119"/>
      <c r="AC378" s="1119">
        <v>112543.20000000298</v>
      </c>
      <c r="AD378" s="1119"/>
      <c r="AE378" s="1119"/>
      <c r="AF378" s="1203"/>
      <c r="AG378" s="1204"/>
      <c r="AH378" s="1204"/>
      <c r="AI378" s="1204"/>
    </row>
    <row r="379" spans="1:35" ht="15" customHeight="1">
      <c r="A379" s="1076"/>
      <c r="B379" s="1076"/>
      <c r="C379" s="1076"/>
      <c r="D379" s="1076"/>
      <c r="E379" s="1076"/>
      <c r="F379" s="1076"/>
      <c r="G379" s="1076"/>
      <c r="H379" s="1251"/>
      <c r="I379" s="1123"/>
      <c r="J379" s="1119"/>
      <c r="K379" s="1119"/>
      <c r="L379" s="1119"/>
      <c r="M379" s="1171"/>
      <c r="N379" s="1196"/>
      <c r="O379" s="1119"/>
      <c r="P379" s="1119"/>
      <c r="Q379" s="1119"/>
      <c r="R379" s="1119"/>
      <c r="S379" s="1076"/>
      <c r="T379" s="1123" t="s">
        <v>647</v>
      </c>
      <c r="U379" s="866">
        <v>3979239.6</v>
      </c>
      <c r="V379" s="1171">
        <v>41974</v>
      </c>
      <c r="W379" s="866" t="s">
        <v>137</v>
      </c>
      <c r="X379" s="1084"/>
      <c r="Y379" s="1084"/>
      <c r="Z379" s="827">
        <v>0</v>
      </c>
      <c r="AA379" s="1084"/>
      <c r="AB379" s="1119"/>
      <c r="AC379" s="1119"/>
      <c r="AD379" s="1119"/>
      <c r="AE379" s="1119"/>
      <c r="AF379" s="1203"/>
      <c r="AG379" s="1204"/>
      <c r="AH379" s="1204"/>
      <c r="AI379" s="1204"/>
    </row>
    <row r="380" spans="1:35" ht="15" customHeight="1">
      <c r="A380" s="1076"/>
      <c r="B380" s="1076"/>
      <c r="C380" s="1076"/>
      <c r="D380" s="1076"/>
      <c r="E380" s="1076"/>
      <c r="F380" s="1076"/>
      <c r="G380" s="1076"/>
      <c r="H380" s="1251"/>
      <c r="I380" s="1123"/>
      <c r="J380" s="1119"/>
      <c r="K380" s="1119"/>
      <c r="L380" s="1119"/>
      <c r="M380" s="1171"/>
      <c r="N380" s="1196"/>
      <c r="O380" s="1119"/>
      <c r="P380" s="1119"/>
      <c r="Q380" s="1119"/>
      <c r="R380" s="1119"/>
      <c r="S380" s="1076"/>
      <c r="T380" s="1123"/>
      <c r="U380" s="866">
        <v>5968859.4000000004</v>
      </c>
      <c r="V380" s="1171"/>
      <c r="W380" s="866" t="s">
        <v>7</v>
      </c>
      <c r="X380" s="1084"/>
      <c r="Y380" s="1084"/>
      <c r="Z380" s="827">
        <v>0</v>
      </c>
      <c r="AA380" s="1084"/>
      <c r="AB380" s="1119"/>
      <c r="AC380" s="1119"/>
      <c r="AD380" s="1119"/>
      <c r="AE380" s="1119"/>
      <c r="AF380" s="1203"/>
      <c r="AG380" s="1204"/>
      <c r="AH380" s="1204"/>
      <c r="AI380" s="1204"/>
    </row>
    <row r="381" spans="1:35" ht="15" customHeight="1">
      <c r="A381" s="1076"/>
      <c r="B381" s="1076"/>
      <c r="C381" s="1076"/>
      <c r="D381" s="1076"/>
      <c r="E381" s="1076" t="s">
        <v>67</v>
      </c>
      <c r="F381" s="1076"/>
      <c r="G381" s="1076"/>
      <c r="H381" s="1251">
        <v>167</v>
      </c>
      <c r="I381" s="1123" t="s">
        <v>7</v>
      </c>
      <c r="J381" s="1119">
        <v>25109273</v>
      </c>
      <c r="K381" s="1119">
        <v>25109273</v>
      </c>
      <c r="L381" s="1119"/>
      <c r="M381" s="1171">
        <v>40413</v>
      </c>
      <c r="N381" s="1196">
        <v>25109273</v>
      </c>
      <c r="O381" s="1119">
        <v>25109273</v>
      </c>
      <c r="P381" s="1119">
        <v>0</v>
      </c>
      <c r="Q381" s="1119">
        <v>25109273</v>
      </c>
      <c r="R381" s="1119"/>
      <c r="S381" s="1076"/>
      <c r="T381" s="840" t="s">
        <v>646</v>
      </c>
      <c r="U381" s="866">
        <v>22598346</v>
      </c>
      <c r="V381" s="855">
        <v>41103</v>
      </c>
      <c r="W381" s="866" t="s">
        <v>7</v>
      </c>
      <c r="X381" s="1084">
        <v>25109273</v>
      </c>
      <c r="Y381" s="1084"/>
      <c r="Z381" s="827">
        <v>0</v>
      </c>
      <c r="AA381" s="1084">
        <v>0</v>
      </c>
      <c r="AB381" s="1119">
        <v>0</v>
      </c>
      <c r="AC381" s="1119">
        <v>0</v>
      </c>
      <c r="AD381" s="1119">
        <v>0</v>
      </c>
      <c r="AE381" s="1119">
        <v>0</v>
      </c>
      <c r="AF381" s="1203"/>
      <c r="AG381" s="1204"/>
      <c r="AH381" s="1204"/>
      <c r="AI381" s="1204"/>
    </row>
    <row r="382" spans="1:35" ht="15" customHeight="1">
      <c r="A382" s="1076"/>
      <c r="B382" s="1076"/>
      <c r="C382" s="1076"/>
      <c r="D382" s="1076"/>
      <c r="E382" s="1076"/>
      <c r="F382" s="1076"/>
      <c r="G382" s="1076"/>
      <c r="H382" s="1251"/>
      <c r="I382" s="1123"/>
      <c r="J382" s="1119"/>
      <c r="K382" s="1119"/>
      <c r="L382" s="1119"/>
      <c r="M382" s="1171"/>
      <c r="N382" s="1196"/>
      <c r="O382" s="1119"/>
      <c r="P382" s="1119"/>
      <c r="Q382" s="1119"/>
      <c r="R382" s="1119"/>
      <c r="S382" s="1076"/>
      <c r="T382" s="840" t="s">
        <v>648</v>
      </c>
      <c r="U382" s="866">
        <v>2510927</v>
      </c>
      <c r="V382" s="855">
        <v>41974</v>
      </c>
      <c r="W382" s="866" t="s">
        <v>7</v>
      </c>
      <c r="X382" s="1084"/>
      <c r="Y382" s="1084"/>
      <c r="Z382" s="827">
        <v>0</v>
      </c>
      <c r="AA382" s="1084"/>
      <c r="AB382" s="1119"/>
      <c r="AC382" s="1119"/>
      <c r="AD382" s="1119"/>
      <c r="AE382" s="1119"/>
      <c r="AF382" s="1203"/>
      <c r="AG382" s="1204"/>
      <c r="AH382" s="1204"/>
      <c r="AI382" s="1204"/>
    </row>
    <row r="383" spans="1:35" ht="15" customHeight="1">
      <c r="A383" s="1076"/>
      <c r="B383" s="1076"/>
      <c r="C383" s="1076"/>
      <c r="D383" s="1076"/>
      <c r="E383" s="1076" t="s">
        <v>171</v>
      </c>
      <c r="F383" s="1076"/>
      <c r="G383" s="1076"/>
      <c r="H383" s="1251">
        <v>174</v>
      </c>
      <c r="I383" s="1123" t="s">
        <v>7</v>
      </c>
      <c r="J383" s="1119">
        <v>24452684</v>
      </c>
      <c r="K383" s="1119">
        <v>24452684</v>
      </c>
      <c r="L383" s="1119"/>
      <c r="M383" s="1171">
        <v>40745</v>
      </c>
      <c r="N383" s="1196">
        <v>24452684</v>
      </c>
      <c r="O383" s="1119">
        <v>24452684</v>
      </c>
      <c r="P383" s="1119">
        <v>0</v>
      </c>
      <c r="Q383" s="1119">
        <v>24452684</v>
      </c>
      <c r="R383" s="1119"/>
      <c r="S383" s="1076"/>
      <c r="T383" s="840" t="s">
        <v>643</v>
      </c>
      <c r="U383" s="866">
        <v>22007416</v>
      </c>
      <c r="V383" s="855">
        <v>41079</v>
      </c>
      <c r="W383" s="866" t="s">
        <v>7</v>
      </c>
      <c r="X383" s="1084">
        <v>24452684</v>
      </c>
      <c r="Y383" s="1084"/>
      <c r="Z383" s="827">
        <v>0</v>
      </c>
      <c r="AA383" s="1084">
        <v>0</v>
      </c>
      <c r="AB383" s="1119">
        <v>0</v>
      </c>
      <c r="AC383" s="1119">
        <v>0</v>
      </c>
      <c r="AD383" s="1119">
        <v>0</v>
      </c>
      <c r="AE383" s="1119">
        <v>0</v>
      </c>
      <c r="AF383" s="1203"/>
      <c r="AG383" s="1204"/>
      <c r="AH383" s="1204"/>
      <c r="AI383" s="1204"/>
    </row>
    <row r="384" spans="1:35" ht="15" customHeight="1">
      <c r="A384" s="1076"/>
      <c r="B384" s="1076"/>
      <c r="C384" s="1076"/>
      <c r="D384" s="1076"/>
      <c r="E384" s="1076"/>
      <c r="F384" s="1076"/>
      <c r="G384" s="1076"/>
      <c r="H384" s="1251"/>
      <c r="I384" s="1123"/>
      <c r="J384" s="1119"/>
      <c r="K384" s="1119"/>
      <c r="L384" s="1119"/>
      <c r="M384" s="1171"/>
      <c r="N384" s="1196"/>
      <c r="O384" s="1119"/>
      <c r="P384" s="1119"/>
      <c r="Q384" s="1119"/>
      <c r="R384" s="1119"/>
      <c r="S384" s="1076"/>
      <c r="T384" s="840" t="s">
        <v>649</v>
      </c>
      <c r="U384" s="866">
        <v>2445268</v>
      </c>
      <c r="V384" s="855">
        <v>41974</v>
      </c>
      <c r="W384" s="866" t="s">
        <v>7</v>
      </c>
      <c r="X384" s="1084"/>
      <c r="Y384" s="1084"/>
      <c r="Z384" s="827">
        <v>0</v>
      </c>
      <c r="AA384" s="1084"/>
      <c r="AB384" s="1119"/>
      <c r="AC384" s="1119"/>
      <c r="AD384" s="1119"/>
      <c r="AE384" s="1119"/>
      <c r="AF384" s="1203"/>
      <c r="AG384" s="1204"/>
      <c r="AH384" s="1204"/>
      <c r="AI384" s="1204"/>
    </row>
    <row r="385" spans="1:35" s="955" customFormat="1" ht="15" customHeight="1">
      <c r="A385" s="1449" t="s">
        <v>653</v>
      </c>
      <c r="B385" s="1449" t="s">
        <v>656</v>
      </c>
      <c r="C385" s="1449" t="s">
        <v>72</v>
      </c>
      <c r="D385" s="1449" t="s">
        <v>177</v>
      </c>
      <c r="E385" s="1449" t="s">
        <v>66</v>
      </c>
      <c r="F385" s="1449" t="s">
        <v>49</v>
      </c>
      <c r="G385" s="1449" t="s">
        <v>657</v>
      </c>
      <c r="H385" s="1269">
        <v>92</v>
      </c>
      <c r="I385" s="1271" t="s">
        <v>137</v>
      </c>
      <c r="J385" s="1255">
        <v>29232000</v>
      </c>
      <c r="K385" s="1255">
        <v>73080000</v>
      </c>
      <c r="L385" s="1255">
        <v>73080000</v>
      </c>
      <c r="M385" s="1270">
        <v>40413</v>
      </c>
      <c r="N385" s="1255">
        <v>73080000</v>
      </c>
      <c r="O385" s="1255">
        <v>29232000</v>
      </c>
      <c r="P385" s="1255">
        <v>0</v>
      </c>
      <c r="Q385" s="1255">
        <v>29232000</v>
      </c>
      <c r="R385" s="1255">
        <v>73080000</v>
      </c>
      <c r="S385" s="1435" t="s">
        <v>467</v>
      </c>
      <c r="T385" s="1271" t="s">
        <v>658</v>
      </c>
      <c r="U385" s="907">
        <v>11692800</v>
      </c>
      <c r="V385" s="1270">
        <v>40466</v>
      </c>
      <c r="W385" s="944" t="s">
        <v>137</v>
      </c>
      <c r="X385" s="1255">
        <v>68695200</v>
      </c>
      <c r="Y385" s="1255">
        <v>68695200</v>
      </c>
      <c r="Z385" s="944">
        <v>0</v>
      </c>
      <c r="AA385" s="1255">
        <v>1753920</v>
      </c>
      <c r="AB385" s="1255">
        <v>-2923200</v>
      </c>
      <c r="AC385" s="1255">
        <v>0</v>
      </c>
      <c r="AD385" s="1255">
        <v>4384800</v>
      </c>
      <c r="AE385" s="1255"/>
      <c r="AF385" s="1449" t="s">
        <v>660</v>
      </c>
      <c r="AG385" s="1449" t="s">
        <v>776</v>
      </c>
      <c r="AH385" s="1448" t="s">
        <v>195</v>
      </c>
      <c r="AI385" s="1448" t="s">
        <v>558</v>
      </c>
    </row>
    <row r="386" spans="1:35" s="955" customFormat="1" ht="15" customHeight="1">
      <c r="A386" s="1449"/>
      <c r="B386" s="1449"/>
      <c r="C386" s="1449"/>
      <c r="D386" s="1449"/>
      <c r="E386" s="1449"/>
      <c r="F386" s="1449"/>
      <c r="G386" s="1449"/>
      <c r="H386" s="1269"/>
      <c r="I386" s="1271"/>
      <c r="J386" s="1255"/>
      <c r="K386" s="1255"/>
      <c r="L386" s="1255"/>
      <c r="M386" s="1270"/>
      <c r="N386" s="1255"/>
      <c r="O386" s="1255"/>
      <c r="P386" s="1255"/>
      <c r="Q386" s="1255"/>
      <c r="R386" s="1255"/>
      <c r="S386" s="1435"/>
      <c r="T386" s="1271"/>
      <c r="U386" s="907">
        <v>17539200</v>
      </c>
      <c r="V386" s="1270"/>
      <c r="W386" s="944" t="s">
        <v>7</v>
      </c>
      <c r="X386" s="1255"/>
      <c r="Y386" s="1255"/>
      <c r="Z386" s="944">
        <v>0</v>
      </c>
      <c r="AA386" s="1255"/>
      <c r="AB386" s="1255"/>
      <c r="AC386" s="1255"/>
      <c r="AD386" s="1255"/>
      <c r="AE386" s="1255"/>
      <c r="AF386" s="1449"/>
      <c r="AG386" s="1449"/>
      <c r="AH386" s="1448"/>
      <c r="AI386" s="1448"/>
    </row>
    <row r="387" spans="1:35" s="955" customFormat="1" ht="15" customHeight="1">
      <c r="A387" s="1449"/>
      <c r="B387" s="1449"/>
      <c r="C387" s="1449"/>
      <c r="D387" s="1449"/>
      <c r="E387" s="1449"/>
      <c r="F387" s="1449"/>
      <c r="G387" s="1449"/>
      <c r="H387" s="1269"/>
      <c r="I387" s="1271" t="s">
        <v>7</v>
      </c>
      <c r="J387" s="1255">
        <v>43848000</v>
      </c>
      <c r="K387" s="1255"/>
      <c r="L387" s="1255"/>
      <c r="M387" s="1270"/>
      <c r="N387" s="1255"/>
      <c r="O387" s="1255">
        <v>43848000</v>
      </c>
      <c r="P387" s="1255">
        <v>0</v>
      </c>
      <c r="Q387" s="1255">
        <v>43848000</v>
      </c>
      <c r="R387" s="1255"/>
      <c r="S387" s="1435"/>
      <c r="T387" s="1271" t="s">
        <v>659</v>
      </c>
      <c r="U387" s="907">
        <v>15785280</v>
      </c>
      <c r="V387" s="1270">
        <v>41297</v>
      </c>
      <c r="W387" s="944" t="s">
        <v>137</v>
      </c>
      <c r="X387" s="1255"/>
      <c r="Y387" s="1255"/>
      <c r="Z387" s="944">
        <v>0</v>
      </c>
      <c r="AA387" s="1255">
        <v>2630880</v>
      </c>
      <c r="AB387" s="1255"/>
      <c r="AC387" s="1255"/>
      <c r="AD387" s="1255"/>
      <c r="AE387" s="1255"/>
      <c r="AF387" s="1449"/>
      <c r="AG387" s="1449"/>
      <c r="AH387" s="1448"/>
      <c r="AI387" s="1448"/>
    </row>
    <row r="388" spans="1:35" s="955" customFormat="1" ht="15" customHeight="1">
      <c r="A388" s="1449"/>
      <c r="B388" s="1449"/>
      <c r="C388" s="1449"/>
      <c r="D388" s="1449"/>
      <c r="E388" s="1449"/>
      <c r="F388" s="1449"/>
      <c r="G388" s="1449"/>
      <c r="H388" s="1269"/>
      <c r="I388" s="1271"/>
      <c r="J388" s="1255"/>
      <c r="K388" s="1255"/>
      <c r="L388" s="1255"/>
      <c r="M388" s="1270"/>
      <c r="N388" s="1255"/>
      <c r="O388" s="1255"/>
      <c r="P388" s="1255"/>
      <c r="Q388" s="1255"/>
      <c r="R388" s="1255"/>
      <c r="S388" s="1435"/>
      <c r="T388" s="1271"/>
      <c r="U388" s="907">
        <v>23677920</v>
      </c>
      <c r="V388" s="1270"/>
      <c r="W388" s="944" t="s">
        <v>7</v>
      </c>
      <c r="X388" s="1255"/>
      <c r="Y388" s="1255"/>
      <c r="Z388" s="944">
        <v>0</v>
      </c>
      <c r="AA388" s="1255"/>
      <c r="AB388" s="1255"/>
      <c r="AC388" s="1255"/>
      <c r="AD388" s="1255"/>
      <c r="AE388" s="1255"/>
      <c r="AF388" s="1449"/>
      <c r="AG388" s="1449"/>
      <c r="AH388" s="1448"/>
      <c r="AI388" s="1448"/>
    </row>
    <row r="389" spans="1:35" s="26" customFormat="1" ht="15" customHeight="1">
      <c r="A389" s="1260" t="s">
        <v>654</v>
      </c>
      <c r="B389" s="1260" t="s">
        <v>662</v>
      </c>
      <c r="C389" s="1260" t="s">
        <v>72</v>
      </c>
      <c r="D389" s="1260" t="s">
        <v>177</v>
      </c>
      <c r="E389" s="1260" t="s">
        <v>66</v>
      </c>
      <c r="F389" s="1260" t="s">
        <v>217</v>
      </c>
      <c r="G389" s="1260" t="s">
        <v>663</v>
      </c>
      <c r="H389" s="1251">
        <v>93</v>
      </c>
      <c r="I389" s="840" t="s">
        <v>137</v>
      </c>
      <c r="J389" s="858">
        <v>17400000</v>
      </c>
      <c r="K389" s="1119">
        <v>43500000</v>
      </c>
      <c r="L389" s="1276">
        <v>52256550</v>
      </c>
      <c r="M389" s="1171">
        <v>40413</v>
      </c>
      <c r="N389" s="1119">
        <v>43500000</v>
      </c>
      <c r="O389" s="858">
        <v>17400000</v>
      </c>
      <c r="P389" s="858">
        <v>0</v>
      </c>
      <c r="Q389" s="858">
        <v>17386590.400000002</v>
      </c>
      <c r="R389" s="1284">
        <v>52223026</v>
      </c>
      <c r="S389" s="1203" t="s">
        <v>467</v>
      </c>
      <c r="T389" s="1123" t="s">
        <v>664</v>
      </c>
      <c r="U389" s="895">
        <v>15647931</v>
      </c>
      <c r="V389" s="1171">
        <v>41017</v>
      </c>
      <c r="W389" s="858" t="s">
        <v>7</v>
      </c>
      <c r="X389" s="1119">
        <v>39119828</v>
      </c>
      <c r="Y389" s="1119">
        <v>47000723</v>
      </c>
      <c r="Z389" s="858">
        <v>0</v>
      </c>
      <c r="AA389" s="858">
        <v>-6071897</v>
      </c>
      <c r="AB389" s="1119">
        <v>4346648</v>
      </c>
      <c r="AC389" s="858">
        <v>13409.599999997765</v>
      </c>
      <c r="AD389" s="1119">
        <v>0</v>
      </c>
      <c r="AE389" s="1119">
        <v>33524</v>
      </c>
      <c r="AF389" s="1203" t="s">
        <v>512</v>
      </c>
      <c r="AG389" s="1203" t="s">
        <v>666</v>
      </c>
      <c r="AH389" s="1438" t="s">
        <v>195</v>
      </c>
      <c r="AI389" s="1438" t="s">
        <v>558</v>
      </c>
    </row>
    <row r="390" spans="1:35" s="26" customFormat="1" ht="15" customHeight="1">
      <c r="A390" s="1260"/>
      <c r="B390" s="1260"/>
      <c r="C390" s="1260"/>
      <c r="D390" s="1260"/>
      <c r="E390" s="1260"/>
      <c r="F390" s="1260"/>
      <c r="G390" s="1260"/>
      <c r="H390" s="1251"/>
      <c r="I390" s="1123" t="s">
        <v>7</v>
      </c>
      <c r="J390" s="1119">
        <v>26100000</v>
      </c>
      <c r="K390" s="1119"/>
      <c r="L390" s="1276"/>
      <c r="M390" s="1171"/>
      <c r="N390" s="1119"/>
      <c r="O390" s="1119">
        <v>26100000</v>
      </c>
      <c r="P390" s="1119">
        <v>0</v>
      </c>
      <c r="Q390" s="1119">
        <v>26079885.599999998</v>
      </c>
      <c r="R390" s="1284"/>
      <c r="S390" s="1203"/>
      <c r="T390" s="1123"/>
      <c r="U390" s="895">
        <v>23471897</v>
      </c>
      <c r="V390" s="1171"/>
      <c r="W390" s="858" t="s">
        <v>137</v>
      </c>
      <c r="X390" s="1119"/>
      <c r="Y390" s="1119"/>
      <c r="Z390" s="858">
        <v>0</v>
      </c>
      <c r="AA390" s="1119">
        <v>10452069</v>
      </c>
      <c r="AB390" s="1119"/>
      <c r="AC390" s="1119">
        <v>20114.400000002235</v>
      </c>
      <c r="AD390" s="1119"/>
      <c r="AE390" s="1119"/>
      <c r="AF390" s="1203"/>
      <c r="AG390" s="1203"/>
      <c r="AH390" s="1438"/>
      <c r="AI390" s="1438"/>
    </row>
    <row r="391" spans="1:35" s="26" customFormat="1" ht="15" customHeight="1">
      <c r="A391" s="1260"/>
      <c r="B391" s="1260"/>
      <c r="C391" s="1260"/>
      <c r="D391" s="1260"/>
      <c r="E391" s="1260"/>
      <c r="F391" s="1260"/>
      <c r="G391" s="1260"/>
      <c r="H391" s="1251"/>
      <c r="I391" s="1123"/>
      <c r="J391" s="1119"/>
      <c r="K391" s="1119"/>
      <c r="L391" s="1276"/>
      <c r="M391" s="1171"/>
      <c r="N391" s="1119"/>
      <c r="O391" s="1119"/>
      <c r="P391" s="1119"/>
      <c r="Q391" s="1119"/>
      <c r="R391" s="1284"/>
      <c r="S391" s="1203"/>
      <c r="T391" s="840" t="s">
        <v>767</v>
      </c>
      <c r="U391" s="895">
        <v>0</v>
      </c>
      <c r="V391" s="855"/>
      <c r="W391" s="858" t="s">
        <v>7</v>
      </c>
      <c r="X391" s="1119"/>
      <c r="Y391" s="1119"/>
      <c r="Z391" s="858">
        <v>4346648</v>
      </c>
      <c r="AA391" s="1119"/>
      <c r="AB391" s="1119"/>
      <c r="AC391" s="1119"/>
      <c r="AD391" s="1119"/>
      <c r="AE391" s="1119"/>
      <c r="AF391" s="1203"/>
      <c r="AG391" s="1203"/>
      <c r="AH391" s="1438"/>
      <c r="AI391" s="1438"/>
    </row>
    <row r="392" spans="1:35" s="26" customFormat="1" ht="15" customHeight="1">
      <c r="A392" s="1260"/>
      <c r="B392" s="1260"/>
      <c r="C392" s="1260"/>
      <c r="D392" s="1260"/>
      <c r="E392" s="1260" t="s">
        <v>67</v>
      </c>
      <c r="F392" s="1260"/>
      <c r="G392" s="1260"/>
      <c r="H392" s="1268">
        <v>174</v>
      </c>
      <c r="I392" s="1123" t="s">
        <v>7</v>
      </c>
      <c r="J392" s="1119">
        <v>8756550</v>
      </c>
      <c r="K392" s="1119">
        <v>8756550</v>
      </c>
      <c r="L392" s="1276"/>
      <c r="M392" s="1171"/>
      <c r="N392" s="1119">
        <v>8756550</v>
      </c>
      <c r="O392" s="1119">
        <v>8756550</v>
      </c>
      <c r="P392" s="1119">
        <v>0</v>
      </c>
      <c r="Q392" s="1119">
        <v>8756550</v>
      </c>
      <c r="R392" s="1284"/>
      <c r="S392" s="1203"/>
      <c r="T392" s="840" t="s">
        <v>665</v>
      </c>
      <c r="U392" s="895">
        <v>7880895</v>
      </c>
      <c r="V392" s="855">
        <v>41017</v>
      </c>
      <c r="W392" s="858" t="s">
        <v>7</v>
      </c>
      <c r="X392" s="1119">
        <v>7880895</v>
      </c>
      <c r="Y392" s="1119"/>
      <c r="Z392" s="858">
        <v>0</v>
      </c>
      <c r="AA392" s="1119">
        <v>875655</v>
      </c>
      <c r="AB392" s="1119">
        <v>875655</v>
      </c>
      <c r="AC392" s="1119">
        <v>0</v>
      </c>
      <c r="AD392" s="1119">
        <v>0</v>
      </c>
      <c r="AE392" s="1119">
        <v>0</v>
      </c>
      <c r="AF392" s="1203"/>
      <c r="AG392" s="1203"/>
      <c r="AH392" s="1438"/>
      <c r="AI392" s="1438"/>
    </row>
    <row r="393" spans="1:35" s="26" customFormat="1" ht="15" customHeight="1">
      <c r="A393" s="1260"/>
      <c r="B393" s="1260"/>
      <c r="C393" s="1260"/>
      <c r="D393" s="1260"/>
      <c r="E393" s="1260"/>
      <c r="F393" s="1260"/>
      <c r="G393" s="1260"/>
      <c r="H393" s="1268"/>
      <c r="I393" s="1123"/>
      <c r="J393" s="1119"/>
      <c r="K393" s="1119"/>
      <c r="L393" s="1276"/>
      <c r="M393" s="1171"/>
      <c r="N393" s="1119"/>
      <c r="O393" s="1119"/>
      <c r="P393" s="1119"/>
      <c r="Q393" s="1119"/>
      <c r="R393" s="1284"/>
      <c r="S393" s="1203"/>
      <c r="T393" s="840" t="s">
        <v>767</v>
      </c>
      <c r="U393" s="895">
        <v>0</v>
      </c>
      <c r="V393" s="855"/>
      <c r="W393" s="858" t="s">
        <v>7</v>
      </c>
      <c r="X393" s="1119"/>
      <c r="Y393" s="1119"/>
      <c r="Z393" s="858">
        <v>875655</v>
      </c>
      <c r="AA393" s="1119"/>
      <c r="AB393" s="1119"/>
      <c r="AC393" s="1119"/>
      <c r="AD393" s="1119"/>
      <c r="AE393" s="1119"/>
      <c r="AF393" s="1203"/>
      <c r="AG393" s="1203"/>
      <c r="AH393" s="1438"/>
      <c r="AI393" s="1438"/>
    </row>
    <row r="394" spans="1:35" s="26" customFormat="1" ht="15" customHeight="1">
      <c r="A394" s="1260" t="s">
        <v>652</v>
      </c>
      <c r="B394" s="1260" t="s">
        <v>668</v>
      </c>
      <c r="C394" s="1260" t="s">
        <v>72</v>
      </c>
      <c r="D394" s="1260" t="s">
        <v>177</v>
      </c>
      <c r="E394" s="1260" t="s">
        <v>66</v>
      </c>
      <c r="F394" s="1260" t="s">
        <v>183</v>
      </c>
      <c r="G394" s="1260" t="s">
        <v>651</v>
      </c>
      <c r="H394" s="1251">
        <v>94</v>
      </c>
      <c r="I394" s="1123" t="s">
        <v>137</v>
      </c>
      <c r="J394" s="1119">
        <v>22968000</v>
      </c>
      <c r="K394" s="1119">
        <v>57420000</v>
      </c>
      <c r="L394" s="1119">
        <v>77105200</v>
      </c>
      <c r="M394" s="1171">
        <v>40413</v>
      </c>
      <c r="N394" s="1119">
        <v>22968000</v>
      </c>
      <c r="O394" s="1119">
        <v>22968000</v>
      </c>
      <c r="P394" s="1119">
        <v>0</v>
      </c>
      <c r="Q394" s="1119">
        <v>22968000</v>
      </c>
      <c r="R394" s="1119">
        <v>77105200</v>
      </c>
      <c r="S394" s="1203" t="s">
        <v>467</v>
      </c>
      <c r="T394" s="840" t="s">
        <v>2651</v>
      </c>
      <c r="U394" s="895">
        <v>9187200</v>
      </c>
      <c r="V394" s="855">
        <v>40490</v>
      </c>
      <c r="W394" s="1062" t="s">
        <v>137</v>
      </c>
      <c r="X394" s="1119">
        <v>57420000.019999996</v>
      </c>
      <c r="Y394" s="1119">
        <v>77105200.019999996</v>
      </c>
      <c r="Z394" s="858">
        <v>0</v>
      </c>
      <c r="AA394" s="1119">
        <v>0</v>
      </c>
      <c r="AB394" s="1119">
        <v>-1.9999995827674866E-2</v>
      </c>
      <c r="AC394" s="1119">
        <v>0</v>
      </c>
      <c r="AD394" s="1119">
        <v>0</v>
      </c>
      <c r="AE394" s="1119">
        <v>0</v>
      </c>
      <c r="AF394" s="1203"/>
      <c r="AG394" s="1283" t="s">
        <v>2372</v>
      </c>
      <c r="AH394" s="1438" t="s">
        <v>195</v>
      </c>
      <c r="AI394" s="1438" t="s">
        <v>558</v>
      </c>
    </row>
    <row r="395" spans="1:35" s="26" customFormat="1" ht="15" customHeight="1">
      <c r="A395" s="1260"/>
      <c r="B395" s="1260"/>
      <c r="C395" s="1260"/>
      <c r="D395" s="1260"/>
      <c r="E395" s="1260"/>
      <c r="F395" s="1260"/>
      <c r="G395" s="1260"/>
      <c r="H395" s="1251"/>
      <c r="I395" s="1123"/>
      <c r="J395" s="1119"/>
      <c r="K395" s="1119"/>
      <c r="L395" s="1119"/>
      <c r="M395" s="1171"/>
      <c r="N395" s="1119"/>
      <c r="O395" s="1119"/>
      <c r="P395" s="1119"/>
      <c r="Q395" s="1119"/>
      <c r="R395" s="1119"/>
      <c r="S395" s="1203"/>
      <c r="T395" s="840" t="s">
        <v>2648</v>
      </c>
      <c r="U395" s="895">
        <v>11919659.4</v>
      </c>
      <c r="V395" s="855">
        <v>43067</v>
      </c>
      <c r="W395" s="1063"/>
      <c r="X395" s="1119"/>
      <c r="Y395" s="1119"/>
      <c r="Z395" s="858"/>
      <c r="AA395" s="1119"/>
      <c r="AB395" s="1119"/>
      <c r="AC395" s="1119"/>
      <c r="AD395" s="1119"/>
      <c r="AE395" s="1119"/>
      <c r="AF395" s="1203"/>
      <c r="AG395" s="1283"/>
      <c r="AH395" s="1438"/>
      <c r="AI395" s="1438"/>
    </row>
    <row r="396" spans="1:35" s="26" customFormat="1" ht="15" customHeight="1">
      <c r="A396" s="1260"/>
      <c r="B396" s="1260"/>
      <c r="C396" s="1260"/>
      <c r="D396" s="1260"/>
      <c r="E396" s="1260"/>
      <c r="F396" s="1260"/>
      <c r="G396" s="1260"/>
      <c r="H396" s="1251"/>
      <c r="I396" s="1123"/>
      <c r="J396" s="1119"/>
      <c r="K396" s="1119"/>
      <c r="L396" s="1119"/>
      <c r="M396" s="1171"/>
      <c r="N396" s="1119"/>
      <c r="O396" s="1119"/>
      <c r="P396" s="1119"/>
      <c r="Q396" s="1119"/>
      <c r="R396" s="1119"/>
      <c r="S396" s="1203"/>
      <c r="T396" s="840" t="s">
        <v>2650</v>
      </c>
      <c r="U396" s="895">
        <v>1861140.61</v>
      </c>
      <c r="V396" s="855">
        <v>43069</v>
      </c>
      <c r="W396" s="1064"/>
      <c r="X396" s="1119"/>
      <c r="Y396" s="1119"/>
      <c r="Z396" s="858">
        <v>11919659.390000001</v>
      </c>
      <c r="AA396" s="1119"/>
      <c r="AB396" s="1119"/>
      <c r="AC396" s="1119"/>
      <c r="AD396" s="1119"/>
      <c r="AE396" s="1119"/>
      <c r="AF396" s="1203"/>
      <c r="AG396" s="1203"/>
      <c r="AH396" s="1438"/>
      <c r="AI396" s="1438"/>
    </row>
    <row r="397" spans="1:35" s="26" customFormat="1" ht="15" customHeight="1">
      <c r="A397" s="1260"/>
      <c r="B397" s="1260"/>
      <c r="C397" s="1260"/>
      <c r="D397" s="1260"/>
      <c r="E397" s="1260"/>
      <c r="F397" s="1260"/>
      <c r="G397" s="1260"/>
      <c r="H397" s="1251"/>
      <c r="I397" s="1123" t="s">
        <v>7</v>
      </c>
      <c r="J397" s="1119">
        <v>34452000</v>
      </c>
      <c r="K397" s="1119"/>
      <c r="L397" s="1119"/>
      <c r="M397" s="1171"/>
      <c r="N397" s="1119"/>
      <c r="O397" s="1119">
        <v>34452000</v>
      </c>
      <c r="P397" s="1119">
        <v>0</v>
      </c>
      <c r="Q397" s="1119">
        <v>34452000</v>
      </c>
      <c r="R397" s="1119"/>
      <c r="S397" s="1203"/>
      <c r="T397" s="840" t="s">
        <v>2651</v>
      </c>
      <c r="U397" s="895">
        <v>13780800</v>
      </c>
      <c r="V397" s="855">
        <v>40490</v>
      </c>
      <c r="W397" s="1062" t="s">
        <v>7</v>
      </c>
      <c r="X397" s="1119"/>
      <c r="Y397" s="1119"/>
      <c r="Z397" s="858">
        <v>0</v>
      </c>
      <c r="AA397" s="1119">
        <v>29799148.469999999</v>
      </c>
      <c r="AB397" s="1119"/>
      <c r="AC397" s="1119"/>
      <c r="AD397" s="1119"/>
      <c r="AE397" s="1119"/>
      <c r="AF397" s="1203"/>
      <c r="AG397" s="1203"/>
      <c r="AH397" s="1438"/>
      <c r="AI397" s="1438"/>
    </row>
    <row r="398" spans="1:35" s="26" customFormat="1" ht="15" customHeight="1">
      <c r="A398" s="1260"/>
      <c r="B398" s="1260"/>
      <c r="C398" s="1260"/>
      <c r="D398" s="1260"/>
      <c r="E398" s="1260"/>
      <c r="F398" s="1260"/>
      <c r="G398" s="1260"/>
      <c r="H398" s="1251"/>
      <c r="I398" s="1123"/>
      <c r="J398" s="1119"/>
      <c r="K398" s="1119"/>
      <c r="L398" s="1119"/>
      <c r="M398" s="1171"/>
      <c r="N398" s="1119"/>
      <c r="O398" s="1119"/>
      <c r="P398" s="1119"/>
      <c r="Q398" s="1119"/>
      <c r="R398" s="1119"/>
      <c r="S398" s="1203"/>
      <c r="T398" s="840" t="s">
        <v>2647</v>
      </c>
      <c r="U398" s="895">
        <v>17879489.09</v>
      </c>
      <c r="V398" s="855">
        <v>43067</v>
      </c>
      <c r="W398" s="1063"/>
      <c r="X398" s="1119"/>
      <c r="Y398" s="1119"/>
      <c r="Z398" s="858"/>
      <c r="AA398" s="1119"/>
      <c r="AB398" s="1119"/>
      <c r="AC398" s="1119"/>
      <c r="AD398" s="1119"/>
      <c r="AE398" s="1119"/>
      <c r="AF398" s="1203"/>
      <c r="AG398" s="1203"/>
      <c r="AH398" s="1438"/>
      <c r="AI398" s="1438"/>
    </row>
    <row r="399" spans="1:35" s="26" customFormat="1" ht="15" customHeight="1">
      <c r="A399" s="1260"/>
      <c r="B399" s="1260"/>
      <c r="C399" s="1260"/>
      <c r="D399" s="1260"/>
      <c r="E399" s="1260"/>
      <c r="F399" s="1260"/>
      <c r="G399" s="1260"/>
      <c r="H399" s="1251"/>
      <c r="I399" s="1123"/>
      <c r="J399" s="1119"/>
      <c r="K399" s="1119"/>
      <c r="L399" s="1119"/>
      <c r="M399" s="1171"/>
      <c r="N399" s="1119"/>
      <c r="O399" s="1119"/>
      <c r="P399" s="1119"/>
      <c r="Q399" s="1119"/>
      <c r="R399" s="1119"/>
      <c r="S399" s="1203"/>
      <c r="T399" s="840" t="s">
        <v>2649</v>
      </c>
      <c r="U399" s="895">
        <v>2791710.92</v>
      </c>
      <c r="V399" s="855">
        <v>43069</v>
      </c>
      <c r="W399" s="1064"/>
      <c r="X399" s="1119"/>
      <c r="Y399" s="1119"/>
      <c r="Z399" s="858">
        <v>17879489.079999998</v>
      </c>
      <c r="AA399" s="1119"/>
      <c r="AB399" s="1119"/>
      <c r="AC399" s="1119"/>
      <c r="AD399" s="1119"/>
      <c r="AE399" s="1119"/>
      <c r="AF399" s="1203"/>
      <c r="AG399" s="1203"/>
      <c r="AH399" s="1438"/>
      <c r="AI399" s="1438"/>
    </row>
    <row r="400" spans="1:35" s="26" customFormat="1" ht="15" customHeight="1">
      <c r="A400" s="1260"/>
      <c r="B400" s="1260"/>
      <c r="C400" s="1260"/>
      <c r="D400" s="1260"/>
      <c r="E400" s="882" t="s">
        <v>171</v>
      </c>
      <c r="F400" s="1260"/>
      <c r="G400" s="1260"/>
      <c r="H400" s="879">
        <v>204</v>
      </c>
      <c r="I400" s="840" t="s">
        <v>7</v>
      </c>
      <c r="J400" s="858">
        <v>19685200</v>
      </c>
      <c r="K400" s="858">
        <v>19685200</v>
      </c>
      <c r="L400" s="1119"/>
      <c r="M400" s="855">
        <v>40779</v>
      </c>
      <c r="N400" s="858">
        <v>19685200</v>
      </c>
      <c r="O400" s="858">
        <v>19685200</v>
      </c>
      <c r="P400" s="858">
        <v>0</v>
      </c>
      <c r="Q400" s="858">
        <v>19685200</v>
      </c>
      <c r="R400" s="1119"/>
      <c r="S400" s="1203"/>
      <c r="T400" s="840" t="s">
        <v>768</v>
      </c>
      <c r="U400" s="895">
        <v>19685200</v>
      </c>
      <c r="V400" s="855">
        <v>43069</v>
      </c>
      <c r="W400" s="858" t="s">
        <v>7</v>
      </c>
      <c r="X400" s="858">
        <v>19685200</v>
      </c>
      <c r="Y400" s="1119"/>
      <c r="Z400" s="858">
        <v>0</v>
      </c>
      <c r="AA400" s="858">
        <v>0</v>
      </c>
      <c r="AB400" s="1119"/>
      <c r="AC400" s="858">
        <v>0</v>
      </c>
      <c r="AD400" s="858">
        <v>0</v>
      </c>
      <c r="AE400" s="858">
        <v>0</v>
      </c>
      <c r="AF400" s="1203"/>
      <c r="AG400" s="1203"/>
      <c r="AH400" s="1438"/>
      <c r="AI400" s="1438"/>
    </row>
    <row r="401" spans="1:35" s="4" customFormat="1" ht="15" customHeight="1">
      <c r="A401" s="1076" t="s">
        <v>486</v>
      </c>
      <c r="B401" s="1076" t="s">
        <v>488</v>
      </c>
      <c r="C401" s="1076" t="s">
        <v>72</v>
      </c>
      <c r="D401" s="1076" t="s">
        <v>177</v>
      </c>
      <c r="E401" s="1076" t="s">
        <v>489</v>
      </c>
      <c r="F401" s="1076" t="s">
        <v>49</v>
      </c>
      <c r="G401" s="1076" t="s">
        <v>493</v>
      </c>
      <c r="H401" s="1245">
        <v>95</v>
      </c>
      <c r="I401" s="1282" t="s">
        <v>137</v>
      </c>
      <c r="J401" s="1258">
        <v>14384000</v>
      </c>
      <c r="K401" s="1119">
        <v>35960000</v>
      </c>
      <c r="L401" s="1119">
        <v>35960000</v>
      </c>
      <c r="M401" s="1171">
        <v>40413</v>
      </c>
      <c r="N401" s="1196">
        <v>35960000</v>
      </c>
      <c r="O401" s="1119">
        <v>14384000</v>
      </c>
      <c r="P401" s="1119">
        <v>0</v>
      </c>
      <c r="Q401" s="1119">
        <v>14379360</v>
      </c>
      <c r="R401" s="1119">
        <v>35948400</v>
      </c>
      <c r="S401" s="1076" t="s">
        <v>490</v>
      </c>
      <c r="T401" s="1123" t="s">
        <v>491</v>
      </c>
      <c r="U401" s="866">
        <v>5751704</v>
      </c>
      <c r="V401" s="1171">
        <v>40445</v>
      </c>
      <c r="W401" s="866" t="s">
        <v>137</v>
      </c>
      <c r="X401" s="1084">
        <v>29477588</v>
      </c>
      <c r="Y401" s="1084"/>
      <c r="Z401" s="827">
        <v>40</v>
      </c>
      <c r="AA401" s="827"/>
      <c r="AB401" s="1119">
        <v>-4313708</v>
      </c>
      <c r="AC401" s="1119">
        <v>11600</v>
      </c>
      <c r="AD401" s="1119">
        <v>6470812</v>
      </c>
      <c r="AE401" s="1119"/>
      <c r="AF401" s="1203" t="s">
        <v>437</v>
      </c>
      <c r="AG401" s="1204" t="s">
        <v>794</v>
      </c>
      <c r="AH401" s="1204" t="s">
        <v>194</v>
      </c>
      <c r="AI401" s="1204" t="s">
        <v>368</v>
      </c>
    </row>
    <row r="402" spans="1:35" s="4" customFormat="1" ht="15" customHeight="1">
      <c r="A402" s="1076"/>
      <c r="B402" s="1076"/>
      <c r="C402" s="1076"/>
      <c r="D402" s="1076"/>
      <c r="E402" s="1076"/>
      <c r="F402" s="1076"/>
      <c r="G402" s="1076"/>
      <c r="H402" s="1245"/>
      <c r="I402" s="1282"/>
      <c r="J402" s="1258"/>
      <c r="K402" s="1119"/>
      <c r="L402" s="1119"/>
      <c r="M402" s="1171"/>
      <c r="N402" s="1196"/>
      <c r="O402" s="1119"/>
      <c r="P402" s="1119"/>
      <c r="Q402" s="1119"/>
      <c r="R402" s="1119"/>
      <c r="S402" s="1076"/>
      <c r="T402" s="1123"/>
      <c r="U402" s="866">
        <v>8627556</v>
      </c>
      <c r="V402" s="1171"/>
      <c r="W402" s="866" t="s">
        <v>7</v>
      </c>
      <c r="X402" s="1084"/>
      <c r="Y402" s="1084"/>
      <c r="Z402" s="827">
        <v>60</v>
      </c>
      <c r="AA402" s="827"/>
      <c r="AB402" s="1119"/>
      <c r="AC402" s="1119"/>
      <c r="AD402" s="1119"/>
      <c r="AE402" s="1119"/>
      <c r="AF402" s="1203"/>
      <c r="AG402" s="1204"/>
      <c r="AH402" s="1204"/>
      <c r="AI402" s="1204"/>
    </row>
    <row r="403" spans="1:35" s="4" customFormat="1" ht="15" customHeight="1">
      <c r="A403" s="1076"/>
      <c r="B403" s="1076"/>
      <c r="C403" s="1076"/>
      <c r="D403" s="1076"/>
      <c r="E403" s="1076"/>
      <c r="F403" s="1076"/>
      <c r="G403" s="1076"/>
      <c r="H403" s="1245"/>
      <c r="I403" s="1282" t="s">
        <v>7</v>
      </c>
      <c r="J403" s="1119">
        <v>21576000</v>
      </c>
      <c r="K403" s="1119"/>
      <c r="L403" s="1119"/>
      <c r="M403" s="1171"/>
      <c r="N403" s="1196"/>
      <c r="O403" s="1119">
        <v>21576000</v>
      </c>
      <c r="P403" s="1119">
        <v>0</v>
      </c>
      <c r="Q403" s="1119">
        <v>21569040</v>
      </c>
      <c r="R403" s="1119"/>
      <c r="S403" s="1076"/>
      <c r="T403" s="1123" t="s">
        <v>492</v>
      </c>
      <c r="U403" s="866">
        <v>6039331.2000000002</v>
      </c>
      <c r="V403" s="1171">
        <v>40548</v>
      </c>
      <c r="W403" s="866" t="s">
        <v>137</v>
      </c>
      <c r="X403" s="1084"/>
      <c r="Y403" s="1084"/>
      <c r="Z403" s="827">
        <v>0</v>
      </c>
      <c r="AA403" s="827"/>
      <c r="AB403" s="1119"/>
      <c r="AC403" s="1119"/>
      <c r="AD403" s="1119"/>
      <c r="AE403" s="1119"/>
      <c r="AF403" s="1203"/>
      <c r="AG403" s="1204"/>
      <c r="AH403" s="1204"/>
      <c r="AI403" s="1204"/>
    </row>
    <row r="404" spans="1:35" s="4" customFormat="1" ht="15" customHeight="1">
      <c r="A404" s="1076"/>
      <c r="B404" s="1076"/>
      <c r="C404" s="1076"/>
      <c r="D404" s="1076"/>
      <c r="E404" s="1076"/>
      <c r="F404" s="1076"/>
      <c r="G404" s="1076"/>
      <c r="H404" s="1245"/>
      <c r="I404" s="1282"/>
      <c r="J404" s="1119"/>
      <c r="K404" s="1119"/>
      <c r="L404" s="1119"/>
      <c r="M404" s="1171"/>
      <c r="N404" s="1196"/>
      <c r="O404" s="1119"/>
      <c r="P404" s="1119"/>
      <c r="Q404" s="1119"/>
      <c r="R404" s="1119"/>
      <c r="S404" s="1076"/>
      <c r="T404" s="1123"/>
      <c r="U404" s="866">
        <v>9058996.8000000007</v>
      </c>
      <c r="V404" s="1171"/>
      <c r="W404" s="866" t="s">
        <v>7</v>
      </c>
      <c r="X404" s="1084"/>
      <c r="Y404" s="1084"/>
      <c r="Z404" s="827">
        <v>0</v>
      </c>
      <c r="AA404" s="827"/>
      <c r="AB404" s="1119"/>
      <c r="AC404" s="1119"/>
      <c r="AD404" s="1119"/>
      <c r="AE404" s="1119"/>
      <c r="AF404" s="1203"/>
      <c r="AG404" s="1204"/>
      <c r="AH404" s="1204"/>
      <c r="AI404" s="1204"/>
    </row>
    <row r="405" spans="1:35" s="24" customFormat="1" ht="15" customHeight="1">
      <c r="A405" s="1076" t="s">
        <v>509</v>
      </c>
      <c r="B405" s="1260" t="s">
        <v>510</v>
      </c>
      <c r="C405" s="1260" t="s">
        <v>72</v>
      </c>
      <c r="D405" s="1260" t="s">
        <v>177</v>
      </c>
      <c r="E405" s="1260" t="s">
        <v>66</v>
      </c>
      <c r="F405" s="1260" t="s">
        <v>49</v>
      </c>
      <c r="G405" s="1260" t="s">
        <v>511</v>
      </c>
      <c r="H405" s="1245">
        <v>96</v>
      </c>
      <c r="I405" s="889" t="s">
        <v>451</v>
      </c>
      <c r="J405" s="858">
        <v>13746000</v>
      </c>
      <c r="K405" s="1119">
        <v>34365000</v>
      </c>
      <c r="L405" s="1119">
        <v>34365000</v>
      </c>
      <c r="M405" s="1171">
        <v>40413</v>
      </c>
      <c r="N405" s="1062">
        <v>34365000</v>
      </c>
      <c r="O405" s="858">
        <v>13746000</v>
      </c>
      <c r="P405" s="858">
        <v>0</v>
      </c>
      <c r="Q405" s="858">
        <v>13746000</v>
      </c>
      <c r="R405" s="1119">
        <v>34365000</v>
      </c>
      <c r="S405" s="1203" t="s">
        <v>467</v>
      </c>
      <c r="T405" s="1123" t="s">
        <v>479</v>
      </c>
      <c r="U405" s="895">
        <v>5498400</v>
      </c>
      <c r="V405" s="1171">
        <v>40450</v>
      </c>
      <c r="W405" s="58" t="s">
        <v>137</v>
      </c>
      <c r="X405" s="1119">
        <v>13746000</v>
      </c>
      <c r="Y405" s="1119">
        <v>13746000</v>
      </c>
      <c r="Z405" s="1119">
        <v>0</v>
      </c>
      <c r="AA405" s="1119">
        <v>0</v>
      </c>
      <c r="AB405" s="1119">
        <v>-13746000</v>
      </c>
      <c r="AC405" s="1119">
        <v>0</v>
      </c>
      <c r="AD405" s="858">
        <v>8247600</v>
      </c>
      <c r="AE405" s="1119"/>
      <c r="AF405" s="1260" t="s">
        <v>512</v>
      </c>
      <c r="AG405" s="1260" t="s">
        <v>795</v>
      </c>
      <c r="AH405" s="1186" t="s">
        <v>195</v>
      </c>
      <c r="AI405" s="1103" t="s">
        <v>368</v>
      </c>
    </row>
    <row r="406" spans="1:35" s="24" customFormat="1" ht="15" customHeight="1">
      <c r="A406" s="1076"/>
      <c r="B406" s="1260"/>
      <c r="C406" s="1260"/>
      <c r="D406" s="1260"/>
      <c r="E406" s="1260"/>
      <c r="F406" s="1260"/>
      <c r="G406" s="1260"/>
      <c r="H406" s="1245"/>
      <c r="I406" s="889" t="s">
        <v>7</v>
      </c>
      <c r="J406" s="858">
        <v>20619000</v>
      </c>
      <c r="K406" s="1119"/>
      <c r="L406" s="1119"/>
      <c r="M406" s="1171"/>
      <c r="N406" s="1064"/>
      <c r="O406" s="858">
        <v>20619000</v>
      </c>
      <c r="P406" s="858">
        <v>0</v>
      </c>
      <c r="Q406" s="858">
        <v>20619000</v>
      </c>
      <c r="R406" s="1119"/>
      <c r="S406" s="1203"/>
      <c r="T406" s="1123"/>
      <c r="U406" s="895">
        <v>8247600</v>
      </c>
      <c r="V406" s="1171"/>
      <c r="W406" s="58" t="s">
        <v>7</v>
      </c>
      <c r="X406" s="1119"/>
      <c r="Y406" s="1119"/>
      <c r="Z406" s="1119"/>
      <c r="AA406" s="1119"/>
      <c r="AB406" s="1119"/>
      <c r="AC406" s="1119"/>
      <c r="AD406" s="858">
        <v>12371400</v>
      </c>
      <c r="AE406" s="1119"/>
      <c r="AF406" s="1260"/>
      <c r="AG406" s="1260"/>
      <c r="AH406" s="1188"/>
      <c r="AI406" s="1105"/>
    </row>
    <row r="407" spans="1:35" s="4" customFormat="1" ht="15" customHeight="1">
      <c r="A407" s="1076" t="s">
        <v>499</v>
      </c>
      <c r="B407" s="1076" t="s">
        <v>501</v>
      </c>
      <c r="C407" s="1076" t="s">
        <v>72</v>
      </c>
      <c r="D407" s="1076" t="s">
        <v>177</v>
      </c>
      <c r="E407" s="1076" t="s">
        <v>66</v>
      </c>
      <c r="F407" s="1076" t="s">
        <v>183</v>
      </c>
      <c r="G407" s="1076" t="s">
        <v>505</v>
      </c>
      <c r="H407" s="1245">
        <v>97</v>
      </c>
      <c r="I407" s="1282" t="s">
        <v>137</v>
      </c>
      <c r="J407" s="1119">
        <v>13978000</v>
      </c>
      <c r="K407" s="1119">
        <v>34945000</v>
      </c>
      <c r="L407" s="1119">
        <v>52345000</v>
      </c>
      <c r="M407" s="1171">
        <v>40413</v>
      </c>
      <c r="N407" s="1196">
        <v>34945000</v>
      </c>
      <c r="O407" s="1119">
        <v>13978000</v>
      </c>
      <c r="P407" s="1119">
        <v>0</v>
      </c>
      <c r="Q407" s="1119">
        <v>13978000</v>
      </c>
      <c r="R407" s="1119">
        <v>52345000</v>
      </c>
      <c r="S407" s="1076" t="s">
        <v>467</v>
      </c>
      <c r="T407" s="1123" t="s">
        <v>502</v>
      </c>
      <c r="U407" s="866">
        <v>5591200</v>
      </c>
      <c r="V407" s="1171">
        <v>40466</v>
      </c>
      <c r="W407" s="866" t="s">
        <v>137</v>
      </c>
      <c r="X407" s="1084">
        <v>34945000</v>
      </c>
      <c r="Y407" s="1084">
        <v>52345000</v>
      </c>
      <c r="Z407" s="827">
        <v>0</v>
      </c>
      <c r="AA407" s="1084">
        <v>0</v>
      </c>
      <c r="AB407" s="1119">
        <v>0</v>
      </c>
      <c r="AC407" s="1119">
        <v>0</v>
      </c>
      <c r="AD407" s="1119">
        <v>0</v>
      </c>
      <c r="AE407" s="1119">
        <v>0</v>
      </c>
      <c r="AF407" s="1203" t="s">
        <v>506</v>
      </c>
      <c r="AG407" s="1204" t="s">
        <v>796</v>
      </c>
      <c r="AH407" s="1204" t="s">
        <v>194</v>
      </c>
      <c r="AI407" s="1204" t="s">
        <v>368</v>
      </c>
    </row>
    <row r="408" spans="1:35" s="4" customFormat="1" ht="15" customHeight="1">
      <c r="A408" s="1076"/>
      <c r="B408" s="1076"/>
      <c r="C408" s="1076"/>
      <c r="D408" s="1076"/>
      <c r="E408" s="1076"/>
      <c r="F408" s="1076"/>
      <c r="G408" s="1076"/>
      <c r="H408" s="1245"/>
      <c r="I408" s="1282"/>
      <c r="J408" s="1119"/>
      <c r="K408" s="1119"/>
      <c r="L408" s="1119"/>
      <c r="M408" s="1171"/>
      <c r="N408" s="1196"/>
      <c r="O408" s="1119"/>
      <c r="P408" s="1119"/>
      <c r="Q408" s="1119"/>
      <c r="R408" s="1119"/>
      <c r="S408" s="1076"/>
      <c r="T408" s="1123"/>
      <c r="U408" s="866">
        <v>8386800</v>
      </c>
      <c r="V408" s="1171"/>
      <c r="W408" s="866" t="s">
        <v>7</v>
      </c>
      <c r="X408" s="1084"/>
      <c r="Y408" s="1084"/>
      <c r="Z408" s="827">
        <v>0</v>
      </c>
      <c r="AA408" s="1084"/>
      <c r="AB408" s="1119"/>
      <c r="AC408" s="1119"/>
      <c r="AD408" s="1119"/>
      <c r="AE408" s="1119"/>
      <c r="AF408" s="1203"/>
      <c r="AG408" s="1204"/>
      <c r="AH408" s="1204"/>
      <c r="AI408" s="1204"/>
    </row>
    <row r="409" spans="1:35" s="4" customFormat="1" ht="15" customHeight="1">
      <c r="A409" s="1076"/>
      <c r="B409" s="1076"/>
      <c r="C409" s="1076"/>
      <c r="D409" s="1076"/>
      <c r="E409" s="1076"/>
      <c r="F409" s="1076"/>
      <c r="G409" s="1076"/>
      <c r="H409" s="1245"/>
      <c r="I409" s="1282" t="s">
        <v>7</v>
      </c>
      <c r="J409" s="1119">
        <v>20967000</v>
      </c>
      <c r="K409" s="1119"/>
      <c r="L409" s="1119"/>
      <c r="M409" s="1171"/>
      <c r="N409" s="1196"/>
      <c r="O409" s="1119">
        <v>20967000</v>
      </c>
      <c r="P409" s="1119">
        <v>0</v>
      </c>
      <c r="Q409" s="1119">
        <v>20967000</v>
      </c>
      <c r="R409" s="1119"/>
      <c r="S409" s="1076"/>
      <c r="T409" s="1123" t="s">
        <v>503</v>
      </c>
      <c r="U409" s="866">
        <v>8386800</v>
      </c>
      <c r="V409" s="1171">
        <v>42467</v>
      </c>
      <c r="W409" s="866" t="s">
        <v>137</v>
      </c>
      <c r="X409" s="1084"/>
      <c r="Y409" s="1084"/>
      <c r="Z409" s="827">
        <v>0</v>
      </c>
      <c r="AA409" s="1084">
        <v>0</v>
      </c>
      <c r="AB409" s="1119"/>
      <c r="AC409" s="1119"/>
      <c r="AD409" s="1119"/>
      <c r="AE409" s="1119"/>
      <c r="AF409" s="1203"/>
      <c r="AG409" s="1204"/>
      <c r="AH409" s="1204"/>
      <c r="AI409" s="1204"/>
    </row>
    <row r="410" spans="1:35" s="4" customFormat="1" ht="15" customHeight="1">
      <c r="A410" s="1076"/>
      <c r="B410" s="1076"/>
      <c r="C410" s="1076"/>
      <c r="D410" s="1076"/>
      <c r="E410" s="1076"/>
      <c r="F410" s="1076"/>
      <c r="G410" s="1076"/>
      <c r="H410" s="1245"/>
      <c r="I410" s="1282"/>
      <c r="J410" s="1119"/>
      <c r="K410" s="1119"/>
      <c r="L410" s="1119"/>
      <c r="M410" s="1171"/>
      <c r="N410" s="1196"/>
      <c r="O410" s="1119"/>
      <c r="P410" s="1119"/>
      <c r="Q410" s="1119"/>
      <c r="R410" s="1119"/>
      <c r="S410" s="1076"/>
      <c r="T410" s="1123"/>
      <c r="U410" s="866">
        <v>12580200</v>
      </c>
      <c r="V410" s="1171"/>
      <c r="W410" s="866" t="s">
        <v>7</v>
      </c>
      <c r="X410" s="1084"/>
      <c r="Y410" s="1084"/>
      <c r="Z410" s="827">
        <v>0</v>
      </c>
      <c r="AA410" s="1084"/>
      <c r="AB410" s="1119"/>
      <c r="AC410" s="1119"/>
      <c r="AD410" s="1119"/>
      <c r="AE410" s="1119"/>
      <c r="AF410" s="1203"/>
      <c r="AG410" s="1204"/>
      <c r="AH410" s="1204"/>
      <c r="AI410" s="1204"/>
    </row>
    <row r="411" spans="1:35" s="4" customFormat="1" ht="15" customHeight="1">
      <c r="A411" s="1076"/>
      <c r="B411" s="1076"/>
      <c r="C411" s="1076"/>
      <c r="D411" s="1076"/>
      <c r="E411" s="823" t="s">
        <v>67</v>
      </c>
      <c r="F411" s="1076"/>
      <c r="G411" s="1076"/>
      <c r="H411" s="876">
        <v>201</v>
      </c>
      <c r="I411" s="889" t="s">
        <v>7</v>
      </c>
      <c r="J411" s="858">
        <v>17400000</v>
      </c>
      <c r="K411" s="858">
        <v>17400000</v>
      </c>
      <c r="L411" s="1119"/>
      <c r="M411" s="855">
        <v>40779</v>
      </c>
      <c r="N411" s="862">
        <v>17400000</v>
      </c>
      <c r="O411" s="858">
        <v>17400000</v>
      </c>
      <c r="P411" s="858">
        <v>0</v>
      </c>
      <c r="Q411" s="858">
        <v>17400000</v>
      </c>
      <c r="R411" s="1119"/>
      <c r="S411" s="1076"/>
      <c r="T411" s="840" t="s">
        <v>504</v>
      </c>
      <c r="U411" s="866">
        <v>17400000</v>
      </c>
      <c r="V411" s="855">
        <v>42467</v>
      </c>
      <c r="W411" s="866" t="s">
        <v>7</v>
      </c>
      <c r="X411" s="827">
        <v>17400000</v>
      </c>
      <c r="Y411" s="1084"/>
      <c r="Z411" s="827">
        <v>0</v>
      </c>
      <c r="AA411" s="827">
        <v>0</v>
      </c>
      <c r="AB411" s="858">
        <v>0</v>
      </c>
      <c r="AC411" s="858">
        <v>0</v>
      </c>
      <c r="AD411" s="858">
        <v>0</v>
      </c>
      <c r="AE411" s="858">
        <v>0</v>
      </c>
      <c r="AF411" s="1203"/>
      <c r="AG411" s="1204"/>
      <c r="AH411" s="1204"/>
      <c r="AI411" s="1204"/>
    </row>
    <row r="412" spans="1:35" s="954" customFormat="1" ht="15" customHeight="1">
      <c r="A412" s="1250" t="s">
        <v>680</v>
      </c>
      <c r="B412" s="1250" t="s">
        <v>681</v>
      </c>
      <c r="C412" s="1250" t="s">
        <v>72</v>
      </c>
      <c r="D412" s="1250" t="s">
        <v>177</v>
      </c>
      <c r="E412" s="1250" t="s">
        <v>66</v>
      </c>
      <c r="F412" s="1250" t="s">
        <v>183</v>
      </c>
      <c r="G412" s="1250" t="s">
        <v>686</v>
      </c>
      <c r="H412" s="1269">
        <v>98</v>
      </c>
      <c r="I412" s="1271" t="s">
        <v>137</v>
      </c>
      <c r="J412" s="1255">
        <v>24731537</v>
      </c>
      <c r="K412" s="1255">
        <v>61828843</v>
      </c>
      <c r="L412" s="1255">
        <v>61828843</v>
      </c>
      <c r="M412" s="1270">
        <v>40413</v>
      </c>
      <c r="N412" s="1272">
        <v>61828843</v>
      </c>
      <c r="O412" s="1255">
        <v>24731537.199999999</v>
      </c>
      <c r="P412" s="1255">
        <v>-0.19999999925494194</v>
      </c>
      <c r="Q412" s="1255">
        <v>24719890.400000002</v>
      </c>
      <c r="R412" s="1255">
        <v>61799726</v>
      </c>
      <c r="S412" s="1250" t="s">
        <v>682</v>
      </c>
      <c r="T412" s="1271" t="s">
        <v>683</v>
      </c>
      <c r="U412" s="938">
        <v>9887956</v>
      </c>
      <c r="V412" s="1270">
        <v>40466</v>
      </c>
      <c r="W412" s="938" t="s">
        <v>137</v>
      </c>
      <c r="X412" s="1264">
        <v>61799725</v>
      </c>
      <c r="Y412" s="1264">
        <v>61799725</v>
      </c>
      <c r="Z412" s="939">
        <v>0.16000000201165676</v>
      </c>
      <c r="AA412" s="1264">
        <v>2571351.4000000004</v>
      </c>
      <c r="AB412" s="1255">
        <v>0.60000000149011612</v>
      </c>
      <c r="AC412" s="1255">
        <v>11646.599999997765</v>
      </c>
      <c r="AD412" s="1255">
        <v>0.39999999850988388</v>
      </c>
      <c r="AE412" s="1255">
        <v>29117.399999994785</v>
      </c>
      <c r="AF412" s="1436" t="s">
        <v>523</v>
      </c>
      <c r="AG412" s="1447" t="s">
        <v>687</v>
      </c>
      <c r="AH412" s="1436" t="s">
        <v>194</v>
      </c>
      <c r="AI412" s="1436" t="s">
        <v>558</v>
      </c>
    </row>
    <row r="413" spans="1:35" s="954" customFormat="1" ht="15" customHeight="1">
      <c r="A413" s="1250"/>
      <c r="B413" s="1250"/>
      <c r="C413" s="1250"/>
      <c r="D413" s="1250"/>
      <c r="E413" s="1250"/>
      <c r="F413" s="1250"/>
      <c r="G413" s="1250"/>
      <c r="H413" s="1269"/>
      <c r="I413" s="1271"/>
      <c r="J413" s="1255"/>
      <c r="K413" s="1255"/>
      <c r="L413" s="1255"/>
      <c r="M413" s="1270"/>
      <c r="N413" s="1272"/>
      <c r="O413" s="1255"/>
      <c r="P413" s="1255"/>
      <c r="Q413" s="1255"/>
      <c r="R413" s="1255"/>
      <c r="S413" s="1250"/>
      <c r="T413" s="1271"/>
      <c r="U413" s="938">
        <v>14831934</v>
      </c>
      <c r="V413" s="1270"/>
      <c r="W413" s="938" t="s">
        <v>7</v>
      </c>
      <c r="X413" s="1264"/>
      <c r="Y413" s="1264"/>
      <c r="Z413" s="939">
        <v>0.24000000208616257</v>
      </c>
      <c r="AA413" s="1264"/>
      <c r="AB413" s="1255"/>
      <c r="AC413" s="1255"/>
      <c r="AD413" s="1255"/>
      <c r="AE413" s="1255"/>
      <c r="AF413" s="1436"/>
      <c r="AG413" s="1447"/>
      <c r="AH413" s="1436"/>
      <c r="AI413" s="1436"/>
    </row>
    <row r="414" spans="1:35" s="954" customFormat="1" ht="15" customHeight="1">
      <c r="A414" s="1250"/>
      <c r="B414" s="1250"/>
      <c r="C414" s="1250"/>
      <c r="D414" s="1250"/>
      <c r="E414" s="1250"/>
      <c r="F414" s="1250"/>
      <c r="G414" s="1250"/>
      <c r="H414" s="1269"/>
      <c r="I414" s="1271" t="s">
        <v>7</v>
      </c>
      <c r="J414" s="1255">
        <v>37097306</v>
      </c>
      <c r="K414" s="1255"/>
      <c r="L414" s="1255"/>
      <c r="M414" s="1270"/>
      <c r="N414" s="1272"/>
      <c r="O414" s="1255">
        <v>37097305.799999997</v>
      </c>
      <c r="P414" s="1255">
        <v>0.20000000298023224</v>
      </c>
      <c r="Q414" s="1255">
        <v>37079835.600000001</v>
      </c>
      <c r="R414" s="1255"/>
      <c r="S414" s="1250"/>
      <c r="T414" s="1271" t="s">
        <v>684</v>
      </c>
      <c r="U414" s="938">
        <v>12272229.6</v>
      </c>
      <c r="V414" s="1270">
        <v>40815</v>
      </c>
      <c r="W414" s="938" t="s">
        <v>137</v>
      </c>
      <c r="X414" s="1264"/>
      <c r="Y414" s="1264"/>
      <c r="Z414" s="939">
        <v>1076511.6000000034</v>
      </c>
      <c r="AA414" s="1264">
        <v>-2542233.3999999985</v>
      </c>
      <c r="AB414" s="1255"/>
      <c r="AC414" s="1255">
        <v>17470.39999999851</v>
      </c>
      <c r="AD414" s="1255"/>
      <c r="AE414" s="1255"/>
      <c r="AF414" s="1436"/>
      <c r="AG414" s="1447"/>
      <c r="AH414" s="1436"/>
      <c r="AI414" s="1436"/>
    </row>
    <row r="415" spans="1:35" s="954" customFormat="1" ht="15" customHeight="1">
      <c r="A415" s="1250"/>
      <c r="B415" s="1250"/>
      <c r="C415" s="1250"/>
      <c r="D415" s="1250"/>
      <c r="E415" s="1250"/>
      <c r="F415" s="1250"/>
      <c r="G415" s="1250"/>
      <c r="H415" s="1269"/>
      <c r="I415" s="1271"/>
      <c r="J415" s="1255"/>
      <c r="K415" s="1255"/>
      <c r="L415" s="1255"/>
      <c r="M415" s="1270"/>
      <c r="N415" s="1272"/>
      <c r="O415" s="1255"/>
      <c r="P415" s="1255"/>
      <c r="Q415" s="1255"/>
      <c r="R415" s="1255"/>
      <c r="S415" s="1250"/>
      <c r="T415" s="1271"/>
      <c r="U415" s="938">
        <v>21099622.399999999</v>
      </c>
      <c r="V415" s="1270"/>
      <c r="W415" s="938" t="s">
        <v>7</v>
      </c>
      <c r="X415" s="1264"/>
      <c r="Y415" s="1264"/>
      <c r="Z415" s="939">
        <v>-1076511.6000000015</v>
      </c>
      <c r="AA415" s="1264"/>
      <c r="AB415" s="1255"/>
      <c r="AC415" s="1255"/>
      <c r="AD415" s="1255"/>
      <c r="AE415" s="1255"/>
      <c r="AF415" s="1436"/>
      <c r="AG415" s="1447"/>
      <c r="AH415" s="1436"/>
      <c r="AI415" s="1436"/>
    </row>
    <row r="416" spans="1:35" s="954" customFormat="1" ht="15" customHeight="1">
      <c r="A416" s="1250"/>
      <c r="B416" s="1250"/>
      <c r="C416" s="1250"/>
      <c r="D416" s="1250"/>
      <c r="E416" s="1250"/>
      <c r="F416" s="1250"/>
      <c r="G416" s="1250"/>
      <c r="H416" s="1269"/>
      <c r="I416" s="1271"/>
      <c r="J416" s="1255"/>
      <c r="K416" s="1255"/>
      <c r="L416" s="1255"/>
      <c r="M416" s="1270"/>
      <c r="N416" s="1272"/>
      <c r="O416" s="1255"/>
      <c r="P416" s="1255"/>
      <c r="Q416" s="1255"/>
      <c r="R416" s="1255"/>
      <c r="S416" s="1250"/>
      <c r="T416" s="1271" t="s">
        <v>685</v>
      </c>
      <c r="U416" s="938">
        <v>1483193</v>
      </c>
      <c r="V416" s="1270">
        <v>41586</v>
      </c>
      <c r="W416" s="938" t="s">
        <v>7</v>
      </c>
      <c r="X416" s="1264"/>
      <c r="Y416" s="1264"/>
      <c r="Z416" s="939">
        <v>0</v>
      </c>
      <c r="AA416" s="1264"/>
      <c r="AB416" s="1255"/>
      <c r="AC416" s="1255"/>
      <c r="AD416" s="1255"/>
      <c r="AE416" s="1255"/>
      <c r="AF416" s="1436"/>
      <c r="AG416" s="1447"/>
      <c r="AH416" s="1436"/>
      <c r="AI416" s="1436"/>
    </row>
    <row r="417" spans="1:36" s="954" customFormat="1" ht="15" customHeight="1">
      <c r="A417" s="1250"/>
      <c r="B417" s="1250"/>
      <c r="C417" s="1250"/>
      <c r="D417" s="1250"/>
      <c r="E417" s="1250"/>
      <c r="F417" s="1250"/>
      <c r="G417" s="1250"/>
      <c r="H417" s="1269"/>
      <c r="I417" s="1271"/>
      <c r="J417" s="1255"/>
      <c r="K417" s="1255"/>
      <c r="L417" s="1255"/>
      <c r="M417" s="1270"/>
      <c r="N417" s="1272"/>
      <c r="O417" s="1255"/>
      <c r="P417" s="1255"/>
      <c r="Q417" s="1255"/>
      <c r="R417" s="1255"/>
      <c r="S417" s="1250"/>
      <c r="T417" s="1271"/>
      <c r="U417" s="938">
        <v>2224790</v>
      </c>
      <c r="V417" s="1270"/>
      <c r="W417" s="938" t="s">
        <v>7</v>
      </c>
      <c r="X417" s="1264"/>
      <c r="Y417" s="1264"/>
      <c r="Z417" s="939">
        <v>0</v>
      </c>
      <c r="AA417" s="1264"/>
      <c r="AB417" s="1255"/>
      <c r="AC417" s="1255"/>
      <c r="AD417" s="1255"/>
      <c r="AE417" s="1255"/>
      <c r="AF417" s="1436"/>
      <c r="AG417" s="1447"/>
      <c r="AH417" s="1436"/>
      <c r="AI417" s="1436"/>
    </row>
    <row r="418" spans="1:36" s="940" customFormat="1" ht="15" customHeight="1">
      <c r="A418" s="1426" t="s">
        <v>513</v>
      </c>
      <c r="B418" s="1426" t="s">
        <v>515</v>
      </c>
      <c r="C418" s="1426" t="s">
        <v>72</v>
      </c>
      <c r="D418" s="1426" t="s">
        <v>177</v>
      </c>
      <c r="E418" s="1426" t="s">
        <v>66</v>
      </c>
      <c r="F418" s="1426" t="s">
        <v>50</v>
      </c>
      <c r="G418" s="1426" t="s">
        <v>516</v>
      </c>
      <c r="H418" s="1444">
        <v>99</v>
      </c>
      <c r="I418" s="1420" t="s">
        <v>137</v>
      </c>
      <c r="J418" s="1415">
        <v>39498000</v>
      </c>
      <c r="K418" s="1415">
        <v>98745000</v>
      </c>
      <c r="L418" s="1415">
        <v>98745000</v>
      </c>
      <c r="M418" s="1423">
        <v>40413</v>
      </c>
      <c r="N418" s="1433">
        <v>39498000</v>
      </c>
      <c r="O418" s="1415">
        <v>39498000</v>
      </c>
      <c r="P418" s="1415">
        <v>0</v>
      </c>
      <c r="Q418" s="1415">
        <v>39483876.399999999</v>
      </c>
      <c r="R418" s="1415">
        <v>98709691</v>
      </c>
      <c r="S418" s="1426" t="s">
        <v>467</v>
      </c>
      <c r="T418" s="1271" t="s">
        <v>479</v>
      </c>
      <c r="U418" s="938">
        <v>15793550</v>
      </c>
      <c r="V418" s="1270">
        <v>40449</v>
      </c>
      <c r="W418" s="938" t="s">
        <v>137</v>
      </c>
      <c r="X418" s="1409">
        <v>98709691</v>
      </c>
      <c r="Y418" s="1409">
        <v>98709691</v>
      </c>
      <c r="Z418" s="939">
        <v>0.56000000052154064</v>
      </c>
      <c r="AA418" s="1409">
        <v>14124.240000002086</v>
      </c>
      <c r="AB418" s="1415">
        <v>0</v>
      </c>
      <c r="AC418" s="1255">
        <v>14123.60000000149</v>
      </c>
      <c r="AD418" s="1415">
        <v>0</v>
      </c>
      <c r="AE418" s="1415">
        <v>35309</v>
      </c>
      <c r="AF418" s="1429" t="s">
        <v>512</v>
      </c>
      <c r="AG418" s="1431" t="s">
        <v>797</v>
      </c>
      <c r="AH418" s="1431" t="s">
        <v>194</v>
      </c>
      <c r="AI418" s="1431" t="s">
        <v>368</v>
      </c>
      <c r="AJ418" s="1440" t="s">
        <v>2501</v>
      </c>
    </row>
    <row r="419" spans="1:36" s="940" customFormat="1" ht="15" customHeight="1">
      <c r="A419" s="1443"/>
      <c r="B419" s="1443"/>
      <c r="C419" s="1443"/>
      <c r="D419" s="1443"/>
      <c r="E419" s="1443"/>
      <c r="F419" s="1443"/>
      <c r="G419" s="1443"/>
      <c r="H419" s="1445"/>
      <c r="I419" s="1422"/>
      <c r="J419" s="1417"/>
      <c r="K419" s="1416"/>
      <c r="L419" s="1416"/>
      <c r="M419" s="1424"/>
      <c r="N419" s="1442"/>
      <c r="O419" s="1417"/>
      <c r="P419" s="1417"/>
      <c r="Q419" s="1417"/>
      <c r="R419" s="1416"/>
      <c r="S419" s="1443"/>
      <c r="T419" s="1271"/>
      <c r="U419" s="938">
        <v>23690326</v>
      </c>
      <c r="V419" s="1270"/>
      <c r="W419" s="938" t="s">
        <v>7</v>
      </c>
      <c r="X419" s="1410"/>
      <c r="Y419" s="1410"/>
      <c r="Z419" s="939">
        <v>-0.15999999642372131</v>
      </c>
      <c r="AA419" s="1411"/>
      <c r="AB419" s="1416"/>
      <c r="AC419" s="1255"/>
      <c r="AD419" s="1416"/>
      <c r="AE419" s="1416"/>
      <c r="AF419" s="1441"/>
      <c r="AG419" s="1439"/>
      <c r="AH419" s="1439"/>
      <c r="AI419" s="1439"/>
      <c r="AJ419" s="1440"/>
    </row>
    <row r="420" spans="1:36" s="940" customFormat="1" ht="15" customHeight="1">
      <c r="A420" s="1443"/>
      <c r="B420" s="1443"/>
      <c r="C420" s="1443"/>
      <c r="D420" s="1443"/>
      <c r="E420" s="1443"/>
      <c r="F420" s="1443"/>
      <c r="G420" s="1443"/>
      <c r="H420" s="1445"/>
      <c r="I420" s="1420" t="s">
        <v>7</v>
      </c>
      <c r="J420" s="1415">
        <v>59247000</v>
      </c>
      <c r="K420" s="1416"/>
      <c r="L420" s="1416"/>
      <c r="M420" s="1424"/>
      <c r="N420" s="1442"/>
      <c r="O420" s="1415">
        <v>59247000</v>
      </c>
      <c r="P420" s="1415">
        <v>0</v>
      </c>
      <c r="Q420" s="1415">
        <v>59225814.600000001</v>
      </c>
      <c r="R420" s="1416"/>
      <c r="S420" s="1443"/>
      <c r="T420" s="1420" t="s">
        <v>516</v>
      </c>
      <c r="U420" s="938">
        <v>23690325.759999998</v>
      </c>
      <c r="V420" s="945">
        <v>43076</v>
      </c>
      <c r="W420" s="938" t="s">
        <v>137</v>
      </c>
      <c r="X420" s="1410"/>
      <c r="Y420" s="1410"/>
      <c r="Z420" s="939">
        <v>7.9999998211860657E-2</v>
      </c>
      <c r="AA420" s="1409">
        <v>21184.760000005364</v>
      </c>
      <c r="AB420" s="1416"/>
      <c r="AC420" s="1415">
        <v>21185.39999999851</v>
      </c>
      <c r="AD420" s="1416"/>
      <c r="AE420" s="1416"/>
      <c r="AF420" s="1441"/>
      <c r="AG420" s="1439"/>
      <c r="AH420" s="1439"/>
      <c r="AI420" s="1439"/>
      <c r="AJ420" s="1440"/>
    </row>
    <row r="421" spans="1:36" s="940" customFormat="1" ht="15" customHeight="1">
      <c r="A421" s="1427"/>
      <c r="B421" s="1427"/>
      <c r="C421" s="1427"/>
      <c r="D421" s="1427"/>
      <c r="E421" s="1427"/>
      <c r="F421" s="1427"/>
      <c r="G421" s="1427"/>
      <c r="H421" s="1446"/>
      <c r="I421" s="1422"/>
      <c r="J421" s="1417"/>
      <c r="K421" s="1417"/>
      <c r="L421" s="1417"/>
      <c r="M421" s="1425"/>
      <c r="N421" s="1434"/>
      <c r="O421" s="1417"/>
      <c r="P421" s="1417"/>
      <c r="Q421" s="1417"/>
      <c r="R421" s="1417"/>
      <c r="S421" s="1427"/>
      <c r="T421" s="1422"/>
      <c r="U421" s="938">
        <v>35535489.239999995</v>
      </c>
      <c r="V421" s="945">
        <v>43076</v>
      </c>
      <c r="W421" s="938" t="s">
        <v>7</v>
      </c>
      <c r="X421" s="1411"/>
      <c r="Y421" s="1411"/>
      <c r="Z421" s="939">
        <v>-0.47999998927116394</v>
      </c>
      <c r="AA421" s="1411"/>
      <c r="AB421" s="1417"/>
      <c r="AC421" s="1417"/>
      <c r="AD421" s="1417"/>
      <c r="AE421" s="1417"/>
      <c r="AF421" s="1430"/>
      <c r="AG421" s="1432"/>
      <c r="AH421" s="1432"/>
      <c r="AI421" s="1432"/>
      <c r="AJ421" s="1440"/>
    </row>
    <row r="422" spans="1:36" s="24" customFormat="1" ht="15" customHeight="1">
      <c r="A422" s="1076" t="s">
        <v>525</v>
      </c>
      <c r="B422" s="1076" t="s">
        <v>527</v>
      </c>
      <c r="C422" s="1076" t="s">
        <v>72</v>
      </c>
      <c r="D422" s="1076" t="s">
        <v>177</v>
      </c>
      <c r="E422" s="1076" t="s">
        <v>489</v>
      </c>
      <c r="F422" s="1076" t="s">
        <v>183</v>
      </c>
      <c r="G422" s="1076" t="s">
        <v>531</v>
      </c>
      <c r="H422" s="1245">
        <v>100</v>
      </c>
      <c r="I422" s="1282" t="s">
        <v>137</v>
      </c>
      <c r="J422" s="1119">
        <v>35918107.600000001</v>
      </c>
      <c r="K422" s="1062">
        <v>89795269</v>
      </c>
      <c r="L422" s="1062">
        <v>89795269</v>
      </c>
      <c r="M422" s="1171">
        <v>40413</v>
      </c>
      <c r="N422" s="1062">
        <v>89795269</v>
      </c>
      <c r="O422" s="1062">
        <v>35918107.600000001</v>
      </c>
      <c r="P422" s="1062">
        <v>0</v>
      </c>
      <c r="Q422" s="1119">
        <v>35844967.68</v>
      </c>
      <c r="R422" s="1062">
        <v>89612419.200000003</v>
      </c>
      <c r="S422" s="1203" t="s">
        <v>467</v>
      </c>
      <c r="T422" s="1123" t="s">
        <v>528</v>
      </c>
      <c r="U422" s="895">
        <v>14337987</v>
      </c>
      <c r="V422" s="1171">
        <v>40466</v>
      </c>
      <c r="W422" s="858" t="s">
        <v>137</v>
      </c>
      <c r="X422" s="1119">
        <v>89612419.200000003</v>
      </c>
      <c r="Y422" s="1119">
        <v>0</v>
      </c>
      <c r="Z422" s="1119">
        <v>0</v>
      </c>
      <c r="AA422" s="1119">
        <v>0</v>
      </c>
      <c r="AB422" s="1119">
        <v>0</v>
      </c>
      <c r="AC422" s="1062">
        <v>73139.920000001788</v>
      </c>
      <c r="AD422" s="1119">
        <v>0</v>
      </c>
      <c r="AE422" s="1062">
        <v>182849.79999999702</v>
      </c>
      <c r="AF422" s="1260" t="s">
        <v>530</v>
      </c>
      <c r="AG422" s="1260" t="s">
        <v>798</v>
      </c>
      <c r="AH422" s="1186" t="s">
        <v>195</v>
      </c>
      <c r="AI422" s="1103" t="s">
        <v>368</v>
      </c>
    </row>
    <row r="423" spans="1:36" s="24" customFormat="1" ht="15" customHeight="1">
      <c r="A423" s="1076"/>
      <c r="B423" s="1076"/>
      <c r="C423" s="1076"/>
      <c r="D423" s="1076"/>
      <c r="E423" s="1076"/>
      <c r="F423" s="1076"/>
      <c r="G423" s="1076"/>
      <c r="H423" s="1245"/>
      <c r="I423" s="1282"/>
      <c r="J423" s="1119"/>
      <c r="K423" s="1063"/>
      <c r="L423" s="1063"/>
      <c r="M423" s="1171"/>
      <c r="N423" s="1063"/>
      <c r="O423" s="1064"/>
      <c r="P423" s="1064"/>
      <c r="Q423" s="1119"/>
      <c r="R423" s="1063"/>
      <c r="S423" s="1203"/>
      <c r="T423" s="1123"/>
      <c r="U423" s="895">
        <v>21506981</v>
      </c>
      <c r="V423" s="1171"/>
      <c r="W423" s="858" t="s">
        <v>7</v>
      </c>
      <c r="X423" s="1119"/>
      <c r="Y423" s="1119"/>
      <c r="Z423" s="1119"/>
      <c r="AA423" s="1119"/>
      <c r="AB423" s="1119"/>
      <c r="AC423" s="1064"/>
      <c r="AD423" s="1119"/>
      <c r="AE423" s="1063"/>
      <c r="AF423" s="1260"/>
      <c r="AG423" s="1260"/>
      <c r="AH423" s="1187"/>
      <c r="AI423" s="1104"/>
    </row>
    <row r="424" spans="1:36" s="24" customFormat="1" ht="15" customHeight="1">
      <c r="A424" s="1076"/>
      <c r="B424" s="1076"/>
      <c r="C424" s="1076"/>
      <c r="D424" s="1076"/>
      <c r="E424" s="1076"/>
      <c r="F424" s="1076"/>
      <c r="G424" s="1076"/>
      <c r="H424" s="1245"/>
      <c r="I424" s="1277" t="s">
        <v>7</v>
      </c>
      <c r="J424" s="1062">
        <v>53877161.399999999</v>
      </c>
      <c r="K424" s="1063"/>
      <c r="L424" s="1063"/>
      <c r="M424" s="1171"/>
      <c r="N424" s="1063"/>
      <c r="O424" s="1062">
        <v>53877161.399999999</v>
      </c>
      <c r="P424" s="1062">
        <v>0</v>
      </c>
      <c r="Q424" s="1062">
        <v>53767451.520000003</v>
      </c>
      <c r="R424" s="1063"/>
      <c r="S424" s="1203"/>
      <c r="T424" s="1123" t="s">
        <v>529</v>
      </c>
      <c r="U424" s="895">
        <v>21506980.670000002</v>
      </c>
      <c r="V424" s="1171">
        <v>42880</v>
      </c>
      <c r="W424" s="858" t="s">
        <v>137</v>
      </c>
      <c r="X424" s="1119"/>
      <c r="Y424" s="1119"/>
      <c r="Z424" s="1119"/>
      <c r="AA424" s="1119"/>
      <c r="AB424" s="1119"/>
      <c r="AC424" s="1062">
        <v>109709.87999999523</v>
      </c>
      <c r="AD424" s="1119"/>
      <c r="AE424" s="1063"/>
      <c r="AF424" s="1260"/>
      <c r="AG424" s="1260"/>
      <c r="AH424" s="1187"/>
      <c r="AI424" s="1104"/>
    </row>
    <row r="425" spans="1:36" s="24" customFormat="1" ht="15" customHeight="1">
      <c r="A425" s="1076"/>
      <c r="B425" s="1076"/>
      <c r="C425" s="1076"/>
      <c r="D425" s="1076"/>
      <c r="E425" s="1076"/>
      <c r="F425" s="1076"/>
      <c r="G425" s="1076"/>
      <c r="H425" s="1245"/>
      <c r="I425" s="1278"/>
      <c r="J425" s="1064"/>
      <c r="K425" s="1064"/>
      <c r="L425" s="1064"/>
      <c r="M425" s="1171"/>
      <c r="N425" s="1064"/>
      <c r="O425" s="1064"/>
      <c r="P425" s="1064"/>
      <c r="Q425" s="1064"/>
      <c r="R425" s="1064"/>
      <c r="S425" s="1203"/>
      <c r="T425" s="1123" t="s">
        <v>524</v>
      </c>
      <c r="U425" s="895">
        <v>32260470.530000001</v>
      </c>
      <c r="V425" s="1171"/>
      <c r="W425" s="858" t="s">
        <v>7</v>
      </c>
      <c r="X425" s="1119"/>
      <c r="Y425" s="1119"/>
      <c r="Z425" s="1119"/>
      <c r="AA425" s="1119"/>
      <c r="AB425" s="1119"/>
      <c r="AC425" s="1064"/>
      <c r="AD425" s="1119"/>
      <c r="AE425" s="1064"/>
      <c r="AF425" s="1260"/>
      <c r="AG425" s="1260"/>
      <c r="AH425" s="1188"/>
      <c r="AI425" s="1105"/>
    </row>
    <row r="426" spans="1:36" s="4" customFormat="1" ht="15" customHeight="1">
      <c r="A426" s="1011" t="s">
        <v>517</v>
      </c>
      <c r="B426" s="1011" t="s">
        <v>518</v>
      </c>
      <c r="C426" s="1011" t="s">
        <v>72</v>
      </c>
      <c r="D426" s="1011" t="s">
        <v>177</v>
      </c>
      <c r="E426" s="1011" t="s">
        <v>66</v>
      </c>
      <c r="F426" s="1011" t="s">
        <v>183</v>
      </c>
      <c r="G426" s="1011" t="s">
        <v>522</v>
      </c>
      <c r="H426" s="1286">
        <v>101</v>
      </c>
      <c r="I426" s="1277" t="s">
        <v>137</v>
      </c>
      <c r="J426" s="1062">
        <v>22860138</v>
      </c>
      <c r="K426" s="1062">
        <v>57150345</v>
      </c>
      <c r="L426" s="1062">
        <v>57150345</v>
      </c>
      <c r="M426" s="1068">
        <v>40413</v>
      </c>
      <c r="N426" s="1092">
        <v>57150345</v>
      </c>
      <c r="O426" s="1062">
        <v>22860138</v>
      </c>
      <c r="P426" s="1062">
        <v>0</v>
      </c>
      <c r="Q426" s="1062">
        <v>22860138</v>
      </c>
      <c r="R426" s="1062">
        <v>57150342</v>
      </c>
      <c r="S426" s="1011" t="s">
        <v>467</v>
      </c>
      <c r="T426" s="1065" t="s">
        <v>519</v>
      </c>
      <c r="U426" s="866">
        <v>9144054</v>
      </c>
      <c r="V426" s="1068">
        <v>40501</v>
      </c>
      <c r="W426" s="866" t="s">
        <v>137</v>
      </c>
      <c r="X426" s="1043">
        <v>57150342</v>
      </c>
      <c r="Y426" s="1043">
        <v>57150342</v>
      </c>
      <c r="Z426" s="827">
        <v>0</v>
      </c>
      <c r="AA426" s="1043">
        <v>10287064</v>
      </c>
      <c r="AB426" s="1062">
        <v>0</v>
      </c>
      <c r="AC426" s="1062">
        <v>0</v>
      </c>
      <c r="AD426" s="1062">
        <v>3</v>
      </c>
      <c r="AE426" s="1062">
        <v>3</v>
      </c>
      <c r="AF426" s="1108" t="s">
        <v>523</v>
      </c>
      <c r="AG426" s="1103" t="s">
        <v>805</v>
      </c>
      <c r="AH426" s="1103" t="s">
        <v>194</v>
      </c>
      <c r="AI426" s="1103" t="s">
        <v>368</v>
      </c>
    </row>
    <row r="427" spans="1:36" s="4" customFormat="1" ht="15" customHeight="1">
      <c r="A427" s="1033"/>
      <c r="B427" s="1033"/>
      <c r="C427" s="1033"/>
      <c r="D427" s="1033"/>
      <c r="E427" s="1033"/>
      <c r="F427" s="1033"/>
      <c r="G427" s="1033"/>
      <c r="H427" s="1287"/>
      <c r="I427" s="1278"/>
      <c r="J427" s="1064"/>
      <c r="K427" s="1063"/>
      <c r="L427" s="1063"/>
      <c r="M427" s="1069"/>
      <c r="N427" s="1093"/>
      <c r="O427" s="1064"/>
      <c r="P427" s="1064"/>
      <c r="Q427" s="1064"/>
      <c r="R427" s="1063"/>
      <c r="S427" s="1033"/>
      <c r="T427" s="1067"/>
      <c r="U427" s="866">
        <v>13716082</v>
      </c>
      <c r="V427" s="1070"/>
      <c r="W427" s="866" t="s">
        <v>7</v>
      </c>
      <c r="X427" s="1044"/>
      <c r="Y427" s="1044"/>
      <c r="Z427" s="827">
        <v>0</v>
      </c>
      <c r="AA427" s="1045"/>
      <c r="AB427" s="1063"/>
      <c r="AC427" s="1063"/>
      <c r="AD427" s="1063"/>
      <c r="AE427" s="1063"/>
      <c r="AF427" s="1109"/>
      <c r="AG427" s="1104"/>
      <c r="AH427" s="1104"/>
      <c r="AI427" s="1104"/>
    </row>
    <row r="428" spans="1:36" s="4" customFormat="1" ht="15" customHeight="1">
      <c r="A428" s="1033"/>
      <c r="B428" s="1033"/>
      <c r="C428" s="1033"/>
      <c r="D428" s="1033"/>
      <c r="E428" s="1033"/>
      <c r="F428" s="1033"/>
      <c r="G428" s="1033"/>
      <c r="H428" s="1287"/>
      <c r="I428" s="1277" t="s">
        <v>7</v>
      </c>
      <c r="J428" s="1062">
        <v>34290207</v>
      </c>
      <c r="K428" s="1063"/>
      <c r="L428" s="1063"/>
      <c r="M428" s="1069"/>
      <c r="N428" s="1093"/>
      <c r="O428" s="1062">
        <v>34290207</v>
      </c>
      <c r="P428" s="1062">
        <v>0</v>
      </c>
      <c r="Q428" s="1062">
        <v>34290207</v>
      </c>
      <c r="R428" s="1063"/>
      <c r="S428" s="1033"/>
      <c r="T428" s="840" t="s">
        <v>520</v>
      </c>
      <c r="U428" s="866">
        <v>28575172</v>
      </c>
      <c r="V428" s="855">
        <v>40569</v>
      </c>
      <c r="W428" s="866" t="s">
        <v>7</v>
      </c>
      <c r="X428" s="1044"/>
      <c r="Y428" s="1044"/>
      <c r="Z428" s="827">
        <v>-1</v>
      </c>
      <c r="AA428" s="1043">
        <v>-10287061</v>
      </c>
      <c r="AB428" s="1063"/>
      <c r="AC428" s="1063"/>
      <c r="AD428" s="1063"/>
      <c r="AE428" s="1063"/>
      <c r="AF428" s="1109"/>
      <c r="AG428" s="1104"/>
      <c r="AH428" s="1104"/>
      <c r="AI428" s="1104"/>
    </row>
    <row r="429" spans="1:36" s="4" customFormat="1" ht="15" customHeight="1">
      <c r="A429" s="1033"/>
      <c r="B429" s="1033"/>
      <c r="C429" s="1033"/>
      <c r="D429" s="1033"/>
      <c r="E429" s="1033"/>
      <c r="F429" s="1033"/>
      <c r="G429" s="1033"/>
      <c r="H429" s="1287"/>
      <c r="I429" s="1279"/>
      <c r="J429" s="1063"/>
      <c r="K429" s="1063"/>
      <c r="L429" s="1063"/>
      <c r="M429" s="1069"/>
      <c r="N429" s="1093"/>
      <c r="O429" s="1063"/>
      <c r="P429" s="1063"/>
      <c r="Q429" s="1063"/>
      <c r="R429" s="1063"/>
      <c r="S429" s="1033"/>
      <c r="T429" s="1065" t="s">
        <v>521</v>
      </c>
      <c r="U429" s="866">
        <v>2286014</v>
      </c>
      <c r="V429" s="1068">
        <v>40913</v>
      </c>
      <c r="W429" s="866" t="s">
        <v>7</v>
      </c>
      <c r="X429" s="1044"/>
      <c r="Y429" s="1044"/>
      <c r="Z429" s="827">
        <v>-0.31999999983236194</v>
      </c>
      <c r="AA429" s="1044"/>
      <c r="AB429" s="1063"/>
      <c r="AC429" s="1063"/>
      <c r="AD429" s="1063"/>
      <c r="AE429" s="1063"/>
      <c r="AF429" s="1109"/>
      <c r="AG429" s="1104"/>
      <c r="AH429" s="1104"/>
      <c r="AI429" s="1104"/>
    </row>
    <row r="430" spans="1:36" s="4" customFormat="1" ht="15" customHeight="1">
      <c r="A430" s="1012"/>
      <c r="B430" s="1012"/>
      <c r="C430" s="1012"/>
      <c r="D430" s="1012"/>
      <c r="E430" s="1012"/>
      <c r="F430" s="1012"/>
      <c r="G430" s="1012"/>
      <c r="H430" s="1288"/>
      <c r="I430" s="1278"/>
      <c r="J430" s="1064"/>
      <c r="K430" s="1064"/>
      <c r="L430" s="1064"/>
      <c r="M430" s="1070"/>
      <c r="N430" s="1094"/>
      <c r="O430" s="1064"/>
      <c r="P430" s="1064"/>
      <c r="Q430" s="1064"/>
      <c r="R430" s="1064"/>
      <c r="S430" s="1012"/>
      <c r="T430" s="1067"/>
      <c r="U430" s="866">
        <v>3429020</v>
      </c>
      <c r="V430" s="1070"/>
      <c r="W430" s="866" t="s">
        <v>137</v>
      </c>
      <c r="X430" s="1045"/>
      <c r="Y430" s="1045"/>
      <c r="Z430" s="827">
        <v>0.52000000001862645</v>
      </c>
      <c r="AA430" s="1045"/>
      <c r="AB430" s="1064"/>
      <c r="AC430" s="1064"/>
      <c r="AD430" s="1064"/>
      <c r="AE430" s="1064"/>
      <c r="AF430" s="1110"/>
      <c r="AG430" s="1105"/>
      <c r="AH430" s="1105"/>
      <c r="AI430" s="1105"/>
    </row>
    <row r="431" spans="1:36" s="24" customFormat="1" ht="15" customHeight="1">
      <c r="A431" s="1076" t="s">
        <v>532</v>
      </c>
      <c r="B431" s="1076" t="s">
        <v>535</v>
      </c>
      <c r="C431" s="1076" t="s">
        <v>72</v>
      </c>
      <c r="D431" s="1076" t="s">
        <v>177</v>
      </c>
      <c r="E431" s="1076" t="s">
        <v>66</v>
      </c>
      <c r="F431" s="1076" t="s">
        <v>183</v>
      </c>
      <c r="G431" s="1076" t="s">
        <v>539</v>
      </c>
      <c r="H431" s="1220">
        <v>102</v>
      </c>
      <c r="I431" s="1277" t="s">
        <v>137</v>
      </c>
      <c r="J431" s="1062">
        <v>24031140</v>
      </c>
      <c r="K431" s="1062">
        <v>60077850</v>
      </c>
      <c r="L431" s="1062">
        <v>77332850</v>
      </c>
      <c r="M431" s="1068">
        <v>40413</v>
      </c>
      <c r="N431" s="1062">
        <v>59925600</v>
      </c>
      <c r="O431" s="1062">
        <v>23970240</v>
      </c>
      <c r="P431" s="1062">
        <v>60900</v>
      </c>
      <c r="Q431" s="1119">
        <v>23970240</v>
      </c>
      <c r="R431" s="1119">
        <v>77180600</v>
      </c>
      <c r="S431" s="1108" t="s">
        <v>467</v>
      </c>
      <c r="T431" s="1123" t="s">
        <v>536</v>
      </c>
      <c r="U431" s="895">
        <v>9588096</v>
      </c>
      <c r="V431" s="1171">
        <v>40452</v>
      </c>
      <c r="W431" s="858" t="s">
        <v>137</v>
      </c>
      <c r="X431" s="1119">
        <v>59925600</v>
      </c>
      <c r="Y431" s="1119">
        <v>77180600</v>
      </c>
      <c r="Z431" s="1119">
        <v>0</v>
      </c>
      <c r="AA431" s="1119">
        <v>0</v>
      </c>
      <c r="AB431" s="1119">
        <v>0</v>
      </c>
      <c r="AC431" s="1119">
        <v>0</v>
      </c>
      <c r="AD431" s="1119">
        <v>0</v>
      </c>
      <c r="AE431" s="1119">
        <v>0</v>
      </c>
      <c r="AF431" s="1260" t="s">
        <v>540</v>
      </c>
      <c r="AG431" s="1260" t="s">
        <v>799</v>
      </c>
      <c r="AH431" s="1103" t="s">
        <v>195</v>
      </c>
      <c r="AI431" s="1103" t="s">
        <v>368</v>
      </c>
    </row>
    <row r="432" spans="1:36" s="24" customFormat="1" ht="15" customHeight="1">
      <c r="A432" s="1076"/>
      <c r="B432" s="1076"/>
      <c r="C432" s="1076"/>
      <c r="D432" s="1076"/>
      <c r="E432" s="1076"/>
      <c r="F432" s="1076"/>
      <c r="G432" s="1076"/>
      <c r="H432" s="1221"/>
      <c r="I432" s="1278"/>
      <c r="J432" s="1064"/>
      <c r="K432" s="1063"/>
      <c r="L432" s="1063"/>
      <c r="M432" s="1069"/>
      <c r="N432" s="1063"/>
      <c r="O432" s="1064"/>
      <c r="P432" s="1064"/>
      <c r="Q432" s="1119"/>
      <c r="R432" s="1119"/>
      <c r="S432" s="1109"/>
      <c r="T432" s="1123"/>
      <c r="U432" s="895">
        <v>14382144</v>
      </c>
      <c r="V432" s="1171"/>
      <c r="W432" s="858" t="s">
        <v>7</v>
      </c>
      <c r="X432" s="1119"/>
      <c r="Y432" s="1119"/>
      <c r="Z432" s="1119"/>
      <c r="AA432" s="1119"/>
      <c r="AB432" s="1119"/>
      <c r="AC432" s="1119"/>
      <c r="AD432" s="1119"/>
      <c r="AE432" s="1119"/>
      <c r="AF432" s="1260"/>
      <c r="AG432" s="1260"/>
      <c r="AH432" s="1104"/>
      <c r="AI432" s="1104"/>
    </row>
    <row r="433" spans="1:36" s="24" customFormat="1" ht="15" customHeight="1">
      <c r="A433" s="1076"/>
      <c r="B433" s="1076"/>
      <c r="C433" s="1076"/>
      <c r="D433" s="1076"/>
      <c r="E433" s="1076"/>
      <c r="F433" s="1076"/>
      <c r="G433" s="1076"/>
      <c r="H433" s="1221"/>
      <c r="I433" s="1277" t="s">
        <v>7</v>
      </c>
      <c r="J433" s="1062">
        <v>36046710</v>
      </c>
      <c r="K433" s="1063"/>
      <c r="L433" s="1063"/>
      <c r="M433" s="1069"/>
      <c r="N433" s="1063"/>
      <c r="O433" s="1062">
        <v>35955360</v>
      </c>
      <c r="P433" s="1062">
        <v>91350</v>
      </c>
      <c r="Q433" s="1062">
        <v>35955360</v>
      </c>
      <c r="R433" s="1119"/>
      <c r="S433" s="1109"/>
      <c r="T433" s="1123" t="s">
        <v>537</v>
      </c>
      <c r="U433" s="895">
        <v>14382144</v>
      </c>
      <c r="V433" s="1171">
        <v>42451</v>
      </c>
      <c r="W433" s="858" t="s">
        <v>137</v>
      </c>
      <c r="X433" s="1119"/>
      <c r="Y433" s="1119"/>
      <c r="Z433" s="1119"/>
      <c r="AA433" s="1119"/>
      <c r="AB433" s="1119"/>
      <c r="AC433" s="1119"/>
      <c r="AD433" s="1119"/>
      <c r="AE433" s="1119"/>
      <c r="AF433" s="1260"/>
      <c r="AG433" s="1260"/>
      <c r="AH433" s="1104"/>
      <c r="AI433" s="1104"/>
    </row>
    <row r="434" spans="1:36" s="24" customFormat="1" ht="15" customHeight="1">
      <c r="A434" s="1076"/>
      <c r="B434" s="1076"/>
      <c r="C434" s="1076"/>
      <c r="D434" s="1076"/>
      <c r="E434" s="1076"/>
      <c r="F434" s="1076"/>
      <c r="G434" s="1076"/>
      <c r="H434" s="1222"/>
      <c r="I434" s="1278"/>
      <c r="J434" s="1064"/>
      <c r="K434" s="1064"/>
      <c r="L434" s="1063"/>
      <c r="M434" s="1070"/>
      <c r="N434" s="1064"/>
      <c r="O434" s="1064"/>
      <c r="P434" s="1064"/>
      <c r="Q434" s="1064"/>
      <c r="R434" s="1119"/>
      <c r="S434" s="1109"/>
      <c r="T434" s="1123"/>
      <c r="U434" s="895">
        <v>21573216</v>
      </c>
      <c r="V434" s="1171"/>
      <c r="W434" s="858" t="s">
        <v>7</v>
      </c>
      <c r="X434" s="1119"/>
      <c r="Y434" s="1119"/>
      <c r="Z434" s="1119"/>
      <c r="AA434" s="1119"/>
      <c r="AB434" s="1119"/>
      <c r="AC434" s="1119"/>
      <c r="AD434" s="1119"/>
      <c r="AE434" s="1119"/>
      <c r="AF434" s="1260"/>
      <c r="AG434" s="1260"/>
      <c r="AH434" s="1104"/>
      <c r="AI434" s="1104"/>
    </row>
    <row r="435" spans="1:36" s="24" customFormat="1" ht="15" customHeight="1">
      <c r="A435" s="1076"/>
      <c r="B435" s="1076"/>
      <c r="C435" s="1076"/>
      <c r="D435" s="1076"/>
      <c r="E435" s="1076"/>
      <c r="F435" s="1076"/>
      <c r="G435" s="1076"/>
      <c r="H435" s="876">
        <v>205</v>
      </c>
      <c r="I435" s="889" t="s">
        <v>7</v>
      </c>
      <c r="J435" s="858">
        <v>17255000</v>
      </c>
      <c r="K435" s="858">
        <v>17255000</v>
      </c>
      <c r="L435" s="1064"/>
      <c r="M435" s="855">
        <v>40779</v>
      </c>
      <c r="N435" s="858">
        <v>17255000</v>
      </c>
      <c r="O435" s="858">
        <v>17255000</v>
      </c>
      <c r="P435" s="858">
        <v>0</v>
      </c>
      <c r="Q435" s="858">
        <v>17255000</v>
      </c>
      <c r="R435" s="1119"/>
      <c r="S435" s="1110"/>
      <c r="T435" s="840" t="s">
        <v>538</v>
      </c>
      <c r="U435" s="895">
        <v>17255000</v>
      </c>
      <c r="V435" s="855">
        <v>42447</v>
      </c>
      <c r="W435" s="858" t="s">
        <v>7</v>
      </c>
      <c r="X435" s="858">
        <v>17255000</v>
      </c>
      <c r="Y435" s="1119"/>
      <c r="Z435" s="1119"/>
      <c r="AA435" s="1119"/>
      <c r="AB435" s="1119"/>
      <c r="AC435" s="1119"/>
      <c r="AD435" s="1119"/>
      <c r="AE435" s="1119"/>
      <c r="AF435" s="1260"/>
      <c r="AG435" s="1260"/>
      <c r="AH435" s="1105"/>
      <c r="AI435" s="1105"/>
    </row>
    <row r="436" spans="1:36" s="4" customFormat="1" ht="15" customHeight="1">
      <c r="A436" s="1011" t="s">
        <v>541</v>
      </c>
      <c r="B436" s="1011" t="s">
        <v>543</v>
      </c>
      <c r="C436" s="1011" t="s">
        <v>72</v>
      </c>
      <c r="D436" s="1011" t="s">
        <v>177</v>
      </c>
      <c r="E436" s="1011" t="s">
        <v>66</v>
      </c>
      <c r="F436" s="1011" t="s">
        <v>217</v>
      </c>
      <c r="G436" s="1011" t="s">
        <v>546</v>
      </c>
      <c r="H436" s="1220">
        <v>103</v>
      </c>
      <c r="I436" s="1282" t="s">
        <v>137</v>
      </c>
      <c r="J436" s="1062">
        <v>30450000</v>
      </c>
      <c r="K436" s="1062">
        <v>76125000</v>
      </c>
      <c r="L436" s="1062">
        <v>76125000</v>
      </c>
      <c r="M436" s="1068">
        <v>40413</v>
      </c>
      <c r="N436" s="1092">
        <v>76125000</v>
      </c>
      <c r="O436" s="1062">
        <v>30450000</v>
      </c>
      <c r="P436" s="1062">
        <v>0</v>
      </c>
      <c r="Q436" s="1062">
        <v>30450000</v>
      </c>
      <c r="R436" s="1062">
        <v>76125000</v>
      </c>
      <c r="S436" s="1011" t="s">
        <v>545</v>
      </c>
      <c r="T436" s="1065" t="s">
        <v>544</v>
      </c>
      <c r="U436" s="866">
        <v>12180000</v>
      </c>
      <c r="V436" s="1068">
        <v>40449</v>
      </c>
      <c r="W436" s="866" t="s">
        <v>137</v>
      </c>
      <c r="X436" s="1043">
        <v>71557500</v>
      </c>
      <c r="Y436" s="1043">
        <v>71557500</v>
      </c>
      <c r="Z436" s="827">
        <v>0</v>
      </c>
      <c r="AA436" s="1043">
        <v>-22837500</v>
      </c>
      <c r="AB436" s="1062">
        <v>4567500</v>
      </c>
      <c r="AC436" s="1062">
        <v>0</v>
      </c>
      <c r="AD436" s="1062">
        <v>0</v>
      </c>
      <c r="AE436" s="1062">
        <v>0</v>
      </c>
      <c r="AF436" s="1108" t="s">
        <v>512</v>
      </c>
      <c r="AG436" s="1103" t="s">
        <v>800</v>
      </c>
      <c r="AH436" s="1103" t="s">
        <v>194</v>
      </c>
      <c r="AI436" s="1103" t="s">
        <v>368</v>
      </c>
    </row>
    <row r="437" spans="1:36" s="4" customFormat="1" ht="15" customHeight="1">
      <c r="A437" s="1033"/>
      <c r="B437" s="1033"/>
      <c r="C437" s="1033"/>
      <c r="D437" s="1033"/>
      <c r="E437" s="1033"/>
      <c r="F437" s="1033"/>
      <c r="G437" s="1033"/>
      <c r="H437" s="1221"/>
      <c r="I437" s="1282"/>
      <c r="J437" s="1063"/>
      <c r="K437" s="1063"/>
      <c r="L437" s="1063"/>
      <c r="M437" s="1069"/>
      <c r="N437" s="1093"/>
      <c r="O437" s="1063"/>
      <c r="P437" s="1063"/>
      <c r="Q437" s="1063"/>
      <c r="R437" s="1063"/>
      <c r="S437" s="1033"/>
      <c r="T437" s="1067"/>
      <c r="U437" s="866">
        <v>18270000</v>
      </c>
      <c r="V437" s="1070"/>
      <c r="W437" s="866" t="s">
        <v>7</v>
      </c>
      <c r="X437" s="1044"/>
      <c r="Y437" s="1044"/>
      <c r="Z437" s="827">
        <v>0</v>
      </c>
      <c r="AA437" s="1044"/>
      <c r="AB437" s="1063"/>
      <c r="AC437" s="1063"/>
      <c r="AD437" s="1063"/>
      <c r="AE437" s="1063"/>
      <c r="AF437" s="1109"/>
      <c r="AG437" s="1104"/>
      <c r="AH437" s="1104"/>
      <c r="AI437" s="1104"/>
    </row>
    <row r="438" spans="1:36" s="4" customFormat="1" ht="15" customHeight="1">
      <c r="A438" s="1033"/>
      <c r="B438" s="1033"/>
      <c r="C438" s="1033"/>
      <c r="D438" s="1033"/>
      <c r="E438" s="1033"/>
      <c r="F438" s="1033"/>
      <c r="G438" s="1033"/>
      <c r="H438" s="1221"/>
      <c r="I438" s="1282"/>
      <c r="J438" s="1064"/>
      <c r="K438" s="1063"/>
      <c r="L438" s="1063"/>
      <c r="M438" s="1069"/>
      <c r="N438" s="1093"/>
      <c r="O438" s="1064"/>
      <c r="P438" s="1064"/>
      <c r="Q438" s="1064"/>
      <c r="R438" s="1063"/>
      <c r="S438" s="1033"/>
      <c r="T438" s="1065" t="s">
        <v>547</v>
      </c>
      <c r="U438" s="866">
        <v>16443000</v>
      </c>
      <c r="V438" s="1068">
        <v>40912</v>
      </c>
      <c r="W438" s="866" t="s">
        <v>137</v>
      </c>
      <c r="X438" s="1044"/>
      <c r="Y438" s="1044"/>
      <c r="Z438" s="827">
        <v>0</v>
      </c>
      <c r="AA438" s="1045"/>
      <c r="AB438" s="1063"/>
      <c r="AC438" s="1063"/>
      <c r="AD438" s="1063"/>
      <c r="AE438" s="1063"/>
      <c r="AF438" s="1109"/>
      <c r="AG438" s="1104"/>
      <c r="AH438" s="1104"/>
      <c r="AI438" s="1104"/>
    </row>
    <row r="439" spans="1:36" s="4" customFormat="1" ht="15" customHeight="1">
      <c r="A439" s="1033"/>
      <c r="B439" s="1033"/>
      <c r="C439" s="1033"/>
      <c r="D439" s="1033"/>
      <c r="E439" s="1033"/>
      <c r="F439" s="1033"/>
      <c r="G439" s="1033"/>
      <c r="H439" s="1221"/>
      <c r="I439" s="1065" t="s">
        <v>7</v>
      </c>
      <c r="J439" s="1062">
        <v>45675000</v>
      </c>
      <c r="K439" s="1063"/>
      <c r="L439" s="1063"/>
      <c r="M439" s="1069"/>
      <c r="N439" s="1093"/>
      <c r="O439" s="1062">
        <v>45675000</v>
      </c>
      <c r="P439" s="1062">
        <v>0</v>
      </c>
      <c r="Q439" s="1062">
        <v>45675000</v>
      </c>
      <c r="R439" s="1063"/>
      <c r="S439" s="1033"/>
      <c r="T439" s="1067"/>
      <c r="U439" s="866">
        <v>24664500</v>
      </c>
      <c r="V439" s="1070"/>
      <c r="W439" s="866" t="s">
        <v>137</v>
      </c>
      <c r="X439" s="1044"/>
      <c r="Y439" s="1044"/>
      <c r="Z439" s="827">
        <v>0</v>
      </c>
      <c r="AA439" s="1043">
        <v>27405000</v>
      </c>
      <c r="AB439" s="1063"/>
      <c r="AC439" s="1063"/>
      <c r="AD439" s="1063"/>
      <c r="AE439" s="1063"/>
      <c r="AF439" s="1109"/>
      <c r="AG439" s="1104"/>
      <c r="AH439" s="1104"/>
      <c r="AI439" s="1104"/>
    </row>
    <row r="440" spans="1:36" s="4" customFormat="1" ht="15" customHeight="1">
      <c r="A440" s="1033"/>
      <c r="B440" s="1033"/>
      <c r="C440" s="1033"/>
      <c r="D440" s="1033"/>
      <c r="E440" s="1033"/>
      <c r="F440" s="1033"/>
      <c r="G440" s="1033"/>
      <c r="H440" s="1221"/>
      <c r="I440" s="1066"/>
      <c r="J440" s="1063"/>
      <c r="K440" s="1063"/>
      <c r="L440" s="1063"/>
      <c r="M440" s="1069"/>
      <c r="N440" s="1093"/>
      <c r="O440" s="1063"/>
      <c r="P440" s="1063"/>
      <c r="Q440" s="1063"/>
      <c r="R440" s="1063"/>
      <c r="S440" s="1033"/>
      <c r="T440" s="1065" t="s">
        <v>548</v>
      </c>
      <c r="U440" s="911">
        <v>0</v>
      </c>
      <c r="V440" s="816"/>
      <c r="W440" s="911" t="s">
        <v>137</v>
      </c>
      <c r="X440" s="1044"/>
      <c r="Y440" s="1044"/>
      <c r="Z440" s="805">
        <v>1827000</v>
      </c>
      <c r="AA440" s="1044"/>
      <c r="AB440" s="1063"/>
      <c r="AC440" s="1063"/>
      <c r="AD440" s="1063"/>
      <c r="AE440" s="1063"/>
      <c r="AF440" s="1109"/>
      <c r="AG440" s="1104"/>
      <c r="AH440" s="1104"/>
      <c r="AI440" s="1104"/>
    </row>
    <row r="441" spans="1:36" s="4" customFormat="1" ht="15" customHeight="1">
      <c r="A441" s="1012"/>
      <c r="B441" s="1012"/>
      <c r="C441" s="1012"/>
      <c r="D441" s="1012"/>
      <c r="E441" s="1012"/>
      <c r="F441" s="1012"/>
      <c r="G441" s="1012"/>
      <c r="H441" s="1222"/>
      <c r="I441" s="1067"/>
      <c r="J441" s="1064"/>
      <c r="K441" s="1064"/>
      <c r="L441" s="1064"/>
      <c r="M441" s="1070"/>
      <c r="N441" s="1094"/>
      <c r="O441" s="1064"/>
      <c r="P441" s="1064"/>
      <c r="Q441" s="1064"/>
      <c r="R441" s="1064"/>
      <c r="S441" s="1012"/>
      <c r="T441" s="1067"/>
      <c r="U441" s="911">
        <v>0</v>
      </c>
      <c r="V441" s="816"/>
      <c r="W441" s="911" t="s">
        <v>7</v>
      </c>
      <c r="X441" s="1045"/>
      <c r="Y441" s="1045"/>
      <c r="Z441" s="805">
        <v>2740500</v>
      </c>
      <c r="AA441" s="1045"/>
      <c r="AB441" s="1064"/>
      <c r="AC441" s="1064"/>
      <c r="AD441" s="1064"/>
      <c r="AE441" s="1064"/>
      <c r="AF441" s="1110"/>
      <c r="AG441" s="1105"/>
      <c r="AH441" s="1105"/>
      <c r="AI441" s="1105"/>
    </row>
    <row r="442" spans="1:36" s="4" customFormat="1" ht="15" customHeight="1">
      <c r="A442" s="1076" t="s">
        <v>549</v>
      </c>
      <c r="B442" s="1076" t="s">
        <v>551</v>
      </c>
      <c r="C442" s="1076" t="s">
        <v>72</v>
      </c>
      <c r="D442" s="1076" t="s">
        <v>177</v>
      </c>
      <c r="E442" s="1076" t="s">
        <v>66</v>
      </c>
      <c r="F442" s="1076" t="s">
        <v>217</v>
      </c>
      <c r="G442" s="1076" t="s">
        <v>553</v>
      </c>
      <c r="H442" s="1251">
        <v>104</v>
      </c>
      <c r="I442" s="1282" t="s">
        <v>137</v>
      </c>
      <c r="J442" s="1119">
        <v>11426000</v>
      </c>
      <c r="K442" s="1119">
        <v>28565000</v>
      </c>
      <c r="L442" s="1119">
        <v>28565000</v>
      </c>
      <c r="M442" s="1171">
        <v>40413</v>
      </c>
      <c r="N442" s="1196">
        <v>11426000</v>
      </c>
      <c r="O442" s="1119">
        <v>11426000</v>
      </c>
      <c r="P442" s="1119">
        <v>0</v>
      </c>
      <c r="Q442" s="1119">
        <v>11426000</v>
      </c>
      <c r="R442" s="1119">
        <v>28565000</v>
      </c>
      <c r="S442" s="1076" t="s">
        <v>467</v>
      </c>
      <c r="T442" s="1123" t="s">
        <v>552</v>
      </c>
      <c r="U442" s="866">
        <v>4570400</v>
      </c>
      <c r="V442" s="1171">
        <v>40466</v>
      </c>
      <c r="W442" s="866" t="s">
        <v>137</v>
      </c>
      <c r="X442" s="1084">
        <v>11426000</v>
      </c>
      <c r="Y442" s="1084">
        <v>11426000</v>
      </c>
      <c r="Z442" s="827">
        <v>0</v>
      </c>
      <c r="AA442" s="1084">
        <v>6855600</v>
      </c>
      <c r="AB442" s="1119">
        <v>17139000</v>
      </c>
      <c r="AC442" s="1119">
        <v>0</v>
      </c>
      <c r="AD442" s="1119">
        <v>0</v>
      </c>
      <c r="AE442" s="1119">
        <v>0</v>
      </c>
      <c r="AF442" s="1203" t="s">
        <v>512</v>
      </c>
      <c r="AG442" s="1204" t="s">
        <v>801</v>
      </c>
      <c r="AH442" s="1204" t="s">
        <v>194</v>
      </c>
      <c r="AI442" s="1204" t="s">
        <v>368</v>
      </c>
      <c r="AJ442" s="1074" t="s">
        <v>2506</v>
      </c>
    </row>
    <row r="443" spans="1:36" s="4" customFormat="1" ht="15" customHeight="1">
      <c r="A443" s="1076"/>
      <c r="B443" s="1076"/>
      <c r="C443" s="1076"/>
      <c r="D443" s="1076"/>
      <c r="E443" s="1076"/>
      <c r="F443" s="1076"/>
      <c r="G443" s="1076"/>
      <c r="H443" s="1251"/>
      <c r="I443" s="1282"/>
      <c r="J443" s="1119"/>
      <c r="K443" s="1119"/>
      <c r="L443" s="1119"/>
      <c r="M443" s="1171"/>
      <c r="N443" s="1196"/>
      <c r="O443" s="1119"/>
      <c r="P443" s="1119"/>
      <c r="Q443" s="1119"/>
      <c r="R443" s="1119"/>
      <c r="S443" s="1076"/>
      <c r="T443" s="1123"/>
      <c r="U443" s="866">
        <v>6855600</v>
      </c>
      <c r="V443" s="1171"/>
      <c r="W443" s="866" t="s">
        <v>7</v>
      </c>
      <c r="X443" s="1084"/>
      <c r="Y443" s="1084"/>
      <c r="Z443" s="827">
        <v>0</v>
      </c>
      <c r="AA443" s="1084"/>
      <c r="AB443" s="1119"/>
      <c r="AC443" s="1119"/>
      <c r="AD443" s="1119"/>
      <c r="AE443" s="1119"/>
      <c r="AF443" s="1203"/>
      <c r="AG443" s="1204"/>
      <c r="AH443" s="1204"/>
      <c r="AI443" s="1204"/>
      <c r="AJ443" s="1074"/>
    </row>
    <row r="444" spans="1:36" s="4" customFormat="1" ht="15" customHeight="1">
      <c r="A444" s="1076"/>
      <c r="B444" s="1076"/>
      <c r="C444" s="1076"/>
      <c r="D444" s="1076"/>
      <c r="E444" s="1076"/>
      <c r="F444" s="1076"/>
      <c r="G444" s="1076"/>
      <c r="H444" s="1251"/>
      <c r="I444" s="1282" t="s">
        <v>7</v>
      </c>
      <c r="J444" s="1119">
        <v>17139000</v>
      </c>
      <c r="K444" s="1119"/>
      <c r="L444" s="1119"/>
      <c r="M444" s="1171"/>
      <c r="N444" s="1196"/>
      <c r="O444" s="1119">
        <v>17139000</v>
      </c>
      <c r="P444" s="1119">
        <v>0</v>
      </c>
      <c r="Q444" s="1119">
        <v>17139000</v>
      </c>
      <c r="R444" s="1119"/>
      <c r="S444" s="1076"/>
      <c r="T444" s="1123" t="s">
        <v>554</v>
      </c>
      <c r="U444" s="866">
        <v>0</v>
      </c>
      <c r="V444" s="855"/>
      <c r="W444" s="866" t="s">
        <v>137</v>
      </c>
      <c r="X444" s="1084"/>
      <c r="Y444" s="1084"/>
      <c r="Z444" s="827">
        <v>6855600</v>
      </c>
      <c r="AA444" s="1084">
        <v>10283400</v>
      </c>
      <c r="AB444" s="1119"/>
      <c r="AC444" s="1119"/>
      <c r="AD444" s="1119"/>
      <c r="AE444" s="1119"/>
      <c r="AF444" s="1203"/>
      <c r="AG444" s="1204"/>
      <c r="AH444" s="1204"/>
      <c r="AI444" s="1204"/>
      <c r="AJ444" s="1074"/>
    </row>
    <row r="445" spans="1:36" s="4" customFormat="1" ht="15" customHeight="1">
      <c r="A445" s="1076"/>
      <c r="B445" s="1076"/>
      <c r="C445" s="1076"/>
      <c r="D445" s="1076"/>
      <c r="E445" s="1076"/>
      <c r="F445" s="1076"/>
      <c r="G445" s="1076"/>
      <c r="H445" s="1251"/>
      <c r="I445" s="1282"/>
      <c r="J445" s="1119"/>
      <c r="K445" s="1119"/>
      <c r="L445" s="1119"/>
      <c r="M445" s="1171"/>
      <c r="N445" s="1196"/>
      <c r="O445" s="1119"/>
      <c r="P445" s="1119"/>
      <c r="Q445" s="1119"/>
      <c r="R445" s="1119"/>
      <c r="S445" s="1076"/>
      <c r="T445" s="1123"/>
      <c r="U445" s="866">
        <v>0</v>
      </c>
      <c r="V445" s="855"/>
      <c r="W445" s="866" t="s">
        <v>7</v>
      </c>
      <c r="X445" s="1084"/>
      <c r="Y445" s="1084"/>
      <c r="Z445" s="827">
        <v>10283400</v>
      </c>
      <c r="AA445" s="1084"/>
      <c r="AB445" s="1119"/>
      <c r="AC445" s="1119"/>
      <c r="AD445" s="1119"/>
      <c r="AE445" s="1119"/>
      <c r="AF445" s="1203"/>
      <c r="AG445" s="1204"/>
      <c r="AH445" s="1204"/>
      <c r="AI445" s="1204"/>
      <c r="AJ445" s="1074"/>
    </row>
    <row r="446" spans="1:36" s="27" customFormat="1" ht="15" customHeight="1">
      <c r="A446" s="1076" t="s">
        <v>555</v>
      </c>
      <c r="B446" s="1076" t="s">
        <v>557</v>
      </c>
      <c r="C446" s="1076" t="s">
        <v>72</v>
      </c>
      <c r="D446" s="1076" t="s">
        <v>177</v>
      </c>
      <c r="E446" s="1076" t="s">
        <v>66</v>
      </c>
      <c r="F446" s="1076" t="s">
        <v>217</v>
      </c>
      <c r="G446" s="1076" t="s">
        <v>559</v>
      </c>
      <c r="H446" s="1268">
        <v>105</v>
      </c>
      <c r="I446" s="1123" t="s">
        <v>137</v>
      </c>
      <c r="J446" s="1119">
        <v>15080000</v>
      </c>
      <c r="K446" s="1119">
        <v>37700000</v>
      </c>
      <c r="L446" s="1119">
        <v>37700000</v>
      </c>
      <c r="M446" s="1171">
        <v>42970</v>
      </c>
      <c r="N446" s="1119">
        <v>37700000</v>
      </c>
      <c r="O446" s="1119">
        <v>15080000</v>
      </c>
      <c r="P446" s="1119">
        <v>0</v>
      </c>
      <c r="Q446" s="1119">
        <v>15073371.200000001</v>
      </c>
      <c r="R446" s="1119">
        <v>37683428</v>
      </c>
      <c r="S446" s="1203" t="s">
        <v>467</v>
      </c>
      <c r="T446" s="1123" t="s">
        <v>560</v>
      </c>
      <c r="U446" s="895">
        <v>6029348</v>
      </c>
      <c r="V446" s="1171">
        <v>40448</v>
      </c>
      <c r="W446" s="858" t="s">
        <v>137</v>
      </c>
      <c r="X446" s="1119">
        <v>37683428</v>
      </c>
      <c r="Y446" s="1119">
        <v>37683428</v>
      </c>
      <c r="Z446" s="858">
        <v>0.48000000044703484</v>
      </c>
      <c r="AA446" s="1119">
        <v>6629.3199999984354</v>
      </c>
      <c r="AB446" s="1119">
        <v>0</v>
      </c>
      <c r="AC446" s="1119">
        <v>6628.7999999988824</v>
      </c>
      <c r="AD446" s="1119">
        <v>0</v>
      </c>
      <c r="AE446" s="1119">
        <v>16571.999999998137</v>
      </c>
      <c r="AF446" s="1260" t="s">
        <v>562</v>
      </c>
      <c r="AG446" s="1260" t="s">
        <v>777</v>
      </c>
      <c r="AH446" s="1438" t="s">
        <v>195</v>
      </c>
      <c r="AI446" s="1438" t="s">
        <v>558</v>
      </c>
    </row>
    <row r="447" spans="1:36" s="27" customFormat="1" ht="15" customHeight="1">
      <c r="A447" s="1076"/>
      <c r="B447" s="1076"/>
      <c r="C447" s="1076"/>
      <c r="D447" s="1076"/>
      <c r="E447" s="1076"/>
      <c r="F447" s="1076"/>
      <c r="G447" s="1076"/>
      <c r="H447" s="1268"/>
      <c r="I447" s="1123"/>
      <c r="J447" s="1119"/>
      <c r="K447" s="1119"/>
      <c r="L447" s="1119"/>
      <c r="M447" s="1171"/>
      <c r="N447" s="1119"/>
      <c r="O447" s="1119"/>
      <c r="P447" s="1119"/>
      <c r="Q447" s="1119"/>
      <c r="R447" s="1119"/>
      <c r="S447" s="1203"/>
      <c r="T447" s="1123"/>
      <c r="U447" s="895">
        <v>9044023</v>
      </c>
      <c r="V447" s="1171"/>
      <c r="W447" s="858" t="s">
        <v>7</v>
      </c>
      <c r="X447" s="1119"/>
      <c r="Y447" s="1119"/>
      <c r="Z447" s="858">
        <v>-0.27999999932944775</v>
      </c>
      <c r="AA447" s="1119"/>
      <c r="AB447" s="1119"/>
      <c r="AC447" s="1119"/>
      <c r="AD447" s="1119"/>
      <c r="AE447" s="1119"/>
      <c r="AF447" s="1260"/>
      <c r="AG447" s="1260"/>
      <c r="AH447" s="1438"/>
      <c r="AI447" s="1438"/>
    </row>
    <row r="448" spans="1:36" s="27" customFormat="1" ht="15" customHeight="1">
      <c r="A448" s="1076"/>
      <c r="B448" s="1076"/>
      <c r="C448" s="1076"/>
      <c r="D448" s="1076"/>
      <c r="E448" s="1076"/>
      <c r="F448" s="1076"/>
      <c r="G448" s="1076"/>
      <c r="H448" s="1268"/>
      <c r="I448" s="1123" t="s">
        <v>7</v>
      </c>
      <c r="J448" s="1119">
        <v>22620000</v>
      </c>
      <c r="K448" s="1119"/>
      <c r="L448" s="1119"/>
      <c r="M448" s="1171"/>
      <c r="N448" s="1119"/>
      <c r="O448" s="1119">
        <v>22620000</v>
      </c>
      <c r="P448" s="1119">
        <v>0</v>
      </c>
      <c r="Q448" s="1119">
        <v>22610056.800000001</v>
      </c>
      <c r="R448" s="1119"/>
      <c r="S448" s="1203"/>
      <c r="T448" s="1123" t="s">
        <v>561</v>
      </c>
      <c r="U448" s="895">
        <v>9044022.6800000016</v>
      </c>
      <c r="V448" s="855">
        <v>43460</v>
      </c>
      <c r="W448" s="858" t="s">
        <v>137</v>
      </c>
      <c r="X448" s="1119"/>
      <c r="Y448" s="1119"/>
      <c r="Z448" s="858">
        <v>3.9999999105930328E-2</v>
      </c>
      <c r="AA448" s="1119">
        <v>-0.51999999955296516</v>
      </c>
      <c r="AB448" s="1119"/>
      <c r="AC448" s="1119">
        <v>9943.1999999992549</v>
      </c>
      <c r="AD448" s="1119"/>
      <c r="AE448" s="1119"/>
      <c r="AF448" s="1260"/>
      <c r="AG448" s="1260"/>
      <c r="AH448" s="1438"/>
      <c r="AI448" s="1438"/>
    </row>
    <row r="449" spans="1:36" s="27" customFormat="1" ht="15" customHeight="1">
      <c r="A449" s="1076"/>
      <c r="B449" s="1076"/>
      <c r="C449" s="1076"/>
      <c r="D449" s="1076"/>
      <c r="E449" s="1076"/>
      <c r="F449" s="1076"/>
      <c r="G449" s="1076"/>
      <c r="H449" s="1268"/>
      <c r="I449" s="1123"/>
      <c r="J449" s="1119"/>
      <c r="K449" s="1119"/>
      <c r="L449" s="1119"/>
      <c r="M449" s="1171"/>
      <c r="N449" s="1119"/>
      <c r="O449" s="1119"/>
      <c r="P449" s="1119"/>
      <c r="Q449" s="1119"/>
      <c r="R449" s="1119"/>
      <c r="S449" s="1203"/>
      <c r="T449" s="1123"/>
      <c r="U449" s="895">
        <v>13566034.32</v>
      </c>
      <c r="V449" s="855">
        <v>43460</v>
      </c>
      <c r="W449" s="858" t="s">
        <v>7</v>
      </c>
      <c r="X449" s="1119"/>
      <c r="Y449" s="1119"/>
      <c r="Z449" s="858">
        <v>-0.24000000022351742</v>
      </c>
      <c r="AA449" s="1119"/>
      <c r="AB449" s="1119"/>
      <c r="AC449" s="1119"/>
      <c r="AD449" s="1119"/>
      <c r="AE449" s="1119"/>
      <c r="AF449" s="1260"/>
      <c r="AG449" s="1260"/>
      <c r="AH449" s="1438"/>
      <c r="AI449" s="1438"/>
    </row>
    <row r="450" spans="1:36" s="28" customFormat="1" ht="15" customHeight="1">
      <c r="A450" s="1076" t="s">
        <v>592</v>
      </c>
      <c r="B450" s="1076" t="s">
        <v>594</v>
      </c>
      <c r="C450" s="1076" t="s">
        <v>72</v>
      </c>
      <c r="D450" s="1076" t="s">
        <v>177</v>
      </c>
      <c r="E450" s="1076" t="s">
        <v>66</v>
      </c>
      <c r="F450" s="1076" t="s">
        <v>217</v>
      </c>
      <c r="G450" s="1076" t="s">
        <v>595</v>
      </c>
      <c r="H450" s="1268">
        <v>106</v>
      </c>
      <c r="I450" s="1123" t="s">
        <v>137</v>
      </c>
      <c r="J450" s="1119">
        <v>23084000</v>
      </c>
      <c r="K450" s="1119">
        <v>57710000</v>
      </c>
      <c r="L450" s="1119">
        <v>81765500</v>
      </c>
      <c r="M450" s="1171">
        <v>40413</v>
      </c>
      <c r="N450" s="1119">
        <v>57710000</v>
      </c>
      <c r="O450" s="1119">
        <v>23084000</v>
      </c>
      <c r="P450" s="1119">
        <v>0</v>
      </c>
      <c r="Q450" s="1119">
        <v>23076620.400000002</v>
      </c>
      <c r="R450" s="1119">
        <v>81747051</v>
      </c>
      <c r="S450" s="1203" t="s">
        <v>467</v>
      </c>
      <c r="T450" s="1123" t="s">
        <v>596</v>
      </c>
      <c r="U450" s="895">
        <v>9230648</v>
      </c>
      <c r="V450" s="1171">
        <v>40448</v>
      </c>
      <c r="W450" s="858" t="s">
        <v>137</v>
      </c>
      <c r="X450" s="1119">
        <v>54230058</v>
      </c>
      <c r="Y450" s="1119">
        <v>75880008</v>
      </c>
      <c r="Z450" s="858">
        <v>0.16000000201165676</v>
      </c>
      <c r="AA450" s="1119">
        <v>-17300086</v>
      </c>
      <c r="AB450" s="1119">
        <v>3461493</v>
      </c>
      <c r="AC450" s="1119">
        <v>7379.5999999977648</v>
      </c>
      <c r="AD450" s="1119">
        <v>0</v>
      </c>
      <c r="AE450" s="1119">
        <v>18448.999999996275</v>
      </c>
      <c r="AF450" s="1260" t="s">
        <v>591</v>
      </c>
      <c r="AG450" s="1260" t="s">
        <v>771</v>
      </c>
      <c r="AH450" s="1438" t="s">
        <v>195</v>
      </c>
      <c r="AI450" s="1438" t="s">
        <v>558</v>
      </c>
      <c r="AJ450" s="1365" t="s">
        <v>2502</v>
      </c>
    </row>
    <row r="451" spans="1:36" s="28" customFormat="1" ht="15" customHeight="1">
      <c r="A451" s="1076"/>
      <c r="B451" s="1076"/>
      <c r="C451" s="1076"/>
      <c r="D451" s="1076"/>
      <c r="E451" s="1076"/>
      <c r="F451" s="1076"/>
      <c r="G451" s="1076"/>
      <c r="H451" s="1268"/>
      <c r="I451" s="1123"/>
      <c r="J451" s="1119"/>
      <c r="K451" s="1119"/>
      <c r="L451" s="1119"/>
      <c r="M451" s="1171"/>
      <c r="N451" s="1119"/>
      <c r="O451" s="1119"/>
      <c r="P451" s="1119"/>
      <c r="Q451" s="1119"/>
      <c r="R451" s="1119"/>
      <c r="S451" s="1203"/>
      <c r="T451" s="1123"/>
      <c r="U451" s="895">
        <v>13845972</v>
      </c>
      <c r="V451" s="1171"/>
      <c r="W451" s="858" t="s">
        <v>7</v>
      </c>
      <c r="X451" s="1119"/>
      <c r="Y451" s="1119"/>
      <c r="Z451" s="858">
        <v>0.24000000208616257</v>
      </c>
      <c r="AA451" s="1119"/>
      <c r="AB451" s="1119"/>
      <c r="AC451" s="1119"/>
      <c r="AD451" s="1119"/>
      <c r="AE451" s="1119"/>
      <c r="AF451" s="1260"/>
      <c r="AG451" s="1260"/>
      <c r="AH451" s="1438"/>
      <c r="AI451" s="1438"/>
      <c r="AJ451" s="1365"/>
    </row>
    <row r="452" spans="1:36" s="28" customFormat="1" ht="15" customHeight="1">
      <c r="A452" s="1076"/>
      <c r="B452" s="1076"/>
      <c r="C452" s="1076"/>
      <c r="D452" s="1076"/>
      <c r="E452" s="1076"/>
      <c r="F452" s="1076"/>
      <c r="G452" s="1076"/>
      <c r="H452" s="1268"/>
      <c r="I452" s="1123"/>
      <c r="J452" s="1119"/>
      <c r="K452" s="1119"/>
      <c r="L452" s="1119"/>
      <c r="M452" s="1171"/>
      <c r="N452" s="1119"/>
      <c r="O452" s="1119"/>
      <c r="P452" s="1119"/>
      <c r="Q452" s="1119"/>
      <c r="R452" s="1119"/>
      <c r="S452" s="1203"/>
      <c r="T452" s="1123" t="s">
        <v>770</v>
      </c>
      <c r="U452" s="895">
        <v>12461375</v>
      </c>
      <c r="V452" s="1171">
        <v>41136</v>
      </c>
      <c r="W452" s="858" t="s">
        <v>137</v>
      </c>
      <c r="X452" s="1119"/>
      <c r="Y452" s="1119"/>
      <c r="Z452" s="858">
        <v>-923064.6400000006</v>
      </c>
      <c r="AA452" s="1119"/>
      <c r="AB452" s="1119"/>
      <c r="AC452" s="1119"/>
      <c r="AD452" s="1119"/>
      <c r="AE452" s="1119"/>
      <c r="AF452" s="1260"/>
      <c r="AG452" s="1260"/>
      <c r="AH452" s="1438"/>
      <c r="AI452" s="1438"/>
      <c r="AJ452" s="1365"/>
    </row>
    <row r="453" spans="1:36" s="28" customFormat="1" ht="15" customHeight="1">
      <c r="A453" s="1076"/>
      <c r="B453" s="1076"/>
      <c r="C453" s="1076"/>
      <c r="D453" s="1076"/>
      <c r="E453" s="1076"/>
      <c r="F453" s="1076"/>
      <c r="G453" s="1076"/>
      <c r="H453" s="1268"/>
      <c r="I453" s="1123" t="s">
        <v>7</v>
      </c>
      <c r="J453" s="1119">
        <v>34626000</v>
      </c>
      <c r="K453" s="1119"/>
      <c r="L453" s="1119"/>
      <c r="M453" s="1171"/>
      <c r="N453" s="1119"/>
      <c r="O453" s="1119">
        <v>34626000</v>
      </c>
      <c r="P453" s="1119">
        <v>0</v>
      </c>
      <c r="Q453" s="1119">
        <v>34614930.600000001</v>
      </c>
      <c r="R453" s="1119"/>
      <c r="S453" s="1203"/>
      <c r="T453" s="1123"/>
      <c r="U453" s="895">
        <v>18692063</v>
      </c>
      <c r="V453" s="1171"/>
      <c r="W453" s="858" t="s">
        <v>137</v>
      </c>
      <c r="X453" s="1119"/>
      <c r="Y453" s="1119"/>
      <c r="Z453" s="858">
        <v>-1384597.4600000009</v>
      </c>
      <c r="AA453" s="1119">
        <v>20780028</v>
      </c>
      <c r="AB453" s="1119"/>
      <c r="AC453" s="1119">
        <v>11069.39999999851</v>
      </c>
      <c r="AD453" s="1119"/>
      <c r="AE453" s="1119"/>
      <c r="AF453" s="1260"/>
      <c r="AG453" s="1260"/>
      <c r="AH453" s="1438"/>
      <c r="AI453" s="1438"/>
      <c r="AJ453" s="1365"/>
    </row>
    <row r="454" spans="1:36" s="28" customFormat="1" ht="15" customHeight="1">
      <c r="A454" s="1076"/>
      <c r="B454" s="1076"/>
      <c r="C454" s="1076"/>
      <c r="D454" s="1076"/>
      <c r="E454" s="1076"/>
      <c r="F454" s="1076"/>
      <c r="G454" s="1076"/>
      <c r="H454" s="1268"/>
      <c r="I454" s="1123"/>
      <c r="J454" s="1119"/>
      <c r="K454" s="1119"/>
      <c r="L454" s="1119"/>
      <c r="M454" s="1171"/>
      <c r="N454" s="1119"/>
      <c r="O454" s="1119"/>
      <c r="P454" s="1119"/>
      <c r="Q454" s="1119"/>
      <c r="R454" s="1119"/>
      <c r="S454" s="1203"/>
      <c r="T454" s="840" t="s">
        <v>769</v>
      </c>
      <c r="U454" s="895">
        <v>0</v>
      </c>
      <c r="V454" s="855"/>
      <c r="W454" s="858" t="s">
        <v>7</v>
      </c>
      <c r="X454" s="1119"/>
      <c r="Y454" s="1119"/>
      <c r="Z454" s="858">
        <v>5769155.1000000015</v>
      </c>
      <c r="AA454" s="1119"/>
      <c r="AB454" s="1119"/>
      <c r="AC454" s="1119"/>
      <c r="AD454" s="1119"/>
      <c r="AE454" s="1119"/>
      <c r="AF454" s="1260"/>
      <c r="AG454" s="1260"/>
      <c r="AH454" s="1438"/>
      <c r="AI454" s="1438"/>
      <c r="AJ454" s="1365"/>
    </row>
    <row r="455" spans="1:36" s="28" customFormat="1" ht="15" customHeight="1">
      <c r="A455" s="1076"/>
      <c r="B455" s="1076"/>
      <c r="C455" s="1076"/>
      <c r="D455" s="1076"/>
      <c r="E455" s="1076"/>
      <c r="F455" s="1076"/>
      <c r="G455" s="1076"/>
      <c r="H455" s="1268">
        <v>188</v>
      </c>
      <c r="I455" s="1123" t="s">
        <v>7</v>
      </c>
      <c r="J455" s="1119">
        <v>24055500</v>
      </c>
      <c r="K455" s="1119">
        <v>24055500</v>
      </c>
      <c r="L455" s="1119"/>
      <c r="M455" s="1171">
        <v>40759</v>
      </c>
      <c r="N455" s="1119">
        <v>24055500</v>
      </c>
      <c r="O455" s="1119">
        <v>24055500</v>
      </c>
      <c r="P455" s="1119">
        <v>0</v>
      </c>
      <c r="Q455" s="1119">
        <v>24055500</v>
      </c>
      <c r="R455" s="1119"/>
      <c r="S455" s="1203"/>
      <c r="T455" s="840" t="s">
        <v>770</v>
      </c>
      <c r="U455" s="895">
        <v>21649950</v>
      </c>
      <c r="V455" s="855">
        <v>41136</v>
      </c>
      <c r="W455" s="858" t="s">
        <v>7</v>
      </c>
      <c r="X455" s="1119">
        <v>21649950</v>
      </c>
      <c r="Y455" s="1119"/>
      <c r="Z455" s="858">
        <v>0</v>
      </c>
      <c r="AA455" s="1119">
        <v>2405550</v>
      </c>
      <c r="AB455" s="1119">
        <v>2405550</v>
      </c>
      <c r="AC455" s="1119">
        <v>0</v>
      </c>
      <c r="AD455" s="1119">
        <v>0</v>
      </c>
      <c r="AE455" s="1119">
        <v>0</v>
      </c>
      <c r="AF455" s="1260"/>
      <c r="AG455" s="1260"/>
      <c r="AH455" s="1438"/>
      <c r="AI455" s="1438"/>
      <c r="AJ455" s="1365"/>
    </row>
    <row r="456" spans="1:36" s="28" customFormat="1" ht="15" customHeight="1">
      <c r="A456" s="1076"/>
      <c r="B456" s="1076"/>
      <c r="C456" s="1076"/>
      <c r="D456" s="1076"/>
      <c r="E456" s="1076"/>
      <c r="F456" s="1076"/>
      <c r="G456" s="1076"/>
      <c r="H456" s="1268"/>
      <c r="I456" s="1123"/>
      <c r="J456" s="1119"/>
      <c r="K456" s="1119"/>
      <c r="L456" s="1119"/>
      <c r="M456" s="1171"/>
      <c r="N456" s="1119"/>
      <c r="O456" s="1119"/>
      <c r="P456" s="1119"/>
      <c r="Q456" s="1119"/>
      <c r="R456" s="1119"/>
      <c r="S456" s="1203"/>
      <c r="T456" s="840" t="s">
        <v>769</v>
      </c>
      <c r="U456" s="895">
        <v>0</v>
      </c>
      <c r="V456" s="855"/>
      <c r="W456" s="858" t="s">
        <v>7</v>
      </c>
      <c r="X456" s="1119"/>
      <c r="Y456" s="1119"/>
      <c r="Z456" s="858">
        <v>2405550</v>
      </c>
      <c r="AA456" s="1119"/>
      <c r="AB456" s="1119"/>
      <c r="AC456" s="1119"/>
      <c r="AD456" s="1119"/>
      <c r="AE456" s="1119"/>
      <c r="AF456" s="1260"/>
      <c r="AG456" s="1260"/>
      <c r="AH456" s="1438"/>
      <c r="AI456" s="1438"/>
      <c r="AJ456" s="1365"/>
    </row>
    <row r="457" spans="1:36" ht="15" customHeight="1">
      <c r="A457" s="1076" t="s">
        <v>563</v>
      </c>
      <c r="B457" s="1076" t="s">
        <v>565</v>
      </c>
      <c r="C457" s="1076" t="s">
        <v>72</v>
      </c>
      <c r="D457" s="1076" t="s">
        <v>177</v>
      </c>
      <c r="E457" s="1076" t="s">
        <v>66</v>
      </c>
      <c r="F457" s="1076" t="s">
        <v>183</v>
      </c>
      <c r="G457" s="1076" t="s">
        <v>566</v>
      </c>
      <c r="H457" s="1268">
        <v>107</v>
      </c>
      <c r="I457" s="1123" t="s">
        <v>137</v>
      </c>
      <c r="J457" s="1119">
        <v>19720000</v>
      </c>
      <c r="K457" s="1119">
        <v>49300000</v>
      </c>
      <c r="L457" s="1119">
        <v>49300000</v>
      </c>
      <c r="M457" s="1171">
        <v>40413</v>
      </c>
      <c r="N457" s="1196">
        <v>49300000</v>
      </c>
      <c r="O457" s="1119">
        <v>19720000</v>
      </c>
      <c r="P457" s="1119">
        <v>0</v>
      </c>
      <c r="Q457" s="1119">
        <v>19720000</v>
      </c>
      <c r="R457" s="1119">
        <v>49300000</v>
      </c>
      <c r="S457" s="1076" t="s">
        <v>467</v>
      </c>
      <c r="T457" s="1123" t="s">
        <v>567</v>
      </c>
      <c r="U457" s="866">
        <v>7888000</v>
      </c>
      <c r="V457" s="1171">
        <v>40473</v>
      </c>
      <c r="W457" s="866" t="s">
        <v>137</v>
      </c>
      <c r="X457" s="1084">
        <v>49300000</v>
      </c>
      <c r="Y457" s="1084">
        <v>49300000</v>
      </c>
      <c r="Z457" s="827">
        <v>0</v>
      </c>
      <c r="AA457" s="1084">
        <v>0</v>
      </c>
      <c r="AB457" s="1119">
        <v>0</v>
      </c>
      <c r="AC457" s="1119">
        <v>0</v>
      </c>
      <c r="AD457" s="1119">
        <v>0</v>
      </c>
      <c r="AE457" s="1119">
        <v>0</v>
      </c>
      <c r="AF457" s="1203" t="s">
        <v>569</v>
      </c>
      <c r="AG457" s="1204" t="s">
        <v>778</v>
      </c>
      <c r="AH457" s="1204" t="s">
        <v>194</v>
      </c>
      <c r="AI457" s="1204" t="s">
        <v>558</v>
      </c>
    </row>
    <row r="458" spans="1:36" ht="15" customHeight="1">
      <c r="A458" s="1076"/>
      <c r="B458" s="1076"/>
      <c r="C458" s="1076"/>
      <c r="D458" s="1076"/>
      <c r="E458" s="1076"/>
      <c r="F458" s="1076"/>
      <c r="G458" s="1076"/>
      <c r="H458" s="1268"/>
      <c r="I458" s="1123"/>
      <c r="J458" s="1119"/>
      <c r="K458" s="1119"/>
      <c r="L458" s="1119"/>
      <c r="M458" s="1171"/>
      <c r="N458" s="1196"/>
      <c r="O458" s="1119"/>
      <c r="P458" s="1119"/>
      <c r="Q458" s="1119"/>
      <c r="R458" s="1119"/>
      <c r="S458" s="1076"/>
      <c r="T458" s="1123"/>
      <c r="U458" s="866">
        <v>11832000</v>
      </c>
      <c r="V458" s="1171"/>
      <c r="W458" s="866" t="s">
        <v>7</v>
      </c>
      <c r="X458" s="1084"/>
      <c r="Y458" s="1084"/>
      <c r="Z458" s="827">
        <v>0</v>
      </c>
      <c r="AA458" s="1084"/>
      <c r="AB458" s="1119"/>
      <c r="AC458" s="1119"/>
      <c r="AD458" s="1119"/>
      <c r="AE458" s="1119"/>
      <c r="AF458" s="1203"/>
      <c r="AG458" s="1204"/>
      <c r="AH458" s="1204"/>
      <c r="AI458" s="1204"/>
    </row>
    <row r="459" spans="1:36" ht="15" customHeight="1">
      <c r="A459" s="1076"/>
      <c r="B459" s="1076"/>
      <c r="C459" s="1076"/>
      <c r="D459" s="1076"/>
      <c r="E459" s="1076"/>
      <c r="F459" s="1076"/>
      <c r="G459" s="1076"/>
      <c r="H459" s="1268"/>
      <c r="I459" s="1123" t="s">
        <v>7</v>
      </c>
      <c r="J459" s="1119">
        <v>29580000</v>
      </c>
      <c r="K459" s="1119"/>
      <c r="L459" s="1119"/>
      <c r="M459" s="1171"/>
      <c r="N459" s="1196"/>
      <c r="O459" s="1119">
        <v>29580000</v>
      </c>
      <c r="P459" s="1119">
        <v>0</v>
      </c>
      <c r="Q459" s="1119">
        <v>29580000</v>
      </c>
      <c r="R459" s="1119"/>
      <c r="S459" s="1076"/>
      <c r="T459" s="1123" t="s">
        <v>568</v>
      </c>
      <c r="U459" s="866">
        <v>11832000</v>
      </c>
      <c r="V459" s="1171">
        <v>42928</v>
      </c>
      <c r="W459" s="866" t="s">
        <v>137</v>
      </c>
      <c r="X459" s="1084"/>
      <c r="Y459" s="1084"/>
      <c r="Z459" s="827">
        <v>0</v>
      </c>
      <c r="AA459" s="1084">
        <v>17748000</v>
      </c>
      <c r="AB459" s="1119"/>
      <c r="AC459" s="1119"/>
      <c r="AD459" s="1119"/>
      <c r="AE459" s="1119"/>
      <c r="AF459" s="1203"/>
      <c r="AG459" s="1204"/>
      <c r="AH459" s="1204"/>
      <c r="AI459" s="1204"/>
    </row>
    <row r="460" spans="1:36" ht="15" customHeight="1">
      <c r="A460" s="1076"/>
      <c r="B460" s="1076"/>
      <c r="C460" s="1076"/>
      <c r="D460" s="1076"/>
      <c r="E460" s="1076"/>
      <c r="F460" s="1076"/>
      <c r="G460" s="1076"/>
      <c r="H460" s="1268"/>
      <c r="I460" s="1123"/>
      <c r="J460" s="1119"/>
      <c r="K460" s="1119"/>
      <c r="L460" s="1119"/>
      <c r="M460" s="1171"/>
      <c r="N460" s="1196"/>
      <c r="O460" s="1119"/>
      <c r="P460" s="1119"/>
      <c r="Q460" s="1119"/>
      <c r="R460" s="1119"/>
      <c r="S460" s="1076"/>
      <c r="T460" s="1123"/>
      <c r="U460" s="866">
        <v>17748000</v>
      </c>
      <c r="V460" s="1171"/>
      <c r="W460" s="866" t="s">
        <v>7</v>
      </c>
      <c r="X460" s="1084"/>
      <c r="Y460" s="1084"/>
      <c r="Z460" s="827">
        <v>0</v>
      </c>
      <c r="AA460" s="1084"/>
      <c r="AB460" s="1119"/>
      <c r="AC460" s="1119"/>
      <c r="AD460" s="1119"/>
      <c r="AE460" s="1119"/>
      <c r="AF460" s="1203"/>
      <c r="AG460" s="1204"/>
      <c r="AH460" s="1204"/>
      <c r="AI460" s="1204"/>
    </row>
    <row r="461" spans="1:36" ht="15" customHeight="1">
      <c r="A461" s="1076" t="s">
        <v>570</v>
      </c>
      <c r="B461" s="1076" t="s">
        <v>572</v>
      </c>
      <c r="C461" s="1076" t="s">
        <v>72</v>
      </c>
      <c r="D461" s="1076" t="s">
        <v>177</v>
      </c>
      <c r="E461" s="1076" t="s">
        <v>66</v>
      </c>
      <c r="F461" s="1076" t="s">
        <v>183</v>
      </c>
      <c r="G461" s="1076" t="s">
        <v>578</v>
      </c>
      <c r="H461" s="1268">
        <v>108</v>
      </c>
      <c r="I461" s="1123" t="s">
        <v>137</v>
      </c>
      <c r="J461" s="1119">
        <v>17632000</v>
      </c>
      <c r="K461" s="1119">
        <v>44080000</v>
      </c>
      <c r="L461" s="1119">
        <v>65920000</v>
      </c>
      <c r="M461" s="1171">
        <v>40413</v>
      </c>
      <c r="N461" s="1196">
        <v>44080000</v>
      </c>
      <c r="O461" s="1119">
        <v>17632000</v>
      </c>
      <c r="P461" s="1119">
        <v>0</v>
      </c>
      <c r="Q461" s="1119">
        <v>17632000</v>
      </c>
      <c r="R461" s="1119">
        <v>65920000</v>
      </c>
      <c r="S461" s="1076" t="s">
        <v>467</v>
      </c>
      <c r="T461" s="1123" t="s">
        <v>573</v>
      </c>
      <c r="U461" s="866">
        <v>7052800</v>
      </c>
      <c r="V461" s="1171">
        <v>40456</v>
      </c>
      <c r="W461" s="866" t="s">
        <v>137</v>
      </c>
      <c r="X461" s="1084">
        <v>44080000</v>
      </c>
      <c r="Y461" s="1084">
        <v>65920000</v>
      </c>
      <c r="Z461" s="827">
        <v>0</v>
      </c>
      <c r="AA461" s="1084">
        <v>-2115840</v>
      </c>
      <c r="AB461" s="1119">
        <v>0</v>
      </c>
      <c r="AC461" s="1119">
        <v>0</v>
      </c>
      <c r="AD461" s="1119">
        <v>0</v>
      </c>
      <c r="AE461" s="1119">
        <v>0</v>
      </c>
      <c r="AF461" s="1203" t="s">
        <v>577</v>
      </c>
      <c r="AG461" s="1237" t="s">
        <v>779</v>
      </c>
      <c r="AH461" s="1204" t="s">
        <v>194</v>
      </c>
      <c r="AI461" s="1204" t="s">
        <v>558</v>
      </c>
    </row>
    <row r="462" spans="1:36" ht="15" customHeight="1">
      <c r="A462" s="1076"/>
      <c r="B462" s="1076"/>
      <c r="C462" s="1076"/>
      <c r="D462" s="1076"/>
      <c r="E462" s="1076"/>
      <c r="F462" s="1076"/>
      <c r="G462" s="1076"/>
      <c r="H462" s="1268"/>
      <c r="I462" s="1123"/>
      <c r="J462" s="1119"/>
      <c r="K462" s="1119"/>
      <c r="L462" s="1119"/>
      <c r="M462" s="1171"/>
      <c r="N462" s="1196"/>
      <c r="O462" s="1119"/>
      <c r="P462" s="1119"/>
      <c r="Q462" s="1119"/>
      <c r="R462" s="1119"/>
      <c r="S462" s="1076"/>
      <c r="T462" s="1123"/>
      <c r="U462" s="866">
        <v>10579200</v>
      </c>
      <c r="V462" s="1171"/>
      <c r="W462" s="866" t="s">
        <v>7</v>
      </c>
      <c r="X462" s="1084"/>
      <c r="Y462" s="1084"/>
      <c r="Z462" s="827">
        <v>0</v>
      </c>
      <c r="AA462" s="1084"/>
      <c r="AB462" s="1119"/>
      <c r="AC462" s="1119"/>
      <c r="AD462" s="1119"/>
      <c r="AE462" s="1119"/>
      <c r="AF462" s="1203"/>
      <c r="AG462" s="1204"/>
      <c r="AH462" s="1204"/>
      <c r="AI462" s="1204"/>
    </row>
    <row r="463" spans="1:36" ht="15" customHeight="1">
      <c r="A463" s="1076"/>
      <c r="B463" s="1076"/>
      <c r="C463" s="1076"/>
      <c r="D463" s="1076"/>
      <c r="E463" s="1076"/>
      <c r="F463" s="1076"/>
      <c r="G463" s="1076"/>
      <c r="H463" s="1268"/>
      <c r="I463" s="1123"/>
      <c r="J463" s="1119"/>
      <c r="K463" s="1119"/>
      <c r="L463" s="1119"/>
      <c r="M463" s="1171"/>
      <c r="N463" s="1196"/>
      <c r="O463" s="1119"/>
      <c r="P463" s="1119"/>
      <c r="Q463" s="1119"/>
      <c r="R463" s="1119"/>
      <c r="S463" s="1076"/>
      <c r="T463" s="1123" t="s">
        <v>574</v>
      </c>
      <c r="U463" s="866">
        <v>7405440</v>
      </c>
      <c r="V463" s="1171">
        <v>40724</v>
      </c>
      <c r="W463" s="866" t="s">
        <v>137</v>
      </c>
      <c r="X463" s="1084"/>
      <c r="Y463" s="1084"/>
      <c r="Z463" s="827">
        <v>0</v>
      </c>
      <c r="AA463" s="1084"/>
      <c r="AB463" s="1119"/>
      <c r="AC463" s="1119"/>
      <c r="AD463" s="1119"/>
      <c r="AE463" s="1119"/>
      <c r="AF463" s="1203"/>
      <c r="AG463" s="1204"/>
      <c r="AH463" s="1204"/>
      <c r="AI463" s="1204"/>
    </row>
    <row r="464" spans="1:36" ht="15" customHeight="1">
      <c r="A464" s="1076"/>
      <c r="B464" s="1076"/>
      <c r="C464" s="1076"/>
      <c r="D464" s="1076"/>
      <c r="E464" s="1076"/>
      <c r="F464" s="1076"/>
      <c r="G464" s="1076"/>
      <c r="H464" s="1268"/>
      <c r="I464" s="1123"/>
      <c r="J464" s="1119"/>
      <c r="K464" s="1119"/>
      <c r="L464" s="1119"/>
      <c r="M464" s="1171"/>
      <c r="N464" s="1196"/>
      <c r="O464" s="1119"/>
      <c r="P464" s="1119"/>
      <c r="Q464" s="1119"/>
      <c r="R464" s="1119"/>
      <c r="S464" s="1076"/>
      <c r="T464" s="1123"/>
      <c r="U464" s="866">
        <v>11108160</v>
      </c>
      <c r="V464" s="1171"/>
      <c r="W464" s="866" t="s">
        <v>7</v>
      </c>
      <c r="X464" s="1084"/>
      <c r="Y464" s="1084"/>
      <c r="Z464" s="827">
        <v>0</v>
      </c>
      <c r="AA464" s="1084"/>
      <c r="AB464" s="1119"/>
      <c r="AC464" s="1119"/>
      <c r="AD464" s="1119"/>
      <c r="AE464" s="1119"/>
      <c r="AF464" s="1203"/>
      <c r="AG464" s="1204"/>
      <c r="AH464" s="1204"/>
      <c r="AI464" s="1204"/>
    </row>
    <row r="465" spans="1:35" ht="15" customHeight="1">
      <c r="A465" s="1076"/>
      <c r="B465" s="1076"/>
      <c r="C465" s="1076"/>
      <c r="D465" s="1076"/>
      <c r="E465" s="1076"/>
      <c r="F465" s="1076"/>
      <c r="G465" s="1076"/>
      <c r="H465" s="1268"/>
      <c r="I465" s="1123"/>
      <c r="J465" s="1119"/>
      <c r="K465" s="1119"/>
      <c r="L465" s="1119"/>
      <c r="M465" s="1171"/>
      <c r="N465" s="1196"/>
      <c r="O465" s="1119"/>
      <c r="P465" s="1119"/>
      <c r="Q465" s="1119"/>
      <c r="R465" s="1119"/>
      <c r="S465" s="1076"/>
      <c r="T465" s="1123" t="s">
        <v>575</v>
      </c>
      <c r="U465" s="866">
        <v>1410560</v>
      </c>
      <c r="V465" s="1171">
        <v>41029</v>
      </c>
      <c r="W465" s="866" t="s">
        <v>137</v>
      </c>
      <c r="X465" s="1084"/>
      <c r="Y465" s="1084"/>
      <c r="Z465" s="827">
        <v>0</v>
      </c>
      <c r="AA465" s="1084"/>
      <c r="AB465" s="1119"/>
      <c r="AC465" s="1119"/>
      <c r="AD465" s="1119"/>
      <c r="AE465" s="1119"/>
      <c r="AF465" s="1203"/>
      <c r="AG465" s="1204"/>
      <c r="AH465" s="1204"/>
      <c r="AI465" s="1204"/>
    </row>
    <row r="466" spans="1:35" ht="15" customHeight="1">
      <c r="A466" s="1076"/>
      <c r="B466" s="1076"/>
      <c r="C466" s="1076"/>
      <c r="D466" s="1076"/>
      <c r="E466" s="1076"/>
      <c r="F466" s="1076"/>
      <c r="G466" s="1076"/>
      <c r="H466" s="1268"/>
      <c r="I466" s="1123" t="s">
        <v>7</v>
      </c>
      <c r="J466" s="1119">
        <v>26448000</v>
      </c>
      <c r="K466" s="1119"/>
      <c r="L466" s="1119"/>
      <c r="M466" s="1171"/>
      <c r="N466" s="1196"/>
      <c r="O466" s="1119">
        <v>26448000</v>
      </c>
      <c r="P466" s="1119">
        <v>0</v>
      </c>
      <c r="Q466" s="1119">
        <v>26448000</v>
      </c>
      <c r="R466" s="1119"/>
      <c r="S466" s="1076"/>
      <c r="T466" s="1123"/>
      <c r="U466" s="866">
        <v>2115840</v>
      </c>
      <c r="V466" s="1171"/>
      <c r="W466" s="866" t="s">
        <v>137</v>
      </c>
      <c r="X466" s="1084"/>
      <c r="Y466" s="1084"/>
      <c r="Z466" s="827">
        <v>0</v>
      </c>
      <c r="AA466" s="1084">
        <v>2115840</v>
      </c>
      <c r="AB466" s="1119"/>
      <c r="AC466" s="1119"/>
      <c r="AD466" s="1119"/>
      <c r="AE466" s="1119"/>
      <c r="AF466" s="1203"/>
      <c r="AG466" s="1204"/>
      <c r="AH466" s="1204"/>
      <c r="AI466" s="1204"/>
    </row>
    <row r="467" spans="1:35" ht="15" customHeight="1">
      <c r="A467" s="1076"/>
      <c r="B467" s="1076"/>
      <c r="C467" s="1076"/>
      <c r="D467" s="1076"/>
      <c r="E467" s="1076"/>
      <c r="F467" s="1076"/>
      <c r="G467" s="1076"/>
      <c r="H467" s="1268"/>
      <c r="I467" s="1123"/>
      <c r="J467" s="1119"/>
      <c r="K467" s="1119"/>
      <c r="L467" s="1119"/>
      <c r="M467" s="1171"/>
      <c r="N467" s="1196"/>
      <c r="O467" s="1119"/>
      <c r="P467" s="1119"/>
      <c r="Q467" s="1119"/>
      <c r="R467" s="1119"/>
      <c r="S467" s="1076"/>
      <c r="T467" s="1123" t="s">
        <v>576</v>
      </c>
      <c r="U467" s="866">
        <v>1763200</v>
      </c>
      <c r="V467" s="1171">
        <v>42916</v>
      </c>
      <c r="W467" s="866" t="s">
        <v>137</v>
      </c>
      <c r="X467" s="1084"/>
      <c r="Y467" s="1084"/>
      <c r="Z467" s="827">
        <v>0</v>
      </c>
      <c r="AA467" s="1084"/>
      <c r="AB467" s="1119"/>
      <c r="AC467" s="1119"/>
      <c r="AD467" s="1119"/>
      <c r="AE467" s="1119"/>
      <c r="AF467" s="1203"/>
      <c r="AG467" s="1204"/>
      <c r="AH467" s="1204"/>
      <c r="AI467" s="1204"/>
    </row>
    <row r="468" spans="1:35" ht="15" customHeight="1">
      <c r="A468" s="1076"/>
      <c r="B468" s="1076"/>
      <c r="C468" s="1076"/>
      <c r="D468" s="1076"/>
      <c r="E468" s="1076"/>
      <c r="F468" s="1076"/>
      <c r="G468" s="1076"/>
      <c r="H468" s="1268"/>
      <c r="I468" s="1123"/>
      <c r="J468" s="1119"/>
      <c r="K468" s="1119"/>
      <c r="L468" s="1119"/>
      <c r="M468" s="1171"/>
      <c r="N468" s="1196"/>
      <c r="O468" s="1119"/>
      <c r="P468" s="1119"/>
      <c r="Q468" s="1119"/>
      <c r="R468" s="1119"/>
      <c r="S468" s="1076"/>
      <c r="T468" s="1123"/>
      <c r="U468" s="866">
        <v>2644800</v>
      </c>
      <c r="V468" s="1171"/>
      <c r="W468" s="866" t="s">
        <v>7</v>
      </c>
      <c r="X468" s="1084"/>
      <c r="Y468" s="1084"/>
      <c r="Z468" s="827">
        <v>0</v>
      </c>
      <c r="AA468" s="1084"/>
      <c r="AB468" s="1119"/>
      <c r="AC468" s="1119"/>
      <c r="AD468" s="1119"/>
      <c r="AE468" s="1119"/>
      <c r="AF468" s="1203"/>
      <c r="AG468" s="1204"/>
      <c r="AH468" s="1204"/>
      <c r="AI468" s="1204"/>
    </row>
    <row r="469" spans="1:35" ht="15" customHeight="1">
      <c r="A469" s="1076"/>
      <c r="B469" s="1076"/>
      <c r="C469" s="1076"/>
      <c r="D469" s="1076"/>
      <c r="E469" s="1076" t="s">
        <v>171</v>
      </c>
      <c r="F469" s="1076"/>
      <c r="G469" s="1076"/>
      <c r="H469" s="1268">
        <v>203</v>
      </c>
      <c r="I469" s="1123" t="s">
        <v>7</v>
      </c>
      <c r="J469" s="1119">
        <v>21840000</v>
      </c>
      <c r="K469" s="1119">
        <v>21840000</v>
      </c>
      <c r="L469" s="1119"/>
      <c r="M469" s="1171">
        <v>40779</v>
      </c>
      <c r="N469" s="1196">
        <v>21840000</v>
      </c>
      <c r="O469" s="1119">
        <v>21840000</v>
      </c>
      <c r="P469" s="1119">
        <v>0</v>
      </c>
      <c r="Q469" s="1119">
        <v>21840000</v>
      </c>
      <c r="R469" s="1119"/>
      <c r="S469" s="1076"/>
      <c r="T469" s="840" t="s">
        <v>575</v>
      </c>
      <c r="U469" s="866">
        <v>19656000</v>
      </c>
      <c r="V469" s="855">
        <v>41029</v>
      </c>
      <c r="W469" s="866" t="s">
        <v>7</v>
      </c>
      <c r="X469" s="1084">
        <v>21840000</v>
      </c>
      <c r="Y469" s="1084"/>
      <c r="Z469" s="827">
        <v>0</v>
      </c>
      <c r="AA469" s="1084">
        <v>0</v>
      </c>
      <c r="AB469" s="1119">
        <v>0</v>
      </c>
      <c r="AC469" s="1119">
        <v>0</v>
      </c>
      <c r="AD469" s="1119">
        <v>0</v>
      </c>
      <c r="AE469" s="1119">
        <v>0</v>
      </c>
      <c r="AF469" s="1203"/>
      <c r="AG469" s="1204"/>
      <c r="AH469" s="1204"/>
      <c r="AI469" s="1204"/>
    </row>
    <row r="470" spans="1:35" ht="15" customHeight="1">
      <c r="A470" s="1076"/>
      <c r="B470" s="1076"/>
      <c r="C470" s="1076"/>
      <c r="D470" s="1076"/>
      <c r="E470" s="1076"/>
      <c r="F470" s="1076"/>
      <c r="G470" s="1076"/>
      <c r="H470" s="1268"/>
      <c r="I470" s="1123"/>
      <c r="J470" s="1119"/>
      <c r="K470" s="1119"/>
      <c r="L470" s="1119"/>
      <c r="M470" s="1171"/>
      <c r="N470" s="1196"/>
      <c r="O470" s="1119"/>
      <c r="P470" s="1119"/>
      <c r="Q470" s="1119"/>
      <c r="R470" s="1119"/>
      <c r="S470" s="1076"/>
      <c r="T470" s="840" t="s">
        <v>576</v>
      </c>
      <c r="U470" s="866">
        <v>2184000</v>
      </c>
      <c r="V470" s="855">
        <v>42916</v>
      </c>
      <c r="W470" s="866" t="s">
        <v>7</v>
      </c>
      <c r="X470" s="1084"/>
      <c r="Y470" s="1084"/>
      <c r="Z470" s="827">
        <v>0</v>
      </c>
      <c r="AA470" s="1084"/>
      <c r="AB470" s="1119"/>
      <c r="AC470" s="1119"/>
      <c r="AD470" s="1119"/>
      <c r="AE470" s="1119"/>
      <c r="AF470" s="1203"/>
      <c r="AG470" s="1204"/>
      <c r="AH470" s="1204"/>
      <c r="AI470" s="1204"/>
    </row>
    <row r="471" spans="1:35" ht="15" customHeight="1">
      <c r="A471" s="1076" t="s">
        <v>533</v>
      </c>
      <c r="B471" s="1076" t="s">
        <v>579</v>
      </c>
      <c r="C471" s="1076" t="s">
        <v>72</v>
      </c>
      <c r="D471" s="1076" t="s">
        <v>177</v>
      </c>
      <c r="E471" s="1076" t="s">
        <v>66</v>
      </c>
      <c r="F471" s="1076" t="s">
        <v>697</v>
      </c>
      <c r="G471" s="1076" t="s">
        <v>507</v>
      </c>
      <c r="H471" s="1268">
        <v>109</v>
      </c>
      <c r="I471" s="1123" t="s">
        <v>137</v>
      </c>
      <c r="J471" s="1119">
        <v>17632000.399999999</v>
      </c>
      <c r="K471" s="1119">
        <v>44080001</v>
      </c>
      <c r="L471" s="1119">
        <v>44080001</v>
      </c>
      <c r="M471" s="1171">
        <v>40413</v>
      </c>
      <c r="N471" s="1119">
        <v>44080001</v>
      </c>
      <c r="O471" s="1119">
        <v>17632000.399999999</v>
      </c>
      <c r="P471" s="1119">
        <v>0</v>
      </c>
      <c r="Q471" s="1119">
        <v>17631981.600000001</v>
      </c>
      <c r="R471" s="1119">
        <v>44079954</v>
      </c>
      <c r="S471" s="1203" t="s">
        <v>467</v>
      </c>
      <c r="T471" s="1123" t="s">
        <v>573</v>
      </c>
      <c r="U471" s="895">
        <v>7052811</v>
      </c>
      <c r="V471" s="1171">
        <v>40476</v>
      </c>
      <c r="W471" s="858" t="s">
        <v>137</v>
      </c>
      <c r="X471" s="1119">
        <v>41435175</v>
      </c>
      <c r="Y471" s="1119">
        <v>41435175</v>
      </c>
      <c r="Z471" s="858">
        <v>-11</v>
      </c>
      <c r="AA471" s="1119">
        <v>-13223985.600000001</v>
      </c>
      <c r="AB471" s="1119">
        <v>-1763216</v>
      </c>
      <c r="AC471" s="1119">
        <v>47</v>
      </c>
      <c r="AD471" s="1119">
        <v>2644779</v>
      </c>
      <c r="AE471" s="1119">
        <v>2644826</v>
      </c>
      <c r="AF471" s="1203" t="s">
        <v>581</v>
      </c>
      <c r="AG471" s="1203" t="s">
        <v>780</v>
      </c>
      <c r="AH471" s="1204" t="s">
        <v>195</v>
      </c>
      <c r="AI471" s="1204" t="s">
        <v>558</v>
      </c>
    </row>
    <row r="472" spans="1:35" ht="15" customHeight="1">
      <c r="A472" s="1076"/>
      <c r="B472" s="1076"/>
      <c r="C472" s="1076"/>
      <c r="D472" s="1076"/>
      <c r="E472" s="1076"/>
      <c r="F472" s="1076"/>
      <c r="G472" s="1076"/>
      <c r="H472" s="1268"/>
      <c r="I472" s="1123"/>
      <c r="J472" s="1119"/>
      <c r="K472" s="1119"/>
      <c r="L472" s="1119"/>
      <c r="M472" s="1171"/>
      <c r="N472" s="1119"/>
      <c r="O472" s="1119"/>
      <c r="P472" s="1119"/>
      <c r="Q472" s="1119"/>
      <c r="R472" s="1119"/>
      <c r="S472" s="1203"/>
      <c r="T472" s="1123"/>
      <c r="U472" s="895">
        <v>10579189</v>
      </c>
      <c r="V472" s="1171"/>
      <c r="W472" s="858" t="s">
        <v>7</v>
      </c>
      <c r="X472" s="1119"/>
      <c r="Y472" s="1119"/>
      <c r="Z472" s="858">
        <v>11</v>
      </c>
      <c r="AA472" s="1119"/>
      <c r="AB472" s="1119"/>
      <c r="AC472" s="1119"/>
      <c r="AD472" s="1119"/>
      <c r="AE472" s="1119"/>
      <c r="AF472" s="1203"/>
      <c r="AG472" s="1203"/>
      <c r="AH472" s="1204"/>
      <c r="AI472" s="1204"/>
    </row>
    <row r="473" spans="1:35" ht="15" customHeight="1">
      <c r="A473" s="1076"/>
      <c r="B473" s="1076"/>
      <c r="C473" s="1076"/>
      <c r="D473" s="1076"/>
      <c r="E473" s="1076"/>
      <c r="F473" s="1076"/>
      <c r="G473" s="1076"/>
      <c r="H473" s="1268"/>
      <c r="I473" s="1123"/>
      <c r="J473" s="1119"/>
      <c r="K473" s="1119"/>
      <c r="L473" s="1119"/>
      <c r="M473" s="1171"/>
      <c r="N473" s="1119"/>
      <c r="O473" s="1119"/>
      <c r="P473" s="1119"/>
      <c r="Q473" s="1119"/>
      <c r="R473" s="1119"/>
      <c r="S473" s="1203"/>
      <c r="T473" s="1204" t="s">
        <v>580</v>
      </c>
      <c r="U473" s="895">
        <v>9521269.8699999992</v>
      </c>
      <c r="V473" s="1171">
        <v>40830</v>
      </c>
      <c r="W473" s="858" t="s">
        <v>137</v>
      </c>
      <c r="X473" s="1119"/>
      <c r="Y473" s="1119"/>
      <c r="Z473" s="858">
        <v>0.13000000268220901</v>
      </c>
      <c r="AA473" s="1119"/>
      <c r="AB473" s="1119"/>
      <c r="AC473" s="1119"/>
      <c r="AD473" s="1119"/>
      <c r="AE473" s="1119"/>
      <c r="AF473" s="1203"/>
      <c r="AG473" s="1203"/>
      <c r="AH473" s="1204"/>
      <c r="AI473" s="1204"/>
    </row>
    <row r="474" spans="1:35" ht="15" customHeight="1">
      <c r="A474" s="1076"/>
      <c r="B474" s="1076"/>
      <c r="C474" s="1076"/>
      <c r="D474" s="1076"/>
      <c r="E474" s="1076"/>
      <c r="F474" s="1076"/>
      <c r="G474" s="1076"/>
      <c r="H474" s="1268"/>
      <c r="I474" s="1123" t="s">
        <v>7</v>
      </c>
      <c r="J474" s="1119">
        <v>26448000.600000001</v>
      </c>
      <c r="K474" s="1119"/>
      <c r="L474" s="1119"/>
      <c r="M474" s="1171"/>
      <c r="N474" s="1119"/>
      <c r="O474" s="1119">
        <v>26448000.600000001</v>
      </c>
      <c r="P474" s="1119">
        <v>0</v>
      </c>
      <c r="Q474" s="1119">
        <v>26447972.399999999</v>
      </c>
      <c r="R474" s="1119"/>
      <c r="S474" s="1203"/>
      <c r="T474" s="1204"/>
      <c r="U474" s="895">
        <v>14281905.130000001</v>
      </c>
      <c r="V474" s="1171"/>
      <c r="W474" s="858" t="s">
        <v>137</v>
      </c>
      <c r="X474" s="1119"/>
      <c r="Y474" s="1119"/>
      <c r="Z474" s="858">
        <v>-0.13000000268220901</v>
      </c>
      <c r="AA474" s="1119">
        <v>15868811.600000001</v>
      </c>
      <c r="AB474" s="1119"/>
      <c r="AC474" s="1119"/>
      <c r="AD474" s="1119"/>
      <c r="AE474" s="1119"/>
      <c r="AF474" s="1203"/>
      <c r="AG474" s="1203"/>
      <c r="AH474" s="1204"/>
      <c r="AI474" s="1204"/>
    </row>
    <row r="475" spans="1:35" ht="15" customHeight="1">
      <c r="A475" s="1076"/>
      <c r="B475" s="1076"/>
      <c r="C475" s="1076"/>
      <c r="D475" s="1076"/>
      <c r="E475" s="1076"/>
      <c r="F475" s="1076"/>
      <c r="G475" s="1076"/>
      <c r="H475" s="1268"/>
      <c r="I475" s="1123"/>
      <c r="J475" s="1119"/>
      <c r="K475" s="1119"/>
      <c r="L475" s="1119"/>
      <c r="M475" s="1171"/>
      <c r="N475" s="1119"/>
      <c r="O475" s="1119"/>
      <c r="P475" s="1119"/>
      <c r="Q475" s="1119"/>
      <c r="R475" s="1119"/>
      <c r="S475" s="1203"/>
      <c r="T475" s="840"/>
      <c r="U475" s="866">
        <v>0</v>
      </c>
      <c r="V475" s="855"/>
      <c r="W475" s="866"/>
      <c r="X475" s="1119"/>
      <c r="Y475" s="1119"/>
      <c r="Z475" s="858">
        <v>0</v>
      </c>
      <c r="AA475" s="1119"/>
      <c r="AB475" s="1119"/>
      <c r="AC475" s="1119"/>
      <c r="AD475" s="1119"/>
      <c r="AE475" s="1119"/>
      <c r="AF475" s="1203"/>
      <c r="AG475" s="1203"/>
      <c r="AH475" s="1204"/>
      <c r="AI475" s="1204"/>
    </row>
    <row r="476" spans="1:35" ht="15" customHeight="1">
      <c r="A476" s="1076" t="s">
        <v>582</v>
      </c>
      <c r="B476" s="1076" t="s">
        <v>584</v>
      </c>
      <c r="C476" s="1076" t="s">
        <v>72</v>
      </c>
      <c r="D476" s="1076" t="s">
        <v>177</v>
      </c>
      <c r="E476" s="1076" t="s">
        <v>66</v>
      </c>
      <c r="F476" s="1076" t="s">
        <v>183</v>
      </c>
      <c r="G476" s="1076" t="s">
        <v>589</v>
      </c>
      <c r="H476" s="1268">
        <v>110</v>
      </c>
      <c r="I476" s="1123" t="s">
        <v>137</v>
      </c>
      <c r="J476" s="1119">
        <v>17632001</v>
      </c>
      <c r="K476" s="1119">
        <v>44080002</v>
      </c>
      <c r="L476" s="1119">
        <v>66120002</v>
      </c>
      <c r="M476" s="1171">
        <v>40413</v>
      </c>
      <c r="N476" s="1196">
        <v>44080002</v>
      </c>
      <c r="O476" s="1119">
        <v>17632000.800000001</v>
      </c>
      <c r="P476" s="1119">
        <v>0.19999999925494194</v>
      </c>
      <c r="Q476" s="1119">
        <v>17632000</v>
      </c>
      <c r="R476" s="1119">
        <v>66120000</v>
      </c>
      <c r="S476" s="1076" t="s">
        <v>467</v>
      </c>
      <c r="T476" s="1123" t="s">
        <v>585</v>
      </c>
      <c r="U476" s="866">
        <v>7052800</v>
      </c>
      <c r="V476" s="1171">
        <v>40480</v>
      </c>
      <c r="W476" s="866" t="s">
        <v>137</v>
      </c>
      <c r="X476" s="1084">
        <v>44080000</v>
      </c>
      <c r="Y476" s="1084">
        <v>66120000</v>
      </c>
      <c r="Z476" s="827">
        <v>0</v>
      </c>
      <c r="AA476" s="1084">
        <v>-10579199</v>
      </c>
      <c r="AB476" s="1119">
        <v>0</v>
      </c>
      <c r="AC476" s="1119">
        <v>2</v>
      </c>
      <c r="AD476" s="1119">
        <v>0</v>
      </c>
      <c r="AE476" s="1119">
        <v>2</v>
      </c>
      <c r="AF476" s="1203" t="s">
        <v>586</v>
      </c>
      <c r="AG476" s="1204" t="s">
        <v>781</v>
      </c>
      <c r="AH476" s="1204" t="s">
        <v>194</v>
      </c>
      <c r="AI476" s="1204" t="s">
        <v>558</v>
      </c>
    </row>
    <row r="477" spans="1:35" ht="15" customHeight="1">
      <c r="A477" s="1076"/>
      <c r="B477" s="1076"/>
      <c r="C477" s="1076"/>
      <c r="D477" s="1076"/>
      <c r="E477" s="1076"/>
      <c r="F477" s="1076"/>
      <c r="G477" s="1076"/>
      <c r="H477" s="1268"/>
      <c r="I477" s="1123"/>
      <c r="J477" s="1119"/>
      <c r="K477" s="1119"/>
      <c r="L477" s="1119"/>
      <c r="M477" s="1171"/>
      <c r="N477" s="1196"/>
      <c r="O477" s="1119"/>
      <c r="P477" s="1119"/>
      <c r="Q477" s="1119"/>
      <c r="R477" s="1119"/>
      <c r="S477" s="1076"/>
      <c r="T477" s="1123"/>
      <c r="U477" s="866">
        <v>10579200</v>
      </c>
      <c r="V477" s="1171"/>
      <c r="W477" s="866" t="s">
        <v>7</v>
      </c>
      <c r="X477" s="1084"/>
      <c r="Y477" s="1084"/>
      <c r="Z477" s="827">
        <v>0</v>
      </c>
      <c r="AA477" s="1084"/>
      <c r="AB477" s="1119"/>
      <c r="AC477" s="1119"/>
      <c r="AD477" s="1119"/>
      <c r="AE477" s="1119"/>
      <c r="AF477" s="1203"/>
      <c r="AG477" s="1204"/>
      <c r="AH477" s="1204"/>
      <c r="AI477" s="1204"/>
    </row>
    <row r="478" spans="1:35" ht="15" customHeight="1">
      <c r="A478" s="1076"/>
      <c r="B478" s="1076"/>
      <c r="C478" s="1076"/>
      <c r="D478" s="1076"/>
      <c r="E478" s="1076"/>
      <c r="F478" s="1076"/>
      <c r="G478" s="1076"/>
      <c r="H478" s="1268"/>
      <c r="I478" s="1123"/>
      <c r="J478" s="1119"/>
      <c r="K478" s="1119"/>
      <c r="L478" s="1119"/>
      <c r="M478" s="1171"/>
      <c r="N478" s="1196"/>
      <c r="O478" s="1119"/>
      <c r="P478" s="1119"/>
      <c r="Q478" s="1119"/>
      <c r="R478" s="1119"/>
      <c r="S478" s="1076"/>
      <c r="T478" s="1123" t="s">
        <v>587</v>
      </c>
      <c r="U478" s="866">
        <v>7405440</v>
      </c>
      <c r="V478" s="1171">
        <v>40694</v>
      </c>
      <c r="W478" s="866" t="s">
        <v>137</v>
      </c>
      <c r="X478" s="1084"/>
      <c r="Y478" s="1084"/>
      <c r="Z478" s="827">
        <v>0</v>
      </c>
      <c r="AA478" s="1084"/>
      <c r="AB478" s="1119"/>
      <c r="AC478" s="1119"/>
      <c r="AD478" s="1119"/>
      <c r="AE478" s="1119"/>
      <c r="AF478" s="1203"/>
      <c r="AG478" s="1204"/>
      <c r="AH478" s="1204"/>
      <c r="AI478" s="1204"/>
    </row>
    <row r="479" spans="1:35" ht="15" customHeight="1">
      <c r="A479" s="1076"/>
      <c r="B479" s="1076"/>
      <c r="C479" s="1076"/>
      <c r="D479" s="1076"/>
      <c r="E479" s="1076"/>
      <c r="F479" s="1076"/>
      <c r="G479" s="1076"/>
      <c r="H479" s="1268"/>
      <c r="I479" s="1123"/>
      <c r="J479" s="1119"/>
      <c r="K479" s="1119"/>
      <c r="L479" s="1119"/>
      <c r="M479" s="1171"/>
      <c r="N479" s="1196"/>
      <c r="O479" s="1119"/>
      <c r="P479" s="1119"/>
      <c r="Q479" s="1119"/>
      <c r="R479" s="1119"/>
      <c r="S479" s="1076"/>
      <c r="T479" s="1123"/>
      <c r="U479" s="866">
        <v>11108160</v>
      </c>
      <c r="V479" s="1171"/>
      <c r="W479" s="866" t="s">
        <v>137</v>
      </c>
      <c r="X479" s="1084"/>
      <c r="Y479" s="1084"/>
      <c r="Z479" s="827">
        <v>0</v>
      </c>
      <c r="AA479" s="1084"/>
      <c r="AB479" s="1119"/>
      <c r="AC479" s="1119"/>
      <c r="AD479" s="1119"/>
      <c r="AE479" s="1119"/>
      <c r="AF479" s="1203"/>
      <c r="AG479" s="1204"/>
      <c r="AH479" s="1204"/>
      <c r="AI479" s="1204"/>
    </row>
    <row r="480" spans="1:35" ht="15" customHeight="1">
      <c r="A480" s="1076"/>
      <c r="B480" s="1076"/>
      <c r="C480" s="1076"/>
      <c r="D480" s="1076"/>
      <c r="E480" s="1076"/>
      <c r="F480" s="1076"/>
      <c r="G480" s="1076"/>
      <c r="H480" s="1268"/>
      <c r="I480" s="1123" t="s">
        <v>7</v>
      </c>
      <c r="J480" s="1119">
        <v>26448001</v>
      </c>
      <c r="K480" s="1119"/>
      <c r="L480" s="1119"/>
      <c r="M480" s="1171"/>
      <c r="N480" s="1196"/>
      <c r="O480" s="1119">
        <v>26448001.199999999</v>
      </c>
      <c r="P480" s="1119">
        <v>-0.19999999925494194</v>
      </c>
      <c r="Q480" s="1119">
        <v>26448000</v>
      </c>
      <c r="R480" s="1119"/>
      <c r="S480" s="1076"/>
      <c r="T480" s="1123" t="s">
        <v>588</v>
      </c>
      <c r="U480" s="866">
        <v>528960</v>
      </c>
      <c r="V480" s="1171">
        <v>40876</v>
      </c>
      <c r="W480" s="866" t="s">
        <v>7</v>
      </c>
      <c r="X480" s="1084"/>
      <c r="Y480" s="1084"/>
      <c r="Z480" s="827">
        <v>0</v>
      </c>
      <c r="AA480" s="1084">
        <v>10579201</v>
      </c>
      <c r="AB480" s="1119"/>
      <c r="AC480" s="1119"/>
      <c r="AD480" s="1119"/>
      <c r="AE480" s="1119"/>
      <c r="AF480" s="1203"/>
      <c r="AG480" s="1204"/>
      <c r="AH480" s="1204"/>
      <c r="AI480" s="1204"/>
    </row>
    <row r="481" spans="1:35" ht="15" customHeight="1">
      <c r="A481" s="1076"/>
      <c r="B481" s="1076"/>
      <c r="C481" s="1076"/>
      <c r="D481" s="1076"/>
      <c r="E481" s="1076"/>
      <c r="F481" s="1076"/>
      <c r="G481" s="1076"/>
      <c r="H481" s="1268"/>
      <c r="I481" s="1123"/>
      <c r="J481" s="1119"/>
      <c r="K481" s="1119"/>
      <c r="L481" s="1119"/>
      <c r="M481" s="1171"/>
      <c r="N481" s="1196"/>
      <c r="O481" s="1119"/>
      <c r="P481" s="1119"/>
      <c r="Q481" s="1119"/>
      <c r="R481" s="1119"/>
      <c r="S481" s="1076"/>
      <c r="T481" s="1123"/>
      <c r="U481" s="866">
        <v>793440</v>
      </c>
      <c r="V481" s="1171"/>
      <c r="W481" s="866" t="s">
        <v>7</v>
      </c>
      <c r="X481" s="1084"/>
      <c r="Y481" s="1084"/>
      <c r="Z481" s="827">
        <v>0</v>
      </c>
      <c r="AA481" s="1084"/>
      <c r="AB481" s="1119"/>
      <c r="AC481" s="1119"/>
      <c r="AD481" s="1119"/>
      <c r="AE481" s="1119"/>
      <c r="AF481" s="1203"/>
      <c r="AG481" s="1204"/>
      <c r="AH481" s="1204"/>
      <c r="AI481" s="1204"/>
    </row>
    <row r="482" spans="1:35" ht="15" customHeight="1">
      <c r="A482" s="1076"/>
      <c r="B482" s="1076"/>
      <c r="C482" s="1076"/>
      <c r="D482" s="1076"/>
      <c r="E482" s="1076"/>
      <c r="F482" s="1076"/>
      <c r="G482" s="1076"/>
      <c r="H482" s="1268"/>
      <c r="I482" s="1123"/>
      <c r="J482" s="1119"/>
      <c r="K482" s="1119"/>
      <c r="L482" s="1119"/>
      <c r="M482" s="1171"/>
      <c r="N482" s="1196"/>
      <c r="O482" s="1119"/>
      <c r="P482" s="1119"/>
      <c r="Q482" s="1119"/>
      <c r="R482" s="1119"/>
      <c r="S482" s="1076"/>
      <c r="T482" s="1123" t="s">
        <v>590</v>
      </c>
      <c r="U482" s="866">
        <v>2644800</v>
      </c>
      <c r="V482" s="1171">
        <v>41767</v>
      </c>
      <c r="W482" s="866" t="s">
        <v>137</v>
      </c>
      <c r="X482" s="1084"/>
      <c r="Y482" s="1084"/>
      <c r="Z482" s="827">
        <v>0</v>
      </c>
      <c r="AA482" s="1084"/>
      <c r="AB482" s="1119"/>
      <c r="AC482" s="1119"/>
      <c r="AD482" s="1119"/>
      <c r="AE482" s="1119"/>
      <c r="AF482" s="1203"/>
      <c r="AG482" s="1204"/>
      <c r="AH482" s="1204"/>
      <c r="AI482" s="1204"/>
    </row>
    <row r="483" spans="1:35" ht="15" customHeight="1">
      <c r="A483" s="1076"/>
      <c r="B483" s="1076"/>
      <c r="C483" s="1076"/>
      <c r="D483" s="1076"/>
      <c r="E483" s="1076"/>
      <c r="F483" s="1076"/>
      <c r="G483" s="1076"/>
      <c r="H483" s="1268"/>
      <c r="I483" s="1123"/>
      <c r="J483" s="1119"/>
      <c r="K483" s="1119"/>
      <c r="L483" s="1119"/>
      <c r="M483" s="1171"/>
      <c r="N483" s="1196"/>
      <c r="O483" s="1119"/>
      <c r="P483" s="1119"/>
      <c r="Q483" s="1119"/>
      <c r="R483" s="1119"/>
      <c r="S483" s="1076"/>
      <c r="T483" s="1123"/>
      <c r="U483" s="866">
        <v>3967200</v>
      </c>
      <c r="V483" s="1171"/>
      <c r="W483" s="866" t="s">
        <v>7</v>
      </c>
      <c r="X483" s="1084"/>
      <c r="Y483" s="1084"/>
      <c r="Z483" s="827">
        <v>0</v>
      </c>
      <c r="AA483" s="1084"/>
      <c r="AB483" s="1119"/>
      <c r="AC483" s="1119"/>
      <c r="AD483" s="1119"/>
      <c r="AE483" s="1119"/>
      <c r="AF483" s="1203"/>
      <c r="AG483" s="1204"/>
      <c r="AH483" s="1204"/>
      <c r="AI483" s="1204"/>
    </row>
    <row r="484" spans="1:35" ht="15" customHeight="1">
      <c r="A484" s="1076"/>
      <c r="B484" s="1076"/>
      <c r="C484" s="1076"/>
      <c r="D484" s="1076"/>
      <c r="E484" s="823" t="s">
        <v>171</v>
      </c>
      <c r="F484" s="1076"/>
      <c r="G484" s="1076"/>
      <c r="H484" s="886">
        <v>202</v>
      </c>
      <c r="I484" s="840" t="s">
        <v>7</v>
      </c>
      <c r="J484" s="858">
        <v>22040000</v>
      </c>
      <c r="K484" s="858">
        <v>22040000</v>
      </c>
      <c r="L484" s="1119"/>
      <c r="M484" s="855">
        <v>40779</v>
      </c>
      <c r="N484" s="862">
        <v>22040000</v>
      </c>
      <c r="O484" s="858">
        <v>22040000</v>
      </c>
      <c r="P484" s="858">
        <v>0</v>
      </c>
      <c r="Q484" s="858">
        <v>22040000</v>
      </c>
      <c r="R484" s="1119"/>
      <c r="S484" s="1076"/>
      <c r="T484" s="840" t="s">
        <v>588</v>
      </c>
      <c r="U484" s="866">
        <v>22040000</v>
      </c>
      <c r="V484" s="855">
        <v>40876</v>
      </c>
      <c r="W484" s="866" t="s">
        <v>7</v>
      </c>
      <c r="X484" s="827">
        <v>22040000</v>
      </c>
      <c r="Y484" s="1084"/>
      <c r="Z484" s="827">
        <v>0</v>
      </c>
      <c r="AA484" s="827">
        <v>0</v>
      </c>
      <c r="AB484" s="858">
        <v>0</v>
      </c>
      <c r="AC484" s="858">
        <v>0</v>
      </c>
      <c r="AD484" s="858">
        <v>0</v>
      </c>
      <c r="AE484" s="858">
        <v>0</v>
      </c>
      <c r="AF484" s="1203"/>
      <c r="AG484" s="1204"/>
      <c r="AH484" s="1204"/>
      <c r="AI484" s="1204"/>
    </row>
    <row r="485" spans="1:35" ht="15" customHeight="1">
      <c r="A485" s="1076" t="s">
        <v>597</v>
      </c>
      <c r="B485" s="1076" t="s">
        <v>599</v>
      </c>
      <c r="C485" s="1076" t="s">
        <v>72</v>
      </c>
      <c r="D485" s="1076" t="s">
        <v>177</v>
      </c>
      <c r="E485" s="1076" t="s">
        <v>66</v>
      </c>
      <c r="F485" s="1076" t="s">
        <v>183</v>
      </c>
      <c r="G485" s="1076" t="s">
        <v>604</v>
      </c>
      <c r="H485" s="1268">
        <v>111</v>
      </c>
      <c r="I485" s="1123" t="s">
        <v>137</v>
      </c>
      <c r="J485" s="1119">
        <v>111538461</v>
      </c>
      <c r="K485" s="1119">
        <v>278846153</v>
      </c>
      <c r="L485" s="1119">
        <v>323738153</v>
      </c>
      <c r="M485" s="1171">
        <v>40413</v>
      </c>
      <c r="N485" s="1196">
        <v>278846000</v>
      </c>
      <c r="O485" s="1119">
        <v>111538400.2</v>
      </c>
      <c r="P485" s="1119">
        <v>60.799999997019768</v>
      </c>
      <c r="Q485" s="1119">
        <v>111538400</v>
      </c>
      <c r="R485" s="1119">
        <v>323738000</v>
      </c>
      <c r="S485" s="1076" t="s">
        <v>467</v>
      </c>
      <c r="T485" s="1123" t="s">
        <v>600</v>
      </c>
      <c r="U485" s="866">
        <v>44615360</v>
      </c>
      <c r="V485" s="1171">
        <v>40456</v>
      </c>
      <c r="W485" s="866" t="s">
        <v>137</v>
      </c>
      <c r="X485" s="1084">
        <v>278846000</v>
      </c>
      <c r="Y485" s="1084">
        <v>323738000</v>
      </c>
      <c r="Z485" s="827">
        <v>0</v>
      </c>
      <c r="AA485" s="1084">
        <v>-10038395.009999998</v>
      </c>
      <c r="AB485" s="1119">
        <v>39.600000023841858</v>
      </c>
      <c r="AC485" s="1119">
        <v>0</v>
      </c>
      <c r="AD485" s="1119">
        <v>0</v>
      </c>
      <c r="AE485" s="1119">
        <v>0</v>
      </c>
      <c r="AF485" s="1203" t="s">
        <v>606</v>
      </c>
      <c r="AG485" s="1204" t="s">
        <v>774</v>
      </c>
      <c r="AH485" s="1204" t="s">
        <v>194</v>
      </c>
      <c r="AI485" s="1204" t="s">
        <v>558</v>
      </c>
    </row>
    <row r="486" spans="1:35" ht="15" customHeight="1">
      <c r="A486" s="1076"/>
      <c r="B486" s="1076"/>
      <c r="C486" s="1076"/>
      <c r="D486" s="1076"/>
      <c r="E486" s="1076"/>
      <c r="F486" s="1076"/>
      <c r="G486" s="1076"/>
      <c r="H486" s="1268"/>
      <c r="I486" s="1123"/>
      <c r="J486" s="1119"/>
      <c r="K486" s="1119"/>
      <c r="L486" s="1119"/>
      <c r="M486" s="1171"/>
      <c r="N486" s="1196"/>
      <c r="O486" s="1119"/>
      <c r="P486" s="1119"/>
      <c r="Q486" s="1119"/>
      <c r="R486" s="1119"/>
      <c r="S486" s="1076"/>
      <c r="T486" s="1123"/>
      <c r="U486" s="866">
        <v>66923040</v>
      </c>
      <c r="V486" s="1171"/>
      <c r="W486" s="866" t="s">
        <v>7</v>
      </c>
      <c r="X486" s="1084"/>
      <c r="Y486" s="1084"/>
      <c r="Z486" s="827">
        <v>0</v>
      </c>
      <c r="AA486" s="1084"/>
      <c r="AB486" s="1119"/>
      <c r="AC486" s="1119"/>
      <c r="AD486" s="1119"/>
      <c r="AE486" s="1119"/>
      <c r="AF486" s="1203"/>
      <c r="AG486" s="1204"/>
      <c r="AH486" s="1204"/>
      <c r="AI486" s="1204"/>
    </row>
    <row r="487" spans="1:35" ht="15" customHeight="1">
      <c r="A487" s="1076"/>
      <c r="B487" s="1076"/>
      <c r="C487" s="1076"/>
      <c r="D487" s="1076"/>
      <c r="E487" s="1076"/>
      <c r="F487" s="1076"/>
      <c r="G487" s="1076"/>
      <c r="H487" s="1268"/>
      <c r="I487" s="1123"/>
      <c r="J487" s="1119"/>
      <c r="K487" s="1119"/>
      <c r="L487" s="1119"/>
      <c r="M487" s="1171"/>
      <c r="N487" s="1196"/>
      <c r="O487" s="1119"/>
      <c r="P487" s="1119"/>
      <c r="Q487" s="1119"/>
      <c r="R487" s="1119"/>
      <c r="S487" s="1076"/>
      <c r="T487" s="1123" t="s">
        <v>601</v>
      </c>
      <c r="U487" s="866">
        <v>60230736.009999998</v>
      </c>
      <c r="V487" s="1171">
        <v>40757</v>
      </c>
      <c r="W487" s="866" t="s">
        <v>137</v>
      </c>
      <c r="X487" s="1084"/>
      <c r="Y487" s="1084"/>
      <c r="Z487" s="827">
        <v>0</v>
      </c>
      <c r="AA487" s="1084"/>
      <c r="AB487" s="1119"/>
      <c r="AC487" s="1119"/>
      <c r="AD487" s="1119"/>
      <c r="AE487" s="1119"/>
      <c r="AF487" s="1203"/>
      <c r="AG487" s="1204"/>
      <c r="AH487" s="1204"/>
      <c r="AI487" s="1204"/>
    </row>
    <row r="488" spans="1:35" ht="15" customHeight="1">
      <c r="A488" s="1076"/>
      <c r="B488" s="1076"/>
      <c r="C488" s="1076"/>
      <c r="D488" s="1076"/>
      <c r="E488" s="1076"/>
      <c r="F488" s="1076"/>
      <c r="G488" s="1076"/>
      <c r="H488" s="1268"/>
      <c r="I488" s="1123"/>
      <c r="J488" s="1119"/>
      <c r="K488" s="1119"/>
      <c r="L488" s="1119"/>
      <c r="M488" s="1171"/>
      <c r="N488" s="1196"/>
      <c r="O488" s="1119"/>
      <c r="P488" s="1119"/>
      <c r="Q488" s="1119"/>
      <c r="R488" s="1119"/>
      <c r="S488" s="1076"/>
      <c r="T488" s="1123"/>
      <c r="U488" s="866">
        <v>90346103.989999995</v>
      </c>
      <c r="V488" s="1171"/>
      <c r="W488" s="866" t="s">
        <v>7</v>
      </c>
      <c r="X488" s="1084"/>
      <c r="Y488" s="1084"/>
      <c r="Z488" s="827">
        <v>0</v>
      </c>
      <c r="AA488" s="1084"/>
      <c r="AB488" s="1119"/>
      <c r="AC488" s="1119"/>
      <c r="AD488" s="1119"/>
      <c r="AE488" s="1119"/>
      <c r="AF488" s="1203"/>
      <c r="AG488" s="1204"/>
      <c r="AH488" s="1204"/>
      <c r="AI488" s="1204"/>
    </row>
    <row r="489" spans="1:35" ht="15" customHeight="1">
      <c r="A489" s="1076"/>
      <c r="B489" s="1076"/>
      <c r="C489" s="1076"/>
      <c r="D489" s="1076"/>
      <c r="E489" s="1076"/>
      <c r="F489" s="1076"/>
      <c r="G489" s="1076"/>
      <c r="H489" s="1268"/>
      <c r="I489" s="1123" t="s">
        <v>7</v>
      </c>
      <c r="J489" s="1119">
        <v>167307692</v>
      </c>
      <c r="K489" s="1119"/>
      <c r="L489" s="1119"/>
      <c r="M489" s="1171"/>
      <c r="N489" s="1196"/>
      <c r="O489" s="1119">
        <v>167307599.80000001</v>
      </c>
      <c r="P489" s="1119">
        <v>92.199999988079071</v>
      </c>
      <c r="Q489" s="1119">
        <v>167307600</v>
      </c>
      <c r="R489" s="1119"/>
      <c r="S489" s="1076"/>
      <c r="T489" s="1123" t="s">
        <v>602</v>
      </c>
      <c r="U489" s="866">
        <v>6692304</v>
      </c>
      <c r="V489" s="1171">
        <v>41516</v>
      </c>
      <c r="W489" s="866" t="s">
        <v>137</v>
      </c>
      <c r="X489" s="1084"/>
      <c r="Y489" s="1084"/>
      <c r="Z489" s="827">
        <v>0</v>
      </c>
      <c r="AA489" s="1084">
        <v>10038455.810000017</v>
      </c>
      <c r="AB489" s="1119"/>
      <c r="AC489" s="1119"/>
      <c r="AD489" s="1119"/>
      <c r="AE489" s="1119"/>
      <c r="AF489" s="1203"/>
      <c r="AG489" s="1204"/>
      <c r="AH489" s="1204"/>
      <c r="AI489" s="1204"/>
    </row>
    <row r="490" spans="1:35" ht="15" customHeight="1">
      <c r="A490" s="1076"/>
      <c r="B490" s="1076"/>
      <c r="C490" s="1076"/>
      <c r="D490" s="1076"/>
      <c r="E490" s="1076"/>
      <c r="F490" s="1076"/>
      <c r="G490" s="1076"/>
      <c r="H490" s="1268"/>
      <c r="I490" s="1123"/>
      <c r="J490" s="1119"/>
      <c r="K490" s="1119"/>
      <c r="L490" s="1119"/>
      <c r="M490" s="1171"/>
      <c r="N490" s="1196"/>
      <c r="O490" s="1119"/>
      <c r="P490" s="1119"/>
      <c r="Q490" s="1119"/>
      <c r="R490" s="1119"/>
      <c r="S490" s="1076"/>
      <c r="T490" s="1123"/>
      <c r="U490" s="866">
        <v>10038456</v>
      </c>
      <c r="V490" s="1171"/>
      <c r="W490" s="866" t="s">
        <v>137</v>
      </c>
      <c r="X490" s="1084"/>
      <c r="Y490" s="1084"/>
      <c r="Z490" s="827">
        <v>0</v>
      </c>
      <c r="AA490" s="1084"/>
      <c r="AB490" s="1119"/>
      <c r="AC490" s="1119"/>
      <c r="AD490" s="1119"/>
      <c r="AE490" s="1119"/>
      <c r="AF490" s="1203"/>
      <c r="AG490" s="1204"/>
      <c r="AH490" s="1204"/>
      <c r="AI490" s="1204"/>
    </row>
    <row r="491" spans="1:35" ht="15" customHeight="1">
      <c r="A491" s="1076"/>
      <c r="B491" s="1076"/>
      <c r="C491" s="1076"/>
      <c r="D491" s="1076"/>
      <c r="E491" s="1076" t="s">
        <v>67</v>
      </c>
      <c r="F491" s="1076"/>
      <c r="G491" s="1076"/>
      <c r="H491" s="1268">
        <v>174</v>
      </c>
      <c r="I491" s="1123" t="s">
        <v>7</v>
      </c>
      <c r="J491" s="1119">
        <v>44892000</v>
      </c>
      <c r="K491" s="1119">
        <v>44892000</v>
      </c>
      <c r="L491" s="1119"/>
      <c r="M491" s="855"/>
      <c r="N491" s="1196"/>
      <c r="O491" s="1119"/>
      <c r="P491" s="1119"/>
      <c r="Q491" s="1119">
        <v>44892000</v>
      </c>
      <c r="R491" s="1119"/>
      <c r="S491" s="1076"/>
      <c r="T491" s="840" t="s">
        <v>603</v>
      </c>
      <c r="U491" s="866">
        <v>40402800</v>
      </c>
      <c r="V491" s="855">
        <v>40780</v>
      </c>
      <c r="W491" s="866" t="s">
        <v>7</v>
      </c>
      <c r="X491" s="1084">
        <v>44892000</v>
      </c>
      <c r="Y491" s="1084"/>
      <c r="Z491" s="827">
        <v>0</v>
      </c>
      <c r="AA491" s="1084">
        <v>0</v>
      </c>
      <c r="AB491" s="1119">
        <v>0</v>
      </c>
      <c r="AC491" s="1119">
        <v>0</v>
      </c>
      <c r="AD491" s="1119">
        <v>0</v>
      </c>
      <c r="AE491" s="1119">
        <v>0</v>
      </c>
      <c r="AF491" s="1203"/>
      <c r="AG491" s="1204"/>
      <c r="AH491" s="1204"/>
      <c r="AI491" s="1204"/>
    </row>
    <row r="492" spans="1:35" ht="15" customHeight="1">
      <c r="A492" s="1076"/>
      <c r="B492" s="1076"/>
      <c r="C492" s="1076"/>
      <c r="D492" s="1076"/>
      <c r="E492" s="1076"/>
      <c r="F492" s="1076"/>
      <c r="G492" s="1076"/>
      <c r="H492" s="1268"/>
      <c r="I492" s="1123"/>
      <c r="J492" s="1119"/>
      <c r="K492" s="1119"/>
      <c r="L492" s="1119"/>
      <c r="M492" s="855"/>
      <c r="N492" s="1196"/>
      <c r="O492" s="1119"/>
      <c r="P492" s="1119"/>
      <c r="Q492" s="1119"/>
      <c r="R492" s="1119"/>
      <c r="S492" s="1076"/>
      <c r="T492" s="840" t="s">
        <v>605</v>
      </c>
      <c r="U492" s="866">
        <v>4489200</v>
      </c>
      <c r="V492" s="855">
        <v>41516</v>
      </c>
      <c r="W492" s="866" t="s">
        <v>7</v>
      </c>
      <c r="X492" s="1084"/>
      <c r="Y492" s="1084"/>
      <c r="Z492" s="827">
        <v>0</v>
      </c>
      <c r="AA492" s="1084"/>
      <c r="AB492" s="1119"/>
      <c r="AC492" s="1119"/>
      <c r="AD492" s="1119"/>
      <c r="AE492" s="1119"/>
      <c r="AF492" s="1203"/>
      <c r="AG492" s="1204"/>
      <c r="AH492" s="1204"/>
      <c r="AI492" s="1204"/>
    </row>
    <row r="493" spans="1:35" ht="15" customHeight="1">
      <c r="A493" s="1076" t="s">
        <v>614</v>
      </c>
      <c r="B493" s="1076" t="s">
        <v>616</v>
      </c>
      <c r="C493" s="1076" t="s">
        <v>72</v>
      </c>
      <c r="D493" s="1076" t="s">
        <v>177</v>
      </c>
      <c r="E493" s="1076" t="s">
        <v>66</v>
      </c>
      <c r="F493" s="1076" t="s">
        <v>183</v>
      </c>
      <c r="G493" s="1076" t="s">
        <v>696</v>
      </c>
      <c r="H493" s="1251">
        <v>112</v>
      </c>
      <c r="I493" s="1123" t="s">
        <v>137</v>
      </c>
      <c r="J493" s="1119">
        <v>24000000</v>
      </c>
      <c r="K493" s="1119">
        <v>60000000</v>
      </c>
      <c r="L493" s="1119">
        <v>90000000</v>
      </c>
      <c r="M493" s="1171">
        <v>40413</v>
      </c>
      <c r="N493" s="1196">
        <v>60000000</v>
      </c>
      <c r="O493" s="1119">
        <v>24000000</v>
      </c>
      <c r="P493" s="1119">
        <v>0</v>
      </c>
      <c r="Q493" s="1119">
        <v>24000000</v>
      </c>
      <c r="R493" s="1119">
        <v>90000000</v>
      </c>
      <c r="S493" s="1076" t="s">
        <v>467</v>
      </c>
      <c r="T493" s="1123" t="s">
        <v>617</v>
      </c>
      <c r="U493" s="866">
        <v>9600000</v>
      </c>
      <c r="V493" s="1171">
        <v>40448</v>
      </c>
      <c r="W493" s="866" t="s">
        <v>137</v>
      </c>
      <c r="X493" s="1084">
        <v>6936769557.1399994</v>
      </c>
      <c r="Y493" s="1084">
        <v>6966769557.1399994</v>
      </c>
      <c r="Z493" s="827">
        <v>0</v>
      </c>
      <c r="AA493" s="1084">
        <v>-8640000</v>
      </c>
      <c r="AB493" s="1119">
        <v>0</v>
      </c>
      <c r="AC493" s="1119">
        <v>0</v>
      </c>
      <c r="AD493" s="1119">
        <v>0</v>
      </c>
      <c r="AE493" s="1119">
        <v>0</v>
      </c>
      <c r="AF493" s="1203" t="s">
        <v>620</v>
      </c>
      <c r="AG493" s="1204" t="s">
        <v>782</v>
      </c>
      <c r="AH493" s="1204" t="s">
        <v>194</v>
      </c>
      <c r="AI493" s="1204" t="s">
        <v>558</v>
      </c>
    </row>
    <row r="494" spans="1:35" ht="15" customHeight="1">
      <c r="A494" s="1076"/>
      <c r="B494" s="1076"/>
      <c r="C494" s="1076"/>
      <c r="D494" s="1076"/>
      <c r="E494" s="1076"/>
      <c r="F494" s="1076"/>
      <c r="G494" s="1076"/>
      <c r="H494" s="1251"/>
      <c r="I494" s="1123"/>
      <c r="J494" s="1119"/>
      <c r="K494" s="1119"/>
      <c r="L494" s="1119"/>
      <c r="M494" s="1171"/>
      <c r="N494" s="1196"/>
      <c r="O494" s="1119"/>
      <c r="P494" s="1119"/>
      <c r="Q494" s="1119"/>
      <c r="R494" s="1119"/>
      <c r="S494" s="1076"/>
      <c r="T494" s="1123"/>
      <c r="U494" s="866">
        <v>14400000</v>
      </c>
      <c r="V494" s="1171"/>
      <c r="W494" s="866" t="s">
        <v>7</v>
      </c>
      <c r="X494" s="1084"/>
      <c r="Y494" s="1084"/>
      <c r="Z494" s="827">
        <v>0</v>
      </c>
      <c r="AA494" s="1084"/>
      <c r="AB494" s="1119"/>
      <c r="AC494" s="1119"/>
      <c r="AD494" s="1119"/>
      <c r="AE494" s="1119"/>
      <c r="AF494" s="1203"/>
      <c r="AG494" s="1204"/>
      <c r="AH494" s="1204"/>
      <c r="AI494" s="1204"/>
    </row>
    <row r="495" spans="1:35" ht="15" customHeight="1">
      <c r="A495" s="1076"/>
      <c r="B495" s="1076"/>
      <c r="C495" s="1076"/>
      <c r="D495" s="1076"/>
      <c r="E495" s="1076"/>
      <c r="F495" s="1076"/>
      <c r="G495" s="1076"/>
      <c r="H495" s="1251"/>
      <c r="I495" s="1123"/>
      <c r="J495" s="1119"/>
      <c r="K495" s="1119"/>
      <c r="L495" s="1119"/>
      <c r="M495" s="1171"/>
      <c r="N495" s="1196"/>
      <c r="O495" s="1119"/>
      <c r="P495" s="1119"/>
      <c r="Q495" s="1119"/>
      <c r="R495" s="1119"/>
      <c r="S495" s="1076"/>
      <c r="T495" s="1123" t="s">
        <v>618</v>
      </c>
      <c r="U495" s="866">
        <v>7200000</v>
      </c>
      <c r="V495" s="1171">
        <v>40788</v>
      </c>
      <c r="W495" s="866" t="s">
        <v>137</v>
      </c>
      <c r="X495" s="1084"/>
      <c r="Y495" s="1084"/>
      <c r="Z495" s="827">
        <v>0</v>
      </c>
      <c r="AA495" s="1084"/>
      <c r="AB495" s="1119"/>
      <c r="AC495" s="1119"/>
      <c r="AD495" s="1119"/>
      <c r="AE495" s="1119"/>
      <c r="AF495" s="1203"/>
      <c r="AG495" s="1204"/>
      <c r="AH495" s="1204"/>
      <c r="AI495" s="1204"/>
    </row>
    <row r="496" spans="1:35" ht="15" customHeight="1">
      <c r="A496" s="1076"/>
      <c r="B496" s="1076"/>
      <c r="C496" s="1076"/>
      <c r="D496" s="1076"/>
      <c r="E496" s="1076"/>
      <c r="F496" s="1076"/>
      <c r="G496" s="1076"/>
      <c r="H496" s="1251"/>
      <c r="I496" s="1123"/>
      <c r="J496" s="1119"/>
      <c r="K496" s="1119"/>
      <c r="L496" s="1119"/>
      <c r="M496" s="1171"/>
      <c r="N496" s="1196"/>
      <c r="O496" s="1119"/>
      <c r="P496" s="1119"/>
      <c r="Q496" s="1119"/>
      <c r="R496" s="1119"/>
      <c r="S496" s="1076"/>
      <c r="T496" s="1123"/>
      <c r="U496" s="866">
        <v>10800000</v>
      </c>
      <c r="V496" s="1171"/>
      <c r="W496" s="866" t="s">
        <v>7</v>
      </c>
      <c r="X496" s="1084"/>
      <c r="Y496" s="1084"/>
      <c r="Z496" s="827">
        <v>0</v>
      </c>
      <c r="AA496" s="1084"/>
      <c r="AB496" s="1119"/>
      <c r="AC496" s="1119"/>
      <c r="AD496" s="1119"/>
      <c r="AE496" s="1119"/>
      <c r="AF496" s="1203"/>
      <c r="AG496" s="1204"/>
      <c r="AH496" s="1204"/>
      <c r="AI496" s="1204"/>
    </row>
    <row r="497" spans="1:35" ht="15" customHeight="1">
      <c r="A497" s="1076"/>
      <c r="B497" s="1076"/>
      <c r="C497" s="1076"/>
      <c r="D497" s="1076"/>
      <c r="E497" s="1076"/>
      <c r="F497" s="1076"/>
      <c r="G497" s="1076"/>
      <c r="H497" s="1251"/>
      <c r="I497" s="1123"/>
      <c r="J497" s="1119"/>
      <c r="K497" s="1119"/>
      <c r="L497" s="1119"/>
      <c r="M497" s="1171"/>
      <c r="N497" s="1196"/>
      <c r="O497" s="1119"/>
      <c r="P497" s="1119"/>
      <c r="Q497" s="1119"/>
      <c r="R497" s="1119"/>
      <c r="S497" s="1076"/>
      <c r="T497" s="1123" t="s">
        <v>619</v>
      </c>
      <c r="U497" s="866">
        <v>5760000.0099999998</v>
      </c>
      <c r="V497" s="1171">
        <v>40913</v>
      </c>
      <c r="W497" s="866" t="s">
        <v>137</v>
      </c>
      <c r="X497" s="1084"/>
      <c r="Y497" s="1084"/>
      <c r="Z497" s="827">
        <v>-9.9999997764825821E-3</v>
      </c>
      <c r="AA497" s="1084"/>
      <c r="AB497" s="1119"/>
      <c r="AC497" s="1119"/>
      <c r="AD497" s="1119"/>
      <c r="AE497" s="1119"/>
      <c r="AF497" s="1203"/>
      <c r="AG497" s="1204"/>
      <c r="AH497" s="1204"/>
      <c r="AI497" s="1204"/>
    </row>
    <row r="498" spans="1:35" ht="15" customHeight="1">
      <c r="A498" s="1076"/>
      <c r="B498" s="1076"/>
      <c r="C498" s="1076"/>
      <c r="D498" s="1076"/>
      <c r="E498" s="1076"/>
      <c r="F498" s="1076"/>
      <c r="G498" s="1076"/>
      <c r="H498" s="1251"/>
      <c r="I498" s="1123" t="s">
        <v>7</v>
      </c>
      <c r="J498" s="1119">
        <v>36000000</v>
      </c>
      <c r="K498" s="1119"/>
      <c r="L498" s="1119"/>
      <c r="M498" s="1171"/>
      <c r="N498" s="1196"/>
      <c r="O498" s="1119">
        <v>36000000</v>
      </c>
      <c r="P498" s="1119">
        <v>0</v>
      </c>
      <c r="Q498" s="1119">
        <v>36000000</v>
      </c>
      <c r="R498" s="1119"/>
      <c r="S498" s="1076"/>
      <c r="T498" s="1123"/>
      <c r="U498" s="866">
        <v>8639999.9900000002</v>
      </c>
      <c r="V498" s="1171"/>
      <c r="W498" s="866" t="s">
        <v>137</v>
      </c>
      <c r="X498" s="1084"/>
      <c r="Y498" s="1084"/>
      <c r="Z498" s="827">
        <v>9.9999997764825821E-3</v>
      </c>
      <c r="AA498" s="1084">
        <v>8640000</v>
      </c>
      <c r="AB498" s="1119"/>
      <c r="AC498" s="1119"/>
      <c r="AD498" s="1119"/>
      <c r="AE498" s="1119"/>
      <c r="AF498" s="1203"/>
      <c r="AG498" s="1204"/>
      <c r="AH498" s="1204"/>
      <c r="AI498" s="1204"/>
    </row>
    <row r="499" spans="1:35" ht="15" customHeight="1">
      <c r="A499" s="1076"/>
      <c r="B499" s="1076"/>
      <c r="C499" s="1076"/>
      <c r="D499" s="1076"/>
      <c r="E499" s="1076"/>
      <c r="F499" s="1076"/>
      <c r="G499" s="1076"/>
      <c r="H499" s="1251"/>
      <c r="I499" s="1123"/>
      <c r="J499" s="1119"/>
      <c r="K499" s="1119"/>
      <c r="L499" s="1119"/>
      <c r="M499" s="1171"/>
      <c r="N499" s="1196"/>
      <c r="O499" s="1119"/>
      <c r="P499" s="1119"/>
      <c r="Q499" s="1119"/>
      <c r="R499" s="1119"/>
      <c r="S499" s="1076"/>
      <c r="T499" s="1123" t="s">
        <v>621</v>
      </c>
      <c r="U499" s="866">
        <v>1440000</v>
      </c>
      <c r="V499" s="1171">
        <v>41604</v>
      </c>
      <c r="W499" s="866" t="s">
        <v>137</v>
      </c>
      <c r="X499" s="1084"/>
      <c r="Y499" s="1084"/>
      <c r="Z499" s="827">
        <v>0</v>
      </c>
      <c r="AA499" s="1084"/>
      <c r="AB499" s="1119"/>
      <c r="AC499" s="1119"/>
      <c r="AD499" s="1119"/>
      <c r="AE499" s="1119"/>
      <c r="AF499" s="1203"/>
      <c r="AG499" s="1204"/>
      <c r="AH499" s="1204"/>
      <c r="AI499" s="1204"/>
    </row>
    <row r="500" spans="1:35" ht="15" customHeight="1">
      <c r="A500" s="1076"/>
      <c r="B500" s="1076"/>
      <c r="C500" s="1076"/>
      <c r="D500" s="1076"/>
      <c r="E500" s="1076"/>
      <c r="F500" s="1076"/>
      <c r="G500" s="1076"/>
      <c r="H500" s="1251"/>
      <c r="I500" s="1123"/>
      <c r="J500" s="1119"/>
      <c r="K500" s="1119"/>
      <c r="L500" s="1119"/>
      <c r="M500" s="1171"/>
      <c r="N500" s="1196"/>
      <c r="O500" s="1119"/>
      <c r="P500" s="1119"/>
      <c r="Q500" s="1119"/>
      <c r="R500" s="1119"/>
      <c r="S500" s="1076"/>
      <c r="T500" s="1123"/>
      <c r="U500" s="866">
        <v>2160000</v>
      </c>
      <c r="V500" s="1171"/>
      <c r="W500" s="866" t="s">
        <v>7</v>
      </c>
      <c r="X500" s="1084"/>
      <c r="Y500" s="1084"/>
      <c r="Z500" s="827">
        <v>0</v>
      </c>
      <c r="AA500" s="1084"/>
      <c r="AB500" s="1119"/>
      <c r="AC500" s="1119"/>
      <c r="AD500" s="1119"/>
      <c r="AE500" s="1119"/>
      <c r="AF500" s="1203"/>
      <c r="AG500" s="1204"/>
      <c r="AH500" s="1204"/>
      <c r="AI500" s="1204"/>
    </row>
    <row r="501" spans="1:35" ht="15" customHeight="1">
      <c r="A501" s="1076"/>
      <c r="B501" s="1076"/>
      <c r="C501" s="1076"/>
      <c r="D501" s="1076"/>
      <c r="E501" s="1076"/>
      <c r="F501" s="1076"/>
      <c r="G501" s="1076"/>
      <c r="H501" s="1251">
        <v>174</v>
      </c>
      <c r="I501" s="1123" t="s">
        <v>7</v>
      </c>
      <c r="J501" s="1119">
        <v>30000000</v>
      </c>
      <c r="K501" s="1119">
        <v>30000000</v>
      </c>
      <c r="L501" s="1119"/>
      <c r="M501" s="1171"/>
      <c r="N501" s="1196"/>
      <c r="O501" s="1119"/>
      <c r="P501" s="1119"/>
      <c r="Q501" s="1119">
        <v>30000000</v>
      </c>
      <c r="R501" s="1119"/>
      <c r="S501" s="1076"/>
      <c r="T501" s="840" t="s">
        <v>622</v>
      </c>
      <c r="U501" s="866">
        <v>27000000</v>
      </c>
      <c r="V501" s="855">
        <v>40912</v>
      </c>
      <c r="W501" s="866" t="s">
        <v>7</v>
      </c>
      <c r="X501" s="1084">
        <v>30000000</v>
      </c>
      <c r="Y501" s="1084"/>
      <c r="Z501" s="827">
        <v>0</v>
      </c>
      <c r="AA501" s="1084">
        <v>0</v>
      </c>
      <c r="AB501" s="1119">
        <v>0</v>
      </c>
      <c r="AC501" s="1119">
        <v>0</v>
      </c>
      <c r="AD501" s="1119">
        <v>0</v>
      </c>
      <c r="AE501" s="1119">
        <v>0</v>
      </c>
      <c r="AF501" s="1203"/>
      <c r="AG501" s="1204"/>
      <c r="AH501" s="1204"/>
      <c r="AI501" s="1204"/>
    </row>
    <row r="502" spans="1:35" ht="15" customHeight="1">
      <c r="A502" s="1076"/>
      <c r="B502" s="1076"/>
      <c r="C502" s="1076"/>
      <c r="D502" s="1076"/>
      <c r="E502" s="1076"/>
      <c r="F502" s="1076"/>
      <c r="G502" s="1076"/>
      <c r="H502" s="1251"/>
      <c r="I502" s="1123"/>
      <c r="J502" s="1119"/>
      <c r="K502" s="1119"/>
      <c r="L502" s="1119"/>
      <c r="M502" s="1171"/>
      <c r="N502" s="1196"/>
      <c r="O502" s="1119"/>
      <c r="P502" s="1119"/>
      <c r="Q502" s="1119"/>
      <c r="R502" s="1119"/>
      <c r="S502" s="1076"/>
      <c r="T502" s="840" t="s">
        <v>623</v>
      </c>
      <c r="U502" s="866">
        <v>3000000</v>
      </c>
      <c r="V502" s="855">
        <v>41604</v>
      </c>
      <c r="W502" s="866" t="s">
        <v>7</v>
      </c>
      <c r="X502" s="1084"/>
      <c r="Y502" s="1084"/>
      <c r="Z502" s="827">
        <v>0</v>
      </c>
      <c r="AA502" s="1084"/>
      <c r="AB502" s="1119"/>
      <c r="AC502" s="1119"/>
      <c r="AD502" s="1119"/>
      <c r="AE502" s="1119"/>
      <c r="AF502" s="1203"/>
      <c r="AG502" s="1204"/>
      <c r="AH502" s="1204"/>
      <c r="AI502" s="1204"/>
    </row>
    <row r="503" spans="1:35" s="954" customFormat="1" ht="15" customHeight="1">
      <c r="A503" s="1250" t="s">
        <v>607</v>
      </c>
      <c r="B503" s="1250" t="s">
        <v>609</v>
      </c>
      <c r="C503" s="1250" t="s">
        <v>72</v>
      </c>
      <c r="D503" s="1250" t="s">
        <v>177</v>
      </c>
      <c r="E503" s="1250" t="s">
        <v>66</v>
      </c>
      <c r="F503" s="1250" t="s">
        <v>217</v>
      </c>
      <c r="G503" s="1250" t="s">
        <v>613</v>
      </c>
      <c r="H503" s="1437">
        <v>22</v>
      </c>
      <c r="I503" s="1271" t="s">
        <v>137</v>
      </c>
      <c r="J503" s="1255">
        <v>15370000</v>
      </c>
      <c r="K503" s="1255">
        <v>15370000</v>
      </c>
      <c r="L503" s="1255">
        <v>15370000</v>
      </c>
      <c r="M503" s="1270">
        <v>40211</v>
      </c>
      <c r="N503" s="1272">
        <v>15370000</v>
      </c>
      <c r="O503" s="1255">
        <v>15370000</v>
      </c>
      <c r="P503" s="1255">
        <v>0</v>
      </c>
      <c r="Q503" s="1255">
        <v>15370000</v>
      </c>
      <c r="R503" s="1255">
        <v>15370000</v>
      </c>
      <c r="S503" s="1250" t="s">
        <v>467</v>
      </c>
      <c r="T503" s="947" t="s">
        <v>610</v>
      </c>
      <c r="U503" s="938">
        <v>6148000</v>
      </c>
      <c r="V503" s="945">
        <v>40452</v>
      </c>
      <c r="W503" s="938" t="s">
        <v>137</v>
      </c>
      <c r="X503" s="1264">
        <v>14893000</v>
      </c>
      <c r="Y503" s="1264">
        <v>14893000</v>
      </c>
      <c r="Z503" s="939">
        <v>0</v>
      </c>
      <c r="AA503" s="1264">
        <v>477000</v>
      </c>
      <c r="AB503" s="1255">
        <v>477000</v>
      </c>
      <c r="AC503" s="1255">
        <v>0</v>
      </c>
      <c r="AD503" s="1255">
        <v>0</v>
      </c>
      <c r="AE503" s="1255">
        <v>0</v>
      </c>
      <c r="AF503" s="1435" t="s">
        <v>523</v>
      </c>
      <c r="AG503" s="1436" t="s">
        <v>772</v>
      </c>
      <c r="AH503" s="1436" t="s">
        <v>194</v>
      </c>
      <c r="AI503" s="1436" t="s">
        <v>558</v>
      </c>
    </row>
    <row r="504" spans="1:35" s="954" customFormat="1" ht="15" customHeight="1">
      <c r="A504" s="1250"/>
      <c r="B504" s="1250"/>
      <c r="C504" s="1250"/>
      <c r="D504" s="1250"/>
      <c r="E504" s="1250"/>
      <c r="F504" s="1250"/>
      <c r="G504" s="1250"/>
      <c r="H504" s="1437"/>
      <c r="I504" s="1271"/>
      <c r="J504" s="1255"/>
      <c r="K504" s="1255"/>
      <c r="L504" s="1255"/>
      <c r="M504" s="1270"/>
      <c r="N504" s="1272"/>
      <c r="O504" s="1255"/>
      <c r="P504" s="1255"/>
      <c r="Q504" s="1255"/>
      <c r="R504" s="1255"/>
      <c r="S504" s="1250"/>
      <c r="T504" s="947" t="s">
        <v>611</v>
      </c>
      <c r="U504" s="938">
        <v>4134000</v>
      </c>
      <c r="V504" s="945">
        <v>40611</v>
      </c>
      <c r="W504" s="938" t="s">
        <v>137</v>
      </c>
      <c r="X504" s="1264"/>
      <c r="Y504" s="1264"/>
      <c r="Z504" s="939">
        <v>477000</v>
      </c>
      <c r="AA504" s="1264"/>
      <c r="AB504" s="1255"/>
      <c r="AC504" s="1255"/>
      <c r="AD504" s="1255"/>
      <c r="AE504" s="1255"/>
      <c r="AF504" s="1435"/>
      <c r="AG504" s="1436"/>
      <c r="AH504" s="1436"/>
      <c r="AI504" s="1436"/>
    </row>
    <row r="505" spans="1:35" s="954" customFormat="1" ht="15" customHeight="1">
      <c r="A505" s="1250"/>
      <c r="B505" s="1250"/>
      <c r="C505" s="1250"/>
      <c r="D505" s="1250"/>
      <c r="E505" s="1250"/>
      <c r="F505" s="1250"/>
      <c r="G505" s="1250"/>
      <c r="H505" s="1437"/>
      <c r="I505" s="1271"/>
      <c r="J505" s="1255"/>
      <c r="K505" s="1255"/>
      <c r="L505" s="1255"/>
      <c r="M505" s="1270"/>
      <c r="N505" s="1272"/>
      <c r="O505" s="1255"/>
      <c r="P505" s="1255"/>
      <c r="Q505" s="1255"/>
      <c r="R505" s="1255"/>
      <c r="S505" s="1250"/>
      <c r="T505" s="947" t="s">
        <v>612</v>
      </c>
      <c r="U505" s="938">
        <v>4611000</v>
      </c>
      <c r="V505" s="945">
        <v>41008</v>
      </c>
      <c r="W505" s="938" t="s">
        <v>137</v>
      </c>
      <c r="X505" s="1264"/>
      <c r="Y505" s="1264"/>
      <c r="Z505" s="939">
        <v>0</v>
      </c>
      <c r="AA505" s="1264"/>
      <c r="AB505" s="1255"/>
      <c r="AC505" s="1255"/>
      <c r="AD505" s="1255"/>
      <c r="AE505" s="1255"/>
      <c r="AF505" s="1435"/>
      <c r="AG505" s="1436"/>
      <c r="AH505" s="1436"/>
      <c r="AI505" s="1436"/>
    </row>
    <row r="506" spans="1:35" ht="15" customHeight="1">
      <c r="A506" s="1076" t="s">
        <v>688</v>
      </c>
      <c r="B506" s="1076" t="s">
        <v>690</v>
      </c>
      <c r="C506" s="1076" t="s">
        <v>71</v>
      </c>
      <c r="D506" s="1076" t="s">
        <v>692</v>
      </c>
      <c r="E506" s="1076" t="s">
        <v>66</v>
      </c>
      <c r="F506" s="1076" t="s">
        <v>49</v>
      </c>
      <c r="G506" s="1076" t="s">
        <v>706</v>
      </c>
      <c r="H506" s="1251">
        <v>1</v>
      </c>
      <c r="I506" s="1123" t="s">
        <v>145</v>
      </c>
      <c r="J506" s="1119">
        <v>284250058</v>
      </c>
      <c r="K506" s="1119">
        <v>284250058</v>
      </c>
      <c r="L506" s="1119">
        <v>1629482527</v>
      </c>
      <c r="M506" s="1171">
        <v>40441</v>
      </c>
      <c r="N506" s="1196">
        <v>284250058</v>
      </c>
      <c r="O506" s="1196">
        <v>284250058</v>
      </c>
      <c r="P506" s="1119">
        <v>0</v>
      </c>
      <c r="Q506" s="1119">
        <v>273727984</v>
      </c>
      <c r="R506" s="1119">
        <v>1596076364</v>
      </c>
      <c r="S506" s="1076" t="s">
        <v>691</v>
      </c>
      <c r="T506" s="840" t="s">
        <v>698</v>
      </c>
      <c r="U506" s="866">
        <v>273727984</v>
      </c>
      <c r="V506" s="855">
        <v>40463</v>
      </c>
      <c r="W506" s="866" t="s">
        <v>704</v>
      </c>
      <c r="X506" s="1084">
        <v>273727984</v>
      </c>
      <c r="Y506" s="1084">
        <v>1435114380</v>
      </c>
      <c r="Z506" s="827">
        <v>0</v>
      </c>
      <c r="AA506" s="1084">
        <v>10522074</v>
      </c>
      <c r="AB506" s="1119">
        <v>2.2899999618530273</v>
      </c>
      <c r="AC506" s="1119">
        <v>10522074</v>
      </c>
      <c r="AD506" s="1119">
        <v>160961981.71000004</v>
      </c>
      <c r="AE506" s="1119"/>
      <c r="AF506" s="1204" t="s">
        <v>703</v>
      </c>
      <c r="AG506" s="1204" t="s">
        <v>705</v>
      </c>
      <c r="AH506" s="1204" t="s">
        <v>194</v>
      </c>
      <c r="AI506" s="1204" t="s">
        <v>558</v>
      </c>
    </row>
    <row r="507" spans="1:35" ht="15" customHeight="1">
      <c r="A507" s="1076"/>
      <c r="B507" s="1076"/>
      <c r="C507" s="1076"/>
      <c r="D507" s="1076"/>
      <c r="E507" s="1076"/>
      <c r="F507" s="1076"/>
      <c r="G507" s="1076"/>
      <c r="H507" s="1251"/>
      <c r="I507" s="1123"/>
      <c r="J507" s="1119"/>
      <c r="K507" s="1119"/>
      <c r="L507" s="1119"/>
      <c r="M507" s="1171"/>
      <c r="N507" s="1196"/>
      <c r="O507" s="1196"/>
      <c r="P507" s="1119"/>
      <c r="Q507" s="1119"/>
      <c r="R507" s="1119"/>
      <c r="S507" s="1076"/>
      <c r="T507" s="840" t="s">
        <v>702</v>
      </c>
      <c r="U507" s="866">
        <v>0</v>
      </c>
      <c r="V507" s="855">
        <v>41012</v>
      </c>
      <c r="W507" s="866" t="s">
        <v>704</v>
      </c>
      <c r="X507" s="1084"/>
      <c r="Y507" s="1084"/>
      <c r="Z507" s="827">
        <v>0</v>
      </c>
      <c r="AA507" s="1084"/>
      <c r="AB507" s="1119"/>
      <c r="AC507" s="1119"/>
      <c r="AD507" s="1119"/>
      <c r="AE507" s="1119"/>
      <c r="AF507" s="1204"/>
      <c r="AG507" s="1204"/>
      <c r="AH507" s="1204"/>
      <c r="AI507" s="1204"/>
    </row>
    <row r="508" spans="1:35" ht="15" customHeight="1">
      <c r="A508" s="1076"/>
      <c r="B508" s="1076"/>
      <c r="C508" s="1076"/>
      <c r="D508" s="1076"/>
      <c r="E508" s="1076"/>
      <c r="F508" s="1076"/>
      <c r="G508" s="1076"/>
      <c r="H508" s="1251"/>
      <c r="I508" s="1123"/>
      <c r="J508" s="1119"/>
      <c r="K508" s="1119"/>
      <c r="L508" s="1119"/>
      <c r="M508" s="1171"/>
      <c r="N508" s="1196"/>
      <c r="O508" s="1196"/>
      <c r="P508" s="1119"/>
      <c r="Q508" s="1119"/>
      <c r="R508" s="1119"/>
      <c r="S508" s="1076"/>
      <c r="T508" s="840" t="s">
        <v>700</v>
      </c>
      <c r="U508" s="866">
        <v>0</v>
      </c>
      <c r="V508" s="855">
        <v>41254</v>
      </c>
      <c r="W508" s="866" t="s">
        <v>704</v>
      </c>
      <c r="X508" s="1084"/>
      <c r="Y508" s="1084"/>
      <c r="Z508" s="827">
        <v>0</v>
      </c>
      <c r="AA508" s="1084"/>
      <c r="AB508" s="1119"/>
      <c r="AC508" s="1119"/>
      <c r="AD508" s="1119"/>
      <c r="AE508" s="1119"/>
      <c r="AF508" s="1204"/>
      <c r="AG508" s="1204"/>
      <c r="AH508" s="1204"/>
      <c r="AI508" s="1204"/>
    </row>
    <row r="509" spans="1:35" ht="15" customHeight="1">
      <c r="A509" s="1076"/>
      <c r="B509" s="1076"/>
      <c r="C509" s="1076"/>
      <c r="D509" s="1076"/>
      <c r="E509" s="1076"/>
      <c r="F509" s="1076"/>
      <c r="G509" s="1076"/>
      <c r="H509" s="1251">
        <v>118</v>
      </c>
      <c r="I509" s="1123" t="s">
        <v>137</v>
      </c>
      <c r="J509" s="1119">
        <v>83161992</v>
      </c>
      <c r="K509" s="1119">
        <v>154180668</v>
      </c>
      <c r="L509" s="1119"/>
      <c r="M509" s="1171">
        <v>40441</v>
      </c>
      <c r="N509" s="1196">
        <v>154180668</v>
      </c>
      <c r="O509" s="1119">
        <v>83161992</v>
      </c>
      <c r="P509" s="1119">
        <v>0</v>
      </c>
      <c r="Q509" s="1119">
        <v>83161992</v>
      </c>
      <c r="R509" s="1119"/>
      <c r="S509" s="1076"/>
      <c r="T509" s="1123" t="s">
        <v>698</v>
      </c>
      <c r="U509" s="866">
        <v>71018676</v>
      </c>
      <c r="V509" s="1171">
        <v>40463</v>
      </c>
      <c r="W509" s="866" t="s">
        <v>7</v>
      </c>
      <c r="X509" s="1084">
        <v>154180668</v>
      </c>
      <c r="Y509" s="1084"/>
      <c r="Z509" s="827">
        <v>0</v>
      </c>
      <c r="AA509" s="1084">
        <v>0</v>
      </c>
      <c r="AB509" s="1119"/>
      <c r="AC509" s="1119">
        <v>0</v>
      </c>
      <c r="AD509" s="1119"/>
      <c r="AE509" s="1119"/>
      <c r="AF509" s="1204"/>
      <c r="AG509" s="1204"/>
      <c r="AH509" s="1204"/>
      <c r="AI509" s="1204"/>
    </row>
    <row r="510" spans="1:35" ht="15" customHeight="1">
      <c r="A510" s="1076"/>
      <c r="B510" s="1076"/>
      <c r="C510" s="1076"/>
      <c r="D510" s="1076"/>
      <c r="E510" s="1076"/>
      <c r="F510" s="1076"/>
      <c r="G510" s="1076"/>
      <c r="H510" s="1251"/>
      <c r="I510" s="1123"/>
      <c r="J510" s="1119"/>
      <c r="K510" s="1119"/>
      <c r="L510" s="1119"/>
      <c r="M510" s="1171"/>
      <c r="N510" s="1196"/>
      <c r="O510" s="1119"/>
      <c r="P510" s="1119"/>
      <c r="Q510" s="1119"/>
      <c r="R510" s="1119"/>
      <c r="S510" s="1076"/>
      <c r="T510" s="1123"/>
      <c r="U510" s="866">
        <v>83161992</v>
      </c>
      <c r="V510" s="1171"/>
      <c r="W510" s="866" t="s">
        <v>137</v>
      </c>
      <c r="X510" s="1084"/>
      <c r="Y510" s="1084"/>
      <c r="Z510" s="827">
        <v>0</v>
      </c>
      <c r="AA510" s="1084"/>
      <c r="AB510" s="1119"/>
      <c r="AC510" s="1119"/>
      <c r="AD510" s="1119"/>
      <c r="AE510" s="1119"/>
      <c r="AF510" s="1204"/>
      <c r="AG510" s="1204"/>
      <c r="AH510" s="1204"/>
      <c r="AI510" s="1204"/>
    </row>
    <row r="511" spans="1:35" ht="15" customHeight="1">
      <c r="A511" s="1076"/>
      <c r="B511" s="1076"/>
      <c r="C511" s="1076"/>
      <c r="D511" s="1076"/>
      <c r="E511" s="1076"/>
      <c r="F511" s="1076"/>
      <c r="G511" s="1076"/>
      <c r="H511" s="1251"/>
      <c r="I511" s="1123"/>
      <c r="J511" s="1119"/>
      <c r="K511" s="1119"/>
      <c r="L511" s="1119"/>
      <c r="M511" s="1171"/>
      <c r="N511" s="1196"/>
      <c r="O511" s="1119"/>
      <c r="P511" s="1119"/>
      <c r="Q511" s="1119"/>
      <c r="R511" s="1119"/>
      <c r="S511" s="1076"/>
      <c r="T511" s="1123" t="s">
        <v>702</v>
      </c>
      <c r="U511" s="866">
        <v>0</v>
      </c>
      <c r="V511" s="1171">
        <v>41012</v>
      </c>
      <c r="W511" s="866" t="s">
        <v>7</v>
      </c>
      <c r="X511" s="1084"/>
      <c r="Y511" s="1084"/>
      <c r="Z511" s="827">
        <v>0</v>
      </c>
      <c r="AA511" s="1084"/>
      <c r="AB511" s="1119"/>
      <c r="AC511" s="1119"/>
      <c r="AD511" s="1119"/>
      <c r="AE511" s="1119"/>
      <c r="AF511" s="1204"/>
      <c r="AG511" s="1204"/>
      <c r="AH511" s="1204"/>
      <c r="AI511" s="1204"/>
    </row>
    <row r="512" spans="1:35" ht="15" customHeight="1">
      <c r="A512" s="1076"/>
      <c r="B512" s="1076"/>
      <c r="C512" s="1076"/>
      <c r="D512" s="1076"/>
      <c r="E512" s="1076"/>
      <c r="F512" s="1076"/>
      <c r="G512" s="1076"/>
      <c r="H512" s="1251"/>
      <c r="I512" s="1123" t="s">
        <v>7</v>
      </c>
      <c r="J512" s="1119">
        <v>71018676</v>
      </c>
      <c r="K512" s="1119"/>
      <c r="L512" s="1119"/>
      <c r="M512" s="1171"/>
      <c r="N512" s="1196"/>
      <c r="O512" s="1119">
        <v>71018676</v>
      </c>
      <c r="P512" s="1119">
        <v>0</v>
      </c>
      <c r="Q512" s="1119">
        <v>71018676</v>
      </c>
      <c r="R512" s="1119"/>
      <c r="S512" s="1076"/>
      <c r="T512" s="1123"/>
      <c r="U512" s="866">
        <v>0</v>
      </c>
      <c r="V512" s="1171"/>
      <c r="W512" s="866" t="s">
        <v>137</v>
      </c>
      <c r="X512" s="1084"/>
      <c r="Y512" s="1084"/>
      <c r="Z512" s="827">
        <v>0</v>
      </c>
      <c r="AA512" s="1084">
        <v>0</v>
      </c>
      <c r="AB512" s="1119"/>
      <c r="AC512" s="1119"/>
      <c r="AD512" s="1119"/>
      <c r="AE512" s="1119"/>
      <c r="AF512" s="1204"/>
      <c r="AG512" s="1204"/>
      <c r="AH512" s="1204"/>
      <c r="AI512" s="1204"/>
    </row>
    <row r="513" spans="1:35" ht="15" customHeight="1">
      <c r="A513" s="1076"/>
      <c r="B513" s="1076"/>
      <c r="C513" s="1076"/>
      <c r="D513" s="1076"/>
      <c r="E513" s="1076"/>
      <c r="F513" s="1076"/>
      <c r="G513" s="1076"/>
      <c r="H513" s="1251"/>
      <c r="I513" s="1123"/>
      <c r="J513" s="1119"/>
      <c r="K513" s="1119"/>
      <c r="L513" s="1119"/>
      <c r="M513" s="1171"/>
      <c r="N513" s="1196"/>
      <c r="O513" s="1119"/>
      <c r="P513" s="1119"/>
      <c r="Q513" s="1119"/>
      <c r="R513" s="1119"/>
      <c r="S513" s="1076"/>
      <c r="T513" s="1123" t="s">
        <v>700</v>
      </c>
      <c r="U513" s="866">
        <v>0</v>
      </c>
      <c r="V513" s="1171">
        <v>41254</v>
      </c>
      <c r="W513" s="866" t="s">
        <v>137</v>
      </c>
      <c r="X513" s="1084"/>
      <c r="Y513" s="1084"/>
      <c r="Z513" s="827">
        <v>0</v>
      </c>
      <c r="AA513" s="1084"/>
      <c r="AB513" s="1119"/>
      <c r="AC513" s="1119"/>
      <c r="AD513" s="1119"/>
      <c r="AE513" s="1119"/>
      <c r="AF513" s="1204"/>
      <c r="AG513" s="1204"/>
      <c r="AH513" s="1204"/>
      <c r="AI513" s="1204"/>
    </row>
    <row r="514" spans="1:35" ht="15" customHeight="1">
      <c r="A514" s="1076"/>
      <c r="B514" s="1076"/>
      <c r="C514" s="1076"/>
      <c r="D514" s="1076"/>
      <c r="E514" s="1076"/>
      <c r="F514" s="1076"/>
      <c r="G514" s="1076"/>
      <c r="H514" s="1251"/>
      <c r="I514" s="1123"/>
      <c r="J514" s="1119"/>
      <c r="K514" s="1119"/>
      <c r="L514" s="1119"/>
      <c r="M514" s="1171"/>
      <c r="N514" s="1196"/>
      <c r="O514" s="1119"/>
      <c r="P514" s="1119"/>
      <c r="Q514" s="1119"/>
      <c r="R514" s="1119"/>
      <c r="S514" s="1076"/>
      <c r="T514" s="1123"/>
      <c r="U514" s="866">
        <v>0</v>
      </c>
      <c r="V514" s="1171"/>
      <c r="W514" s="866" t="s">
        <v>7</v>
      </c>
      <c r="X514" s="1084"/>
      <c r="Y514" s="1084"/>
      <c r="Z514" s="827">
        <v>0</v>
      </c>
      <c r="AA514" s="1084"/>
      <c r="AB514" s="1119"/>
      <c r="AC514" s="1119"/>
      <c r="AD514" s="1119"/>
      <c r="AE514" s="1119"/>
      <c r="AF514" s="1204"/>
      <c r="AG514" s="1204"/>
      <c r="AH514" s="1204"/>
      <c r="AI514" s="1204"/>
    </row>
    <row r="515" spans="1:35" ht="15" customHeight="1">
      <c r="A515" s="1076"/>
      <c r="B515" s="1076"/>
      <c r="C515" s="1076"/>
      <c r="D515" s="1076"/>
      <c r="E515" s="1076"/>
      <c r="F515" s="1076"/>
      <c r="G515" s="1076"/>
      <c r="H515" s="1251">
        <v>2</v>
      </c>
      <c r="I515" s="1123" t="s">
        <v>145</v>
      </c>
      <c r="J515" s="1119">
        <v>401701302</v>
      </c>
      <c r="K515" s="1119">
        <v>401701302</v>
      </c>
      <c r="L515" s="1119"/>
      <c r="M515" s="1171">
        <v>40681</v>
      </c>
      <c r="N515" s="1196">
        <v>401701302</v>
      </c>
      <c r="O515" s="1119">
        <v>401701302</v>
      </c>
      <c r="P515" s="1119">
        <v>0</v>
      </c>
      <c r="Q515" s="1119">
        <v>395050918</v>
      </c>
      <c r="R515" s="1119"/>
      <c r="S515" s="1076"/>
      <c r="T515" s="840" t="s">
        <v>699</v>
      </c>
      <c r="U515" s="866">
        <v>179723355</v>
      </c>
      <c r="V515" s="855">
        <v>40829</v>
      </c>
      <c r="W515" s="866" t="s">
        <v>145</v>
      </c>
      <c r="X515" s="1084">
        <v>395050918</v>
      </c>
      <c r="Y515" s="1084"/>
      <c r="Z515" s="827">
        <v>0</v>
      </c>
      <c r="AA515" s="1084">
        <v>6650384</v>
      </c>
      <c r="AB515" s="1119"/>
      <c r="AC515" s="1119">
        <v>6650384</v>
      </c>
      <c r="AD515" s="1119"/>
      <c r="AE515" s="1119"/>
      <c r="AF515" s="1204"/>
      <c r="AG515" s="1204"/>
      <c r="AH515" s="1204"/>
      <c r="AI515" s="1204"/>
    </row>
    <row r="516" spans="1:35" ht="15" customHeight="1">
      <c r="A516" s="1076"/>
      <c r="B516" s="1076"/>
      <c r="C516" s="1076"/>
      <c r="D516" s="1076"/>
      <c r="E516" s="1076"/>
      <c r="F516" s="1076"/>
      <c r="G516" s="1076"/>
      <c r="H516" s="1251"/>
      <c r="I516" s="1123"/>
      <c r="J516" s="1119"/>
      <c r="K516" s="1119"/>
      <c r="L516" s="1119"/>
      <c r="M516" s="1171"/>
      <c r="N516" s="1196"/>
      <c r="O516" s="1119"/>
      <c r="P516" s="1119"/>
      <c r="Q516" s="1119"/>
      <c r="R516" s="1119"/>
      <c r="S516" s="1076"/>
      <c r="T516" s="840" t="s">
        <v>702</v>
      </c>
      <c r="U516" s="866">
        <v>81422961</v>
      </c>
      <c r="V516" s="855">
        <v>41012</v>
      </c>
      <c r="W516" s="866" t="s">
        <v>145</v>
      </c>
      <c r="X516" s="1084"/>
      <c r="Y516" s="1084"/>
      <c r="Z516" s="827">
        <v>-6.0000002384185791E-2</v>
      </c>
      <c r="AA516" s="1084"/>
      <c r="AB516" s="1119"/>
      <c r="AC516" s="1119"/>
      <c r="AD516" s="1119"/>
      <c r="AE516" s="1119"/>
      <c r="AF516" s="1204"/>
      <c r="AG516" s="1204"/>
      <c r="AH516" s="1204"/>
      <c r="AI516" s="1204"/>
    </row>
    <row r="517" spans="1:35" ht="15" customHeight="1">
      <c r="A517" s="1076"/>
      <c r="B517" s="1076"/>
      <c r="C517" s="1076"/>
      <c r="D517" s="1076"/>
      <c r="E517" s="1076"/>
      <c r="F517" s="1076"/>
      <c r="G517" s="1076"/>
      <c r="H517" s="1251"/>
      <c r="I517" s="1123"/>
      <c r="J517" s="1119"/>
      <c r="K517" s="1119"/>
      <c r="L517" s="1119"/>
      <c r="M517" s="1171"/>
      <c r="N517" s="1196"/>
      <c r="O517" s="1119"/>
      <c r="P517" s="1119"/>
      <c r="Q517" s="1119"/>
      <c r="R517" s="1119"/>
      <c r="S517" s="1076"/>
      <c r="T517" s="840" t="s">
        <v>700</v>
      </c>
      <c r="U517" s="866">
        <v>133904602</v>
      </c>
      <c r="V517" s="855">
        <v>41254</v>
      </c>
      <c r="W517" s="866" t="s">
        <v>145</v>
      </c>
      <c r="X517" s="1084"/>
      <c r="Y517" s="1084"/>
      <c r="Z517" s="827">
        <v>0</v>
      </c>
      <c r="AA517" s="1084"/>
      <c r="AB517" s="1119"/>
      <c r="AC517" s="1119"/>
      <c r="AD517" s="1119"/>
      <c r="AE517" s="1119"/>
      <c r="AF517" s="1204"/>
      <c r="AG517" s="1204"/>
      <c r="AH517" s="1204"/>
      <c r="AI517" s="1204"/>
    </row>
    <row r="518" spans="1:35" ht="15" customHeight="1">
      <c r="A518" s="1076"/>
      <c r="B518" s="1076"/>
      <c r="C518" s="1076"/>
      <c r="D518" s="1076"/>
      <c r="E518" s="1076"/>
      <c r="F518" s="1076"/>
      <c r="G518" s="1076"/>
      <c r="H518" s="1251">
        <v>150</v>
      </c>
      <c r="I518" s="1123" t="s">
        <v>137</v>
      </c>
      <c r="J518" s="1119">
        <v>306863188</v>
      </c>
      <c r="K518" s="1119">
        <v>476576558</v>
      </c>
      <c r="L518" s="1119"/>
      <c r="M518" s="1171">
        <v>40681</v>
      </c>
      <c r="N518" s="1196">
        <v>476576558</v>
      </c>
      <c r="O518" s="1119">
        <v>306863188</v>
      </c>
      <c r="P518" s="1119">
        <v>0</v>
      </c>
      <c r="Q518" s="1119">
        <v>292542474</v>
      </c>
      <c r="R518" s="1119"/>
      <c r="S518" s="1076"/>
      <c r="T518" s="1123" t="s">
        <v>699</v>
      </c>
      <c r="U518" s="866">
        <v>74233560</v>
      </c>
      <c r="V518" s="1171">
        <v>40829</v>
      </c>
      <c r="W518" s="866" t="s">
        <v>7</v>
      </c>
      <c r="X518" s="1084">
        <v>460244814</v>
      </c>
      <c r="Y518" s="1084"/>
      <c r="Z518" s="827">
        <v>0</v>
      </c>
      <c r="AA518" s="827"/>
      <c r="AB518" s="1119"/>
      <c r="AC518" s="1119">
        <v>14320714</v>
      </c>
      <c r="AD518" s="1119"/>
      <c r="AE518" s="1119"/>
      <c r="AF518" s="1204"/>
      <c r="AG518" s="1204"/>
      <c r="AH518" s="1204"/>
      <c r="AI518" s="1204"/>
    </row>
    <row r="519" spans="1:35" ht="15" customHeight="1">
      <c r="A519" s="1076"/>
      <c r="B519" s="1076"/>
      <c r="C519" s="1076"/>
      <c r="D519" s="1076"/>
      <c r="E519" s="1076"/>
      <c r="F519" s="1076"/>
      <c r="G519" s="1076"/>
      <c r="H519" s="1251"/>
      <c r="I519" s="1123"/>
      <c r="J519" s="1119"/>
      <c r="K519" s="1119"/>
      <c r="L519" s="1119"/>
      <c r="M519" s="1171"/>
      <c r="N519" s="1196"/>
      <c r="O519" s="1119"/>
      <c r="P519" s="1119"/>
      <c r="Q519" s="1119"/>
      <c r="R519" s="1119"/>
      <c r="S519" s="1076"/>
      <c r="T519" s="1123"/>
      <c r="U519" s="866">
        <v>136746030</v>
      </c>
      <c r="V519" s="1171"/>
      <c r="W519" s="866" t="s">
        <v>137</v>
      </c>
      <c r="X519" s="1084"/>
      <c r="Y519" s="1084"/>
      <c r="Z519" s="827">
        <v>0</v>
      </c>
      <c r="AA519" s="827"/>
      <c r="AB519" s="1119"/>
      <c r="AC519" s="1119"/>
      <c r="AD519" s="1119"/>
      <c r="AE519" s="1119"/>
      <c r="AF519" s="1204"/>
      <c r="AG519" s="1204"/>
      <c r="AH519" s="1204"/>
      <c r="AI519" s="1204"/>
    </row>
    <row r="520" spans="1:35" ht="15" customHeight="1">
      <c r="A520" s="1076"/>
      <c r="B520" s="1076"/>
      <c r="C520" s="1076"/>
      <c r="D520" s="1076"/>
      <c r="E520" s="1076"/>
      <c r="F520" s="1076"/>
      <c r="G520" s="1076"/>
      <c r="H520" s="1251"/>
      <c r="I520" s="1123"/>
      <c r="J520" s="1119"/>
      <c r="K520" s="1119"/>
      <c r="L520" s="1119"/>
      <c r="M520" s="1171"/>
      <c r="N520" s="1196"/>
      <c r="O520" s="1119"/>
      <c r="P520" s="1119"/>
      <c r="Q520" s="1119"/>
      <c r="R520" s="1119"/>
      <c r="S520" s="1076"/>
      <c r="T520" s="1123" t="s">
        <v>702</v>
      </c>
      <c r="U520" s="866">
        <v>35041844</v>
      </c>
      <c r="V520" s="1171">
        <v>41012</v>
      </c>
      <c r="W520" s="866" t="s">
        <v>137</v>
      </c>
      <c r="X520" s="1084"/>
      <c r="Y520" s="1084"/>
      <c r="Z520" s="827">
        <v>0.39999999850988388</v>
      </c>
      <c r="AA520" s="827"/>
      <c r="AB520" s="1119"/>
      <c r="AC520" s="1119"/>
      <c r="AD520" s="1119"/>
      <c r="AE520" s="1119"/>
      <c r="AF520" s="1204"/>
      <c r="AG520" s="1204"/>
      <c r="AH520" s="1204"/>
      <c r="AI520" s="1204"/>
    </row>
    <row r="521" spans="1:35" ht="15" customHeight="1">
      <c r="A521" s="1076"/>
      <c r="B521" s="1076"/>
      <c r="C521" s="1076"/>
      <c r="D521" s="1076"/>
      <c r="E521" s="1076"/>
      <c r="F521" s="1076"/>
      <c r="G521" s="1076"/>
      <c r="H521" s="1251"/>
      <c r="I521" s="1123"/>
      <c r="J521" s="1119"/>
      <c r="K521" s="1119"/>
      <c r="L521" s="1119"/>
      <c r="M521" s="1171"/>
      <c r="N521" s="1196"/>
      <c r="O521" s="1119"/>
      <c r="P521" s="1119"/>
      <c r="Q521" s="1119"/>
      <c r="R521" s="1119"/>
      <c r="S521" s="1076"/>
      <c r="T521" s="1123"/>
      <c r="U521" s="866">
        <v>62406273</v>
      </c>
      <c r="V521" s="1171"/>
      <c r="W521" s="866" t="s">
        <v>137</v>
      </c>
      <c r="X521" s="1084"/>
      <c r="Y521" s="1084"/>
      <c r="Z521" s="827">
        <v>9.9999994039535522E-2</v>
      </c>
      <c r="AA521" s="827"/>
      <c r="AB521" s="1119"/>
      <c r="AC521" s="1119"/>
      <c r="AD521" s="1119"/>
      <c r="AE521" s="1119"/>
      <c r="AF521" s="1204"/>
      <c r="AG521" s="1204"/>
      <c r="AH521" s="1204"/>
      <c r="AI521" s="1204"/>
    </row>
    <row r="522" spans="1:35" ht="15" customHeight="1">
      <c r="A522" s="1076"/>
      <c r="B522" s="1076"/>
      <c r="C522" s="1076"/>
      <c r="D522" s="1076"/>
      <c r="E522" s="1076"/>
      <c r="F522" s="1076"/>
      <c r="G522" s="1076"/>
      <c r="H522" s="1251"/>
      <c r="I522" s="1123" t="s">
        <v>7</v>
      </c>
      <c r="J522" s="1119">
        <v>169713370</v>
      </c>
      <c r="K522" s="1119"/>
      <c r="L522" s="1119"/>
      <c r="M522" s="1171"/>
      <c r="N522" s="1196"/>
      <c r="O522" s="1119">
        <v>169713370</v>
      </c>
      <c r="P522" s="1119">
        <v>0</v>
      </c>
      <c r="Q522" s="1119">
        <v>169713370</v>
      </c>
      <c r="R522" s="1119"/>
      <c r="S522" s="1076"/>
      <c r="T522" s="1123" t="s">
        <v>700</v>
      </c>
      <c r="U522" s="866">
        <v>57628269</v>
      </c>
      <c r="V522" s="1171">
        <v>41254</v>
      </c>
      <c r="W522" s="866" t="s">
        <v>7</v>
      </c>
      <c r="X522" s="1084"/>
      <c r="Y522" s="1084"/>
      <c r="Z522" s="827">
        <v>0</v>
      </c>
      <c r="AA522" s="827"/>
      <c r="AB522" s="1119"/>
      <c r="AC522" s="1119"/>
      <c r="AD522" s="1119"/>
      <c r="AE522" s="1119"/>
      <c r="AF522" s="1204"/>
      <c r="AG522" s="1204"/>
      <c r="AH522" s="1204"/>
      <c r="AI522" s="1204"/>
    </row>
    <row r="523" spans="1:35" ht="15" customHeight="1">
      <c r="A523" s="1076"/>
      <c r="B523" s="1076"/>
      <c r="C523" s="1076"/>
      <c r="D523" s="1076"/>
      <c r="E523" s="1076"/>
      <c r="F523" s="1076"/>
      <c r="G523" s="1076"/>
      <c r="H523" s="1251"/>
      <c r="I523" s="1123"/>
      <c r="J523" s="1119"/>
      <c r="K523" s="1119"/>
      <c r="L523" s="1119"/>
      <c r="M523" s="1171"/>
      <c r="N523" s="1196"/>
      <c r="O523" s="1119"/>
      <c r="P523" s="1119"/>
      <c r="Q523" s="1119"/>
      <c r="R523" s="1119"/>
      <c r="S523" s="1076"/>
      <c r="T523" s="1123"/>
      <c r="U523" s="866">
        <v>94188838</v>
      </c>
      <c r="V523" s="1171"/>
      <c r="W523" s="866" t="s">
        <v>137</v>
      </c>
      <c r="X523" s="1084"/>
      <c r="Y523" s="1084"/>
      <c r="Z523" s="827">
        <v>0</v>
      </c>
      <c r="AA523" s="827"/>
      <c r="AB523" s="1119"/>
      <c r="AC523" s="1119"/>
      <c r="AD523" s="1119"/>
      <c r="AE523" s="1119"/>
      <c r="AF523" s="1204"/>
      <c r="AG523" s="1204"/>
      <c r="AH523" s="1204"/>
      <c r="AI523" s="1204"/>
    </row>
    <row r="524" spans="1:35" ht="15" customHeight="1">
      <c r="A524" s="1076"/>
      <c r="B524" s="1076"/>
      <c r="C524" s="1076"/>
      <c r="D524" s="1076"/>
      <c r="E524" s="1076" t="s">
        <v>171</v>
      </c>
      <c r="F524" s="1076"/>
      <c r="G524" s="1076"/>
      <c r="H524" s="1251">
        <v>233</v>
      </c>
      <c r="I524" s="1123" t="s">
        <v>7</v>
      </c>
      <c r="J524" s="1119">
        <v>312773941</v>
      </c>
      <c r="K524" s="1119">
        <v>312773941</v>
      </c>
      <c r="L524" s="1119"/>
      <c r="M524" s="1171">
        <v>40899</v>
      </c>
      <c r="N524" s="1196">
        <v>312773941</v>
      </c>
      <c r="O524" s="1119">
        <v>312773941</v>
      </c>
      <c r="P524" s="1119">
        <v>0</v>
      </c>
      <c r="Q524" s="1119">
        <v>310860950</v>
      </c>
      <c r="R524" s="1119"/>
      <c r="S524" s="1076"/>
      <c r="T524" s="840" t="s">
        <v>701</v>
      </c>
      <c r="U524" s="866">
        <v>151909996</v>
      </c>
      <c r="V524" s="855">
        <v>41404</v>
      </c>
      <c r="W524" s="866" t="s">
        <v>7</v>
      </c>
      <c r="X524" s="1084">
        <v>151909996</v>
      </c>
      <c r="Y524" s="1084"/>
      <c r="Z524" s="827">
        <v>0</v>
      </c>
      <c r="AA524" s="827"/>
      <c r="AB524" s="1119"/>
      <c r="AC524" s="1119">
        <v>1912991</v>
      </c>
      <c r="AD524" s="1119"/>
      <c r="AE524" s="1119"/>
      <c r="AF524" s="1204"/>
      <c r="AG524" s="1204"/>
      <c r="AH524" s="1204"/>
      <c r="AI524" s="1204"/>
    </row>
    <row r="525" spans="1:35" ht="15" customHeight="1">
      <c r="A525" s="1076"/>
      <c r="B525" s="1076"/>
      <c r="C525" s="1076"/>
      <c r="D525" s="1076"/>
      <c r="E525" s="1076"/>
      <c r="F525" s="1076"/>
      <c r="G525" s="1076"/>
      <c r="H525" s="1251"/>
      <c r="I525" s="1123"/>
      <c r="J525" s="1119"/>
      <c r="K525" s="1119"/>
      <c r="L525" s="1119"/>
      <c r="M525" s="1171"/>
      <c r="N525" s="1196"/>
      <c r="O525" s="1119"/>
      <c r="P525" s="1119"/>
      <c r="Q525" s="1119"/>
      <c r="R525" s="1119"/>
      <c r="S525" s="1076"/>
      <c r="T525" s="840"/>
      <c r="U525" s="866"/>
      <c r="V525" s="855"/>
      <c r="W525" s="866"/>
      <c r="X525" s="1084"/>
      <c r="Y525" s="1084"/>
      <c r="Z525" s="827">
        <v>0</v>
      </c>
      <c r="AA525" s="827"/>
      <c r="AB525" s="1119"/>
      <c r="AC525" s="1119"/>
      <c r="AD525" s="1119"/>
      <c r="AE525" s="1119"/>
      <c r="AF525" s="1204"/>
      <c r="AG525" s="1204"/>
      <c r="AH525" s="1204"/>
      <c r="AI525" s="1204"/>
    </row>
    <row r="526" spans="1:35" ht="15" customHeight="1">
      <c r="A526" s="1076" t="s">
        <v>956</v>
      </c>
      <c r="B526" s="1076" t="s">
        <v>958</v>
      </c>
      <c r="C526" s="1076" t="s">
        <v>71</v>
      </c>
      <c r="D526" s="1076" t="s">
        <v>692</v>
      </c>
      <c r="E526" s="1076" t="s">
        <v>66</v>
      </c>
      <c r="F526" s="1076" t="s">
        <v>183</v>
      </c>
      <c r="G526" s="1076" t="s">
        <v>967</v>
      </c>
      <c r="H526" s="1268">
        <v>117</v>
      </c>
      <c r="I526" s="1123" t="s">
        <v>137</v>
      </c>
      <c r="J526" s="1119">
        <v>58299702</v>
      </c>
      <c r="K526" s="1119">
        <v>108075497</v>
      </c>
      <c r="L526" s="1119">
        <v>470397893</v>
      </c>
      <c r="M526" s="1171">
        <v>40441</v>
      </c>
      <c r="N526" s="1196">
        <v>108075497</v>
      </c>
      <c r="O526" s="1196">
        <v>58299702</v>
      </c>
      <c r="P526" s="1196">
        <v>0</v>
      </c>
      <c r="Q526" s="1119">
        <v>55380668</v>
      </c>
      <c r="R526" s="1119">
        <v>453176901</v>
      </c>
      <c r="S526" s="1076" t="s">
        <v>959</v>
      </c>
      <c r="T526" s="1123" t="s">
        <v>960</v>
      </c>
      <c r="U526" s="866">
        <v>19024727.859999999</v>
      </c>
      <c r="V526" s="1171">
        <v>40494</v>
      </c>
      <c r="W526" s="866" t="s">
        <v>7</v>
      </c>
      <c r="X526" s="1084">
        <v>102662486</v>
      </c>
      <c r="Y526" s="1084">
        <v>453170909</v>
      </c>
      <c r="Z526" s="827">
        <v>0.14000000059604645</v>
      </c>
      <c r="AA526" s="1084">
        <v>-6907375.1400000006</v>
      </c>
      <c r="AB526" s="1119">
        <v>1.3799999952316284</v>
      </c>
      <c r="AC526" s="1119">
        <v>2919034</v>
      </c>
      <c r="AD526" s="1119">
        <v>1729.6200000047684</v>
      </c>
      <c r="AE526" s="1119">
        <v>5413011</v>
      </c>
      <c r="AF526" s="1204" t="s">
        <v>970</v>
      </c>
      <c r="AG526" s="1237" t="s">
        <v>971</v>
      </c>
      <c r="AH526" s="1204" t="s">
        <v>194</v>
      </c>
      <c r="AI526" s="1204" t="s">
        <v>558</v>
      </c>
    </row>
    <row r="527" spans="1:35" ht="15" customHeight="1">
      <c r="A527" s="1076"/>
      <c r="B527" s="1076"/>
      <c r="C527" s="1076"/>
      <c r="D527" s="1076"/>
      <c r="E527" s="1076"/>
      <c r="F527" s="1076"/>
      <c r="G527" s="1076"/>
      <c r="H527" s="1268"/>
      <c r="I527" s="1123"/>
      <c r="J527" s="1119"/>
      <c r="K527" s="1119"/>
      <c r="L527" s="1119"/>
      <c r="M527" s="1171"/>
      <c r="N527" s="1196"/>
      <c r="O527" s="1196"/>
      <c r="P527" s="1196"/>
      <c r="Q527" s="1119"/>
      <c r="R527" s="1119"/>
      <c r="S527" s="1076"/>
      <c r="T527" s="1123"/>
      <c r="U527" s="866">
        <v>22282635.140000001</v>
      </c>
      <c r="V527" s="1171"/>
      <c r="W527" s="866" t="s">
        <v>137</v>
      </c>
      <c r="X527" s="1084"/>
      <c r="Y527" s="1084"/>
      <c r="Z527" s="827">
        <v>0.85999999940395355</v>
      </c>
      <c r="AA527" s="1084"/>
      <c r="AB527" s="1119"/>
      <c r="AC527" s="1119"/>
      <c r="AD527" s="1119"/>
      <c r="AE527" s="1119"/>
      <c r="AF527" s="1204"/>
      <c r="AG527" s="1204"/>
      <c r="AH527" s="1204"/>
      <c r="AI527" s="1204"/>
    </row>
    <row r="528" spans="1:35" ht="15" customHeight="1">
      <c r="A528" s="1076"/>
      <c r="B528" s="1076"/>
      <c r="C528" s="1076"/>
      <c r="D528" s="1076"/>
      <c r="E528" s="1076"/>
      <c r="F528" s="1076"/>
      <c r="G528" s="1076"/>
      <c r="H528" s="1268"/>
      <c r="I528" s="1123"/>
      <c r="J528" s="1119"/>
      <c r="K528" s="1119"/>
      <c r="L528" s="1119"/>
      <c r="M528" s="1171"/>
      <c r="N528" s="1196"/>
      <c r="O528" s="1196"/>
      <c r="P528" s="1196"/>
      <c r="Q528" s="1119"/>
      <c r="R528" s="1119"/>
      <c r="S528" s="1076"/>
      <c r="T528" s="1123" t="s">
        <v>961</v>
      </c>
      <c r="U528" s="866">
        <v>15801999</v>
      </c>
      <c r="V528" s="1171">
        <v>40732</v>
      </c>
      <c r="W528" s="866" t="s">
        <v>7</v>
      </c>
      <c r="X528" s="1084"/>
      <c r="Y528" s="1084"/>
      <c r="Z528" s="827">
        <v>0.12999999895691872</v>
      </c>
      <c r="AA528" s="1084"/>
      <c r="AB528" s="1119"/>
      <c r="AC528" s="1119"/>
      <c r="AD528" s="1119"/>
      <c r="AE528" s="1119"/>
      <c r="AF528" s="1204"/>
      <c r="AG528" s="1204"/>
      <c r="AH528" s="1204"/>
      <c r="AI528" s="1204"/>
    </row>
    <row r="529" spans="1:35" ht="15" customHeight="1">
      <c r="A529" s="1076"/>
      <c r="B529" s="1076"/>
      <c r="C529" s="1076"/>
      <c r="D529" s="1076"/>
      <c r="E529" s="1076"/>
      <c r="F529" s="1076"/>
      <c r="G529" s="1076"/>
      <c r="H529" s="1268"/>
      <c r="I529" s="1123"/>
      <c r="J529" s="1119"/>
      <c r="K529" s="1119"/>
      <c r="L529" s="1119"/>
      <c r="M529" s="1171"/>
      <c r="N529" s="1196"/>
      <c r="O529" s="1196"/>
      <c r="P529" s="1196"/>
      <c r="Q529" s="1119"/>
      <c r="R529" s="1119"/>
      <c r="S529" s="1076"/>
      <c r="T529" s="1123"/>
      <c r="U529" s="866">
        <v>18508028</v>
      </c>
      <c r="V529" s="1171"/>
      <c r="W529" s="866" t="s">
        <v>137</v>
      </c>
      <c r="X529" s="1084"/>
      <c r="Y529" s="1084"/>
      <c r="Z529" s="827">
        <v>0.25</v>
      </c>
      <c r="AA529" s="1084"/>
      <c r="AB529" s="1119"/>
      <c r="AC529" s="1119"/>
      <c r="AD529" s="1119"/>
      <c r="AE529" s="1119"/>
      <c r="AF529" s="1204"/>
      <c r="AG529" s="1204"/>
      <c r="AH529" s="1204"/>
      <c r="AI529" s="1204"/>
    </row>
    <row r="530" spans="1:35" ht="15" customHeight="1">
      <c r="A530" s="1076"/>
      <c r="B530" s="1076"/>
      <c r="C530" s="1076"/>
      <c r="D530" s="1076"/>
      <c r="E530" s="1076"/>
      <c r="F530" s="1076"/>
      <c r="G530" s="1076"/>
      <c r="H530" s="1268"/>
      <c r="I530" s="1123" t="s">
        <v>7</v>
      </c>
      <c r="J530" s="1119">
        <v>49775795</v>
      </c>
      <c r="K530" s="1119"/>
      <c r="L530" s="1119"/>
      <c r="M530" s="1171"/>
      <c r="N530" s="1196"/>
      <c r="O530" s="1196">
        <v>49775795</v>
      </c>
      <c r="P530" s="1196">
        <v>0</v>
      </c>
      <c r="Q530" s="1119">
        <v>47283549</v>
      </c>
      <c r="R530" s="1119"/>
      <c r="S530" s="1076"/>
      <c r="T530" s="1123" t="s">
        <v>962</v>
      </c>
      <c r="U530" s="866">
        <v>9827343</v>
      </c>
      <c r="V530" s="1171">
        <v>41120</v>
      </c>
      <c r="W530" s="866" t="s">
        <v>137</v>
      </c>
      <c r="X530" s="1084"/>
      <c r="Y530" s="1084"/>
      <c r="Z530" s="827">
        <v>0</v>
      </c>
      <c r="AA530" s="1084">
        <v>12320386.140000001</v>
      </c>
      <c r="AB530" s="1119"/>
      <c r="AC530" s="1119">
        <v>2492246</v>
      </c>
      <c r="AD530" s="1119"/>
      <c r="AE530" s="1119"/>
      <c r="AF530" s="1204"/>
      <c r="AG530" s="1204"/>
      <c r="AH530" s="1204"/>
      <c r="AI530" s="1204"/>
    </row>
    <row r="531" spans="1:35" ht="15" customHeight="1">
      <c r="A531" s="1076"/>
      <c r="B531" s="1076"/>
      <c r="C531" s="1076"/>
      <c r="D531" s="1076"/>
      <c r="E531" s="1076"/>
      <c r="F531" s="1076"/>
      <c r="G531" s="1076"/>
      <c r="H531" s="1268"/>
      <c r="I531" s="1123"/>
      <c r="J531" s="1119"/>
      <c r="K531" s="1119"/>
      <c r="L531" s="1119"/>
      <c r="M531" s="1171"/>
      <c r="N531" s="1196"/>
      <c r="O531" s="1196"/>
      <c r="P531" s="1196"/>
      <c r="Q531" s="1119"/>
      <c r="R531" s="1119"/>
      <c r="S531" s="1076"/>
      <c r="T531" s="1123"/>
      <c r="U531" s="866">
        <v>11510235</v>
      </c>
      <c r="V531" s="1171"/>
      <c r="W531" s="866" t="s">
        <v>137</v>
      </c>
      <c r="X531" s="1084"/>
      <c r="Y531" s="1084"/>
      <c r="Z531" s="827">
        <v>0</v>
      </c>
      <c r="AA531" s="1084"/>
      <c r="AB531" s="1119"/>
      <c r="AC531" s="1119"/>
      <c r="AD531" s="1119"/>
      <c r="AE531" s="1119"/>
      <c r="AF531" s="1204"/>
      <c r="AG531" s="1204"/>
      <c r="AH531" s="1204"/>
      <c r="AI531" s="1204"/>
    </row>
    <row r="532" spans="1:35" ht="15" customHeight="1">
      <c r="A532" s="1076"/>
      <c r="B532" s="1076"/>
      <c r="C532" s="1076"/>
      <c r="D532" s="1076"/>
      <c r="E532" s="1076"/>
      <c r="F532" s="1076"/>
      <c r="G532" s="1076"/>
      <c r="H532" s="1268"/>
      <c r="I532" s="1123"/>
      <c r="J532" s="1119"/>
      <c r="K532" s="1119"/>
      <c r="L532" s="1119"/>
      <c r="M532" s="1171"/>
      <c r="N532" s="1196"/>
      <c r="O532" s="1196"/>
      <c r="P532" s="1196"/>
      <c r="Q532" s="1119"/>
      <c r="R532" s="1119"/>
      <c r="S532" s="1076"/>
      <c r="T532" s="1123" t="s">
        <v>963</v>
      </c>
      <c r="U532" s="866">
        <v>2628682</v>
      </c>
      <c r="V532" s="1171">
        <v>41598</v>
      </c>
      <c r="W532" s="866" t="s">
        <v>7</v>
      </c>
      <c r="X532" s="1084"/>
      <c r="Y532" s="1084"/>
      <c r="Z532" s="827">
        <v>0</v>
      </c>
      <c r="AA532" s="1084"/>
      <c r="AB532" s="1119"/>
      <c r="AC532" s="1119"/>
      <c r="AD532" s="1119"/>
      <c r="AE532" s="1119"/>
      <c r="AF532" s="1204"/>
      <c r="AG532" s="1204"/>
      <c r="AH532" s="1204"/>
      <c r="AI532" s="1204"/>
    </row>
    <row r="533" spans="1:35" ht="15" customHeight="1">
      <c r="A533" s="1076"/>
      <c r="B533" s="1076"/>
      <c r="C533" s="1076"/>
      <c r="D533" s="1076"/>
      <c r="E533" s="1076"/>
      <c r="F533" s="1076"/>
      <c r="G533" s="1076"/>
      <c r="H533" s="1268"/>
      <c r="I533" s="1123"/>
      <c r="J533" s="1119"/>
      <c r="K533" s="1119"/>
      <c r="L533" s="1119"/>
      <c r="M533" s="1171"/>
      <c r="N533" s="1196"/>
      <c r="O533" s="1196"/>
      <c r="P533" s="1196"/>
      <c r="Q533" s="1119"/>
      <c r="R533" s="1119"/>
      <c r="S533" s="1076"/>
      <c r="T533" s="1123"/>
      <c r="U533" s="866">
        <v>3078836</v>
      </c>
      <c r="V533" s="1171"/>
      <c r="W533" s="866" t="s">
        <v>137</v>
      </c>
      <c r="X533" s="1084"/>
      <c r="Y533" s="1084"/>
      <c r="Z533" s="827">
        <v>0</v>
      </c>
      <c r="AA533" s="1084"/>
      <c r="AB533" s="1119"/>
      <c r="AC533" s="1119"/>
      <c r="AD533" s="1119"/>
      <c r="AE533" s="1119"/>
      <c r="AF533" s="1204"/>
      <c r="AG533" s="1204"/>
      <c r="AH533" s="1204"/>
      <c r="AI533" s="1204"/>
    </row>
    <row r="534" spans="1:35" ht="15" customHeight="1">
      <c r="A534" s="1076"/>
      <c r="B534" s="1076"/>
      <c r="C534" s="1076"/>
      <c r="D534" s="1076"/>
      <c r="E534" s="1076"/>
      <c r="F534" s="1076"/>
      <c r="G534" s="1076"/>
      <c r="H534" s="1251">
        <v>1</v>
      </c>
      <c r="I534" s="1123" t="s">
        <v>129</v>
      </c>
      <c r="J534" s="1119">
        <v>209980704</v>
      </c>
      <c r="K534" s="1119">
        <v>209980704</v>
      </c>
      <c r="L534" s="1119"/>
      <c r="M534" s="1171">
        <v>40441</v>
      </c>
      <c r="N534" s="1196">
        <v>207632918</v>
      </c>
      <c r="O534" s="1196">
        <v>207632918</v>
      </c>
      <c r="P534" s="1196">
        <v>2347786</v>
      </c>
      <c r="Q534" s="1119">
        <v>199467087</v>
      </c>
      <c r="R534" s="1119"/>
      <c r="S534" s="1076"/>
      <c r="T534" s="840" t="s">
        <v>960</v>
      </c>
      <c r="U534" s="866">
        <v>79549157</v>
      </c>
      <c r="V534" s="855">
        <v>41225</v>
      </c>
      <c r="W534" s="866" t="s">
        <v>129</v>
      </c>
      <c r="X534" s="1084">
        <v>199463225</v>
      </c>
      <c r="Y534" s="1084"/>
      <c r="Z534" s="827">
        <v>0</v>
      </c>
      <c r="AA534" s="1084">
        <v>8169693</v>
      </c>
      <c r="AB534" s="1119">
        <v>-2</v>
      </c>
      <c r="AC534" s="1119">
        <v>8165831</v>
      </c>
      <c r="AD534" s="1119">
        <v>3864</v>
      </c>
      <c r="AE534" s="1119">
        <v>8169693</v>
      </c>
      <c r="AF534" s="1204"/>
      <c r="AG534" s="1204"/>
      <c r="AH534" s="1204"/>
      <c r="AI534" s="1204"/>
    </row>
    <row r="535" spans="1:35" ht="15" customHeight="1">
      <c r="A535" s="1076"/>
      <c r="B535" s="1076"/>
      <c r="C535" s="1076"/>
      <c r="D535" s="1076"/>
      <c r="E535" s="1076"/>
      <c r="F535" s="1076"/>
      <c r="G535" s="1076"/>
      <c r="H535" s="1251"/>
      <c r="I535" s="1123"/>
      <c r="J535" s="1119"/>
      <c r="K535" s="1119"/>
      <c r="L535" s="1119"/>
      <c r="M535" s="1171"/>
      <c r="N535" s="1196"/>
      <c r="O535" s="1196"/>
      <c r="P535" s="1196"/>
      <c r="Q535" s="1119"/>
      <c r="R535" s="1119"/>
      <c r="S535" s="1076"/>
      <c r="T535" s="840" t="s">
        <v>961</v>
      </c>
      <c r="U535" s="866">
        <v>66073782</v>
      </c>
      <c r="V535" s="855">
        <v>40732</v>
      </c>
      <c r="W535" s="866" t="s">
        <v>129</v>
      </c>
      <c r="X535" s="1084"/>
      <c r="Y535" s="1084"/>
      <c r="Z535" s="827">
        <v>0</v>
      </c>
      <c r="AA535" s="1084"/>
      <c r="AB535" s="1119"/>
      <c r="AC535" s="1119"/>
      <c r="AD535" s="1119"/>
      <c r="AE535" s="1119"/>
      <c r="AF535" s="1204"/>
      <c r="AG535" s="1204"/>
      <c r="AH535" s="1204"/>
      <c r="AI535" s="1204"/>
    </row>
    <row r="536" spans="1:35" ht="15" customHeight="1">
      <c r="A536" s="1076"/>
      <c r="B536" s="1076"/>
      <c r="C536" s="1076"/>
      <c r="D536" s="1076"/>
      <c r="E536" s="1076"/>
      <c r="F536" s="1076"/>
      <c r="G536" s="1076"/>
      <c r="H536" s="1251"/>
      <c r="I536" s="1123"/>
      <c r="J536" s="1119"/>
      <c r="K536" s="1119"/>
      <c r="L536" s="1119"/>
      <c r="M536" s="1171"/>
      <c r="N536" s="1196"/>
      <c r="O536" s="1196"/>
      <c r="P536" s="1196"/>
      <c r="Q536" s="1119"/>
      <c r="R536" s="1119"/>
      <c r="S536" s="1076"/>
      <c r="T536" s="840" t="s">
        <v>962</v>
      </c>
      <c r="U536" s="866">
        <v>41091615</v>
      </c>
      <c r="V536" s="855">
        <v>40389</v>
      </c>
      <c r="W536" s="866" t="s">
        <v>129</v>
      </c>
      <c r="X536" s="1084"/>
      <c r="Y536" s="1084"/>
      <c r="Z536" s="827">
        <v>0</v>
      </c>
      <c r="AA536" s="1084"/>
      <c r="AB536" s="1119"/>
      <c r="AC536" s="1119"/>
      <c r="AD536" s="1119"/>
      <c r="AE536" s="1119"/>
      <c r="AF536" s="1204"/>
      <c r="AG536" s="1204"/>
      <c r="AH536" s="1204"/>
      <c r="AI536" s="1204"/>
    </row>
    <row r="537" spans="1:35" ht="15" customHeight="1">
      <c r="A537" s="1076"/>
      <c r="B537" s="1076"/>
      <c r="C537" s="1076"/>
      <c r="D537" s="1076"/>
      <c r="E537" s="1076"/>
      <c r="F537" s="1076"/>
      <c r="G537" s="1076"/>
      <c r="H537" s="1251"/>
      <c r="I537" s="1123"/>
      <c r="J537" s="1119"/>
      <c r="K537" s="1119"/>
      <c r="L537" s="1119"/>
      <c r="M537" s="1171"/>
      <c r="N537" s="1196"/>
      <c r="O537" s="1196"/>
      <c r="P537" s="1196"/>
      <c r="Q537" s="1119"/>
      <c r="R537" s="1119"/>
      <c r="S537" s="1076"/>
      <c r="T537" s="840" t="s">
        <v>963</v>
      </c>
      <c r="U537" s="866">
        <v>12748671</v>
      </c>
      <c r="V537" s="855">
        <v>41598</v>
      </c>
      <c r="W537" s="866" t="s">
        <v>129</v>
      </c>
      <c r="X537" s="1084"/>
      <c r="Y537" s="1084"/>
      <c r="Z537" s="827">
        <v>-1</v>
      </c>
      <c r="AA537" s="1084"/>
      <c r="AB537" s="1119"/>
      <c r="AC537" s="1119"/>
      <c r="AD537" s="1119"/>
      <c r="AE537" s="1119"/>
      <c r="AF537" s="1204"/>
      <c r="AG537" s="1204"/>
      <c r="AH537" s="1204"/>
      <c r="AI537" s="1204"/>
    </row>
    <row r="538" spans="1:35" ht="15" customHeight="1">
      <c r="A538" s="1076"/>
      <c r="B538" s="1076"/>
      <c r="C538" s="1076"/>
      <c r="D538" s="1076"/>
      <c r="E538" s="1076" t="s">
        <v>171</v>
      </c>
      <c r="F538" s="1076"/>
      <c r="G538" s="1076"/>
      <c r="H538" s="1251">
        <v>5</v>
      </c>
      <c r="I538" s="1123" t="s">
        <v>129</v>
      </c>
      <c r="J538" s="1119">
        <v>12683823</v>
      </c>
      <c r="K538" s="1119">
        <v>12683823</v>
      </c>
      <c r="L538" s="1119"/>
      <c r="M538" s="1171">
        <v>40878</v>
      </c>
      <c r="N538" s="1196">
        <v>12409670</v>
      </c>
      <c r="O538" s="1119">
        <v>12409670</v>
      </c>
      <c r="P538" s="1119">
        <v>274153</v>
      </c>
      <c r="Q538" s="1119">
        <v>12409670</v>
      </c>
      <c r="R538" s="1119"/>
      <c r="S538" s="1076"/>
      <c r="T538" s="840" t="s">
        <v>964</v>
      </c>
      <c r="U538" s="866">
        <v>5954900</v>
      </c>
      <c r="V538" s="855">
        <v>41145</v>
      </c>
      <c r="W538" s="866" t="s">
        <v>129</v>
      </c>
      <c r="X538" s="1084">
        <v>12409627</v>
      </c>
      <c r="Y538" s="1084"/>
      <c r="Z538" s="827">
        <v>0</v>
      </c>
      <c r="AA538" s="1084">
        <v>43</v>
      </c>
      <c r="AB538" s="1119">
        <v>0</v>
      </c>
      <c r="AC538" s="1119">
        <v>0</v>
      </c>
      <c r="AD538" s="1119">
        <v>43</v>
      </c>
      <c r="AE538" s="1119">
        <v>43</v>
      </c>
      <c r="AF538" s="1204"/>
      <c r="AG538" s="1204"/>
      <c r="AH538" s="1204"/>
      <c r="AI538" s="1204"/>
    </row>
    <row r="539" spans="1:35" ht="15" customHeight="1">
      <c r="A539" s="1076"/>
      <c r="B539" s="1076"/>
      <c r="C539" s="1076"/>
      <c r="D539" s="1076"/>
      <c r="E539" s="1076"/>
      <c r="F539" s="1076"/>
      <c r="G539" s="1076"/>
      <c r="H539" s="1251"/>
      <c r="I539" s="1123"/>
      <c r="J539" s="1119"/>
      <c r="K539" s="1119"/>
      <c r="L539" s="1119"/>
      <c r="M539" s="1171"/>
      <c r="N539" s="1196"/>
      <c r="O539" s="1119"/>
      <c r="P539" s="1119"/>
      <c r="Q539" s="1119"/>
      <c r="R539" s="1119"/>
      <c r="S539" s="1076"/>
      <c r="T539" s="840" t="s">
        <v>965</v>
      </c>
      <c r="U539" s="866">
        <v>5214032</v>
      </c>
      <c r="V539" s="855">
        <v>41271</v>
      </c>
      <c r="W539" s="866" t="s">
        <v>129</v>
      </c>
      <c r="X539" s="1084"/>
      <c r="Y539" s="1084"/>
      <c r="Z539" s="827">
        <v>0</v>
      </c>
      <c r="AA539" s="1084"/>
      <c r="AB539" s="1119"/>
      <c r="AC539" s="1119"/>
      <c r="AD539" s="1119"/>
      <c r="AE539" s="1119"/>
      <c r="AF539" s="1204"/>
      <c r="AG539" s="1204"/>
      <c r="AH539" s="1204"/>
      <c r="AI539" s="1204"/>
    </row>
    <row r="540" spans="1:35" ht="15" customHeight="1">
      <c r="A540" s="1076"/>
      <c r="B540" s="1076"/>
      <c r="C540" s="1076"/>
      <c r="D540" s="1076"/>
      <c r="E540" s="1076"/>
      <c r="F540" s="1076"/>
      <c r="G540" s="1076"/>
      <c r="H540" s="1251"/>
      <c r="I540" s="1123"/>
      <c r="J540" s="1119"/>
      <c r="K540" s="1119"/>
      <c r="L540" s="1119"/>
      <c r="M540" s="1171"/>
      <c r="N540" s="1196"/>
      <c r="O540" s="1119"/>
      <c r="P540" s="1119"/>
      <c r="Q540" s="1119"/>
      <c r="R540" s="1119"/>
      <c r="S540" s="1076"/>
      <c r="T540" s="840" t="s">
        <v>966</v>
      </c>
      <c r="U540" s="866">
        <v>1240695</v>
      </c>
      <c r="V540" s="855">
        <v>41598</v>
      </c>
      <c r="W540" s="866" t="s">
        <v>129</v>
      </c>
      <c r="X540" s="1084"/>
      <c r="Y540" s="1084"/>
      <c r="Z540" s="827">
        <v>0</v>
      </c>
      <c r="AA540" s="1084"/>
      <c r="AB540" s="1119"/>
      <c r="AC540" s="1119"/>
      <c r="AD540" s="1119"/>
      <c r="AE540" s="1119"/>
      <c r="AF540" s="1204"/>
      <c r="AG540" s="1204"/>
      <c r="AH540" s="1204"/>
      <c r="AI540" s="1204"/>
    </row>
    <row r="541" spans="1:35" ht="15" customHeight="1">
      <c r="A541" s="1076"/>
      <c r="B541" s="1076"/>
      <c r="C541" s="1076"/>
      <c r="D541" s="1076"/>
      <c r="E541" s="1076"/>
      <c r="F541" s="1076"/>
      <c r="G541" s="1076"/>
      <c r="H541" s="1251">
        <v>227</v>
      </c>
      <c r="I541" s="1123" t="s">
        <v>7</v>
      </c>
      <c r="J541" s="1119">
        <v>8755316</v>
      </c>
      <c r="K541" s="1119">
        <v>47280649</v>
      </c>
      <c r="L541" s="1119"/>
      <c r="M541" s="1171">
        <v>40878</v>
      </c>
      <c r="N541" s="1273">
        <v>47091408</v>
      </c>
      <c r="O541" s="1119">
        <v>8566075</v>
      </c>
      <c r="P541" s="1119">
        <v>189241</v>
      </c>
      <c r="Q541" s="1119">
        <v>8566075</v>
      </c>
      <c r="R541" s="1119"/>
      <c r="S541" s="1076"/>
      <c r="T541" s="1123" t="s">
        <v>964</v>
      </c>
      <c r="U541" s="866">
        <v>4110514</v>
      </c>
      <c r="V541" s="1171">
        <v>41145</v>
      </c>
      <c r="W541" s="866" t="s">
        <v>137</v>
      </c>
      <c r="X541" s="1084">
        <v>46258547</v>
      </c>
      <c r="Y541" s="1084"/>
      <c r="Z541" s="827">
        <v>13976660</v>
      </c>
      <c r="AA541" s="1084">
        <v>-13976631</v>
      </c>
      <c r="AB541" s="1119">
        <v>0</v>
      </c>
      <c r="AC541" s="1119">
        <v>0</v>
      </c>
      <c r="AD541" s="1119">
        <v>160</v>
      </c>
      <c r="AE541" s="1119">
        <v>832861</v>
      </c>
      <c r="AF541" s="1204"/>
      <c r="AG541" s="1204"/>
      <c r="AH541" s="1204"/>
      <c r="AI541" s="1204"/>
    </row>
    <row r="542" spans="1:35" ht="15" customHeight="1">
      <c r="A542" s="1076"/>
      <c r="B542" s="1076"/>
      <c r="C542" s="1076"/>
      <c r="D542" s="1076"/>
      <c r="E542" s="1076"/>
      <c r="F542" s="1076"/>
      <c r="G542" s="1076"/>
      <c r="H542" s="1251"/>
      <c r="I542" s="1123"/>
      <c r="J542" s="1119"/>
      <c r="K542" s="1119"/>
      <c r="L542" s="1119"/>
      <c r="M542" s="1171"/>
      <c r="N542" s="1273"/>
      <c r="O542" s="1119"/>
      <c r="P542" s="1119"/>
      <c r="Q542" s="1119"/>
      <c r="R542" s="1119"/>
      <c r="S542" s="1076"/>
      <c r="T542" s="1123"/>
      <c r="U542" s="866">
        <v>18087174</v>
      </c>
      <c r="V542" s="1171"/>
      <c r="W542" s="866" t="s">
        <v>7</v>
      </c>
      <c r="X542" s="1084"/>
      <c r="Y542" s="1084"/>
      <c r="Z542" s="827">
        <v>-13976660</v>
      </c>
      <c r="AA542" s="1084"/>
      <c r="AB542" s="1119"/>
      <c r="AC542" s="1119"/>
      <c r="AD542" s="1119"/>
      <c r="AE542" s="1119"/>
      <c r="AF542" s="1204"/>
      <c r="AG542" s="1204"/>
      <c r="AH542" s="1204"/>
      <c r="AI542" s="1204"/>
    </row>
    <row r="543" spans="1:35" ht="15" customHeight="1">
      <c r="A543" s="1076"/>
      <c r="B543" s="1076"/>
      <c r="C543" s="1076"/>
      <c r="D543" s="1076"/>
      <c r="E543" s="1076"/>
      <c r="F543" s="1076"/>
      <c r="G543" s="1076"/>
      <c r="H543" s="1251"/>
      <c r="I543" s="1123"/>
      <c r="J543" s="1119"/>
      <c r="K543" s="1119"/>
      <c r="L543" s="1119"/>
      <c r="M543" s="1171"/>
      <c r="N543" s="1273"/>
      <c r="O543" s="1119"/>
      <c r="P543" s="1119"/>
      <c r="Q543" s="1119"/>
      <c r="R543" s="1119"/>
      <c r="S543" s="1076"/>
      <c r="T543" s="1123" t="s">
        <v>965</v>
      </c>
      <c r="U543" s="866">
        <v>3599112</v>
      </c>
      <c r="V543" s="1171">
        <v>41270</v>
      </c>
      <c r="W543" s="866" t="s">
        <v>7</v>
      </c>
      <c r="X543" s="1084"/>
      <c r="Y543" s="1084"/>
      <c r="Z543" s="827">
        <v>0</v>
      </c>
      <c r="AA543" s="1084"/>
      <c r="AB543" s="1119"/>
      <c r="AC543" s="1119"/>
      <c r="AD543" s="1119"/>
      <c r="AE543" s="1119"/>
      <c r="AF543" s="1204"/>
      <c r="AG543" s="1204"/>
      <c r="AH543" s="1204"/>
      <c r="AI543" s="1204"/>
    </row>
    <row r="544" spans="1:35" ht="15" customHeight="1">
      <c r="A544" s="1076"/>
      <c r="B544" s="1076"/>
      <c r="C544" s="1076"/>
      <c r="D544" s="1076"/>
      <c r="E544" s="1076"/>
      <c r="F544" s="1076"/>
      <c r="G544" s="1076"/>
      <c r="H544" s="1251"/>
      <c r="I544" s="1123" t="s">
        <v>137</v>
      </c>
      <c r="J544" s="1119">
        <v>38525333</v>
      </c>
      <c r="K544" s="1119"/>
      <c r="L544" s="1119"/>
      <c r="M544" s="1171"/>
      <c r="N544" s="1273"/>
      <c r="O544" s="1119">
        <v>38525333</v>
      </c>
      <c r="P544" s="1119">
        <v>0</v>
      </c>
      <c r="Q544" s="1119">
        <v>37692632</v>
      </c>
      <c r="R544" s="1119"/>
      <c r="S544" s="1076"/>
      <c r="T544" s="1123"/>
      <c r="U544" s="866">
        <v>15836890</v>
      </c>
      <c r="V544" s="1171"/>
      <c r="W544" s="866" t="s">
        <v>137</v>
      </c>
      <c r="X544" s="1084"/>
      <c r="Y544" s="1084"/>
      <c r="Z544" s="827">
        <v>0</v>
      </c>
      <c r="AA544" s="1084">
        <v>14809492</v>
      </c>
      <c r="AB544" s="1119"/>
      <c r="AC544" s="1119">
        <v>832701</v>
      </c>
      <c r="AD544" s="1119"/>
      <c r="AE544" s="1119"/>
      <c r="AF544" s="1204"/>
      <c r="AG544" s="1204"/>
      <c r="AH544" s="1204"/>
      <c r="AI544" s="1204"/>
    </row>
    <row r="545" spans="1:35" ht="15" customHeight="1">
      <c r="A545" s="1076"/>
      <c r="B545" s="1076"/>
      <c r="C545" s="1076"/>
      <c r="D545" s="1076"/>
      <c r="E545" s="1076"/>
      <c r="F545" s="1076"/>
      <c r="G545" s="1076"/>
      <c r="H545" s="1251"/>
      <c r="I545" s="1123"/>
      <c r="J545" s="1119"/>
      <c r="K545" s="1119"/>
      <c r="L545" s="1119"/>
      <c r="M545" s="1171"/>
      <c r="N545" s="1273"/>
      <c r="O545" s="1119"/>
      <c r="P545" s="1119"/>
      <c r="Q545" s="1119"/>
      <c r="R545" s="1119"/>
      <c r="S545" s="1076"/>
      <c r="T545" s="1123" t="s">
        <v>966</v>
      </c>
      <c r="U545" s="866">
        <v>856420</v>
      </c>
      <c r="V545" s="1171">
        <v>41598</v>
      </c>
      <c r="W545" s="866" t="s">
        <v>7</v>
      </c>
      <c r="X545" s="1084"/>
      <c r="Y545" s="1084"/>
      <c r="Z545" s="827">
        <v>0</v>
      </c>
      <c r="AA545" s="1084"/>
      <c r="AB545" s="1119"/>
      <c r="AC545" s="1119"/>
      <c r="AD545" s="1119"/>
      <c r="AE545" s="1119"/>
      <c r="AF545" s="1204"/>
      <c r="AG545" s="1204"/>
      <c r="AH545" s="1204"/>
      <c r="AI545" s="1204"/>
    </row>
    <row r="546" spans="1:35" ht="15" customHeight="1">
      <c r="A546" s="1076"/>
      <c r="B546" s="1076"/>
      <c r="C546" s="1076"/>
      <c r="D546" s="1076"/>
      <c r="E546" s="1076"/>
      <c r="F546" s="1076"/>
      <c r="G546" s="1076"/>
      <c r="H546" s="1251"/>
      <c r="I546" s="1123"/>
      <c r="J546" s="1119"/>
      <c r="K546" s="1119"/>
      <c r="L546" s="1119"/>
      <c r="M546" s="1171"/>
      <c r="N546" s="1273"/>
      <c r="O546" s="1119"/>
      <c r="P546" s="1119"/>
      <c r="Q546" s="1119"/>
      <c r="R546" s="1119"/>
      <c r="S546" s="1076"/>
      <c r="T546" s="1123"/>
      <c r="U546" s="866">
        <v>3768437</v>
      </c>
      <c r="V546" s="1171"/>
      <c r="W546" s="866" t="s">
        <v>137</v>
      </c>
      <c r="X546" s="1084"/>
      <c r="Y546" s="1084"/>
      <c r="Z546" s="827">
        <v>0</v>
      </c>
      <c r="AA546" s="1084"/>
      <c r="AB546" s="1119"/>
      <c r="AC546" s="1119"/>
      <c r="AD546" s="1119"/>
      <c r="AE546" s="1119"/>
      <c r="AF546" s="1204"/>
      <c r="AG546" s="1204"/>
      <c r="AH546" s="1204"/>
      <c r="AI546" s="1204"/>
    </row>
    <row r="547" spans="1:35" s="954" customFormat="1" ht="15" customHeight="1">
      <c r="A547" s="1076"/>
      <c r="B547" s="1076"/>
      <c r="C547" s="1076"/>
      <c r="D547" s="1076"/>
      <c r="E547" s="1250" t="s">
        <v>172</v>
      </c>
      <c r="F547" s="1076"/>
      <c r="G547" s="1076"/>
      <c r="H547" s="1269">
        <v>236</v>
      </c>
      <c r="I547" s="1271" t="s">
        <v>7</v>
      </c>
      <c r="J547" s="1255">
        <v>92377220</v>
      </c>
      <c r="K547" s="1255">
        <v>92377220</v>
      </c>
      <c r="L547" s="1119"/>
      <c r="M547" s="1270">
        <v>40906</v>
      </c>
      <c r="N547" s="1272">
        <v>92377220</v>
      </c>
      <c r="O547" s="1255">
        <v>92377220</v>
      </c>
      <c r="P547" s="1255">
        <v>0</v>
      </c>
      <c r="Q547" s="1255">
        <v>92377220</v>
      </c>
      <c r="R547" s="1119"/>
      <c r="S547" s="1076"/>
      <c r="T547" s="947" t="s">
        <v>969</v>
      </c>
      <c r="U547" s="938">
        <v>80791611</v>
      </c>
      <c r="V547" s="945">
        <v>41270</v>
      </c>
      <c r="W547" s="938" t="s">
        <v>7</v>
      </c>
      <c r="X547" s="1264">
        <v>92377024</v>
      </c>
      <c r="Y547" s="1084"/>
      <c r="Z547" s="939">
        <v>0</v>
      </c>
      <c r="AA547" s="1264">
        <v>196</v>
      </c>
      <c r="AB547" s="1255">
        <v>0</v>
      </c>
      <c r="AC547" s="1255">
        <v>0</v>
      </c>
      <c r="AD547" s="1255">
        <v>196</v>
      </c>
      <c r="AE547" s="1255">
        <v>196</v>
      </c>
      <c r="AF547" s="1204"/>
      <c r="AG547" s="1204"/>
      <c r="AH547" s="1204"/>
      <c r="AI547" s="1204"/>
    </row>
    <row r="548" spans="1:35" s="954" customFormat="1" ht="15" customHeight="1">
      <c r="A548" s="1076"/>
      <c r="B548" s="1076"/>
      <c r="C548" s="1076"/>
      <c r="D548" s="1076"/>
      <c r="E548" s="1250"/>
      <c r="F548" s="1076"/>
      <c r="G548" s="1076"/>
      <c r="H548" s="1269"/>
      <c r="I548" s="1271"/>
      <c r="J548" s="1255"/>
      <c r="K548" s="1255"/>
      <c r="L548" s="1119"/>
      <c r="M548" s="1270"/>
      <c r="N548" s="1272"/>
      <c r="O548" s="1255"/>
      <c r="P548" s="1255"/>
      <c r="Q548" s="1255"/>
      <c r="R548" s="1119"/>
      <c r="S548" s="1076"/>
      <c r="T548" s="947" t="s">
        <v>968</v>
      </c>
      <c r="U548" s="938">
        <v>11585413</v>
      </c>
      <c r="V548" s="945">
        <v>41598</v>
      </c>
      <c r="W548" s="938" t="s">
        <v>7</v>
      </c>
      <c r="X548" s="1264"/>
      <c r="Y548" s="1084"/>
      <c r="Z548" s="939">
        <v>0</v>
      </c>
      <c r="AA548" s="1264"/>
      <c r="AB548" s="1255"/>
      <c r="AC548" s="1255"/>
      <c r="AD548" s="1255"/>
      <c r="AE548" s="1255"/>
      <c r="AF548" s="1204"/>
      <c r="AG548" s="1204"/>
      <c r="AH548" s="1204"/>
      <c r="AI548" s="1204"/>
    </row>
    <row r="549" spans="1:35" s="24" customFormat="1" ht="15" customHeight="1">
      <c r="A549" s="1204" t="s">
        <v>1581</v>
      </c>
      <c r="B549" s="1204" t="s">
        <v>1583</v>
      </c>
      <c r="C549" s="1204" t="s">
        <v>71</v>
      </c>
      <c r="D549" s="1204" t="s">
        <v>1221</v>
      </c>
      <c r="E549" s="1274" t="s">
        <v>67</v>
      </c>
      <c r="F549" s="1204" t="s">
        <v>1584</v>
      </c>
      <c r="G549" s="1204" t="s">
        <v>1585</v>
      </c>
      <c r="H549" s="1350">
        <v>151</v>
      </c>
      <c r="I549" s="1259" t="s">
        <v>7</v>
      </c>
      <c r="J549" s="1257">
        <v>38265697</v>
      </c>
      <c r="K549" s="1258">
        <v>148304257</v>
      </c>
      <c r="L549" s="1265">
        <v>635419318</v>
      </c>
      <c r="M549" s="1132">
        <v>40681</v>
      </c>
      <c r="N549" s="858"/>
      <c r="O549" s="858"/>
      <c r="P549" s="858"/>
      <c r="Q549" s="1258">
        <v>38221476</v>
      </c>
      <c r="R549" s="1119">
        <v>629172341</v>
      </c>
      <c r="S549" s="1011"/>
      <c r="T549" s="864" t="s">
        <v>1586</v>
      </c>
      <c r="U549" s="887">
        <v>7567186</v>
      </c>
      <c r="V549" s="898">
        <v>40830</v>
      </c>
      <c r="W549" s="1257">
        <v>11011296</v>
      </c>
      <c r="X549" s="1256">
        <v>148117963</v>
      </c>
      <c r="Y549" s="1256">
        <v>486550308.13999999</v>
      </c>
      <c r="Z549" s="858"/>
      <c r="AA549" s="1257">
        <v>27254401</v>
      </c>
      <c r="AB549" s="1224">
        <v>129774420.86000001</v>
      </c>
      <c r="AC549" s="895">
        <v>186294</v>
      </c>
      <c r="AD549" s="1224">
        <v>12847612</v>
      </c>
      <c r="AE549" s="1119">
        <v>19094424</v>
      </c>
      <c r="AF549" s="1204"/>
      <c r="AG549" s="864" t="s">
        <v>1587</v>
      </c>
      <c r="AH549" s="1103" t="s">
        <v>195</v>
      </c>
      <c r="AI549" s="1103" t="s">
        <v>1563</v>
      </c>
    </row>
    <row r="550" spans="1:35" s="24" customFormat="1" ht="15" customHeight="1">
      <c r="A550" s="1204"/>
      <c r="B550" s="1204"/>
      <c r="C550" s="1204"/>
      <c r="D550" s="1204"/>
      <c r="E550" s="1274"/>
      <c r="F550" s="1204"/>
      <c r="G550" s="1204"/>
      <c r="H550" s="1350"/>
      <c r="I550" s="1259"/>
      <c r="J550" s="1257"/>
      <c r="K550" s="1258"/>
      <c r="L550" s="1266"/>
      <c r="M550" s="1104"/>
      <c r="N550" s="858"/>
      <c r="O550" s="858"/>
      <c r="P550" s="858"/>
      <c r="Q550" s="1258"/>
      <c r="R550" s="1119"/>
      <c r="S550" s="1033"/>
      <c r="T550" s="864" t="s">
        <v>1588</v>
      </c>
      <c r="U550" s="887">
        <v>3444110</v>
      </c>
      <c r="V550" s="898">
        <v>41241</v>
      </c>
      <c r="W550" s="1257"/>
      <c r="X550" s="1256"/>
      <c r="Y550" s="1256"/>
      <c r="Z550" s="858"/>
      <c r="AA550" s="1257"/>
      <c r="AB550" s="1224"/>
      <c r="AC550" s="858"/>
      <c r="AD550" s="1224"/>
      <c r="AE550" s="1119"/>
      <c r="AF550" s="1204"/>
      <c r="AG550" s="1204" t="s">
        <v>1589</v>
      </c>
      <c r="AH550" s="1104"/>
      <c r="AI550" s="1104"/>
    </row>
    <row r="551" spans="1:35" s="24" customFormat="1" ht="15" customHeight="1">
      <c r="A551" s="1204"/>
      <c r="B551" s="1204"/>
      <c r="C551" s="1204"/>
      <c r="D551" s="1204"/>
      <c r="E551" s="1274"/>
      <c r="F551" s="1204"/>
      <c r="G551" s="1204"/>
      <c r="H551" s="1350"/>
      <c r="I551" s="1259" t="s">
        <v>137</v>
      </c>
      <c r="J551" s="1257">
        <v>110038560</v>
      </c>
      <c r="K551" s="1258"/>
      <c r="L551" s="1266"/>
      <c r="M551" s="1104"/>
      <c r="N551" s="858"/>
      <c r="O551" s="858"/>
      <c r="P551" s="858"/>
      <c r="Q551" s="1258">
        <v>109896487</v>
      </c>
      <c r="R551" s="1119"/>
      <c r="S551" s="1033"/>
      <c r="T551" s="864" t="s">
        <v>1590</v>
      </c>
      <c r="U551" s="887">
        <v>84717995</v>
      </c>
      <c r="V551" s="898">
        <v>40715</v>
      </c>
      <c r="W551" s="1257">
        <v>137106667</v>
      </c>
      <c r="X551" s="1256"/>
      <c r="Y551" s="1256"/>
      <c r="Z551" s="858"/>
      <c r="AA551" s="1119">
        <v>-27068107</v>
      </c>
      <c r="AB551" s="1224"/>
      <c r="AC551" s="858"/>
      <c r="AD551" s="1224"/>
      <c r="AE551" s="1119"/>
      <c r="AF551" s="1204"/>
      <c r="AG551" s="1204"/>
      <c r="AH551" s="1104"/>
      <c r="AI551" s="1104"/>
    </row>
    <row r="552" spans="1:35" s="24" customFormat="1" ht="15" customHeight="1">
      <c r="A552" s="1204"/>
      <c r="B552" s="1204"/>
      <c r="C552" s="1204"/>
      <c r="D552" s="1204"/>
      <c r="E552" s="1274"/>
      <c r="F552" s="1204"/>
      <c r="G552" s="1204"/>
      <c r="H552" s="1350"/>
      <c r="I552" s="1259"/>
      <c r="J552" s="1257"/>
      <c r="K552" s="1258"/>
      <c r="L552" s="1266"/>
      <c r="M552" s="1104"/>
      <c r="N552" s="858"/>
      <c r="O552" s="858"/>
      <c r="P552" s="858"/>
      <c r="Q552" s="1258"/>
      <c r="R552" s="1119"/>
      <c r="S552" s="1033"/>
      <c r="T552" s="864" t="s">
        <v>1590</v>
      </c>
      <c r="U552" s="887">
        <v>29455166</v>
      </c>
      <c r="V552" s="898">
        <v>40715</v>
      </c>
      <c r="W552" s="1257"/>
      <c r="X552" s="1256"/>
      <c r="Y552" s="1256"/>
      <c r="Z552" s="858"/>
      <c r="AA552" s="1119"/>
      <c r="AB552" s="1224"/>
      <c r="AC552" s="858"/>
      <c r="AD552" s="1224"/>
      <c r="AE552" s="1119"/>
      <c r="AF552" s="1204"/>
      <c r="AG552" s="1204"/>
      <c r="AH552" s="1104"/>
      <c r="AI552" s="1104"/>
    </row>
    <row r="553" spans="1:35" s="24" customFormat="1" ht="15" customHeight="1">
      <c r="A553" s="1204"/>
      <c r="B553" s="1204"/>
      <c r="C553" s="1204"/>
      <c r="D553" s="1204"/>
      <c r="E553" s="1274"/>
      <c r="F553" s="1204"/>
      <c r="G553" s="1204"/>
      <c r="H553" s="1350"/>
      <c r="I553" s="1259"/>
      <c r="J553" s="1257"/>
      <c r="K553" s="1258"/>
      <c r="L553" s="1266"/>
      <c r="M553" s="1104"/>
      <c r="N553" s="858"/>
      <c r="O553" s="858"/>
      <c r="P553" s="858"/>
      <c r="Q553" s="1258"/>
      <c r="R553" s="1119"/>
      <c r="S553" s="1033"/>
      <c r="T553" s="864" t="s">
        <v>1586</v>
      </c>
      <c r="U553" s="887">
        <v>21734382</v>
      </c>
      <c r="V553" s="898">
        <v>40830</v>
      </c>
      <c r="W553" s="1257"/>
      <c r="X553" s="1256"/>
      <c r="Y553" s="1256"/>
      <c r="Z553" s="858"/>
      <c r="AA553" s="1119"/>
      <c r="AB553" s="1224"/>
      <c r="AC553" s="858"/>
      <c r="AD553" s="1224"/>
      <c r="AE553" s="1119"/>
      <c r="AF553" s="1204"/>
      <c r="AG553" s="864"/>
      <c r="AH553" s="1104"/>
      <c r="AI553" s="1104"/>
    </row>
    <row r="554" spans="1:35" s="24" customFormat="1" ht="15" customHeight="1">
      <c r="A554" s="1204"/>
      <c r="B554" s="1204"/>
      <c r="C554" s="1204"/>
      <c r="D554" s="1204"/>
      <c r="E554" s="1274"/>
      <c r="F554" s="1204"/>
      <c r="G554" s="1204"/>
      <c r="H554" s="1350"/>
      <c r="I554" s="1259"/>
      <c r="J554" s="1257"/>
      <c r="K554" s="1258"/>
      <c r="L554" s="1266"/>
      <c r="M554" s="1105"/>
      <c r="N554" s="858"/>
      <c r="O554" s="858"/>
      <c r="P554" s="858"/>
      <c r="Q554" s="1258"/>
      <c r="R554" s="1119"/>
      <c r="S554" s="1033"/>
      <c r="T554" s="864" t="s">
        <v>1588</v>
      </c>
      <c r="U554" s="887">
        <v>1199124</v>
      </c>
      <c r="V554" s="898">
        <v>41241</v>
      </c>
      <c r="W554" s="1257"/>
      <c r="X554" s="1256"/>
      <c r="Y554" s="1256"/>
      <c r="Z554" s="858"/>
      <c r="AA554" s="1119"/>
      <c r="AB554" s="1224"/>
      <c r="AC554" s="858"/>
      <c r="AD554" s="1224"/>
      <c r="AE554" s="1119"/>
      <c r="AF554" s="1204"/>
      <c r="AG554" s="864" t="s">
        <v>1591</v>
      </c>
      <c r="AH554" s="1104"/>
      <c r="AI554" s="1104"/>
    </row>
    <row r="555" spans="1:35" s="24" customFormat="1" ht="15" customHeight="1">
      <c r="A555" s="1204"/>
      <c r="B555" s="1204"/>
      <c r="C555" s="1204"/>
      <c r="D555" s="1204"/>
      <c r="E555" s="1274"/>
      <c r="F555" s="1204"/>
      <c r="G555" s="1204"/>
      <c r="H555" s="894">
        <v>1</v>
      </c>
      <c r="I555" s="864" t="s">
        <v>157</v>
      </c>
      <c r="J555" s="887">
        <v>98628079</v>
      </c>
      <c r="K555" s="888">
        <v>98628079</v>
      </c>
      <c r="L555" s="1266"/>
      <c r="M555" s="867">
        <v>40445</v>
      </c>
      <c r="N555" s="858"/>
      <c r="O555" s="858"/>
      <c r="P555" s="858"/>
      <c r="Q555" s="888">
        <v>93017358</v>
      </c>
      <c r="R555" s="1119"/>
      <c r="S555" s="1033"/>
      <c r="T555" s="864" t="s">
        <v>1592</v>
      </c>
      <c r="U555" s="887">
        <v>93017358</v>
      </c>
      <c r="V555" s="898">
        <v>40554</v>
      </c>
      <c r="W555" s="887">
        <v>93017358</v>
      </c>
      <c r="X555" s="887">
        <v>93017358</v>
      </c>
      <c r="Y555" s="1256"/>
      <c r="Z555" s="858"/>
      <c r="AA555" s="887">
        <v>5610721</v>
      </c>
      <c r="AB555" s="1224"/>
      <c r="AC555" s="895">
        <v>5610721</v>
      </c>
      <c r="AD555" s="1224"/>
      <c r="AE555" s="1119"/>
      <c r="AF555" s="1204"/>
      <c r="AG555" s="864"/>
      <c r="AH555" s="1104"/>
      <c r="AI555" s="1104"/>
    </row>
    <row r="556" spans="1:35" s="24" customFormat="1" ht="15" customHeight="1">
      <c r="A556" s="1204"/>
      <c r="B556" s="1204"/>
      <c r="C556" s="1204"/>
      <c r="D556" s="1204"/>
      <c r="E556" s="1274"/>
      <c r="F556" s="1204"/>
      <c r="G556" s="1204"/>
      <c r="H556" s="1285">
        <v>2</v>
      </c>
      <c r="I556" s="1259" t="s">
        <v>157</v>
      </c>
      <c r="J556" s="1257">
        <v>175067821</v>
      </c>
      <c r="K556" s="1258">
        <v>175067821</v>
      </c>
      <c r="L556" s="1266"/>
      <c r="M556" s="1132">
        <v>40681</v>
      </c>
      <c r="N556" s="858"/>
      <c r="O556" s="858"/>
      <c r="P556" s="858"/>
      <c r="Q556" s="1258">
        <v>174618024</v>
      </c>
      <c r="R556" s="1119"/>
      <c r="S556" s="1033"/>
      <c r="T556" s="864" t="s">
        <v>1590</v>
      </c>
      <c r="U556" s="887">
        <v>134759121.13999999</v>
      </c>
      <c r="V556" s="898">
        <v>40715</v>
      </c>
      <c r="W556" s="1258">
        <v>170572149.13999999</v>
      </c>
      <c r="X556" s="1258">
        <v>170572149.13999999</v>
      </c>
      <c r="Y556" s="1256"/>
      <c r="Z556" s="858"/>
      <c r="AA556" s="1258">
        <v>4495671.8600000143</v>
      </c>
      <c r="AB556" s="1224"/>
      <c r="AC556" s="895">
        <v>449797</v>
      </c>
      <c r="AD556" s="1224"/>
      <c r="AE556" s="1119"/>
      <c r="AF556" s="1204"/>
      <c r="AG556" s="864"/>
      <c r="AH556" s="1104"/>
      <c r="AI556" s="1104"/>
    </row>
    <row r="557" spans="1:35" s="24" customFormat="1" ht="15" customHeight="1">
      <c r="A557" s="1204"/>
      <c r="B557" s="1204"/>
      <c r="C557" s="1204"/>
      <c r="D557" s="1204"/>
      <c r="E557" s="1274"/>
      <c r="F557" s="1204"/>
      <c r="G557" s="1204"/>
      <c r="H557" s="1285"/>
      <c r="I557" s="1259"/>
      <c r="J557" s="1257"/>
      <c r="K557" s="1258"/>
      <c r="L557" s="1266"/>
      <c r="M557" s="1105"/>
      <c r="N557" s="858"/>
      <c r="O557" s="858"/>
      <c r="P557" s="858"/>
      <c r="Q557" s="1258"/>
      <c r="R557" s="1119"/>
      <c r="S557" s="1033"/>
      <c r="T557" s="864" t="s">
        <v>1586</v>
      </c>
      <c r="U557" s="887">
        <v>35813028</v>
      </c>
      <c r="V557" s="898">
        <v>40830</v>
      </c>
      <c r="W557" s="1258"/>
      <c r="X557" s="1258"/>
      <c r="Y557" s="1256"/>
      <c r="Z557" s="858"/>
      <c r="AA557" s="1258"/>
      <c r="AB557" s="1224"/>
      <c r="AC557" s="858"/>
      <c r="AD557" s="1224"/>
      <c r="AE557" s="1119"/>
      <c r="AF557" s="1204"/>
      <c r="AG557" s="864" t="s">
        <v>1593</v>
      </c>
      <c r="AH557" s="1104"/>
      <c r="AI557" s="1104"/>
    </row>
    <row r="558" spans="1:35" s="24" customFormat="1" ht="15" customHeight="1">
      <c r="A558" s="1204"/>
      <c r="B558" s="1204"/>
      <c r="C558" s="1204"/>
      <c r="D558" s="1204"/>
      <c r="E558" s="1204" t="s">
        <v>67</v>
      </c>
      <c r="F558" s="1204"/>
      <c r="G558" s="1204"/>
      <c r="H558" s="1285">
        <v>119</v>
      </c>
      <c r="I558" s="896" t="s">
        <v>137</v>
      </c>
      <c r="J558" s="887">
        <v>40370720</v>
      </c>
      <c r="K558" s="1258">
        <v>74842838</v>
      </c>
      <c r="L558" s="1266"/>
      <c r="M558" s="1132">
        <v>40441</v>
      </c>
      <c r="N558" s="858"/>
      <c r="O558" s="858"/>
      <c r="P558" s="858"/>
      <c r="Q558" s="888">
        <v>40370720</v>
      </c>
      <c r="R558" s="1119"/>
      <c r="S558" s="1033"/>
      <c r="T558" s="864" t="s">
        <v>1592</v>
      </c>
      <c r="U558" s="887">
        <v>40370720</v>
      </c>
      <c r="V558" s="898">
        <v>40554</v>
      </c>
      <c r="W558" s="887">
        <v>40370720</v>
      </c>
      <c r="X558" s="1258">
        <v>74842838</v>
      </c>
      <c r="Y558" s="1256"/>
      <c r="Z558" s="858"/>
      <c r="AA558" s="887">
        <v>0</v>
      </c>
      <c r="AB558" s="1224"/>
      <c r="AC558" s="858"/>
      <c r="AD558" s="1224"/>
      <c r="AE558" s="1119"/>
      <c r="AF558" s="1204"/>
      <c r="AG558" s="864"/>
      <c r="AH558" s="1104"/>
      <c r="AI558" s="1104"/>
    </row>
    <row r="559" spans="1:35" s="24" customFormat="1" ht="15" customHeight="1">
      <c r="A559" s="1204"/>
      <c r="B559" s="1204"/>
      <c r="C559" s="1204"/>
      <c r="D559" s="1204"/>
      <c r="E559" s="1204"/>
      <c r="F559" s="1204"/>
      <c r="G559" s="1204"/>
      <c r="H559" s="1285"/>
      <c r="I559" s="896" t="s">
        <v>7</v>
      </c>
      <c r="J559" s="887">
        <v>34472118</v>
      </c>
      <c r="K559" s="1258"/>
      <c r="L559" s="1266"/>
      <c r="M559" s="1105"/>
      <c r="N559" s="858"/>
      <c r="O559" s="858"/>
      <c r="P559" s="858"/>
      <c r="Q559" s="888">
        <v>34472118</v>
      </c>
      <c r="R559" s="1119"/>
      <c r="S559" s="1033"/>
      <c r="T559" s="864" t="s">
        <v>1592</v>
      </c>
      <c r="U559" s="887">
        <v>34472118</v>
      </c>
      <c r="V559" s="898">
        <v>40554</v>
      </c>
      <c r="W559" s="887">
        <v>34472118</v>
      </c>
      <c r="X559" s="1258"/>
      <c r="Y559" s="1256"/>
      <c r="Z559" s="858"/>
      <c r="AA559" s="887">
        <v>0</v>
      </c>
      <c r="AB559" s="1224"/>
      <c r="AC559" s="858"/>
      <c r="AD559" s="1224"/>
      <c r="AE559" s="1119"/>
      <c r="AF559" s="1204"/>
      <c r="AG559" s="864"/>
      <c r="AH559" s="1104"/>
      <c r="AI559" s="1104"/>
    </row>
    <row r="560" spans="1:35" s="24" customFormat="1" ht="15" customHeight="1">
      <c r="A560" s="1204"/>
      <c r="B560" s="1204"/>
      <c r="C560" s="1204"/>
      <c r="D560" s="1204"/>
      <c r="E560" s="1204"/>
      <c r="F560" s="1204"/>
      <c r="G560" s="1204"/>
      <c r="H560" s="894">
        <v>6</v>
      </c>
      <c r="I560" s="864" t="s">
        <v>157</v>
      </c>
      <c r="J560" s="887">
        <v>12032741</v>
      </c>
      <c r="K560" s="888">
        <v>12032741</v>
      </c>
      <c r="L560" s="1266"/>
      <c r="M560" s="867">
        <v>41009</v>
      </c>
      <c r="N560" s="858"/>
      <c r="O560" s="858"/>
      <c r="P560" s="858"/>
      <c r="Q560" s="888">
        <v>12032576</v>
      </c>
      <c r="R560" s="1119"/>
      <c r="S560" s="1033"/>
      <c r="T560" s="864"/>
      <c r="U560" s="858">
        <v>0</v>
      </c>
      <c r="V560" s="864"/>
      <c r="W560" s="858"/>
      <c r="X560" s="858"/>
      <c r="Y560" s="858"/>
      <c r="Z560" s="858"/>
      <c r="AA560" s="887">
        <v>12032741</v>
      </c>
      <c r="AB560" s="1224"/>
      <c r="AC560" s="858"/>
      <c r="AD560" s="1224"/>
      <c r="AE560" s="1119"/>
      <c r="AF560" s="1204"/>
      <c r="AG560" s="864"/>
      <c r="AH560" s="1104"/>
      <c r="AI560" s="1104"/>
    </row>
    <row r="561" spans="1:35" s="24" customFormat="1" ht="15" customHeight="1">
      <c r="A561" s="1204"/>
      <c r="B561" s="1204"/>
      <c r="C561" s="1204"/>
      <c r="D561" s="1204"/>
      <c r="E561" s="1204"/>
      <c r="F561" s="1204"/>
      <c r="G561" s="1204"/>
      <c r="H561" s="876">
        <v>4</v>
      </c>
      <c r="I561" s="864" t="s">
        <v>157</v>
      </c>
      <c r="J561" s="858">
        <v>126543582</v>
      </c>
      <c r="K561" s="888">
        <v>126543582</v>
      </c>
      <c r="L561" s="1267"/>
      <c r="M561" s="855">
        <v>40921</v>
      </c>
      <c r="N561" s="858"/>
      <c r="O561" s="858"/>
      <c r="P561" s="858"/>
      <c r="Q561" s="888">
        <v>126543582</v>
      </c>
      <c r="R561" s="1119"/>
      <c r="S561" s="1012"/>
      <c r="T561" s="840" t="s">
        <v>2715</v>
      </c>
      <c r="U561" s="866">
        <v>12847482</v>
      </c>
      <c r="V561" s="855">
        <v>43096</v>
      </c>
      <c r="W561" s="866"/>
      <c r="X561" s="866"/>
      <c r="Y561" s="866"/>
      <c r="Z561" s="866"/>
      <c r="AA561" s="887">
        <v>126543582</v>
      </c>
      <c r="AB561" s="1224"/>
      <c r="AC561" s="858"/>
      <c r="AD561" s="1224"/>
      <c r="AE561" s="1119"/>
      <c r="AF561" s="1204"/>
      <c r="AG561" s="864"/>
      <c r="AH561" s="1105"/>
      <c r="AI561" s="1105"/>
    </row>
    <row r="562" spans="1:35" ht="15" customHeight="1">
      <c r="A562" s="1076" t="s">
        <v>707</v>
      </c>
      <c r="B562" s="1076" t="s">
        <v>709</v>
      </c>
      <c r="C562" s="1076" t="s">
        <v>70</v>
      </c>
      <c r="D562" s="1076" t="s">
        <v>177</v>
      </c>
      <c r="E562" s="1076" t="s">
        <v>66</v>
      </c>
      <c r="F562" s="1076" t="s">
        <v>49</v>
      </c>
      <c r="G562" s="1076" t="s">
        <v>718</v>
      </c>
      <c r="H562" s="1251">
        <v>3</v>
      </c>
      <c r="I562" s="1123" t="s">
        <v>129</v>
      </c>
      <c r="J562" s="1119">
        <v>17813162</v>
      </c>
      <c r="K562" s="1119">
        <v>17813162</v>
      </c>
      <c r="L562" s="1119">
        <v>218803979</v>
      </c>
      <c r="M562" s="1171">
        <v>40686</v>
      </c>
      <c r="N562" s="1196">
        <v>17813162</v>
      </c>
      <c r="O562" s="1119">
        <v>17813162</v>
      </c>
      <c r="P562" s="1119">
        <v>0</v>
      </c>
      <c r="Q562" s="1119">
        <v>17813162</v>
      </c>
      <c r="R562" s="1119">
        <v>216186582</v>
      </c>
      <c r="S562" s="1076" t="s">
        <v>710</v>
      </c>
      <c r="T562" s="840" t="s">
        <v>711</v>
      </c>
      <c r="U562" s="866">
        <v>7125265</v>
      </c>
      <c r="V562" s="855">
        <v>40494</v>
      </c>
      <c r="W562" s="866" t="s">
        <v>129</v>
      </c>
      <c r="X562" s="1084">
        <v>16031701.539999999</v>
      </c>
      <c r="Y562" s="1084">
        <v>155419547.53999999</v>
      </c>
      <c r="Z562" s="827">
        <v>-0.19999999925494194</v>
      </c>
      <c r="AA562" s="1084">
        <v>1781460.4600000009</v>
      </c>
      <c r="AB562" s="1119">
        <v>-1177835.5399999991</v>
      </c>
      <c r="AC562" s="1119">
        <v>0</v>
      </c>
      <c r="AD562" s="1119">
        <v>1781460.4600000009</v>
      </c>
      <c r="AE562" s="1119"/>
      <c r="AF562" s="1203" t="s">
        <v>719</v>
      </c>
      <c r="AG562" s="1204" t="s">
        <v>773</v>
      </c>
      <c r="AH562" s="1204" t="s">
        <v>194</v>
      </c>
      <c r="AI562" s="1204" t="s">
        <v>558</v>
      </c>
    </row>
    <row r="563" spans="1:35" ht="15" customHeight="1">
      <c r="A563" s="1076"/>
      <c r="B563" s="1076"/>
      <c r="C563" s="1076"/>
      <c r="D563" s="1076"/>
      <c r="E563" s="1076"/>
      <c r="F563" s="1076"/>
      <c r="G563" s="1076"/>
      <c r="H563" s="1251"/>
      <c r="I563" s="1123"/>
      <c r="J563" s="1119"/>
      <c r="K563" s="1119"/>
      <c r="L563" s="1119"/>
      <c r="M563" s="1171"/>
      <c r="N563" s="1196"/>
      <c r="O563" s="1119"/>
      <c r="P563" s="1119"/>
      <c r="Q563" s="1119"/>
      <c r="R563" s="1119"/>
      <c r="S563" s="1076"/>
      <c r="T563" s="840" t="s">
        <v>716</v>
      </c>
      <c r="U563" s="866">
        <v>8906436.5399999991</v>
      </c>
      <c r="V563" s="855">
        <v>40913</v>
      </c>
      <c r="W563" s="866" t="s">
        <v>129</v>
      </c>
      <c r="X563" s="1084"/>
      <c r="Y563" s="1084"/>
      <c r="Z563" s="827">
        <v>0.54000000096857548</v>
      </c>
      <c r="AA563" s="1084"/>
      <c r="AB563" s="1119"/>
      <c r="AC563" s="1119"/>
      <c r="AD563" s="1119"/>
      <c r="AE563" s="1119"/>
      <c r="AF563" s="1203"/>
      <c r="AG563" s="1204"/>
      <c r="AH563" s="1204"/>
      <c r="AI563" s="1204"/>
    </row>
    <row r="564" spans="1:35" ht="15" customHeight="1">
      <c r="A564" s="1076"/>
      <c r="B564" s="1076"/>
      <c r="C564" s="1076"/>
      <c r="D564" s="1076"/>
      <c r="E564" s="1076"/>
      <c r="F564" s="1076"/>
      <c r="G564" s="1076"/>
      <c r="H564" s="1251">
        <v>156</v>
      </c>
      <c r="I564" s="840" t="s">
        <v>7</v>
      </c>
      <c r="J564" s="858">
        <v>4682489</v>
      </c>
      <c r="K564" s="1119">
        <v>12428492</v>
      </c>
      <c r="L564" s="1119"/>
      <c r="M564" s="1171">
        <v>40686</v>
      </c>
      <c r="N564" s="1196">
        <v>12428492</v>
      </c>
      <c r="O564" s="858">
        <v>4682489</v>
      </c>
      <c r="P564" s="858">
        <v>0</v>
      </c>
      <c r="Q564" s="858">
        <v>4682489</v>
      </c>
      <c r="R564" s="1119"/>
      <c r="S564" s="1076"/>
      <c r="T564" s="1123" t="s">
        <v>712</v>
      </c>
      <c r="U564" s="866">
        <v>3098401</v>
      </c>
      <c r="V564" s="1171">
        <v>40717</v>
      </c>
      <c r="W564" s="866" t="s">
        <v>137</v>
      </c>
      <c r="X564" s="1084">
        <v>11185543</v>
      </c>
      <c r="Y564" s="1084"/>
      <c r="Z564" s="827">
        <v>0.20000000018626451</v>
      </c>
      <c r="AA564" s="827">
        <v>2809493</v>
      </c>
      <c r="AB564" s="1119">
        <v>-838438</v>
      </c>
      <c r="AC564" s="1119">
        <v>0</v>
      </c>
      <c r="AD564" s="1119">
        <v>0</v>
      </c>
      <c r="AE564" s="1119"/>
      <c r="AF564" s="1203"/>
      <c r="AG564" s="1204"/>
      <c r="AH564" s="1204"/>
      <c r="AI564" s="1204"/>
    </row>
    <row r="565" spans="1:35" ht="15" customHeight="1">
      <c r="A565" s="1076"/>
      <c r="B565" s="1076"/>
      <c r="C565" s="1076"/>
      <c r="D565" s="1076"/>
      <c r="E565" s="1076"/>
      <c r="F565" s="1076"/>
      <c r="G565" s="1076"/>
      <c r="H565" s="1251"/>
      <c r="I565" s="1123" t="s">
        <v>137</v>
      </c>
      <c r="J565" s="1119">
        <v>7746003</v>
      </c>
      <c r="K565" s="1119"/>
      <c r="L565" s="1119"/>
      <c r="M565" s="1171"/>
      <c r="N565" s="1196"/>
      <c r="O565" s="1119">
        <v>7746003</v>
      </c>
      <c r="P565" s="1119">
        <v>0</v>
      </c>
      <c r="Q565" s="1119">
        <v>7746003</v>
      </c>
      <c r="R565" s="1119"/>
      <c r="S565" s="1076"/>
      <c r="T565" s="1123"/>
      <c r="U565" s="866">
        <v>1872996</v>
      </c>
      <c r="V565" s="1171"/>
      <c r="W565" s="866" t="s">
        <v>7</v>
      </c>
      <c r="X565" s="1084"/>
      <c r="Y565" s="1084"/>
      <c r="Z565" s="827">
        <v>-0.39999999990686774</v>
      </c>
      <c r="AA565" s="1084">
        <v>-1566544</v>
      </c>
      <c r="AB565" s="1119"/>
      <c r="AC565" s="1119"/>
      <c r="AD565" s="1119"/>
      <c r="AE565" s="1119"/>
      <c r="AF565" s="1203"/>
      <c r="AG565" s="1204"/>
      <c r="AH565" s="1204"/>
      <c r="AI565" s="1204"/>
    </row>
    <row r="566" spans="1:35" ht="15" customHeight="1">
      <c r="A566" s="1076"/>
      <c r="B566" s="1076"/>
      <c r="C566" s="1076"/>
      <c r="D566" s="1076"/>
      <c r="E566" s="1076"/>
      <c r="F566" s="1076"/>
      <c r="G566" s="1076"/>
      <c r="H566" s="1251"/>
      <c r="I566" s="1123"/>
      <c r="J566" s="1119"/>
      <c r="K566" s="1119"/>
      <c r="L566" s="1119"/>
      <c r="M566" s="1171"/>
      <c r="N566" s="1196"/>
      <c r="O566" s="1119"/>
      <c r="P566" s="1119"/>
      <c r="Q566" s="1119"/>
      <c r="R566" s="1119"/>
      <c r="S566" s="1076"/>
      <c r="T566" s="1123" t="s">
        <v>716</v>
      </c>
      <c r="U566" s="866">
        <v>3872939</v>
      </c>
      <c r="V566" s="1171">
        <v>40913</v>
      </c>
      <c r="W566" s="866" t="s">
        <v>137</v>
      </c>
      <c r="X566" s="1084"/>
      <c r="Y566" s="1084"/>
      <c r="Z566" s="827">
        <v>0.12000000011175871</v>
      </c>
      <c r="AA566" s="1084"/>
      <c r="AB566" s="1119"/>
      <c r="AC566" s="1119"/>
      <c r="AD566" s="1119"/>
      <c r="AE566" s="1119"/>
      <c r="AF566" s="1203"/>
      <c r="AG566" s="1204"/>
      <c r="AH566" s="1204"/>
      <c r="AI566" s="1204"/>
    </row>
    <row r="567" spans="1:35" ht="15" customHeight="1">
      <c r="A567" s="1076"/>
      <c r="B567" s="1076"/>
      <c r="C567" s="1076"/>
      <c r="D567" s="1076"/>
      <c r="E567" s="1076"/>
      <c r="F567" s="1076"/>
      <c r="G567" s="1076"/>
      <c r="H567" s="1251"/>
      <c r="I567" s="1123"/>
      <c r="J567" s="1119"/>
      <c r="K567" s="1119"/>
      <c r="L567" s="1119"/>
      <c r="M567" s="1171"/>
      <c r="N567" s="1196"/>
      <c r="O567" s="1119"/>
      <c r="P567" s="1119"/>
      <c r="Q567" s="1119"/>
      <c r="R567" s="1119"/>
      <c r="S567" s="1076"/>
      <c r="T567" s="1123"/>
      <c r="U567" s="866">
        <v>2341207</v>
      </c>
      <c r="V567" s="1171"/>
      <c r="W567" s="866" t="s">
        <v>137</v>
      </c>
      <c r="X567" s="1084"/>
      <c r="Y567" s="1084"/>
      <c r="Z567" s="827">
        <v>-0.20000000018626451</v>
      </c>
      <c r="AA567" s="1084"/>
      <c r="AB567" s="1119"/>
      <c r="AC567" s="1119"/>
      <c r="AD567" s="1119"/>
      <c r="AE567" s="1119"/>
      <c r="AF567" s="1203"/>
      <c r="AG567" s="1204"/>
      <c r="AH567" s="1204"/>
      <c r="AI567" s="1204"/>
    </row>
    <row r="568" spans="1:35" ht="15" customHeight="1">
      <c r="A568" s="1076"/>
      <c r="B568" s="1076"/>
      <c r="C568" s="1076"/>
      <c r="D568" s="1076"/>
      <c r="E568" s="1076"/>
      <c r="F568" s="1076"/>
      <c r="G568" s="1076"/>
      <c r="H568" s="1251">
        <v>3</v>
      </c>
      <c r="I568" s="1123" t="s">
        <v>145</v>
      </c>
      <c r="J568" s="1119">
        <v>105336687</v>
      </c>
      <c r="K568" s="1119">
        <v>105336687</v>
      </c>
      <c r="L568" s="1119"/>
      <c r="M568" s="1171">
        <v>40686</v>
      </c>
      <c r="N568" s="1196">
        <v>105336687</v>
      </c>
      <c r="O568" s="1119">
        <v>105336687</v>
      </c>
      <c r="P568" s="1119">
        <v>0</v>
      </c>
      <c r="Q568" s="1119">
        <v>102719290</v>
      </c>
      <c r="R568" s="1119"/>
      <c r="S568" s="1076"/>
      <c r="T568" s="840" t="s">
        <v>713</v>
      </c>
      <c r="U568" s="866">
        <v>41087716</v>
      </c>
      <c r="V568" s="855">
        <v>40717</v>
      </c>
      <c r="W568" s="866" t="s">
        <v>145</v>
      </c>
      <c r="X568" s="1084">
        <v>92447606</v>
      </c>
      <c r="Y568" s="1084"/>
      <c r="Z568" s="827">
        <v>0</v>
      </c>
      <c r="AA568" s="1084">
        <v>12889081</v>
      </c>
      <c r="AB568" s="1119">
        <v>-6847789.299999997</v>
      </c>
      <c r="AC568" s="1119">
        <v>2617397</v>
      </c>
      <c r="AD568" s="1119">
        <v>10271684</v>
      </c>
      <c r="AE568" s="1119"/>
      <c r="AF568" s="1203"/>
      <c r="AG568" s="1204"/>
      <c r="AH568" s="1204"/>
      <c r="AI568" s="1204"/>
    </row>
    <row r="569" spans="1:35" ht="15" customHeight="1">
      <c r="A569" s="1076"/>
      <c r="B569" s="1076"/>
      <c r="C569" s="1076"/>
      <c r="D569" s="1076"/>
      <c r="E569" s="1076"/>
      <c r="F569" s="1076"/>
      <c r="G569" s="1076"/>
      <c r="H569" s="1251"/>
      <c r="I569" s="1123"/>
      <c r="J569" s="1119"/>
      <c r="K569" s="1119"/>
      <c r="L569" s="1119"/>
      <c r="M569" s="1171"/>
      <c r="N569" s="1196"/>
      <c r="O569" s="1119"/>
      <c r="P569" s="1119"/>
      <c r="Q569" s="1119"/>
      <c r="R569" s="1119"/>
      <c r="S569" s="1076"/>
      <c r="T569" s="840" t="s">
        <v>717</v>
      </c>
      <c r="U569" s="866">
        <v>51359890</v>
      </c>
      <c r="V569" s="855">
        <v>40911</v>
      </c>
      <c r="W569" s="866" t="s">
        <v>145</v>
      </c>
      <c r="X569" s="1084"/>
      <c r="Y569" s="1084"/>
      <c r="Z569" s="827">
        <v>-0.29999999701976776</v>
      </c>
      <c r="AA569" s="1084"/>
      <c r="AB569" s="1119"/>
      <c r="AC569" s="1119"/>
      <c r="AD569" s="1119"/>
      <c r="AE569" s="1119"/>
      <c r="AF569" s="1203"/>
      <c r="AG569" s="1204"/>
      <c r="AH569" s="1204"/>
      <c r="AI569" s="1204"/>
    </row>
    <row r="570" spans="1:35" ht="15" customHeight="1">
      <c r="A570" s="1076"/>
      <c r="B570" s="1076"/>
      <c r="C570" s="1076"/>
      <c r="D570" s="1076"/>
      <c r="E570" s="1076"/>
      <c r="F570" s="1076"/>
      <c r="G570" s="1076"/>
      <c r="H570" s="1251">
        <v>157</v>
      </c>
      <c r="I570" s="840" t="s">
        <v>7</v>
      </c>
      <c r="J570" s="858">
        <v>5819025</v>
      </c>
      <c r="K570" s="1119">
        <v>17831767</v>
      </c>
      <c r="L570" s="1119"/>
      <c r="M570" s="1171">
        <v>40686</v>
      </c>
      <c r="N570" s="1196">
        <v>17831767</v>
      </c>
      <c r="O570" s="858">
        <v>5819025</v>
      </c>
      <c r="P570" s="858">
        <v>0</v>
      </c>
      <c r="Q570" s="858">
        <v>5819025</v>
      </c>
      <c r="R570" s="1119"/>
      <c r="S570" s="1076"/>
      <c r="T570" s="1123" t="s">
        <v>714</v>
      </c>
      <c r="U570" s="866">
        <v>2383646</v>
      </c>
      <c r="V570" s="1171">
        <v>40717</v>
      </c>
      <c r="W570" s="866" t="s">
        <v>7</v>
      </c>
      <c r="X570" s="1084">
        <v>16066823</v>
      </c>
      <c r="Y570" s="1084"/>
      <c r="Z570" s="827">
        <v>0</v>
      </c>
      <c r="AA570" s="827">
        <v>3435379</v>
      </c>
      <c r="AB570" s="1119">
        <v>-1207017.17</v>
      </c>
      <c r="AC570" s="1119">
        <v>0</v>
      </c>
      <c r="AD570" s="1119">
        <v>1764944</v>
      </c>
      <c r="AE570" s="1119"/>
      <c r="AF570" s="1203"/>
      <c r="AG570" s="1204"/>
      <c r="AH570" s="1204"/>
      <c r="AI570" s="1204"/>
    </row>
    <row r="571" spans="1:35" ht="15" customHeight="1">
      <c r="A571" s="1076"/>
      <c r="B571" s="1076"/>
      <c r="C571" s="1076"/>
      <c r="D571" s="1076"/>
      <c r="E571" s="1076"/>
      <c r="F571" s="1076"/>
      <c r="G571" s="1076"/>
      <c r="H571" s="1251"/>
      <c r="I571" s="1123" t="s">
        <v>137</v>
      </c>
      <c r="J571" s="1119">
        <v>12012742</v>
      </c>
      <c r="K571" s="1119"/>
      <c r="L571" s="1119"/>
      <c r="M571" s="1171"/>
      <c r="N571" s="1196"/>
      <c r="O571" s="1119">
        <v>12012742</v>
      </c>
      <c r="P571" s="1119">
        <v>0</v>
      </c>
      <c r="Q571" s="1119">
        <v>12012742</v>
      </c>
      <c r="R571" s="1119"/>
      <c r="S571" s="1076"/>
      <c r="T571" s="1123"/>
      <c r="U571" s="866">
        <v>4767293</v>
      </c>
      <c r="V571" s="1171"/>
      <c r="W571" s="866" t="s">
        <v>137</v>
      </c>
      <c r="X571" s="1084"/>
      <c r="Y571" s="1084"/>
      <c r="Z571" s="827">
        <v>0</v>
      </c>
      <c r="AA571" s="1084">
        <v>-1670435</v>
      </c>
      <c r="AB571" s="1119"/>
      <c r="AC571" s="1119"/>
      <c r="AD571" s="1119"/>
      <c r="AE571" s="1119"/>
      <c r="AF571" s="1203"/>
      <c r="AG571" s="1204"/>
      <c r="AH571" s="1204"/>
      <c r="AI571" s="1204"/>
    </row>
    <row r="572" spans="1:35" ht="15" customHeight="1">
      <c r="A572" s="1076"/>
      <c r="B572" s="1076"/>
      <c r="C572" s="1076"/>
      <c r="D572" s="1076"/>
      <c r="E572" s="1076"/>
      <c r="F572" s="1076"/>
      <c r="G572" s="1076"/>
      <c r="H572" s="1251"/>
      <c r="I572" s="1123"/>
      <c r="J572" s="1119"/>
      <c r="K572" s="1119"/>
      <c r="L572" s="1119"/>
      <c r="M572" s="1171"/>
      <c r="N572" s="1196"/>
      <c r="O572" s="1119"/>
      <c r="P572" s="1119"/>
      <c r="Q572" s="1119"/>
      <c r="R572" s="1119"/>
      <c r="S572" s="1076"/>
      <c r="T572" s="1123" t="s">
        <v>715</v>
      </c>
      <c r="U572" s="866">
        <v>2909513</v>
      </c>
      <c r="V572" s="1171">
        <v>41031</v>
      </c>
      <c r="W572" s="866" t="s">
        <v>137</v>
      </c>
      <c r="X572" s="1084"/>
      <c r="Y572" s="1084"/>
      <c r="Z572" s="827">
        <v>-0.5</v>
      </c>
      <c r="AA572" s="1084"/>
      <c r="AB572" s="1119"/>
      <c r="AC572" s="1119"/>
      <c r="AD572" s="1119"/>
      <c r="AE572" s="1119"/>
      <c r="AF572" s="1203"/>
      <c r="AG572" s="1204"/>
      <c r="AH572" s="1204"/>
      <c r="AI572" s="1204"/>
    </row>
    <row r="573" spans="1:35" ht="15" customHeight="1">
      <c r="A573" s="1076"/>
      <c r="B573" s="1076"/>
      <c r="C573" s="1076"/>
      <c r="D573" s="1076"/>
      <c r="E573" s="1076"/>
      <c r="F573" s="1076"/>
      <c r="G573" s="1076"/>
      <c r="H573" s="1251"/>
      <c r="I573" s="1123"/>
      <c r="J573" s="1119"/>
      <c r="K573" s="1119"/>
      <c r="L573" s="1119"/>
      <c r="M573" s="1171"/>
      <c r="N573" s="1196"/>
      <c r="O573" s="1119"/>
      <c r="P573" s="1119"/>
      <c r="Q573" s="1119"/>
      <c r="R573" s="1119"/>
      <c r="S573" s="1076"/>
      <c r="T573" s="1123"/>
      <c r="U573" s="866">
        <v>6006371</v>
      </c>
      <c r="V573" s="1171"/>
      <c r="W573" s="866" t="s">
        <v>137</v>
      </c>
      <c r="X573" s="1084"/>
      <c r="Y573" s="1084"/>
      <c r="Z573" s="827">
        <v>0</v>
      </c>
      <c r="AA573" s="1084"/>
      <c r="AB573" s="1119"/>
      <c r="AC573" s="1119"/>
      <c r="AD573" s="1119"/>
      <c r="AE573" s="1119"/>
      <c r="AF573" s="1203"/>
      <c r="AG573" s="1204"/>
      <c r="AH573" s="1204"/>
      <c r="AI573" s="1204"/>
    </row>
    <row r="574" spans="1:35" ht="15" customHeight="1">
      <c r="A574" s="1076"/>
      <c r="B574" s="1076"/>
      <c r="C574" s="1076"/>
      <c r="D574" s="1076"/>
      <c r="E574" s="1076"/>
      <c r="F574" s="1076"/>
      <c r="G574" s="1076"/>
      <c r="H574" s="1251">
        <v>3</v>
      </c>
      <c r="I574" s="1123" t="s">
        <v>157</v>
      </c>
      <c r="J574" s="1119">
        <v>21895673</v>
      </c>
      <c r="K574" s="1119">
        <v>21895673</v>
      </c>
      <c r="L574" s="1119"/>
      <c r="M574" s="1171">
        <v>40686</v>
      </c>
      <c r="N574" s="1196">
        <v>21895673</v>
      </c>
      <c r="O574" s="1196">
        <v>21895673</v>
      </c>
      <c r="P574" s="1196">
        <v>0</v>
      </c>
      <c r="Q574" s="1119">
        <v>21895673</v>
      </c>
      <c r="R574" s="1119"/>
      <c r="S574" s="1076"/>
      <c r="T574" s="840" t="s">
        <v>714</v>
      </c>
      <c r="U574" s="866">
        <v>8740037</v>
      </c>
      <c r="V574" s="855">
        <v>40717</v>
      </c>
      <c r="W574" s="866" t="s">
        <v>157</v>
      </c>
      <c r="X574" s="1084">
        <v>19687874</v>
      </c>
      <c r="Y574" s="1084"/>
      <c r="Z574" s="827">
        <v>0</v>
      </c>
      <c r="AA574" s="1084">
        <v>2207799</v>
      </c>
      <c r="AB574" s="1119">
        <v>-1441479.8299999982</v>
      </c>
      <c r="AC574" s="1119">
        <v>0</v>
      </c>
      <c r="AD574" s="1119">
        <v>2207799</v>
      </c>
      <c r="AE574" s="1119"/>
      <c r="AF574" s="1203"/>
      <c r="AG574" s="1204"/>
      <c r="AH574" s="1204"/>
      <c r="AI574" s="1204"/>
    </row>
    <row r="575" spans="1:35" ht="15" customHeight="1">
      <c r="A575" s="1076"/>
      <c r="B575" s="1076"/>
      <c r="C575" s="1076"/>
      <c r="D575" s="1076"/>
      <c r="E575" s="1076"/>
      <c r="F575" s="1076"/>
      <c r="G575" s="1076"/>
      <c r="H575" s="1251"/>
      <c r="I575" s="1123"/>
      <c r="J575" s="1119"/>
      <c r="K575" s="1119"/>
      <c r="L575" s="1119"/>
      <c r="M575" s="1171"/>
      <c r="N575" s="1196"/>
      <c r="O575" s="1196"/>
      <c r="P575" s="1196"/>
      <c r="Q575" s="1119"/>
      <c r="R575" s="1119"/>
      <c r="S575" s="1076"/>
      <c r="T575" s="840" t="s">
        <v>715</v>
      </c>
      <c r="U575" s="866">
        <v>10947837</v>
      </c>
      <c r="V575" s="855">
        <v>41031</v>
      </c>
      <c r="W575" s="866" t="s">
        <v>157</v>
      </c>
      <c r="X575" s="1084"/>
      <c r="Y575" s="1084"/>
      <c r="Z575" s="827">
        <v>-0.49999999813735485</v>
      </c>
      <c r="AA575" s="1084"/>
      <c r="AB575" s="1119"/>
      <c r="AC575" s="1119"/>
      <c r="AD575" s="1119"/>
      <c r="AE575" s="1119"/>
      <c r="AF575" s="1203"/>
      <c r="AG575" s="1204"/>
      <c r="AH575" s="1204"/>
      <c r="AI575" s="1204"/>
    </row>
    <row r="576" spans="1:35" ht="15" customHeight="1">
      <c r="A576" s="1076"/>
      <c r="B576" s="1076"/>
      <c r="C576" s="1076"/>
      <c r="D576" s="1076"/>
      <c r="E576" s="1076" t="s">
        <v>171</v>
      </c>
      <c r="F576" s="1076"/>
      <c r="G576" s="1076"/>
      <c r="H576" s="879">
        <v>5</v>
      </c>
      <c r="I576" s="840" t="s">
        <v>157</v>
      </c>
      <c r="J576" s="858">
        <v>11086105</v>
      </c>
      <c r="K576" s="858">
        <v>11086105</v>
      </c>
      <c r="L576" s="1119"/>
      <c r="M576" s="855">
        <v>40921</v>
      </c>
      <c r="N576" s="862">
        <v>11086105</v>
      </c>
      <c r="O576" s="858">
        <v>11086105</v>
      </c>
      <c r="P576" s="858">
        <v>0</v>
      </c>
      <c r="Q576" s="858">
        <v>11086105</v>
      </c>
      <c r="R576" s="1119"/>
      <c r="S576" s="1076"/>
      <c r="T576" s="840"/>
      <c r="U576" s="866">
        <v>0</v>
      </c>
      <c r="V576" s="855"/>
      <c r="W576" s="866"/>
      <c r="X576" s="827"/>
      <c r="Y576" s="1084"/>
      <c r="Z576" s="827">
        <v>0</v>
      </c>
      <c r="AA576" s="827"/>
      <c r="AB576" s="858">
        <v>0</v>
      </c>
      <c r="AC576" s="827">
        <v>0</v>
      </c>
      <c r="AD576" s="858">
        <v>11086105</v>
      </c>
      <c r="AE576" s="858"/>
      <c r="AF576" s="1203"/>
      <c r="AG576" s="1204"/>
      <c r="AH576" s="1204"/>
      <c r="AI576" s="1204"/>
    </row>
    <row r="577" spans="1:36" ht="15" customHeight="1">
      <c r="A577" s="1076"/>
      <c r="B577" s="1076"/>
      <c r="C577" s="1076"/>
      <c r="D577" s="1076"/>
      <c r="E577" s="1076"/>
      <c r="F577" s="1076"/>
      <c r="G577" s="1076"/>
      <c r="H577" s="879">
        <v>237</v>
      </c>
      <c r="I577" s="840" t="s">
        <v>7</v>
      </c>
      <c r="J577" s="858">
        <v>7390178</v>
      </c>
      <c r="K577" s="858">
        <v>7390178</v>
      </c>
      <c r="L577" s="1119"/>
      <c r="M577" s="855">
        <v>40906</v>
      </c>
      <c r="N577" s="862">
        <v>7390178</v>
      </c>
      <c r="O577" s="858">
        <v>7390178</v>
      </c>
      <c r="P577" s="858">
        <v>0</v>
      </c>
      <c r="Q577" s="858">
        <v>7390178</v>
      </c>
      <c r="R577" s="1119"/>
      <c r="S577" s="1076"/>
      <c r="T577" s="840"/>
      <c r="U577" s="866">
        <v>0</v>
      </c>
      <c r="V577" s="855"/>
      <c r="W577" s="866"/>
      <c r="X577" s="827"/>
      <c r="Y577" s="1084"/>
      <c r="Z577" s="827">
        <v>0</v>
      </c>
      <c r="AA577" s="827"/>
      <c r="AB577" s="858">
        <v>0</v>
      </c>
      <c r="AC577" s="858">
        <v>0</v>
      </c>
      <c r="AD577" s="858">
        <v>7390178</v>
      </c>
      <c r="AE577" s="858"/>
      <c r="AF577" s="1203"/>
      <c r="AG577" s="1204"/>
      <c r="AH577" s="1204"/>
      <c r="AI577" s="1204"/>
    </row>
    <row r="578" spans="1:36" ht="15" customHeight="1">
      <c r="A578" s="1076"/>
      <c r="B578" s="1076"/>
      <c r="C578" s="1076"/>
      <c r="D578" s="1076"/>
      <c r="E578" s="1076"/>
      <c r="F578" s="1076"/>
      <c r="G578" s="1076"/>
      <c r="H578" s="879">
        <v>234</v>
      </c>
      <c r="I578" s="840" t="s">
        <v>7</v>
      </c>
      <c r="J578" s="858">
        <v>25021915</v>
      </c>
      <c r="K578" s="858">
        <v>25021915</v>
      </c>
      <c r="L578" s="1119"/>
      <c r="M578" s="855">
        <v>40899</v>
      </c>
      <c r="N578" s="862">
        <v>25021915</v>
      </c>
      <c r="O578" s="858">
        <v>25021915</v>
      </c>
      <c r="P578" s="858">
        <v>0</v>
      </c>
      <c r="Q578" s="858">
        <v>25021915</v>
      </c>
      <c r="R578" s="1119"/>
      <c r="S578" s="1076"/>
      <c r="T578" s="840"/>
      <c r="U578" s="866">
        <v>0</v>
      </c>
      <c r="V578" s="855"/>
      <c r="W578" s="866"/>
      <c r="X578" s="827"/>
      <c r="Y578" s="1084"/>
      <c r="Z578" s="827">
        <v>0</v>
      </c>
      <c r="AA578" s="827"/>
      <c r="AB578" s="858">
        <v>0</v>
      </c>
      <c r="AC578" s="858">
        <v>0</v>
      </c>
      <c r="AD578" s="858">
        <v>25021915</v>
      </c>
      <c r="AE578" s="858"/>
      <c r="AF578" s="1203"/>
      <c r="AG578" s="1204"/>
      <c r="AH578" s="1204"/>
      <c r="AI578" s="1204"/>
    </row>
    <row r="579" spans="1:36" ht="15" customHeight="1">
      <c r="A579" s="1076" t="s">
        <v>720</v>
      </c>
      <c r="B579" s="1076" t="s">
        <v>721</v>
      </c>
      <c r="C579" s="1076" t="s">
        <v>70</v>
      </c>
      <c r="D579" s="1076" t="s">
        <v>177</v>
      </c>
      <c r="E579" s="1076" t="s">
        <v>66</v>
      </c>
      <c r="F579" s="1076" t="s">
        <v>50</v>
      </c>
      <c r="G579" s="1076" t="s">
        <v>725</v>
      </c>
      <c r="H579" s="1251">
        <v>223</v>
      </c>
      <c r="I579" s="1123" t="s">
        <v>137</v>
      </c>
      <c r="J579" s="1119">
        <v>66155932</v>
      </c>
      <c r="K579" s="1119">
        <v>66155932</v>
      </c>
      <c r="L579" s="1119">
        <v>155091415</v>
      </c>
      <c r="M579" s="1171">
        <v>40855</v>
      </c>
      <c r="N579" s="1196">
        <v>66155932</v>
      </c>
      <c r="O579" s="1119">
        <v>66155932</v>
      </c>
      <c r="P579" s="1119">
        <v>0</v>
      </c>
      <c r="Q579" s="1119">
        <v>66155932</v>
      </c>
      <c r="R579" s="1119">
        <v>154929600</v>
      </c>
      <c r="S579" s="1076" t="s">
        <v>722</v>
      </c>
      <c r="T579" s="840" t="s">
        <v>723</v>
      </c>
      <c r="U579" s="866">
        <v>26462373</v>
      </c>
      <c r="V579" s="855">
        <v>40910</v>
      </c>
      <c r="W579" s="866" t="s">
        <v>137</v>
      </c>
      <c r="X579" s="1084">
        <v>61436368.289999999</v>
      </c>
      <c r="Y579" s="1084">
        <v>143876923</v>
      </c>
      <c r="Z579" s="827">
        <v>-0.19999999925494194</v>
      </c>
      <c r="AA579" s="1084">
        <v>4719563.7100000009</v>
      </c>
      <c r="AB579" s="1119">
        <v>4101849.7800000012</v>
      </c>
      <c r="AC579" s="1119">
        <v>0</v>
      </c>
      <c r="AD579" s="1119">
        <v>617713.9299999997</v>
      </c>
      <c r="AE579" s="1119">
        <v>617713.9299999997</v>
      </c>
      <c r="AF579" s="1204" t="s">
        <v>728</v>
      </c>
      <c r="AG579" s="1204" t="s">
        <v>727</v>
      </c>
      <c r="AH579" s="1204" t="s">
        <v>194</v>
      </c>
      <c r="AI579" s="1204" t="s">
        <v>558</v>
      </c>
      <c r="AJ579" s="1202" t="s">
        <v>2476</v>
      </c>
    </row>
    <row r="580" spans="1:36" ht="15" customHeight="1">
      <c r="A580" s="1076"/>
      <c r="B580" s="1076"/>
      <c r="C580" s="1076"/>
      <c r="D580" s="1076"/>
      <c r="E580" s="1076"/>
      <c r="F580" s="1076"/>
      <c r="G580" s="1076"/>
      <c r="H580" s="1251"/>
      <c r="I580" s="1123"/>
      <c r="J580" s="1119"/>
      <c r="K580" s="1119"/>
      <c r="L580" s="1119"/>
      <c r="M580" s="1171"/>
      <c r="N580" s="1196"/>
      <c r="O580" s="1119"/>
      <c r="P580" s="1119"/>
      <c r="Q580" s="1119"/>
      <c r="R580" s="1119"/>
      <c r="S580" s="1076"/>
      <c r="T580" s="840" t="s">
        <v>724</v>
      </c>
      <c r="U580" s="866">
        <v>34973995.289999999</v>
      </c>
      <c r="V580" s="855">
        <v>41941</v>
      </c>
      <c r="W580" s="866" t="s">
        <v>137</v>
      </c>
      <c r="X580" s="1084"/>
      <c r="Y580" s="1084"/>
      <c r="Z580" s="827">
        <v>0</v>
      </c>
      <c r="AA580" s="1084"/>
      <c r="AB580" s="1119"/>
      <c r="AC580" s="1119"/>
      <c r="AD580" s="1119"/>
      <c r="AE580" s="1119"/>
      <c r="AF580" s="1204"/>
      <c r="AG580" s="1204"/>
      <c r="AH580" s="1204"/>
      <c r="AI580" s="1204"/>
      <c r="AJ580" s="1202"/>
    </row>
    <row r="581" spans="1:36" ht="15" customHeight="1">
      <c r="A581" s="1076"/>
      <c r="B581" s="1076"/>
      <c r="C581" s="1076"/>
      <c r="D581" s="1076"/>
      <c r="E581" s="1076"/>
      <c r="F581" s="1076"/>
      <c r="G581" s="1076"/>
      <c r="H581" s="1251"/>
      <c r="I581" s="1123"/>
      <c r="J581" s="1119"/>
      <c r="K581" s="1119"/>
      <c r="L581" s="1119"/>
      <c r="M581" s="1171"/>
      <c r="N581" s="1196"/>
      <c r="O581" s="1119"/>
      <c r="P581" s="1119"/>
      <c r="Q581" s="1119"/>
      <c r="R581" s="1119"/>
      <c r="S581" s="1076"/>
      <c r="T581" s="840" t="s">
        <v>726</v>
      </c>
      <c r="U581" s="866">
        <v>0</v>
      </c>
      <c r="V581" s="855"/>
      <c r="W581" s="866" t="s">
        <v>137</v>
      </c>
      <c r="X581" s="1084"/>
      <c r="Y581" s="1084"/>
      <c r="Z581" s="827">
        <v>4101850.2</v>
      </c>
      <c r="AA581" s="1084"/>
      <c r="AB581" s="1119"/>
      <c r="AC581" s="1119"/>
      <c r="AD581" s="1119"/>
      <c r="AE581" s="1119"/>
      <c r="AF581" s="1204"/>
      <c r="AG581" s="1204"/>
      <c r="AH581" s="1204"/>
      <c r="AI581" s="1204"/>
      <c r="AJ581" s="1202"/>
    </row>
    <row r="582" spans="1:36" ht="15" customHeight="1">
      <c r="A582" s="1076"/>
      <c r="B582" s="1076"/>
      <c r="C582" s="1076"/>
      <c r="D582" s="1076"/>
      <c r="E582" s="1076"/>
      <c r="F582" s="1076"/>
      <c r="G582" s="1076"/>
      <c r="H582" s="1251">
        <v>2</v>
      </c>
      <c r="I582" s="1123" t="s">
        <v>161</v>
      </c>
      <c r="J582" s="1119">
        <v>88935483</v>
      </c>
      <c r="K582" s="1119">
        <v>88935483</v>
      </c>
      <c r="L582" s="1119"/>
      <c r="M582" s="1171">
        <v>40855</v>
      </c>
      <c r="N582" s="1119">
        <v>88935483</v>
      </c>
      <c r="O582" s="1119">
        <v>88935483</v>
      </c>
      <c r="P582" s="1119">
        <v>0</v>
      </c>
      <c r="Q582" s="1119">
        <v>88773668</v>
      </c>
      <c r="R582" s="1119"/>
      <c r="S582" s="1076"/>
      <c r="T582" s="840" t="s">
        <v>723</v>
      </c>
      <c r="U582" s="866">
        <v>35509467</v>
      </c>
      <c r="V582" s="855">
        <v>40910</v>
      </c>
      <c r="W582" s="866" t="s">
        <v>161</v>
      </c>
      <c r="X582" s="1084">
        <v>82440554.710000008</v>
      </c>
      <c r="Y582" s="1084"/>
      <c r="Z582" s="827">
        <v>0.20000000298023224</v>
      </c>
      <c r="AA582" s="1084">
        <v>6494928.2899999991</v>
      </c>
      <c r="AB582" s="1119">
        <v>5386038.2199999839</v>
      </c>
      <c r="AC582" s="1119">
        <v>161815</v>
      </c>
      <c r="AD582" s="1119">
        <v>947075.07000000775</v>
      </c>
      <c r="AE582" s="1119">
        <v>1108890.0700000077</v>
      </c>
      <c r="AF582" s="1204"/>
      <c r="AG582" s="1204"/>
      <c r="AH582" s="1204"/>
      <c r="AI582" s="1204"/>
      <c r="AJ582" s="1202"/>
    </row>
    <row r="583" spans="1:36" ht="15" customHeight="1">
      <c r="A583" s="1076"/>
      <c r="B583" s="1076"/>
      <c r="C583" s="1076"/>
      <c r="D583" s="1076"/>
      <c r="E583" s="1076"/>
      <c r="F583" s="1076"/>
      <c r="G583" s="1076"/>
      <c r="H583" s="1251"/>
      <c r="I583" s="1123"/>
      <c r="J583" s="1119"/>
      <c r="K583" s="1119"/>
      <c r="L583" s="1119"/>
      <c r="M583" s="1171"/>
      <c r="N583" s="1119"/>
      <c r="O583" s="1119"/>
      <c r="P583" s="1119"/>
      <c r="Q583" s="1119"/>
      <c r="R583" s="1119"/>
      <c r="S583" s="1076"/>
      <c r="T583" s="840" t="s">
        <v>724</v>
      </c>
      <c r="U583" s="866">
        <v>46931087.710000001</v>
      </c>
      <c r="V583" s="855">
        <v>41941</v>
      </c>
      <c r="W583" s="866" t="s">
        <v>161</v>
      </c>
      <c r="X583" s="1084"/>
      <c r="Y583" s="1084"/>
      <c r="Z583" s="827">
        <v>0</v>
      </c>
      <c r="AA583" s="1084"/>
      <c r="AB583" s="1119"/>
      <c r="AC583" s="1119"/>
      <c r="AD583" s="1119"/>
      <c r="AE583" s="1119"/>
      <c r="AF583" s="1204"/>
      <c r="AG583" s="1204"/>
      <c r="AH583" s="1204"/>
      <c r="AI583" s="1204"/>
      <c r="AJ583" s="1202"/>
    </row>
    <row r="584" spans="1:36" ht="15" customHeight="1">
      <c r="A584" s="1076"/>
      <c r="B584" s="1076"/>
      <c r="C584" s="1076"/>
      <c r="D584" s="1076"/>
      <c r="E584" s="1076"/>
      <c r="F584" s="1076"/>
      <c r="G584" s="1076"/>
      <c r="H584" s="1251"/>
      <c r="I584" s="1123"/>
      <c r="J584" s="1119"/>
      <c r="K584" s="1119"/>
      <c r="L584" s="1119"/>
      <c r="M584" s="1171"/>
      <c r="N584" s="1119"/>
      <c r="O584" s="1119"/>
      <c r="P584" s="1119"/>
      <c r="Q584" s="1119"/>
      <c r="R584" s="1119"/>
      <c r="S584" s="1076"/>
      <c r="T584" s="840" t="s">
        <v>726</v>
      </c>
      <c r="U584" s="866">
        <v>0</v>
      </c>
      <c r="V584" s="855"/>
      <c r="W584" s="866" t="s">
        <v>161</v>
      </c>
      <c r="X584" s="1084"/>
      <c r="Y584" s="1084"/>
      <c r="Z584" s="827">
        <v>5386037.7999999989</v>
      </c>
      <c r="AA584" s="1084"/>
      <c r="AB584" s="1119"/>
      <c r="AC584" s="1119"/>
      <c r="AD584" s="1119"/>
      <c r="AE584" s="1119"/>
      <c r="AF584" s="1204"/>
      <c r="AG584" s="1204"/>
      <c r="AH584" s="1204"/>
      <c r="AI584" s="1204"/>
      <c r="AJ584" s="1202"/>
    </row>
    <row r="585" spans="1:36" ht="15" customHeight="1">
      <c r="A585" s="1076" t="s">
        <v>729</v>
      </c>
      <c r="B585" s="1076" t="s">
        <v>731</v>
      </c>
      <c r="C585" s="1076" t="s">
        <v>70</v>
      </c>
      <c r="D585" s="1076" t="s">
        <v>177</v>
      </c>
      <c r="E585" s="1076" t="s">
        <v>66</v>
      </c>
      <c r="F585" s="1076" t="s">
        <v>183</v>
      </c>
      <c r="G585" s="1076" t="s">
        <v>736</v>
      </c>
      <c r="H585" s="1251">
        <v>175</v>
      </c>
      <c r="I585" s="1123" t="s">
        <v>137</v>
      </c>
      <c r="J585" s="1119">
        <v>12074159</v>
      </c>
      <c r="K585" s="1119">
        <v>145333633</v>
      </c>
      <c r="L585" s="1119">
        <v>145333633</v>
      </c>
      <c r="M585" s="1171">
        <v>40750</v>
      </c>
      <c r="N585" s="1196">
        <v>145333633</v>
      </c>
      <c r="O585" s="1119">
        <v>12074159</v>
      </c>
      <c r="P585" s="1119">
        <v>0</v>
      </c>
      <c r="Q585" s="1119">
        <v>12074159</v>
      </c>
      <c r="R585" s="1119">
        <v>145333632</v>
      </c>
      <c r="S585" s="1076" t="s">
        <v>732</v>
      </c>
      <c r="T585" s="1123" t="s">
        <v>733</v>
      </c>
      <c r="U585" s="866">
        <v>4829663.2</v>
      </c>
      <c r="V585" s="1171">
        <v>40781</v>
      </c>
      <c r="W585" s="866" t="s">
        <v>137</v>
      </c>
      <c r="X585" s="1084">
        <v>145333632</v>
      </c>
      <c r="Y585" s="1084">
        <v>145333632</v>
      </c>
      <c r="Z585" s="827">
        <v>0</v>
      </c>
      <c r="AA585" s="1084">
        <v>-79955683.200000003</v>
      </c>
      <c r="AB585" s="1119">
        <v>0</v>
      </c>
      <c r="AC585" s="1119">
        <v>1</v>
      </c>
      <c r="AD585" s="1119">
        <v>0</v>
      </c>
      <c r="AE585" s="1119">
        <v>1</v>
      </c>
      <c r="AF585" s="1204" t="s">
        <v>523</v>
      </c>
      <c r="AG585" s="1204" t="s">
        <v>783</v>
      </c>
      <c r="AH585" s="1204" t="s">
        <v>194</v>
      </c>
      <c r="AI585" s="1204" t="s">
        <v>558</v>
      </c>
    </row>
    <row r="586" spans="1:36" ht="15" customHeight="1">
      <c r="A586" s="1076"/>
      <c r="B586" s="1076"/>
      <c r="C586" s="1076"/>
      <c r="D586" s="1076"/>
      <c r="E586" s="1076"/>
      <c r="F586" s="1076"/>
      <c r="G586" s="1076"/>
      <c r="H586" s="1251"/>
      <c r="I586" s="1123"/>
      <c r="J586" s="1119"/>
      <c r="K586" s="1119"/>
      <c r="L586" s="1119"/>
      <c r="M586" s="1171"/>
      <c r="N586" s="1196"/>
      <c r="O586" s="1119"/>
      <c r="P586" s="1119"/>
      <c r="Q586" s="1119"/>
      <c r="R586" s="1119"/>
      <c r="S586" s="1076"/>
      <c r="T586" s="1123"/>
      <c r="U586" s="866">
        <v>53303789.799999997</v>
      </c>
      <c r="V586" s="1171"/>
      <c r="W586" s="866" t="s">
        <v>7</v>
      </c>
      <c r="X586" s="1084"/>
      <c r="Y586" s="1084"/>
      <c r="Z586" s="827">
        <v>0</v>
      </c>
      <c r="AA586" s="1084"/>
      <c r="AB586" s="1119"/>
      <c r="AC586" s="1119"/>
      <c r="AD586" s="1119"/>
      <c r="AE586" s="1119"/>
      <c r="AF586" s="1204"/>
      <c r="AG586" s="1204"/>
      <c r="AH586" s="1204"/>
      <c r="AI586" s="1204"/>
    </row>
    <row r="587" spans="1:36" ht="15" customHeight="1">
      <c r="A587" s="1076"/>
      <c r="B587" s="1076"/>
      <c r="C587" s="1076"/>
      <c r="D587" s="1076"/>
      <c r="E587" s="1076"/>
      <c r="F587" s="1076"/>
      <c r="G587" s="1076"/>
      <c r="H587" s="1251"/>
      <c r="I587" s="1123"/>
      <c r="J587" s="1119"/>
      <c r="K587" s="1119"/>
      <c r="L587" s="1119"/>
      <c r="M587" s="1171"/>
      <c r="N587" s="1196"/>
      <c r="O587" s="1119"/>
      <c r="P587" s="1119"/>
      <c r="Q587" s="1119"/>
      <c r="R587" s="1119"/>
      <c r="S587" s="1076"/>
      <c r="T587" s="1123" t="s">
        <v>734</v>
      </c>
      <c r="U587" s="866">
        <v>6338932.8399999999</v>
      </c>
      <c r="V587" s="1171">
        <v>40911</v>
      </c>
      <c r="W587" s="866" t="s">
        <v>137</v>
      </c>
      <c r="X587" s="1084"/>
      <c r="Y587" s="1084"/>
      <c r="Z587" s="827">
        <v>0.16000000014901161</v>
      </c>
      <c r="AA587" s="1084"/>
      <c r="AB587" s="1119"/>
      <c r="AC587" s="1119"/>
      <c r="AD587" s="1119"/>
      <c r="AE587" s="1119"/>
      <c r="AF587" s="1204"/>
      <c r="AG587" s="1204"/>
      <c r="AH587" s="1204"/>
      <c r="AI587" s="1204"/>
    </row>
    <row r="588" spans="1:36" ht="15" customHeight="1">
      <c r="A588" s="1076"/>
      <c r="B588" s="1076"/>
      <c r="C588" s="1076"/>
      <c r="D588" s="1076"/>
      <c r="E588" s="1076"/>
      <c r="F588" s="1076"/>
      <c r="G588" s="1076"/>
      <c r="H588" s="1251"/>
      <c r="I588" s="1123" t="s">
        <v>7</v>
      </c>
      <c r="J588" s="1119">
        <v>133259474</v>
      </c>
      <c r="K588" s="1119"/>
      <c r="L588" s="1119"/>
      <c r="M588" s="1171"/>
      <c r="N588" s="1196"/>
      <c r="O588" s="1119">
        <v>133259474</v>
      </c>
      <c r="P588" s="1119">
        <v>0</v>
      </c>
      <c r="Q588" s="1119">
        <v>133259473</v>
      </c>
      <c r="R588" s="1119"/>
      <c r="S588" s="1076"/>
      <c r="T588" s="1123"/>
      <c r="U588" s="866">
        <v>69961224.159999996</v>
      </c>
      <c r="V588" s="1171"/>
      <c r="W588" s="866" t="s">
        <v>137</v>
      </c>
      <c r="X588" s="1084"/>
      <c r="Y588" s="1084"/>
      <c r="Z588" s="827">
        <v>-0.15999999642372131</v>
      </c>
      <c r="AA588" s="1084">
        <v>79955683.200000003</v>
      </c>
      <c r="AB588" s="1119"/>
      <c r="AC588" s="1119"/>
      <c r="AD588" s="1119"/>
      <c r="AE588" s="1119"/>
      <c r="AF588" s="1204"/>
      <c r="AG588" s="1204"/>
      <c r="AH588" s="1204"/>
      <c r="AI588" s="1204"/>
    </row>
    <row r="589" spans="1:36" ht="15" customHeight="1">
      <c r="A589" s="1076"/>
      <c r="B589" s="1076"/>
      <c r="C589" s="1076"/>
      <c r="D589" s="1076"/>
      <c r="E589" s="1076"/>
      <c r="F589" s="1076"/>
      <c r="G589" s="1076"/>
      <c r="H589" s="1251"/>
      <c r="I589" s="1123"/>
      <c r="J589" s="1119"/>
      <c r="K589" s="1119"/>
      <c r="L589" s="1119"/>
      <c r="M589" s="1171"/>
      <c r="N589" s="1196"/>
      <c r="O589" s="1119"/>
      <c r="P589" s="1119"/>
      <c r="Q589" s="1119"/>
      <c r="R589" s="1119"/>
      <c r="S589" s="1076"/>
      <c r="T589" s="1123" t="s">
        <v>735</v>
      </c>
      <c r="U589" s="866">
        <v>905561.8</v>
      </c>
      <c r="V589" s="1171">
        <v>41789</v>
      </c>
      <c r="W589" s="866" t="s">
        <v>137</v>
      </c>
      <c r="X589" s="1084"/>
      <c r="Y589" s="1084"/>
      <c r="Z589" s="827">
        <v>0</v>
      </c>
      <c r="AA589" s="1084"/>
      <c r="AB589" s="1119"/>
      <c r="AC589" s="1119"/>
      <c r="AD589" s="1119"/>
      <c r="AE589" s="1119"/>
      <c r="AF589" s="1204"/>
      <c r="AG589" s="1204"/>
      <c r="AH589" s="1204"/>
      <c r="AI589" s="1204"/>
    </row>
    <row r="590" spans="1:36" ht="15" customHeight="1">
      <c r="A590" s="1076"/>
      <c r="B590" s="1076"/>
      <c r="C590" s="1076"/>
      <c r="D590" s="1076"/>
      <c r="E590" s="1076"/>
      <c r="F590" s="1076"/>
      <c r="G590" s="1076"/>
      <c r="H590" s="1251"/>
      <c r="I590" s="1123"/>
      <c r="J590" s="1119"/>
      <c r="K590" s="1119"/>
      <c r="L590" s="1119"/>
      <c r="M590" s="1171"/>
      <c r="N590" s="1196"/>
      <c r="O590" s="1119"/>
      <c r="P590" s="1119"/>
      <c r="Q590" s="1119"/>
      <c r="R590" s="1119"/>
      <c r="S590" s="1076"/>
      <c r="T590" s="1123"/>
      <c r="U590" s="866">
        <v>9994460.1999999993</v>
      </c>
      <c r="V590" s="1171"/>
      <c r="W590" s="866" t="s">
        <v>137</v>
      </c>
      <c r="X590" s="1084"/>
      <c r="Y590" s="1084"/>
      <c r="Z590" s="827">
        <v>0</v>
      </c>
      <c r="AA590" s="1084"/>
      <c r="AB590" s="1119"/>
      <c r="AC590" s="1119"/>
      <c r="AD590" s="1119"/>
      <c r="AE590" s="1119"/>
      <c r="AF590" s="1204"/>
      <c r="AG590" s="1204"/>
      <c r="AH590" s="1204"/>
      <c r="AI590" s="1204"/>
    </row>
    <row r="591" spans="1:36" ht="15" customHeight="1">
      <c r="A591" s="1076" t="s">
        <v>737</v>
      </c>
      <c r="B591" s="1076" t="s">
        <v>739</v>
      </c>
      <c r="C591" s="1076" t="s">
        <v>70</v>
      </c>
      <c r="D591" s="1076" t="s">
        <v>177</v>
      </c>
      <c r="E591" s="1076" t="s">
        <v>66</v>
      </c>
      <c r="F591" s="1076" t="s">
        <v>49</v>
      </c>
      <c r="G591" s="1076" t="s">
        <v>747</v>
      </c>
      <c r="H591" s="1251">
        <v>124</v>
      </c>
      <c r="I591" s="1123" t="s">
        <v>7</v>
      </c>
      <c r="J591" s="1119">
        <v>231269200</v>
      </c>
      <c r="K591" s="1119">
        <v>231269200</v>
      </c>
      <c r="L591" s="1119">
        <v>231269200</v>
      </c>
      <c r="M591" s="1171">
        <v>40570</v>
      </c>
      <c r="N591" s="1196">
        <v>231269200</v>
      </c>
      <c r="O591" s="1196">
        <v>231269200</v>
      </c>
      <c r="P591" s="1196">
        <v>0</v>
      </c>
      <c r="Q591" s="1119">
        <v>231269200</v>
      </c>
      <c r="R591" s="1119">
        <v>231269200</v>
      </c>
      <c r="S591" s="1076" t="s">
        <v>740</v>
      </c>
      <c r="T591" s="840" t="s">
        <v>741</v>
      </c>
      <c r="U591" s="866">
        <v>92507680</v>
      </c>
      <c r="V591" s="855">
        <v>40583</v>
      </c>
      <c r="W591" s="866" t="s">
        <v>7</v>
      </c>
      <c r="X591" s="1084">
        <v>217393048</v>
      </c>
      <c r="Y591" s="1084">
        <v>217393048</v>
      </c>
      <c r="Z591" s="827">
        <v>0</v>
      </c>
      <c r="AA591" s="1084">
        <v>13876152</v>
      </c>
      <c r="AB591" s="1119">
        <v>-770768</v>
      </c>
      <c r="AC591" s="1119">
        <v>0</v>
      </c>
      <c r="AD591" s="1119">
        <v>13876152</v>
      </c>
      <c r="AE591" s="1119"/>
      <c r="AF591" s="1249" t="s">
        <v>746</v>
      </c>
      <c r="AG591" s="1248" t="s">
        <v>748</v>
      </c>
      <c r="AH591" s="1249" t="s">
        <v>194</v>
      </c>
      <c r="AI591" s="1249" t="s">
        <v>558</v>
      </c>
    </row>
    <row r="592" spans="1:36" ht="15" customHeight="1">
      <c r="A592" s="1076"/>
      <c r="B592" s="1076"/>
      <c r="C592" s="1076"/>
      <c r="D592" s="1076"/>
      <c r="E592" s="1076"/>
      <c r="F592" s="1076"/>
      <c r="G592" s="1076"/>
      <c r="H592" s="1251"/>
      <c r="I592" s="1123"/>
      <c r="J592" s="1119"/>
      <c r="K592" s="1119"/>
      <c r="L592" s="1119"/>
      <c r="M592" s="1171"/>
      <c r="N592" s="1196"/>
      <c r="O592" s="1196"/>
      <c r="P592" s="1196"/>
      <c r="Q592" s="1119"/>
      <c r="R592" s="1119"/>
      <c r="S592" s="1076"/>
      <c r="T592" s="840" t="s">
        <v>742</v>
      </c>
      <c r="U592" s="866">
        <v>34690380</v>
      </c>
      <c r="V592" s="855">
        <v>40676</v>
      </c>
      <c r="W592" s="866" t="s">
        <v>7</v>
      </c>
      <c r="X592" s="1084"/>
      <c r="Y592" s="1084"/>
      <c r="Z592" s="827">
        <v>0</v>
      </c>
      <c r="AA592" s="1084"/>
      <c r="AB592" s="1119"/>
      <c r="AC592" s="1119"/>
      <c r="AD592" s="1119"/>
      <c r="AE592" s="1119"/>
      <c r="AF592" s="1249"/>
      <c r="AG592" s="1249"/>
      <c r="AH592" s="1249"/>
      <c r="AI592" s="1249"/>
    </row>
    <row r="593" spans="1:36" ht="15" customHeight="1">
      <c r="A593" s="1076"/>
      <c r="B593" s="1076"/>
      <c r="C593" s="1076"/>
      <c r="D593" s="1076"/>
      <c r="E593" s="1076"/>
      <c r="F593" s="1076"/>
      <c r="G593" s="1076"/>
      <c r="H593" s="1251"/>
      <c r="I593" s="1123"/>
      <c r="J593" s="1119"/>
      <c r="K593" s="1119"/>
      <c r="L593" s="1119"/>
      <c r="M593" s="1171"/>
      <c r="N593" s="1196"/>
      <c r="O593" s="1196"/>
      <c r="P593" s="1196"/>
      <c r="Q593" s="1119"/>
      <c r="R593" s="1119"/>
      <c r="S593" s="1076"/>
      <c r="T593" s="840" t="s">
        <v>743</v>
      </c>
      <c r="U593" s="866">
        <v>34690380</v>
      </c>
      <c r="V593" s="855">
        <v>40732</v>
      </c>
      <c r="W593" s="866" t="s">
        <v>7</v>
      </c>
      <c r="X593" s="1084"/>
      <c r="Y593" s="1084"/>
      <c r="Z593" s="827">
        <v>0</v>
      </c>
      <c r="AA593" s="1084"/>
      <c r="AB593" s="1119"/>
      <c r="AC593" s="1119"/>
      <c r="AD593" s="1119"/>
      <c r="AE593" s="1119"/>
      <c r="AF593" s="1249"/>
      <c r="AG593" s="1249"/>
      <c r="AH593" s="1249"/>
      <c r="AI593" s="1249"/>
    </row>
    <row r="594" spans="1:36" ht="15" customHeight="1">
      <c r="A594" s="1076"/>
      <c r="B594" s="1076"/>
      <c r="C594" s="1076"/>
      <c r="D594" s="1076"/>
      <c r="E594" s="1076"/>
      <c r="F594" s="1076"/>
      <c r="G594" s="1076"/>
      <c r="H594" s="1251"/>
      <c r="I594" s="1123"/>
      <c r="J594" s="1119"/>
      <c r="K594" s="1119"/>
      <c r="L594" s="1119"/>
      <c r="M594" s="1171"/>
      <c r="N594" s="1196"/>
      <c r="O594" s="1196"/>
      <c r="P594" s="1196"/>
      <c r="Q594" s="1119"/>
      <c r="R594" s="1119"/>
      <c r="S594" s="1076"/>
      <c r="T594" s="840" t="s">
        <v>744</v>
      </c>
      <c r="U594" s="866">
        <v>34690380</v>
      </c>
      <c r="V594" s="855">
        <v>40815</v>
      </c>
      <c r="W594" s="866" t="s">
        <v>7</v>
      </c>
      <c r="X594" s="1084"/>
      <c r="Y594" s="1084"/>
      <c r="Z594" s="827">
        <v>0</v>
      </c>
      <c r="AA594" s="1084"/>
      <c r="AB594" s="1119"/>
      <c r="AC594" s="1119"/>
      <c r="AD594" s="1119"/>
      <c r="AE594" s="1119"/>
      <c r="AF594" s="1249"/>
      <c r="AG594" s="1249"/>
      <c r="AH594" s="1249"/>
      <c r="AI594" s="1249"/>
    </row>
    <row r="595" spans="1:36" ht="15" customHeight="1">
      <c r="A595" s="1076"/>
      <c r="B595" s="1076"/>
      <c r="C595" s="1076"/>
      <c r="D595" s="1076"/>
      <c r="E595" s="1076"/>
      <c r="F595" s="1076"/>
      <c r="G595" s="1076"/>
      <c r="H595" s="1251"/>
      <c r="I595" s="1123"/>
      <c r="J595" s="1119"/>
      <c r="K595" s="1119"/>
      <c r="L595" s="1119"/>
      <c r="M595" s="1171"/>
      <c r="N595" s="1196"/>
      <c r="O595" s="1196"/>
      <c r="P595" s="1196"/>
      <c r="Q595" s="1119"/>
      <c r="R595" s="1119"/>
      <c r="S595" s="1076"/>
      <c r="T595" s="840" t="s">
        <v>745</v>
      </c>
      <c r="U595" s="866">
        <v>20814228</v>
      </c>
      <c r="V595" s="855">
        <v>40875</v>
      </c>
      <c r="W595" s="866" t="s">
        <v>7</v>
      </c>
      <c r="X595" s="1084"/>
      <c r="Y595" s="1084"/>
      <c r="Z595" s="827">
        <v>0</v>
      </c>
      <c r="AA595" s="1084"/>
      <c r="AB595" s="1119"/>
      <c r="AC595" s="1119"/>
      <c r="AD595" s="1119"/>
      <c r="AE595" s="1119"/>
      <c r="AF595" s="1249"/>
      <c r="AG595" s="1249"/>
      <c r="AH595" s="1249"/>
      <c r="AI595" s="1249"/>
    </row>
    <row r="596" spans="1:36" ht="15" customHeight="1">
      <c r="A596" s="1076"/>
      <c r="B596" s="1076"/>
      <c r="C596" s="1076"/>
      <c r="D596" s="1076"/>
      <c r="E596" s="1076"/>
      <c r="F596" s="1076"/>
      <c r="G596" s="1076"/>
      <c r="H596" s="1251"/>
      <c r="I596" s="1123"/>
      <c r="J596" s="1119"/>
      <c r="K596" s="1119"/>
      <c r="L596" s="1119"/>
      <c r="M596" s="1171"/>
      <c r="N596" s="1196"/>
      <c r="O596" s="1196"/>
      <c r="P596" s="1196"/>
      <c r="Q596" s="1119"/>
      <c r="R596" s="1119"/>
      <c r="S596" s="1076"/>
      <c r="T596" s="840"/>
      <c r="U596" s="866"/>
      <c r="V596" s="855"/>
      <c r="W596" s="866"/>
      <c r="X596" s="1084"/>
      <c r="Y596" s="1084"/>
      <c r="Z596" s="827">
        <v>0</v>
      </c>
      <c r="AA596" s="1084"/>
      <c r="AB596" s="1119"/>
      <c r="AC596" s="1119"/>
      <c r="AD596" s="1119"/>
      <c r="AE596" s="1119"/>
      <c r="AF596" s="1249"/>
      <c r="AG596" s="1249"/>
      <c r="AH596" s="1249"/>
      <c r="AI596" s="1249"/>
    </row>
    <row r="597" spans="1:36" s="954" customFormat="1" ht="15" customHeight="1">
      <c r="A597" s="1426" t="s">
        <v>2112</v>
      </c>
      <c r="B597" s="1426" t="s">
        <v>2110</v>
      </c>
      <c r="C597" s="1426" t="s">
        <v>72</v>
      </c>
      <c r="D597" s="1426" t="s">
        <v>206</v>
      </c>
      <c r="E597" s="1426" t="s">
        <v>66</v>
      </c>
      <c r="F597" s="1426" t="s">
        <v>183</v>
      </c>
      <c r="G597" s="1426" t="s">
        <v>2109</v>
      </c>
      <c r="H597" s="1418">
        <v>143</v>
      </c>
      <c r="I597" s="1420" t="s">
        <v>7</v>
      </c>
      <c r="J597" s="1415">
        <v>96222000</v>
      </c>
      <c r="K597" s="1415">
        <v>96222000</v>
      </c>
      <c r="L597" s="1415">
        <v>96222000</v>
      </c>
      <c r="M597" s="1423">
        <v>40647</v>
      </c>
      <c r="N597" s="1433">
        <v>96222000</v>
      </c>
      <c r="O597" s="1433">
        <v>96222000</v>
      </c>
      <c r="P597" s="1433">
        <v>0</v>
      </c>
      <c r="Q597" s="1409">
        <v>96222000</v>
      </c>
      <c r="R597" s="1409">
        <v>96222000</v>
      </c>
      <c r="S597" s="1426" t="s">
        <v>2108</v>
      </c>
      <c r="T597" s="947" t="s">
        <v>2107</v>
      </c>
      <c r="U597" s="938">
        <v>38488800</v>
      </c>
      <c r="V597" s="945">
        <v>40690</v>
      </c>
      <c r="W597" s="964" t="s">
        <v>7</v>
      </c>
      <c r="X597" s="1409">
        <v>96222000</v>
      </c>
      <c r="Y597" s="1409">
        <v>96222000</v>
      </c>
      <c r="Z597" s="939">
        <v>0</v>
      </c>
      <c r="AA597" s="1409">
        <v>0</v>
      </c>
      <c r="AB597" s="1415">
        <v>0</v>
      </c>
      <c r="AC597" s="1415">
        <v>0</v>
      </c>
      <c r="AD597" s="1415">
        <v>0</v>
      </c>
      <c r="AE597" s="1415">
        <v>0</v>
      </c>
      <c r="AF597" s="1429" t="s">
        <v>2106</v>
      </c>
      <c r="AG597" s="1431" t="s">
        <v>2105</v>
      </c>
      <c r="AH597" s="1431" t="s">
        <v>194</v>
      </c>
      <c r="AI597" s="1431" t="s">
        <v>1911</v>
      </c>
    </row>
    <row r="598" spans="1:36" s="954" customFormat="1" ht="15" customHeight="1">
      <c r="A598" s="1427"/>
      <c r="B598" s="1427"/>
      <c r="C598" s="1427"/>
      <c r="D598" s="1427"/>
      <c r="E598" s="1427"/>
      <c r="F598" s="1427"/>
      <c r="G598" s="1427"/>
      <c r="H598" s="1428"/>
      <c r="I598" s="1422"/>
      <c r="J598" s="1417"/>
      <c r="K598" s="1417"/>
      <c r="L598" s="1417"/>
      <c r="M598" s="1425"/>
      <c r="N598" s="1434"/>
      <c r="O598" s="1434"/>
      <c r="P598" s="1434"/>
      <c r="Q598" s="1411"/>
      <c r="R598" s="1411"/>
      <c r="S598" s="1427"/>
      <c r="T598" s="947" t="s">
        <v>2104</v>
      </c>
      <c r="U598" s="938">
        <v>57733200</v>
      </c>
      <c r="V598" s="945">
        <v>43095</v>
      </c>
      <c r="W598" s="964" t="s">
        <v>7</v>
      </c>
      <c r="X598" s="1411"/>
      <c r="Y598" s="1411"/>
      <c r="Z598" s="939">
        <v>0</v>
      </c>
      <c r="AA598" s="1411"/>
      <c r="AB598" s="1417"/>
      <c r="AC598" s="1417"/>
      <c r="AD598" s="1417"/>
      <c r="AE598" s="1417"/>
      <c r="AF598" s="1430"/>
      <c r="AG598" s="1432"/>
      <c r="AH598" s="1432"/>
      <c r="AI598" s="1432"/>
    </row>
    <row r="599" spans="1:36" ht="15" customHeight="1">
      <c r="A599" s="1076" t="s">
        <v>749</v>
      </c>
      <c r="B599" s="1076" t="s">
        <v>750</v>
      </c>
      <c r="C599" s="1076" t="s">
        <v>72</v>
      </c>
      <c r="D599" s="1076" t="s">
        <v>177</v>
      </c>
      <c r="E599" s="1076" t="s">
        <v>66</v>
      </c>
      <c r="F599" s="1076" t="s">
        <v>50</v>
      </c>
      <c r="G599" s="1076" t="s">
        <v>753</v>
      </c>
      <c r="H599" s="1251">
        <v>144</v>
      </c>
      <c r="I599" s="1123" t="s">
        <v>7</v>
      </c>
      <c r="J599" s="1119">
        <v>57362000</v>
      </c>
      <c r="K599" s="1119">
        <v>57362000</v>
      </c>
      <c r="L599" s="1119">
        <v>86043000</v>
      </c>
      <c r="M599" s="1171">
        <v>40647</v>
      </c>
      <c r="N599" s="1196">
        <v>57362000</v>
      </c>
      <c r="O599" s="1119">
        <v>57362000</v>
      </c>
      <c r="P599" s="1119">
        <v>0</v>
      </c>
      <c r="Q599" s="1119">
        <v>57362000</v>
      </c>
      <c r="R599" s="1119">
        <v>86043000</v>
      </c>
      <c r="S599" s="1076" t="s">
        <v>751</v>
      </c>
      <c r="T599" s="840" t="s">
        <v>752</v>
      </c>
      <c r="U599" s="866">
        <v>22944800</v>
      </c>
      <c r="V599" s="855">
        <v>40690</v>
      </c>
      <c r="W599" s="866" t="s">
        <v>7</v>
      </c>
      <c r="X599" s="1084">
        <v>47036840</v>
      </c>
      <c r="Y599" s="1084">
        <v>67113540</v>
      </c>
      <c r="Z599" s="827">
        <v>0</v>
      </c>
      <c r="AA599" s="1084">
        <v>0</v>
      </c>
      <c r="AB599" s="1119">
        <v>10325160</v>
      </c>
      <c r="AC599" s="1119">
        <v>0</v>
      </c>
      <c r="AD599" s="1119">
        <v>0</v>
      </c>
      <c r="AE599" s="1119">
        <v>0</v>
      </c>
      <c r="AF599" s="1203" t="s">
        <v>757</v>
      </c>
      <c r="AG599" s="1203" t="s">
        <v>1702</v>
      </c>
      <c r="AH599" s="1203" t="s">
        <v>194</v>
      </c>
      <c r="AI599" s="1203" t="s">
        <v>558</v>
      </c>
      <c r="AJ599" s="1074" t="s">
        <v>2500</v>
      </c>
    </row>
    <row r="600" spans="1:36" ht="15" customHeight="1">
      <c r="A600" s="1076"/>
      <c r="B600" s="1076"/>
      <c r="C600" s="1076"/>
      <c r="D600" s="1076"/>
      <c r="E600" s="1076"/>
      <c r="F600" s="1076"/>
      <c r="G600" s="1076"/>
      <c r="H600" s="1251"/>
      <c r="I600" s="1123"/>
      <c r="J600" s="1119"/>
      <c r="K600" s="1119"/>
      <c r="L600" s="1119"/>
      <c r="M600" s="1171"/>
      <c r="N600" s="1196"/>
      <c r="O600" s="1119"/>
      <c r="P600" s="1119"/>
      <c r="Q600" s="1119"/>
      <c r="R600" s="1119"/>
      <c r="S600" s="1076"/>
      <c r="T600" s="840" t="s">
        <v>754</v>
      </c>
      <c r="U600" s="866">
        <v>24092040</v>
      </c>
      <c r="V600" s="855">
        <v>41554</v>
      </c>
      <c r="W600" s="866" t="s">
        <v>7</v>
      </c>
      <c r="X600" s="1084"/>
      <c r="Y600" s="1084"/>
      <c r="Z600" s="827">
        <v>0</v>
      </c>
      <c r="AA600" s="1084"/>
      <c r="AB600" s="1119"/>
      <c r="AC600" s="1119"/>
      <c r="AD600" s="1119"/>
      <c r="AE600" s="1119"/>
      <c r="AF600" s="1203"/>
      <c r="AG600" s="1203"/>
      <c r="AH600" s="1203"/>
      <c r="AI600" s="1203"/>
      <c r="AJ600" s="1074"/>
    </row>
    <row r="601" spans="1:36" ht="15" customHeight="1">
      <c r="A601" s="1076"/>
      <c r="B601" s="1076"/>
      <c r="C601" s="1076"/>
      <c r="D601" s="1076"/>
      <c r="E601" s="1076"/>
      <c r="F601" s="1076"/>
      <c r="G601" s="1076"/>
      <c r="H601" s="1251"/>
      <c r="I601" s="1123"/>
      <c r="J601" s="1119"/>
      <c r="K601" s="1119"/>
      <c r="L601" s="1119"/>
      <c r="M601" s="1171"/>
      <c r="N601" s="1196"/>
      <c r="O601" s="1119"/>
      <c r="P601" s="1119"/>
      <c r="Q601" s="1119"/>
      <c r="R601" s="1119"/>
      <c r="S601" s="1076"/>
      <c r="T601" s="840" t="s">
        <v>756</v>
      </c>
      <c r="U601" s="866">
        <v>10325160</v>
      </c>
      <c r="V601" s="855">
        <v>43026</v>
      </c>
      <c r="W601" s="866"/>
      <c r="X601" s="1084"/>
      <c r="Y601" s="1084"/>
      <c r="Z601" s="827">
        <v>10325160</v>
      </c>
      <c r="AA601" s="1084"/>
      <c r="AB601" s="1119"/>
      <c r="AC601" s="1119"/>
      <c r="AD601" s="1119"/>
      <c r="AE601" s="1119"/>
      <c r="AF601" s="1203"/>
      <c r="AG601" s="1203"/>
      <c r="AH601" s="1203"/>
      <c r="AI601" s="1203"/>
      <c r="AJ601" s="1074"/>
    </row>
    <row r="602" spans="1:36" ht="15" customHeight="1">
      <c r="A602" s="1076"/>
      <c r="B602" s="1076"/>
      <c r="C602" s="1076"/>
      <c r="D602" s="1076"/>
      <c r="E602" s="1076" t="s">
        <v>171</v>
      </c>
      <c r="F602" s="1076"/>
      <c r="G602" s="1076"/>
      <c r="H602" s="1251">
        <v>174</v>
      </c>
      <c r="I602" s="1123" t="s">
        <v>7</v>
      </c>
      <c r="J602" s="1119">
        <v>28681000</v>
      </c>
      <c r="K602" s="1119">
        <v>28681000</v>
      </c>
      <c r="L602" s="1119"/>
      <c r="M602" s="1171"/>
      <c r="N602" s="1196"/>
      <c r="O602" s="1119"/>
      <c r="P602" s="1119"/>
      <c r="Q602" s="1119">
        <v>28681000</v>
      </c>
      <c r="R602" s="1119"/>
      <c r="S602" s="1076"/>
      <c r="T602" s="840" t="s">
        <v>755</v>
      </c>
      <c r="U602" s="866">
        <v>20076700</v>
      </c>
      <c r="V602" s="855">
        <v>41554</v>
      </c>
      <c r="W602" s="866" t="s">
        <v>7</v>
      </c>
      <c r="X602" s="1084">
        <v>20076700</v>
      </c>
      <c r="Y602" s="1084"/>
      <c r="Z602" s="827">
        <v>0</v>
      </c>
      <c r="AA602" s="1084">
        <v>0</v>
      </c>
      <c r="AB602" s="1119">
        <v>8604300</v>
      </c>
      <c r="AC602" s="1119">
        <v>0</v>
      </c>
      <c r="AD602" s="1119">
        <v>0</v>
      </c>
      <c r="AE602" s="1119">
        <v>0</v>
      </c>
      <c r="AF602" s="1203"/>
      <c r="AG602" s="1203"/>
      <c r="AH602" s="1203"/>
      <c r="AI602" s="1203"/>
      <c r="AJ602" s="1074"/>
    </row>
    <row r="603" spans="1:36" ht="15" customHeight="1">
      <c r="A603" s="1076"/>
      <c r="B603" s="1076"/>
      <c r="C603" s="1076"/>
      <c r="D603" s="1076"/>
      <c r="E603" s="1076"/>
      <c r="F603" s="1076"/>
      <c r="G603" s="1076"/>
      <c r="H603" s="1251"/>
      <c r="I603" s="1123"/>
      <c r="J603" s="1119"/>
      <c r="K603" s="1119"/>
      <c r="L603" s="1119"/>
      <c r="M603" s="1171"/>
      <c r="N603" s="1196"/>
      <c r="O603" s="1119"/>
      <c r="P603" s="1119"/>
      <c r="Q603" s="1119"/>
      <c r="R603" s="1119"/>
      <c r="S603" s="1076"/>
      <c r="T603" s="840" t="s">
        <v>756</v>
      </c>
      <c r="U603" s="866">
        <v>0</v>
      </c>
      <c r="V603" s="855"/>
      <c r="W603" s="866"/>
      <c r="X603" s="1084"/>
      <c r="Y603" s="1084"/>
      <c r="Z603" s="827">
        <v>8604300</v>
      </c>
      <c r="AA603" s="1084"/>
      <c r="AB603" s="1119"/>
      <c r="AC603" s="1119"/>
      <c r="AD603" s="1119"/>
      <c r="AE603" s="1119"/>
      <c r="AF603" s="1203"/>
      <c r="AG603" s="1203"/>
      <c r="AH603" s="1203"/>
      <c r="AI603" s="1203"/>
      <c r="AJ603" s="1074"/>
    </row>
    <row r="604" spans="1:36" s="940" customFormat="1" ht="15" customHeight="1">
      <c r="A604" s="1011" t="s">
        <v>2113</v>
      </c>
      <c r="B604" s="1011" t="s">
        <v>2119</v>
      </c>
      <c r="C604" s="1011" t="s">
        <v>72</v>
      </c>
      <c r="D604" s="1011" t="s">
        <v>206</v>
      </c>
      <c r="E604" s="1011" t="s">
        <v>66</v>
      </c>
      <c r="F604" s="1011" t="s">
        <v>49</v>
      </c>
      <c r="G604" s="1011" t="s">
        <v>2118</v>
      </c>
      <c r="H604" s="1418">
        <v>166</v>
      </c>
      <c r="I604" s="1420" t="s">
        <v>7</v>
      </c>
      <c r="J604" s="1415">
        <v>188642825</v>
      </c>
      <c r="K604" s="1415">
        <v>188642825</v>
      </c>
      <c r="L604" s="1062">
        <v>282950825</v>
      </c>
      <c r="M604" s="1423">
        <v>40701</v>
      </c>
      <c r="N604" s="1412">
        <v>188642825</v>
      </c>
      <c r="O604" s="1412">
        <v>188642825</v>
      </c>
      <c r="P604" s="1412">
        <v>0</v>
      </c>
      <c r="Q604" s="1415">
        <v>188642825</v>
      </c>
      <c r="R604" s="1062">
        <v>282950825</v>
      </c>
      <c r="S604" s="1011"/>
      <c r="T604" s="947" t="s">
        <v>2117</v>
      </c>
      <c r="U604" s="938">
        <v>75457130</v>
      </c>
      <c r="V604" s="945">
        <v>40736</v>
      </c>
      <c r="W604" s="947" t="s">
        <v>7</v>
      </c>
      <c r="X604" s="1409">
        <v>188642825</v>
      </c>
      <c r="Y604" s="1043">
        <v>235794142.5</v>
      </c>
      <c r="Z604" s="939">
        <v>0</v>
      </c>
      <c r="AA604" s="1409">
        <v>0</v>
      </c>
      <c r="AB604" s="1043">
        <v>0</v>
      </c>
      <c r="AC604" s="1409">
        <v>0</v>
      </c>
      <c r="AD604" s="1409">
        <v>0</v>
      </c>
      <c r="AE604" s="1409"/>
      <c r="AF604" s="1023"/>
      <c r="AG604" s="1023" t="s">
        <v>2116</v>
      </c>
      <c r="AH604" s="1023" t="s">
        <v>195</v>
      </c>
      <c r="AI604" s="1023" t="s">
        <v>1911</v>
      </c>
    </row>
    <row r="605" spans="1:36" s="940" customFormat="1" ht="15" customHeight="1">
      <c r="A605" s="1033"/>
      <c r="B605" s="1033"/>
      <c r="C605" s="1033"/>
      <c r="D605" s="1033"/>
      <c r="E605" s="1033"/>
      <c r="F605" s="1033"/>
      <c r="G605" s="1033"/>
      <c r="H605" s="1419"/>
      <c r="I605" s="1421"/>
      <c r="J605" s="1416"/>
      <c r="K605" s="1416"/>
      <c r="L605" s="1063"/>
      <c r="M605" s="1424"/>
      <c r="N605" s="1413"/>
      <c r="O605" s="1413"/>
      <c r="P605" s="1413"/>
      <c r="Q605" s="1416"/>
      <c r="R605" s="1063"/>
      <c r="S605" s="1033"/>
      <c r="T605" s="947" t="s">
        <v>2115</v>
      </c>
      <c r="U605" s="938">
        <v>73570701.75</v>
      </c>
      <c r="V605" s="945">
        <v>41988</v>
      </c>
      <c r="W605" s="947" t="s">
        <v>7</v>
      </c>
      <c r="X605" s="1410"/>
      <c r="Y605" s="1044"/>
      <c r="Z605" s="939">
        <v>0</v>
      </c>
      <c r="AA605" s="1410"/>
      <c r="AB605" s="1044"/>
      <c r="AC605" s="1410"/>
      <c r="AD605" s="1410"/>
      <c r="AE605" s="1410"/>
      <c r="AF605" s="1124"/>
      <c r="AG605" s="1124"/>
      <c r="AH605" s="1124"/>
      <c r="AI605" s="1124"/>
    </row>
    <row r="606" spans="1:36" s="940" customFormat="1" ht="15" customHeight="1">
      <c r="A606" s="1033"/>
      <c r="B606" s="1033"/>
      <c r="C606" s="1033"/>
      <c r="D606" s="1033"/>
      <c r="E606" s="1033"/>
      <c r="F606" s="1033"/>
      <c r="G606" s="1033"/>
      <c r="H606" s="1419"/>
      <c r="I606" s="1422"/>
      <c r="J606" s="1417"/>
      <c r="K606" s="1417"/>
      <c r="L606" s="1063"/>
      <c r="M606" s="1425"/>
      <c r="N606" s="1414"/>
      <c r="O606" s="1414"/>
      <c r="P606" s="1414"/>
      <c r="Q606" s="1417"/>
      <c r="R606" s="1063"/>
      <c r="S606" s="1033"/>
      <c r="T606" s="947" t="s">
        <v>2114</v>
      </c>
      <c r="U606" s="938">
        <v>39614993.25</v>
      </c>
      <c r="V606" s="945">
        <v>43014</v>
      </c>
      <c r="W606" s="947" t="s">
        <v>7</v>
      </c>
      <c r="X606" s="1411"/>
      <c r="Y606" s="1044"/>
      <c r="Z606" s="939">
        <v>0</v>
      </c>
      <c r="AA606" s="1411"/>
      <c r="AB606" s="1044"/>
      <c r="AC606" s="1411"/>
      <c r="AD606" s="1411"/>
      <c r="AE606" s="1411"/>
      <c r="AF606" s="1124"/>
      <c r="AG606" s="1124"/>
      <c r="AH606" s="1124"/>
      <c r="AI606" s="1124"/>
    </row>
    <row r="607" spans="1:36" s="4" customFormat="1" ht="15" customHeight="1">
      <c r="A607" s="1033"/>
      <c r="B607" s="1033"/>
      <c r="C607" s="1033"/>
      <c r="D607" s="1033"/>
      <c r="E607" s="1033"/>
      <c r="F607" s="1033"/>
      <c r="G607" s="1033"/>
      <c r="H607" s="1009">
        <v>174</v>
      </c>
      <c r="I607" s="1021" t="s">
        <v>7</v>
      </c>
      <c r="J607" s="1062">
        <v>94308000</v>
      </c>
      <c r="K607" s="1062">
        <v>94308000</v>
      </c>
      <c r="L607" s="1063"/>
      <c r="M607" s="1068">
        <v>40701</v>
      </c>
      <c r="N607" s="1089">
        <v>94308000</v>
      </c>
      <c r="O607" s="1089">
        <v>94308000</v>
      </c>
      <c r="P607" s="1089">
        <v>0</v>
      </c>
      <c r="Q607" s="1062">
        <v>94308000</v>
      </c>
      <c r="R607" s="1063"/>
      <c r="S607" s="1033"/>
      <c r="T607" s="840" t="s">
        <v>2114</v>
      </c>
      <c r="U607" s="866">
        <v>47151317.5</v>
      </c>
      <c r="V607" s="855">
        <v>43014</v>
      </c>
      <c r="W607" s="842" t="s">
        <v>7</v>
      </c>
      <c r="X607" s="1043">
        <v>47151317.5</v>
      </c>
      <c r="Y607" s="1044"/>
      <c r="Z607" s="827">
        <v>0</v>
      </c>
      <c r="AA607" s="1043">
        <v>47156682.5</v>
      </c>
      <c r="AB607" s="1044"/>
      <c r="AC607" s="1043">
        <v>0</v>
      </c>
      <c r="AD607" s="1043">
        <v>47156682.5</v>
      </c>
      <c r="AE607" s="1043"/>
      <c r="AF607" s="1124"/>
      <c r="AG607" s="1124"/>
      <c r="AH607" s="1124"/>
      <c r="AI607" s="1124"/>
    </row>
    <row r="608" spans="1:36" s="4" customFormat="1" ht="15" customHeight="1">
      <c r="A608" s="1012"/>
      <c r="B608" s="1012"/>
      <c r="C608" s="1012"/>
      <c r="D608" s="1012"/>
      <c r="E608" s="1012"/>
      <c r="F608" s="1012"/>
      <c r="G608" s="1012"/>
      <c r="H608" s="1010"/>
      <c r="I608" s="1038"/>
      <c r="J608" s="1064"/>
      <c r="K608" s="1064"/>
      <c r="L608" s="1064"/>
      <c r="M608" s="1070"/>
      <c r="N608" s="1091"/>
      <c r="O608" s="1091"/>
      <c r="P608" s="1091"/>
      <c r="Q608" s="1064"/>
      <c r="R608" s="1064"/>
      <c r="S608" s="1012"/>
      <c r="T608" s="840"/>
      <c r="U608" s="866"/>
      <c r="V608" s="855"/>
      <c r="W608" s="842"/>
      <c r="X608" s="1045"/>
      <c r="Y608" s="1045"/>
      <c r="Z608" s="827">
        <v>0</v>
      </c>
      <c r="AA608" s="1045"/>
      <c r="AB608" s="1045"/>
      <c r="AC608" s="1045"/>
      <c r="AD608" s="1045"/>
      <c r="AE608" s="1045"/>
      <c r="AF608" s="1024"/>
      <c r="AG608" s="1024"/>
      <c r="AH608" s="1024"/>
      <c r="AI608" s="1024"/>
    </row>
    <row r="609" spans="1:35" ht="15" customHeight="1">
      <c r="A609" s="1076" t="s">
        <v>758</v>
      </c>
      <c r="B609" s="1076" t="s">
        <v>760</v>
      </c>
      <c r="C609" s="1076" t="s">
        <v>72</v>
      </c>
      <c r="D609" s="1076" t="s">
        <v>177</v>
      </c>
      <c r="E609" s="1076" t="s">
        <v>66</v>
      </c>
      <c r="F609" s="1076" t="s">
        <v>49</v>
      </c>
      <c r="G609" s="1076" t="s">
        <v>763</v>
      </c>
      <c r="H609" s="1251">
        <v>149</v>
      </c>
      <c r="I609" s="1123" t="s">
        <v>7</v>
      </c>
      <c r="J609" s="1119">
        <v>39875000</v>
      </c>
      <c r="K609" s="1119">
        <v>39875000</v>
      </c>
      <c r="L609" s="1119">
        <v>39875000</v>
      </c>
      <c r="M609" s="1171">
        <v>40647</v>
      </c>
      <c r="N609" s="1196">
        <v>39875000</v>
      </c>
      <c r="O609" s="1119">
        <v>39875000</v>
      </c>
      <c r="P609" s="1119">
        <v>0</v>
      </c>
      <c r="Q609" s="1119">
        <v>39875000</v>
      </c>
      <c r="R609" s="1119">
        <v>39875000</v>
      </c>
      <c r="S609" s="1076" t="s">
        <v>761</v>
      </c>
      <c r="T609" s="840" t="s">
        <v>762</v>
      </c>
      <c r="U609" s="866">
        <v>15950000</v>
      </c>
      <c r="V609" s="855">
        <v>40694</v>
      </c>
      <c r="W609" s="866" t="s">
        <v>7</v>
      </c>
      <c r="X609" s="1084">
        <v>15950000</v>
      </c>
      <c r="Y609" s="1084">
        <v>15950000</v>
      </c>
      <c r="Z609" s="827">
        <v>0</v>
      </c>
      <c r="AA609" s="1084">
        <v>23925000</v>
      </c>
      <c r="AB609" s="1119">
        <v>-15950000</v>
      </c>
      <c r="AC609" s="1119">
        <v>0</v>
      </c>
      <c r="AD609" s="1119">
        <v>23925000</v>
      </c>
      <c r="AE609" s="1119"/>
      <c r="AF609" s="1203" t="s">
        <v>764</v>
      </c>
      <c r="AG609" s="1237" t="s">
        <v>765</v>
      </c>
      <c r="AH609" s="1204" t="s">
        <v>194</v>
      </c>
      <c r="AI609" s="1204" t="s">
        <v>558</v>
      </c>
    </row>
    <row r="610" spans="1:35" ht="15" customHeight="1">
      <c r="A610" s="1076"/>
      <c r="B610" s="1076"/>
      <c r="C610" s="1076"/>
      <c r="D610" s="1076"/>
      <c r="E610" s="1076"/>
      <c r="F610" s="1076"/>
      <c r="G610" s="1076"/>
      <c r="H610" s="1251"/>
      <c r="I610" s="1123"/>
      <c r="J610" s="1119"/>
      <c r="K610" s="1119"/>
      <c r="L610" s="1119"/>
      <c r="M610" s="1171"/>
      <c r="N610" s="1196"/>
      <c r="O610" s="1119"/>
      <c r="P610" s="1119"/>
      <c r="Q610" s="1119"/>
      <c r="R610" s="1119"/>
      <c r="S610" s="1076"/>
      <c r="T610" s="840"/>
      <c r="U610" s="866">
        <v>0</v>
      </c>
      <c r="V610" s="855"/>
      <c r="W610" s="866"/>
      <c r="X610" s="1084"/>
      <c r="Y610" s="1084"/>
      <c r="Z610" s="827">
        <v>0</v>
      </c>
      <c r="AA610" s="1084"/>
      <c r="AB610" s="1119"/>
      <c r="AC610" s="1119"/>
      <c r="AD610" s="1119"/>
      <c r="AE610" s="1119"/>
      <c r="AF610" s="1203"/>
      <c r="AG610" s="1204"/>
      <c r="AH610" s="1204"/>
      <c r="AI610" s="1204"/>
    </row>
    <row r="611" spans="1:35" ht="15" customHeight="1">
      <c r="A611" s="1076"/>
      <c r="B611" s="1076"/>
      <c r="C611" s="1076"/>
      <c r="D611" s="1076"/>
      <c r="E611" s="1076"/>
      <c r="F611" s="1076"/>
      <c r="G611" s="1076"/>
      <c r="H611" s="1251"/>
      <c r="I611" s="1123"/>
      <c r="J611" s="1119"/>
      <c r="K611" s="1119"/>
      <c r="L611" s="1119"/>
      <c r="M611" s="1171"/>
      <c r="N611" s="1196"/>
      <c r="O611" s="1119"/>
      <c r="P611" s="1119"/>
      <c r="Q611" s="1119"/>
      <c r="R611" s="1119"/>
      <c r="S611" s="1076"/>
      <c r="T611" s="840"/>
      <c r="U611" s="866">
        <v>0</v>
      </c>
      <c r="V611" s="855"/>
      <c r="W611" s="866"/>
      <c r="X611" s="1084"/>
      <c r="Y611" s="1084"/>
      <c r="Z611" s="827">
        <v>0</v>
      </c>
      <c r="AA611" s="1084"/>
      <c r="AB611" s="1119"/>
      <c r="AC611" s="1119"/>
      <c r="AD611" s="1119"/>
      <c r="AE611" s="1119"/>
      <c r="AF611" s="1203"/>
      <c r="AG611" s="1204"/>
      <c r="AH611" s="1204"/>
      <c r="AI611" s="1204"/>
    </row>
    <row r="612" spans="1:35" ht="15" customHeight="1">
      <c r="A612" s="1076" t="s">
        <v>813</v>
      </c>
      <c r="B612" s="1076" t="s">
        <v>815</v>
      </c>
      <c r="C612" s="1076" t="s">
        <v>72</v>
      </c>
      <c r="D612" s="1076" t="s">
        <v>177</v>
      </c>
      <c r="E612" s="1076" t="s">
        <v>66</v>
      </c>
      <c r="F612" s="1076" t="s">
        <v>49</v>
      </c>
      <c r="G612" s="1076" t="s">
        <v>763</v>
      </c>
      <c r="H612" s="1251">
        <v>141</v>
      </c>
      <c r="I612" s="1123" t="s">
        <v>7</v>
      </c>
      <c r="J612" s="1119">
        <v>40745000</v>
      </c>
      <c r="K612" s="1119">
        <v>40745000</v>
      </c>
      <c r="L612" s="1119">
        <v>40745000</v>
      </c>
      <c r="M612" s="1171">
        <v>40647</v>
      </c>
      <c r="N612" s="1196">
        <v>40745000</v>
      </c>
      <c r="O612" s="1196">
        <v>40745000</v>
      </c>
      <c r="P612" s="1196">
        <v>0</v>
      </c>
      <c r="Q612" s="1119">
        <v>40745000</v>
      </c>
      <c r="R612" s="1119">
        <v>40745000</v>
      </c>
      <c r="S612" s="1076" t="s">
        <v>816</v>
      </c>
      <c r="T612" s="1123" t="s">
        <v>818</v>
      </c>
      <c r="U612" s="866">
        <v>4691569</v>
      </c>
      <c r="V612" s="1171">
        <v>40694</v>
      </c>
      <c r="W612" s="866" t="s">
        <v>7</v>
      </c>
      <c r="X612" s="1084">
        <v>16298000</v>
      </c>
      <c r="Y612" s="1084">
        <v>16298000</v>
      </c>
      <c r="Z612" s="1084">
        <v>0</v>
      </c>
      <c r="AA612" s="1084">
        <v>24447000</v>
      </c>
      <c r="AB612" s="1119">
        <v>-16298000</v>
      </c>
      <c r="AC612" s="1119">
        <v>0</v>
      </c>
      <c r="AD612" s="1119">
        <v>24447000</v>
      </c>
      <c r="AE612" s="1119"/>
      <c r="AF612" s="1203" t="s">
        <v>817</v>
      </c>
      <c r="AG612" s="1204" t="s">
        <v>819</v>
      </c>
      <c r="AH612" s="1204" t="s">
        <v>194</v>
      </c>
      <c r="AI612" s="1204" t="s">
        <v>558</v>
      </c>
    </row>
    <row r="613" spans="1:35" ht="15" customHeight="1">
      <c r="A613" s="1076"/>
      <c r="B613" s="1076"/>
      <c r="C613" s="1076"/>
      <c r="D613" s="1076"/>
      <c r="E613" s="1076"/>
      <c r="F613" s="1076"/>
      <c r="G613" s="1076"/>
      <c r="H613" s="1251"/>
      <c r="I613" s="1123"/>
      <c r="J613" s="1119"/>
      <c r="K613" s="1119"/>
      <c r="L613" s="1119"/>
      <c r="M613" s="1171"/>
      <c r="N613" s="1196"/>
      <c r="O613" s="1196"/>
      <c r="P613" s="1196"/>
      <c r="Q613" s="1119"/>
      <c r="R613" s="1119"/>
      <c r="S613" s="1076"/>
      <c r="T613" s="1123"/>
      <c r="U613" s="866">
        <v>11606431</v>
      </c>
      <c r="V613" s="1171"/>
      <c r="W613" s="866" t="s">
        <v>7</v>
      </c>
      <c r="X613" s="1084"/>
      <c r="Y613" s="1084"/>
      <c r="Z613" s="1084"/>
      <c r="AA613" s="1084"/>
      <c r="AB613" s="1119"/>
      <c r="AC613" s="1119"/>
      <c r="AD613" s="1119"/>
      <c r="AE613" s="1119"/>
      <c r="AF613" s="1203"/>
      <c r="AG613" s="1204"/>
      <c r="AH613" s="1204"/>
      <c r="AI613" s="1204"/>
    </row>
    <row r="614" spans="1:35" ht="15" customHeight="1">
      <c r="A614" s="1076"/>
      <c r="B614" s="1076"/>
      <c r="C614" s="1076"/>
      <c r="D614" s="1076"/>
      <c r="E614" s="1076"/>
      <c r="F614" s="1076"/>
      <c r="G614" s="1076"/>
      <c r="H614" s="1251"/>
      <c r="I614" s="1123"/>
      <c r="J614" s="1119"/>
      <c r="K614" s="1119"/>
      <c r="L614" s="1119"/>
      <c r="M614" s="1171"/>
      <c r="N614" s="1196"/>
      <c r="O614" s="1196"/>
      <c r="P614" s="1196"/>
      <c r="Q614" s="1119"/>
      <c r="R614" s="1119"/>
      <c r="S614" s="1076"/>
      <c r="T614" s="840"/>
      <c r="U614" s="866"/>
      <c r="V614" s="855"/>
      <c r="W614" s="866"/>
      <c r="X614" s="1084"/>
      <c r="Y614" s="1084"/>
      <c r="Z614" s="827">
        <v>0</v>
      </c>
      <c r="AA614" s="1084"/>
      <c r="AB614" s="1119"/>
      <c r="AC614" s="1119"/>
      <c r="AD614" s="1119"/>
      <c r="AE614" s="1119"/>
      <c r="AF614" s="1203"/>
      <c r="AG614" s="1204"/>
      <c r="AH614" s="1204"/>
      <c r="AI614" s="1204"/>
    </row>
    <row r="615" spans="1:35" ht="15" customHeight="1">
      <c r="A615" s="1076"/>
      <c r="B615" s="1076"/>
      <c r="C615" s="1076"/>
      <c r="D615" s="1076"/>
      <c r="E615" s="1076"/>
      <c r="F615" s="1076"/>
      <c r="G615" s="1076"/>
      <c r="H615" s="1251"/>
      <c r="I615" s="1123"/>
      <c r="J615" s="1119"/>
      <c r="K615" s="1119"/>
      <c r="L615" s="1119"/>
      <c r="M615" s="1171"/>
      <c r="N615" s="1196"/>
      <c r="O615" s="1196"/>
      <c r="P615" s="1196"/>
      <c r="Q615" s="1119"/>
      <c r="R615" s="1119"/>
      <c r="S615" s="1076"/>
      <c r="T615" s="840"/>
      <c r="U615" s="866"/>
      <c r="V615" s="855"/>
      <c r="W615" s="866"/>
      <c r="X615" s="1084"/>
      <c r="Y615" s="1084"/>
      <c r="Z615" s="827">
        <v>0</v>
      </c>
      <c r="AA615" s="1084"/>
      <c r="AB615" s="1119"/>
      <c r="AC615" s="1119"/>
      <c r="AD615" s="1119"/>
      <c r="AE615" s="1119"/>
      <c r="AF615" s="1203"/>
      <c r="AG615" s="1204"/>
      <c r="AH615" s="1204"/>
      <c r="AI615" s="1204"/>
    </row>
    <row r="616" spans="1:35" ht="15" customHeight="1">
      <c r="A616" s="1076" t="s">
        <v>820</v>
      </c>
      <c r="B616" s="1076" t="s">
        <v>821</v>
      </c>
      <c r="C616" s="1076" t="s">
        <v>72</v>
      </c>
      <c r="D616" s="1076" t="s">
        <v>177</v>
      </c>
      <c r="E616" s="1076" t="s">
        <v>489</v>
      </c>
      <c r="F616" s="1076" t="s">
        <v>49</v>
      </c>
      <c r="G616" s="1076" t="s">
        <v>823</v>
      </c>
      <c r="H616" s="1251">
        <v>142</v>
      </c>
      <c r="I616" s="1123" t="s">
        <v>7</v>
      </c>
      <c r="J616" s="1119">
        <v>36540000</v>
      </c>
      <c r="K616" s="1119">
        <v>36540000</v>
      </c>
      <c r="L616" s="1119">
        <v>36540000</v>
      </c>
      <c r="M616" s="1171">
        <v>40647</v>
      </c>
      <c r="N616" s="1196">
        <v>36540000</v>
      </c>
      <c r="O616" s="1119">
        <v>36540000</v>
      </c>
      <c r="P616" s="1119">
        <v>0</v>
      </c>
      <c r="Q616" s="1119">
        <v>36540000</v>
      </c>
      <c r="R616" s="1119">
        <v>36540000</v>
      </c>
      <c r="S616" s="1076" t="s">
        <v>822</v>
      </c>
      <c r="T616" s="840" t="s">
        <v>825</v>
      </c>
      <c r="U616" s="866">
        <v>14616000</v>
      </c>
      <c r="V616" s="855">
        <v>40694</v>
      </c>
      <c r="W616" s="866" t="s">
        <v>7</v>
      </c>
      <c r="X616" s="1084">
        <v>14616000</v>
      </c>
      <c r="Y616" s="1084">
        <v>14616000</v>
      </c>
      <c r="Z616" s="827">
        <v>0</v>
      </c>
      <c r="AA616" s="1084">
        <v>21924000</v>
      </c>
      <c r="AB616" s="1119">
        <v>-14616000</v>
      </c>
      <c r="AC616" s="1119">
        <v>0</v>
      </c>
      <c r="AD616" s="1119">
        <v>21924000</v>
      </c>
      <c r="AE616" s="1119">
        <v>21924000</v>
      </c>
      <c r="AF616" s="1203" t="s">
        <v>824</v>
      </c>
      <c r="AG616" s="1237" t="s">
        <v>826</v>
      </c>
      <c r="AH616" s="1204" t="s">
        <v>194</v>
      </c>
      <c r="AI616" s="1204" t="s">
        <v>558</v>
      </c>
    </row>
    <row r="617" spans="1:35" ht="15" customHeight="1">
      <c r="A617" s="1076"/>
      <c r="B617" s="1076"/>
      <c r="C617" s="1076"/>
      <c r="D617" s="1076"/>
      <c r="E617" s="1076"/>
      <c r="F617" s="1076"/>
      <c r="G617" s="1076"/>
      <c r="H617" s="1251"/>
      <c r="I617" s="1123"/>
      <c r="J617" s="1119"/>
      <c r="K617" s="1119"/>
      <c r="L617" s="1119"/>
      <c r="M617" s="1171"/>
      <c r="N617" s="1196"/>
      <c r="O617" s="1119"/>
      <c r="P617" s="1119"/>
      <c r="Q617" s="1119"/>
      <c r="R617" s="1119"/>
      <c r="S617" s="1076"/>
      <c r="T617" s="840"/>
      <c r="U617" s="866"/>
      <c r="V617" s="855"/>
      <c r="W617" s="866"/>
      <c r="X617" s="1084"/>
      <c r="Y617" s="1084"/>
      <c r="Z617" s="827">
        <v>0</v>
      </c>
      <c r="AA617" s="1084"/>
      <c r="AB617" s="1119"/>
      <c r="AC617" s="1119"/>
      <c r="AD617" s="1119"/>
      <c r="AE617" s="1119"/>
      <c r="AF617" s="1203"/>
      <c r="AG617" s="1204"/>
      <c r="AH617" s="1204"/>
      <c r="AI617" s="1204"/>
    </row>
    <row r="618" spans="1:35" ht="15" customHeight="1">
      <c r="A618" s="1076"/>
      <c r="B618" s="1076"/>
      <c r="C618" s="1076"/>
      <c r="D618" s="1076"/>
      <c r="E618" s="1076"/>
      <c r="F618" s="1076"/>
      <c r="G618" s="1076"/>
      <c r="H618" s="1251"/>
      <c r="I618" s="1123"/>
      <c r="J618" s="1119"/>
      <c r="K618" s="1119"/>
      <c r="L618" s="1119"/>
      <c r="M618" s="1171"/>
      <c r="N618" s="1196"/>
      <c r="O618" s="1119"/>
      <c r="P618" s="1119"/>
      <c r="Q618" s="1119"/>
      <c r="R618" s="1119"/>
      <c r="S618" s="1076"/>
      <c r="T618" s="840"/>
      <c r="U618" s="866"/>
      <c r="V618" s="855"/>
      <c r="W618" s="866"/>
      <c r="X618" s="1084"/>
      <c r="Y618" s="1084"/>
      <c r="Z618" s="827">
        <v>0</v>
      </c>
      <c r="AA618" s="1084"/>
      <c r="AB618" s="1119"/>
      <c r="AC618" s="1119"/>
      <c r="AD618" s="1119"/>
      <c r="AE618" s="1119"/>
      <c r="AF618" s="1203"/>
      <c r="AG618" s="1204"/>
      <c r="AH618" s="1204"/>
      <c r="AI618" s="1204"/>
    </row>
    <row r="619" spans="1:35" ht="15" customHeight="1">
      <c r="A619" s="1076" t="s">
        <v>827</v>
      </c>
      <c r="B619" s="1076" t="s">
        <v>828</v>
      </c>
      <c r="C619" s="1076" t="s">
        <v>70</v>
      </c>
      <c r="D619" s="1076" t="s">
        <v>177</v>
      </c>
      <c r="E619" s="1076" t="s">
        <v>66</v>
      </c>
      <c r="F619" s="1076" t="s">
        <v>49</v>
      </c>
      <c r="G619" s="1076" t="s">
        <v>830</v>
      </c>
      <c r="H619" s="1251">
        <v>170</v>
      </c>
      <c r="I619" s="1123" t="s">
        <v>7</v>
      </c>
      <c r="J619" s="1119">
        <v>11070000</v>
      </c>
      <c r="K619" s="1119">
        <v>11070000</v>
      </c>
      <c r="L619" s="1119">
        <v>21681520</v>
      </c>
      <c r="M619" s="1171">
        <v>40707</v>
      </c>
      <c r="N619" s="1119">
        <v>11070000</v>
      </c>
      <c r="O619" s="1119">
        <v>11070000</v>
      </c>
      <c r="P619" s="1119">
        <v>0</v>
      </c>
      <c r="Q619" s="1119">
        <v>11070000</v>
      </c>
      <c r="R619" s="1119">
        <v>21681520</v>
      </c>
      <c r="S619" s="1076" t="s">
        <v>829</v>
      </c>
      <c r="T619" s="840" t="s">
        <v>832</v>
      </c>
      <c r="U619" s="866">
        <v>4428000</v>
      </c>
      <c r="V619" s="855">
        <v>40746</v>
      </c>
      <c r="W619" s="866" t="s">
        <v>7</v>
      </c>
      <c r="X619" s="1084">
        <v>4428000</v>
      </c>
      <c r="Y619" s="1084">
        <v>8672608</v>
      </c>
      <c r="Z619" s="827">
        <v>0</v>
      </c>
      <c r="AA619" s="1084">
        <v>6642000</v>
      </c>
      <c r="AB619" s="1119">
        <v>-4428000</v>
      </c>
      <c r="AC619" s="1119">
        <v>0</v>
      </c>
      <c r="AD619" s="1119">
        <v>6642000</v>
      </c>
      <c r="AE619" s="1119"/>
      <c r="AF619" s="1204" t="s">
        <v>824</v>
      </c>
      <c r="AG619" s="1237" t="s">
        <v>831</v>
      </c>
      <c r="AH619" s="1204" t="s">
        <v>194</v>
      </c>
      <c r="AI619" s="1204" t="s">
        <v>558</v>
      </c>
    </row>
    <row r="620" spans="1:35" ht="15" customHeight="1">
      <c r="A620" s="1076"/>
      <c r="B620" s="1076"/>
      <c r="C620" s="1076"/>
      <c r="D620" s="1076"/>
      <c r="E620" s="1076"/>
      <c r="F620" s="1076"/>
      <c r="G620" s="1076"/>
      <c r="H620" s="1251"/>
      <c r="I620" s="1123"/>
      <c r="J620" s="1119"/>
      <c r="K620" s="1119"/>
      <c r="L620" s="1119"/>
      <c r="M620" s="1171"/>
      <c r="N620" s="1119"/>
      <c r="O620" s="1119"/>
      <c r="P620" s="1119"/>
      <c r="Q620" s="1119"/>
      <c r="R620" s="1119"/>
      <c r="S620" s="1076"/>
      <c r="T620" s="840"/>
      <c r="U620" s="866"/>
      <c r="V620" s="855"/>
      <c r="W620" s="866"/>
      <c r="X620" s="1084"/>
      <c r="Y620" s="1084"/>
      <c r="Z620" s="827">
        <v>0</v>
      </c>
      <c r="AA620" s="1084"/>
      <c r="AB620" s="1119"/>
      <c r="AC620" s="1119"/>
      <c r="AD620" s="1119"/>
      <c r="AE620" s="1119"/>
      <c r="AF620" s="1204"/>
      <c r="AG620" s="1237"/>
      <c r="AH620" s="1204"/>
      <c r="AI620" s="1204"/>
    </row>
    <row r="621" spans="1:35" ht="15" customHeight="1">
      <c r="A621" s="1076"/>
      <c r="B621" s="1076"/>
      <c r="C621" s="1076"/>
      <c r="D621" s="1076"/>
      <c r="E621" s="1076"/>
      <c r="F621" s="1076"/>
      <c r="G621" s="1076"/>
      <c r="H621" s="1251"/>
      <c r="I621" s="1123"/>
      <c r="J621" s="1119"/>
      <c r="K621" s="1119"/>
      <c r="L621" s="1119"/>
      <c r="M621" s="1171"/>
      <c r="N621" s="1119"/>
      <c r="O621" s="1119"/>
      <c r="P621" s="1119"/>
      <c r="Q621" s="1119"/>
      <c r="R621" s="1119"/>
      <c r="S621" s="1076"/>
      <c r="T621" s="840"/>
      <c r="U621" s="866"/>
      <c r="V621" s="855"/>
      <c r="W621" s="866"/>
      <c r="X621" s="1084"/>
      <c r="Y621" s="1084"/>
      <c r="Z621" s="827">
        <v>0</v>
      </c>
      <c r="AA621" s="1084"/>
      <c r="AB621" s="1119"/>
      <c r="AC621" s="1119"/>
      <c r="AD621" s="1119"/>
      <c r="AE621" s="1119"/>
      <c r="AF621" s="1204"/>
      <c r="AG621" s="1237"/>
      <c r="AH621" s="1204"/>
      <c r="AI621" s="1204"/>
    </row>
    <row r="622" spans="1:35" ht="15" customHeight="1">
      <c r="A622" s="1076"/>
      <c r="B622" s="1076"/>
      <c r="C622" s="1076"/>
      <c r="D622" s="1076"/>
      <c r="E622" s="1076"/>
      <c r="F622" s="1076"/>
      <c r="G622" s="1076"/>
      <c r="H622" s="1251">
        <v>171</v>
      </c>
      <c r="I622" s="1123" t="s">
        <v>7</v>
      </c>
      <c r="J622" s="1119">
        <v>3956000</v>
      </c>
      <c r="K622" s="1119">
        <v>3956000</v>
      </c>
      <c r="L622" s="1119"/>
      <c r="M622" s="1171">
        <v>40707</v>
      </c>
      <c r="N622" s="1119">
        <v>3956000</v>
      </c>
      <c r="O622" s="1119">
        <v>3956000</v>
      </c>
      <c r="P622" s="1119">
        <v>0</v>
      </c>
      <c r="Q622" s="1119">
        <v>3956000</v>
      </c>
      <c r="R622" s="1119"/>
      <c r="S622" s="1076"/>
      <c r="T622" s="840" t="s">
        <v>833</v>
      </c>
      <c r="U622" s="866">
        <v>1582400</v>
      </c>
      <c r="V622" s="855">
        <v>40746</v>
      </c>
      <c r="W622" s="866" t="s">
        <v>7</v>
      </c>
      <c r="X622" s="1084">
        <v>1582400</v>
      </c>
      <c r="Y622" s="1084"/>
      <c r="Z622" s="827">
        <v>0</v>
      </c>
      <c r="AA622" s="1084">
        <v>2373600</v>
      </c>
      <c r="AB622" s="1119">
        <v>-1582400</v>
      </c>
      <c r="AC622" s="1119">
        <v>0</v>
      </c>
      <c r="AD622" s="1119">
        <v>2373600</v>
      </c>
      <c r="AE622" s="1119"/>
      <c r="AF622" s="1204"/>
      <c r="AG622" s="1237"/>
      <c r="AH622" s="1204"/>
      <c r="AI622" s="1204"/>
    </row>
    <row r="623" spans="1:35" ht="15" customHeight="1">
      <c r="A623" s="1076"/>
      <c r="B623" s="1076"/>
      <c r="C623" s="1076"/>
      <c r="D623" s="1076"/>
      <c r="E623" s="1076"/>
      <c r="F623" s="1076"/>
      <c r="G623" s="1076"/>
      <c r="H623" s="1251"/>
      <c r="I623" s="1123"/>
      <c r="J623" s="1119"/>
      <c r="K623" s="1119"/>
      <c r="L623" s="1119"/>
      <c r="M623" s="1171"/>
      <c r="N623" s="1119"/>
      <c r="O623" s="1119"/>
      <c r="P623" s="1119"/>
      <c r="Q623" s="1119"/>
      <c r="R623" s="1119"/>
      <c r="S623" s="1076"/>
      <c r="T623" s="840"/>
      <c r="U623" s="866"/>
      <c r="V623" s="855"/>
      <c r="W623" s="866"/>
      <c r="X623" s="1084"/>
      <c r="Y623" s="1084"/>
      <c r="Z623" s="827">
        <v>0</v>
      </c>
      <c r="AA623" s="1084"/>
      <c r="AB623" s="1119"/>
      <c r="AC623" s="1119"/>
      <c r="AD623" s="1119"/>
      <c r="AE623" s="1119"/>
      <c r="AF623" s="1204"/>
      <c r="AG623" s="1237"/>
      <c r="AH623" s="1204"/>
      <c r="AI623" s="1204"/>
    </row>
    <row r="624" spans="1:35" ht="15" customHeight="1">
      <c r="A624" s="1076"/>
      <c r="B624" s="1076"/>
      <c r="C624" s="1076"/>
      <c r="D624" s="1076"/>
      <c r="E624" s="1076"/>
      <c r="F624" s="1076"/>
      <c r="G624" s="1076"/>
      <c r="H624" s="1251"/>
      <c r="I624" s="1123"/>
      <c r="J624" s="1119"/>
      <c r="K624" s="1119"/>
      <c r="L624" s="1119"/>
      <c r="M624" s="1171"/>
      <c r="N624" s="1119"/>
      <c r="O624" s="1119"/>
      <c r="P624" s="1119"/>
      <c r="Q624" s="1119"/>
      <c r="R624" s="1119"/>
      <c r="S624" s="1076"/>
      <c r="T624" s="840"/>
      <c r="U624" s="866"/>
      <c r="V624" s="855"/>
      <c r="W624" s="866"/>
      <c r="X624" s="1084"/>
      <c r="Y624" s="1084"/>
      <c r="Z624" s="827">
        <v>0</v>
      </c>
      <c r="AA624" s="1084"/>
      <c r="AB624" s="1119"/>
      <c r="AC624" s="1119"/>
      <c r="AD624" s="1119"/>
      <c r="AE624" s="1119"/>
      <c r="AF624" s="1204"/>
      <c r="AG624" s="1237"/>
      <c r="AH624" s="1204"/>
      <c r="AI624" s="1204"/>
    </row>
    <row r="625" spans="1:36" ht="15" customHeight="1">
      <c r="A625" s="1076"/>
      <c r="B625" s="1076"/>
      <c r="C625" s="1076"/>
      <c r="D625" s="1076"/>
      <c r="E625" s="1076"/>
      <c r="F625" s="1076"/>
      <c r="G625" s="1076"/>
      <c r="H625" s="1251">
        <v>172</v>
      </c>
      <c r="I625" s="1123" t="s">
        <v>7</v>
      </c>
      <c r="J625" s="1119">
        <v>6655520</v>
      </c>
      <c r="K625" s="1119">
        <v>6655520</v>
      </c>
      <c r="L625" s="1119"/>
      <c r="M625" s="1171">
        <v>40707</v>
      </c>
      <c r="N625" s="1119">
        <v>6655520</v>
      </c>
      <c r="O625" s="1119">
        <v>6655520</v>
      </c>
      <c r="P625" s="1119">
        <v>0</v>
      </c>
      <c r="Q625" s="1119">
        <v>6655520</v>
      </c>
      <c r="R625" s="1119"/>
      <c r="S625" s="1076"/>
      <c r="T625" s="840" t="s">
        <v>834</v>
      </c>
      <c r="U625" s="866">
        <v>2662208</v>
      </c>
      <c r="V625" s="855">
        <v>40746</v>
      </c>
      <c r="W625" s="866" t="s">
        <v>7</v>
      </c>
      <c r="X625" s="1084">
        <v>2662208</v>
      </c>
      <c r="Y625" s="1084"/>
      <c r="Z625" s="827">
        <v>0</v>
      </c>
      <c r="AA625" s="1084">
        <v>3993312</v>
      </c>
      <c r="AB625" s="1119">
        <v>-2662208</v>
      </c>
      <c r="AC625" s="1119">
        <v>0</v>
      </c>
      <c r="AD625" s="1119">
        <v>3993312</v>
      </c>
      <c r="AE625" s="1119"/>
      <c r="AF625" s="1204"/>
      <c r="AG625" s="1237"/>
      <c r="AH625" s="1204"/>
      <c r="AI625" s="1204"/>
    </row>
    <row r="626" spans="1:36" ht="15" customHeight="1">
      <c r="A626" s="1076"/>
      <c r="B626" s="1076"/>
      <c r="C626" s="1076"/>
      <c r="D626" s="1076"/>
      <c r="E626" s="1076"/>
      <c r="F626" s="1076"/>
      <c r="G626" s="1076"/>
      <c r="H626" s="1251"/>
      <c r="I626" s="1123"/>
      <c r="J626" s="1119"/>
      <c r="K626" s="1119"/>
      <c r="L626" s="1119"/>
      <c r="M626" s="1171"/>
      <c r="N626" s="1119"/>
      <c r="O626" s="1119"/>
      <c r="P626" s="1119"/>
      <c r="Q626" s="1119"/>
      <c r="R626" s="1119"/>
      <c r="S626" s="1076"/>
      <c r="T626" s="840"/>
      <c r="U626" s="866"/>
      <c r="V626" s="855"/>
      <c r="W626" s="866"/>
      <c r="X626" s="1084"/>
      <c r="Y626" s="1084"/>
      <c r="Z626" s="827">
        <v>0</v>
      </c>
      <c r="AA626" s="1084"/>
      <c r="AB626" s="1119"/>
      <c r="AC626" s="1119"/>
      <c r="AD626" s="1119"/>
      <c r="AE626" s="1119"/>
      <c r="AF626" s="1204"/>
      <c r="AG626" s="1237"/>
      <c r="AH626" s="1204"/>
      <c r="AI626" s="1204"/>
    </row>
    <row r="627" spans="1:36" ht="15" customHeight="1">
      <c r="A627" s="1076"/>
      <c r="B627" s="1076"/>
      <c r="C627" s="1076"/>
      <c r="D627" s="1076"/>
      <c r="E627" s="1076"/>
      <c r="F627" s="1076"/>
      <c r="G627" s="1076"/>
      <c r="H627" s="1251"/>
      <c r="I627" s="1123"/>
      <c r="J627" s="1119"/>
      <c r="K627" s="1119"/>
      <c r="L627" s="1119"/>
      <c r="M627" s="1171"/>
      <c r="N627" s="1119"/>
      <c r="O627" s="1119"/>
      <c r="P627" s="1119"/>
      <c r="Q627" s="1119"/>
      <c r="R627" s="1119"/>
      <c r="S627" s="1076"/>
      <c r="T627" s="840"/>
      <c r="U627" s="866"/>
      <c r="V627" s="855"/>
      <c r="W627" s="866"/>
      <c r="X627" s="1084"/>
      <c r="Y627" s="1084"/>
      <c r="Z627" s="827">
        <v>0</v>
      </c>
      <c r="AA627" s="1084"/>
      <c r="AB627" s="1119"/>
      <c r="AC627" s="1119"/>
      <c r="AD627" s="1119"/>
      <c r="AE627" s="1119"/>
      <c r="AF627" s="1204"/>
      <c r="AG627" s="1237"/>
      <c r="AH627" s="1204"/>
      <c r="AI627" s="1204"/>
    </row>
    <row r="628" spans="1:36" ht="15" customHeight="1">
      <c r="A628" s="1076" t="s">
        <v>835</v>
      </c>
      <c r="B628" s="1076" t="s">
        <v>838</v>
      </c>
      <c r="C628" s="1076" t="s">
        <v>70</v>
      </c>
      <c r="D628" s="1076" t="s">
        <v>177</v>
      </c>
      <c r="E628" s="1076" t="s">
        <v>66</v>
      </c>
      <c r="F628" s="1076" t="s">
        <v>48</v>
      </c>
      <c r="G628" s="1076" t="s">
        <v>839</v>
      </c>
      <c r="H628" s="1251">
        <v>138</v>
      </c>
      <c r="I628" s="1123" t="s">
        <v>7</v>
      </c>
      <c r="J628" s="1119">
        <v>13860000</v>
      </c>
      <c r="K628" s="1119">
        <v>13860000</v>
      </c>
      <c r="L628" s="1119">
        <v>13860000</v>
      </c>
      <c r="M628" s="1171">
        <v>40647</v>
      </c>
      <c r="N628" s="1196">
        <v>13860000</v>
      </c>
      <c r="O628" s="1196">
        <v>13860000</v>
      </c>
      <c r="P628" s="1119">
        <v>0</v>
      </c>
      <c r="Q628" s="1119">
        <v>13860000</v>
      </c>
      <c r="R628" s="1119">
        <v>13860000</v>
      </c>
      <c r="S628" s="1076" t="s">
        <v>837</v>
      </c>
      <c r="T628" s="840" t="s">
        <v>840</v>
      </c>
      <c r="U628" s="866">
        <v>5544000</v>
      </c>
      <c r="V628" s="855">
        <v>40667</v>
      </c>
      <c r="W628" s="866" t="s">
        <v>7</v>
      </c>
      <c r="X628" s="1084">
        <v>13028400</v>
      </c>
      <c r="Y628" s="1084">
        <v>13028400</v>
      </c>
      <c r="Z628" s="827">
        <v>0</v>
      </c>
      <c r="AA628" s="1084">
        <v>831600</v>
      </c>
      <c r="AB628" s="1119">
        <v>-554400</v>
      </c>
      <c r="AC628" s="1119">
        <v>0</v>
      </c>
      <c r="AD628" s="1119">
        <v>831600</v>
      </c>
      <c r="AE628" s="1119"/>
      <c r="AF628" s="1204" t="s">
        <v>843</v>
      </c>
      <c r="AG628" s="1237" t="s">
        <v>842</v>
      </c>
      <c r="AH628" s="1204" t="s">
        <v>194</v>
      </c>
      <c r="AI628" s="1204" t="s">
        <v>558</v>
      </c>
      <c r="AJ628" s="1364" t="s">
        <v>2476</v>
      </c>
    </row>
    <row r="629" spans="1:36" ht="15" customHeight="1">
      <c r="A629" s="1076"/>
      <c r="B629" s="1076"/>
      <c r="C629" s="1076"/>
      <c r="D629" s="1076"/>
      <c r="E629" s="1076"/>
      <c r="F629" s="1076"/>
      <c r="G629" s="1076"/>
      <c r="H629" s="1251"/>
      <c r="I629" s="1123"/>
      <c r="J629" s="1119"/>
      <c r="K629" s="1119"/>
      <c r="L629" s="1119"/>
      <c r="M629" s="1171"/>
      <c r="N629" s="1196"/>
      <c r="O629" s="1196"/>
      <c r="P629" s="1119"/>
      <c r="Q629" s="1119"/>
      <c r="R629" s="1119"/>
      <c r="S629" s="1076"/>
      <c r="T629" s="1123" t="s">
        <v>841</v>
      </c>
      <c r="U629" s="866">
        <v>2174497</v>
      </c>
      <c r="V629" s="1171">
        <v>40898</v>
      </c>
      <c r="W629" s="866" t="s">
        <v>7</v>
      </c>
      <c r="X629" s="1084"/>
      <c r="Y629" s="1084"/>
      <c r="Z629" s="827">
        <v>5309903</v>
      </c>
      <c r="AA629" s="1084"/>
      <c r="AB629" s="1119"/>
      <c r="AC629" s="1119"/>
      <c r="AD629" s="1119"/>
      <c r="AE629" s="1119"/>
      <c r="AF629" s="1204"/>
      <c r="AG629" s="1237"/>
      <c r="AH629" s="1204"/>
      <c r="AI629" s="1204"/>
      <c r="AJ629" s="1364"/>
    </row>
    <row r="630" spans="1:36" ht="15" customHeight="1">
      <c r="A630" s="1076"/>
      <c r="B630" s="1076"/>
      <c r="C630" s="1076"/>
      <c r="D630" s="1076"/>
      <c r="E630" s="1076"/>
      <c r="F630" s="1076"/>
      <c r="G630" s="1076"/>
      <c r="H630" s="1251"/>
      <c r="I630" s="1123"/>
      <c r="J630" s="1119"/>
      <c r="K630" s="1119"/>
      <c r="L630" s="1119"/>
      <c r="M630" s="1171"/>
      <c r="N630" s="1196"/>
      <c r="O630" s="1196"/>
      <c r="P630" s="1119"/>
      <c r="Q630" s="1119"/>
      <c r="R630" s="1119"/>
      <c r="S630" s="1076"/>
      <c r="T630" s="1123"/>
      <c r="U630" s="866">
        <v>2444384</v>
      </c>
      <c r="V630" s="1171"/>
      <c r="W630" s="866" t="s">
        <v>7</v>
      </c>
      <c r="X630" s="1084"/>
      <c r="Y630" s="1084"/>
      <c r="Z630" s="827">
        <v>-2444384</v>
      </c>
      <c r="AA630" s="1084"/>
      <c r="AB630" s="1119"/>
      <c r="AC630" s="1119"/>
      <c r="AD630" s="1119"/>
      <c r="AE630" s="1119"/>
      <c r="AF630" s="1204"/>
      <c r="AG630" s="1237"/>
      <c r="AH630" s="1204"/>
      <c r="AI630" s="1204"/>
      <c r="AJ630" s="1364"/>
    </row>
    <row r="631" spans="1:36" ht="15" customHeight="1">
      <c r="A631" s="1076"/>
      <c r="B631" s="1076"/>
      <c r="C631" s="1076"/>
      <c r="D631" s="1076"/>
      <c r="E631" s="1076"/>
      <c r="F631" s="1076"/>
      <c r="G631" s="1076"/>
      <c r="H631" s="1251"/>
      <c r="I631" s="1123"/>
      <c r="J631" s="1119"/>
      <c r="K631" s="1119"/>
      <c r="L631" s="1119"/>
      <c r="M631" s="1171"/>
      <c r="N631" s="1196"/>
      <c r="O631" s="1196"/>
      <c r="P631" s="1119"/>
      <c r="Q631" s="1119"/>
      <c r="R631" s="1119"/>
      <c r="S631" s="1076"/>
      <c r="T631" s="1123"/>
      <c r="U631" s="866">
        <v>2865519</v>
      </c>
      <c r="V631" s="1171"/>
      <c r="W631" s="866" t="s">
        <v>7</v>
      </c>
      <c r="X631" s="1084"/>
      <c r="Y631" s="1084"/>
      <c r="Z631" s="827">
        <v>-2865519</v>
      </c>
      <c r="AA631" s="1084"/>
      <c r="AB631" s="1119"/>
      <c r="AC631" s="1119"/>
      <c r="AD631" s="1119"/>
      <c r="AE631" s="1119"/>
      <c r="AF631" s="1204"/>
      <c r="AG631" s="1237"/>
      <c r="AH631" s="1204"/>
      <c r="AI631" s="1204"/>
      <c r="AJ631" s="1364"/>
    </row>
    <row r="632" spans="1:36" ht="15" customHeight="1">
      <c r="A632" s="1076"/>
      <c r="B632" s="1076"/>
      <c r="C632" s="1076"/>
      <c r="D632" s="1076"/>
      <c r="E632" s="1076"/>
      <c r="F632" s="1076"/>
      <c r="G632" s="1076"/>
      <c r="H632" s="1251"/>
      <c r="I632" s="1123"/>
      <c r="J632" s="1119"/>
      <c r="K632" s="1119"/>
      <c r="L632" s="1119"/>
      <c r="M632" s="1171"/>
      <c r="N632" s="1196"/>
      <c r="O632" s="1196"/>
      <c r="P632" s="1119"/>
      <c r="Q632" s="1119"/>
      <c r="R632" s="1119"/>
      <c r="S632" s="1076"/>
      <c r="T632" s="840"/>
      <c r="U632" s="866"/>
      <c r="V632" s="855"/>
      <c r="W632" s="866"/>
      <c r="X632" s="1084"/>
      <c r="Y632" s="1084"/>
      <c r="Z632" s="827">
        <v>0</v>
      </c>
      <c r="AA632" s="1084"/>
      <c r="AB632" s="1119"/>
      <c r="AC632" s="1119"/>
      <c r="AD632" s="1119"/>
      <c r="AE632" s="1119"/>
      <c r="AF632" s="1204"/>
      <c r="AG632" s="1237"/>
      <c r="AH632" s="1204"/>
      <c r="AI632" s="1204"/>
      <c r="AJ632" s="1364"/>
    </row>
    <row r="633" spans="1:36" ht="15" customHeight="1">
      <c r="A633" s="1076" t="s">
        <v>844</v>
      </c>
      <c r="B633" s="1076" t="s">
        <v>845</v>
      </c>
      <c r="C633" s="1076" t="s">
        <v>70</v>
      </c>
      <c r="D633" s="1076" t="s">
        <v>177</v>
      </c>
      <c r="E633" s="1076" t="s">
        <v>66</v>
      </c>
      <c r="F633" s="1076" t="s">
        <v>49</v>
      </c>
      <c r="G633" s="1076" t="s">
        <v>848</v>
      </c>
      <c r="H633" s="1251">
        <v>189</v>
      </c>
      <c r="I633" s="1123" t="s">
        <v>7</v>
      </c>
      <c r="J633" s="1119">
        <v>13009850</v>
      </c>
      <c r="K633" s="1119">
        <v>13009850</v>
      </c>
      <c r="L633" s="1119">
        <v>13009850</v>
      </c>
      <c r="M633" s="1171">
        <v>40759</v>
      </c>
      <c r="N633" s="1196">
        <v>13009850</v>
      </c>
      <c r="O633" s="1119">
        <v>13009850</v>
      </c>
      <c r="P633" s="1119">
        <v>0</v>
      </c>
      <c r="Q633" s="1119">
        <v>13009284</v>
      </c>
      <c r="R633" s="1119">
        <v>13009284</v>
      </c>
      <c r="S633" s="1076" t="s">
        <v>847</v>
      </c>
      <c r="T633" s="840" t="s">
        <v>849</v>
      </c>
      <c r="U633" s="866">
        <v>5203714</v>
      </c>
      <c r="V633" s="855">
        <v>40858</v>
      </c>
      <c r="W633" s="866" t="s">
        <v>7</v>
      </c>
      <c r="X633" s="1084">
        <v>10277336</v>
      </c>
      <c r="Y633" s="1084">
        <v>10277336</v>
      </c>
      <c r="Z633" s="827">
        <v>-0.39999999944120646</v>
      </c>
      <c r="AA633" s="1084">
        <v>2732514</v>
      </c>
      <c r="AB633" s="1119">
        <v>-1821301</v>
      </c>
      <c r="AC633" s="1119">
        <v>566</v>
      </c>
      <c r="AD633" s="1119">
        <v>2731948</v>
      </c>
      <c r="AE633" s="1119">
        <v>566</v>
      </c>
      <c r="AF633" s="1204" t="s">
        <v>851</v>
      </c>
      <c r="AG633" s="1237" t="s">
        <v>852</v>
      </c>
      <c r="AH633" s="1204" t="s">
        <v>194</v>
      </c>
      <c r="AI633" s="1204" t="s">
        <v>558</v>
      </c>
    </row>
    <row r="634" spans="1:36" ht="15" customHeight="1">
      <c r="A634" s="1076"/>
      <c r="B634" s="1076"/>
      <c r="C634" s="1076"/>
      <c r="D634" s="1076"/>
      <c r="E634" s="1076"/>
      <c r="F634" s="1076"/>
      <c r="G634" s="1076"/>
      <c r="H634" s="1251"/>
      <c r="I634" s="1123"/>
      <c r="J634" s="1119"/>
      <c r="K634" s="1119"/>
      <c r="L634" s="1119"/>
      <c r="M634" s="1171"/>
      <c r="N634" s="1196"/>
      <c r="O634" s="1119"/>
      <c r="P634" s="1119"/>
      <c r="Q634" s="1119"/>
      <c r="R634" s="1119"/>
      <c r="S634" s="1076"/>
      <c r="T634" s="840" t="s">
        <v>850</v>
      </c>
      <c r="U634" s="866">
        <v>5073622</v>
      </c>
      <c r="V634" s="855">
        <v>41991</v>
      </c>
      <c r="W634" s="866" t="s">
        <v>7</v>
      </c>
      <c r="X634" s="1084"/>
      <c r="Y634" s="1084"/>
      <c r="Z634" s="827">
        <v>0</v>
      </c>
      <c r="AA634" s="1084"/>
      <c r="AB634" s="1119"/>
      <c r="AC634" s="1119"/>
      <c r="AD634" s="1119"/>
      <c r="AE634" s="1119"/>
      <c r="AF634" s="1204"/>
      <c r="AG634" s="1204"/>
      <c r="AH634" s="1204"/>
      <c r="AI634" s="1204"/>
    </row>
    <row r="635" spans="1:36" ht="15" customHeight="1">
      <c r="A635" s="1076"/>
      <c r="B635" s="1076"/>
      <c r="C635" s="1076"/>
      <c r="D635" s="1076"/>
      <c r="E635" s="1076"/>
      <c r="F635" s="1076"/>
      <c r="G635" s="1076"/>
      <c r="H635" s="1251"/>
      <c r="I635" s="1123"/>
      <c r="J635" s="1119"/>
      <c r="K635" s="1119"/>
      <c r="L635" s="1119"/>
      <c r="M635" s="1171"/>
      <c r="N635" s="1196"/>
      <c r="O635" s="1119"/>
      <c r="P635" s="1119"/>
      <c r="Q635" s="1119"/>
      <c r="R635" s="1119"/>
      <c r="S635" s="1076"/>
      <c r="T635" s="840"/>
      <c r="U635" s="866"/>
      <c r="V635" s="855"/>
      <c r="W635" s="866"/>
      <c r="X635" s="1084"/>
      <c r="Y635" s="1084"/>
      <c r="Z635" s="827">
        <v>0</v>
      </c>
      <c r="AA635" s="1084"/>
      <c r="AB635" s="1119"/>
      <c r="AC635" s="1119"/>
      <c r="AD635" s="1119"/>
      <c r="AE635" s="1119"/>
      <c r="AF635" s="1204"/>
      <c r="AG635" s="1204"/>
      <c r="AH635" s="1204"/>
      <c r="AI635" s="1204"/>
    </row>
    <row r="636" spans="1:36" ht="15" customHeight="1">
      <c r="A636" s="1076" t="s">
        <v>853</v>
      </c>
      <c r="B636" s="1076" t="s">
        <v>855</v>
      </c>
      <c r="C636" s="1076" t="s">
        <v>72</v>
      </c>
      <c r="D636" s="1076" t="s">
        <v>177</v>
      </c>
      <c r="E636" s="1076" t="s">
        <v>66</v>
      </c>
      <c r="F636" s="1076" t="s">
        <v>697</v>
      </c>
      <c r="G636" s="1076" t="s">
        <v>507</v>
      </c>
      <c r="H636" s="1251">
        <v>173</v>
      </c>
      <c r="I636" s="1123" t="s">
        <v>7</v>
      </c>
      <c r="J636" s="1119">
        <v>23000000</v>
      </c>
      <c r="K636" s="1119">
        <v>23000000</v>
      </c>
      <c r="L636" s="1119">
        <v>23000000</v>
      </c>
      <c r="M636" s="1171">
        <v>40718</v>
      </c>
      <c r="N636" s="1196">
        <v>23000000</v>
      </c>
      <c r="O636" s="1119">
        <v>23000000</v>
      </c>
      <c r="P636" s="1119">
        <v>0</v>
      </c>
      <c r="Q636" s="1119">
        <v>23000000</v>
      </c>
      <c r="R636" s="1119">
        <v>23000000</v>
      </c>
      <c r="S636" s="1076" t="s">
        <v>856</v>
      </c>
      <c r="T636" s="840" t="s">
        <v>857</v>
      </c>
      <c r="U636" s="866">
        <v>9200000</v>
      </c>
      <c r="V636" s="855">
        <v>40750</v>
      </c>
      <c r="W636" s="866" t="s">
        <v>7</v>
      </c>
      <c r="X636" s="1084">
        <v>21620000</v>
      </c>
      <c r="Y636" s="1084">
        <v>21620000</v>
      </c>
      <c r="Z636" s="827">
        <v>0</v>
      </c>
      <c r="AA636" s="1084">
        <v>0</v>
      </c>
      <c r="AB636" s="1119">
        <v>0</v>
      </c>
      <c r="AC636" s="1119">
        <v>0</v>
      </c>
      <c r="AD636" s="1119">
        <v>1380000</v>
      </c>
      <c r="AE636" s="1119">
        <v>1380000</v>
      </c>
      <c r="AF636" s="1249" t="s">
        <v>523</v>
      </c>
      <c r="AG636" s="1248" t="s">
        <v>859</v>
      </c>
      <c r="AH636" s="1249" t="s">
        <v>194</v>
      </c>
      <c r="AI636" s="1249" t="s">
        <v>558</v>
      </c>
    </row>
    <row r="637" spans="1:36" ht="15" customHeight="1">
      <c r="A637" s="1076"/>
      <c r="B637" s="1076"/>
      <c r="C637" s="1076"/>
      <c r="D637" s="1076"/>
      <c r="E637" s="1076"/>
      <c r="F637" s="1076"/>
      <c r="G637" s="1076"/>
      <c r="H637" s="1251"/>
      <c r="I637" s="1123"/>
      <c r="J637" s="1119"/>
      <c r="K637" s="1119"/>
      <c r="L637" s="1119"/>
      <c r="M637" s="1171"/>
      <c r="N637" s="1196"/>
      <c r="O637" s="1119"/>
      <c r="P637" s="1119"/>
      <c r="Q637" s="1119"/>
      <c r="R637" s="1119"/>
      <c r="S637" s="1076"/>
      <c r="T637" s="840" t="s">
        <v>858</v>
      </c>
      <c r="U637" s="866">
        <v>12420000</v>
      </c>
      <c r="V637" s="855">
        <v>41103</v>
      </c>
      <c r="W637" s="866" t="s">
        <v>7</v>
      </c>
      <c r="X637" s="1084"/>
      <c r="Y637" s="1084"/>
      <c r="Z637" s="827">
        <v>0</v>
      </c>
      <c r="AA637" s="1084"/>
      <c r="AB637" s="1119"/>
      <c r="AC637" s="1119"/>
      <c r="AD637" s="1119"/>
      <c r="AE637" s="1119"/>
      <c r="AF637" s="1249"/>
      <c r="AG637" s="1249"/>
      <c r="AH637" s="1249"/>
      <c r="AI637" s="1249"/>
    </row>
    <row r="638" spans="1:36" ht="15" customHeight="1">
      <c r="A638" s="1076" t="s">
        <v>860</v>
      </c>
      <c r="B638" s="1076" t="s">
        <v>862</v>
      </c>
      <c r="C638" s="1076" t="s">
        <v>70</v>
      </c>
      <c r="D638" s="1076" t="s">
        <v>177</v>
      </c>
      <c r="E638" s="1076" t="s">
        <v>489</v>
      </c>
      <c r="F638" s="1076" t="s">
        <v>49</v>
      </c>
      <c r="G638" s="1076" t="s">
        <v>873</v>
      </c>
      <c r="H638" s="1268">
        <v>47</v>
      </c>
      <c r="I638" s="1123" t="s">
        <v>7</v>
      </c>
      <c r="J638" s="1119">
        <v>1381339</v>
      </c>
      <c r="K638" s="1119">
        <v>4204988</v>
      </c>
      <c r="L638" s="1119">
        <v>14124988</v>
      </c>
      <c r="M638" s="1171">
        <v>40353</v>
      </c>
      <c r="N638" s="1196">
        <v>4204988</v>
      </c>
      <c r="O638" s="1196">
        <v>1381339</v>
      </c>
      <c r="P638" s="1196">
        <v>0</v>
      </c>
      <c r="Q638" s="1119">
        <v>1300000</v>
      </c>
      <c r="R638" s="1119">
        <v>13545000</v>
      </c>
      <c r="S638" s="1076" t="s">
        <v>863</v>
      </c>
      <c r="T638" s="1123" t="s">
        <v>864</v>
      </c>
      <c r="U638" s="866">
        <v>520000</v>
      </c>
      <c r="V638" s="1171">
        <v>40581</v>
      </c>
      <c r="W638" s="866" t="s">
        <v>7</v>
      </c>
      <c r="X638" s="1084">
        <v>3625000</v>
      </c>
      <c r="Y638" s="1084">
        <v>8586600</v>
      </c>
      <c r="Z638" s="827">
        <v>0</v>
      </c>
      <c r="AA638" s="1084">
        <v>-228000</v>
      </c>
      <c r="AB638" s="1119">
        <v>0</v>
      </c>
      <c r="AC638" s="1119">
        <v>81339</v>
      </c>
      <c r="AD638" s="1119">
        <v>0</v>
      </c>
      <c r="AE638" s="1119">
        <v>579988</v>
      </c>
      <c r="AF638" s="1204" t="s">
        <v>865</v>
      </c>
      <c r="AG638" s="1237" t="s">
        <v>874</v>
      </c>
      <c r="AH638" s="1204" t="s">
        <v>194</v>
      </c>
      <c r="AI638" s="1204" t="s">
        <v>558</v>
      </c>
    </row>
    <row r="639" spans="1:36" ht="15" customHeight="1">
      <c r="A639" s="1076"/>
      <c r="B639" s="1076"/>
      <c r="C639" s="1076"/>
      <c r="D639" s="1076"/>
      <c r="E639" s="1076"/>
      <c r="F639" s="1076"/>
      <c r="G639" s="1076"/>
      <c r="H639" s="1268"/>
      <c r="I639" s="1123"/>
      <c r="J639" s="1119"/>
      <c r="K639" s="1119"/>
      <c r="L639" s="1119"/>
      <c r="M639" s="1171"/>
      <c r="N639" s="1196"/>
      <c r="O639" s="1196"/>
      <c r="P639" s="1196"/>
      <c r="Q639" s="1119"/>
      <c r="R639" s="1119"/>
      <c r="S639" s="1076"/>
      <c r="T639" s="1123"/>
      <c r="U639" s="866">
        <v>930000</v>
      </c>
      <c r="V639" s="1171"/>
      <c r="W639" s="866" t="s">
        <v>7</v>
      </c>
      <c r="X639" s="1084"/>
      <c r="Y639" s="1084"/>
      <c r="Z639" s="827">
        <v>0</v>
      </c>
      <c r="AA639" s="1084"/>
      <c r="AB639" s="1119"/>
      <c r="AC639" s="1119"/>
      <c r="AD639" s="1119"/>
      <c r="AE639" s="1119"/>
      <c r="AF639" s="1204"/>
      <c r="AG639" s="1204"/>
      <c r="AH639" s="1204"/>
      <c r="AI639" s="1204"/>
    </row>
    <row r="640" spans="1:36" ht="15" customHeight="1">
      <c r="A640" s="1076"/>
      <c r="B640" s="1076"/>
      <c r="C640" s="1076"/>
      <c r="D640" s="1076"/>
      <c r="E640" s="1076"/>
      <c r="F640" s="1076"/>
      <c r="G640" s="1076"/>
      <c r="H640" s="1268"/>
      <c r="I640" s="1123"/>
      <c r="J640" s="1119"/>
      <c r="K640" s="1119"/>
      <c r="L640" s="1119"/>
      <c r="M640" s="1171"/>
      <c r="N640" s="1196"/>
      <c r="O640" s="1196"/>
      <c r="P640" s="1196"/>
      <c r="Q640" s="1119"/>
      <c r="R640" s="1119"/>
      <c r="S640" s="1076"/>
      <c r="T640" s="1123" t="s">
        <v>870</v>
      </c>
      <c r="U640" s="866">
        <v>702000</v>
      </c>
      <c r="V640" s="1171">
        <v>40864</v>
      </c>
      <c r="W640" s="866" t="s">
        <v>137</v>
      </c>
      <c r="X640" s="1084"/>
      <c r="Y640" s="1084"/>
      <c r="Z640" s="827">
        <v>0</v>
      </c>
      <c r="AA640" s="1084"/>
      <c r="AB640" s="1119"/>
      <c r="AC640" s="1119"/>
      <c r="AD640" s="1119"/>
      <c r="AE640" s="1119"/>
      <c r="AF640" s="1204"/>
      <c r="AG640" s="1204"/>
      <c r="AH640" s="1204"/>
      <c r="AI640" s="1204"/>
    </row>
    <row r="641" spans="1:36" ht="15" customHeight="1">
      <c r="A641" s="1076"/>
      <c r="B641" s="1076"/>
      <c r="C641" s="1076"/>
      <c r="D641" s="1076"/>
      <c r="E641" s="1076"/>
      <c r="F641" s="1076"/>
      <c r="G641" s="1076"/>
      <c r="H641" s="1268"/>
      <c r="I641" s="1123" t="s">
        <v>137</v>
      </c>
      <c r="J641" s="1119">
        <v>2823649</v>
      </c>
      <c r="K641" s="1119"/>
      <c r="L641" s="1119"/>
      <c r="M641" s="1171"/>
      <c r="N641" s="1196"/>
      <c r="O641" s="1196">
        <v>2823649</v>
      </c>
      <c r="P641" s="1196">
        <v>0</v>
      </c>
      <c r="Q641" s="1119">
        <v>2325000</v>
      </c>
      <c r="R641" s="1119"/>
      <c r="S641" s="1076"/>
      <c r="T641" s="1123"/>
      <c r="U641" s="866">
        <v>1255500</v>
      </c>
      <c r="V641" s="1171"/>
      <c r="W641" s="866" t="s">
        <v>137</v>
      </c>
      <c r="X641" s="1084"/>
      <c r="Y641" s="1084"/>
      <c r="Z641" s="827">
        <v>0</v>
      </c>
      <c r="AA641" s="1084">
        <v>228000</v>
      </c>
      <c r="AB641" s="1119"/>
      <c r="AC641" s="1119">
        <v>498649</v>
      </c>
      <c r="AD641" s="1119"/>
      <c r="AE641" s="1119"/>
      <c r="AF641" s="1204"/>
      <c r="AG641" s="1204"/>
      <c r="AH641" s="1204"/>
      <c r="AI641" s="1204"/>
    </row>
    <row r="642" spans="1:36" ht="15" customHeight="1">
      <c r="A642" s="1076"/>
      <c r="B642" s="1076"/>
      <c r="C642" s="1076"/>
      <c r="D642" s="1076"/>
      <c r="E642" s="1076"/>
      <c r="F642" s="1076"/>
      <c r="G642" s="1076"/>
      <c r="H642" s="1268"/>
      <c r="I642" s="1123"/>
      <c r="J642" s="1119"/>
      <c r="K642" s="1119"/>
      <c r="L642" s="1119"/>
      <c r="M642" s="1171"/>
      <c r="N642" s="1196"/>
      <c r="O642" s="1196"/>
      <c r="P642" s="1196"/>
      <c r="Q642" s="1119"/>
      <c r="R642" s="1119"/>
      <c r="S642" s="1076"/>
      <c r="T642" s="1123" t="s">
        <v>871</v>
      </c>
      <c r="U642" s="866">
        <v>78000</v>
      </c>
      <c r="V642" s="1171">
        <v>41459</v>
      </c>
      <c r="W642" s="866" t="s">
        <v>7</v>
      </c>
      <c r="X642" s="1084"/>
      <c r="Y642" s="1084"/>
      <c r="Z642" s="827">
        <v>0</v>
      </c>
      <c r="AA642" s="1084"/>
      <c r="AB642" s="1119"/>
      <c r="AC642" s="1119"/>
      <c r="AD642" s="1119"/>
      <c r="AE642" s="1119"/>
      <c r="AF642" s="1204"/>
      <c r="AG642" s="1204"/>
      <c r="AH642" s="1204"/>
      <c r="AI642" s="1204"/>
    </row>
    <row r="643" spans="1:36" ht="15" customHeight="1">
      <c r="A643" s="1076"/>
      <c r="B643" s="1076"/>
      <c r="C643" s="1076"/>
      <c r="D643" s="1076"/>
      <c r="E643" s="1076"/>
      <c r="F643" s="1076"/>
      <c r="G643" s="1076"/>
      <c r="H643" s="1268"/>
      <c r="I643" s="1123"/>
      <c r="J643" s="1119"/>
      <c r="K643" s="1119"/>
      <c r="L643" s="1119"/>
      <c r="M643" s="1171"/>
      <c r="N643" s="1196"/>
      <c r="O643" s="1196"/>
      <c r="P643" s="1196"/>
      <c r="Q643" s="1119"/>
      <c r="R643" s="1119"/>
      <c r="S643" s="1076"/>
      <c r="T643" s="1123"/>
      <c r="U643" s="866">
        <v>139500</v>
      </c>
      <c r="V643" s="1171"/>
      <c r="W643" s="866" t="s">
        <v>137</v>
      </c>
      <c r="X643" s="1084"/>
      <c r="Y643" s="1084"/>
      <c r="Z643" s="827">
        <v>0</v>
      </c>
      <c r="AA643" s="1084"/>
      <c r="AB643" s="1119"/>
      <c r="AC643" s="1119"/>
      <c r="AD643" s="1119"/>
      <c r="AE643" s="1119"/>
      <c r="AF643" s="1204"/>
      <c r="AG643" s="1204"/>
      <c r="AH643" s="1204"/>
      <c r="AI643" s="1204"/>
    </row>
    <row r="644" spans="1:36" ht="15" customHeight="1">
      <c r="A644" s="1076"/>
      <c r="B644" s="1076"/>
      <c r="C644" s="1076"/>
      <c r="D644" s="1076"/>
      <c r="E644" s="1076"/>
      <c r="F644" s="1076"/>
      <c r="G644" s="1076"/>
      <c r="H644" s="1251">
        <v>195</v>
      </c>
      <c r="I644" s="1123" t="s">
        <v>7</v>
      </c>
      <c r="J644" s="1119">
        <v>2750000</v>
      </c>
      <c r="K644" s="1119">
        <v>2750000</v>
      </c>
      <c r="L644" s="1119"/>
      <c r="M644" s="1171">
        <v>40759</v>
      </c>
      <c r="N644" s="1196">
        <v>2750000</v>
      </c>
      <c r="O644" s="1196">
        <v>2750000</v>
      </c>
      <c r="P644" s="1196">
        <v>0</v>
      </c>
      <c r="Q644" s="1119">
        <v>2750000</v>
      </c>
      <c r="R644" s="1119"/>
      <c r="S644" s="1076"/>
      <c r="T644" s="840" t="s">
        <v>866</v>
      </c>
      <c r="U644" s="866">
        <v>1100000</v>
      </c>
      <c r="V644" s="855">
        <v>40823</v>
      </c>
      <c r="W644" s="866" t="s">
        <v>7</v>
      </c>
      <c r="X644" s="1084">
        <v>1100000</v>
      </c>
      <c r="Y644" s="1084"/>
      <c r="Z644" s="827">
        <v>0</v>
      </c>
      <c r="AA644" s="1084"/>
      <c r="AB644" s="1119">
        <v>-1100000</v>
      </c>
      <c r="AC644" s="1119">
        <v>0</v>
      </c>
      <c r="AD644" s="1119">
        <v>2750000</v>
      </c>
      <c r="AE644" s="1119"/>
      <c r="AF644" s="1204"/>
      <c r="AG644" s="1204"/>
      <c r="AH644" s="1204"/>
      <c r="AI644" s="1204"/>
    </row>
    <row r="645" spans="1:36" ht="15" customHeight="1">
      <c r="A645" s="1076"/>
      <c r="B645" s="1076"/>
      <c r="C645" s="1076"/>
      <c r="D645" s="1076"/>
      <c r="E645" s="1076"/>
      <c r="F645" s="1076"/>
      <c r="G645" s="1076"/>
      <c r="H645" s="1251"/>
      <c r="I645" s="1123"/>
      <c r="J645" s="1119"/>
      <c r="K645" s="1119"/>
      <c r="L645" s="1119"/>
      <c r="M645" s="1171"/>
      <c r="N645" s="1196"/>
      <c r="O645" s="1196"/>
      <c r="P645" s="1196"/>
      <c r="Q645" s="1119"/>
      <c r="R645" s="1119"/>
      <c r="S645" s="1076"/>
      <c r="T645" s="840"/>
      <c r="U645" s="866"/>
      <c r="V645" s="855"/>
      <c r="W645" s="866"/>
      <c r="X645" s="1084"/>
      <c r="Y645" s="1084"/>
      <c r="Z645" s="827">
        <v>0</v>
      </c>
      <c r="AA645" s="1084"/>
      <c r="AB645" s="1119"/>
      <c r="AC645" s="1119"/>
      <c r="AD645" s="1119"/>
      <c r="AE645" s="1119"/>
      <c r="AF645" s="1204"/>
      <c r="AG645" s="1204"/>
      <c r="AH645" s="1204"/>
      <c r="AI645" s="1204"/>
    </row>
    <row r="646" spans="1:36" ht="15" customHeight="1">
      <c r="A646" s="1076"/>
      <c r="B646" s="1076"/>
      <c r="C646" s="1076"/>
      <c r="D646" s="1076"/>
      <c r="E646" s="1076"/>
      <c r="F646" s="1076"/>
      <c r="G646" s="1076"/>
      <c r="H646" s="1251"/>
      <c r="I646" s="1123"/>
      <c r="J646" s="1119"/>
      <c r="K646" s="1119"/>
      <c r="L646" s="1119"/>
      <c r="M646" s="1171"/>
      <c r="N646" s="1196"/>
      <c r="O646" s="1196"/>
      <c r="P646" s="1196"/>
      <c r="Q646" s="1119"/>
      <c r="R646" s="1119"/>
      <c r="S646" s="1076"/>
      <c r="T646" s="840"/>
      <c r="U646" s="866"/>
      <c r="V646" s="855"/>
      <c r="W646" s="866"/>
      <c r="X646" s="1084"/>
      <c r="Y646" s="1084"/>
      <c r="Z646" s="827">
        <v>0</v>
      </c>
      <c r="AA646" s="1084"/>
      <c r="AB646" s="1119"/>
      <c r="AC646" s="1119"/>
      <c r="AD646" s="1119"/>
      <c r="AE646" s="1119"/>
      <c r="AF646" s="1204"/>
      <c r="AG646" s="1204"/>
      <c r="AH646" s="1204"/>
      <c r="AI646" s="1204"/>
    </row>
    <row r="647" spans="1:36" ht="15" customHeight="1">
      <c r="A647" s="1076"/>
      <c r="B647" s="1076"/>
      <c r="C647" s="1076"/>
      <c r="D647" s="1076"/>
      <c r="E647" s="1076"/>
      <c r="F647" s="1076"/>
      <c r="G647" s="1076"/>
      <c r="H647" s="1251">
        <v>210</v>
      </c>
      <c r="I647" s="1123" t="s">
        <v>7</v>
      </c>
      <c r="J647" s="1119">
        <v>2810000</v>
      </c>
      <c r="K647" s="1119">
        <v>2810000</v>
      </c>
      <c r="L647" s="1119"/>
      <c r="M647" s="1171">
        <v>40779</v>
      </c>
      <c r="N647" s="1196">
        <v>2810000</v>
      </c>
      <c r="O647" s="1196">
        <v>2810000</v>
      </c>
      <c r="P647" s="1196">
        <v>0</v>
      </c>
      <c r="Q647" s="1119">
        <v>2810000</v>
      </c>
      <c r="R647" s="1119"/>
      <c r="S647" s="1076"/>
      <c r="T647" s="840" t="s">
        <v>867</v>
      </c>
      <c r="U647" s="866">
        <v>1124000</v>
      </c>
      <c r="V647" s="855">
        <v>40823</v>
      </c>
      <c r="W647" s="866" t="s">
        <v>7</v>
      </c>
      <c r="X647" s="1084">
        <v>1124000</v>
      </c>
      <c r="Y647" s="1084"/>
      <c r="Z647" s="827">
        <v>0</v>
      </c>
      <c r="AA647" s="1084"/>
      <c r="AB647" s="1119">
        <v>-1124000</v>
      </c>
      <c r="AC647" s="1119">
        <v>0</v>
      </c>
      <c r="AD647" s="1119">
        <v>2810000</v>
      </c>
      <c r="AE647" s="1119"/>
      <c r="AF647" s="1204"/>
      <c r="AG647" s="1204"/>
      <c r="AH647" s="1204"/>
      <c r="AI647" s="1204"/>
    </row>
    <row r="648" spans="1:36" ht="15" customHeight="1">
      <c r="A648" s="1076"/>
      <c r="B648" s="1076"/>
      <c r="C648" s="1076"/>
      <c r="D648" s="1076"/>
      <c r="E648" s="1076"/>
      <c r="F648" s="1076"/>
      <c r="G648" s="1076"/>
      <c r="H648" s="1251"/>
      <c r="I648" s="1123"/>
      <c r="J648" s="1119"/>
      <c r="K648" s="1119"/>
      <c r="L648" s="1119"/>
      <c r="M648" s="1171"/>
      <c r="N648" s="1196"/>
      <c r="O648" s="1196"/>
      <c r="P648" s="1196"/>
      <c r="Q648" s="1119"/>
      <c r="R648" s="1119"/>
      <c r="S648" s="1076"/>
      <c r="T648" s="840"/>
      <c r="U648" s="866"/>
      <c r="V648" s="855"/>
      <c r="W648" s="866"/>
      <c r="X648" s="1084"/>
      <c r="Y648" s="1084"/>
      <c r="Z648" s="827">
        <v>0</v>
      </c>
      <c r="AA648" s="1084"/>
      <c r="AB648" s="1119"/>
      <c r="AC648" s="1119"/>
      <c r="AD648" s="1119"/>
      <c r="AE648" s="1119"/>
      <c r="AF648" s="1204"/>
      <c r="AG648" s="1204"/>
      <c r="AH648" s="1204"/>
      <c r="AI648" s="1204"/>
    </row>
    <row r="649" spans="1:36" ht="15" customHeight="1">
      <c r="A649" s="1076"/>
      <c r="B649" s="1076"/>
      <c r="C649" s="1076"/>
      <c r="D649" s="1076"/>
      <c r="E649" s="1076"/>
      <c r="F649" s="1076"/>
      <c r="G649" s="1076"/>
      <c r="H649" s="1251"/>
      <c r="I649" s="1123"/>
      <c r="J649" s="1119"/>
      <c r="K649" s="1119"/>
      <c r="L649" s="1119"/>
      <c r="M649" s="1171"/>
      <c r="N649" s="1196"/>
      <c r="O649" s="1196"/>
      <c r="P649" s="1196"/>
      <c r="Q649" s="1119"/>
      <c r="R649" s="1119"/>
      <c r="S649" s="1076"/>
      <c r="T649" s="840"/>
      <c r="U649" s="866"/>
      <c r="V649" s="855"/>
      <c r="W649" s="866"/>
      <c r="X649" s="1084"/>
      <c r="Y649" s="1084"/>
      <c r="Z649" s="827">
        <v>0</v>
      </c>
      <c r="AA649" s="1084"/>
      <c r="AB649" s="1119"/>
      <c r="AC649" s="1119"/>
      <c r="AD649" s="1119"/>
      <c r="AE649" s="1119"/>
      <c r="AF649" s="1204"/>
      <c r="AG649" s="1204"/>
      <c r="AH649" s="1204"/>
      <c r="AI649" s="1204"/>
    </row>
    <row r="650" spans="1:36" ht="15" customHeight="1">
      <c r="A650" s="1076"/>
      <c r="B650" s="1076"/>
      <c r="C650" s="1076"/>
      <c r="D650" s="1076"/>
      <c r="E650" s="1076"/>
      <c r="F650" s="1076"/>
      <c r="G650" s="1076"/>
      <c r="H650" s="1251">
        <v>209</v>
      </c>
      <c r="I650" s="1123" t="s">
        <v>7</v>
      </c>
      <c r="J650" s="1119">
        <v>2520000</v>
      </c>
      <c r="K650" s="1119">
        <v>2520000</v>
      </c>
      <c r="L650" s="1119"/>
      <c r="M650" s="1171">
        <v>40779</v>
      </c>
      <c r="N650" s="1196">
        <v>2520000</v>
      </c>
      <c r="O650" s="1196">
        <v>2520000</v>
      </c>
      <c r="P650" s="1196">
        <v>0</v>
      </c>
      <c r="Q650" s="1119">
        <v>2520000</v>
      </c>
      <c r="R650" s="1119"/>
      <c r="S650" s="1076"/>
      <c r="T650" s="840" t="s">
        <v>868</v>
      </c>
      <c r="U650" s="866">
        <v>1008000</v>
      </c>
      <c r="V650" s="855">
        <v>40823</v>
      </c>
      <c r="W650" s="866" t="s">
        <v>7</v>
      </c>
      <c r="X650" s="1084">
        <v>1008000</v>
      </c>
      <c r="Y650" s="1084"/>
      <c r="Z650" s="827">
        <v>0</v>
      </c>
      <c r="AA650" s="1084"/>
      <c r="AB650" s="1119">
        <v>-1008000</v>
      </c>
      <c r="AC650" s="1119">
        <v>0</v>
      </c>
      <c r="AD650" s="1119">
        <v>2520000</v>
      </c>
      <c r="AE650" s="1119"/>
      <c r="AF650" s="1204"/>
      <c r="AG650" s="1204"/>
      <c r="AH650" s="1204"/>
      <c r="AI650" s="1204"/>
    </row>
    <row r="651" spans="1:36" ht="15" customHeight="1">
      <c r="A651" s="1076"/>
      <c r="B651" s="1076"/>
      <c r="C651" s="1076"/>
      <c r="D651" s="1076"/>
      <c r="E651" s="1076"/>
      <c r="F651" s="1076"/>
      <c r="G651" s="1076"/>
      <c r="H651" s="1251"/>
      <c r="I651" s="1123"/>
      <c r="J651" s="1119"/>
      <c r="K651" s="1119"/>
      <c r="L651" s="1119"/>
      <c r="M651" s="1171"/>
      <c r="N651" s="1196"/>
      <c r="O651" s="1196"/>
      <c r="P651" s="1196"/>
      <c r="Q651" s="1119"/>
      <c r="R651" s="1119"/>
      <c r="S651" s="1076"/>
      <c r="T651" s="840"/>
      <c r="U651" s="866"/>
      <c r="V651" s="855"/>
      <c r="W651" s="866"/>
      <c r="X651" s="1084"/>
      <c r="Y651" s="1084"/>
      <c r="Z651" s="827">
        <v>0</v>
      </c>
      <c r="AA651" s="1084"/>
      <c r="AB651" s="1119"/>
      <c r="AC651" s="1119"/>
      <c r="AD651" s="1119"/>
      <c r="AE651" s="1119"/>
      <c r="AF651" s="1204"/>
      <c r="AG651" s="1204"/>
      <c r="AH651" s="1204"/>
      <c r="AI651" s="1204"/>
    </row>
    <row r="652" spans="1:36" ht="15" customHeight="1">
      <c r="A652" s="1076"/>
      <c r="B652" s="1076"/>
      <c r="C652" s="1076"/>
      <c r="D652" s="1076"/>
      <c r="E652" s="1076"/>
      <c r="F652" s="1076"/>
      <c r="G652" s="1076"/>
      <c r="H652" s="1251"/>
      <c r="I652" s="1123"/>
      <c r="J652" s="1119"/>
      <c r="K652" s="1119"/>
      <c r="L652" s="1119"/>
      <c r="M652" s="1171"/>
      <c r="N652" s="1196"/>
      <c r="O652" s="1196"/>
      <c r="P652" s="1196"/>
      <c r="Q652" s="1119"/>
      <c r="R652" s="1119"/>
      <c r="S652" s="1076"/>
      <c r="T652" s="840"/>
      <c r="U652" s="866"/>
      <c r="V652" s="855"/>
      <c r="W652" s="866"/>
      <c r="X652" s="1084"/>
      <c r="Y652" s="1084"/>
      <c r="Z652" s="827">
        <v>0</v>
      </c>
      <c r="AA652" s="1084"/>
      <c r="AB652" s="1119"/>
      <c r="AC652" s="1119"/>
      <c r="AD652" s="1119"/>
      <c r="AE652" s="1119"/>
      <c r="AF652" s="1204"/>
      <c r="AG652" s="1204"/>
      <c r="AH652" s="1204"/>
      <c r="AI652" s="1204"/>
    </row>
    <row r="653" spans="1:36" ht="15" customHeight="1">
      <c r="A653" s="1076"/>
      <c r="B653" s="1076"/>
      <c r="C653" s="1076"/>
      <c r="D653" s="1076"/>
      <c r="E653" s="1076"/>
      <c r="F653" s="1076"/>
      <c r="G653" s="1076"/>
      <c r="H653" s="1251">
        <v>145</v>
      </c>
      <c r="I653" s="1123" t="s">
        <v>7</v>
      </c>
      <c r="J653" s="1119">
        <v>1840000</v>
      </c>
      <c r="K653" s="1119">
        <v>1840000</v>
      </c>
      <c r="L653" s="1119"/>
      <c r="M653" s="1171">
        <v>40647</v>
      </c>
      <c r="N653" s="1196">
        <v>1840000</v>
      </c>
      <c r="O653" s="1196">
        <v>1840000</v>
      </c>
      <c r="P653" s="1196">
        <v>0</v>
      </c>
      <c r="Q653" s="1119">
        <v>1840000</v>
      </c>
      <c r="R653" s="1119"/>
      <c r="S653" s="1076"/>
      <c r="T653" s="840" t="s">
        <v>869</v>
      </c>
      <c r="U653" s="866">
        <v>736000</v>
      </c>
      <c r="V653" s="855">
        <v>40823</v>
      </c>
      <c r="W653" s="866" t="s">
        <v>7</v>
      </c>
      <c r="X653" s="1084">
        <v>1729600</v>
      </c>
      <c r="Y653" s="1084"/>
      <c r="Z653" s="827">
        <v>0</v>
      </c>
      <c r="AA653" s="1084"/>
      <c r="AB653" s="1119">
        <v>-73600</v>
      </c>
      <c r="AC653" s="1119">
        <v>0</v>
      </c>
      <c r="AD653" s="1119">
        <v>184000</v>
      </c>
      <c r="AE653" s="1119"/>
      <c r="AF653" s="1204"/>
      <c r="AG653" s="1204"/>
      <c r="AH653" s="1204"/>
      <c r="AI653" s="1204"/>
    </row>
    <row r="654" spans="1:36" ht="15" customHeight="1">
      <c r="A654" s="1076"/>
      <c r="B654" s="1076"/>
      <c r="C654" s="1076"/>
      <c r="D654" s="1076"/>
      <c r="E654" s="1076"/>
      <c r="F654" s="1076"/>
      <c r="G654" s="1076"/>
      <c r="H654" s="1251"/>
      <c r="I654" s="1123"/>
      <c r="J654" s="1119"/>
      <c r="K654" s="1119"/>
      <c r="L654" s="1119"/>
      <c r="M654" s="1171"/>
      <c r="N654" s="1196"/>
      <c r="O654" s="1196"/>
      <c r="P654" s="1196"/>
      <c r="Q654" s="1119"/>
      <c r="R654" s="1119"/>
      <c r="S654" s="1076"/>
      <c r="T654" s="840" t="s">
        <v>872</v>
      </c>
      <c r="U654" s="866">
        <v>993600</v>
      </c>
      <c r="V654" s="855">
        <v>41117</v>
      </c>
      <c r="W654" s="866" t="s">
        <v>7</v>
      </c>
      <c r="X654" s="1084"/>
      <c r="Y654" s="1084"/>
      <c r="Z654" s="827">
        <v>0</v>
      </c>
      <c r="AA654" s="1084"/>
      <c r="AB654" s="1119"/>
      <c r="AC654" s="1119"/>
      <c r="AD654" s="1119"/>
      <c r="AE654" s="1119"/>
      <c r="AF654" s="1204"/>
      <c r="AG654" s="1204"/>
      <c r="AH654" s="1204"/>
      <c r="AI654" s="1204"/>
    </row>
    <row r="655" spans="1:36" ht="15" customHeight="1">
      <c r="A655" s="1076"/>
      <c r="B655" s="1076"/>
      <c r="C655" s="1076"/>
      <c r="D655" s="1076"/>
      <c r="E655" s="1076"/>
      <c r="F655" s="1076"/>
      <c r="G655" s="1076"/>
      <c r="H655" s="1251"/>
      <c r="I655" s="1123"/>
      <c r="J655" s="1119"/>
      <c r="K655" s="1119"/>
      <c r="L655" s="1119"/>
      <c r="M655" s="1171"/>
      <c r="N655" s="1196"/>
      <c r="O655" s="1196"/>
      <c r="P655" s="1196"/>
      <c r="Q655" s="1119"/>
      <c r="R655" s="1119"/>
      <c r="S655" s="1076"/>
      <c r="T655" s="840"/>
      <c r="U655" s="866"/>
      <c r="V655" s="855"/>
      <c r="W655" s="866"/>
      <c r="X655" s="1084"/>
      <c r="Y655" s="1084"/>
      <c r="Z655" s="827">
        <v>0</v>
      </c>
      <c r="AA655" s="1084"/>
      <c r="AB655" s="1119"/>
      <c r="AC655" s="1119"/>
      <c r="AD655" s="1119"/>
      <c r="AE655" s="1119"/>
      <c r="AF655" s="1204"/>
      <c r="AG655" s="1204"/>
      <c r="AH655" s="1204"/>
      <c r="AI655" s="1204"/>
    </row>
    <row r="656" spans="1:36" ht="15" customHeight="1">
      <c r="A656" s="1076" t="s">
        <v>875</v>
      </c>
      <c r="B656" s="1076" t="s">
        <v>877</v>
      </c>
      <c r="C656" s="1076" t="s">
        <v>72</v>
      </c>
      <c r="D656" s="1076" t="s">
        <v>177</v>
      </c>
      <c r="E656" s="1076" t="s">
        <v>489</v>
      </c>
      <c r="F656" s="1076" t="s">
        <v>217</v>
      </c>
      <c r="G656" s="1076" t="s">
        <v>882</v>
      </c>
      <c r="H656" s="1251">
        <v>169</v>
      </c>
      <c r="I656" s="1123" t="s">
        <v>7</v>
      </c>
      <c r="J656" s="1119">
        <v>23000000</v>
      </c>
      <c r="K656" s="1119">
        <v>23000000</v>
      </c>
      <c r="L656" s="1119">
        <v>23000000</v>
      </c>
      <c r="M656" s="1171">
        <v>40707</v>
      </c>
      <c r="N656" s="1196">
        <v>23000000</v>
      </c>
      <c r="O656" s="1196">
        <v>23000000</v>
      </c>
      <c r="P656" s="1196">
        <v>0</v>
      </c>
      <c r="Q656" s="1196">
        <v>23000000</v>
      </c>
      <c r="R656" s="1119">
        <v>23000000</v>
      </c>
      <c r="S656" s="1076" t="s">
        <v>878</v>
      </c>
      <c r="T656" s="840" t="s">
        <v>879</v>
      </c>
      <c r="U656" s="866">
        <v>9200000</v>
      </c>
      <c r="V656" s="855">
        <v>41106</v>
      </c>
      <c r="W656" s="866" t="s">
        <v>7</v>
      </c>
      <c r="X656" s="1084">
        <v>23000000</v>
      </c>
      <c r="Y656" s="1084">
        <v>23000000</v>
      </c>
      <c r="Z656" s="827">
        <v>0</v>
      </c>
      <c r="AA656" s="1084">
        <v>0</v>
      </c>
      <c r="AB656" s="1119">
        <v>0</v>
      </c>
      <c r="AC656" s="1119">
        <v>0</v>
      </c>
      <c r="AD656" s="1119">
        <v>0</v>
      </c>
      <c r="AE656" s="1119">
        <v>0</v>
      </c>
      <c r="AF656" s="1204" t="s">
        <v>883</v>
      </c>
      <c r="AG656" s="1237" t="s">
        <v>884</v>
      </c>
      <c r="AH656" s="1204" t="s">
        <v>194</v>
      </c>
      <c r="AI656" s="1204" t="s">
        <v>558</v>
      </c>
      <c r="AJ656" s="203" t="s">
        <v>2503</v>
      </c>
    </row>
    <row r="657" spans="1:36" ht="15" customHeight="1">
      <c r="A657" s="1076"/>
      <c r="B657" s="1076"/>
      <c r="C657" s="1076"/>
      <c r="D657" s="1076"/>
      <c r="E657" s="1076"/>
      <c r="F657" s="1076"/>
      <c r="G657" s="1076"/>
      <c r="H657" s="1251"/>
      <c r="I657" s="1123"/>
      <c r="J657" s="1119"/>
      <c r="K657" s="1119"/>
      <c r="L657" s="1119"/>
      <c r="M657" s="1171"/>
      <c r="N657" s="1196"/>
      <c r="O657" s="1196"/>
      <c r="P657" s="1196"/>
      <c r="Q657" s="1196"/>
      <c r="R657" s="1119"/>
      <c r="S657" s="1076"/>
      <c r="T657" s="840" t="s">
        <v>880</v>
      </c>
      <c r="U657" s="866">
        <v>9660000</v>
      </c>
      <c r="V657" s="855">
        <v>41618</v>
      </c>
      <c r="W657" s="866" t="s">
        <v>7</v>
      </c>
      <c r="X657" s="1084"/>
      <c r="Y657" s="1084"/>
      <c r="Z657" s="827">
        <v>0</v>
      </c>
      <c r="AA657" s="1084"/>
      <c r="AB657" s="1119"/>
      <c r="AC657" s="1119"/>
      <c r="AD657" s="1119"/>
      <c r="AE657" s="1119"/>
      <c r="AF657" s="1204"/>
      <c r="AG657" s="1204"/>
      <c r="AH657" s="1204"/>
      <c r="AI657" s="1204"/>
    </row>
    <row r="658" spans="1:36" ht="15" customHeight="1">
      <c r="A658" s="1076"/>
      <c r="B658" s="1076"/>
      <c r="C658" s="1076"/>
      <c r="D658" s="1076"/>
      <c r="E658" s="1076"/>
      <c r="F658" s="1076"/>
      <c r="G658" s="1076"/>
      <c r="H658" s="1251"/>
      <c r="I658" s="1123"/>
      <c r="J658" s="1119"/>
      <c r="K658" s="1119"/>
      <c r="L658" s="1119"/>
      <c r="M658" s="1171"/>
      <c r="N658" s="1196"/>
      <c r="O658" s="1196"/>
      <c r="P658" s="1196"/>
      <c r="Q658" s="1196"/>
      <c r="R658" s="1119"/>
      <c r="S658" s="1076"/>
      <c r="T658" s="840" t="s">
        <v>881</v>
      </c>
      <c r="U658" s="866">
        <v>4140000</v>
      </c>
      <c r="V658" s="855">
        <v>42993</v>
      </c>
      <c r="W658" s="866" t="s">
        <v>7</v>
      </c>
      <c r="X658" s="1084"/>
      <c r="Y658" s="1084"/>
      <c r="Z658" s="827">
        <v>0</v>
      </c>
      <c r="AA658" s="1084"/>
      <c r="AB658" s="1119"/>
      <c r="AC658" s="1119"/>
      <c r="AD658" s="1119"/>
      <c r="AE658" s="1119"/>
      <c r="AF658" s="1204"/>
      <c r="AG658" s="1204"/>
      <c r="AH658" s="1204"/>
      <c r="AI658" s="1204"/>
    </row>
    <row r="659" spans="1:36" ht="15" customHeight="1">
      <c r="A659" s="1076" t="s">
        <v>885</v>
      </c>
      <c r="B659" s="1076" t="s">
        <v>887</v>
      </c>
      <c r="C659" s="1076" t="s">
        <v>72</v>
      </c>
      <c r="D659" s="1076" t="s">
        <v>177</v>
      </c>
      <c r="E659" s="1076" t="s">
        <v>66</v>
      </c>
      <c r="F659" s="1076" t="s">
        <v>48</v>
      </c>
      <c r="G659" s="1076" t="s">
        <v>839</v>
      </c>
      <c r="H659" s="1251">
        <v>137</v>
      </c>
      <c r="I659" s="1123" t="s">
        <v>7</v>
      </c>
      <c r="J659" s="1119">
        <v>199875694</v>
      </c>
      <c r="K659" s="1119">
        <v>199875694</v>
      </c>
      <c r="L659" s="1119">
        <v>199875694</v>
      </c>
      <c r="M659" s="1171">
        <v>40647</v>
      </c>
      <c r="N659" s="1196">
        <v>199875694</v>
      </c>
      <c r="O659" s="1196">
        <v>199875694</v>
      </c>
      <c r="P659" s="1196">
        <v>0</v>
      </c>
      <c r="Q659" s="1196">
        <v>199875693.84</v>
      </c>
      <c r="R659" s="1119">
        <v>199875693.84</v>
      </c>
      <c r="S659" s="1076" t="s">
        <v>888</v>
      </c>
      <c r="T659" s="840" t="s">
        <v>889</v>
      </c>
      <c r="U659" s="866">
        <v>79950277.540000007</v>
      </c>
      <c r="V659" s="855">
        <v>40694</v>
      </c>
      <c r="W659" s="866" t="s">
        <v>7</v>
      </c>
      <c r="X659" s="1084">
        <v>187883150.54000002</v>
      </c>
      <c r="Y659" s="1084">
        <v>187883150.54000002</v>
      </c>
      <c r="Z659" s="827">
        <v>-4.0000081062316895E-3</v>
      </c>
      <c r="AA659" s="1084"/>
      <c r="AB659" s="1119">
        <v>-7995026.5400000215</v>
      </c>
      <c r="AC659" s="1119">
        <v>0.15999999642372131</v>
      </c>
      <c r="AD659" s="1119">
        <v>11992543.299999982</v>
      </c>
      <c r="AE659" s="1119">
        <v>11992543.459999979</v>
      </c>
      <c r="AF659" s="1204" t="s">
        <v>891</v>
      </c>
      <c r="AG659" s="1204" t="s">
        <v>892</v>
      </c>
      <c r="AH659" s="1204" t="s">
        <v>194</v>
      </c>
      <c r="AI659" s="1204" t="s">
        <v>558</v>
      </c>
      <c r="AJ659" s="1074" t="s">
        <v>2505</v>
      </c>
    </row>
    <row r="660" spans="1:36" ht="15" customHeight="1">
      <c r="A660" s="1076"/>
      <c r="B660" s="1076"/>
      <c r="C660" s="1076"/>
      <c r="D660" s="1076"/>
      <c r="E660" s="1076"/>
      <c r="F660" s="1076"/>
      <c r="G660" s="1076"/>
      <c r="H660" s="1251"/>
      <c r="I660" s="1123"/>
      <c r="J660" s="1119"/>
      <c r="K660" s="1119"/>
      <c r="L660" s="1119"/>
      <c r="M660" s="1171"/>
      <c r="N660" s="1196"/>
      <c r="O660" s="1196"/>
      <c r="P660" s="1196"/>
      <c r="Q660" s="1196"/>
      <c r="R660" s="1119"/>
      <c r="S660" s="1076"/>
      <c r="T660" s="1123" t="s">
        <v>890</v>
      </c>
      <c r="U660" s="866">
        <v>31358524</v>
      </c>
      <c r="V660" s="1171">
        <v>40898</v>
      </c>
      <c r="W660" s="866" t="s">
        <v>7</v>
      </c>
      <c r="X660" s="1084"/>
      <c r="Y660" s="1084"/>
      <c r="Z660" s="1084">
        <v>1.4000000059604645</v>
      </c>
      <c r="AA660" s="1084"/>
      <c r="AB660" s="1119"/>
      <c r="AC660" s="1119"/>
      <c r="AD660" s="1119"/>
      <c r="AE660" s="1119"/>
      <c r="AF660" s="1204"/>
      <c r="AG660" s="1204"/>
      <c r="AH660" s="1204"/>
      <c r="AI660" s="1204"/>
      <c r="AJ660" s="1074"/>
    </row>
    <row r="661" spans="1:36" ht="15" customHeight="1">
      <c r="A661" s="1076"/>
      <c r="B661" s="1076"/>
      <c r="C661" s="1076"/>
      <c r="D661" s="1076"/>
      <c r="E661" s="1076"/>
      <c r="F661" s="1076"/>
      <c r="G661" s="1076"/>
      <c r="H661" s="1251"/>
      <c r="I661" s="1123"/>
      <c r="J661" s="1119"/>
      <c r="K661" s="1119"/>
      <c r="L661" s="1119"/>
      <c r="M661" s="1171"/>
      <c r="N661" s="1196"/>
      <c r="O661" s="1196"/>
      <c r="P661" s="1196"/>
      <c r="Q661" s="1196"/>
      <c r="R661" s="1119"/>
      <c r="S661" s="1076"/>
      <c r="T661" s="1123"/>
      <c r="U661" s="866">
        <v>35250571</v>
      </c>
      <c r="V661" s="1171"/>
      <c r="W661" s="866" t="s">
        <v>7</v>
      </c>
      <c r="X661" s="1084"/>
      <c r="Y661" s="1084"/>
      <c r="Z661" s="1084"/>
      <c r="AA661" s="1084"/>
      <c r="AB661" s="1119"/>
      <c r="AC661" s="1119"/>
      <c r="AD661" s="1119"/>
      <c r="AE661" s="1119"/>
      <c r="AF661" s="1204"/>
      <c r="AG661" s="1204"/>
      <c r="AH661" s="1204"/>
      <c r="AI661" s="1204"/>
      <c r="AJ661" s="1074"/>
    </row>
    <row r="662" spans="1:36" ht="15" customHeight="1">
      <c r="A662" s="1076"/>
      <c r="B662" s="1076"/>
      <c r="C662" s="1076"/>
      <c r="D662" s="1076"/>
      <c r="E662" s="1076"/>
      <c r="F662" s="1076"/>
      <c r="G662" s="1076"/>
      <c r="H662" s="1251"/>
      <c r="I662" s="1123"/>
      <c r="J662" s="1119"/>
      <c r="K662" s="1119"/>
      <c r="L662" s="1119"/>
      <c r="M662" s="1171"/>
      <c r="N662" s="1196"/>
      <c r="O662" s="1196"/>
      <c r="P662" s="1196"/>
      <c r="Q662" s="1196"/>
      <c r="R662" s="1119"/>
      <c r="S662" s="1076"/>
      <c r="T662" s="1123"/>
      <c r="U662" s="866">
        <v>41323778</v>
      </c>
      <c r="V662" s="1171"/>
      <c r="W662" s="866" t="s">
        <v>7</v>
      </c>
      <c r="X662" s="1084"/>
      <c r="Y662" s="1084"/>
      <c r="Z662" s="1084"/>
      <c r="AA662" s="1084"/>
      <c r="AB662" s="1119"/>
      <c r="AC662" s="1119"/>
      <c r="AD662" s="1119"/>
      <c r="AE662" s="1119"/>
      <c r="AF662" s="1204"/>
      <c r="AG662" s="1204"/>
      <c r="AH662" s="1204"/>
      <c r="AI662" s="1204"/>
      <c r="AJ662" s="1074"/>
    </row>
    <row r="663" spans="1:36" ht="15" customHeight="1">
      <c r="A663" s="1076"/>
      <c r="B663" s="1076"/>
      <c r="C663" s="1076"/>
      <c r="D663" s="1076"/>
      <c r="E663" s="1076"/>
      <c r="F663" s="1076"/>
      <c r="G663" s="1076"/>
      <c r="H663" s="1251"/>
      <c r="I663" s="1123"/>
      <c r="J663" s="1119"/>
      <c r="K663" s="1119"/>
      <c r="L663" s="1119"/>
      <c r="M663" s="1171"/>
      <c r="N663" s="1196"/>
      <c r="O663" s="1196"/>
      <c r="P663" s="1196"/>
      <c r="Q663" s="1196"/>
      <c r="R663" s="1119"/>
      <c r="S663" s="1076"/>
      <c r="T663" s="840"/>
      <c r="U663" s="866"/>
      <c r="V663" s="855"/>
      <c r="W663" s="866"/>
      <c r="X663" s="1084"/>
      <c r="Y663" s="1084"/>
      <c r="Z663" s="827">
        <v>0</v>
      </c>
      <c r="AA663" s="1084"/>
      <c r="AB663" s="1119"/>
      <c r="AC663" s="1119"/>
      <c r="AD663" s="1119"/>
      <c r="AE663" s="1119"/>
      <c r="AF663" s="1204"/>
      <c r="AG663" s="1204"/>
      <c r="AH663" s="1204"/>
      <c r="AI663" s="1204"/>
      <c r="AJ663" s="1074"/>
    </row>
    <row r="664" spans="1:36" s="30" customFormat="1" ht="15" customHeight="1">
      <c r="A664" s="1076" t="s">
        <v>972</v>
      </c>
      <c r="B664" s="1076" t="s">
        <v>979</v>
      </c>
      <c r="C664" s="1076" t="s">
        <v>71</v>
      </c>
      <c r="D664" s="1076" t="s">
        <v>692</v>
      </c>
      <c r="E664" s="1076" t="s">
        <v>66</v>
      </c>
      <c r="F664" s="1076" t="s">
        <v>183</v>
      </c>
      <c r="G664" s="1076" t="s">
        <v>983</v>
      </c>
      <c r="H664" s="1216">
        <v>1</v>
      </c>
      <c r="I664" s="1076" t="s">
        <v>132</v>
      </c>
      <c r="J664" s="1119">
        <v>93175970</v>
      </c>
      <c r="K664" s="1119">
        <v>93175970</v>
      </c>
      <c r="L664" s="1119">
        <v>93175970</v>
      </c>
      <c r="M664" s="1171">
        <v>40709</v>
      </c>
      <c r="N664" s="1119">
        <v>93175970</v>
      </c>
      <c r="O664" s="1119">
        <v>93175970</v>
      </c>
      <c r="P664" s="1119">
        <v>0</v>
      </c>
      <c r="Q664" s="1119">
        <v>93175000</v>
      </c>
      <c r="R664" s="1119">
        <v>93175000</v>
      </c>
      <c r="S664" s="1203" t="s">
        <v>959</v>
      </c>
      <c r="T664" s="840" t="s">
        <v>981</v>
      </c>
      <c r="U664" s="866">
        <v>37270000</v>
      </c>
      <c r="V664" s="855">
        <v>40812</v>
      </c>
      <c r="W664" s="866" t="s">
        <v>132</v>
      </c>
      <c r="X664" s="1215">
        <v>93174130</v>
      </c>
      <c r="Y664" s="1215">
        <v>93174130</v>
      </c>
      <c r="Z664" s="866">
        <v>0</v>
      </c>
      <c r="AA664" s="1215">
        <v>1840</v>
      </c>
      <c r="AB664" s="1215">
        <v>0</v>
      </c>
      <c r="AC664" s="1215">
        <v>970</v>
      </c>
      <c r="AD664" s="1215">
        <v>870</v>
      </c>
      <c r="AE664" s="1215">
        <v>1840</v>
      </c>
      <c r="AF664" s="1247" t="s">
        <v>606</v>
      </c>
      <c r="AG664" s="1246" t="s">
        <v>984</v>
      </c>
      <c r="AH664" s="1405" t="s">
        <v>195</v>
      </c>
      <c r="AI664" s="1405" t="s">
        <v>980</v>
      </c>
    </row>
    <row r="665" spans="1:36" s="30" customFormat="1" ht="15" customHeight="1">
      <c r="A665" s="1076"/>
      <c r="B665" s="1076"/>
      <c r="C665" s="1076"/>
      <c r="D665" s="1076"/>
      <c r="E665" s="1076"/>
      <c r="F665" s="1076"/>
      <c r="G665" s="1076"/>
      <c r="H665" s="1218"/>
      <c r="I665" s="1076"/>
      <c r="J665" s="1119"/>
      <c r="K665" s="1119"/>
      <c r="L665" s="1119"/>
      <c r="M665" s="1171"/>
      <c r="N665" s="1119"/>
      <c r="O665" s="1119"/>
      <c r="P665" s="1119"/>
      <c r="Q665" s="1119"/>
      <c r="R665" s="1119"/>
      <c r="S665" s="1203"/>
      <c r="T665" s="840" t="s">
        <v>982</v>
      </c>
      <c r="U665" s="866">
        <v>55904130</v>
      </c>
      <c r="V665" s="855">
        <v>41129</v>
      </c>
      <c r="W665" s="866" t="s">
        <v>132</v>
      </c>
      <c r="X665" s="1215"/>
      <c r="Y665" s="1215"/>
      <c r="Z665" s="866">
        <v>0</v>
      </c>
      <c r="AA665" s="1215"/>
      <c r="AB665" s="1215"/>
      <c r="AC665" s="1215"/>
      <c r="AD665" s="1215"/>
      <c r="AE665" s="1215"/>
      <c r="AF665" s="1247"/>
      <c r="AG665" s="1246"/>
      <c r="AH665" s="1407"/>
      <c r="AI665" s="1407"/>
    </row>
    <row r="666" spans="1:36" s="30" customFormat="1" ht="15" customHeight="1">
      <c r="A666" s="1076" t="s">
        <v>975</v>
      </c>
      <c r="B666" s="1076" t="s">
        <v>987</v>
      </c>
      <c r="C666" s="1076" t="s">
        <v>71</v>
      </c>
      <c r="D666" s="1076" t="s">
        <v>692</v>
      </c>
      <c r="E666" s="1076" t="s">
        <v>489</v>
      </c>
      <c r="F666" s="1076" t="s">
        <v>217</v>
      </c>
      <c r="G666" s="1076" t="s">
        <v>974</v>
      </c>
      <c r="H666" s="1216" t="s">
        <v>973</v>
      </c>
      <c r="I666" s="1076" t="s">
        <v>7</v>
      </c>
      <c r="J666" s="1119">
        <v>190119770</v>
      </c>
      <c r="K666" s="1119">
        <v>190119770</v>
      </c>
      <c r="L666" s="1119">
        <v>190119770</v>
      </c>
      <c r="M666" s="1171">
        <v>40637</v>
      </c>
      <c r="N666" s="1119">
        <v>190119770</v>
      </c>
      <c r="O666" s="1119">
        <v>190119770</v>
      </c>
      <c r="P666" s="1119">
        <v>0</v>
      </c>
      <c r="Q666" s="1119">
        <v>190010000</v>
      </c>
      <c r="R666" s="1119">
        <v>190010000</v>
      </c>
      <c r="S666" s="1203" t="s">
        <v>988</v>
      </c>
      <c r="T666" s="840" t="s">
        <v>989</v>
      </c>
      <c r="U666" s="866">
        <v>95005000</v>
      </c>
      <c r="V666" s="855">
        <v>40667</v>
      </c>
      <c r="W666" s="866" t="s">
        <v>7</v>
      </c>
      <c r="X666" s="1215">
        <v>180259138.5</v>
      </c>
      <c r="Y666" s="1215">
        <v>180259138.5</v>
      </c>
      <c r="Z666" s="866">
        <v>0</v>
      </c>
      <c r="AA666" s="1215">
        <v>9860631.5</v>
      </c>
      <c r="AB666" s="1215">
        <v>9750151.5</v>
      </c>
      <c r="AC666" s="1215">
        <v>109770</v>
      </c>
      <c r="AD666" s="1215">
        <v>710</v>
      </c>
      <c r="AE666" s="1215">
        <v>110480</v>
      </c>
      <c r="AF666" s="1247" t="s">
        <v>992</v>
      </c>
      <c r="AG666" s="1246" t="s">
        <v>993</v>
      </c>
      <c r="AH666" s="1405" t="s">
        <v>195</v>
      </c>
      <c r="AI666" s="1405" t="s">
        <v>558</v>
      </c>
    </row>
    <row r="667" spans="1:36" s="30" customFormat="1" ht="15" customHeight="1">
      <c r="A667" s="1076"/>
      <c r="B667" s="1076"/>
      <c r="C667" s="1076"/>
      <c r="D667" s="1076"/>
      <c r="E667" s="1076"/>
      <c r="F667" s="1076"/>
      <c r="G667" s="1076"/>
      <c r="H667" s="1217"/>
      <c r="I667" s="1076"/>
      <c r="J667" s="1119"/>
      <c r="K667" s="1119"/>
      <c r="L667" s="1119"/>
      <c r="M667" s="1171"/>
      <c r="N667" s="1119"/>
      <c r="O667" s="1119"/>
      <c r="P667" s="1119"/>
      <c r="Q667" s="1119"/>
      <c r="R667" s="1119"/>
      <c r="S667" s="1203"/>
      <c r="T667" s="840" t="s">
        <v>990</v>
      </c>
      <c r="U667" s="866">
        <v>85254138.5</v>
      </c>
      <c r="V667" s="855">
        <v>41271</v>
      </c>
      <c r="W667" s="866" t="s">
        <v>7</v>
      </c>
      <c r="X667" s="1215"/>
      <c r="Y667" s="1215"/>
      <c r="Z667" s="866">
        <v>0</v>
      </c>
      <c r="AA667" s="1215"/>
      <c r="AB667" s="1215"/>
      <c r="AC667" s="1215"/>
      <c r="AD667" s="1215"/>
      <c r="AE667" s="1215"/>
      <c r="AF667" s="1247"/>
      <c r="AG667" s="1246"/>
      <c r="AH667" s="1406"/>
      <c r="AI667" s="1406"/>
    </row>
    <row r="668" spans="1:36" s="30" customFormat="1" ht="15" customHeight="1">
      <c r="A668" s="1076"/>
      <c r="B668" s="1076"/>
      <c r="C668" s="1076"/>
      <c r="D668" s="1076"/>
      <c r="E668" s="1076"/>
      <c r="F668" s="1076"/>
      <c r="G668" s="1076"/>
      <c r="H668" s="1218"/>
      <c r="I668" s="1076"/>
      <c r="J668" s="1119"/>
      <c r="K668" s="1119"/>
      <c r="L668" s="1119"/>
      <c r="M668" s="1171"/>
      <c r="N668" s="1119"/>
      <c r="O668" s="1119"/>
      <c r="P668" s="1119"/>
      <c r="Q668" s="1119"/>
      <c r="R668" s="1119"/>
      <c r="S668" s="1203"/>
      <c r="T668" s="840" t="s">
        <v>991</v>
      </c>
      <c r="U668" s="866">
        <v>0</v>
      </c>
      <c r="V668" s="855"/>
      <c r="W668" s="866" t="s">
        <v>7</v>
      </c>
      <c r="X668" s="1215"/>
      <c r="Y668" s="1215"/>
      <c r="Z668" s="866">
        <v>9750151.5</v>
      </c>
      <c r="AA668" s="1215"/>
      <c r="AB668" s="1215"/>
      <c r="AC668" s="1215"/>
      <c r="AD668" s="1215"/>
      <c r="AE668" s="1215"/>
      <c r="AF668" s="1247"/>
      <c r="AG668" s="1246"/>
      <c r="AH668" s="1407"/>
      <c r="AI668" s="1407"/>
    </row>
    <row r="669" spans="1:36" s="30" customFormat="1" ht="15" customHeight="1">
      <c r="A669" s="1076" t="s">
        <v>994</v>
      </c>
      <c r="B669" s="1076" t="s">
        <v>997</v>
      </c>
      <c r="C669" s="1076" t="s">
        <v>71</v>
      </c>
      <c r="D669" s="1076" t="s">
        <v>692</v>
      </c>
      <c r="E669" s="1076" t="s">
        <v>66</v>
      </c>
      <c r="F669" s="1076" t="s">
        <v>183</v>
      </c>
      <c r="G669" s="1076" t="s">
        <v>998</v>
      </c>
      <c r="H669" s="1216">
        <v>131</v>
      </c>
      <c r="I669" s="1076" t="s">
        <v>7</v>
      </c>
      <c r="J669" s="1119">
        <v>141212150</v>
      </c>
      <c r="K669" s="1119">
        <v>141212150</v>
      </c>
      <c r="L669" s="1119">
        <v>141212150</v>
      </c>
      <c r="M669" s="1171">
        <v>40637</v>
      </c>
      <c r="N669" s="1119">
        <v>140957310</v>
      </c>
      <c r="O669" s="1119">
        <v>140957310</v>
      </c>
      <c r="P669" s="1119">
        <v>254840</v>
      </c>
      <c r="Q669" s="1119">
        <v>140957310</v>
      </c>
      <c r="R669" s="1119">
        <v>140957310</v>
      </c>
      <c r="S669" s="1203" t="s">
        <v>988</v>
      </c>
      <c r="T669" s="840" t="s">
        <v>999</v>
      </c>
      <c r="U669" s="866">
        <v>70478655</v>
      </c>
      <c r="V669" s="855">
        <v>40693</v>
      </c>
      <c r="W669" s="866" t="s">
        <v>7</v>
      </c>
      <c r="X669" s="1215">
        <v>140957200</v>
      </c>
      <c r="Y669" s="1215">
        <v>140957200</v>
      </c>
      <c r="Z669" s="866">
        <v>0</v>
      </c>
      <c r="AA669" s="1215">
        <v>254950</v>
      </c>
      <c r="AB669" s="1215">
        <v>-1</v>
      </c>
      <c r="AC669" s="1215">
        <v>0</v>
      </c>
      <c r="AD669" s="1215">
        <v>110</v>
      </c>
      <c r="AE669" s="1215">
        <v>110</v>
      </c>
      <c r="AF669" s="1246" t="s">
        <v>606</v>
      </c>
      <c r="AG669" s="1246" t="s">
        <v>1002</v>
      </c>
      <c r="AH669" s="1408" t="s">
        <v>195</v>
      </c>
      <c r="AI669" s="1408" t="s">
        <v>558</v>
      </c>
    </row>
    <row r="670" spans="1:36" s="30" customFormat="1" ht="15" customHeight="1">
      <c r="A670" s="1076"/>
      <c r="B670" s="1076"/>
      <c r="C670" s="1076"/>
      <c r="D670" s="1076"/>
      <c r="E670" s="1076"/>
      <c r="F670" s="1076"/>
      <c r="G670" s="1076"/>
      <c r="H670" s="1217"/>
      <c r="I670" s="1076"/>
      <c r="J670" s="1119"/>
      <c r="K670" s="1119"/>
      <c r="L670" s="1119"/>
      <c r="M670" s="1171"/>
      <c r="N670" s="1119"/>
      <c r="O670" s="1119"/>
      <c r="P670" s="1119"/>
      <c r="Q670" s="1119"/>
      <c r="R670" s="1119"/>
      <c r="S670" s="1203"/>
      <c r="T670" s="840" t="s">
        <v>1000</v>
      </c>
      <c r="U670" s="866">
        <v>62831482</v>
      </c>
      <c r="V670" s="855">
        <v>41158</v>
      </c>
      <c r="W670" s="866" t="s">
        <v>7</v>
      </c>
      <c r="X670" s="1215"/>
      <c r="Y670" s="1215"/>
      <c r="Z670" s="866">
        <v>0</v>
      </c>
      <c r="AA670" s="1215"/>
      <c r="AB670" s="1215"/>
      <c r="AC670" s="1215"/>
      <c r="AD670" s="1215"/>
      <c r="AE670" s="1215"/>
      <c r="AF670" s="1246"/>
      <c r="AG670" s="1246"/>
      <c r="AH670" s="1408"/>
      <c r="AI670" s="1408"/>
    </row>
    <row r="671" spans="1:36" s="30" customFormat="1" ht="15" customHeight="1">
      <c r="A671" s="1076"/>
      <c r="B671" s="1076"/>
      <c r="C671" s="1076"/>
      <c r="D671" s="1076"/>
      <c r="E671" s="1076"/>
      <c r="F671" s="1076"/>
      <c r="G671" s="1076"/>
      <c r="H671" s="1218"/>
      <c r="I671" s="1076"/>
      <c r="J671" s="1119"/>
      <c r="K671" s="1119"/>
      <c r="L671" s="1119"/>
      <c r="M671" s="1171"/>
      <c r="N671" s="1119"/>
      <c r="O671" s="1119"/>
      <c r="P671" s="1119"/>
      <c r="Q671" s="1119"/>
      <c r="R671" s="1119"/>
      <c r="S671" s="1203"/>
      <c r="T671" s="840" t="s">
        <v>1001</v>
      </c>
      <c r="U671" s="866">
        <v>7647063</v>
      </c>
      <c r="V671" s="855">
        <v>41879</v>
      </c>
      <c r="W671" s="866" t="s">
        <v>7</v>
      </c>
      <c r="X671" s="1215"/>
      <c r="Y671" s="1215"/>
      <c r="Z671" s="866">
        <v>-1</v>
      </c>
      <c r="AA671" s="1215"/>
      <c r="AB671" s="1215"/>
      <c r="AC671" s="1215"/>
      <c r="AD671" s="1215"/>
      <c r="AE671" s="1215"/>
      <c r="AF671" s="1246"/>
      <c r="AG671" s="1246"/>
      <c r="AH671" s="1408"/>
      <c r="AI671" s="1408"/>
    </row>
    <row r="672" spans="1:36" s="30" customFormat="1" ht="15" customHeight="1">
      <c r="A672" s="1076" t="s">
        <v>1015</v>
      </c>
      <c r="B672" s="1076" t="s">
        <v>1018</v>
      </c>
      <c r="C672" s="1076" t="s">
        <v>71</v>
      </c>
      <c r="D672" s="1076" t="s">
        <v>692</v>
      </c>
      <c r="E672" s="1076" t="s">
        <v>66</v>
      </c>
      <c r="F672" s="1076" t="s">
        <v>183</v>
      </c>
      <c r="G672" s="1076" t="s">
        <v>1014</v>
      </c>
      <c r="H672" s="1223">
        <v>135</v>
      </c>
      <c r="I672" s="1076" t="s">
        <v>7</v>
      </c>
      <c r="J672" s="1119">
        <v>191854661</v>
      </c>
      <c r="K672" s="1119">
        <v>191854661</v>
      </c>
      <c r="L672" s="1119">
        <v>191854661</v>
      </c>
      <c r="M672" s="1171">
        <v>40637</v>
      </c>
      <c r="N672" s="1119">
        <v>191854661</v>
      </c>
      <c r="O672" s="1119">
        <v>191854661</v>
      </c>
      <c r="P672" s="1119">
        <v>0</v>
      </c>
      <c r="Q672" s="1119">
        <v>191150000</v>
      </c>
      <c r="R672" s="1119">
        <v>191150000</v>
      </c>
      <c r="S672" s="1203" t="s">
        <v>1006</v>
      </c>
      <c r="T672" s="840" t="s">
        <v>1019</v>
      </c>
      <c r="U672" s="866">
        <v>95005000</v>
      </c>
      <c r="V672" s="855">
        <v>40672</v>
      </c>
      <c r="W672" s="866" t="s">
        <v>7</v>
      </c>
      <c r="X672" s="1215">
        <v>191149996.00999999</v>
      </c>
      <c r="Y672" s="1215">
        <v>191149996.00999999</v>
      </c>
      <c r="Z672" s="866">
        <v>0</v>
      </c>
      <c r="AA672" s="1215">
        <v>704664.99000000954</v>
      </c>
      <c r="AB672" s="1215">
        <v>-9.9999904632568359E-3</v>
      </c>
      <c r="AC672" s="1215">
        <v>704661</v>
      </c>
      <c r="AD672" s="1215">
        <v>4</v>
      </c>
      <c r="AE672" s="1215">
        <v>704665</v>
      </c>
      <c r="AF672" s="1246" t="s">
        <v>1023</v>
      </c>
      <c r="AG672" s="1246" t="s">
        <v>1022</v>
      </c>
      <c r="AH672" s="1405" t="s">
        <v>194</v>
      </c>
      <c r="AI672" s="1405" t="s">
        <v>558</v>
      </c>
    </row>
    <row r="673" spans="1:36" s="30" customFormat="1" ht="15" customHeight="1">
      <c r="A673" s="1076"/>
      <c r="B673" s="1076"/>
      <c r="C673" s="1076"/>
      <c r="D673" s="1076"/>
      <c r="E673" s="1076"/>
      <c r="F673" s="1076"/>
      <c r="G673" s="1076"/>
      <c r="H673" s="1223"/>
      <c r="I673" s="1076"/>
      <c r="J673" s="1119"/>
      <c r="K673" s="1119"/>
      <c r="L673" s="1119"/>
      <c r="M673" s="1171"/>
      <c r="N673" s="1119"/>
      <c r="O673" s="1119"/>
      <c r="P673" s="1119"/>
      <c r="Q673" s="1119"/>
      <c r="R673" s="1119"/>
      <c r="S673" s="1203"/>
      <c r="T673" s="840" t="s">
        <v>1020</v>
      </c>
      <c r="U673" s="866">
        <v>85278313.510000005</v>
      </c>
      <c r="V673" s="855">
        <v>41284</v>
      </c>
      <c r="W673" s="866" t="s">
        <v>7</v>
      </c>
      <c r="X673" s="1215"/>
      <c r="Y673" s="1215"/>
      <c r="Z673" s="866">
        <v>-1.000000536441803E-2</v>
      </c>
      <c r="AA673" s="1215"/>
      <c r="AB673" s="1215"/>
      <c r="AC673" s="1215"/>
      <c r="AD673" s="1215"/>
      <c r="AE673" s="1215"/>
      <c r="AF673" s="1246"/>
      <c r="AG673" s="1246"/>
      <c r="AH673" s="1406"/>
      <c r="AI673" s="1406"/>
    </row>
    <row r="674" spans="1:36" s="30" customFormat="1" ht="15" customHeight="1">
      <c r="A674" s="1076"/>
      <c r="B674" s="1076"/>
      <c r="C674" s="1076"/>
      <c r="D674" s="1076"/>
      <c r="E674" s="1076"/>
      <c r="F674" s="1076"/>
      <c r="G674" s="1076"/>
      <c r="H674" s="1223"/>
      <c r="I674" s="1076"/>
      <c r="J674" s="1119"/>
      <c r="K674" s="1119"/>
      <c r="L674" s="1119"/>
      <c r="M674" s="1171"/>
      <c r="N674" s="1119"/>
      <c r="O674" s="1119"/>
      <c r="P674" s="1119"/>
      <c r="Q674" s="1119"/>
      <c r="R674" s="1119"/>
      <c r="S674" s="1203"/>
      <c r="T674" s="840" t="s">
        <v>1021</v>
      </c>
      <c r="U674" s="866">
        <v>10866682.5</v>
      </c>
      <c r="V674" s="855">
        <v>41827</v>
      </c>
      <c r="W674" s="866" t="s">
        <v>7</v>
      </c>
      <c r="X674" s="1215"/>
      <c r="Y674" s="1215"/>
      <c r="Z674" s="866">
        <v>0</v>
      </c>
      <c r="AA674" s="1215"/>
      <c r="AB674" s="1215"/>
      <c r="AC674" s="1215"/>
      <c r="AD674" s="1215"/>
      <c r="AE674" s="1215"/>
      <c r="AF674" s="1246"/>
      <c r="AG674" s="1246"/>
      <c r="AH674" s="1407"/>
      <c r="AI674" s="1407"/>
    </row>
    <row r="675" spans="1:36" ht="15" customHeight="1">
      <c r="A675" s="1011" t="s">
        <v>1003</v>
      </c>
      <c r="B675" s="1011" t="s">
        <v>1005</v>
      </c>
      <c r="C675" s="1011" t="s">
        <v>71</v>
      </c>
      <c r="D675" s="1011" t="s">
        <v>692</v>
      </c>
      <c r="E675" s="1011" t="s">
        <v>489</v>
      </c>
      <c r="F675" s="1011" t="s">
        <v>183</v>
      </c>
      <c r="G675" s="1011" t="s">
        <v>1078</v>
      </c>
      <c r="H675" s="1220">
        <v>127</v>
      </c>
      <c r="I675" s="1065" t="s">
        <v>7</v>
      </c>
      <c r="J675" s="1062">
        <v>373831776</v>
      </c>
      <c r="K675" s="1062">
        <v>373831776</v>
      </c>
      <c r="L675" s="1062">
        <v>501107476</v>
      </c>
      <c r="M675" s="1068">
        <v>40637</v>
      </c>
      <c r="N675" s="1092">
        <v>373765710</v>
      </c>
      <c r="O675" s="1092">
        <v>373765710</v>
      </c>
      <c r="P675" s="1092">
        <v>66066</v>
      </c>
      <c r="Q675" s="1062">
        <v>373765710</v>
      </c>
      <c r="R675" s="1062">
        <v>501041410</v>
      </c>
      <c r="S675" s="1011" t="s">
        <v>1006</v>
      </c>
      <c r="T675" s="840" t="s">
        <v>1007</v>
      </c>
      <c r="U675" s="866">
        <v>186882855</v>
      </c>
      <c r="V675" s="855">
        <v>40666</v>
      </c>
      <c r="W675" s="866" t="s">
        <v>7</v>
      </c>
      <c r="X675" s="1043">
        <v>373765708</v>
      </c>
      <c r="Y675" s="1043">
        <v>475269823</v>
      </c>
      <c r="Z675" s="827">
        <v>0</v>
      </c>
      <c r="AA675" s="1043">
        <v>2</v>
      </c>
      <c r="AB675" s="1062">
        <v>1</v>
      </c>
      <c r="AC675" s="1062">
        <v>0</v>
      </c>
      <c r="AD675" s="1062">
        <v>1</v>
      </c>
      <c r="AE675" s="1062">
        <v>2</v>
      </c>
      <c r="AF675" s="1103" t="s">
        <v>523</v>
      </c>
      <c r="AG675" s="1195" t="s">
        <v>1013</v>
      </c>
      <c r="AH675" s="1103" t="s">
        <v>194</v>
      </c>
      <c r="AI675" s="1103" t="s">
        <v>558</v>
      </c>
    </row>
    <row r="676" spans="1:36" ht="15" customHeight="1">
      <c r="A676" s="1033"/>
      <c r="B676" s="1033"/>
      <c r="C676" s="1033"/>
      <c r="D676" s="1033"/>
      <c r="E676" s="1033"/>
      <c r="F676" s="1033"/>
      <c r="G676" s="1033"/>
      <c r="H676" s="1221"/>
      <c r="I676" s="1066"/>
      <c r="J676" s="1063"/>
      <c r="K676" s="1063"/>
      <c r="L676" s="1063"/>
      <c r="M676" s="1069"/>
      <c r="N676" s="1093"/>
      <c r="O676" s="1093"/>
      <c r="P676" s="1093"/>
      <c r="Q676" s="1063"/>
      <c r="R676" s="1063"/>
      <c r="S676" s="1033"/>
      <c r="T676" s="840" t="s">
        <v>1008</v>
      </c>
      <c r="U676" s="866">
        <v>94904163</v>
      </c>
      <c r="V676" s="855">
        <v>40788</v>
      </c>
      <c r="W676" s="866" t="s">
        <v>7</v>
      </c>
      <c r="X676" s="1044"/>
      <c r="Y676" s="1044"/>
      <c r="Z676" s="827">
        <v>0.5</v>
      </c>
      <c r="AA676" s="1044"/>
      <c r="AB676" s="1063"/>
      <c r="AC676" s="1063"/>
      <c r="AD676" s="1063"/>
      <c r="AE676" s="1063"/>
      <c r="AF676" s="1104"/>
      <c r="AG676" s="1104"/>
      <c r="AH676" s="1104"/>
      <c r="AI676" s="1104"/>
    </row>
    <row r="677" spans="1:36" ht="15" customHeight="1">
      <c r="A677" s="1033"/>
      <c r="B677" s="1033"/>
      <c r="C677" s="1033"/>
      <c r="D677" s="1033"/>
      <c r="E677" s="1033"/>
      <c r="F677" s="1033"/>
      <c r="G677" s="1033"/>
      <c r="H677" s="1221"/>
      <c r="I677" s="1066"/>
      <c r="J677" s="1063"/>
      <c r="K677" s="1063"/>
      <c r="L677" s="1063"/>
      <c r="M677" s="1069"/>
      <c r="N677" s="1093"/>
      <c r="O677" s="1093"/>
      <c r="P677" s="1093"/>
      <c r="Q677" s="1063"/>
      <c r="R677" s="1063"/>
      <c r="S677" s="1033"/>
      <c r="T677" s="840" t="s">
        <v>1009</v>
      </c>
      <c r="U677" s="866">
        <v>64009345</v>
      </c>
      <c r="V677" s="855">
        <v>40864</v>
      </c>
      <c r="W677" s="866" t="s">
        <v>7</v>
      </c>
      <c r="X677" s="1044"/>
      <c r="Y677" s="1044"/>
      <c r="Z677" s="827">
        <v>0.5</v>
      </c>
      <c r="AA677" s="1044"/>
      <c r="AB677" s="1063"/>
      <c r="AC677" s="1063"/>
      <c r="AD677" s="1063"/>
      <c r="AE677" s="1063"/>
      <c r="AF677" s="1104"/>
      <c r="AG677" s="1104"/>
      <c r="AH677" s="1104"/>
      <c r="AI677" s="1104"/>
    </row>
    <row r="678" spans="1:36" ht="15" customHeight="1">
      <c r="A678" s="1033"/>
      <c r="B678" s="1033"/>
      <c r="C678" s="1033"/>
      <c r="D678" s="1033"/>
      <c r="E678" s="1012"/>
      <c r="F678" s="1033"/>
      <c r="G678" s="1033"/>
      <c r="H678" s="1222"/>
      <c r="I678" s="1067"/>
      <c r="J678" s="1064"/>
      <c r="K678" s="1064"/>
      <c r="L678" s="1063"/>
      <c r="M678" s="1070"/>
      <c r="N678" s="1094"/>
      <c r="O678" s="1094"/>
      <c r="P678" s="1094"/>
      <c r="Q678" s="1064"/>
      <c r="R678" s="1063"/>
      <c r="S678" s="1033"/>
      <c r="T678" s="840" t="s">
        <v>1010</v>
      </c>
      <c r="U678" s="866">
        <v>27969345</v>
      </c>
      <c r="V678" s="855">
        <v>41149</v>
      </c>
      <c r="W678" s="866" t="s">
        <v>7</v>
      </c>
      <c r="X678" s="1045"/>
      <c r="Y678" s="1044"/>
      <c r="Z678" s="827">
        <v>0</v>
      </c>
      <c r="AA678" s="1045"/>
      <c r="AB678" s="1063"/>
      <c r="AC678" s="1064"/>
      <c r="AD678" s="1064"/>
      <c r="AE678" s="1064"/>
      <c r="AF678" s="1104"/>
      <c r="AG678" s="1104"/>
      <c r="AH678" s="1104"/>
      <c r="AI678" s="1104"/>
    </row>
    <row r="679" spans="1:36" ht="15" customHeight="1">
      <c r="A679" s="1033"/>
      <c r="B679" s="1033"/>
      <c r="C679" s="1033"/>
      <c r="D679" s="1033"/>
      <c r="E679" s="1011" t="s">
        <v>67</v>
      </c>
      <c r="F679" s="1033"/>
      <c r="G679" s="1033"/>
      <c r="H679" s="1220">
        <v>241</v>
      </c>
      <c r="I679" s="1065" t="s">
        <v>7</v>
      </c>
      <c r="J679" s="1062">
        <v>127275700</v>
      </c>
      <c r="K679" s="1062">
        <v>127275700</v>
      </c>
      <c r="L679" s="1063"/>
      <c r="M679" s="1068">
        <v>41081</v>
      </c>
      <c r="N679" s="1092">
        <v>101504115</v>
      </c>
      <c r="O679" s="1092">
        <v>101504115</v>
      </c>
      <c r="P679" s="1092">
        <v>25771585</v>
      </c>
      <c r="Q679" s="1062">
        <v>127275700</v>
      </c>
      <c r="R679" s="1063"/>
      <c r="S679" s="1033"/>
      <c r="T679" s="840" t="s">
        <v>1011</v>
      </c>
      <c r="U679" s="866">
        <v>49586118</v>
      </c>
      <c r="V679" s="855">
        <v>41149</v>
      </c>
      <c r="W679" s="866" t="s">
        <v>7</v>
      </c>
      <c r="X679" s="1043">
        <v>101504115</v>
      </c>
      <c r="Y679" s="1044"/>
      <c r="Z679" s="827">
        <v>0</v>
      </c>
      <c r="AA679" s="1043">
        <v>0</v>
      </c>
      <c r="AB679" s="1063"/>
      <c r="AC679" s="1062">
        <v>0</v>
      </c>
      <c r="AD679" s="1062">
        <v>25771585</v>
      </c>
      <c r="AE679" s="1062">
        <v>0</v>
      </c>
      <c r="AF679" s="1104"/>
      <c r="AG679" s="1104"/>
      <c r="AH679" s="1104"/>
      <c r="AI679" s="1104"/>
    </row>
    <row r="680" spans="1:36" ht="15" customHeight="1">
      <c r="A680" s="1012"/>
      <c r="B680" s="1012"/>
      <c r="C680" s="1012"/>
      <c r="D680" s="1012"/>
      <c r="E680" s="1012"/>
      <c r="F680" s="1012"/>
      <c r="G680" s="1012"/>
      <c r="H680" s="1222"/>
      <c r="I680" s="1067"/>
      <c r="J680" s="1064"/>
      <c r="K680" s="1064"/>
      <c r="L680" s="1064"/>
      <c r="M680" s="1070"/>
      <c r="N680" s="1094"/>
      <c r="O680" s="1094"/>
      <c r="P680" s="1094"/>
      <c r="Q680" s="1064"/>
      <c r="R680" s="1064"/>
      <c r="S680" s="1012"/>
      <c r="T680" s="840" t="s">
        <v>1012</v>
      </c>
      <c r="U680" s="866">
        <v>51917997</v>
      </c>
      <c r="V680" s="855">
        <v>41451</v>
      </c>
      <c r="W680" s="866" t="s">
        <v>7</v>
      </c>
      <c r="X680" s="1045"/>
      <c r="Y680" s="1045"/>
      <c r="Z680" s="827">
        <v>0</v>
      </c>
      <c r="AA680" s="1045"/>
      <c r="AB680" s="1064"/>
      <c r="AC680" s="1064"/>
      <c r="AD680" s="1064"/>
      <c r="AE680" s="1064"/>
      <c r="AF680" s="1105"/>
      <c r="AG680" s="1105"/>
      <c r="AH680" s="1105"/>
      <c r="AI680" s="1105"/>
    </row>
    <row r="681" spans="1:36" s="4" customFormat="1" ht="15" customHeight="1">
      <c r="A681" s="1076" t="s">
        <v>1083</v>
      </c>
      <c r="B681" s="1076" t="s">
        <v>1085</v>
      </c>
      <c r="C681" s="1076" t="s">
        <v>71</v>
      </c>
      <c r="D681" s="1076" t="s">
        <v>1086</v>
      </c>
      <c r="E681" s="1076" t="s">
        <v>66</v>
      </c>
      <c r="F681" s="1076" t="s">
        <v>48</v>
      </c>
      <c r="G681" s="1076" t="s">
        <v>1088</v>
      </c>
      <c r="H681" s="1245">
        <v>125</v>
      </c>
      <c r="I681" s="1065" t="s">
        <v>137</v>
      </c>
      <c r="J681" s="1119">
        <v>695806847</v>
      </c>
      <c r="K681" s="1224">
        <v>1177691989</v>
      </c>
      <c r="L681" s="1119">
        <v>1233691989</v>
      </c>
      <c r="M681" s="1171">
        <v>40637</v>
      </c>
      <c r="N681" s="1119">
        <v>1177691989</v>
      </c>
      <c r="O681" s="1119">
        <v>695806847</v>
      </c>
      <c r="P681" s="1119">
        <v>0</v>
      </c>
      <c r="Q681" s="1119">
        <v>695704640.86225295</v>
      </c>
      <c r="R681" s="1224">
        <v>1233519000</v>
      </c>
      <c r="S681" s="1076" t="s">
        <v>1087</v>
      </c>
      <c r="T681" s="1123" t="s">
        <v>1089</v>
      </c>
      <c r="U681" s="895">
        <v>347903423.33999997</v>
      </c>
      <c r="V681" s="855">
        <v>40659</v>
      </c>
      <c r="W681" s="1065" t="s">
        <v>137</v>
      </c>
      <c r="X681" s="1224">
        <v>1124266931</v>
      </c>
      <c r="Y681" s="1224">
        <v>1127799589.96</v>
      </c>
      <c r="Z681" s="895">
        <v>-106996243.77112728</v>
      </c>
      <c r="AA681" s="1224">
        <v>92973888.770000041</v>
      </c>
      <c r="AB681" s="1119">
        <v>41988824.039999962</v>
      </c>
      <c r="AC681" s="1119">
        <v>102206.13774704933</v>
      </c>
      <c r="AD681" s="1119">
        <v>53252068.999998331</v>
      </c>
      <c r="AE681" s="1119"/>
      <c r="AF681" s="1203" t="s">
        <v>1096</v>
      </c>
      <c r="AG681" s="1237" t="s">
        <v>1098</v>
      </c>
      <c r="AH681" s="1203" t="s">
        <v>195</v>
      </c>
      <c r="AI681" s="1203" t="s">
        <v>1097</v>
      </c>
      <c r="AJ681" s="1074" t="s">
        <v>2507</v>
      </c>
    </row>
    <row r="682" spans="1:36" s="4" customFormat="1" ht="15" customHeight="1">
      <c r="A682" s="1076"/>
      <c r="B682" s="1076"/>
      <c r="C682" s="1076"/>
      <c r="D682" s="1076"/>
      <c r="E682" s="1076"/>
      <c r="F682" s="1076"/>
      <c r="G682" s="1076"/>
      <c r="H682" s="1245"/>
      <c r="I682" s="1066"/>
      <c r="J682" s="1119"/>
      <c r="K682" s="1224"/>
      <c r="L682" s="1119"/>
      <c r="M682" s="1171"/>
      <c r="N682" s="1119"/>
      <c r="O682" s="1119"/>
      <c r="P682" s="1119"/>
      <c r="Q682" s="1119"/>
      <c r="R682" s="1224"/>
      <c r="S682" s="1076"/>
      <c r="T682" s="1123"/>
      <c r="U682" s="895">
        <v>108981552.89</v>
      </c>
      <c r="V682" s="855">
        <v>40767</v>
      </c>
      <c r="W682" s="1066"/>
      <c r="X682" s="1224"/>
      <c r="Y682" s="1224"/>
      <c r="Z682" s="895">
        <v>238870767.54112649</v>
      </c>
      <c r="AA682" s="1224"/>
      <c r="AB682" s="1119"/>
      <c r="AC682" s="1119"/>
      <c r="AD682" s="1119"/>
      <c r="AE682" s="1119"/>
      <c r="AF682" s="1203"/>
      <c r="AG682" s="1204"/>
      <c r="AH682" s="1203"/>
      <c r="AI682" s="1203"/>
      <c r="AJ682" s="1074"/>
    </row>
    <row r="683" spans="1:36" s="4" customFormat="1" ht="15" customHeight="1">
      <c r="A683" s="1076"/>
      <c r="B683" s="1076"/>
      <c r="C683" s="1076"/>
      <c r="D683" s="1076"/>
      <c r="E683" s="1076"/>
      <c r="F683" s="1076"/>
      <c r="G683" s="1076"/>
      <c r="H683" s="1245"/>
      <c r="I683" s="1066"/>
      <c r="J683" s="1119"/>
      <c r="K683" s="1224"/>
      <c r="L683" s="1119"/>
      <c r="M683" s="1171"/>
      <c r="N683" s="1119"/>
      <c r="O683" s="1119"/>
      <c r="P683" s="1119"/>
      <c r="Q683" s="1119"/>
      <c r="R683" s="1224"/>
      <c r="S683" s="1076"/>
      <c r="T683" s="1123" t="s">
        <v>1091</v>
      </c>
      <c r="U683" s="895">
        <v>49843003</v>
      </c>
      <c r="V683" s="855">
        <v>40835</v>
      </c>
      <c r="W683" s="1066"/>
      <c r="X683" s="1224"/>
      <c r="Y683" s="1224"/>
      <c r="Z683" s="895">
        <v>25632816.390000001</v>
      </c>
      <c r="AA683" s="1224"/>
      <c r="AB683" s="1119"/>
      <c r="AC683" s="1119"/>
      <c r="AD683" s="1119"/>
      <c r="AE683" s="1119"/>
      <c r="AF683" s="1203"/>
      <c r="AG683" s="1204"/>
      <c r="AH683" s="1203"/>
      <c r="AI683" s="1203"/>
      <c r="AJ683" s="1074"/>
    </row>
    <row r="684" spans="1:36" s="4" customFormat="1" ht="15" customHeight="1">
      <c r="A684" s="1076"/>
      <c r="B684" s="1076"/>
      <c r="C684" s="1076"/>
      <c r="D684" s="1076"/>
      <c r="E684" s="1076"/>
      <c r="F684" s="1076"/>
      <c r="G684" s="1076"/>
      <c r="H684" s="1245"/>
      <c r="I684" s="1066"/>
      <c r="J684" s="1119"/>
      <c r="K684" s="1224"/>
      <c r="L684" s="1119"/>
      <c r="M684" s="1171"/>
      <c r="N684" s="1119"/>
      <c r="O684" s="1119"/>
      <c r="P684" s="1119"/>
      <c r="Q684" s="1119"/>
      <c r="R684" s="1224"/>
      <c r="S684" s="1076"/>
      <c r="T684" s="1123"/>
      <c r="U684" s="895">
        <v>96104979</v>
      </c>
      <c r="V684" s="855">
        <v>40856</v>
      </c>
      <c r="W684" s="1066"/>
      <c r="X684" s="1224"/>
      <c r="Y684" s="1224"/>
      <c r="Z684" s="895">
        <v>12876575.609999999</v>
      </c>
      <c r="AA684" s="1224"/>
      <c r="AB684" s="1119"/>
      <c r="AC684" s="1119"/>
      <c r="AD684" s="1119"/>
      <c r="AE684" s="1119"/>
      <c r="AF684" s="1203"/>
      <c r="AG684" s="1204"/>
      <c r="AH684" s="1203"/>
      <c r="AI684" s="1203"/>
      <c r="AJ684" s="1074"/>
    </row>
    <row r="685" spans="1:36" s="4" customFormat="1" ht="15" customHeight="1">
      <c r="A685" s="1076"/>
      <c r="B685" s="1076"/>
      <c r="C685" s="1076"/>
      <c r="D685" s="1076"/>
      <c r="E685" s="1076"/>
      <c r="F685" s="1076"/>
      <c r="G685" s="1076"/>
      <c r="H685" s="1245"/>
      <c r="I685" s="1066"/>
      <c r="J685" s="1119"/>
      <c r="K685" s="1224"/>
      <c r="L685" s="1119"/>
      <c r="M685" s="1171"/>
      <c r="N685" s="1119"/>
      <c r="O685" s="1119"/>
      <c r="P685" s="1119"/>
      <c r="Q685" s="1119"/>
      <c r="R685" s="1224"/>
      <c r="S685" s="1076"/>
      <c r="T685" s="1123" t="s">
        <v>1092</v>
      </c>
      <c r="U685" s="895">
        <v>44755955.469999999</v>
      </c>
      <c r="V685" s="855">
        <v>41628</v>
      </c>
      <c r="W685" s="1066"/>
      <c r="X685" s="1224"/>
      <c r="Y685" s="1224"/>
      <c r="Z685" s="895">
        <v>-10119292.469999999</v>
      </c>
      <c r="AA685" s="1224"/>
      <c r="AB685" s="1119"/>
      <c r="AC685" s="1119"/>
      <c r="AD685" s="1119"/>
      <c r="AE685" s="1119"/>
      <c r="AF685" s="1203"/>
      <c r="AG685" s="1204"/>
      <c r="AH685" s="1203"/>
      <c r="AI685" s="1203"/>
      <c r="AJ685" s="1074"/>
    </row>
    <row r="686" spans="1:36" s="4" customFormat="1" ht="15" customHeight="1">
      <c r="A686" s="1076"/>
      <c r="B686" s="1076"/>
      <c r="C686" s="1076"/>
      <c r="D686" s="1076"/>
      <c r="E686" s="1076"/>
      <c r="F686" s="1076"/>
      <c r="G686" s="1076"/>
      <c r="H686" s="1245"/>
      <c r="I686" s="1066"/>
      <c r="J686" s="1119"/>
      <c r="K686" s="1224"/>
      <c r="L686" s="1119"/>
      <c r="M686" s="1171"/>
      <c r="N686" s="1119"/>
      <c r="O686" s="1119"/>
      <c r="P686" s="1119"/>
      <c r="Q686" s="1119"/>
      <c r="R686" s="1224"/>
      <c r="S686" s="1076"/>
      <c r="T686" s="1123"/>
      <c r="U686" s="895"/>
      <c r="V686" s="855"/>
      <c r="W686" s="1066"/>
      <c r="X686" s="1224"/>
      <c r="Y686" s="1224"/>
      <c r="Z686" s="895">
        <v>49843003</v>
      </c>
      <c r="AA686" s="1224"/>
      <c r="AB686" s="1119"/>
      <c r="AC686" s="1119"/>
      <c r="AD686" s="1119"/>
      <c r="AE686" s="1119"/>
      <c r="AF686" s="1203"/>
      <c r="AG686" s="1204"/>
      <c r="AH686" s="1203"/>
      <c r="AI686" s="1203"/>
      <c r="AJ686" s="1074"/>
    </row>
    <row r="687" spans="1:36" s="4" customFormat="1" ht="15" customHeight="1">
      <c r="A687" s="1076"/>
      <c r="B687" s="1076"/>
      <c r="C687" s="1076"/>
      <c r="D687" s="1076"/>
      <c r="E687" s="1076"/>
      <c r="F687" s="1076"/>
      <c r="G687" s="1076"/>
      <c r="H687" s="1245"/>
      <c r="I687" s="1066"/>
      <c r="J687" s="858"/>
      <c r="K687" s="1224"/>
      <c r="L687" s="1119"/>
      <c r="M687" s="1171"/>
      <c r="N687" s="1119"/>
      <c r="O687" s="858"/>
      <c r="P687" s="858"/>
      <c r="Q687" s="858"/>
      <c r="R687" s="1224"/>
      <c r="S687" s="1076"/>
      <c r="T687" s="858" t="s">
        <v>2724</v>
      </c>
      <c r="U687" s="895">
        <v>16155791.360000003</v>
      </c>
      <c r="V687" s="855"/>
      <c r="W687" s="1066"/>
      <c r="X687" s="1224"/>
      <c r="Y687" s="1224"/>
      <c r="Z687" s="895"/>
      <c r="AA687" s="895"/>
      <c r="AB687" s="1119"/>
      <c r="AC687" s="858"/>
      <c r="AD687" s="1119"/>
      <c r="AE687" s="1119"/>
      <c r="AF687" s="1203"/>
      <c r="AG687" s="1204"/>
      <c r="AH687" s="1203"/>
      <c r="AI687" s="1203"/>
      <c r="AJ687" s="1074"/>
    </row>
    <row r="688" spans="1:36" s="4" customFormat="1" ht="15" customHeight="1">
      <c r="A688" s="1076"/>
      <c r="B688" s="1076"/>
      <c r="C688" s="1076"/>
      <c r="D688" s="1076"/>
      <c r="E688" s="1076"/>
      <c r="F688" s="1076"/>
      <c r="G688" s="1076"/>
      <c r="H688" s="1245"/>
      <c r="I688" s="1067"/>
      <c r="J688" s="858"/>
      <c r="K688" s="1224"/>
      <c r="L688" s="1119"/>
      <c r="M688" s="1171"/>
      <c r="N688" s="1119"/>
      <c r="O688" s="858"/>
      <c r="P688" s="858"/>
      <c r="Q688" s="858"/>
      <c r="R688" s="1224"/>
      <c r="S688" s="1076"/>
      <c r="T688" s="858"/>
      <c r="U688" s="895"/>
      <c r="V688" s="855"/>
      <c r="W688" s="1067"/>
      <c r="X688" s="1224"/>
      <c r="Y688" s="1224"/>
      <c r="Z688" s="895"/>
      <c r="AA688" s="895"/>
      <c r="AB688" s="1119"/>
      <c r="AC688" s="858"/>
      <c r="AD688" s="1119"/>
      <c r="AE688" s="1119"/>
      <c r="AF688" s="1203"/>
      <c r="AG688" s="1204"/>
      <c r="AH688" s="1203"/>
      <c r="AI688" s="1203"/>
      <c r="AJ688" s="1074"/>
    </row>
    <row r="689" spans="1:36" s="4" customFormat="1" ht="15" customHeight="1">
      <c r="A689" s="1076"/>
      <c r="B689" s="1076"/>
      <c r="C689" s="1076"/>
      <c r="D689" s="1076"/>
      <c r="E689" s="1076"/>
      <c r="F689" s="1076"/>
      <c r="G689" s="1076"/>
      <c r="H689" s="1245"/>
      <c r="I689" s="1123" t="s">
        <v>7</v>
      </c>
      <c r="J689" s="1119">
        <v>481885142</v>
      </c>
      <c r="K689" s="1224"/>
      <c r="L689" s="1119"/>
      <c r="M689" s="1171"/>
      <c r="N689" s="1119"/>
      <c r="O689" s="1295">
        <v>481885142</v>
      </c>
      <c r="P689" s="1295">
        <v>0</v>
      </c>
      <c r="Q689" s="1119">
        <v>481814359.13774538</v>
      </c>
      <c r="R689" s="1224"/>
      <c r="S689" s="1076"/>
      <c r="T689" s="1123" t="s">
        <v>1093</v>
      </c>
      <c r="U689" s="895">
        <v>240942570.66</v>
      </c>
      <c r="V689" s="855">
        <v>40659</v>
      </c>
      <c r="W689" s="1123" t="s">
        <v>7</v>
      </c>
      <c r="X689" s="1224"/>
      <c r="Y689" s="1224"/>
      <c r="Z689" s="895">
        <v>-174157754.66</v>
      </c>
      <c r="AA689" s="1119">
        <v>-11706683.730000023</v>
      </c>
      <c r="AB689" s="1119"/>
      <c r="AC689" s="1119">
        <v>70782.862254619598</v>
      </c>
      <c r="AD689" s="1119"/>
      <c r="AE689" s="1119"/>
      <c r="AF689" s="1203"/>
      <c r="AG689" s="1204"/>
      <c r="AH689" s="1203"/>
      <c r="AI689" s="1203"/>
      <c r="AJ689" s="1074"/>
    </row>
    <row r="690" spans="1:36" s="4" customFormat="1" ht="15" customHeight="1">
      <c r="A690" s="1076"/>
      <c r="B690" s="1076"/>
      <c r="C690" s="1076"/>
      <c r="D690" s="1076"/>
      <c r="E690" s="1076"/>
      <c r="F690" s="1076"/>
      <c r="G690" s="1076"/>
      <c r="H690" s="1245"/>
      <c r="I690" s="1123"/>
      <c r="J690" s="1119"/>
      <c r="K690" s="1224"/>
      <c r="L690" s="1119"/>
      <c r="M690" s="1171"/>
      <c r="N690" s="1119"/>
      <c r="O690" s="1295"/>
      <c r="P690" s="1295"/>
      <c r="Q690" s="1119"/>
      <c r="R690" s="1224"/>
      <c r="S690" s="1076"/>
      <c r="T690" s="1123"/>
      <c r="U690" s="895">
        <v>75475819.109999999</v>
      </c>
      <c r="V690" s="855">
        <v>40767</v>
      </c>
      <c r="W690" s="1123"/>
      <c r="X690" s="1224"/>
      <c r="Y690" s="1224"/>
      <c r="Z690" s="895">
        <v>20629159.890000001</v>
      </c>
      <c r="AA690" s="1119"/>
      <c r="AB690" s="1119"/>
      <c r="AC690" s="1119"/>
      <c r="AD690" s="1119"/>
      <c r="AE690" s="1119"/>
      <c r="AF690" s="1203"/>
      <c r="AG690" s="1204"/>
      <c r="AH690" s="1203"/>
      <c r="AI690" s="1203"/>
      <c r="AJ690" s="1074"/>
    </row>
    <row r="691" spans="1:36" s="4" customFormat="1" ht="15" customHeight="1">
      <c r="A691" s="1076"/>
      <c r="B691" s="1076"/>
      <c r="C691" s="1076"/>
      <c r="D691" s="1076"/>
      <c r="E691" s="1076"/>
      <c r="F691" s="1076"/>
      <c r="G691" s="1076"/>
      <c r="H691" s="1245"/>
      <c r="I691" s="1123"/>
      <c r="J691" s="1119"/>
      <c r="K691" s="1224"/>
      <c r="L691" s="1119"/>
      <c r="M691" s="1171"/>
      <c r="N691" s="1119"/>
      <c r="O691" s="1295"/>
      <c r="P691" s="1295"/>
      <c r="Q691" s="1119"/>
      <c r="R691" s="1224"/>
      <c r="S691" s="1076"/>
      <c r="T691" s="1123" t="s">
        <v>1094</v>
      </c>
      <c r="U691" s="895">
        <v>34636663</v>
      </c>
      <c r="V691" s="855">
        <v>40835</v>
      </c>
      <c r="W691" s="1123"/>
      <c r="X691" s="1224"/>
      <c r="Y691" s="1224"/>
      <c r="Z691" s="895">
        <v>-3640661.4800000004</v>
      </c>
      <c r="AA691" s="1119"/>
      <c r="AB691" s="1119"/>
      <c r="AC691" s="1119"/>
      <c r="AD691" s="1119"/>
      <c r="AE691" s="1119"/>
      <c r="AF691" s="1203"/>
      <c r="AG691" s="1204"/>
      <c r="AH691" s="1203"/>
      <c r="AI691" s="1203"/>
      <c r="AJ691" s="1074"/>
    </row>
    <row r="692" spans="1:36" s="4" customFormat="1" ht="15" customHeight="1">
      <c r="A692" s="1076"/>
      <c r="B692" s="1076"/>
      <c r="C692" s="1076"/>
      <c r="D692" s="1076"/>
      <c r="E692" s="1076"/>
      <c r="F692" s="1076"/>
      <c r="G692" s="1076"/>
      <c r="H692" s="1245"/>
      <c r="I692" s="1123"/>
      <c r="J692" s="1119"/>
      <c r="K692" s="1224"/>
      <c r="L692" s="1119"/>
      <c r="M692" s="1171"/>
      <c r="N692" s="1119"/>
      <c r="O692" s="1295"/>
      <c r="P692" s="1295"/>
      <c r="Q692" s="1119"/>
      <c r="R692" s="1224"/>
      <c r="S692" s="1076"/>
      <c r="T692" s="1123"/>
      <c r="U692" s="895">
        <v>66784816</v>
      </c>
      <c r="V692" s="855">
        <v>40856</v>
      </c>
      <c r="W692" s="1123"/>
      <c r="X692" s="1224"/>
      <c r="Y692" s="1224"/>
      <c r="Z692" s="895">
        <v>-22028860.520000003</v>
      </c>
      <c r="AA692" s="1119"/>
      <c r="AB692" s="1119"/>
      <c r="AC692" s="1119"/>
      <c r="AD692" s="1119"/>
      <c r="AE692" s="1119"/>
      <c r="AF692" s="1203"/>
      <c r="AG692" s="1204"/>
      <c r="AH692" s="1203"/>
      <c r="AI692" s="1203"/>
      <c r="AJ692" s="1074"/>
    </row>
    <row r="693" spans="1:36" s="4" customFormat="1" ht="15" customHeight="1">
      <c r="A693" s="1076"/>
      <c r="B693" s="1076"/>
      <c r="C693" s="1076"/>
      <c r="D693" s="1076"/>
      <c r="E693" s="1076"/>
      <c r="F693" s="1076"/>
      <c r="G693" s="1076"/>
      <c r="H693" s="1245"/>
      <c r="I693" s="1123"/>
      <c r="J693" s="1119"/>
      <c r="K693" s="1224"/>
      <c r="L693" s="1119"/>
      <c r="M693" s="1171"/>
      <c r="N693" s="1119"/>
      <c r="O693" s="1295"/>
      <c r="P693" s="1295"/>
      <c r="Q693" s="1119"/>
      <c r="R693" s="1224"/>
      <c r="S693" s="1076"/>
      <c r="T693" s="1123" t="s">
        <v>1095</v>
      </c>
      <c r="U693" s="895">
        <v>30996001.489999998</v>
      </c>
      <c r="V693" s="855">
        <v>41628</v>
      </c>
      <c r="W693" s="1123"/>
      <c r="X693" s="1224"/>
      <c r="Y693" s="1224"/>
      <c r="Z693" s="895">
        <v>-13815117.43</v>
      </c>
      <c r="AA693" s="1119"/>
      <c r="AB693" s="1119"/>
      <c r="AC693" s="1119"/>
      <c r="AD693" s="1119"/>
      <c r="AE693" s="1119"/>
      <c r="AF693" s="1203"/>
      <c r="AG693" s="1204"/>
      <c r="AH693" s="1203"/>
      <c r="AI693" s="1203"/>
      <c r="AJ693" s="1074"/>
    </row>
    <row r="694" spans="1:36" s="4" customFormat="1" ht="15" customHeight="1">
      <c r="A694" s="1076"/>
      <c r="B694" s="1076"/>
      <c r="C694" s="1076"/>
      <c r="D694" s="1076"/>
      <c r="E694" s="1076"/>
      <c r="F694" s="1076"/>
      <c r="G694" s="1076"/>
      <c r="H694" s="1245"/>
      <c r="I694" s="1123"/>
      <c r="J694" s="1119"/>
      <c r="K694" s="1224"/>
      <c r="L694" s="1119"/>
      <c r="M694" s="1171"/>
      <c r="N694" s="1119"/>
      <c r="O694" s="1295"/>
      <c r="P694" s="1295"/>
      <c r="Q694" s="1119"/>
      <c r="R694" s="1224"/>
      <c r="S694" s="1076"/>
      <c r="T694" s="1123"/>
      <c r="U694" s="895"/>
      <c r="V694" s="855"/>
      <c r="W694" s="1123"/>
      <c r="X694" s="1224"/>
      <c r="Y694" s="1224"/>
      <c r="Z694" s="895">
        <v>24807937.940000001</v>
      </c>
      <c r="AA694" s="1119"/>
      <c r="AB694" s="1119"/>
      <c r="AC694" s="1119"/>
      <c r="AD694" s="1119"/>
      <c r="AE694" s="1119"/>
      <c r="AF694" s="1203"/>
      <c r="AG694" s="1204"/>
      <c r="AH694" s="1203"/>
      <c r="AI694" s="1203"/>
      <c r="AJ694" s="1074"/>
    </row>
    <row r="695" spans="1:36" s="4" customFormat="1" ht="15" customHeight="1">
      <c r="A695" s="1076"/>
      <c r="B695" s="1076"/>
      <c r="C695" s="1076"/>
      <c r="D695" s="1076"/>
      <c r="E695" s="1076"/>
      <c r="F695" s="1076"/>
      <c r="G695" s="1076"/>
      <c r="H695" s="1245"/>
      <c r="I695" s="1123"/>
      <c r="J695" s="1119"/>
      <c r="K695" s="1224"/>
      <c r="L695" s="1119"/>
      <c r="M695" s="1171"/>
      <c r="N695" s="1119"/>
      <c r="O695" s="1295"/>
      <c r="P695" s="1295"/>
      <c r="Q695" s="1119"/>
      <c r="R695" s="1224"/>
      <c r="S695" s="1076"/>
      <c r="T695" s="858" t="s">
        <v>2724</v>
      </c>
      <c r="U695" s="895">
        <v>11686355.680000002</v>
      </c>
      <c r="V695" s="855"/>
      <c r="W695" s="1123"/>
      <c r="X695" s="1224"/>
      <c r="Y695" s="1224"/>
      <c r="Z695" s="895">
        <v>0</v>
      </c>
      <c r="AA695" s="1119"/>
      <c r="AB695" s="1119"/>
      <c r="AC695" s="1119"/>
      <c r="AD695" s="1119"/>
      <c r="AE695" s="1119"/>
      <c r="AF695" s="1203"/>
      <c r="AG695" s="1204"/>
      <c r="AH695" s="1203"/>
      <c r="AI695" s="1203"/>
      <c r="AJ695" s="1074"/>
    </row>
    <row r="696" spans="1:36" s="4" customFormat="1" ht="15" customHeight="1">
      <c r="A696" s="1076"/>
      <c r="B696" s="1076"/>
      <c r="C696" s="1076"/>
      <c r="D696" s="1076"/>
      <c r="E696" s="1076"/>
      <c r="F696" s="1076"/>
      <c r="G696" s="1076"/>
      <c r="H696" s="1245"/>
      <c r="I696" s="1123"/>
      <c r="J696" s="1119"/>
      <c r="K696" s="1224"/>
      <c r="L696" s="1119"/>
      <c r="M696" s="1171"/>
      <c r="N696" s="1119"/>
      <c r="O696" s="1295"/>
      <c r="P696" s="1295"/>
      <c r="Q696" s="1119"/>
      <c r="R696" s="1224"/>
      <c r="S696" s="1076"/>
      <c r="T696" s="858"/>
      <c r="U696" s="895"/>
      <c r="V696" s="855"/>
      <c r="W696" s="1123"/>
      <c r="X696" s="1224"/>
      <c r="Y696" s="1224"/>
      <c r="Z696" s="895">
        <v>0</v>
      </c>
      <c r="AA696" s="1119"/>
      <c r="AB696" s="1119"/>
      <c r="AC696" s="1119"/>
      <c r="AD696" s="1119"/>
      <c r="AE696" s="1119"/>
      <c r="AF696" s="1203"/>
      <c r="AG696" s="1204"/>
      <c r="AH696" s="1203"/>
      <c r="AI696" s="1203"/>
      <c r="AJ696" s="1074"/>
    </row>
    <row r="697" spans="1:36" s="4" customFormat="1" ht="15" customHeight="1">
      <c r="A697" s="1076"/>
      <c r="B697" s="1076"/>
      <c r="C697" s="1076"/>
      <c r="D697" s="1076"/>
      <c r="E697" s="1076"/>
      <c r="F697" s="1076"/>
      <c r="G697" s="1076"/>
      <c r="H697" s="1245">
        <v>1</v>
      </c>
      <c r="I697" s="1123" t="s">
        <v>150</v>
      </c>
      <c r="J697" s="1119">
        <v>56000000</v>
      </c>
      <c r="K697" s="1119">
        <v>56000000</v>
      </c>
      <c r="L697" s="1119"/>
      <c r="M697" s="1171">
        <v>40637</v>
      </c>
      <c r="N697" s="1295">
        <v>56000000</v>
      </c>
      <c r="O697" s="1295">
        <v>56000000</v>
      </c>
      <c r="P697" s="1295">
        <v>0</v>
      </c>
      <c r="Q697" s="1119">
        <v>56000000</v>
      </c>
      <c r="R697" s="1224"/>
      <c r="S697" s="1076"/>
      <c r="T697" s="840" t="s">
        <v>1090</v>
      </c>
      <c r="U697" s="895"/>
      <c r="V697" s="855"/>
      <c r="W697" s="1123" t="s">
        <v>150</v>
      </c>
      <c r="X697" s="1119">
        <v>3532658.96</v>
      </c>
      <c r="Y697" s="1224"/>
      <c r="Z697" s="895">
        <v>28000000</v>
      </c>
      <c r="AA697" s="1119">
        <v>28000000</v>
      </c>
      <c r="AB697" s="1119">
        <v>0</v>
      </c>
      <c r="AC697" s="1119">
        <v>0</v>
      </c>
      <c r="AD697" s="1119">
        <v>52467341.039999999</v>
      </c>
      <c r="AE697" s="1119"/>
      <c r="AF697" s="1203"/>
      <c r="AG697" s="1204"/>
      <c r="AH697" s="1203"/>
      <c r="AI697" s="1203"/>
      <c r="AJ697" s="1074"/>
    </row>
    <row r="698" spans="1:36" ht="15" customHeight="1">
      <c r="A698" s="1076"/>
      <c r="B698" s="1076"/>
      <c r="C698" s="1076"/>
      <c r="D698" s="1076"/>
      <c r="E698" s="1076"/>
      <c r="F698" s="1076"/>
      <c r="G698" s="1076"/>
      <c r="H698" s="1245"/>
      <c r="I698" s="1123"/>
      <c r="J698" s="1119"/>
      <c r="K698" s="1119"/>
      <c r="L698" s="1119"/>
      <c r="M698" s="1171"/>
      <c r="N698" s="1295"/>
      <c r="O698" s="1295"/>
      <c r="P698" s="1295"/>
      <c r="Q698" s="1119"/>
      <c r="R698" s="1224"/>
      <c r="S698" s="1076"/>
      <c r="T698" s="858" t="s">
        <v>2724</v>
      </c>
      <c r="U698" s="895">
        <v>3532658.96</v>
      </c>
      <c r="V698" s="855">
        <v>43209</v>
      </c>
      <c r="W698" s="1123"/>
      <c r="X698" s="1119"/>
      <c r="Y698" s="1224"/>
      <c r="Z698" s="895">
        <v>0</v>
      </c>
      <c r="AA698" s="1119"/>
      <c r="AB698" s="1119"/>
      <c r="AC698" s="1119"/>
      <c r="AD698" s="1119"/>
      <c r="AE698" s="1119"/>
      <c r="AF698" s="1203"/>
      <c r="AG698" s="1204"/>
      <c r="AH698" s="1203"/>
      <c r="AI698" s="1203"/>
      <c r="AJ698" s="1074"/>
    </row>
    <row r="699" spans="1:36" ht="15" customHeight="1">
      <c r="A699" s="1011" t="s">
        <v>1056</v>
      </c>
      <c r="B699" s="1011" t="s">
        <v>1058</v>
      </c>
      <c r="C699" s="1011" t="s">
        <v>71</v>
      </c>
      <c r="D699" s="1011" t="s">
        <v>692</v>
      </c>
      <c r="E699" s="1011" t="s">
        <v>66</v>
      </c>
      <c r="F699" s="1011" t="s">
        <v>183</v>
      </c>
      <c r="G699" s="1011" t="s">
        <v>1065</v>
      </c>
      <c r="H699" s="1220">
        <v>129</v>
      </c>
      <c r="I699" s="1065" t="s">
        <v>7</v>
      </c>
      <c r="J699" s="1062">
        <v>443302491</v>
      </c>
      <c r="K699" s="1062">
        <v>443302491</v>
      </c>
      <c r="L699" s="1062">
        <v>660104402</v>
      </c>
      <c r="M699" s="1068">
        <v>40637</v>
      </c>
      <c r="N699" s="1092">
        <v>443238328</v>
      </c>
      <c r="O699" s="1092">
        <v>443238328</v>
      </c>
      <c r="P699" s="1092">
        <v>64163</v>
      </c>
      <c r="Q699" s="1062">
        <v>443238328</v>
      </c>
      <c r="R699" s="1062">
        <v>660040239</v>
      </c>
      <c r="S699" s="1011" t="s">
        <v>1006</v>
      </c>
      <c r="T699" s="840" t="s">
        <v>1059</v>
      </c>
      <c r="U699" s="866">
        <v>221619164</v>
      </c>
      <c r="V699" s="855">
        <v>40667</v>
      </c>
      <c r="W699" s="866" t="s">
        <v>7</v>
      </c>
      <c r="X699" s="1043">
        <v>443238328</v>
      </c>
      <c r="Y699" s="1043">
        <v>659970837</v>
      </c>
      <c r="Z699" s="827">
        <v>0</v>
      </c>
      <c r="AA699" s="1043">
        <v>0</v>
      </c>
      <c r="AB699" s="1062">
        <v>-1</v>
      </c>
      <c r="AC699" s="1062">
        <v>0</v>
      </c>
      <c r="AD699" s="1062">
        <v>0</v>
      </c>
      <c r="AE699" s="1062">
        <v>0</v>
      </c>
      <c r="AF699" s="1108" t="s">
        <v>1060</v>
      </c>
      <c r="AG699" s="1103" t="s">
        <v>1067</v>
      </c>
      <c r="AH699" s="1103" t="s">
        <v>194</v>
      </c>
      <c r="AI699" s="1103" t="s">
        <v>558</v>
      </c>
    </row>
    <row r="700" spans="1:36" ht="15" customHeight="1">
      <c r="A700" s="1033"/>
      <c r="B700" s="1033"/>
      <c r="C700" s="1033"/>
      <c r="D700" s="1033"/>
      <c r="E700" s="1033"/>
      <c r="F700" s="1033"/>
      <c r="G700" s="1033"/>
      <c r="H700" s="1221"/>
      <c r="I700" s="1066"/>
      <c r="J700" s="1063"/>
      <c r="K700" s="1063"/>
      <c r="L700" s="1063"/>
      <c r="M700" s="1069"/>
      <c r="N700" s="1093"/>
      <c r="O700" s="1093"/>
      <c r="P700" s="1093"/>
      <c r="Q700" s="1063"/>
      <c r="R700" s="1063"/>
      <c r="S700" s="1033"/>
      <c r="T700" s="840" t="s">
        <v>1062</v>
      </c>
      <c r="U700" s="866">
        <v>78625457</v>
      </c>
      <c r="V700" s="855">
        <v>40807</v>
      </c>
      <c r="W700" s="866" t="s">
        <v>7</v>
      </c>
      <c r="X700" s="1044"/>
      <c r="Y700" s="1044"/>
      <c r="Z700" s="827">
        <v>-1</v>
      </c>
      <c r="AA700" s="1044"/>
      <c r="AB700" s="1063"/>
      <c r="AC700" s="1063"/>
      <c r="AD700" s="1063"/>
      <c r="AE700" s="1063"/>
      <c r="AF700" s="1109"/>
      <c r="AG700" s="1104"/>
      <c r="AH700" s="1104"/>
      <c r="AI700" s="1104"/>
    </row>
    <row r="701" spans="1:36" ht="15" customHeight="1">
      <c r="A701" s="1033"/>
      <c r="B701" s="1033"/>
      <c r="C701" s="1033"/>
      <c r="D701" s="1033"/>
      <c r="E701" s="1033"/>
      <c r="F701" s="1033"/>
      <c r="G701" s="1033"/>
      <c r="H701" s="1221"/>
      <c r="I701" s="1066"/>
      <c r="J701" s="1063"/>
      <c r="K701" s="1063"/>
      <c r="L701" s="1063"/>
      <c r="M701" s="1069"/>
      <c r="N701" s="1093"/>
      <c r="O701" s="1093"/>
      <c r="P701" s="1093"/>
      <c r="Q701" s="1063"/>
      <c r="R701" s="1063"/>
      <c r="S701" s="1033"/>
      <c r="T701" s="840" t="s">
        <v>1063</v>
      </c>
      <c r="U701" s="866">
        <v>103577387</v>
      </c>
      <c r="V701" s="855">
        <v>40871</v>
      </c>
      <c r="W701" s="866" t="s">
        <v>7</v>
      </c>
      <c r="X701" s="1044"/>
      <c r="Y701" s="1044"/>
      <c r="Z701" s="827">
        <v>0</v>
      </c>
      <c r="AA701" s="1044"/>
      <c r="AB701" s="1063"/>
      <c r="AC701" s="1063"/>
      <c r="AD701" s="1063"/>
      <c r="AE701" s="1063"/>
      <c r="AF701" s="1109"/>
      <c r="AG701" s="1104"/>
      <c r="AH701" s="1104"/>
      <c r="AI701" s="1104"/>
    </row>
    <row r="702" spans="1:36" ht="15" customHeight="1">
      <c r="A702" s="1033"/>
      <c r="B702" s="1033"/>
      <c r="C702" s="1033"/>
      <c r="D702" s="1033"/>
      <c r="E702" s="1033"/>
      <c r="F702" s="1033"/>
      <c r="G702" s="1033"/>
      <c r="H702" s="1221"/>
      <c r="I702" s="1066"/>
      <c r="J702" s="1063"/>
      <c r="K702" s="1063"/>
      <c r="L702" s="1063"/>
      <c r="M702" s="1069"/>
      <c r="N702" s="1093"/>
      <c r="O702" s="1093"/>
      <c r="P702" s="1093"/>
      <c r="Q702" s="1063"/>
      <c r="R702" s="1063"/>
      <c r="S702" s="1033"/>
      <c r="T702" s="840" t="s">
        <v>1064</v>
      </c>
      <c r="U702" s="866">
        <v>34944262</v>
      </c>
      <c r="V702" s="855">
        <v>41169</v>
      </c>
      <c r="W702" s="866" t="s">
        <v>7</v>
      </c>
      <c r="X702" s="1044"/>
      <c r="Y702" s="1044"/>
      <c r="Z702" s="827">
        <v>0</v>
      </c>
      <c r="AA702" s="1044"/>
      <c r="AB702" s="1063"/>
      <c r="AC702" s="1063"/>
      <c r="AD702" s="1063"/>
      <c r="AE702" s="1063"/>
      <c r="AF702" s="1109"/>
      <c r="AG702" s="1104"/>
      <c r="AH702" s="1104"/>
      <c r="AI702" s="1104"/>
    </row>
    <row r="703" spans="1:36" ht="15" customHeight="1">
      <c r="A703" s="1033"/>
      <c r="B703" s="1033"/>
      <c r="C703" s="1033"/>
      <c r="D703" s="1033"/>
      <c r="E703" s="1012"/>
      <c r="F703" s="1033"/>
      <c r="G703" s="1033"/>
      <c r="H703" s="1222"/>
      <c r="I703" s="1067"/>
      <c r="J703" s="1064"/>
      <c r="K703" s="1064"/>
      <c r="L703" s="1063"/>
      <c r="M703" s="1070"/>
      <c r="N703" s="1094"/>
      <c r="O703" s="1094"/>
      <c r="P703" s="1094"/>
      <c r="Q703" s="1064"/>
      <c r="R703" s="1063"/>
      <c r="S703" s="1033"/>
      <c r="T703" s="840" t="s">
        <v>1066</v>
      </c>
      <c r="U703" s="866">
        <v>4472058</v>
      </c>
      <c r="V703" s="855">
        <v>41212</v>
      </c>
      <c r="W703" s="866" t="s">
        <v>7</v>
      </c>
      <c r="X703" s="1045"/>
      <c r="Y703" s="1044"/>
      <c r="Z703" s="827">
        <v>1</v>
      </c>
      <c r="AA703" s="1045"/>
      <c r="AB703" s="1063"/>
      <c r="AC703" s="1064"/>
      <c r="AD703" s="1064"/>
      <c r="AE703" s="1064"/>
      <c r="AF703" s="1109"/>
      <c r="AG703" s="1104"/>
      <c r="AH703" s="1104"/>
      <c r="AI703" s="1104"/>
    </row>
    <row r="704" spans="1:36" ht="15" customHeight="1">
      <c r="A704" s="1033"/>
      <c r="B704" s="1033"/>
      <c r="C704" s="1033"/>
      <c r="D704" s="1033"/>
      <c r="E704" s="1076" t="s">
        <v>67</v>
      </c>
      <c r="F704" s="1033"/>
      <c r="G704" s="1033"/>
      <c r="H704" s="1220">
        <v>243</v>
      </c>
      <c r="I704" s="1065" t="s">
        <v>7</v>
      </c>
      <c r="J704" s="1062">
        <v>216801911</v>
      </c>
      <c r="K704" s="1062">
        <v>216801911</v>
      </c>
      <c r="L704" s="1063"/>
      <c r="M704" s="1068">
        <v>41081</v>
      </c>
      <c r="N704" s="1092">
        <v>216801911</v>
      </c>
      <c r="O704" s="1062">
        <v>216801911</v>
      </c>
      <c r="P704" s="1062">
        <v>0</v>
      </c>
      <c r="Q704" s="1062">
        <v>216801911</v>
      </c>
      <c r="R704" s="1063"/>
      <c r="S704" s="1033"/>
      <c r="T704" s="840" t="s">
        <v>1066</v>
      </c>
      <c r="U704" s="866">
        <v>121947441</v>
      </c>
      <c r="V704" s="855">
        <v>41211</v>
      </c>
      <c r="W704" s="866" t="s">
        <v>7</v>
      </c>
      <c r="X704" s="1043">
        <v>216732509</v>
      </c>
      <c r="Y704" s="1044"/>
      <c r="Z704" s="827">
        <v>-1</v>
      </c>
      <c r="AA704" s="1043">
        <v>69402</v>
      </c>
      <c r="AB704" s="1063"/>
      <c r="AC704" s="1062">
        <v>0</v>
      </c>
      <c r="AD704" s="1062">
        <v>69402</v>
      </c>
      <c r="AE704" s="1062">
        <v>69402</v>
      </c>
      <c r="AF704" s="1109"/>
      <c r="AG704" s="1104"/>
      <c r="AH704" s="1104"/>
      <c r="AI704" s="1104"/>
    </row>
    <row r="705" spans="1:35" ht="15" customHeight="1">
      <c r="A705" s="1033"/>
      <c r="B705" s="1033"/>
      <c r="C705" s="1033"/>
      <c r="D705" s="1033"/>
      <c r="E705" s="1076"/>
      <c r="F705" s="1033"/>
      <c r="G705" s="1033"/>
      <c r="H705" s="1221"/>
      <c r="I705" s="1066"/>
      <c r="J705" s="1063"/>
      <c r="K705" s="1063"/>
      <c r="L705" s="1063"/>
      <c r="M705" s="1069"/>
      <c r="N705" s="1093"/>
      <c r="O705" s="1063"/>
      <c r="P705" s="1063"/>
      <c r="Q705" s="1063"/>
      <c r="R705" s="1063"/>
      <c r="S705" s="1033"/>
      <c r="T705" s="840" t="s">
        <v>1061</v>
      </c>
      <c r="U705" s="866">
        <v>94785068</v>
      </c>
      <c r="V705" s="855">
        <v>41568</v>
      </c>
      <c r="W705" s="866" t="s">
        <v>7</v>
      </c>
      <c r="X705" s="1044"/>
      <c r="Y705" s="1044"/>
      <c r="Z705" s="827">
        <v>0</v>
      </c>
      <c r="AA705" s="1044"/>
      <c r="AB705" s="1063"/>
      <c r="AC705" s="1063"/>
      <c r="AD705" s="1063"/>
      <c r="AE705" s="1063"/>
      <c r="AF705" s="1109"/>
      <c r="AG705" s="1104"/>
      <c r="AH705" s="1104"/>
      <c r="AI705" s="1104"/>
    </row>
    <row r="706" spans="1:35" ht="15" customHeight="1">
      <c r="A706" s="1011" t="s">
        <v>2130</v>
      </c>
      <c r="B706" s="1011" t="s">
        <v>2128</v>
      </c>
      <c r="C706" s="1011" t="s">
        <v>70</v>
      </c>
      <c r="D706" s="1011" t="s">
        <v>206</v>
      </c>
      <c r="E706" s="1011" t="s">
        <v>66</v>
      </c>
      <c r="F706" s="1011" t="s">
        <v>48</v>
      </c>
      <c r="G706" s="1011" t="s">
        <v>2127</v>
      </c>
      <c r="H706" s="1009">
        <v>126</v>
      </c>
      <c r="I706" s="1065" t="s">
        <v>137</v>
      </c>
      <c r="J706" s="1062">
        <v>77596069</v>
      </c>
      <c r="K706" s="1062">
        <v>77596069</v>
      </c>
      <c r="L706" s="1062">
        <v>77596069</v>
      </c>
      <c r="M706" s="1068">
        <v>40637</v>
      </c>
      <c r="N706" s="1092">
        <v>77596069</v>
      </c>
      <c r="O706" s="1092">
        <v>77596069</v>
      </c>
      <c r="P706" s="1092">
        <v>0</v>
      </c>
      <c r="Q706" s="1043">
        <v>77500000</v>
      </c>
      <c r="R706" s="1043">
        <v>77500000</v>
      </c>
      <c r="S706" s="1011" t="s">
        <v>2126</v>
      </c>
      <c r="T706" s="840" t="s">
        <v>2125</v>
      </c>
      <c r="U706" s="866">
        <v>31000000</v>
      </c>
      <c r="V706" s="855">
        <v>40666</v>
      </c>
      <c r="W706" s="842" t="s">
        <v>137</v>
      </c>
      <c r="X706" s="1043">
        <v>72850000</v>
      </c>
      <c r="Y706" s="1043">
        <v>72850000</v>
      </c>
      <c r="Z706" s="827">
        <v>0</v>
      </c>
      <c r="AA706" s="1043">
        <v>4746069</v>
      </c>
      <c r="AB706" s="1062">
        <v>-3100000</v>
      </c>
      <c r="AC706" s="1062">
        <v>96069</v>
      </c>
      <c r="AD706" s="1062">
        <v>4650000</v>
      </c>
      <c r="AE706" s="1062"/>
      <c r="AF706" s="1108" t="s">
        <v>2124</v>
      </c>
      <c r="AG706" s="1103" t="s">
        <v>2123</v>
      </c>
      <c r="AH706" s="1103" t="s">
        <v>194</v>
      </c>
      <c r="AI706" s="1103" t="s">
        <v>1911</v>
      </c>
    </row>
    <row r="707" spans="1:35" ht="15" customHeight="1">
      <c r="A707" s="1033"/>
      <c r="B707" s="1033"/>
      <c r="C707" s="1033"/>
      <c r="D707" s="1033"/>
      <c r="E707" s="1033"/>
      <c r="F707" s="1033"/>
      <c r="G707" s="1033"/>
      <c r="H707" s="1039"/>
      <c r="I707" s="1066"/>
      <c r="J707" s="1063"/>
      <c r="K707" s="1063"/>
      <c r="L707" s="1063"/>
      <c r="M707" s="1069"/>
      <c r="N707" s="1093"/>
      <c r="O707" s="1093"/>
      <c r="P707" s="1093"/>
      <c r="Q707" s="1044"/>
      <c r="R707" s="1044"/>
      <c r="S707" s="1033"/>
      <c r="T707" s="840" t="s">
        <v>2122</v>
      </c>
      <c r="U707" s="866">
        <v>23250000</v>
      </c>
      <c r="V707" s="855">
        <v>40809</v>
      </c>
      <c r="W707" s="842" t="s">
        <v>137</v>
      </c>
      <c r="X707" s="1044"/>
      <c r="Y707" s="1044"/>
      <c r="Z707" s="827">
        <v>0</v>
      </c>
      <c r="AA707" s="1044"/>
      <c r="AB707" s="1063"/>
      <c r="AC707" s="1063"/>
      <c r="AD707" s="1063"/>
      <c r="AE707" s="1063"/>
      <c r="AF707" s="1109"/>
      <c r="AG707" s="1104"/>
      <c r="AH707" s="1104"/>
      <c r="AI707" s="1104"/>
    </row>
    <row r="708" spans="1:35" ht="15" customHeight="1">
      <c r="A708" s="1033"/>
      <c r="B708" s="1033"/>
      <c r="C708" s="1033"/>
      <c r="D708" s="1033"/>
      <c r="E708" s="1033"/>
      <c r="F708" s="1033"/>
      <c r="G708" s="1033"/>
      <c r="H708" s="1039"/>
      <c r="I708" s="1066"/>
      <c r="J708" s="1063"/>
      <c r="K708" s="1063"/>
      <c r="L708" s="1063"/>
      <c r="M708" s="1069"/>
      <c r="N708" s="1093"/>
      <c r="O708" s="1093"/>
      <c r="P708" s="1093"/>
      <c r="Q708" s="1044"/>
      <c r="R708" s="1044"/>
      <c r="S708" s="1033"/>
      <c r="T708" s="840" t="s">
        <v>2121</v>
      </c>
      <c r="U708" s="866">
        <v>18600000</v>
      </c>
      <c r="V708" s="855">
        <v>43013</v>
      </c>
      <c r="W708" s="842" t="s">
        <v>137</v>
      </c>
      <c r="X708" s="1044"/>
      <c r="Y708" s="1044"/>
      <c r="Z708" s="827">
        <v>0</v>
      </c>
      <c r="AA708" s="1044"/>
      <c r="AB708" s="1063"/>
      <c r="AC708" s="1063"/>
      <c r="AD708" s="1063"/>
      <c r="AE708" s="1063"/>
      <c r="AF708" s="1109"/>
      <c r="AG708" s="1104"/>
      <c r="AH708" s="1104"/>
      <c r="AI708" s="1104"/>
    </row>
    <row r="709" spans="1:35" ht="15" customHeight="1">
      <c r="A709" s="1012"/>
      <c r="B709" s="1012"/>
      <c r="C709" s="1012"/>
      <c r="D709" s="1012"/>
      <c r="E709" s="1012"/>
      <c r="F709" s="1012"/>
      <c r="G709" s="1012"/>
      <c r="H709" s="1010"/>
      <c r="I709" s="1067"/>
      <c r="J709" s="1064"/>
      <c r="K709" s="1064"/>
      <c r="L709" s="1064"/>
      <c r="M709" s="1070"/>
      <c r="N709" s="1094"/>
      <c r="O709" s="1094"/>
      <c r="P709" s="1094"/>
      <c r="Q709" s="1045"/>
      <c r="R709" s="1045"/>
      <c r="S709" s="1012"/>
      <c r="T709" s="840"/>
      <c r="U709" s="866"/>
      <c r="V709" s="855"/>
      <c r="W709" s="842"/>
      <c r="X709" s="1045"/>
      <c r="Y709" s="1045"/>
      <c r="Z709" s="827">
        <v>0</v>
      </c>
      <c r="AA709" s="1045"/>
      <c r="AB709" s="1064"/>
      <c r="AC709" s="1064"/>
      <c r="AD709" s="1064"/>
      <c r="AE709" s="1064"/>
      <c r="AF709" s="1110"/>
      <c r="AG709" s="1105"/>
      <c r="AH709" s="1105"/>
      <c r="AI709" s="1105"/>
    </row>
    <row r="710" spans="1:35" ht="15" customHeight="1">
      <c r="A710" s="1011" t="s">
        <v>1024</v>
      </c>
      <c r="B710" s="1011" t="s">
        <v>1025</v>
      </c>
      <c r="C710" s="1011" t="s">
        <v>70</v>
      </c>
      <c r="D710" s="1011" t="s">
        <v>177</v>
      </c>
      <c r="E710" s="1011" t="s">
        <v>66</v>
      </c>
      <c r="F710" s="1011" t="s">
        <v>250</v>
      </c>
      <c r="G710" s="1011" t="s">
        <v>1030</v>
      </c>
      <c r="H710" s="1220">
        <v>136</v>
      </c>
      <c r="I710" s="1065" t="s">
        <v>7</v>
      </c>
      <c r="J710" s="1062">
        <v>13429826</v>
      </c>
      <c r="K710" s="1062">
        <v>13429826</v>
      </c>
      <c r="L710" s="1062">
        <v>13429826</v>
      </c>
      <c r="M710" s="1068">
        <v>40637</v>
      </c>
      <c r="N710" s="1092">
        <v>13429826</v>
      </c>
      <c r="O710" s="1092">
        <v>13429826</v>
      </c>
      <c r="P710" s="1062">
        <v>0</v>
      </c>
      <c r="Q710" s="1062">
        <v>13305000</v>
      </c>
      <c r="R710" s="1062">
        <v>13305000</v>
      </c>
      <c r="S710" s="1011" t="s">
        <v>1026</v>
      </c>
      <c r="T710" s="840" t="s">
        <v>1027</v>
      </c>
      <c r="U710" s="866">
        <v>5322000</v>
      </c>
      <c r="V710" s="855">
        <v>40672</v>
      </c>
      <c r="W710" s="866" t="s">
        <v>7</v>
      </c>
      <c r="X710" s="1043">
        <v>11841450</v>
      </c>
      <c r="Y710" s="1043">
        <v>11841450</v>
      </c>
      <c r="Z710" s="827">
        <v>0</v>
      </c>
      <c r="AA710" s="1043">
        <v>1588376</v>
      </c>
      <c r="AB710" s="1062">
        <v>0</v>
      </c>
      <c r="AC710" s="1062">
        <v>124826</v>
      </c>
      <c r="AD710" s="1062">
        <v>1463550</v>
      </c>
      <c r="AE710" s="1062">
        <v>1588376</v>
      </c>
      <c r="AF710" s="1103" t="s">
        <v>1028</v>
      </c>
      <c r="AG710" s="1103" t="s">
        <v>1031</v>
      </c>
      <c r="AH710" s="1103" t="s">
        <v>194</v>
      </c>
      <c r="AI710" s="1103" t="s">
        <v>558</v>
      </c>
    </row>
    <row r="711" spans="1:35" ht="15" customHeight="1">
      <c r="A711" s="1033"/>
      <c r="B711" s="1033"/>
      <c r="C711" s="1033"/>
      <c r="D711" s="1033"/>
      <c r="E711" s="1033"/>
      <c r="F711" s="1033"/>
      <c r="G711" s="1033"/>
      <c r="H711" s="1221"/>
      <c r="I711" s="1066"/>
      <c r="J711" s="1063"/>
      <c r="K711" s="1063"/>
      <c r="L711" s="1063"/>
      <c r="M711" s="1069"/>
      <c r="N711" s="1093"/>
      <c r="O711" s="1093"/>
      <c r="P711" s="1063"/>
      <c r="Q711" s="1063"/>
      <c r="R711" s="1063"/>
      <c r="S711" s="1033"/>
      <c r="T711" s="840" t="s">
        <v>1029</v>
      </c>
      <c r="U711" s="866">
        <v>6519450</v>
      </c>
      <c r="V711" s="855">
        <v>41271</v>
      </c>
      <c r="W711" s="866" t="s">
        <v>7</v>
      </c>
      <c r="X711" s="1044"/>
      <c r="Y711" s="1044"/>
      <c r="Z711" s="827">
        <v>0</v>
      </c>
      <c r="AA711" s="1044"/>
      <c r="AB711" s="1063"/>
      <c r="AC711" s="1063"/>
      <c r="AD711" s="1063"/>
      <c r="AE711" s="1063"/>
      <c r="AF711" s="1104"/>
      <c r="AG711" s="1104"/>
      <c r="AH711" s="1104"/>
      <c r="AI711" s="1104"/>
    </row>
    <row r="712" spans="1:35" ht="15" customHeight="1">
      <c r="A712" s="1011" t="s">
        <v>1032</v>
      </c>
      <c r="B712" s="1011" t="s">
        <v>1034</v>
      </c>
      <c r="C712" s="1011" t="s">
        <v>70</v>
      </c>
      <c r="D712" s="1011" t="s">
        <v>177</v>
      </c>
      <c r="E712" s="1011" t="s">
        <v>66</v>
      </c>
      <c r="F712" s="1011" t="s">
        <v>183</v>
      </c>
      <c r="G712" s="1011" t="s">
        <v>1036</v>
      </c>
      <c r="H712" s="1220">
        <v>132</v>
      </c>
      <c r="I712" s="1065" t="s">
        <v>7</v>
      </c>
      <c r="J712" s="1062">
        <v>9884850</v>
      </c>
      <c r="K712" s="1062">
        <v>9884850</v>
      </c>
      <c r="L712" s="1062">
        <v>9884850</v>
      </c>
      <c r="M712" s="1068">
        <v>40637</v>
      </c>
      <c r="N712" s="1092">
        <v>9800000</v>
      </c>
      <c r="O712" s="1092">
        <v>9800000</v>
      </c>
      <c r="P712" s="1062">
        <v>84850</v>
      </c>
      <c r="Q712" s="1062">
        <v>9800000</v>
      </c>
      <c r="R712" s="1062">
        <v>9800000</v>
      </c>
      <c r="S712" s="1011" t="s">
        <v>1026</v>
      </c>
      <c r="T712" s="840" t="s">
        <v>1027</v>
      </c>
      <c r="U712" s="866">
        <v>3920000</v>
      </c>
      <c r="V712" s="855">
        <v>40675</v>
      </c>
      <c r="W712" s="866" t="s">
        <v>7</v>
      </c>
      <c r="X712" s="1043">
        <v>9800000</v>
      </c>
      <c r="Y712" s="1043">
        <v>9800000</v>
      </c>
      <c r="Z712" s="827">
        <v>0</v>
      </c>
      <c r="AA712" s="1043">
        <v>0</v>
      </c>
      <c r="AB712" s="1062">
        <v>0</v>
      </c>
      <c r="AC712" s="1062">
        <v>0</v>
      </c>
      <c r="AD712" s="1062">
        <v>0</v>
      </c>
      <c r="AE712" s="1062">
        <v>0</v>
      </c>
      <c r="AF712" s="1103" t="s">
        <v>1035</v>
      </c>
      <c r="AG712" s="1103" t="s">
        <v>1038</v>
      </c>
      <c r="AH712" s="1103" t="s">
        <v>194</v>
      </c>
      <c r="AI712" s="1103" t="s">
        <v>558</v>
      </c>
    </row>
    <row r="713" spans="1:35" ht="15" customHeight="1">
      <c r="A713" s="1012"/>
      <c r="B713" s="1012"/>
      <c r="C713" s="1012"/>
      <c r="D713" s="1012"/>
      <c r="E713" s="1012"/>
      <c r="F713" s="1012"/>
      <c r="G713" s="1012"/>
      <c r="H713" s="1222"/>
      <c r="I713" s="1067"/>
      <c r="J713" s="1064"/>
      <c r="K713" s="1064"/>
      <c r="L713" s="1064"/>
      <c r="M713" s="1070"/>
      <c r="N713" s="1094"/>
      <c r="O713" s="1094"/>
      <c r="P713" s="1064"/>
      <c r="Q713" s="1064"/>
      <c r="R713" s="1064"/>
      <c r="S713" s="1012"/>
      <c r="T713" s="840" t="s">
        <v>1037</v>
      </c>
      <c r="U713" s="866">
        <v>5880000</v>
      </c>
      <c r="V713" s="855">
        <v>41984</v>
      </c>
      <c r="W713" s="866" t="s">
        <v>7</v>
      </c>
      <c r="X713" s="1045"/>
      <c r="Y713" s="1045"/>
      <c r="Z713" s="827">
        <v>0</v>
      </c>
      <c r="AA713" s="1045"/>
      <c r="AB713" s="1064"/>
      <c r="AC713" s="1064"/>
      <c r="AD713" s="1064"/>
      <c r="AE713" s="1064"/>
      <c r="AF713" s="1105"/>
      <c r="AG713" s="1105"/>
      <c r="AH713" s="1105"/>
      <c r="AI713" s="1105"/>
    </row>
    <row r="714" spans="1:35" ht="15" customHeight="1">
      <c r="A714" s="1011" t="s">
        <v>1039</v>
      </c>
      <c r="B714" s="1011" t="s">
        <v>1041</v>
      </c>
      <c r="C714" s="1011" t="s">
        <v>70</v>
      </c>
      <c r="D714" s="1011" t="s">
        <v>177</v>
      </c>
      <c r="E714" s="1011" t="s">
        <v>66</v>
      </c>
      <c r="F714" s="1011" t="s">
        <v>217</v>
      </c>
      <c r="G714" s="1011" t="s">
        <v>1044</v>
      </c>
      <c r="H714" s="1220">
        <v>134</v>
      </c>
      <c r="I714" s="1065" t="s">
        <v>7</v>
      </c>
      <c r="J714" s="1062">
        <v>13308383</v>
      </c>
      <c r="K714" s="1062">
        <v>13308383</v>
      </c>
      <c r="L714" s="1062">
        <v>13308383</v>
      </c>
      <c r="M714" s="1068">
        <v>40637</v>
      </c>
      <c r="N714" s="1092">
        <v>13308383</v>
      </c>
      <c r="O714" s="1092">
        <v>13308383</v>
      </c>
      <c r="P714" s="1062">
        <v>0</v>
      </c>
      <c r="Q714" s="1062">
        <v>13081320</v>
      </c>
      <c r="R714" s="1062">
        <v>13081320</v>
      </c>
      <c r="S714" s="1011" t="s">
        <v>1026</v>
      </c>
      <c r="T714" s="840" t="s">
        <v>1042</v>
      </c>
      <c r="U714" s="866">
        <v>5232528</v>
      </c>
      <c r="V714" s="855">
        <v>40672</v>
      </c>
      <c r="W714" s="866" t="s">
        <v>7</v>
      </c>
      <c r="X714" s="1043">
        <v>12217953</v>
      </c>
      <c r="Y714" s="1043">
        <v>0</v>
      </c>
      <c r="Z714" s="827">
        <v>0</v>
      </c>
      <c r="AA714" s="1043">
        <v>1090430</v>
      </c>
      <c r="AB714" s="1062">
        <v>863367</v>
      </c>
      <c r="AC714" s="1062">
        <v>227063</v>
      </c>
      <c r="AD714" s="1062">
        <v>0</v>
      </c>
      <c r="AE714" s="1062">
        <v>227063</v>
      </c>
      <c r="AF714" s="1103" t="s">
        <v>1046</v>
      </c>
      <c r="AG714" s="1103" t="s">
        <v>1047</v>
      </c>
      <c r="AH714" s="1103" t="s">
        <v>194</v>
      </c>
      <c r="AI714" s="1103" t="s">
        <v>558</v>
      </c>
    </row>
    <row r="715" spans="1:35" ht="15" customHeight="1">
      <c r="A715" s="1033"/>
      <c r="B715" s="1033"/>
      <c r="C715" s="1033"/>
      <c r="D715" s="1033"/>
      <c r="E715" s="1033"/>
      <c r="F715" s="1033"/>
      <c r="G715" s="1033"/>
      <c r="H715" s="1221"/>
      <c r="I715" s="1066"/>
      <c r="J715" s="1063"/>
      <c r="K715" s="1063"/>
      <c r="L715" s="1063"/>
      <c r="M715" s="1069"/>
      <c r="N715" s="1093"/>
      <c r="O715" s="1093"/>
      <c r="P715" s="1063"/>
      <c r="Q715" s="1063"/>
      <c r="R715" s="1063"/>
      <c r="S715" s="1033"/>
      <c r="T715" s="840" t="s">
        <v>1043</v>
      </c>
      <c r="U715" s="866">
        <v>6985425</v>
      </c>
      <c r="V715" s="855">
        <v>41271</v>
      </c>
      <c r="W715" s="866" t="s">
        <v>7</v>
      </c>
      <c r="X715" s="1044"/>
      <c r="Y715" s="1044"/>
      <c r="Z715" s="827">
        <v>0</v>
      </c>
      <c r="AA715" s="1044"/>
      <c r="AB715" s="1063"/>
      <c r="AC715" s="1063"/>
      <c r="AD715" s="1063"/>
      <c r="AE715" s="1063"/>
      <c r="AF715" s="1104"/>
      <c r="AG715" s="1104"/>
      <c r="AH715" s="1104"/>
      <c r="AI715" s="1104"/>
    </row>
    <row r="716" spans="1:35" ht="15" customHeight="1">
      <c r="A716" s="1012"/>
      <c r="B716" s="1012"/>
      <c r="C716" s="1012"/>
      <c r="D716" s="1012"/>
      <c r="E716" s="1012"/>
      <c r="F716" s="1012"/>
      <c r="G716" s="1012"/>
      <c r="H716" s="1222"/>
      <c r="I716" s="1067"/>
      <c r="J716" s="1064"/>
      <c r="K716" s="1064"/>
      <c r="L716" s="1064"/>
      <c r="M716" s="1070"/>
      <c r="N716" s="1094"/>
      <c r="O716" s="1094"/>
      <c r="P716" s="1064"/>
      <c r="Q716" s="1064"/>
      <c r="R716" s="1064"/>
      <c r="S716" s="1012"/>
      <c r="T716" s="840" t="s">
        <v>1045</v>
      </c>
      <c r="U716" s="866">
        <v>0</v>
      </c>
      <c r="V716" s="855"/>
      <c r="W716" s="866" t="s">
        <v>7</v>
      </c>
      <c r="X716" s="1045"/>
      <c r="Y716" s="1045"/>
      <c r="Z716" s="827">
        <v>863367</v>
      </c>
      <c r="AA716" s="1045"/>
      <c r="AB716" s="1064"/>
      <c r="AC716" s="1064"/>
      <c r="AD716" s="1064"/>
      <c r="AE716" s="1064"/>
      <c r="AF716" s="1105"/>
      <c r="AG716" s="1105"/>
      <c r="AH716" s="1105"/>
      <c r="AI716" s="1105"/>
    </row>
    <row r="717" spans="1:35" ht="15" customHeight="1">
      <c r="A717" s="1011" t="s">
        <v>1076</v>
      </c>
      <c r="B717" s="1011" t="s">
        <v>1077</v>
      </c>
      <c r="C717" s="1011" t="s">
        <v>70</v>
      </c>
      <c r="D717" s="1011" t="s">
        <v>177</v>
      </c>
      <c r="E717" s="1011" t="s">
        <v>66</v>
      </c>
      <c r="F717" s="1011" t="s">
        <v>183</v>
      </c>
      <c r="G717" s="1011" t="s">
        <v>1079</v>
      </c>
      <c r="H717" s="1220">
        <v>128</v>
      </c>
      <c r="I717" s="1065" t="s">
        <v>7</v>
      </c>
      <c r="J717" s="1062">
        <v>26168224</v>
      </c>
      <c r="K717" s="1062">
        <v>26168224</v>
      </c>
      <c r="L717" s="1062">
        <v>35077523</v>
      </c>
      <c r="M717" s="1068">
        <v>40637</v>
      </c>
      <c r="N717" s="1092">
        <v>26163600</v>
      </c>
      <c r="O717" s="1092">
        <v>26163600</v>
      </c>
      <c r="P717" s="1062">
        <v>4624</v>
      </c>
      <c r="Q717" s="1062">
        <v>26100000</v>
      </c>
      <c r="R717" s="1062">
        <v>35009299</v>
      </c>
      <c r="S717" s="1011" t="s">
        <v>1026</v>
      </c>
      <c r="T717" s="840" t="s">
        <v>1080</v>
      </c>
      <c r="U717" s="866">
        <v>10440000</v>
      </c>
      <c r="V717" s="855">
        <v>40666</v>
      </c>
      <c r="W717" s="866" t="s">
        <v>7</v>
      </c>
      <c r="X717" s="1043">
        <v>26100000</v>
      </c>
      <c r="Y717" s="1043">
        <v>33205165.949999999</v>
      </c>
      <c r="Z717" s="827">
        <v>0</v>
      </c>
      <c r="AA717" s="1043">
        <v>63600</v>
      </c>
      <c r="AB717" s="1062">
        <v>0</v>
      </c>
      <c r="AC717" s="1062">
        <v>63600</v>
      </c>
      <c r="AD717" s="1062">
        <v>0</v>
      </c>
      <c r="AE717" s="1062">
        <v>63600</v>
      </c>
      <c r="AF717" s="1103" t="s">
        <v>606</v>
      </c>
      <c r="AG717" s="1103" t="s">
        <v>1082</v>
      </c>
      <c r="AH717" s="1103" t="s">
        <v>194</v>
      </c>
      <c r="AI717" s="1103" t="s">
        <v>558</v>
      </c>
    </row>
    <row r="718" spans="1:35" ht="15" customHeight="1">
      <c r="A718" s="1033"/>
      <c r="B718" s="1033"/>
      <c r="C718" s="1033"/>
      <c r="D718" s="1033"/>
      <c r="E718" s="1012"/>
      <c r="F718" s="1033"/>
      <c r="G718" s="1033"/>
      <c r="H718" s="1222"/>
      <c r="I718" s="1067"/>
      <c r="J718" s="1064"/>
      <c r="K718" s="1064"/>
      <c r="L718" s="1063"/>
      <c r="M718" s="1070"/>
      <c r="N718" s="1094"/>
      <c r="O718" s="1094"/>
      <c r="P718" s="1064"/>
      <c r="Q718" s="1064"/>
      <c r="R718" s="1063"/>
      <c r="S718" s="1033"/>
      <c r="T718" s="840" t="s">
        <v>1081</v>
      </c>
      <c r="U718" s="866">
        <v>15660000</v>
      </c>
      <c r="V718" s="855">
        <v>41470</v>
      </c>
      <c r="W718" s="866" t="s">
        <v>7</v>
      </c>
      <c r="X718" s="1045"/>
      <c r="Y718" s="1044"/>
      <c r="Z718" s="827">
        <v>0</v>
      </c>
      <c r="AA718" s="1045"/>
      <c r="AB718" s="1063"/>
      <c r="AC718" s="1064"/>
      <c r="AD718" s="1064"/>
      <c r="AE718" s="1064"/>
      <c r="AF718" s="1104"/>
      <c r="AG718" s="1104"/>
      <c r="AH718" s="1104"/>
      <c r="AI718" s="1104"/>
    </row>
    <row r="719" spans="1:35" ht="15" customHeight="1">
      <c r="A719" s="1033"/>
      <c r="B719" s="1033"/>
      <c r="C719" s="1033"/>
      <c r="D719" s="1033"/>
      <c r="E719" s="789" t="s">
        <v>67</v>
      </c>
      <c r="F719" s="1033"/>
      <c r="G719" s="1033"/>
      <c r="H719" s="877">
        <v>242</v>
      </c>
      <c r="I719" s="792" t="s">
        <v>7</v>
      </c>
      <c r="J719" s="797">
        <v>8909299</v>
      </c>
      <c r="K719" s="797">
        <v>8909299</v>
      </c>
      <c r="L719" s="1063"/>
      <c r="M719" s="816">
        <v>41081</v>
      </c>
      <c r="N719" s="819">
        <v>8909299</v>
      </c>
      <c r="O719" s="819">
        <v>8909299</v>
      </c>
      <c r="P719" s="797">
        <v>0</v>
      </c>
      <c r="Q719" s="797">
        <v>8909299</v>
      </c>
      <c r="R719" s="1063"/>
      <c r="S719" s="1033"/>
      <c r="T719" s="840" t="s">
        <v>1081</v>
      </c>
      <c r="U719" s="866">
        <v>7105165.9500000002</v>
      </c>
      <c r="V719" s="855">
        <v>41470</v>
      </c>
      <c r="W719" s="866" t="s">
        <v>7</v>
      </c>
      <c r="X719" s="805">
        <v>7105165.9500000002</v>
      </c>
      <c r="Y719" s="1044"/>
      <c r="Z719" s="827">
        <v>0</v>
      </c>
      <c r="AA719" s="805">
        <v>1804133.0499999998</v>
      </c>
      <c r="AB719" s="1063"/>
      <c r="AC719" s="797">
        <v>0</v>
      </c>
      <c r="AD719" s="797">
        <v>1804133.0499999998</v>
      </c>
      <c r="AE719" s="797">
        <v>1804133.0499999998</v>
      </c>
      <c r="AF719" s="1104"/>
      <c r="AG719" s="1104"/>
      <c r="AH719" s="1104"/>
      <c r="AI719" s="1104"/>
    </row>
    <row r="720" spans="1:35" ht="15" customHeight="1">
      <c r="A720" s="1011" t="s">
        <v>1068</v>
      </c>
      <c r="B720" s="1011" t="s">
        <v>1070</v>
      </c>
      <c r="C720" s="1011" t="s">
        <v>70</v>
      </c>
      <c r="D720" s="1011" t="s">
        <v>177</v>
      </c>
      <c r="E720" s="1011" t="s">
        <v>66</v>
      </c>
      <c r="F720" s="1011" t="s">
        <v>183</v>
      </c>
      <c r="G720" s="1011" t="s">
        <v>1074</v>
      </c>
      <c r="H720" s="1220">
        <v>130</v>
      </c>
      <c r="I720" s="1065" t="s">
        <v>7</v>
      </c>
      <c r="J720" s="1062">
        <v>31031174</v>
      </c>
      <c r="K720" s="1062">
        <v>31031174</v>
      </c>
      <c r="L720" s="1062">
        <v>46207307</v>
      </c>
      <c r="M720" s="1068">
        <v>40637</v>
      </c>
      <c r="N720" s="1092">
        <v>31000000</v>
      </c>
      <c r="O720" s="1092">
        <v>31000000</v>
      </c>
      <c r="P720" s="1062">
        <v>31174</v>
      </c>
      <c r="Q720" s="1062">
        <v>31000000</v>
      </c>
      <c r="R720" s="1062">
        <v>46176133</v>
      </c>
      <c r="S720" s="1011" t="s">
        <v>1026</v>
      </c>
      <c r="T720" s="840" t="s">
        <v>1071</v>
      </c>
      <c r="U720" s="866">
        <v>12400000</v>
      </c>
      <c r="V720" s="855">
        <v>40666</v>
      </c>
      <c r="W720" s="866" t="s">
        <v>7</v>
      </c>
      <c r="X720" s="1043">
        <v>31000000</v>
      </c>
      <c r="Y720" s="1043">
        <v>46176133</v>
      </c>
      <c r="Z720" s="827">
        <v>0</v>
      </c>
      <c r="AA720" s="1043">
        <v>0</v>
      </c>
      <c r="AB720" s="1062">
        <v>0</v>
      </c>
      <c r="AC720" s="1062">
        <v>0</v>
      </c>
      <c r="AD720" s="1062">
        <v>0</v>
      </c>
      <c r="AE720" s="1062">
        <v>0</v>
      </c>
      <c r="AF720" s="1103" t="s">
        <v>606</v>
      </c>
      <c r="AG720" s="1195" t="s">
        <v>1075</v>
      </c>
      <c r="AH720" s="1103" t="s">
        <v>194</v>
      </c>
      <c r="AI720" s="1103" t="s">
        <v>558</v>
      </c>
    </row>
    <row r="721" spans="1:35" ht="15" customHeight="1">
      <c r="A721" s="1033"/>
      <c r="B721" s="1033"/>
      <c r="C721" s="1033"/>
      <c r="D721" s="1033"/>
      <c r="E721" s="1033"/>
      <c r="F721" s="1033"/>
      <c r="G721" s="1033"/>
      <c r="H721" s="1221"/>
      <c r="I721" s="1066"/>
      <c r="J721" s="1063"/>
      <c r="K721" s="1063"/>
      <c r="L721" s="1063"/>
      <c r="M721" s="1069"/>
      <c r="N721" s="1093"/>
      <c r="O721" s="1093"/>
      <c r="P721" s="1063"/>
      <c r="Q721" s="1063"/>
      <c r="R721" s="1063"/>
      <c r="S721" s="1033"/>
      <c r="T721" s="840" t="s">
        <v>1072</v>
      </c>
      <c r="U721" s="866">
        <v>15105060</v>
      </c>
      <c r="V721" s="855">
        <v>41022</v>
      </c>
      <c r="W721" s="866" t="s">
        <v>7</v>
      </c>
      <c r="X721" s="1044"/>
      <c r="Y721" s="1044"/>
      <c r="Z721" s="827">
        <v>0</v>
      </c>
      <c r="AA721" s="1044"/>
      <c r="AB721" s="1063"/>
      <c r="AC721" s="1063"/>
      <c r="AD721" s="1063"/>
      <c r="AE721" s="1063"/>
      <c r="AF721" s="1104"/>
      <c r="AG721" s="1104"/>
      <c r="AH721" s="1104"/>
      <c r="AI721" s="1104"/>
    </row>
    <row r="722" spans="1:35" ht="15" customHeight="1">
      <c r="A722" s="1033"/>
      <c r="B722" s="1033"/>
      <c r="C722" s="1033"/>
      <c r="D722" s="1033"/>
      <c r="E722" s="1012"/>
      <c r="F722" s="1033"/>
      <c r="G722" s="1033"/>
      <c r="H722" s="1222"/>
      <c r="I722" s="1067"/>
      <c r="J722" s="1064"/>
      <c r="K722" s="1064"/>
      <c r="L722" s="1063"/>
      <c r="M722" s="1070"/>
      <c r="N722" s="1094"/>
      <c r="O722" s="1094"/>
      <c r="P722" s="1064"/>
      <c r="Q722" s="1064"/>
      <c r="R722" s="1063"/>
      <c r="S722" s="1033"/>
      <c r="T722" s="840" t="s">
        <v>1073</v>
      </c>
      <c r="U722" s="866">
        <v>3494940</v>
      </c>
      <c r="V722" s="855">
        <v>41638</v>
      </c>
      <c r="W722" s="866" t="s">
        <v>7</v>
      </c>
      <c r="X722" s="1045"/>
      <c r="Y722" s="1044"/>
      <c r="Z722" s="827">
        <v>0</v>
      </c>
      <c r="AA722" s="1045"/>
      <c r="AB722" s="1063"/>
      <c r="AC722" s="1064"/>
      <c r="AD722" s="1064"/>
      <c r="AE722" s="1064"/>
      <c r="AF722" s="1104"/>
      <c r="AG722" s="1104"/>
      <c r="AH722" s="1104"/>
      <c r="AI722" s="1104"/>
    </row>
    <row r="723" spans="1:35" ht="15" customHeight="1">
      <c r="A723" s="1012"/>
      <c r="B723" s="1012"/>
      <c r="C723" s="1012"/>
      <c r="D723" s="1012"/>
      <c r="E723" s="823" t="s">
        <v>67</v>
      </c>
      <c r="F723" s="1012"/>
      <c r="G723" s="1012"/>
      <c r="H723" s="879">
        <v>244</v>
      </c>
      <c r="I723" s="840" t="s">
        <v>7</v>
      </c>
      <c r="J723" s="858">
        <v>15176133</v>
      </c>
      <c r="K723" s="858">
        <v>15176133</v>
      </c>
      <c r="L723" s="1064"/>
      <c r="M723" s="855">
        <v>41081</v>
      </c>
      <c r="N723" s="862">
        <v>15176133</v>
      </c>
      <c r="O723" s="862">
        <v>15176133</v>
      </c>
      <c r="P723" s="858">
        <v>0</v>
      </c>
      <c r="Q723" s="858">
        <v>15176133</v>
      </c>
      <c r="R723" s="1064"/>
      <c r="S723" s="1012"/>
      <c r="T723" s="840" t="s">
        <v>1073</v>
      </c>
      <c r="U723" s="866">
        <v>15176133</v>
      </c>
      <c r="V723" s="855">
        <v>41638</v>
      </c>
      <c r="W723" s="866" t="s">
        <v>7</v>
      </c>
      <c r="X723" s="827">
        <v>15176133</v>
      </c>
      <c r="Y723" s="1045"/>
      <c r="Z723" s="827">
        <v>0</v>
      </c>
      <c r="AA723" s="827">
        <v>0</v>
      </c>
      <c r="AB723" s="1064"/>
      <c r="AC723" s="858">
        <v>0</v>
      </c>
      <c r="AD723" s="858">
        <v>0</v>
      </c>
      <c r="AE723" s="858">
        <v>0</v>
      </c>
      <c r="AF723" s="1105"/>
      <c r="AG723" s="1105"/>
      <c r="AH723" s="1105"/>
      <c r="AI723" s="1105"/>
    </row>
    <row r="724" spans="1:35" ht="15" customHeight="1">
      <c r="A724" s="1011" t="s">
        <v>1048</v>
      </c>
      <c r="B724" s="1011" t="s">
        <v>1049</v>
      </c>
      <c r="C724" s="1011" t="s">
        <v>70</v>
      </c>
      <c r="D724" s="1011" t="s">
        <v>177</v>
      </c>
      <c r="E724" s="1011" t="s">
        <v>66</v>
      </c>
      <c r="F724" s="1011" t="s">
        <v>217</v>
      </c>
      <c r="G724" s="1011" t="s">
        <v>1051</v>
      </c>
      <c r="H724" s="1220">
        <v>2</v>
      </c>
      <c r="I724" s="1065" t="s">
        <v>132</v>
      </c>
      <c r="J724" s="1062">
        <v>9317597</v>
      </c>
      <c r="K724" s="1062">
        <v>9317597</v>
      </c>
      <c r="L724" s="1062">
        <v>9317597</v>
      </c>
      <c r="M724" s="1068">
        <v>40709</v>
      </c>
      <c r="N724" s="1092">
        <v>9317597</v>
      </c>
      <c r="O724" s="1092">
        <v>9317597</v>
      </c>
      <c r="P724" s="1119">
        <v>0</v>
      </c>
      <c r="Q724" s="1062">
        <v>8975674</v>
      </c>
      <c r="R724" s="1062">
        <v>8975674</v>
      </c>
      <c r="S724" s="1011" t="s">
        <v>1050</v>
      </c>
      <c r="T724" s="840" t="s">
        <v>1052</v>
      </c>
      <c r="U724" s="866">
        <v>3590270</v>
      </c>
      <c r="V724" s="855">
        <v>40746</v>
      </c>
      <c r="W724" s="866" t="s">
        <v>132</v>
      </c>
      <c r="X724" s="1043">
        <v>8437134</v>
      </c>
      <c r="Y724" s="1043">
        <v>0</v>
      </c>
      <c r="Z724" s="827">
        <v>-0.39999999990686774</v>
      </c>
      <c r="AA724" s="1043">
        <v>880463</v>
      </c>
      <c r="AB724" s="1062">
        <v>538540</v>
      </c>
      <c r="AC724" s="1062">
        <v>341923</v>
      </c>
      <c r="AD724" s="1062">
        <v>0</v>
      </c>
      <c r="AE724" s="1062">
        <v>341923</v>
      </c>
      <c r="AF724" s="1103" t="s">
        <v>1046</v>
      </c>
      <c r="AG724" s="1195" t="s">
        <v>1055</v>
      </c>
      <c r="AH724" s="1103" t="s">
        <v>194</v>
      </c>
      <c r="AI724" s="1103" t="s">
        <v>558</v>
      </c>
    </row>
    <row r="725" spans="1:35" ht="15" customHeight="1">
      <c r="A725" s="1033"/>
      <c r="B725" s="1033"/>
      <c r="C725" s="1033"/>
      <c r="D725" s="1033"/>
      <c r="E725" s="1033"/>
      <c r="F725" s="1033"/>
      <c r="G725" s="1033"/>
      <c r="H725" s="1221"/>
      <c r="I725" s="1066"/>
      <c r="J725" s="1063"/>
      <c r="K725" s="1063"/>
      <c r="L725" s="1063"/>
      <c r="M725" s="1069"/>
      <c r="N725" s="1093"/>
      <c r="O725" s="1093"/>
      <c r="P725" s="1119"/>
      <c r="Q725" s="1063"/>
      <c r="R725" s="1063"/>
      <c r="S725" s="1033"/>
      <c r="T725" s="840" t="s">
        <v>1053</v>
      </c>
      <c r="U725" s="866">
        <v>4846864</v>
      </c>
      <c r="V725" s="855">
        <v>41106</v>
      </c>
      <c r="W725" s="866" t="s">
        <v>132</v>
      </c>
      <c r="X725" s="1044"/>
      <c r="Y725" s="1044"/>
      <c r="Z725" s="827">
        <v>0.20000000018626451</v>
      </c>
      <c r="AA725" s="1044"/>
      <c r="AB725" s="1063"/>
      <c r="AC725" s="1063"/>
      <c r="AD725" s="1063"/>
      <c r="AE725" s="1063"/>
      <c r="AF725" s="1104"/>
      <c r="AG725" s="1104"/>
      <c r="AH725" s="1104"/>
      <c r="AI725" s="1104"/>
    </row>
    <row r="726" spans="1:35" ht="15" customHeight="1">
      <c r="A726" s="1012"/>
      <c r="B726" s="1012"/>
      <c r="C726" s="1012"/>
      <c r="D726" s="1012"/>
      <c r="E726" s="1012"/>
      <c r="F726" s="1012"/>
      <c r="G726" s="1012"/>
      <c r="H726" s="1222"/>
      <c r="I726" s="1067"/>
      <c r="J726" s="1064"/>
      <c r="K726" s="1064"/>
      <c r="L726" s="1064"/>
      <c r="M726" s="1070"/>
      <c r="N726" s="1094"/>
      <c r="O726" s="1094"/>
      <c r="P726" s="1119"/>
      <c r="Q726" s="1064"/>
      <c r="R726" s="1064"/>
      <c r="S726" s="1012"/>
      <c r="T726" s="840" t="s">
        <v>1054</v>
      </c>
      <c r="U726" s="866">
        <v>0</v>
      </c>
      <c r="V726" s="855"/>
      <c r="W726" s="866" t="s">
        <v>132</v>
      </c>
      <c r="X726" s="1045"/>
      <c r="Y726" s="1045"/>
      <c r="Z726" s="827">
        <v>538540.19999999995</v>
      </c>
      <c r="AA726" s="1045"/>
      <c r="AB726" s="1064"/>
      <c r="AC726" s="1064"/>
      <c r="AD726" s="1064"/>
      <c r="AE726" s="1064"/>
      <c r="AF726" s="1105"/>
      <c r="AG726" s="1105"/>
      <c r="AH726" s="1105"/>
      <c r="AI726" s="1105"/>
    </row>
    <row r="727" spans="1:35" s="24" customFormat="1" ht="15" customHeight="1">
      <c r="A727" s="1076" t="s">
        <v>1100</v>
      </c>
      <c r="B727" s="1076" t="s">
        <v>1102</v>
      </c>
      <c r="C727" s="1076" t="s">
        <v>71</v>
      </c>
      <c r="D727" s="1076" t="s">
        <v>1086</v>
      </c>
      <c r="E727" s="1076" t="s">
        <v>66</v>
      </c>
      <c r="F727" s="1076" t="s">
        <v>183</v>
      </c>
      <c r="G727" s="1076" t="s">
        <v>1099</v>
      </c>
      <c r="H727" s="1245">
        <v>152</v>
      </c>
      <c r="I727" s="1244" t="s">
        <v>137</v>
      </c>
      <c r="J727" s="1119">
        <v>122551517</v>
      </c>
      <c r="K727" s="1119">
        <v>243133608</v>
      </c>
      <c r="L727" s="1119">
        <v>780816153</v>
      </c>
      <c r="M727" s="1171">
        <v>40686</v>
      </c>
      <c r="N727" s="1351">
        <v>239805800</v>
      </c>
      <c r="O727" s="1224">
        <v>120874135</v>
      </c>
      <c r="P727" s="1224">
        <v>1677382</v>
      </c>
      <c r="Q727" s="1119">
        <v>120874135</v>
      </c>
      <c r="R727" s="1224">
        <v>770129000</v>
      </c>
      <c r="S727" s="1076" t="s">
        <v>1103</v>
      </c>
      <c r="T727" s="1123" t="s">
        <v>1105</v>
      </c>
      <c r="U727" s="866">
        <v>59465832.490000002</v>
      </c>
      <c r="V727" s="1171">
        <v>40765</v>
      </c>
      <c r="W727" s="866" t="s">
        <v>7</v>
      </c>
      <c r="X727" s="1215">
        <v>239805800</v>
      </c>
      <c r="Y727" s="1215">
        <v>770129000</v>
      </c>
      <c r="Z727" s="866">
        <v>9.9999979138374329E-3</v>
      </c>
      <c r="AA727" s="1215">
        <v>-51872960.00999999</v>
      </c>
      <c r="AB727" s="1215">
        <v>0</v>
      </c>
      <c r="AC727" s="1215">
        <v>0</v>
      </c>
      <c r="AD727" s="1215">
        <v>0</v>
      </c>
      <c r="AE727" s="1215">
        <v>0</v>
      </c>
      <c r="AF727" s="1283" t="s">
        <v>1108</v>
      </c>
      <c r="AG727" s="1204" t="s">
        <v>1119</v>
      </c>
      <c r="AH727" s="1204" t="s">
        <v>195</v>
      </c>
      <c r="AI727" s="1204" t="s">
        <v>1097</v>
      </c>
    </row>
    <row r="728" spans="1:35" s="24" customFormat="1" ht="15" customHeight="1">
      <c r="A728" s="1076"/>
      <c r="B728" s="1076"/>
      <c r="C728" s="1076"/>
      <c r="D728" s="1076"/>
      <c r="E728" s="1076"/>
      <c r="F728" s="1076"/>
      <c r="G728" s="1076"/>
      <c r="H728" s="1245"/>
      <c r="I728" s="1244"/>
      <c r="J728" s="1119"/>
      <c r="K728" s="1119"/>
      <c r="L728" s="1119"/>
      <c r="M728" s="1171"/>
      <c r="N728" s="1351"/>
      <c r="O728" s="1224"/>
      <c r="P728" s="1224"/>
      <c r="Q728" s="1119"/>
      <c r="R728" s="1224"/>
      <c r="S728" s="1076"/>
      <c r="T728" s="1123"/>
      <c r="U728" s="866">
        <v>60437067.509999998</v>
      </c>
      <c r="V728" s="1171"/>
      <c r="W728" s="866" t="s">
        <v>137</v>
      </c>
      <c r="X728" s="1215"/>
      <c r="Y728" s="1215"/>
      <c r="Z728" s="866">
        <v>-9.9999979138374329E-3</v>
      </c>
      <c r="AA728" s="1215"/>
      <c r="AB728" s="1215"/>
      <c r="AC728" s="1215"/>
      <c r="AD728" s="1215"/>
      <c r="AE728" s="1215"/>
      <c r="AF728" s="1203"/>
      <c r="AG728" s="1204"/>
      <c r="AH728" s="1204"/>
      <c r="AI728" s="1204"/>
    </row>
    <row r="729" spans="1:35" s="24" customFormat="1" ht="15" customHeight="1">
      <c r="A729" s="1076"/>
      <c r="B729" s="1076"/>
      <c r="C729" s="1076"/>
      <c r="D729" s="1076"/>
      <c r="E729" s="1076"/>
      <c r="F729" s="1076"/>
      <c r="G729" s="1076"/>
      <c r="H729" s="1245"/>
      <c r="I729" s="1244"/>
      <c r="J729" s="1119"/>
      <c r="K729" s="1119"/>
      <c r="L729" s="1119"/>
      <c r="M729" s="1171"/>
      <c r="N729" s="1351"/>
      <c r="O729" s="1224"/>
      <c r="P729" s="1224"/>
      <c r="Q729" s="1119"/>
      <c r="R729" s="1224"/>
      <c r="S729" s="1076"/>
      <c r="T729" s="1123" t="s">
        <v>1104</v>
      </c>
      <c r="U729" s="866">
        <v>22752311</v>
      </c>
      <c r="V729" s="1171">
        <v>41089</v>
      </c>
      <c r="W729" s="866" t="s">
        <v>137</v>
      </c>
      <c r="X729" s="1215"/>
      <c r="Y729" s="1215"/>
      <c r="Z729" s="866">
        <v>0</v>
      </c>
      <c r="AA729" s="1215"/>
      <c r="AB729" s="1215"/>
      <c r="AC729" s="1215"/>
      <c r="AD729" s="1215"/>
      <c r="AE729" s="1215"/>
      <c r="AF729" s="1203"/>
      <c r="AG729" s="1204"/>
      <c r="AH729" s="1204"/>
      <c r="AI729" s="1204"/>
    </row>
    <row r="730" spans="1:35" s="24" customFormat="1" ht="15" customHeight="1">
      <c r="A730" s="1076"/>
      <c r="B730" s="1076"/>
      <c r="C730" s="1076"/>
      <c r="D730" s="1076"/>
      <c r="E730" s="1076"/>
      <c r="F730" s="1076"/>
      <c r="G730" s="1076"/>
      <c r="H730" s="1245"/>
      <c r="I730" s="1244"/>
      <c r="J730" s="1119"/>
      <c r="K730" s="1119"/>
      <c r="L730" s="1119"/>
      <c r="M730" s="1171"/>
      <c r="N730" s="1351"/>
      <c r="O730" s="1224"/>
      <c r="P730" s="1224"/>
      <c r="Q730" s="1119"/>
      <c r="R730" s="1224"/>
      <c r="S730" s="1076"/>
      <c r="T730" s="1123"/>
      <c r="U730" s="866">
        <v>23123916</v>
      </c>
      <c r="V730" s="1171"/>
      <c r="W730" s="866" t="s">
        <v>137</v>
      </c>
      <c r="X730" s="1215"/>
      <c r="Y730" s="1215"/>
      <c r="Z730" s="866">
        <v>0</v>
      </c>
      <c r="AA730" s="1215"/>
      <c r="AB730" s="1215"/>
      <c r="AC730" s="1215"/>
      <c r="AD730" s="1215"/>
      <c r="AE730" s="1215"/>
      <c r="AF730" s="1203"/>
      <c r="AG730" s="1204"/>
      <c r="AH730" s="1204"/>
      <c r="AI730" s="1204"/>
    </row>
    <row r="731" spans="1:35" s="24" customFormat="1" ht="15" customHeight="1">
      <c r="A731" s="1076"/>
      <c r="B731" s="1076"/>
      <c r="C731" s="1076"/>
      <c r="D731" s="1076"/>
      <c r="E731" s="1076"/>
      <c r="F731" s="1076"/>
      <c r="G731" s="1076"/>
      <c r="H731" s="1245"/>
      <c r="I731" s="1244"/>
      <c r="J731" s="1119"/>
      <c r="K731" s="1119"/>
      <c r="L731" s="1119"/>
      <c r="M731" s="1171"/>
      <c r="N731" s="1351"/>
      <c r="O731" s="1224"/>
      <c r="P731" s="1224"/>
      <c r="Q731" s="1119"/>
      <c r="R731" s="1224"/>
      <c r="S731" s="1076"/>
      <c r="T731" s="1123" t="s">
        <v>1107</v>
      </c>
      <c r="U731" s="866">
        <v>29242668</v>
      </c>
      <c r="V731" s="1171">
        <v>41208</v>
      </c>
      <c r="W731" s="866" t="s">
        <v>137</v>
      </c>
      <c r="X731" s="1215"/>
      <c r="Y731" s="1215"/>
      <c r="Z731" s="866">
        <v>0</v>
      </c>
      <c r="AA731" s="1215"/>
      <c r="AB731" s="1215"/>
      <c r="AC731" s="1215"/>
      <c r="AD731" s="1215"/>
      <c r="AE731" s="1215"/>
      <c r="AF731" s="1203"/>
      <c r="AG731" s="1204"/>
      <c r="AH731" s="1204"/>
      <c r="AI731" s="1204"/>
    </row>
    <row r="732" spans="1:35" s="24" customFormat="1" ht="15" customHeight="1">
      <c r="A732" s="1076"/>
      <c r="B732" s="1076"/>
      <c r="C732" s="1076"/>
      <c r="D732" s="1076"/>
      <c r="E732" s="1076"/>
      <c r="F732" s="1076"/>
      <c r="G732" s="1076"/>
      <c r="H732" s="1245"/>
      <c r="I732" s="1244"/>
      <c r="J732" s="1119"/>
      <c r="K732" s="1119"/>
      <c r="L732" s="1119"/>
      <c r="M732" s="1171"/>
      <c r="N732" s="1351"/>
      <c r="O732" s="1224"/>
      <c r="P732" s="1224"/>
      <c r="Q732" s="1119"/>
      <c r="R732" s="1224"/>
      <c r="S732" s="1076"/>
      <c r="T732" s="1123"/>
      <c r="U732" s="866">
        <v>29720279</v>
      </c>
      <c r="V732" s="1171"/>
      <c r="W732" s="866" t="s">
        <v>137</v>
      </c>
      <c r="X732" s="1215"/>
      <c r="Y732" s="1215"/>
      <c r="Z732" s="866">
        <v>0</v>
      </c>
      <c r="AA732" s="1215"/>
      <c r="AB732" s="1215"/>
      <c r="AC732" s="1215"/>
      <c r="AD732" s="1215"/>
      <c r="AE732" s="1215"/>
      <c r="AF732" s="1203"/>
      <c r="AG732" s="1204"/>
      <c r="AH732" s="1204"/>
      <c r="AI732" s="1204"/>
    </row>
    <row r="733" spans="1:35" s="24" customFormat="1" ht="15" customHeight="1">
      <c r="A733" s="1076"/>
      <c r="B733" s="1076"/>
      <c r="C733" s="1076"/>
      <c r="D733" s="1076"/>
      <c r="E733" s="1076"/>
      <c r="F733" s="1076"/>
      <c r="G733" s="1076"/>
      <c r="H733" s="1245"/>
      <c r="I733" s="1244" t="s">
        <v>7</v>
      </c>
      <c r="J733" s="1119">
        <v>120582091</v>
      </c>
      <c r="K733" s="1119"/>
      <c r="L733" s="1119"/>
      <c r="M733" s="1171"/>
      <c r="N733" s="1351"/>
      <c r="O733" s="1224">
        <v>118931665</v>
      </c>
      <c r="P733" s="1224">
        <v>1650426</v>
      </c>
      <c r="Q733" s="1119">
        <v>118931665</v>
      </c>
      <c r="R733" s="1224"/>
      <c r="S733" s="1076"/>
      <c r="T733" s="1123" t="s">
        <v>1106</v>
      </c>
      <c r="U733" s="866">
        <v>7470853.5</v>
      </c>
      <c r="V733" s="1171">
        <v>41451</v>
      </c>
      <c r="W733" s="866" t="s">
        <v>137</v>
      </c>
      <c r="X733" s="1215"/>
      <c r="Y733" s="1215"/>
      <c r="Z733" s="866">
        <v>0</v>
      </c>
      <c r="AA733" s="1215">
        <v>51872960.009999998</v>
      </c>
      <c r="AB733" s="1215"/>
      <c r="AC733" s="1215">
        <v>0</v>
      </c>
      <c r="AD733" s="1215"/>
      <c r="AE733" s="1215"/>
      <c r="AF733" s="1203"/>
      <c r="AG733" s="1204"/>
      <c r="AH733" s="1204"/>
      <c r="AI733" s="1204"/>
    </row>
    <row r="734" spans="1:35" s="24" customFormat="1" ht="15" customHeight="1">
      <c r="A734" s="1076"/>
      <c r="B734" s="1076"/>
      <c r="C734" s="1076"/>
      <c r="D734" s="1076"/>
      <c r="E734" s="1076"/>
      <c r="F734" s="1076"/>
      <c r="G734" s="1076"/>
      <c r="H734" s="1245"/>
      <c r="I734" s="1244"/>
      <c r="J734" s="1119"/>
      <c r="K734" s="1119"/>
      <c r="L734" s="1119"/>
      <c r="M734" s="1171"/>
      <c r="N734" s="1351"/>
      <c r="O734" s="1224"/>
      <c r="P734" s="1224"/>
      <c r="Q734" s="1119"/>
      <c r="R734" s="1224"/>
      <c r="S734" s="1076"/>
      <c r="T734" s="1123"/>
      <c r="U734" s="866">
        <v>7592872.5</v>
      </c>
      <c r="V734" s="1171"/>
      <c r="W734" s="866" t="s">
        <v>7</v>
      </c>
      <c r="X734" s="1215"/>
      <c r="Y734" s="1215"/>
      <c r="Z734" s="866">
        <v>0</v>
      </c>
      <c r="AA734" s="1215"/>
      <c r="AB734" s="1215"/>
      <c r="AC734" s="1215"/>
      <c r="AD734" s="1215"/>
      <c r="AE734" s="1215"/>
      <c r="AF734" s="1203"/>
      <c r="AG734" s="1204"/>
      <c r="AH734" s="1204"/>
      <c r="AI734" s="1204"/>
    </row>
    <row r="735" spans="1:35" s="24" customFormat="1" ht="15" customHeight="1">
      <c r="A735" s="1076"/>
      <c r="B735" s="1076"/>
      <c r="C735" s="1076"/>
      <c r="D735" s="1076"/>
      <c r="E735" s="1076"/>
      <c r="F735" s="1076"/>
      <c r="G735" s="1076"/>
      <c r="H735" s="1245">
        <v>2</v>
      </c>
      <c r="I735" s="1123" t="s">
        <v>129</v>
      </c>
      <c r="J735" s="1119">
        <v>537682545</v>
      </c>
      <c r="K735" s="1119">
        <v>537682545</v>
      </c>
      <c r="L735" s="1119"/>
      <c r="M735" s="1171">
        <v>40686</v>
      </c>
      <c r="N735" s="1351">
        <v>530323200</v>
      </c>
      <c r="O735" s="1351">
        <v>530323200</v>
      </c>
      <c r="P735" s="1351">
        <v>7359345</v>
      </c>
      <c r="Q735" s="1119">
        <v>530323200</v>
      </c>
      <c r="R735" s="1224"/>
      <c r="S735" s="1076"/>
      <c r="T735" s="840" t="s">
        <v>1105</v>
      </c>
      <c r="U735" s="866">
        <v>265161600</v>
      </c>
      <c r="V735" s="855">
        <v>40765</v>
      </c>
      <c r="W735" s="866" t="s">
        <v>129</v>
      </c>
      <c r="X735" s="1215">
        <v>530323200</v>
      </c>
      <c r="Y735" s="1215"/>
      <c r="Z735" s="866">
        <v>0</v>
      </c>
      <c r="AA735" s="1215">
        <v>0</v>
      </c>
      <c r="AB735" s="1215"/>
      <c r="AC735" s="1215">
        <v>0</v>
      </c>
      <c r="AD735" s="1215">
        <v>0</v>
      </c>
      <c r="AE735" s="1215">
        <v>0</v>
      </c>
      <c r="AF735" s="1203"/>
      <c r="AG735" s="1204"/>
      <c r="AH735" s="1204"/>
      <c r="AI735" s="1204"/>
    </row>
    <row r="736" spans="1:35" s="24" customFormat="1" ht="15" customHeight="1">
      <c r="A736" s="1076"/>
      <c r="B736" s="1076"/>
      <c r="C736" s="1076"/>
      <c r="D736" s="1076"/>
      <c r="E736" s="1076"/>
      <c r="F736" s="1076"/>
      <c r="G736" s="1076"/>
      <c r="H736" s="1245"/>
      <c r="I736" s="1123"/>
      <c r="J736" s="1119"/>
      <c r="K736" s="1119"/>
      <c r="L736" s="1119"/>
      <c r="M736" s="1171"/>
      <c r="N736" s="1351"/>
      <c r="O736" s="1351"/>
      <c r="P736" s="1351"/>
      <c r="Q736" s="1119"/>
      <c r="R736" s="1224"/>
      <c r="S736" s="1076"/>
      <c r="T736" s="840" t="s">
        <v>1104</v>
      </c>
      <c r="U736" s="866">
        <v>101453875</v>
      </c>
      <c r="V736" s="855">
        <v>41089</v>
      </c>
      <c r="W736" s="866" t="s">
        <v>129</v>
      </c>
      <c r="X736" s="1215"/>
      <c r="Y736" s="1215"/>
      <c r="Z736" s="866">
        <v>0</v>
      </c>
      <c r="AA736" s="1215"/>
      <c r="AB736" s="1215"/>
      <c r="AC736" s="1215"/>
      <c r="AD736" s="1215"/>
      <c r="AE736" s="1215"/>
      <c r="AF736" s="1203"/>
      <c r="AG736" s="1204"/>
      <c r="AH736" s="1204"/>
      <c r="AI736" s="1204"/>
    </row>
    <row r="737" spans="1:35" s="24" customFormat="1" ht="15" customHeight="1">
      <c r="A737" s="1076"/>
      <c r="B737" s="1076"/>
      <c r="C737" s="1076"/>
      <c r="D737" s="1076"/>
      <c r="E737" s="1076"/>
      <c r="F737" s="1076"/>
      <c r="G737" s="1076"/>
      <c r="H737" s="1245"/>
      <c r="I737" s="1123"/>
      <c r="J737" s="1119"/>
      <c r="K737" s="1119"/>
      <c r="L737" s="1119"/>
      <c r="M737" s="1171"/>
      <c r="N737" s="1351"/>
      <c r="O737" s="1351"/>
      <c r="P737" s="1351"/>
      <c r="Q737" s="1119"/>
      <c r="R737" s="1224"/>
      <c r="S737" s="1076"/>
      <c r="T737" s="840" t="s">
        <v>1107</v>
      </c>
      <c r="U737" s="866">
        <v>130394756</v>
      </c>
      <c r="V737" s="855">
        <v>41208</v>
      </c>
      <c r="W737" s="866" t="s">
        <v>129</v>
      </c>
      <c r="X737" s="1215"/>
      <c r="Y737" s="1215"/>
      <c r="Z737" s="866">
        <v>0</v>
      </c>
      <c r="AA737" s="1215"/>
      <c r="AB737" s="1215"/>
      <c r="AC737" s="1215"/>
      <c r="AD737" s="1215"/>
      <c r="AE737" s="1215"/>
      <c r="AF737" s="1203"/>
      <c r="AG737" s="1204"/>
      <c r="AH737" s="1204"/>
      <c r="AI737" s="1204"/>
    </row>
    <row r="738" spans="1:35" s="24" customFormat="1" ht="15" customHeight="1">
      <c r="A738" s="1076"/>
      <c r="B738" s="1076"/>
      <c r="C738" s="1076"/>
      <c r="D738" s="1076"/>
      <c r="E738" s="1076"/>
      <c r="F738" s="1076"/>
      <c r="G738" s="1076"/>
      <c r="H738" s="1245"/>
      <c r="I738" s="1123"/>
      <c r="J738" s="1119"/>
      <c r="K738" s="1119"/>
      <c r="L738" s="1119"/>
      <c r="M738" s="1171"/>
      <c r="N738" s="1351"/>
      <c r="O738" s="1351"/>
      <c r="P738" s="1351"/>
      <c r="Q738" s="1119"/>
      <c r="R738" s="1224"/>
      <c r="S738" s="1076"/>
      <c r="T738" s="840" t="s">
        <v>1106</v>
      </c>
      <c r="U738" s="866">
        <v>33312969</v>
      </c>
      <c r="V738" s="855">
        <v>41451</v>
      </c>
      <c r="W738" s="866" t="s">
        <v>129</v>
      </c>
      <c r="X738" s="1215"/>
      <c r="Y738" s="1215"/>
      <c r="Z738" s="866">
        <v>0</v>
      </c>
      <c r="AA738" s="1215"/>
      <c r="AB738" s="1215"/>
      <c r="AC738" s="1215"/>
      <c r="AD738" s="1215"/>
      <c r="AE738" s="1215"/>
      <c r="AF738" s="1203"/>
      <c r="AG738" s="1204"/>
      <c r="AH738" s="1204"/>
      <c r="AI738" s="1204"/>
    </row>
    <row r="739" spans="1:35" ht="15" customHeight="1">
      <c r="A739" s="1076" t="s">
        <v>1109</v>
      </c>
      <c r="B739" s="1076" t="s">
        <v>1111</v>
      </c>
      <c r="C739" s="1076" t="s">
        <v>71</v>
      </c>
      <c r="D739" s="1076" t="s">
        <v>1086</v>
      </c>
      <c r="E739" s="1076" t="s">
        <v>66</v>
      </c>
      <c r="F739" s="1076" t="s">
        <v>183</v>
      </c>
      <c r="G739" s="1076" t="s">
        <v>1117</v>
      </c>
      <c r="H739" s="1245">
        <v>1</v>
      </c>
      <c r="I739" s="1123" t="s">
        <v>141</v>
      </c>
      <c r="J739" s="1119">
        <v>485545287</v>
      </c>
      <c r="K739" s="1119">
        <v>485545287</v>
      </c>
      <c r="L739" s="1119">
        <v>1585545287</v>
      </c>
      <c r="M739" s="1171">
        <v>40723</v>
      </c>
      <c r="N739" s="1119">
        <v>485545287</v>
      </c>
      <c r="O739" s="1119">
        <v>485545287</v>
      </c>
      <c r="P739" s="1119">
        <v>0</v>
      </c>
      <c r="Q739" s="1119">
        <v>485545288</v>
      </c>
      <c r="R739" s="1119">
        <v>1566678737</v>
      </c>
      <c r="S739" s="1076" t="s">
        <v>1112</v>
      </c>
      <c r="T739" s="840" t="s">
        <v>1113</v>
      </c>
      <c r="U739" s="866">
        <v>242772644</v>
      </c>
      <c r="V739" s="855">
        <v>40877</v>
      </c>
      <c r="W739" s="866" t="s">
        <v>141</v>
      </c>
      <c r="X739" s="1084">
        <v>485545236.10000002</v>
      </c>
      <c r="Y739" s="1084">
        <v>1566678571.5</v>
      </c>
      <c r="Z739" s="827">
        <v>0</v>
      </c>
      <c r="AA739" s="1084">
        <v>50.899999976158142</v>
      </c>
      <c r="AB739" s="1119">
        <v>0</v>
      </c>
      <c r="AC739" s="1119">
        <v>-1</v>
      </c>
      <c r="AD739" s="1119">
        <v>51.899999976158142</v>
      </c>
      <c r="AE739" s="1119">
        <v>50.899999976158142</v>
      </c>
      <c r="AF739" s="1203" t="s">
        <v>1116</v>
      </c>
      <c r="AG739" s="1203" t="s">
        <v>1118</v>
      </c>
      <c r="AH739" s="1203" t="s">
        <v>194</v>
      </c>
      <c r="AI739" s="1203" t="s">
        <v>1097</v>
      </c>
    </row>
    <row r="740" spans="1:35" ht="15" customHeight="1">
      <c r="A740" s="1076"/>
      <c r="B740" s="1076"/>
      <c r="C740" s="1076"/>
      <c r="D740" s="1076"/>
      <c r="E740" s="1076"/>
      <c r="F740" s="1076"/>
      <c r="G740" s="1076"/>
      <c r="H740" s="1245"/>
      <c r="I740" s="1123"/>
      <c r="J740" s="1119"/>
      <c r="K740" s="1119"/>
      <c r="L740" s="1119"/>
      <c r="M740" s="1171"/>
      <c r="N740" s="1119"/>
      <c r="O740" s="1119"/>
      <c r="P740" s="1119"/>
      <c r="Q740" s="1119"/>
      <c r="R740" s="1119"/>
      <c r="S740" s="1076"/>
      <c r="T740" s="840" t="s">
        <v>1114</v>
      </c>
      <c r="U740" s="866">
        <v>190921820.06</v>
      </c>
      <c r="V740" s="855">
        <v>41260</v>
      </c>
      <c r="W740" s="866" t="s">
        <v>141</v>
      </c>
      <c r="X740" s="1084"/>
      <c r="Y740" s="1084"/>
      <c r="Z740" s="827">
        <v>0</v>
      </c>
      <c r="AA740" s="1084"/>
      <c r="AB740" s="1119"/>
      <c r="AC740" s="1119"/>
      <c r="AD740" s="1119"/>
      <c r="AE740" s="1119"/>
      <c r="AF740" s="1203"/>
      <c r="AG740" s="1203"/>
      <c r="AH740" s="1203"/>
      <c r="AI740" s="1203"/>
    </row>
    <row r="741" spans="1:35" ht="15" customHeight="1">
      <c r="A741" s="1076"/>
      <c r="B741" s="1076"/>
      <c r="C741" s="1076"/>
      <c r="D741" s="1076"/>
      <c r="E741" s="1076"/>
      <c r="F741" s="1076"/>
      <c r="G741" s="1076"/>
      <c r="H741" s="1245"/>
      <c r="I741" s="1123"/>
      <c r="J741" s="1119"/>
      <c r="K741" s="1119"/>
      <c r="L741" s="1119"/>
      <c r="M741" s="1171"/>
      <c r="N741" s="1119"/>
      <c r="O741" s="1119"/>
      <c r="P741" s="1119"/>
      <c r="Q741" s="1119"/>
      <c r="R741" s="1119"/>
      <c r="S741" s="1076"/>
      <c r="T741" s="840" t="s">
        <v>1115</v>
      </c>
      <c r="U741" s="866">
        <v>51850772.039999999</v>
      </c>
      <c r="V741" s="855">
        <v>41564</v>
      </c>
      <c r="W741" s="866" t="s">
        <v>141</v>
      </c>
      <c r="X741" s="1084"/>
      <c r="Y741" s="1084"/>
      <c r="Z741" s="827">
        <v>0</v>
      </c>
      <c r="AA741" s="1084"/>
      <c r="AB741" s="1119"/>
      <c r="AC741" s="1119"/>
      <c r="AD741" s="1119"/>
      <c r="AE741" s="1119"/>
      <c r="AF741" s="1203"/>
      <c r="AG741" s="1203"/>
      <c r="AH741" s="1203"/>
      <c r="AI741" s="1203"/>
    </row>
    <row r="742" spans="1:35" ht="15" customHeight="1">
      <c r="A742" s="1076"/>
      <c r="B742" s="1076"/>
      <c r="C742" s="1076"/>
      <c r="D742" s="1076"/>
      <c r="E742" s="1076"/>
      <c r="F742" s="1076"/>
      <c r="G742" s="1076"/>
      <c r="H742" s="1245">
        <v>176</v>
      </c>
      <c r="I742" s="1123" t="s">
        <v>7</v>
      </c>
      <c r="J742" s="1119">
        <v>1100000000</v>
      </c>
      <c r="K742" s="1119">
        <v>1100000000</v>
      </c>
      <c r="L742" s="1119"/>
      <c r="M742" s="1171">
        <v>40723</v>
      </c>
      <c r="N742" s="1119">
        <v>1081133450</v>
      </c>
      <c r="O742" s="1119">
        <v>1081133450</v>
      </c>
      <c r="P742" s="1119">
        <v>18866550</v>
      </c>
      <c r="Q742" s="1119">
        <v>1081133450</v>
      </c>
      <c r="R742" s="1119"/>
      <c r="S742" s="1076"/>
      <c r="T742" s="840" t="s">
        <v>1113</v>
      </c>
      <c r="U742" s="866">
        <v>540566725</v>
      </c>
      <c r="V742" s="855">
        <v>40877</v>
      </c>
      <c r="W742" s="866" t="s">
        <v>7</v>
      </c>
      <c r="X742" s="1084">
        <v>1081133335.4000001</v>
      </c>
      <c r="Y742" s="1084"/>
      <c r="Z742" s="827">
        <v>0</v>
      </c>
      <c r="AA742" s="1084">
        <v>114.59999990463257</v>
      </c>
      <c r="AB742" s="1119"/>
      <c r="AC742" s="1119">
        <v>0</v>
      </c>
      <c r="AD742" s="1119">
        <v>114.59999990463257</v>
      </c>
      <c r="AE742" s="1119">
        <v>114.59999990463257</v>
      </c>
      <c r="AF742" s="1203"/>
      <c r="AG742" s="1203"/>
      <c r="AH742" s="1203"/>
      <c r="AI742" s="1203"/>
    </row>
    <row r="743" spans="1:35" ht="15" customHeight="1">
      <c r="A743" s="1076"/>
      <c r="B743" s="1076"/>
      <c r="C743" s="1076"/>
      <c r="D743" s="1076"/>
      <c r="E743" s="1076"/>
      <c r="F743" s="1076"/>
      <c r="G743" s="1076"/>
      <c r="H743" s="1245"/>
      <c r="I743" s="1123"/>
      <c r="J743" s="1119"/>
      <c r="K743" s="1119"/>
      <c r="L743" s="1119"/>
      <c r="M743" s="1171"/>
      <c r="N743" s="1119"/>
      <c r="O743" s="1119"/>
      <c r="P743" s="1119"/>
      <c r="Q743" s="1119"/>
      <c r="R743" s="1119"/>
      <c r="S743" s="1076"/>
      <c r="T743" s="840" t="s">
        <v>1114</v>
      </c>
      <c r="U743" s="866">
        <v>424955019.44</v>
      </c>
      <c r="V743" s="855">
        <v>41260</v>
      </c>
      <c r="W743" s="866" t="s">
        <v>7</v>
      </c>
      <c r="X743" s="1084"/>
      <c r="Y743" s="1084"/>
      <c r="Z743" s="827">
        <v>0</v>
      </c>
      <c r="AA743" s="1084"/>
      <c r="AB743" s="1119"/>
      <c r="AC743" s="1119"/>
      <c r="AD743" s="1119"/>
      <c r="AE743" s="1119"/>
      <c r="AF743" s="1203"/>
      <c r="AG743" s="1203"/>
      <c r="AH743" s="1203"/>
      <c r="AI743" s="1203"/>
    </row>
    <row r="744" spans="1:35" ht="15" customHeight="1">
      <c r="A744" s="1076"/>
      <c r="B744" s="1076"/>
      <c r="C744" s="1076"/>
      <c r="D744" s="1076"/>
      <c r="E744" s="1076"/>
      <c r="F744" s="1076"/>
      <c r="G744" s="1076"/>
      <c r="H744" s="1245"/>
      <c r="I744" s="1123"/>
      <c r="J744" s="1119"/>
      <c r="K744" s="1119"/>
      <c r="L744" s="1119"/>
      <c r="M744" s="1171"/>
      <c r="N744" s="1119"/>
      <c r="O744" s="1119"/>
      <c r="P744" s="1119"/>
      <c r="Q744" s="1119"/>
      <c r="R744" s="1119"/>
      <c r="S744" s="1076"/>
      <c r="T744" s="840" t="s">
        <v>1115</v>
      </c>
      <c r="U744" s="866">
        <v>115611590.95999999</v>
      </c>
      <c r="V744" s="855">
        <v>41564</v>
      </c>
      <c r="W744" s="866" t="s">
        <v>7</v>
      </c>
      <c r="X744" s="1084"/>
      <c r="Y744" s="1084"/>
      <c r="Z744" s="827">
        <v>0</v>
      </c>
      <c r="AA744" s="1084"/>
      <c r="AB744" s="1119"/>
      <c r="AC744" s="1119"/>
      <c r="AD744" s="1119"/>
      <c r="AE744" s="1119"/>
      <c r="AF744" s="1203"/>
      <c r="AG744" s="1203"/>
      <c r="AH744" s="1203"/>
      <c r="AI744" s="1203"/>
    </row>
    <row r="745" spans="1:35" s="4" customFormat="1" ht="15" customHeight="1">
      <c r="A745" s="1076" t="s">
        <v>1149</v>
      </c>
      <c r="B745" s="1076" t="s">
        <v>1150</v>
      </c>
      <c r="C745" s="1076" t="s">
        <v>71</v>
      </c>
      <c r="D745" s="1076" t="s">
        <v>1086</v>
      </c>
      <c r="E745" s="1076" t="s">
        <v>66</v>
      </c>
      <c r="F745" s="1076" t="s">
        <v>183</v>
      </c>
      <c r="G745" s="1076" t="s">
        <v>1152</v>
      </c>
      <c r="H745" s="1350">
        <v>183</v>
      </c>
      <c r="I745" s="1122" t="s">
        <v>137</v>
      </c>
      <c r="J745" s="1119">
        <v>29937981</v>
      </c>
      <c r="K745" s="1119">
        <v>113912245</v>
      </c>
      <c r="L745" s="1224">
        <v>493397628</v>
      </c>
      <c r="M745" s="1171">
        <v>40753</v>
      </c>
      <c r="N745" s="1295">
        <v>113912245</v>
      </c>
      <c r="O745" s="1119">
        <v>29937981</v>
      </c>
      <c r="P745" s="1119">
        <v>0</v>
      </c>
      <c r="Q745" s="1119">
        <v>29566743</v>
      </c>
      <c r="R745" s="1119">
        <v>487926297</v>
      </c>
      <c r="S745" s="1076" t="s">
        <v>1112</v>
      </c>
      <c r="T745" s="1123" t="s">
        <v>1153</v>
      </c>
      <c r="U745" s="866">
        <v>14783371.51</v>
      </c>
      <c r="V745" s="1171">
        <v>40898</v>
      </c>
      <c r="W745" s="866" t="s">
        <v>137</v>
      </c>
      <c r="X745" s="1084">
        <v>112499707</v>
      </c>
      <c r="Y745" s="1084">
        <v>487926295</v>
      </c>
      <c r="Z745" s="827">
        <v>-9.9999997764825821E-3</v>
      </c>
      <c r="AA745" s="1084">
        <v>-36860408.009999998</v>
      </c>
      <c r="AB745" s="1119">
        <v>1</v>
      </c>
      <c r="AC745" s="1119">
        <v>371238</v>
      </c>
      <c r="AD745" s="1119">
        <v>1</v>
      </c>
      <c r="AE745" s="1224">
        <v>1412538</v>
      </c>
      <c r="AF745" s="1203" t="s">
        <v>606</v>
      </c>
      <c r="AG745" s="1204" t="s">
        <v>1159</v>
      </c>
      <c r="AH745" s="1204" t="s">
        <v>195</v>
      </c>
      <c r="AI745" s="1204" t="s">
        <v>1097</v>
      </c>
    </row>
    <row r="746" spans="1:35" s="4" customFormat="1" ht="15" customHeight="1">
      <c r="A746" s="1076"/>
      <c r="B746" s="1076"/>
      <c r="C746" s="1076"/>
      <c r="D746" s="1076"/>
      <c r="E746" s="1076"/>
      <c r="F746" s="1076"/>
      <c r="G746" s="1076"/>
      <c r="H746" s="1350"/>
      <c r="I746" s="1122"/>
      <c r="J746" s="1119"/>
      <c r="K746" s="1119"/>
      <c r="L746" s="1224"/>
      <c r="M746" s="1171"/>
      <c r="N746" s="1295"/>
      <c r="O746" s="1119"/>
      <c r="P746" s="1119"/>
      <c r="Q746" s="1119"/>
      <c r="R746" s="1119"/>
      <c r="S746" s="1076"/>
      <c r="T746" s="1123"/>
      <c r="U746" s="866">
        <v>41466482.490000002</v>
      </c>
      <c r="V746" s="1171"/>
      <c r="W746" s="866" t="s">
        <v>7</v>
      </c>
      <c r="X746" s="1084"/>
      <c r="Y746" s="1084"/>
      <c r="Z746" s="827">
        <v>9.9999979138374329E-3</v>
      </c>
      <c r="AA746" s="1084"/>
      <c r="AB746" s="1119"/>
      <c r="AC746" s="1119"/>
      <c r="AD746" s="1119"/>
      <c r="AE746" s="1224"/>
      <c r="AF746" s="1203"/>
      <c r="AG746" s="1204"/>
      <c r="AH746" s="1204"/>
      <c r="AI746" s="1204"/>
    </row>
    <row r="747" spans="1:35" s="4" customFormat="1" ht="15" customHeight="1">
      <c r="A747" s="1076"/>
      <c r="B747" s="1076"/>
      <c r="C747" s="1076"/>
      <c r="D747" s="1076"/>
      <c r="E747" s="1076"/>
      <c r="F747" s="1076"/>
      <c r="G747" s="1076"/>
      <c r="H747" s="1350"/>
      <c r="I747" s="1122"/>
      <c r="J747" s="1119"/>
      <c r="K747" s="1119"/>
      <c r="L747" s="1224"/>
      <c r="M747" s="1171"/>
      <c r="N747" s="1295"/>
      <c r="O747" s="1119"/>
      <c r="P747" s="1119"/>
      <c r="Q747" s="1119"/>
      <c r="R747" s="1119"/>
      <c r="S747" s="1076"/>
      <c r="T747" s="1123" t="s">
        <v>1154</v>
      </c>
      <c r="U747" s="866">
        <v>4805690</v>
      </c>
      <c r="V747" s="1171">
        <v>41032</v>
      </c>
      <c r="W747" s="866" t="s">
        <v>137</v>
      </c>
      <c r="X747" s="1084"/>
      <c r="Y747" s="1084"/>
      <c r="Z747" s="827">
        <v>0</v>
      </c>
      <c r="AA747" s="1084"/>
      <c r="AB747" s="1119"/>
      <c r="AC747" s="1119"/>
      <c r="AD747" s="1119"/>
      <c r="AE747" s="1224"/>
      <c r="AF747" s="1203"/>
      <c r="AG747" s="1204"/>
      <c r="AH747" s="1204"/>
      <c r="AI747" s="1204"/>
    </row>
    <row r="748" spans="1:35" s="4" customFormat="1" ht="15" customHeight="1">
      <c r="A748" s="1076"/>
      <c r="B748" s="1076"/>
      <c r="C748" s="1076"/>
      <c r="D748" s="1076"/>
      <c r="E748" s="1076"/>
      <c r="F748" s="1076"/>
      <c r="G748" s="1076"/>
      <c r="H748" s="1350"/>
      <c r="I748" s="1122"/>
      <c r="J748" s="1119"/>
      <c r="K748" s="1119"/>
      <c r="L748" s="1224"/>
      <c r="M748" s="1171"/>
      <c r="N748" s="1295"/>
      <c r="O748" s="1119"/>
      <c r="P748" s="1119"/>
      <c r="Q748" s="1119"/>
      <c r="R748" s="1119"/>
      <c r="S748" s="1076"/>
      <c r="T748" s="1123"/>
      <c r="U748" s="866">
        <v>13044016</v>
      </c>
      <c r="V748" s="1171"/>
      <c r="W748" s="866" t="s">
        <v>137</v>
      </c>
      <c r="X748" s="1084"/>
      <c r="Y748" s="1084"/>
      <c r="Z748" s="827">
        <v>0</v>
      </c>
      <c r="AA748" s="1084"/>
      <c r="AB748" s="1119"/>
      <c r="AC748" s="1119"/>
      <c r="AD748" s="1119"/>
      <c r="AE748" s="1224"/>
      <c r="AF748" s="1203"/>
      <c r="AG748" s="1204"/>
      <c r="AH748" s="1204"/>
      <c r="AI748" s="1204"/>
    </row>
    <row r="749" spans="1:35" s="4" customFormat="1" ht="15" customHeight="1">
      <c r="A749" s="1076"/>
      <c r="B749" s="1076"/>
      <c r="C749" s="1076"/>
      <c r="D749" s="1076"/>
      <c r="E749" s="1076"/>
      <c r="F749" s="1076"/>
      <c r="G749" s="1076"/>
      <c r="H749" s="1350"/>
      <c r="I749" s="1122"/>
      <c r="J749" s="1119"/>
      <c r="K749" s="1119"/>
      <c r="L749" s="1224"/>
      <c r="M749" s="1171"/>
      <c r="N749" s="1295"/>
      <c r="O749" s="1119"/>
      <c r="P749" s="1119"/>
      <c r="Q749" s="1119"/>
      <c r="R749" s="1119"/>
      <c r="S749" s="1076"/>
      <c r="T749" s="1123" t="s">
        <v>1155</v>
      </c>
      <c r="U749" s="866">
        <v>3374347</v>
      </c>
      <c r="V749" s="1171">
        <v>41088</v>
      </c>
      <c r="W749" s="866" t="s">
        <v>137</v>
      </c>
      <c r="X749" s="1084"/>
      <c r="Y749" s="1084"/>
      <c r="Z749" s="827">
        <v>0</v>
      </c>
      <c r="AA749" s="1084"/>
      <c r="AB749" s="1119"/>
      <c r="AC749" s="1119"/>
      <c r="AD749" s="1119"/>
      <c r="AE749" s="1224"/>
      <c r="AF749" s="1203"/>
      <c r="AG749" s="1204"/>
      <c r="AH749" s="1204"/>
      <c r="AI749" s="1204"/>
    </row>
    <row r="750" spans="1:35" s="4" customFormat="1" ht="15" customHeight="1">
      <c r="A750" s="1076"/>
      <c r="B750" s="1076"/>
      <c r="C750" s="1076"/>
      <c r="D750" s="1076"/>
      <c r="E750" s="1076"/>
      <c r="F750" s="1076"/>
      <c r="G750" s="1076"/>
      <c r="H750" s="1350"/>
      <c r="I750" s="1122"/>
      <c r="J750" s="1119"/>
      <c r="K750" s="1119"/>
      <c r="L750" s="1224"/>
      <c r="M750" s="1171"/>
      <c r="N750" s="1295"/>
      <c r="O750" s="1119"/>
      <c r="P750" s="1119"/>
      <c r="Q750" s="1119"/>
      <c r="R750" s="1119"/>
      <c r="S750" s="1076"/>
      <c r="T750" s="1123"/>
      <c r="U750" s="866">
        <v>9464845</v>
      </c>
      <c r="V750" s="1171"/>
      <c r="W750" s="866" t="s">
        <v>137</v>
      </c>
      <c r="X750" s="1084"/>
      <c r="Y750" s="1084"/>
      <c r="Z750" s="827">
        <v>0</v>
      </c>
      <c r="AA750" s="1084"/>
      <c r="AB750" s="1119"/>
      <c r="AC750" s="1119"/>
      <c r="AD750" s="1119"/>
      <c r="AE750" s="1224"/>
      <c r="AF750" s="1203"/>
      <c r="AG750" s="1204"/>
      <c r="AH750" s="1204"/>
      <c r="AI750" s="1204"/>
    </row>
    <row r="751" spans="1:35" s="4" customFormat="1" ht="15" customHeight="1">
      <c r="A751" s="1076"/>
      <c r="B751" s="1076"/>
      <c r="C751" s="1076"/>
      <c r="D751" s="1076"/>
      <c r="E751" s="1076"/>
      <c r="F751" s="1076"/>
      <c r="G751" s="1076"/>
      <c r="H751" s="1350"/>
      <c r="I751" s="1122"/>
      <c r="J751" s="1119"/>
      <c r="K751" s="1119"/>
      <c r="L751" s="1224"/>
      <c r="M751" s="1171"/>
      <c r="N751" s="1295"/>
      <c r="O751" s="1119"/>
      <c r="P751" s="1119"/>
      <c r="Q751" s="1119"/>
      <c r="R751" s="1119"/>
      <c r="S751" s="1076"/>
      <c r="T751" s="1123" t="s">
        <v>1156</v>
      </c>
      <c r="U751" s="866">
        <v>5248875</v>
      </c>
      <c r="V751" s="1171">
        <v>41094</v>
      </c>
      <c r="W751" s="866" t="s">
        <v>137</v>
      </c>
      <c r="X751" s="1084"/>
      <c r="Y751" s="1084"/>
      <c r="Z751" s="827">
        <v>0</v>
      </c>
      <c r="AA751" s="1084"/>
      <c r="AB751" s="1119"/>
      <c r="AC751" s="1119"/>
      <c r="AD751" s="1119"/>
      <c r="AE751" s="1224"/>
      <c r="AF751" s="1203"/>
      <c r="AG751" s="1204"/>
      <c r="AH751" s="1204"/>
      <c r="AI751" s="1204"/>
    </row>
    <row r="752" spans="1:35" s="4" customFormat="1" ht="15" customHeight="1">
      <c r="A752" s="1076"/>
      <c r="B752" s="1076"/>
      <c r="C752" s="1076"/>
      <c r="D752" s="1076"/>
      <c r="E752" s="1076"/>
      <c r="F752" s="1076"/>
      <c r="G752" s="1076"/>
      <c r="H752" s="1350"/>
      <c r="I752" s="1122"/>
      <c r="J752" s="1119"/>
      <c r="K752" s="1119"/>
      <c r="L752" s="1224"/>
      <c r="M752" s="1171"/>
      <c r="N752" s="1295"/>
      <c r="O752" s="1119"/>
      <c r="P752" s="1119"/>
      <c r="Q752" s="1119"/>
      <c r="R752" s="1119"/>
      <c r="S752" s="1076"/>
      <c r="T752" s="1123"/>
      <c r="U752" s="866">
        <v>14722786</v>
      </c>
      <c r="V752" s="1171"/>
      <c r="W752" s="866" t="s">
        <v>137</v>
      </c>
      <c r="X752" s="1084"/>
      <c r="Y752" s="1084"/>
      <c r="Z752" s="827">
        <v>0</v>
      </c>
      <c r="AA752" s="1084"/>
      <c r="AB752" s="1119"/>
      <c r="AC752" s="1119"/>
      <c r="AD752" s="1119"/>
      <c r="AE752" s="1224"/>
      <c r="AF752" s="1203"/>
      <c r="AG752" s="1204"/>
      <c r="AH752" s="1204"/>
      <c r="AI752" s="1204"/>
    </row>
    <row r="753" spans="1:35" s="4" customFormat="1" ht="15" customHeight="1">
      <c r="A753" s="1076"/>
      <c r="B753" s="1076"/>
      <c r="C753" s="1076"/>
      <c r="D753" s="1076"/>
      <c r="E753" s="1076"/>
      <c r="F753" s="1076"/>
      <c r="G753" s="1076"/>
      <c r="H753" s="1350"/>
      <c r="I753" s="1122" t="s">
        <v>7</v>
      </c>
      <c r="J753" s="1119">
        <v>83974264</v>
      </c>
      <c r="K753" s="1119"/>
      <c r="L753" s="1224"/>
      <c r="M753" s="1171"/>
      <c r="N753" s="1295"/>
      <c r="O753" s="1119">
        <v>83974264</v>
      </c>
      <c r="P753" s="1119">
        <v>0</v>
      </c>
      <c r="Q753" s="1119">
        <v>82932965</v>
      </c>
      <c r="R753" s="1119"/>
      <c r="S753" s="1076"/>
      <c r="T753" s="1123" t="s">
        <v>1157</v>
      </c>
      <c r="U753" s="866">
        <v>1354458.5</v>
      </c>
      <c r="V753" s="1171">
        <v>41878</v>
      </c>
      <c r="W753" s="866" t="s">
        <v>137</v>
      </c>
      <c r="X753" s="1084"/>
      <c r="Y753" s="1084"/>
      <c r="Z753" s="827">
        <v>0</v>
      </c>
      <c r="AA753" s="1084">
        <v>38272946.009999998</v>
      </c>
      <c r="AB753" s="1119"/>
      <c r="AC753" s="1119">
        <v>1041299</v>
      </c>
      <c r="AD753" s="1119"/>
      <c r="AE753" s="1224"/>
      <c r="AF753" s="1203"/>
      <c r="AG753" s="1204"/>
      <c r="AH753" s="1204"/>
      <c r="AI753" s="1204"/>
    </row>
    <row r="754" spans="1:35" s="4" customFormat="1" ht="15" customHeight="1">
      <c r="A754" s="1076"/>
      <c r="B754" s="1076"/>
      <c r="C754" s="1076"/>
      <c r="D754" s="1076"/>
      <c r="E754" s="1076"/>
      <c r="F754" s="1076"/>
      <c r="G754" s="1076"/>
      <c r="H754" s="1350"/>
      <c r="I754" s="1122"/>
      <c r="J754" s="1119"/>
      <c r="K754" s="1119"/>
      <c r="L754" s="1224"/>
      <c r="M754" s="1171"/>
      <c r="N754" s="1295"/>
      <c r="O754" s="1119"/>
      <c r="P754" s="1119"/>
      <c r="Q754" s="1119"/>
      <c r="R754" s="1119"/>
      <c r="S754" s="1076"/>
      <c r="T754" s="1123"/>
      <c r="U754" s="866">
        <v>4234835.5</v>
      </c>
      <c r="V754" s="1171"/>
      <c r="W754" s="866" t="s">
        <v>7</v>
      </c>
      <c r="X754" s="1084"/>
      <c r="Y754" s="1084"/>
      <c r="Z754" s="827">
        <v>0</v>
      </c>
      <c r="AA754" s="1084"/>
      <c r="AB754" s="1119"/>
      <c r="AC754" s="1119"/>
      <c r="AD754" s="1119"/>
      <c r="AE754" s="1224"/>
      <c r="AF754" s="1203"/>
      <c r="AG754" s="1204"/>
      <c r="AH754" s="1204"/>
      <c r="AI754" s="1204"/>
    </row>
    <row r="755" spans="1:35" s="4" customFormat="1" ht="15" customHeight="1">
      <c r="A755" s="1076"/>
      <c r="B755" s="1076"/>
      <c r="C755" s="1076"/>
      <c r="D755" s="1076"/>
      <c r="E755" s="1076"/>
      <c r="F755" s="1076"/>
      <c r="G755" s="1076"/>
      <c r="H755" s="1245">
        <v>1</v>
      </c>
      <c r="I755" s="1122" t="s">
        <v>169</v>
      </c>
      <c r="J755" s="1119">
        <v>327316179</v>
      </c>
      <c r="K755" s="1119">
        <v>327316179</v>
      </c>
      <c r="L755" s="1224"/>
      <c r="M755" s="1171">
        <v>40753</v>
      </c>
      <c r="N755" s="1119">
        <v>327316179</v>
      </c>
      <c r="O755" s="1119">
        <v>327316179</v>
      </c>
      <c r="P755" s="1119">
        <v>0</v>
      </c>
      <c r="Q755" s="1119">
        <v>323257385</v>
      </c>
      <c r="R755" s="1119"/>
      <c r="S755" s="1076"/>
      <c r="T755" s="840" t="s">
        <v>1153</v>
      </c>
      <c r="U755" s="866">
        <v>161628692.5</v>
      </c>
      <c r="V755" s="855">
        <v>40898</v>
      </c>
      <c r="W755" s="866" t="s">
        <v>169</v>
      </c>
      <c r="X755" s="1084">
        <v>323257384</v>
      </c>
      <c r="Y755" s="1084"/>
      <c r="Z755" s="827">
        <v>0</v>
      </c>
      <c r="AA755" s="1084">
        <v>4058795</v>
      </c>
      <c r="AB755" s="1119"/>
      <c r="AC755" s="1119">
        <v>4058794</v>
      </c>
      <c r="AD755" s="1119">
        <v>0</v>
      </c>
      <c r="AE755" s="1119">
        <v>4058795</v>
      </c>
      <c r="AF755" s="1203"/>
      <c r="AG755" s="1204"/>
      <c r="AH755" s="1204"/>
      <c r="AI755" s="1204"/>
    </row>
    <row r="756" spans="1:35" s="4" customFormat="1" ht="15" customHeight="1">
      <c r="A756" s="1076"/>
      <c r="B756" s="1076"/>
      <c r="C756" s="1076"/>
      <c r="D756" s="1076"/>
      <c r="E756" s="1076"/>
      <c r="F756" s="1076"/>
      <c r="G756" s="1076"/>
      <c r="H756" s="1245"/>
      <c r="I756" s="1122"/>
      <c r="J756" s="1119"/>
      <c r="K756" s="1119"/>
      <c r="L756" s="1224"/>
      <c r="M756" s="1171"/>
      <c r="N756" s="1119"/>
      <c r="O756" s="1119"/>
      <c r="P756" s="1119"/>
      <c r="Q756" s="1119"/>
      <c r="R756" s="1119"/>
      <c r="S756" s="1076"/>
      <c r="T756" s="840" t="s">
        <v>1154</v>
      </c>
      <c r="U756" s="866">
        <v>50803009</v>
      </c>
      <c r="V756" s="855">
        <v>41032</v>
      </c>
      <c r="W756" s="866" t="s">
        <v>169</v>
      </c>
      <c r="X756" s="1084"/>
      <c r="Y756" s="1084"/>
      <c r="Z756" s="827">
        <v>0</v>
      </c>
      <c r="AA756" s="1084"/>
      <c r="AB756" s="1119"/>
      <c r="AC756" s="1119"/>
      <c r="AD756" s="1119"/>
      <c r="AE756" s="1119"/>
      <c r="AF756" s="1203"/>
      <c r="AG756" s="1204"/>
      <c r="AH756" s="1204"/>
      <c r="AI756" s="1204"/>
    </row>
    <row r="757" spans="1:35" s="4" customFormat="1" ht="15" customHeight="1">
      <c r="A757" s="1076"/>
      <c r="B757" s="1076"/>
      <c r="C757" s="1076"/>
      <c r="D757" s="1076"/>
      <c r="E757" s="1076"/>
      <c r="F757" s="1076"/>
      <c r="G757" s="1076"/>
      <c r="H757" s="1245"/>
      <c r="I757" s="1122"/>
      <c r="J757" s="1119"/>
      <c r="K757" s="1119"/>
      <c r="L757" s="1224"/>
      <c r="M757" s="1171"/>
      <c r="N757" s="1119"/>
      <c r="O757" s="1119"/>
      <c r="P757" s="1119"/>
      <c r="Q757" s="1119"/>
      <c r="R757" s="1119"/>
      <c r="S757" s="1076"/>
      <c r="T757" s="840" t="s">
        <v>1155</v>
      </c>
      <c r="U757" s="866">
        <v>36892218</v>
      </c>
      <c r="V757" s="855">
        <v>41088</v>
      </c>
      <c r="W757" s="866" t="s">
        <v>169</v>
      </c>
      <c r="X757" s="1084"/>
      <c r="Y757" s="1084"/>
      <c r="Z757" s="827">
        <v>1</v>
      </c>
      <c r="AA757" s="1084"/>
      <c r="AB757" s="1119"/>
      <c r="AC757" s="1119"/>
      <c r="AD757" s="1119"/>
      <c r="AE757" s="1119"/>
      <c r="AF757" s="1203"/>
      <c r="AG757" s="1204"/>
      <c r="AH757" s="1204"/>
      <c r="AI757" s="1204"/>
    </row>
    <row r="758" spans="1:35" s="4" customFormat="1" ht="15" customHeight="1">
      <c r="A758" s="1076"/>
      <c r="B758" s="1076"/>
      <c r="C758" s="1076"/>
      <c r="D758" s="1076"/>
      <c r="E758" s="1076"/>
      <c r="F758" s="1076"/>
      <c r="G758" s="1076"/>
      <c r="H758" s="1245"/>
      <c r="I758" s="1122"/>
      <c r="J758" s="1119"/>
      <c r="K758" s="1119"/>
      <c r="L758" s="1224"/>
      <c r="M758" s="1171"/>
      <c r="N758" s="1119"/>
      <c r="O758" s="1119"/>
      <c r="P758" s="1119"/>
      <c r="Q758" s="1119"/>
      <c r="R758" s="1119"/>
      <c r="S758" s="1076"/>
      <c r="T758" s="840" t="s">
        <v>1156</v>
      </c>
      <c r="U758" s="866">
        <v>57386701</v>
      </c>
      <c r="V758" s="855">
        <v>41094</v>
      </c>
      <c r="W758" s="866" t="s">
        <v>169</v>
      </c>
      <c r="X758" s="1084"/>
      <c r="Y758" s="1084"/>
      <c r="Z758" s="827">
        <v>0</v>
      </c>
      <c r="AA758" s="1084"/>
      <c r="AB758" s="1119"/>
      <c r="AC758" s="1119"/>
      <c r="AD758" s="1119"/>
      <c r="AE758" s="1119"/>
      <c r="AF758" s="1203"/>
      <c r="AG758" s="1204"/>
      <c r="AH758" s="1204"/>
      <c r="AI758" s="1204"/>
    </row>
    <row r="759" spans="1:35" s="4" customFormat="1" ht="15" customHeight="1">
      <c r="A759" s="1076"/>
      <c r="B759" s="1076"/>
      <c r="C759" s="1076"/>
      <c r="D759" s="1076"/>
      <c r="E759" s="1076"/>
      <c r="F759" s="1076"/>
      <c r="G759" s="1076"/>
      <c r="H759" s="1245"/>
      <c r="I759" s="1122"/>
      <c r="J759" s="1119"/>
      <c r="K759" s="1119"/>
      <c r="L759" s="1224"/>
      <c r="M759" s="1171"/>
      <c r="N759" s="1119"/>
      <c r="O759" s="1119"/>
      <c r="P759" s="1119"/>
      <c r="Q759" s="1119"/>
      <c r="R759" s="1119"/>
      <c r="S759" s="1076"/>
      <c r="T759" s="840" t="s">
        <v>1157</v>
      </c>
      <c r="U759" s="866">
        <v>16546763.5</v>
      </c>
      <c r="V759" s="855">
        <v>41878</v>
      </c>
      <c r="W759" s="866" t="s">
        <v>169</v>
      </c>
      <c r="X759" s="1084"/>
      <c r="Y759" s="1084"/>
      <c r="Z759" s="827">
        <v>0</v>
      </c>
      <c r="AA759" s="1084"/>
      <c r="AB759" s="1119"/>
      <c r="AC759" s="1119"/>
      <c r="AD759" s="1119"/>
      <c r="AE759" s="1119"/>
      <c r="AF759" s="1203"/>
      <c r="AG759" s="1204"/>
      <c r="AH759" s="1204"/>
      <c r="AI759" s="1204"/>
    </row>
    <row r="760" spans="1:35" s="4" customFormat="1" ht="15" customHeight="1">
      <c r="A760" s="1076"/>
      <c r="B760" s="1076"/>
      <c r="C760" s="1076"/>
      <c r="D760" s="1076"/>
      <c r="E760" s="823" t="s">
        <v>67</v>
      </c>
      <c r="F760" s="1076"/>
      <c r="G760" s="1076"/>
      <c r="H760" s="876">
        <v>5</v>
      </c>
      <c r="I760" s="840" t="s">
        <v>169</v>
      </c>
      <c r="J760" s="858">
        <v>52169204</v>
      </c>
      <c r="K760" s="858">
        <v>52169204</v>
      </c>
      <c r="L760" s="1224"/>
      <c r="M760" s="855">
        <v>41234</v>
      </c>
      <c r="N760" s="858">
        <v>52169204</v>
      </c>
      <c r="O760" s="858">
        <v>52169204</v>
      </c>
      <c r="P760" s="858">
        <v>0</v>
      </c>
      <c r="Q760" s="858">
        <v>52169204</v>
      </c>
      <c r="R760" s="1119"/>
      <c r="S760" s="1076"/>
      <c r="T760" s="840" t="s">
        <v>1158</v>
      </c>
      <c r="U760" s="866">
        <v>52169204</v>
      </c>
      <c r="V760" s="855">
        <v>41988</v>
      </c>
      <c r="W760" s="866" t="s">
        <v>169</v>
      </c>
      <c r="X760" s="827">
        <v>52169204</v>
      </c>
      <c r="Y760" s="1084"/>
      <c r="Z760" s="827">
        <v>0</v>
      </c>
      <c r="AA760" s="827">
        <v>0</v>
      </c>
      <c r="AB760" s="1119"/>
      <c r="AC760" s="858">
        <v>0</v>
      </c>
      <c r="AD760" s="858">
        <v>0</v>
      </c>
      <c r="AE760" s="858">
        <v>0</v>
      </c>
      <c r="AF760" s="1203"/>
      <c r="AG760" s="1204"/>
      <c r="AH760" s="1204"/>
      <c r="AI760" s="1204"/>
    </row>
    <row r="761" spans="1:35" ht="15" customHeight="1">
      <c r="A761" s="1076" t="s">
        <v>1120</v>
      </c>
      <c r="B761" s="1076" t="s">
        <v>1122</v>
      </c>
      <c r="C761" s="1076" t="s">
        <v>71</v>
      </c>
      <c r="D761" s="1076" t="s">
        <v>1086</v>
      </c>
      <c r="E761" s="1076" t="s">
        <v>66</v>
      </c>
      <c r="F761" s="1076" t="s">
        <v>50</v>
      </c>
      <c r="G761" s="1076" t="s">
        <v>1132</v>
      </c>
      <c r="H761" s="1245">
        <v>1</v>
      </c>
      <c r="I761" s="1123" t="s">
        <v>168</v>
      </c>
      <c r="J761" s="1119">
        <v>793851137</v>
      </c>
      <c r="K761" s="1119">
        <v>793851137</v>
      </c>
      <c r="L761" s="1119">
        <v>1774187856</v>
      </c>
      <c r="M761" s="1171">
        <v>40753</v>
      </c>
      <c r="N761" s="1196">
        <v>793851137</v>
      </c>
      <c r="O761" s="1196">
        <v>793851137</v>
      </c>
      <c r="P761" s="1196">
        <v>0</v>
      </c>
      <c r="Q761" s="1119">
        <v>793851137</v>
      </c>
      <c r="R761" s="1119">
        <v>1759982197</v>
      </c>
      <c r="S761" s="1076" t="s">
        <v>1112</v>
      </c>
      <c r="T761" s="840" t="s">
        <v>1124</v>
      </c>
      <c r="U761" s="866">
        <v>395491290</v>
      </c>
      <c r="V761" s="855">
        <v>40868</v>
      </c>
      <c r="W761" s="866" t="s">
        <v>168</v>
      </c>
      <c r="X761" s="1084">
        <v>793851137.27999997</v>
      </c>
      <c r="Y761" s="1084">
        <v>1759982196.5</v>
      </c>
      <c r="Z761" s="827">
        <v>0</v>
      </c>
      <c r="AA761" s="1084">
        <v>-0.27999997138977051</v>
      </c>
      <c r="AB761" s="1119">
        <v>0.5000002384185791</v>
      </c>
      <c r="AC761" s="1119">
        <v>0</v>
      </c>
      <c r="AD761" s="1119">
        <v>0</v>
      </c>
      <c r="AE761" s="1119">
        <v>0</v>
      </c>
      <c r="AF761" s="1204" t="s">
        <v>1133</v>
      </c>
      <c r="AG761" s="1204" t="s">
        <v>1134</v>
      </c>
      <c r="AH761" s="1204" t="s">
        <v>194</v>
      </c>
      <c r="AI761" s="1204" t="s">
        <v>1097</v>
      </c>
    </row>
    <row r="762" spans="1:35" ht="15" customHeight="1">
      <c r="A762" s="1076"/>
      <c r="B762" s="1076"/>
      <c r="C762" s="1076"/>
      <c r="D762" s="1076"/>
      <c r="E762" s="1076"/>
      <c r="F762" s="1076"/>
      <c r="G762" s="1076"/>
      <c r="H762" s="1245"/>
      <c r="I762" s="1123"/>
      <c r="J762" s="1119"/>
      <c r="K762" s="1119"/>
      <c r="L762" s="1119"/>
      <c r="M762" s="1171"/>
      <c r="N762" s="1196"/>
      <c r="O762" s="1196"/>
      <c r="P762" s="1196"/>
      <c r="Q762" s="1119"/>
      <c r="R762" s="1119"/>
      <c r="S762" s="1076"/>
      <c r="T762" s="840" t="s">
        <v>1123</v>
      </c>
      <c r="U762" s="866">
        <v>120259270</v>
      </c>
      <c r="V762" s="855">
        <v>41129</v>
      </c>
      <c r="W762" s="866" t="s">
        <v>168</v>
      </c>
      <c r="X762" s="1084"/>
      <c r="Y762" s="1084"/>
      <c r="Z762" s="827">
        <v>0</v>
      </c>
      <c r="AA762" s="1084"/>
      <c r="AB762" s="1119"/>
      <c r="AC762" s="1119"/>
      <c r="AD762" s="1119"/>
      <c r="AE762" s="1119"/>
      <c r="AF762" s="1204"/>
      <c r="AG762" s="1204"/>
      <c r="AH762" s="1204"/>
      <c r="AI762" s="1204"/>
    </row>
    <row r="763" spans="1:35" ht="15" customHeight="1">
      <c r="A763" s="1076"/>
      <c r="B763" s="1076"/>
      <c r="C763" s="1076"/>
      <c r="D763" s="1076"/>
      <c r="E763" s="1076"/>
      <c r="F763" s="1076"/>
      <c r="G763" s="1076"/>
      <c r="H763" s="1245"/>
      <c r="I763" s="1123"/>
      <c r="J763" s="1119"/>
      <c r="K763" s="1119"/>
      <c r="L763" s="1119"/>
      <c r="M763" s="1171"/>
      <c r="N763" s="1196"/>
      <c r="O763" s="1196"/>
      <c r="P763" s="1196"/>
      <c r="Q763" s="1119"/>
      <c r="R763" s="1119"/>
      <c r="S763" s="1076"/>
      <c r="T763" s="840" t="s">
        <v>1125</v>
      </c>
      <c r="U763" s="866">
        <v>109534314</v>
      </c>
      <c r="V763" s="855">
        <v>41423</v>
      </c>
      <c r="W763" s="866" t="s">
        <v>168</v>
      </c>
      <c r="X763" s="1084"/>
      <c r="Y763" s="1084"/>
      <c r="Z763" s="827">
        <v>0</v>
      </c>
      <c r="AA763" s="1084"/>
      <c r="AB763" s="1119"/>
      <c r="AC763" s="1119"/>
      <c r="AD763" s="1119"/>
      <c r="AE763" s="1119"/>
      <c r="AF763" s="1204"/>
      <c r="AG763" s="1204"/>
      <c r="AH763" s="1204"/>
      <c r="AI763" s="1204"/>
    </row>
    <row r="764" spans="1:35" ht="15" customHeight="1">
      <c r="A764" s="1076"/>
      <c r="B764" s="1076"/>
      <c r="C764" s="1076"/>
      <c r="D764" s="1076"/>
      <c r="E764" s="1076"/>
      <c r="F764" s="1076"/>
      <c r="G764" s="1076"/>
      <c r="H764" s="1245"/>
      <c r="I764" s="1123"/>
      <c r="J764" s="1119"/>
      <c r="K764" s="1119"/>
      <c r="L764" s="1119"/>
      <c r="M764" s="1171"/>
      <c r="N764" s="1196"/>
      <c r="O764" s="1196"/>
      <c r="P764" s="1196"/>
      <c r="Q764" s="1119"/>
      <c r="R764" s="1119"/>
      <c r="S764" s="1076"/>
      <c r="T764" s="840" t="s">
        <v>1126</v>
      </c>
      <c r="U764" s="866">
        <v>55196852</v>
      </c>
      <c r="V764" s="855">
        <v>41814</v>
      </c>
      <c r="W764" s="866" t="s">
        <v>168</v>
      </c>
      <c r="X764" s="1084"/>
      <c r="Y764" s="1084"/>
      <c r="Z764" s="827">
        <v>0.13000000268220901</v>
      </c>
      <c r="AA764" s="1084"/>
      <c r="AB764" s="1119"/>
      <c r="AC764" s="1119"/>
      <c r="AD764" s="1119"/>
      <c r="AE764" s="1119"/>
      <c r="AF764" s="1204"/>
      <c r="AG764" s="1204"/>
      <c r="AH764" s="1204"/>
      <c r="AI764" s="1204"/>
    </row>
    <row r="765" spans="1:35" ht="15" customHeight="1">
      <c r="A765" s="1076"/>
      <c r="B765" s="1076"/>
      <c r="C765" s="1076"/>
      <c r="D765" s="1076"/>
      <c r="E765" s="1076"/>
      <c r="F765" s="1076"/>
      <c r="G765" s="1076"/>
      <c r="H765" s="1245"/>
      <c r="I765" s="1123"/>
      <c r="J765" s="1119"/>
      <c r="K765" s="1119"/>
      <c r="L765" s="1119"/>
      <c r="M765" s="1171"/>
      <c r="N765" s="1196"/>
      <c r="O765" s="1196"/>
      <c r="P765" s="1196"/>
      <c r="Q765" s="1119"/>
      <c r="R765" s="1119"/>
      <c r="S765" s="1076"/>
      <c r="T765" s="1123" t="s">
        <v>1127</v>
      </c>
      <c r="U765" s="866">
        <v>2868557.01</v>
      </c>
      <c r="V765" s="1171">
        <v>41971</v>
      </c>
      <c r="W765" s="866" t="s">
        <v>168</v>
      </c>
      <c r="X765" s="1084"/>
      <c r="Y765" s="1084"/>
      <c r="Z765" s="1084">
        <v>-0.40999999642372131</v>
      </c>
      <c r="AA765" s="1084"/>
      <c r="AB765" s="1119"/>
      <c r="AC765" s="1119"/>
      <c r="AD765" s="1119"/>
      <c r="AE765" s="1119"/>
      <c r="AF765" s="1204"/>
      <c r="AG765" s="1204"/>
      <c r="AH765" s="1204"/>
      <c r="AI765" s="1204"/>
    </row>
    <row r="766" spans="1:35" ht="15" customHeight="1">
      <c r="A766" s="1076"/>
      <c r="B766" s="1076"/>
      <c r="C766" s="1076"/>
      <c r="D766" s="1076"/>
      <c r="E766" s="1076"/>
      <c r="F766" s="1076"/>
      <c r="G766" s="1076"/>
      <c r="H766" s="1245"/>
      <c r="I766" s="1123"/>
      <c r="J766" s="1119"/>
      <c r="K766" s="1119"/>
      <c r="L766" s="1119"/>
      <c r="M766" s="1171"/>
      <c r="N766" s="1196"/>
      <c r="O766" s="1196"/>
      <c r="P766" s="1196"/>
      <c r="Q766" s="1119"/>
      <c r="R766" s="1119"/>
      <c r="S766" s="1076"/>
      <c r="T766" s="1123"/>
      <c r="U766" s="866">
        <v>110500854.27</v>
      </c>
      <c r="V766" s="1171"/>
      <c r="W766" s="866" t="s">
        <v>168</v>
      </c>
      <c r="X766" s="1084"/>
      <c r="Y766" s="1084"/>
      <c r="Z766" s="1084"/>
      <c r="AA766" s="1084"/>
      <c r="AB766" s="1119"/>
      <c r="AC766" s="1119"/>
      <c r="AD766" s="1119"/>
      <c r="AE766" s="1119"/>
      <c r="AF766" s="1204"/>
      <c r="AG766" s="1204"/>
      <c r="AH766" s="1204"/>
      <c r="AI766" s="1204"/>
    </row>
    <row r="767" spans="1:35" ht="15" customHeight="1">
      <c r="A767" s="1076"/>
      <c r="B767" s="1076"/>
      <c r="C767" s="1076"/>
      <c r="D767" s="1076"/>
      <c r="E767" s="1076"/>
      <c r="F767" s="1076"/>
      <c r="G767" s="1076"/>
      <c r="H767" s="1245">
        <v>180</v>
      </c>
      <c r="I767" s="1123" t="s">
        <v>137</v>
      </c>
      <c r="J767" s="1119">
        <v>221312724</v>
      </c>
      <c r="K767" s="1119">
        <v>456264804</v>
      </c>
      <c r="L767" s="1119"/>
      <c r="M767" s="1171">
        <v>40753</v>
      </c>
      <c r="N767" s="1196">
        <v>442059145</v>
      </c>
      <c r="O767" s="1196">
        <v>207107065</v>
      </c>
      <c r="P767" s="1196">
        <v>14205659</v>
      </c>
      <c r="Q767" s="1119">
        <v>207107065</v>
      </c>
      <c r="R767" s="1119"/>
      <c r="S767" s="1076"/>
      <c r="T767" s="1123" t="s">
        <v>1124</v>
      </c>
      <c r="U767" s="866">
        <v>105052374.22</v>
      </c>
      <c r="V767" s="1171">
        <v>40868</v>
      </c>
      <c r="W767" s="866" t="s">
        <v>137</v>
      </c>
      <c r="X767" s="1084">
        <v>442059144.22000003</v>
      </c>
      <c r="Y767" s="1084"/>
      <c r="Z767" s="827">
        <v>0</v>
      </c>
      <c r="AA767" s="1084">
        <v>-0.32000000029802322</v>
      </c>
      <c r="AB767" s="1119"/>
      <c r="AC767" s="1119">
        <v>0</v>
      </c>
      <c r="AD767" s="1119">
        <v>0</v>
      </c>
      <c r="AE767" s="1119">
        <v>0</v>
      </c>
      <c r="AF767" s="1204"/>
      <c r="AG767" s="1204"/>
      <c r="AH767" s="1204"/>
      <c r="AI767" s="1204"/>
    </row>
    <row r="768" spans="1:35" ht="15" customHeight="1">
      <c r="A768" s="1076"/>
      <c r="B768" s="1076"/>
      <c r="C768" s="1076"/>
      <c r="D768" s="1076"/>
      <c r="E768" s="1076"/>
      <c r="F768" s="1076"/>
      <c r="G768" s="1076"/>
      <c r="H768" s="1245"/>
      <c r="I768" s="1123"/>
      <c r="J768" s="1119"/>
      <c r="K768" s="1119"/>
      <c r="L768" s="1119"/>
      <c r="M768" s="1171"/>
      <c r="N768" s="1196"/>
      <c r="O768" s="1196"/>
      <c r="P768" s="1196"/>
      <c r="Q768" s="1119"/>
      <c r="R768" s="1119"/>
      <c r="S768" s="1076"/>
      <c r="T768" s="1123"/>
      <c r="U768" s="866">
        <v>117411476.78</v>
      </c>
      <c r="V768" s="1171"/>
      <c r="W768" s="866" t="s">
        <v>7</v>
      </c>
      <c r="X768" s="1084"/>
      <c r="Y768" s="1084"/>
      <c r="Z768" s="827">
        <v>0</v>
      </c>
      <c r="AA768" s="1084"/>
      <c r="AB768" s="1119"/>
      <c r="AC768" s="1119"/>
      <c r="AD768" s="1119"/>
      <c r="AE768" s="1119"/>
      <c r="AF768" s="1204"/>
      <c r="AG768" s="1204"/>
      <c r="AH768" s="1204"/>
      <c r="AI768" s="1204"/>
    </row>
    <row r="769" spans="1:35" ht="15" customHeight="1">
      <c r="A769" s="1076"/>
      <c r="B769" s="1076"/>
      <c r="C769" s="1076"/>
      <c r="D769" s="1076"/>
      <c r="E769" s="1076"/>
      <c r="F769" s="1076"/>
      <c r="G769" s="1076"/>
      <c r="H769" s="1245"/>
      <c r="I769" s="1123"/>
      <c r="J769" s="1119"/>
      <c r="K769" s="1119"/>
      <c r="L769" s="1119"/>
      <c r="M769" s="1171"/>
      <c r="N769" s="1196"/>
      <c r="O769" s="1196"/>
      <c r="P769" s="1196"/>
      <c r="Q769" s="1119"/>
      <c r="R769" s="1119"/>
      <c r="S769" s="1076"/>
      <c r="T769" s="1123" t="s">
        <v>1123</v>
      </c>
      <c r="U769" s="866">
        <v>31943868</v>
      </c>
      <c r="V769" s="1171">
        <v>41129</v>
      </c>
      <c r="W769" s="866" t="s">
        <v>137</v>
      </c>
      <c r="X769" s="1084"/>
      <c r="Y769" s="1084"/>
      <c r="Z769" s="827">
        <v>0</v>
      </c>
      <c r="AA769" s="1084"/>
      <c r="AB769" s="1119"/>
      <c r="AC769" s="1119"/>
      <c r="AD769" s="1119"/>
      <c r="AE769" s="1119"/>
      <c r="AF769" s="1204"/>
      <c r="AG769" s="1204"/>
      <c r="AH769" s="1204"/>
      <c r="AI769" s="1204"/>
    </row>
    <row r="770" spans="1:35" ht="15" customHeight="1">
      <c r="A770" s="1076"/>
      <c r="B770" s="1076"/>
      <c r="C770" s="1076"/>
      <c r="D770" s="1076"/>
      <c r="E770" s="1076"/>
      <c r="F770" s="1076"/>
      <c r="G770" s="1076"/>
      <c r="H770" s="1245"/>
      <c r="I770" s="1123"/>
      <c r="J770" s="1119"/>
      <c r="K770" s="1119"/>
      <c r="L770" s="1119"/>
      <c r="M770" s="1171"/>
      <c r="N770" s="1196"/>
      <c r="O770" s="1196"/>
      <c r="P770" s="1196"/>
      <c r="Q770" s="1119"/>
      <c r="R770" s="1119"/>
      <c r="S770" s="1076"/>
      <c r="T770" s="1123"/>
      <c r="U770" s="866">
        <v>35701971</v>
      </c>
      <c r="V770" s="1171"/>
      <c r="W770" s="866" t="s">
        <v>7</v>
      </c>
      <c r="X770" s="1084"/>
      <c r="Y770" s="1084"/>
      <c r="Z770" s="827">
        <v>0</v>
      </c>
      <c r="AA770" s="1084"/>
      <c r="AB770" s="1119"/>
      <c r="AC770" s="1119"/>
      <c r="AD770" s="1119"/>
      <c r="AE770" s="1119"/>
      <c r="AF770" s="1204"/>
      <c r="AG770" s="1204"/>
      <c r="AH770" s="1204"/>
      <c r="AI770" s="1204"/>
    </row>
    <row r="771" spans="1:35" ht="15" customHeight="1">
      <c r="A771" s="1076"/>
      <c r="B771" s="1076"/>
      <c r="C771" s="1076"/>
      <c r="D771" s="1076"/>
      <c r="E771" s="1076"/>
      <c r="F771" s="1076"/>
      <c r="G771" s="1076"/>
      <c r="H771" s="1245"/>
      <c r="I771" s="1123"/>
      <c r="J771" s="1119"/>
      <c r="K771" s="1119"/>
      <c r="L771" s="1119"/>
      <c r="M771" s="1171"/>
      <c r="N771" s="1196"/>
      <c r="O771" s="1196"/>
      <c r="P771" s="1196"/>
      <c r="Q771" s="1119"/>
      <c r="R771" s="1119"/>
      <c r="S771" s="1076"/>
      <c r="T771" s="1123" t="s">
        <v>1125</v>
      </c>
      <c r="U771" s="866">
        <v>29095052</v>
      </c>
      <c r="V771" s="1171">
        <v>41418</v>
      </c>
      <c r="W771" s="866" t="s">
        <v>137</v>
      </c>
      <c r="X771" s="1084"/>
      <c r="Y771" s="1084"/>
      <c r="Z771" s="827">
        <v>0</v>
      </c>
      <c r="AA771" s="1084"/>
      <c r="AB771" s="1119"/>
      <c r="AC771" s="1119"/>
      <c r="AD771" s="1119"/>
      <c r="AE771" s="1119"/>
      <c r="AF771" s="1204"/>
      <c r="AG771" s="1204"/>
      <c r="AH771" s="1204"/>
      <c r="AI771" s="1204"/>
    </row>
    <row r="772" spans="1:35" ht="15" customHeight="1">
      <c r="A772" s="1076"/>
      <c r="B772" s="1076"/>
      <c r="C772" s="1076"/>
      <c r="D772" s="1076"/>
      <c r="E772" s="1076"/>
      <c r="F772" s="1076"/>
      <c r="G772" s="1076"/>
      <c r="H772" s="1245"/>
      <c r="I772" s="1123" t="s">
        <v>7</v>
      </c>
      <c r="J772" s="1119">
        <v>234952080</v>
      </c>
      <c r="K772" s="1119"/>
      <c r="L772" s="1119"/>
      <c r="M772" s="1171"/>
      <c r="N772" s="1196"/>
      <c r="O772" s="1196">
        <v>234952080</v>
      </c>
      <c r="P772" s="1196">
        <v>0</v>
      </c>
      <c r="Q772" s="1119">
        <v>234952080</v>
      </c>
      <c r="R772" s="1119"/>
      <c r="S772" s="1076"/>
      <c r="T772" s="1123"/>
      <c r="U772" s="866">
        <v>32518000</v>
      </c>
      <c r="V772" s="1171"/>
      <c r="W772" s="866" t="s">
        <v>7</v>
      </c>
      <c r="X772" s="1084"/>
      <c r="Y772" s="1084"/>
      <c r="Z772" s="827">
        <v>0</v>
      </c>
      <c r="AA772" s="1084">
        <v>1.0999999977648258</v>
      </c>
      <c r="AB772" s="1119"/>
      <c r="AC772" s="1119">
        <v>0</v>
      </c>
      <c r="AD772" s="1119">
        <v>0</v>
      </c>
      <c r="AE772" s="1119">
        <v>0</v>
      </c>
      <c r="AF772" s="1204"/>
      <c r="AG772" s="1204"/>
      <c r="AH772" s="1204"/>
      <c r="AI772" s="1204"/>
    </row>
    <row r="773" spans="1:35" ht="15" customHeight="1">
      <c r="A773" s="1076"/>
      <c r="B773" s="1076"/>
      <c r="C773" s="1076"/>
      <c r="D773" s="1076"/>
      <c r="E773" s="1076"/>
      <c r="F773" s="1076"/>
      <c r="G773" s="1076"/>
      <c r="H773" s="1245"/>
      <c r="I773" s="1123"/>
      <c r="J773" s="1119"/>
      <c r="K773" s="1119"/>
      <c r="L773" s="1119"/>
      <c r="M773" s="1171"/>
      <c r="N773" s="1196"/>
      <c r="O773" s="1196"/>
      <c r="P773" s="1196"/>
      <c r="Q773" s="1119"/>
      <c r="R773" s="1119"/>
      <c r="S773" s="1076"/>
      <c r="T773" s="1123" t="s">
        <v>1126</v>
      </c>
      <c r="U773" s="866">
        <v>14661664</v>
      </c>
      <c r="V773" s="1171">
        <v>41814</v>
      </c>
      <c r="W773" s="866" t="s">
        <v>137</v>
      </c>
      <c r="X773" s="1084"/>
      <c r="Y773" s="1084"/>
      <c r="Z773" s="827">
        <v>0</v>
      </c>
      <c r="AA773" s="1084"/>
      <c r="AB773" s="1119"/>
      <c r="AC773" s="1119"/>
      <c r="AD773" s="1119"/>
      <c r="AE773" s="1119"/>
      <c r="AF773" s="1204"/>
      <c r="AG773" s="1204"/>
      <c r="AH773" s="1204"/>
      <c r="AI773" s="1204"/>
    </row>
    <row r="774" spans="1:35" ht="15" customHeight="1">
      <c r="A774" s="1076"/>
      <c r="B774" s="1076"/>
      <c r="C774" s="1076"/>
      <c r="D774" s="1076"/>
      <c r="E774" s="1076"/>
      <c r="F774" s="1076"/>
      <c r="G774" s="1076"/>
      <c r="H774" s="1245"/>
      <c r="I774" s="1123"/>
      <c r="J774" s="1119"/>
      <c r="K774" s="1119"/>
      <c r="L774" s="1119"/>
      <c r="M774" s="1171"/>
      <c r="N774" s="1196"/>
      <c r="O774" s="1196"/>
      <c r="P774" s="1196"/>
      <c r="Q774" s="1119"/>
      <c r="R774" s="1119"/>
      <c r="S774" s="1076"/>
      <c r="T774" s="1123"/>
      <c r="U774" s="866">
        <v>16386565</v>
      </c>
      <c r="V774" s="1171"/>
      <c r="W774" s="866" t="s">
        <v>7</v>
      </c>
      <c r="X774" s="1084"/>
      <c r="Y774" s="1084"/>
      <c r="Z774" s="827">
        <v>0</v>
      </c>
      <c r="AA774" s="1084"/>
      <c r="AB774" s="1119"/>
      <c r="AC774" s="1119"/>
      <c r="AD774" s="1119"/>
      <c r="AE774" s="1119"/>
      <c r="AF774" s="1204"/>
      <c r="AG774" s="1204"/>
      <c r="AH774" s="1204"/>
      <c r="AI774" s="1204"/>
    </row>
    <row r="775" spans="1:35" ht="15" customHeight="1">
      <c r="A775" s="1076"/>
      <c r="B775" s="1076"/>
      <c r="C775" s="1076"/>
      <c r="D775" s="1076"/>
      <c r="E775" s="1076"/>
      <c r="F775" s="1076"/>
      <c r="G775" s="1076"/>
      <c r="H775" s="1245"/>
      <c r="I775" s="1123"/>
      <c r="J775" s="1119"/>
      <c r="K775" s="1119"/>
      <c r="L775" s="1119"/>
      <c r="M775" s="1171"/>
      <c r="N775" s="1196"/>
      <c r="O775" s="1196"/>
      <c r="P775" s="1196"/>
      <c r="Q775" s="1119"/>
      <c r="R775" s="1119"/>
      <c r="S775" s="1076"/>
      <c r="T775" s="1123" t="s">
        <v>1127</v>
      </c>
      <c r="U775" s="866">
        <v>26354107.100000001</v>
      </c>
      <c r="V775" s="1171">
        <v>41971</v>
      </c>
      <c r="W775" s="866" t="s">
        <v>137</v>
      </c>
      <c r="X775" s="1084"/>
      <c r="Y775" s="1084"/>
      <c r="Z775" s="827">
        <v>-0.32000000029802322</v>
      </c>
      <c r="AA775" s="1084"/>
      <c r="AB775" s="1119"/>
      <c r="AC775" s="1119"/>
      <c r="AD775" s="1119"/>
      <c r="AE775" s="1119"/>
      <c r="AF775" s="1204"/>
      <c r="AG775" s="1204"/>
      <c r="AH775" s="1204"/>
      <c r="AI775" s="1204"/>
    </row>
    <row r="776" spans="1:35" ht="15" customHeight="1">
      <c r="A776" s="1076"/>
      <c r="B776" s="1076"/>
      <c r="C776" s="1076"/>
      <c r="D776" s="1076"/>
      <c r="E776" s="1076"/>
      <c r="F776" s="1076"/>
      <c r="G776" s="1076"/>
      <c r="H776" s="1245"/>
      <c r="I776" s="1123"/>
      <c r="J776" s="1119"/>
      <c r="K776" s="1119"/>
      <c r="L776" s="1119"/>
      <c r="M776" s="1171"/>
      <c r="N776" s="1196"/>
      <c r="O776" s="1196"/>
      <c r="P776" s="1196"/>
      <c r="Q776" s="1119"/>
      <c r="R776" s="1119"/>
      <c r="S776" s="1076"/>
      <c r="T776" s="1123"/>
      <c r="U776" s="866">
        <v>32934066.120000001</v>
      </c>
      <c r="V776" s="1171"/>
      <c r="W776" s="866" t="s">
        <v>7</v>
      </c>
      <c r="X776" s="1084"/>
      <c r="Y776" s="1084"/>
      <c r="Z776" s="827">
        <v>1.0999999977648258</v>
      </c>
      <c r="AA776" s="1084"/>
      <c r="AB776" s="1119"/>
      <c r="AC776" s="1119"/>
      <c r="AD776" s="1119"/>
      <c r="AE776" s="1119"/>
      <c r="AF776" s="1204"/>
      <c r="AG776" s="1204"/>
      <c r="AH776" s="1204"/>
      <c r="AI776" s="1204"/>
    </row>
    <row r="777" spans="1:35" ht="15" customHeight="1">
      <c r="A777" s="1076"/>
      <c r="B777" s="1076"/>
      <c r="C777" s="1076"/>
      <c r="D777" s="1076"/>
      <c r="E777" s="1076" t="s">
        <v>67</v>
      </c>
      <c r="F777" s="1076"/>
      <c r="G777" s="1076"/>
      <c r="H777" s="1245">
        <v>298</v>
      </c>
      <c r="I777" s="1123" t="s">
        <v>7</v>
      </c>
      <c r="J777" s="1119">
        <v>524071915</v>
      </c>
      <c r="K777" s="1119">
        <v>524071915</v>
      </c>
      <c r="L777" s="1119"/>
      <c r="M777" s="1171">
        <v>41619</v>
      </c>
      <c r="N777" s="1196">
        <v>524071915</v>
      </c>
      <c r="O777" s="1196">
        <v>524071915</v>
      </c>
      <c r="P777" s="1196">
        <v>0</v>
      </c>
      <c r="Q777" s="1119">
        <v>524071915</v>
      </c>
      <c r="R777" s="1119"/>
      <c r="S777" s="1076"/>
      <c r="T777" s="840" t="s">
        <v>1128</v>
      </c>
      <c r="U777" s="866">
        <v>31224398.379999999</v>
      </c>
      <c r="V777" s="855">
        <v>41971</v>
      </c>
      <c r="W777" s="866" t="s">
        <v>7</v>
      </c>
      <c r="X777" s="1084">
        <v>524071915</v>
      </c>
      <c r="Y777" s="1084"/>
      <c r="Z777" s="827">
        <v>0</v>
      </c>
      <c r="AA777" s="1084">
        <v>0</v>
      </c>
      <c r="AB777" s="1119"/>
      <c r="AC777" s="1119">
        <v>0</v>
      </c>
      <c r="AD777" s="1119">
        <v>0</v>
      </c>
      <c r="AE777" s="1119">
        <v>0</v>
      </c>
      <c r="AF777" s="1204"/>
      <c r="AG777" s="1204"/>
      <c r="AH777" s="1204"/>
      <c r="AI777" s="1204"/>
    </row>
    <row r="778" spans="1:35" ht="15" customHeight="1">
      <c r="A778" s="1076"/>
      <c r="B778" s="1076"/>
      <c r="C778" s="1076"/>
      <c r="D778" s="1076"/>
      <c r="E778" s="1076"/>
      <c r="F778" s="1076"/>
      <c r="G778" s="1076"/>
      <c r="H778" s="1245"/>
      <c r="I778" s="1123"/>
      <c r="J778" s="1119"/>
      <c r="K778" s="1119"/>
      <c r="L778" s="1119"/>
      <c r="M778" s="1171"/>
      <c r="N778" s="1196"/>
      <c r="O778" s="1196"/>
      <c r="P778" s="1196"/>
      <c r="Q778" s="1119"/>
      <c r="R778" s="1119"/>
      <c r="S778" s="1076"/>
      <c r="T778" s="840" t="s">
        <v>1129</v>
      </c>
      <c r="U778" s="866">
        <v>123074579.31</v>
      </c>
      <c r="V778" s="855">
        <v>41988</v>
      </c>
      <c r="W778" s="866" t="s">
        <v>7</v>
      </c>
      <c r="X778" s="1084"/>
      <c r="Y778" s="1084"/>
      <c r="Z778" s="827">
        <v>0</v>
      </c>
      <c r="AA778" s="1084"/>
      <c r="AB778" s="1119"/>
      <c r="AC778" s="1119"/>
      <c r="AD778" s="1119"/>
      <c r="AE778" s="1119"/>
      <c r="AF778" s="1204"/>
      <c r="AG778" s="1204"/>
      <c r="AH778" s="1204"/>
      <c r="AI778" s="1204"/>
    </row>
    <row r="779" spans="1:35" ht="15" customHeight="1">
      <c r="A779" s="1076"/>
      <c r="B779" s="1076"/>
      <c r="C779" s="1076"/>
      <c r="D779" s="1076"/>
      <c r="E779" s="1076"/>
      <c r="F779" s="1076"/>
      <c r="G779" s="1076"/>
      <c r="H779" s="1245"/>
      <c r="I779" s="1123"/>
      <c r="J779" s="1119"/>
      <c r="K779" s="1119"/>
      <c r="L779" s="1119"/>
      <c r="M779" s="1171"/>
      <c r="N779" s="1196"/>
      <c r="O779" s="1196"/>
      <c r="P779" s="1196"/>
      <c r="Q779" s="1119"/>
      <c r="R779" s="1119"/>
      <c r="S779" s="1076"/>
      <c r="T779" s="840" t="s">
        <v>1130</v>
      </c>
      <c r="U779" s="866">
        <v>190535868.58000001</v>
      </c>
      <c r="V779" s="855">
        <v>42587</v>
      </c>
      <c r="W779" s="866" t="s">
        <v>7</v>
      </c>
      <c r="X779" s="1084"/>
      <c r="Y779" s="1084"/>
      <c r="Z779" s="827">
        <v>0</v>
      </c>
      <c r="AA779" s="1084"/>
      <c r="AB779" s="1119"/>
      <c r="AC779" s="1119"/>
      <c r="AD779" s="1119"/>
      <c r="AE779" s="1119"/>
      <c r="AF779" s="1204"/>
      <c r="AG779" s="1204"/>
      <c r="AH779" s="1204"/>
      <c r="AI779" s="1204"/>
    </row>
    <row r="780" spans="1:35" ht="15" customHeight="1">
      <c r="A780" s="1076"/>
      <c r="B780" s="1076"/>
      <c r="C780" s="1076"/>
      <c r="D780" s="1076"/>
      <c r="E780" s="1076"/>
      <c r="F780" s="1076"/>
      <c r="G780" s="1076"/>
      <c r="H780" s="1245"/>
      <c r="I780" s="1123"/>
      <c r="J780" s="1119"/>
      <c r="K780" s="1119"/>
      <c r="L780" s="1119"/>
      <c r="M780" s="1171"/>
      <c r="N780" s="1196"/>
      <c r="O780" s="1196"/>
      <c r="P780" s="1196"/>
      <c r="Q780" s="1119"/>
      <c r="R780" s="1119"/>
      <c r="S780" s="1076"/>
      <c r="T780" s="840" t="s">
        <v>1131</v>
      </c>
      <c r="U780" s="866">
        <v>179237068.72999999</v>
      </c>
      <c r="V780" s="855">
        <v>42730</v>
      </c>
      <c r="W780" s="866" t="s">
        <v>7</v>
      </c>
      <c r="X780" s="1084"/>
      <c r="Y780" s="1084"/>
      <c r="Z780" s="827">
        <v>0</v>
      </c>
      <c r="AA780" s="1084"/>
      <c r="AB780" s="1119"/>
      <c r="AC780" s="1119"/>
      <c r="AD780" s="1119"/>
      <c r="AE780" s="1119"/>
      <c r="AF780" s="1204"/>
      <c r="AG780" s="1204"/>
      <c r="AH780" s="1204"/>
      <c r="AI780" s="1204"/>
    </row>
    <row r="781" spans="1:35" s="4" customFormat="1" ht="15" customHeight="1">
      <c r="A781" s="1076" t="s">
        <v>1166</v>
      </c>
      <c r="B781" s="1076" t="s">
        <v>1164</v>
      </c>
      <c r="C781" s="1076" t="s">
        <v>70</v>
      </c>
      <c r="D781" s="1076" t="s">
        <v>206</v>
      </c>
      <c r="E781" s="1076" t="s">
        <v>66</v>
      </c>
      <c r="F781" s="1076" t="s">
        <v>183</v>
      </c>
      <c r="G781" s="1076" t="s">
        <v>1172</v>
      </c>
      <c r="H781" s="1245">
        <v>177</v>
      </c>
      <c r="I781" s="1123" t="s">
        <v>137</v>
      </c>
      <c r="J781" s="1119">
        <v>110988170</v>
      </c>
      <c r="K781" s="1119">
        <v>110988170</v>
      </c>
      <c r="L781" s="1119">
        <v>110988170</v>
      </c>
      <c r="M781" s="1171">
        <v>40753</v>
      </c>
      <c r="N781" s="1119">
        <v>110998170</v>
      </c>
      <c r="O781" s="1119">
        <v>110988170</v>
      </c>
      <c r="P781" s="1119">
        <v>0</v>
      </c>
      <c r="Q781" s="1119">
        <v>110988170</v>
      </c>
      <c r="R781" s="1119">
        <v>110988170</v>
      </c>
      <c r="S781" s="1076" t="s">
        <v>1165</v>
      </c>
      <c r="T781" s="840" t="s">
        <v>1171</v>
      </c>
      <c r="U781" s="866">
        <v>55494085</v>
      </c>
      <c r="V781" s="855">
        <v>40890</v>
      </c>
      <c r="W781" s="866" t="s">
        <v>137</v>
      </c>
      <c r="X781" s="1084">
        <v>110988168.5</v>
      </c>
      <c r="Y781" s="1084">
        <v>110988168.5</v>
      </c>
      <c r="Z781" s="827">
        <v>0</v>
      </c>
      <c r="AA781" s="1084">
        <v>1.5</v>
      </c>
      <c r="AB781" s="1084">
        <v>1.5</v>
      </c>
      <c r="AC781" s="1084">
        <v>0</v>
      </c>
      <c r="AD781" s="1084">
        <v>1.5</v>
      </c>
      <c r="AE781" s="1084">
        <v>1.5</v>
      </c>
      <c r="AF781" s="1149" t="s">
        <v>1174</v>
      </c>
      <c r="AG781" s="1149" t="s">
        <v>1173</v>
      </c>
      <c r="AH781" s="1204" t="s">
        <v>195</v>
      </c>
      <c r="AI781" s="1204" t="s">
        <v>1097</v>
      </c>
    </row>
    <row r="782" spans="1:35" s="4" customFormat="1" ht="15" customHeight="1">
      <c r="A782" s="1076"/>
      <c r="B782" s="1076"/>
      <c r="C782" s="1076"/>
      <c r="D782" s="1076"/>
      <c r="E782" s="1076"/>
      <c r="F782" s="1076"/>
      <c r="G782" s="1076"/>
      <c r="H782" s="1245"/>
      <c r="I782" s="1123"/>
      <c r="J782" s="1119"/>
      <c r="K782" s="1119"/>
      <c r="L782" s="1119"/>
      <c r="M782" s="1171"/>
      <c r="N782" s="1119"/>
      <c r="O782" s="1119"/>
      <c r="P782" s="1119"/>
      <c r="Q782" s="1119"/>
      <c r="R782" s="1119"/>
      <c r="S782" s="1076"/>
      <c r="T782" s="840" t="s">
        <v>1160</v>
      </c>
      <c r="U782" s="866">
        <v>7927726</v>
      </c>
      <c r="V782" s="855">
        <v>41026</v>
      </c>
      <c r="W782" s="866" t="s">
        <v>137</v>
      </c>
      <c r="X782" s="1084"/>
      <c r="Y782" s="1084"/>
      <c r="Z782" s="827">
        <v>0.5</v>
      </c>
      <c r="AA782" s="1084"/>
      <c r="AB782" s="1084"/>
      <c r="AC782" s="1084"/>
      <c r="AD782" s="1084"/>
      <c r="AE782" s="1084"/>
      <c r="AF782" s="1149"/>
      <c r="AG782" s="1149"/>
      <c r="AH782" s="1204"/>
      <c r="AI782" s="1204"/>
    </row>
    <row r="783" spans="1:35" s="4" customFormat="1" ht="15" customHeight="1">
      <c r="A783" s="1076"/>
      <c r="B783" s="1076"/>
      <c r="C783" s="1076"/>
      <c r="D783" s="1076"/>
      <c r="E783" s="1076"/>
      <c r="F783" s="1076"/>
      <c r="G783" s="1076"/>
      <c r="H783" s="1245"/>
      <c r="I783" s="1123"/>
      <c r="J783" s="1119"/>
      <c r="K783" s="1119"/>
      <c r="L783" s="1119"/>
      <c r="M783" s="1171"/>
      <c r="N783" s="1119"/>
      <c r="O783" s="1119"/>
      <c r="P783" s="1119"/>
      <c r="Q783" s="1119"/>
      <c r="R783" s="1119"/>
      <c r="S783" s="1076"/>
      <c r="T783" s="840" t="s">
        <v>1161</v>
      </c>
      <c r="U783" s="866">
        <v>7927726</v>
      </c>
      <c r="V783" s="855">
        <v>41026</v>
      </c>
      <c r="W783" s="866" t="s">
        <v>137</v>
      </c>
      <c r="X783" s="1084"/>
      <c r="Y783" s="1084"/>
      <c r="Z783" s="827">
        <v>0.5</v>
      </c>
      <c r="AA783" s="1084"/>
      <c r="AB783" s="1084"/>
      <c r="AC783" s="1084"/>
      <c r="AD783" s="1084"/>
      <c r="AE783" s="1084"/>
      <c r="AF783" s="1149"/>
      <c r="AG783" s="1149"/>
      <c r="AH783" s="1204"/>
      <c r="AI783" s="1204"/>
    </row>
    <row r="784" spans="1:35" s="4" customFormat="1" ht="15" customHeight="1">
      <c r="A784" s="1076"/>
      <c r="B784" s="1076"/>
      <c r="C784" s="1076"/>
      <c r="D784" s="1076"/>
      <c r="E784" s="1076"/>
      <c r="F784" s="1076"/>
      <c r="G784" s="1076"/>
      <c r="H784" s="1245"/>
      <c r="I784" s="1123"/>
      <c r="J784" s="1119"/>
      <c r="K784" s="1119"/>
      <c r="L784" s="1119"/>
      <c r="M784" s="1171"/>
      <c r="N784" s="1119"/>
      <c r="O784" s="1119"/>
      <c r="P784" s="1119"/>
      <c r="Q784" s="1119"/>
      <c r="R784" s="1119"/>
      <c r="S784" s="1076"/>
      <c r="T784" s="840" t="s">
        <v>1162</v>
      </c>
      <c r="U784" s="866">
        <v>7927726</v>
      </c>
      <c r="V784" s="855">
        <v>41026</v>
      </c>
      <c r="W784" s="866" t="s">
        <v>137</v>
      </c>
      <c r="X784" s="1084"/>
      <c r="Y784" s="1084"/>
      <c r="Z784" s="827">
        <v>0.5</v>
      </c>
      <c r="AA784" s="1084"/>
      <c r="AB784" s="1084"/>
      <c r="AC784" s="1084"/>
      <c r="AD784" s="1084"/>
      <c r="AE784" s="1084"/>
      <c r="AF784" s="1149"/>
      <c r="AG784" s="1149"/>
      <c r="AH784" s="1204"/>
      <c r="AI784" s="1204"/>
    </row>
    <row r="785" spans="1:35" s="4" customFormat="1" ht="15" customHeight="1">
      <c r="A785" s="1076"/>
      <c r="B785" s="1076"/>
      <c r="C785" s="1076"/>
      <c r="D785" s="1076"/>
      <c r="E785" s="1076"/>
      <c r="F785" s="1076"/>
      <c r="G785" s="1076"/>
      <c r="H785" s="1245"/>
      <c r="I785" s="1123"/>
      <c r="J785" s="1119"/>
      <c r="K785" s="1119"/>
      <c r="L785" s="1119"/>
      <c r="M785" s="1171"/>
      <c r="N785" s="1119"/>
      <c r="O785" s="1119"/>
      <c r="P785" s="1119"/>
      <c r="Q785" s="1119"/>
      <c r="R785" s="1119"/>
      <c r="S785" s="1076"/>
      <c r="T785" s="840" t="s">
        <v>1175</v>
      </c>
      <c r="U785" s="866">
        <v>7927726.5</v>
      </c>
      <c r="V785" s="855">
        <v>41150</v>
      </c>
      <c r="W785" s="866" t="s">
        <v>137</v>
      </c>
      <c r="X785" s="1084"/>
      <c r="Y785" s="1084"/>
      <c r="Z785" s="827">
        <v>0</v>
      </c>
      <c r="AA785" s="1084"/>
      <c r="AB785" s="1084"/>
      <c r="AC785" s="1084"/>
      <c r="AD785" s="1084"/>
      <c r="AE785" s="1084"/>
      <c r="AF785" s="1149"/>
      <c r="AG785" s="1149"/>
      <c r="AH785" s="1204"/>
      <c r="AI785" s="1204"/>
    </row>
    <row r="786" spans="1:35" s="4" customFormat="1" ht="15" customHeight="1">
      <c r="A786" s="1076"/>
      <c r="B786" s="1076"/>
      <c r="C786" s="1076"/>
      <c r="D786" s="1076"/>
      <c r="E786" s="1076"/>
      <c r="F786" s="1076"/>
      <c r="G786" s="1076"/>
      <c r="H786" s="1245"/>
      <c r="I786" s="1123"/>
      <c r="J786" s="1119"/>
      <c r="K786" s="1119"/>
      <c r="L786" s="1119"/>
      <c r="M786" s="1171"/>
      <c r="N786" s="1119"/>
      <c r="O786" s="1119"/>
      <c r="P786" s="1119"/>
      <c r="Q786" s="1119"/>
      <c r="R786" s="1119"/>
      <c r="S786" s="1076"/>
      <c r="T786" s="840" t="s">
        <v>1176</v>
      </c>
      <c r="U786" s="866">
        <v>7927726.5</v>
      </c>
      <c r="V786" s="855">
        <v>41150</v>
      </c>
      <c r="W786" s="866" t="s">
        <v>137</v>
      </c>
      <c r="X786" s="1084"/>
      <c r="Y786" s="1084"/>
      <c r="Z786" s="827">
        <v>0</v>
      </c>
      <c r="AA786" s="1084"/>
      <c r="AB786" s="1084"/>
      <c r="AC786" s="1084"/>
      <c r="AD786" s="1084"/>
      <c r="AE786" s="1084"/>
      <c r="AF786" s="1149"/>
      <c r="AG786" s="1149"/>
      <c r="AH786" s="1204"/>
      <c r="AI786" s="1204"/>
    </row>
    <row r="787" spans="1:35" s="4" customFormat="1" ht="15" customHeight="1">
      <c r="A787" s="1076"/>
      <c r="B787" s="1076"/>
      <c r="C787" s="1076"/>
      <c r="D787" s="1076"/>
      <c r="E787" s="1076"/>
      <c r="F787" s="1076"/>
      <c r="G787" s="1076"/>
      <c r="H787" s="1245"/>
      <c r="I787" s="1123"/>
      <c r="J787" s="1119"/>
      <c r="K787" s="1119"/>
      <c r="L787" s="1119"/>
      <c r="M787" s="1171"/>
      <c r="N787" s="1119"/>
      <c r="O787" s="1119"/>
      <c r="P787" s="1119"/>
      <c r="Q787" s="1119"/>
      <c r="R787" s="1119"/>
      <c r="S787" s="1076"/>
      <c r="T787" s="840" t="s">
        <v>1177</v>
      </c>
      <c r="U787" s="866">
        <v>7927726.5</v>
      </c>
      <c r="V787" s="855">
        <v>41150</v>
      </c>
      <c r="W787" s="866" t="s">
        <v>137</v>
      </c>
      <c r="X787" s="1084"/>
      <c r="Y787" s="1084"/>
      <c r="Z787" s="827">
        <v>0</v>
      </c>
      <c r="AA787" s="1084"/>
      <c r="AB787" s="1084"/>
      <c r="AC787" s="1084"/>
      <c r="AD787" s="1084"/>
      <c r="AE787" s="1084"/>
      <c r="AF787" s="1149"/>
      <c r="AG787" s="1149"/>
      <c r="AH787" s="1204"/>
      <c r="AI787" s="1204"/>
    </row>
    <row r="788" spans="1:35" s="4" customFormat="1" ht="15" customHeight="1">
      <c r="A788" s="1076"/>
      <c r="B788" s="1076"/>
      <c r="C788" s="1076"/>
      <c r="D788" s="1076"/>
      <c r="E788" s="1076"/>
      <c r="F788" s="1076"/>
      <c r="G788" s="1076"/>
      <c r="H788" s="1245"/>
      <c r="I788" s="1123"/>
      <c r="J788" s="1119"/>
      <c r="K788" s="1119"/>
      <c r="L788" s="1119"/>
      <c r="M788" s="1171"/>
      <c r="N788" s="1119"/>
      <c r="O788" s="1119"/>
      <c r="P788" s="1119"/>
      <c r="Q788" s="1119"/>
      <c r="R788" s="1119"/>
      <c r="S788" s="1076"/>
      <c r="T788" s="840" t="s">
        <v>1178</v>
      </c>
      <c r="U788" s="866">
        <v>7927726</v>
      </c>
      <c r="V788" s="855">
        <v>41635</v>
      </c>
      <c r="W788" s="866" t="s">
        <v>137</v>
      </c>
      <c r="X788" s="1084"/>
      <c r="Y788" s="1084"/>
      <c r="Z788" s="827">
        <v>0</v>
      </c>
      <c r="AA788" s="1084"/>
      <c r="AB788" s="1084"/>
      <c r="AC788" s="1084"/>
      <c r="AD788" s="1084"/>
      <c r="AE788" s="1084"/>
      <c r="AF788" s="1149"/>
      <c r="AG788" s="1149"/>
      <c r="AH788" s="1204"/>
      <c r="AI788" s="1204"/>
    </row>
    <row r="789" spans="1:35" ht="15" customHeight="1">
      <c r="A789" s="1076" t="s">
        <v>1135</v>
      </c>
      <c r="B789" s="1076" t="s">
        <v>1137</v>
      </c>
      <c r="C789" s="1076" t="s">
        <v>70</v>
      </c>
      <c r="D789" s="1076" t="s">
        <v>206</v>
      </c>
      <c r="E789" s="1076" t="s">
        <v>66</v>
      </c>
      <c r="F789" s="1076" t="s">
        <v>183</v>
      </c>
      <c r="G789" s="1076" t="s">
        <v>1147</v>
      </c>
      <c r="H789" s="1350">
        <v>178</v>
      </c>
      <c r="I789" s="1123" t="s">
        <v>137</v>
      </c>
      <c r="J789" s="1119">
        <v>62465292</v>
      </c>
      <c r="K789" s="1119">
        <v>62465292</v>
      </c>
      <c r="L789" s="1119">
        <v>62465292</v>
      </c>
      <c r="M789" s="1171">
        <v>40753</v>
      </c>
      <c r="N789" s="1196">
        <v>62465292</v>
      </c>
      <c r="O789" s="1196">
        <v>62465292</v>
      </c>
      <c r="P789" s="1196">
        <v>0</v>
      </c>
      <c r="Q789" s="1119">
        <v>62465292</v>
      </c>
      <c r="R789" s="1119">
        <v>62465292</v>
      </c>
      <c r="S789" s="1076" t="s">
        <v>1138</v>
      </c>
      <c r="T789" s="840" t="s">
        <v>1139</v>
      </c>
      <c r="U789" s="866">
        <v>31232646</v>
      </c>
      <c r="V789" s="855">
        <v>40891</v>
      </c>
      <c r="W789" s="866" t="s">
        <v>137</v>
      </c>
      <c r="X789" s="1084">
        <v>62465290</v>
      </c>
      <c r="Y789" s="1084">
        <v>62465290</v>
      </c>
      <c r="Z789" s="827">
        <v>0</v>
      </c>
      <c r="AA789" s="1084">
        <v>2</v>
      </c>
      <c r="AB789" s="1119">
        <v>2</v>
      </c>
      <c r="AC789" s="1119">
        <v>0</v>
      </c>
      <c r="AD789" s="1119">
        <v>2</v>
      </c>
      <c r="AE789" s="1119">
        <v>2</v>
      </c>
      <c r="AF789" s="1203" t="s">
        <v>606</v>
      </c>
      <c r="AG789" s="1237" t="s">
        <v>1148</v>
      </c>
      <c r="AH789" s="1204" t="s">
        <v>194</v>
      </c>
      <c r="AI789" s="1204" t="s">
        <v>1097</v>
      </c>
    </row>
    <row r="790" spans="1:35" ht="15" customHeight="1">
      <c r="A790" s="1076"/>
      <c r="B790" s="1076"/>
      <c r="C790" s="1076"/>
      <c r="D790" s="1076"/>
      <c r="E790" s="1076"/>
      <c r="F790" s="1076"/>
      <c r="G790" s="1076"/>
      <c r="H790" s="1350"/>
      <c r="I790" s="1123"/>
      <c r="J790" s="1119"/>
      <c r="K790" s="1119"/>
      <c r="L790" s="1119"/>
      <c r="M790" s="1171"/>
      <c r="N790" s="1196"/>
      <c r="O790" s="1196"/>
      <c r="P790" s="1196"/>
      <c r="Q790" s="1119"/>
      <c r="R790" s="1119"/>
      <c r="S790" s="1076"/>
      <c r="T790" s="840" t="s">
        <v>1140</v>
      </c>
      <c r="U790" s="866">
        <v>4461806</v>
      </c>
      <c r="V790" s="855">
        <v>41046</v>
      </c>
      <c r="W790" s="866" t="s">
        <v>137</v>
      </c>
      <c r="X790" s="1084"/>
      <c r="Y790" s="1084"/>
      <c r="Z790" s="827">
        <v>0</v>
      </c>
      <c r="AA790" s="1084"/>
      <c r="AB790" s="1119"/>
      <c r="AC790" s="1119"/>
      <c r="AD790" s="1119"/>
      <c r="AE790" s="1119"/>
      <c r="AF790" s="1203"/>
      <c r="AG790" s="1204"/>
      <c r="AH790" s="1204"/>
      <c r="AI790" s="1204"/>
    </row>
    <row r="791" spans="1:35" ht="15" customHeight="1">
      <c r="A791" s="1076"/>
      <c r="B791" s="1076"/>
      <c r="C791" s="1076"/>
      <c r="D791" s="1076"/>
      <c r="E791" s="1076"/>
      <c r="F791" s="1076"/>
      <c r="G791" s="1076"/>
      <c r="H791" s="1350"/>
      <c r="I791" s="1123"/>
      <c r="J791" s="1119"/>
      <c r="K791" s="1119"/>
      <c r="L791" s="1119"/>
      <c r="M791" s="1171"/>
      <c r="N791" s="1196"/>
      <c r="O791" s="1196"/>
      <c r="P791" s="1196"/>
      <c r="Q791" s="1119"/>
      <c r="R791" s="1119"/>
      <c r="S791" s="1076"/>
      <c r="T791" s="840" t="s">
        <v>1141</v>
      </c>
      <c r="U791" s="866">
        <v>4461806</v>
      </c>
      <c r="V791" s="1171">
        <v>41061</v>
      </c>
      <c r="W791" s="866" t="s">
        <v>137</v>
      </c>
      <c r="X791" s="1084"/>
      <c r="Y791" s="1084"/>
      <c r="Z791" s="827">
        <v>0</v>
      </c>
      <c r="AA791" s="1084"/>
      <c r="AB791" s="1119"/>
      <c r="AC791" s="1119"/>
      <c r="AD791" s="1119"/>
      <c r="AE791" s="1119"/>
      <c r="AF791" s="1203"/>
      <c r="AG791" s="1204"/>
      <c r="AH791" s="1204"/>
      <c r="AI791" s="1204"/>
    </row>
    <row r="792" spans="1:35" ht="15" customHeight="1">
      <c r="A792" s="1076"/>
      <c r="B792" s="1076"/>
      <c r="C792" s="1076"/>
      <c r="D792" s="1076"/>
      <c r="E792" s="1076"/>
      <c r="F792" s="1076"/>
      <c r="G792" s="1076"/>
      <c r="H792" s="1350"/>
      <c r="I792" s="1123"/>
      <c r="J792" s="1119"/>
      <c r="K792" s="1119"/>
      <c r="L792" s="1119"/>
      <c r="M792" s="1171"/>
      <c r="N792" s="1196"/>
      <c r="O792" s="1196"/>
      <c r="P792" s="1196"/>
      <c r="Q792" s="1119"/>
      <c r="R792" s="1119"/>
      <c r="S792" s="1076"/>
      <c r="T792" s="840" t="s">
        <v>1142</v>
      </c>
      <c r="U792" s="866">
        <v>4461806</v>
      </c>
      <c r="V792" s="1171"/>
      <c r="W792" s="866" t="s">
        <v>137</v>
      </c>
      <c r="X792" s="1084"/>
      <c r="Y792" s="1084"/>
      <c r="Z792" s="827">
        <v>0</v>
      </c>
      <c r="AA792" s="1084"/>
      <c r="AB792" s="1119"/>
      <c r="AC792" s="1119"/>
      <c r="AD792" s="1119"/>
      <c r="AE792" s="1119"/>
      <c r="AF792" s="1203"/>
      <c r="AG792" s="1204"/>
      <c r="AH792" s="1204"/>
      <c r="AI792" s="1204"/>
    </row>
    <row r="793" spans="1:35" ht="15" customHeight="1">
      <c r="A793" s="1076"/>
      <c r="B793" s="1076"/>
      <c r="C793" s="1076"/>
      <c r="D793" s="1076"/>
      <c r="E793" s="1076"/>
      <c r="F793" s="1076"/>
      <c r="G793" s="1076"/>
      <c r="H793" s="1350"/>
      <c r="I793" s="1123"/>
      <c r="J793" s="1119"/>
      <c r="K793" s="1119"/>
      <c r="L793" s="1119"/>
      <c r="M793" s="1171"/>
      <c r="N793" s="1196"/>
      <c r="O793" s="1196"/>
      <c r="P793" s="1196"/>
      <c r="Q793" s="1119"/>
      <c r="R793" s="1119"/>
      <c r="S793" s="1076"/>
      <c r="T793" s="840" t="s">
        <v>1143</v>
      </c>
      <c r="U793" s="866">
        <v>4461806</v>
      </c>
      <c r="V793" s="855">
        <v>41094</v>
      </c>
      <c r="W793" s="866" t="s">
        <v>137</v>
      </c>
      <c r="X793" s="1084"/>
      <c r="Y793" s="1084"/>
      <c r="Z793" s="827">
        <v>0</v>
      </c>
      <c r="AA793" s="1084"/>
      <c r="AB793" s="1119"/>
      <c r="AC793" s="1119"/>
      <c r="AD793" s="1119"/>
      <c r="AE793" s="1119"/>
      <c r="AF793" s="1203"/>
      <c r="AG793" s="1204"/>
      <c r="AH793" s="1204"/>
      <c r="AI793" s="1204"/>
    </row>
    <row r="794" spans="1:35" ht="15" customHeight="1">
      <c r="A794" s="1076"/>
      <c r="B794" s="1076"/>
      <c r="C794" s="1076"/>
      <c r="D794" s="1076"/>
      <c r="E794" s="1076"/>
      <c r="F794" s="1076"/>
      <c r="G794" s="1076"/>
      <c r="H794" s="1350"/>
      <c r="I794" s="1123"/>
      <c r="J794" s="1119"/>
      <c r="K794" s="1119"/>
      <c r="L794" s="1119"/>
      <c r="M794" s="1171"/>
      <c r="N794" s="1196"/>
      <c r="O794" s="1196"/>
      <c r="P794" s="1196"/>
      <c r="Q794" s="1119"/>
      <c r="R794" s="1119"/>
      <c r="S794" s="1076"/>
      <c r="T794" s="840" t="s">
        <v>1144</v>
      </c>
      <c r="U794" s="866">
        <v>4461806.5</v>
      </c>
      <c r="V794" s="1171">
        <v>41150</v>
      </c>
      <c r="W794" s="866" t="s">
        <v>137</v>
      </c>
      <c r="X794" s="1084"/>
      <c r="Y794" s="1084"/>
      <c r="Z794" s="827">
        <v>0</v>
      </c>
      <c r="AA794" s="1084"/>
      <c r="AB794" s="1119"/>
      <c r="AC794" s="1119"/>
      <c r="AD794" s="1119"/>
      <c r="AE794" s="1119"/>
      <c r="AF794" s="1203"/>
      <c r="AG794" s="1204"/>
      <c r="AH794" s="1204"/>
      <c r="AI794" s="1204"/>
    </row>
    <row r="795" spans="1:35" ht="15" customHeight="1">
      <c r="A795" s="1076"/>
      <c r="B795" s="1076"/>
      <c r="C795" s="1076"/>
      <c r="D795" s="1076"/>
      <c r="E795" s="1076"/>
      <c r="F795" s="1076"/>
      <c r="G795" s="1076"/>
      <c r="H795" s="1350"/>
      <c r="I795" s="1123"/>
      <c r="J795" s="1119"/>
      <c r="K795" s="1119"/>
      <c r="L795" s="1119"/>
      <c r="M795" s="1171"/>
      <c r="N795" s="1196"/>
      <c r="O795" s="1196"/>
      <c r="P795" s="1196"/>
      <c r="Q795" s="1119"/>
      <c r="R795" s="1119"/>
      <c r="S795" s="1076"/>
      <c r="T795" s="840" t="s">
        <v>1145</v>
      </c>
      <c r="U795" s="866">
        <v>4461806.5</v>
      </c>
      <c r="V795" s="1171"/>
      <c r="W795" s="866" t="s">
        <v>137</v>
      </c>
      <c r="X795" s="1084"/>
      <c r="Y795" s="1084"/>
      <c r="Z795" s="827">
        <v>0</v>
      </c>
      <c r="AA795" s="1084"/>
      <c r="AB795" s="1119"/>
      <c r="AC795" s="1119"/>
      <c r="AD795" s="1119"/>
      <c r="AE795" s="1119"/>
      <c r="AF795" s="1203"/>
      <c r="AG795" s="1204"/>
      <c r="AH795" s="1204"/>
      <c r="AI795" s="1204"/>
    </row>
    <row r="796" spans="1:35" ht="15" customHeight="1">
      <c r="A796" s="1076"/>
      <c r="B796" s="1076"/>
      <c r="C796" s="1076"/>
      <c r="D796" s="1076"/>
      <c r="E796" s="1076"/>
      <c r="F796" s="1076"/>
      <c r="G796" s="1076"/>
      <c r="H796" s="1350"/>
      <c r="I796" s="1123"/>
      <c r="J796" s="1119"/>
      <c r="K796" s="1119"/>
      <c r="L796" s="1119"/>
      <c r="M796" s="1171"/>
      <c r="N796" s="1196"/>
      <c r="O796" s="1196"/>
      <c r="P796" s="1196"/>
      <c r="Q796" s="1119"/>
      <c r="R796" s="1119"/>
      <c r="S796" s="1076"/>
      <c r="T796" s="840" t="s">
        <v>1146</v>
      </c>
      <c r="U796" s="866">
        <v>4461807</v>
      </c>
      <c r="V796" s="855">
        <v>41540</v>
      </c>
      <c r="W796" s="866" t="s">
        <v>137</v>
      </c>
      <c r="X796" s="1084"/>
      <c r="Y796" s="1084"/>
      <c r="Z796" s="827">
        <v>0</v>
      </c>
      <c r="AA796" s="1084"/>
      <c r="AB796" s="1119"/>
      <c r="AC796" s="1119"/>
      <c r="AD796" s="1119"/>
      <c r="AE796" s="1119"/>
      <c r="AF796" s="1203"/>
      <c r="AG796" s="1204"/>
      <c r="AH796" s="1204"/>
      <c r="AI796" s="1204"/>
    </row>
    <row r="797" spans="1:35" s="4" customFormat="1" ht="15" customHeight="1">
      <c r="A797" s="1249" t="s">
        <v>1180</v>
      </c>
      <c r="B797" s="1076" t="s">
        <v>1185</v>
      </c>
      <c r="C797" s="1076" t="s">
        <v>70</v>
      </c>
      <c r="D797" s="1076" t="s">
        <v>206</v>
      </c>
      <c r="E797" s="1076" t="s">
        <v>66</v>
      </c>
      <c r="F797" s="1076" t="s">
        <v>183</v>
      </c>
      <c r="G797" s="1076" t="s">
        <v>1208</v>
      </c>
      <c r="H797" s="1245">
        <v>181</v>
      </c>
      <c r="I797" s="1123" t="s">
        <v>137</v>
      </c>
      <c r="J797" s="1119">
        <v>71242158</v>
      </c>
      <c r="K797" s="1119">
        <v>71242158</v>
      </c>
      <c r="L797" s="1119">
        <v>142465026</v>
      </c>
      <c r="M797" s="1171">
        <v>40753</v>
      </c>
      <c r="N797" s="1295">
        <v>71242158</v>
      </c>
      <c r="O797" s="1295">
        <v>71242158</v>
      </c>
      <c r="P797" s="1295">
        <v>0</v>
      </c>
      <c r="Q797" s="1119">
        <v>71152765</v>
      </c>
      <c r="R797" s="1119">
        <v>142336878</v>
      </c>
      <c r="S797" s="1244" t="s">
        <v>1179</v>
      </c>
      <c r="T797" s="840" t="s">
        <v>1188</v>
      </c>
      <c r="U797" s="866">
        <v>35577600</v>
      </c>
      <c r="V797" s="855">
        <v>40890</v>
      </c>
      <c r="W797" s="866" t="s">
        <v>137</v>
      </c>
      <c r="X797" s="1084">
        <v>71152765</v>
      </c>
      <c r="Y797" s="1084">
        <v>142336876.30000001</v>
      </c>
      <c r="Z797" s="827">
        <v>0</v>
      </c>
      <c r="AA797" s="1084">
        <v>89393</v>
      </c>
      <c r="AB797" s="1119">
        <v>1.7000000178813934</v>
      </c>
      <c r="AC797" s="1119">
        <v>89393</v>
      </c>
      <c r="AD797" s="1119">
        <v>0</v>
      </c>
      <c r="AE797" s="1119">
        <v>89393</v>
      </c>
      <c r="AF797" s="1249" t="s">
        <v>1190</v>
      </c>
      <c r="AG797" s="1204" t="s">
        <v>1209</v>
      </c>
      <c r="AH797" s="1204" t="s">
        <v>195</v>
      </c>
      <c r="AI797" s="1204" t="s">
        <v>1097</v>
      </c>
    </row>
    <row r="798" spans="1:35" s="4" customFormat="1" ht="15" customHeight="1">
      <c r="A798" s="1249"/>
      <c r="B798" s="1076"/>
      <c r="C798" s="1076"/>
      <c r="D798" s="1076"/>
      <c r="E798" s="1076"/>
      <c r="F798" s="1076"/>
      <c r="G798" s="1076"/>
      <c r="H798" s="1245"/>
      <c r="I798" s="1123"/>
      <c r="J798" s="1119"/>
      <c r="K798" s="1119"/>
      <c r="L798" s="1119"/>
      <c r="M798" s="1171"/>
      <c r="N798" s="1295"/>
      <c r="O798" s="1295"/>
      <c r="P798" s="1295"/>
      <c r="Q798" s="1119"/>
      <c r="R798" s="1119"/>
      <c r="S798" s="1244"/>
      <c r="T798" s="840" t="s">
        <v>1191</v>
      </c>
      <c r="U798" s="866">
        <v>5385038</v>
      </c>
      <c r="V798" s="1171">
        <v>41057</v>
      </c>
      <c r="W798" s="866" t="s">
        <v>137</v>
      </c>
      <c r="X798" s="1084"/>
      <c r="Y798" s="1084"/>
      <c r="Z798" s="827">
        <v>0</v>
      </c>
      <c r="AA798" s="1084"/>
      <c r="AB798" s="1119"/>
      <c r="AC798" s="1119"/>
      <c r="AD798" s="1119"/>
      <c r="AE798" s="1119"/>
      <c r="AF798" s="1249"/>
      <c r="AG798" s="1204"/>
      <c r="AH798" s="1204"/>
      <c r="AI798" s="1204"/>
    </row>
    <row r="799" spans="1:35" s="4" customFormat="1" ht="15" customHeight="1">
      <c r="A799" s="1249"/>
      <c r="B799" s="1076"/>
      <c r="C799" s="1076"/>
      <c r="D799" s="1076"/>
      <c r="E799" s="1076"/>
      <c r="F799" s="1076"/>
      <c r="G799" s="1076"/>
      <c r="H799" s="1245"/>
      <c r="I799" s="1123"/>
      <c r="J799" s="1119"/>
      <c r="K799" s="1119"/>
      <c r="L799" s="1119"/>
      <c r="M799" s="1171"/>
      <c r="N799" s="1295"/>
      <c r="O799" s="1295"/>
      <c r="P799" s="1295"/>
      <c r="Q799" s="1119"/>
      <c r="R799" s="1119"/>
      <c r="S799" s="1244"/>
      <c r="T799" s="840" t="s">
        <v>1193</v>
      </c>
      <c r="U799" s="866">
        <v>5385038</v>
      </c>
      <c r="V799" s="1171"/>
      <c r="W799" s="866" t="s">
        <v>137</v>
      </c>
      <c r="X799" s="1084"/>
      <c r="Y799" s="1084"/>
      <c r="Z799" s="827">
        <v>0</v>
      </c>
      <c r="AA799" s="1084"/>
      <c r="AB799" s="1119"/>
      <c r="AC799" s="1119"/>
      <c r="AD799" s="1119"/>
      <c r="AE799" s="1119"/>
      <c r="AF799" s="1249"/>
      <c r="AG799" s="1204"/>
      <c r="AH799" s="1204"/>
      <c r="AI799" s="1204"/>
    </row>
    <row r="800" spans="1:35" s="4" customFormat="1" ht="15" customHeight="1">
      <c r="A800" s="1249"/>
      <c r="B800" s="1076"/>
      <c r="C800" s="1076"/>
      <c r="D800" s="1076"/>
      <c r="E800" s="1076"/>
      <c r="F800" s="1076"/>
      <c r="G800" s="1076"/>
      <c r="H800" s="1245"/>
      <c r="I800" s="1123"/>
      <c r="J800" s="1119"/>
      <c r="K800" s="1119"/>
      <c r="L800" s="1119"/>
      <c r="M800" s="1171"/>
      <c r="N800" s="1295"/>
      <c r="O800" s="1295"/>
      <c r="P800" s="1295"/>
      <c r="Q800" s="1119"/>
      <c r="R800" s="1119"/>
      <c r="S800" s="1244"/>
      <c r="T800" s="840" t="s">
        <v>1195</v>
      </c>
      <c r="U800" s="866">
        <v>5385038</v>
      </c>
      <c r="V800" s="1171"/>
      <c r="W800" s="866" t="s">
        <v>137</v>
      </c>
      <c r="X800" s="1084"/>
      <c r="Y800" s="1084"/>
      <c r="Z800" s="827">
        <v>0</v>
      </c>
      <c r="AA800" s="1084"/>
      <c r="AB800" s="1119"/>
      <c r="AC800" s="1119"/>
      <c r="AD800" s="1119"/>
      <c r="AE800" s="1119"/>
      <c r="AF800" s="1249"/>
      <c r="AG800" s="1204"/>
      <c r="AH800" s="1204"/>
      <c r="AI800" s="1204"/>
    </row>
    <row r="801" spans="1:35" s="4" customFormat="1" ht="15" customHeight="1">
      <c r="A801" s="1249"/>
      <c r="B801" s="1076"/>
      <c r="C801" s="1076"/>
      <c r="D801" s="1076"/>
      <c r="E801" s="1076"/>
      <c r="F801" s="1076"/>
      <c r="G801" s="1076"/>
      <c r="H801" s="1245"/>
      <c r="I801" s="1123"/>
      <c r="J801" s="1119"/>
      <c r="K801" s="1119"/>
      <c r="L801" s="1119"/>
      <c r="M801" s="1171"/>
      <c r="N801" s="1295"/>
      <c r="O801" s="1295"/>
      <c r="P801" s="1295"/>
      <c r="Q801" s="1119"/>
      <c r="R801" s="1119"/>
      <c r="S801" s="1244"/>
      <c r="T801" s="840" t="s">
        <v>1197</v>
      </c>
      <c r="U801" s="866">
        <v>5385038</v>
      </c>
      <c r="V801" s="1171">
        <v>41151</v>
      </c>
      <c r="W801" s="866" t="s">
        <v>137</v>
      </c>
      <c r="X801" s="1084"/>
      <c r="Y801" s="1084"/>
      <c r="Z801" s="827">
        <v>0</v>
      </c>
      <c r="AA801" s="1084"/>
      <c r="AB801" s="1119"/>
      <c r="AC801" s="1119"/>
      <c r="AD801" s="1119"/>
      <c r="AE801" s="1119"/>
      <c r="AF801" s="1249"/>
      <c r="AG801" s="1204"/>
      <c r="AH801" s="1204"/>
      <c r="AI801" s="1204"/>
    </row>
    <row r="802" spans="1:35" s="4" customFormat="1" ht="15" customHeight="1">
      <c r="A802" s="1249"/>
      <c r="B802" s="1076"/>
      <c r="C802" s="1076"/>
      <c r="D802" s="1076"/>
      <c r="E802" s="1076"/>
      <c r="F802" s="1076"/>
      <c r="G802" s="1076"/>
      <c r="H802" s="1245"/>
      <c r="I802" s="1123"/>
      <c r="J802" s="1119"/>
      <c r="K802" s="1119"/>
      <c r="L802" s="1119"/>
      <c r="M802" s="1171"/>
      <c r="N802" s="1295"/>
      <c r="O802" s="1295"/>
      <c r="P802" s="1295"/>
      <c r="Q802" s="1119"/>
      <c r="R802" s="1119"/>
      <c r="S802" s="1244"/>
      <c r="T802" s="840" t="s">
        <v>1198</v>
      </c>
      <c r="U802" s="866">
        <v>5385038</v>
      </c>
      <c r="V802" s="1171"/>
      <c r="W802" s="866" t="s">
        <v>137</v>
      </c>
      <c r="X802" s="1084"/>
      <c r="Y802" s="1084"/>
      <c r="Z802" s="827">
        <v>0</v>
      </c>
      <c r="AA802" s="1084"/>
      <c r="AB802" s="1119"/>
      <c r="AC802" s="1119"/>
      <c r="AD802" s="1119"/>
      <c r="AE802" s="1119"/>
      <c r="AF802" s="1249"/>
      <c r="AG802" s="1204"/>
      <c r="AH802" s="1204"/>
      <c r="AI802" s="1204"/>
    </row>
    <row r="803" spans="1:35" s="4" customFormat="1" ht="15" customHeight="1">
      <c r="A803" s="1249"/>
      <c r="B803" s="1076"/>
      <c r="C803" s="1076"/>
      <c r="D803" s="1076"/>
      <c r="E803" s="1076"/>
      <c r="F803" s="1076"/>
      <c r="G803" s="1076"/>
      <c r="H803" s="1245"/>
      <c r="I803" s="1123"/>
      <c r="J803" s="1119"/>
      <c r="K803" s="1119"/>
      <c r="L803" s="1119"/>
      <c r="M803" s="1171"/>
      <c r="N803" s="1295"/>
      <c r="O803" s="1295"/>
      <c r="P803" s="1295"/>
      <c r="Q803" s="1119"/>
      <c r="R803" s="1119"/>
      <c r="S803" s="1244"/>
      <c r="T803" s="840" t="s">
        <v>1200</v>
      </c>
      <c r="U803" s="866">
        <v>5385038</v>
      </c>
      <c r="V803" s="1171"/>
      <c r="W803" s="866" t="s">
        <v>137</v>
      </c>
      <c r="X803" s="1084"/>
      <c r="Y803" s="1084"/>
      <c r="Z803" s="827">
        <v>0</v>
      </c>
      <c r="AA803" s="1084"/>
      <c r="AB803" s="1119"/>
      <c r="AC803" s="1119"/>
      <c r="AD803" s="1119"/>
      <c r="AE803" s="1119"/>
      <c r="AF803" s="1249"/>
      <c r="AG803" s="1204"/>
      <c r="AH803" s="1204"/>
      <c r="AI803" s="1204"/>
    </row>
    <row r="804" spans="1:35" s="4" customFormat="1" ht="15" customHeight="1">
      <c r="A804" s="1249"/>
      <c r="B804" s="1076"/>
      <c r="C804" s="1076"/>
      <c r="D804" s="1076"/>
      <c r="E804" s="1076"/>
      <c r="F804" s="1076"/>
      <c r="G804" s="1076"/>
      <c r="H804" s="1245"/>
      <c r="I804" s="1123"/>
      <c r="J804" s="1119"/>
      <c r="K804" s="1119"/>
      <c r="L804" s="1119"/>
      <c r="M804" s="1171"/>
      <c r="N804" s="1295"/>
      <c r="O804" s="1295"/>
      <c r="P804" s="1295"/>
      <c r="Q804" s="1119"/>
      <c r="R804" s="1119"/>
      <c r="S804" s="1244"/>
      <c r="T804" s="840" t="s">
        <v>1202</v>
      </c>
      <c r="U804" s="866">
        <v>3264937</v>
      </c>
      <c r="V804" s="855">
        <v>41942</v>
      </c>
      <c r="W804" s="866" t="s">
        <v>137</v>
      </c>
      <c r="X804" s="1084"/>
      <c r="Y804" s="1084"/>
      <c r="Z804" s="827">
        <v>0</v>
      </c>
      <c r="AA804" s="1084"/>
      <c r="AB804" s="1119"/>
      <c r="AC804" s="1119"/>
      <c r="AD804" s="1119"/>
      <c r="AE804" s="1119"/>
      <c r="AF804" s="1249"/>
      <c r="AG804" s="1204"/>
      <c r="AH804" s="1204"/>
      <c r="AI804" s="1204"/>
    </row>
    <row r="805" spans="1:35" s="4" customFormat="1" ht="15" customHeight="1">
      <c r="A805" s="1249"/>
      <c r="B805" s="1076"/>
      <c r="C805" s="1076"/>
      <c r="D805" s="1076"/>
      <c r="E805" s="1076"/>
      <c r="F805" s="1076"/>
      <c r="G805" s="1076"/>
      <c r="H805" s="1245">
        <v>182</v>
      </c>
      <c r="I805" s="1123" t="s">
        <v>137</v>
      </c>
      <c r="J805" s="1119">
        <v>30885990</v>
      </c>
      <c r="K805" s="1119">
        <v>30885990</v>
      </c>
      <c r="L805" s="1119"/>
      <c r="M805" s="1171">
        <v>40753</v>
      </c>
      <c r="N805" s="1119">
        <v>30885990</v>
      </c>
      <c r="O805" s="1119">
        <v>30885990</v>
      </c>
      <c r="P805" s="1119">
        <v>0</v>
      </c>
      <c r="Q805" s="1119">
        <v>30847235</v>
      </c>
      <c r="R805" s="1119"/>
      <c r="S805" s="1244"/>
      <c r="T805" s="840" t="s">
        <v>1189</v>
      </c>
      <c r="U805" s="866">
        <v>15422400</v>
      </c>
      <c r="V805" s="855">
        <v>40890</v>
      </c>
      <c r="W805" s="866" t="s">
        <v>137</v>
      </c>
      <c r="X805" s="1084">
        <v>30847233.300000001</v>
      </c>
      <c r="Y805" s="1084"/>
      <c r="Z805" s="827">
        <v>0</v>
      </c>
      <c r="AA805" s="1084">
        <v>38756.699999999255</v>
      </c>
      <c r="AB805" s="1119"/>
      <c r="AC805" s="1119">
        <v>38755</v>
      </c>
      <c r="AD805" s="1119">
        <v>0</v>
      </c>
      <c r="AE805" s="1119">
        <v>38755</v>
      </c>
      <c r="AF805" s="1249"/>
      <c r="AG805" s="1204"/>
      <c r="AH805" s="1204"/>
      <c r="AI805" s="1204"/>
    </row>
    <row r="806" spans="1:35" s="4" customFormat="1" ht="15" customHeight="1">
      <c r="A806" s="1249"/>
      <c r="B806" s="1076"/>
      <c r="C806" s="1076"/>
      <c r="D806" s="1076"/>
      <c r="E806" s="1076"/>
      <c r="F806" s="1076"/>
      <c r="G806" s="1076"/>
      <c r="H806" s="1245"/>
      <c r="I806" s="1123"/>
      <c r="J806" s="1119"/>
      <c r="K806" s="1119"/>
      <c r="L806" s="1119"/>
      <c r="M806" s="1171"/>
      <c r="N806" s="1119"/>
      <c r="O806" s="1119"/>
      <c r="P806" s="1119"/>
      <c r="Q806" s="1119"/>
      <c r="R806" s="1119"/>
      <c r="S806" s="1244"/>
      <c r="T806" s="840" t="s">
        <v>1192</v>
      </c>
      <c r="U806" s="866">
        <v>1900676</v>
      </c>
      <c r="V806" s="1171">
        <v>41057</v>
      </c>
      <c r="W806" s="866" t="s">
        <v>137</v>
      </c>
      <c r="X806" s="1084"/>
      <c r="Y806" s="1084"/>
      <c r="Z806" s="827">
        <v>0</v>
      </c>
      <c r="AA806" s="1084"/>
      <c r="AB806" s="1119"/>
      <c r="AC806" s="1119"/>
      <c r="AD806" s="1119"/>
      <c r="AE806" s="1119"/>
      <c r="AF806" s="1249"/>
      <c r="AG806" s="1204"/>
      <c r="AH806" s="1204"/>
      <c r="AI806" s="1204"/>
    </row>
    <row r="807" spans="1:35" s="4" customFormat="1" ht="15" customHeight="1">
      <c r="A807" s="1249"/>
      <c r="B807" s="1076"/>
      <c r="C807" s="1076"/>
      <c r="D807" s="1076"/>
      <c r="E807" s="1076"/>
      <c r="F807" s="1076"/>
      <c r="G807" s="1076"/>
      <c r="H807" s="1245"/>
      <c r="I807" s="1123"/>
      <c r="J807" s="1119"/>
      <c r="K807" s="1119"/>
      <c r="L807" s="1119"/>
      <c r="M807" s="1171"/>
      <c r="N807" s="1119"/>
      <c r="O807" s="1119"/>
      <c r="P807" s="1119"/>
      <c r="Q807" s="1119"/>
      <c r="R807" s="1119"/>
      <c r="S807" s="1244"/>
      <c r="T807" s="840" t="s">
        <v>1194</v>
      </c>
      <c r="U807" s="866">
        <v>1900676</v>
      </c>
      <c r="V807" s="1171"/>
      <c r="W807" s="866" t="s">
        <v>137</v>
      </c>
      <c r="X807" s="1084"/>
      <c r="Y807" s="1084"/>
      <c r="Z807" s="827">
        <v>0</v>
      </c>
      <c r="AA807" s="1084"/>
      <c r="AB807" s="1119"/>
      <c r="AC807" s="1119"/>
      <c r="AD807" s="1119"/>
      <c r="AE807" s="1119"/>
      <c r="AF807" s="1249"/>
      <c r="AG807" s="1204"/>
      <c r="AH807" s="1204"/>
      <c r="AI807" s="1204"/>
    </row>
    <row r="808" spans="1:35" s="4" customFormat="1" ht="15" customHeight="1">
      <c r="A808" s="1249"/>
      <c r="B808" s="1076"/>
      <c r="C808" s="1076"/>
      <c r="D808" s="1076"/>
      <c r="E808" s="1076"/>
      <c r="F808" s="1076"/>
      <c r="G808" s="1076"/>
      <c r="H808" s="1245"/>
      <c r="I808" s="1123"/>
      <c r="J808" s="1119"/>
      <c r="K808" s="1119"/>
      <c r="L808" s="1119"/>
      <c r="M808" s="1171"/>
      <c r="N808" s="1119"/>
      <c r="O808" s="1119"/>
      <c r="P808" s="1119"/>
      <c r="Q808" s="1119"/>
      <c r="R808" s="1119"/>
      <c r="S808" s="1244"/>
      <c r="T808" s="840" t="s">
        <v>1196</v>
      </c>
      <c r="U808" s="866">
        <v>1900676</v>
      </c>
      <c r="V808" s="1171"/>
      <c r="W808" s="866" t="s">
        <v>137</v>
      </c>
      <c r="X808" s="1084"/>
      <c r="Y808" s="1084"/>
      <c r="Z808" s="827">
        <v>0</v>
      </c>
      <c r="AA808" s="1084"/>
      <c r="AB808" s="1119"/>
      <c r="AC808" s="1119"/>
      <c r="AD808" s="1119"/>
      <c r="AE808" s="1119"/>
      <c r="AF808" s="1249"/>
      <c r="AG808" s="1204"/>
      <c r="AH808" s="1204"/>
      <c r="AI808" s="1204"/>
    </row>
    <row r="809" spans="1:35" s="4" customFormat="1" ht="15" customHeight="1">
      <c r="A809" s="1249"/>
      <c r="B809" s="1076"/>
      <c r="C809" s="1076"/>
      <c r="D809" s="1076"/>
      <c r="E809" s="1076"/>
      <c r="F809" s="1076"/>
      <c r="G809" s="1076"/>
      <c r="H809" s="1245"/>
      <c r="I809" s="1123"/>
      <c r="J809" s="1119"/>
      <c r="K809" s="1119"/>
      <c r="L809" s="1119"/>
      <c r="M809" s="1171"/>
      <c r="N809" s="1119"/>
      <c r="O809" s="1119"/>
      <c r="P809" s="1119"/>
      <c r="Q809" s="1119"/>
      <c r="R809" s="1119"/>
      <c r="S809" s="1244"/>
      <c r="T809" s="840" t="s">
        <v>1197</v>
      </c>
      <c r="U809" s="866">
        <v>1900676</v>
      </c>
      <c r="V809" s="1171">
        <v>41151</v>
      </c>
      <c r="W809" s="866" t="s">
        <v>137</v>
      </c>
      <c r="X809" s="1084"/>
      <c r="Y809" s="1084"/>
      <c r="Z809" s="827">
        <v>0</v>
      </c>
      <c r="AA809" s="1084"/>
      <c r="AB809" s="1119"/>
      <c r="AC809" s="1119"/>
      <c r="AD809" s="1119"/>
      <c r="AE809" s="1119"/>
      <c r="AF809" s="1249"/>
      <c r="AG809" s="1204"/>
      <c r="AH809" s="1204"/>
      <c r="AI809" s="1204"/>
    </row>
    <row r="810" spans="1:35" s="4" customFormat="1" ht="15" customHeight="1">
      <c r="A810" s="1249"/>
      <c r="B810" s="1076"/>
      <c r="C810" s="1076"/>
      <c r="D810" s="1076"/>
      <c r="E810" s="1076"/>
      <c r="F810" s="1076"/>
      <c r="G810" s="1076"/>
      <c r="H810" s="1245"/>
      <c r="I810" s="1123"/>
      <c r="J810" s="1119"/>
      <c r="K810" s="1119"/>
      <c r="L810" s="1119"/>
      <c r="M810" s="1171"/>
      <c r="N810" s="1119"/>
      <c r="O810" s="1119"/>
      <c r="P810" s="1119"/>
      <c r="Q810" s="1119"/>
      <c r="R810" s="1119"/>
      <c r="S810" s="1244"/>
      <c r="T810" s="840" t="s">
        <v>1199</v>
      </c>
      <c r="U810" s="866">
        <v>1900676</v>
      </c>
      <c r="V810" s="1171"/>
      <c r="W810" s="866" t="s">
        <v>137</v>
      </c>
      <c r="X810" s="1084"/>
      <c r="Y810" s="1084"/>
      <c r="Z810" s="827">
        <v>0</v>
      </c>
      <c r="AA810" s="1084"/>
      <c r="AB810" s="1119"/>
      <c r="AC810" s="1119"/>
      <c r="AD810" s="1119"/>
      <c r="AE810" s="1119"/>
      <c r="AF810" s="1249"/>
      <c r="AG810" s="1204"/>
      <c r="AH810" s="1204"/>
      <c r="AI810" s="1204"/>
    </row>
    <row r="811" spans="1:35" s="4" customFormat="1" ht="15" customHeight="1">
      <c r="A811" s="1249"/>
      <c r="B811" s="1076"/>
      <c r="C811" s="1076"/>
      <c r="D811" s="1076"/>
      <c r="E811" s="1076"/>
      <c r="F811" s="1076"/>
      <c r="G811" s="1076"/>
      <c r="H811" s="1245"/>
      <c r="I811" s="1123"/>
      <c r="J811" s="1119"/>
      <c r="K811" s="1119"/>
      <c r="L811" s="1119"/>
      <c r="M811" s="1171"/>
      <c r="N811" s="1119"/>
      <c r="O811" s="1119"/>
      <c r="P811" s="1119"/>
      <c r="Q811" s="1119"/>
      <c r="R811" s="1119"/>
      <c r="S811" s="1244"/>
      <c r="T811" s="840" t="s">
        <v>1201</v>
      </c>
      <c r="U811" s="866">
        <v>1900676</v>
      </c>
      <c r="V811" s="1171"/>
      <c r="W811" s="866" t="s">
        <v>137</v>
      </c>
      <c r="X811" s="1084"/>
      <c r="Y811" s="1084"/>
      <c r="Z811" s="827">
        <v>0</v>
      </c>
      <c r="AA811" s="1084"/>
      <c r="AB811" s="1119"/>
      <c r="AC811" s="1119"/>
      <c r="AD811" s="1119"/>
      <c r="AE811" s="1119"/>
      <c r="AF811" s="1249"/>
      <c r="AG811" s="1204"/>
      <c r="AH811" s="1204"/>
      <c r="AI811" s="1204"/>
    </row>
    <row r="812" spans="1:35" s="4" customFormat="1" ht="15" customHeight="1">
      <c r="A812" s="1249"/>
      <c r="B812" s="1076"/>
      <c r="C812" s="1076"/>
      <c r="D812" s="1076"/>
      <c r="E812" s="1076"/>
      <c r="F812" s="1076"/>
      <c r="G812" s="1076"/>
      <c r="H812" s="1245"/>
      <c r="I812" s="1123"/>
      <c r="J812" s="1119"/>
      <c r="K812" s="1119"/>
      <c r="L812" s="1119"/>
      <c r="M812" s="1171"/>
      <c r="N812" s="1119"/>
      <c r="O812" s="1119"/>
      <c r="P812" s="1119"/>
      <c r="Q812" s="1119"/>
      <c r="R812" s="1119"/>
      <c r="S812" s="1244"/>
      <c r="T812" s="840" t="s">
        <v>1203</v>
      </c>
      <c r="U812" s="866">
        <v>4020777.3</v>
      </c>
      <c r="V812" s="855">
        <v>41942</v>
      </c>
      <c r="W812" s="866" t="s">
        <v>137</v>
      </c>
      <c r="X812" s="1084"/>
      <c r="Y812" s="1084"/>
      <c r="Z812" s="827">
        <v>1.7000000001862645</v>
      </c>
      <c r="AA812" s="1084"/>
      <c r="AB812" s="1119"/>
      <c r="AC812" s="1119"/>
      <c r="AD812" s="1119"/>
      <c r="AE812" s="1119"/>
      <c r="AF812" s="1249"/>
      <c r="AG812" s="1204"/>
      <c r="AH812" s="1204"/>
      <c r="AI812" s="1204"/>
    </row>
    <row r="813" spans="1:35" s="4" customFormat="1" ht="15" customHeight="1">
      <c r="A813" s="1249"/>
      <c r="B813" s="1076"/>
      <c r="C813" s="1076"/>
      <c r="D813" s="1076"/>
      <c r="E813" s="1076" t="s">
        <v>67</v>
      </c>
      <c r="F813" s="1076"/>
      <c r="G813" s="1076"/>
      <c r="H813" s="1352">
        <v>6</v>
      </c>
      <c r="I813" s="1204" t="s">
        <v>169</v>
      </c>
      <c r="J813" s="1119">
        <v>3651844</v>
      </c>
      <c r="K813" s="1119">
        <v>3651844</v>
      </c>
      <c r="L813" s="1119"/>
      <c r="M813" s="1171">
        <v>41234</v>
      </c>
      <c r="N813" s="1119">
        <v>3651844</v>
      </c>
      <c r="O813" s="1119">
        <v>3651844</v>
      </c>
      <c r="P813" s="1119">
        <v>0</v>
      </c>
      <c r="Q813" s="1119">
        <v>3651844</v>
      </c>
      <c r="R813" s="1119"/>
      <c r="S813" s="1244"/>
      <c r="T813" s="885" t="s">
        <v>1204</v>
      </c>
      <c r="U813" s="866">
        <v>2191106.4</v>
      </c>
      <c r="V813" s="855">
        <v>41942</v>
      </c>
      <c r="W813" s="895" t="s">
        <v>169</v>
      </c>
      <c r="X813" s="1084">
        <v>3651844</v>
      </c>
      <c r="Y813" s="1084"/>
      <c r="Z813" s="827">
        <v>0</v>
      </c>
      <c r="AA813" s="1084">
        <v>0</v>
      </c>
      <c r="AB813" s="1119"/>
      <c r="AC813" s="1084">
        <v>0</v>
      </c>
      <c r="AD813" s="1119">
        <v>0</v>
      </c>
      <c r="AE813" s="1084">
        <v>0</v>
      </c>
      <c r="AF813" s="1249"/>
      <c r="AG813" s="1204"/>
      <c r="AH813" s="1204"/>
      <c r="AI813" s="1204"/>
    </row>
    <row r="814" spans="1:35" s="4" customFormat="1" ht="15" customHeight="1">
      <c r="A814" s="1249"/>
      <c r="B814" s="1076"/>
      <c r="C814" s="1076"/>
      <c r="D814" s="1076"/>
      <c r="E814" s="1076"/>
      <c r="F814" s="1076"/>
      <c r="G814" s="1076"/>
      <c r="H814" s="1352"/>
      <c r="I814" s="1204"/>
      <c r="J814" s="1119"/>
      <c r="K814" s="1119"/>
      <c r="L814" s="1119"/>
      <c r="M814" s="1171"/>
      <c r="N814" s="1119"/>
      <c r="O814" s="1119"/>
      <c r="P814" s="1119"/>
      <c r="Q814" s="1119"/>
      <c r="R814" s="1119"/>
      <c r="S814" s="1244"/>
      <c r="T814" s="840" t="s">
        <v>1206</v>
      </c>
      <c r="U814" s="866">
        <v>1460737.6</v>
      </c>
      <c r="V814" s="855">
        <v>42821</v>
      </c>
      <c r="W814" s="895" t="s">
        <v>169</v>
      </c>
      <c r="X814" s="1084"/>
      <c r="Y814" s="1084"/>
      <c r="Z814" s="827">
        <v>0</v>
      </c>
      <c r="AA814" s="1084"/>
      <c r="AB814" s="1119"/>
      <c r="AC814" s="1084"/>
      <c r="AD814" s="1119"/>
      <c r="AE814" s="1084"/>
      <c r="AF814" s="1249"/>
      <c r="AG814" s="1204"/>
      <c r="AH814" s="1204"/>
      <c r="AI814" s="1204"/>
    </row>
    <row r="815" spans="1:35" s="4" customFormat="1" ht="15" customHeight="1">
      <c r="A815" s="1249"/>
      <c r="B815" s="1076"/>
      <c r="C815" s="1076"/>
      <c r="D815" s="1076"/>
      <c r="E815" s="1076" t="s">
        <v>171</v>
      </c>
      <c r="F815" s="1076"/>
      <c r="G815" s="1076"/>
      <c r="H815" s="1352">
        <v>299</v>
      </c>
      <c r="I815" s="1123" t="s">
        <v>7</v>
      </c>
      <c r="J815" s="1119">
        <v>36685034</v>
      </c>
      <c r="K815" s="1119">
        <v>36685034</v>
      </c>
      <c r="L815" s="1119"/>
      <c r="M815" s="1171">
        <v>41619</v>
      </c>
      <c r="N815" s="1295">
        <v>36685034</v>
      </c>
      <c r="O815" s="1295">
        <v>36685034</v>
      </c>
      <c r="P815" s="1295">
        <v>0</v>
      </c>
      <c r="Q815" s="1119">
        <v>36685034</v>
      </c>
      <c r="R815" s="1119"/>
      <c r="S815" s="1244"/>
      <c r="T815" s="864" t="s">
        <v>1205</v>
      </c>
      <c r="U815" s="866">
        <v>22011020.399999999</v>
      </c>
      <c r="V815" s="855">
        <v>41942</v>
      </c>
      <c r="W815" s="895" t="s">
        <v>7</v>
      </c>
      <c r="X815" s="1084">
        <v>36685034</v>
      </c>
      <c r="Y815" s="1084"/>
      <c r="Z815" s="827">
        <v>0</v>
      </c>
      <c r="AA815" s="1084">
        <v>0</v>
      </c>
      <c r="AB815" s="1119"/>
      <c r="AC815" s="1084">
        <v>0</v>
      </c>
      <c r="AD815" s="1119">
        <v>0</v>
      </c>
      <c r="AE815" s="1084">
        <v>0</v>
      </c>
      <c r="AF815" s="1249"/>
      <c r="AG815" s="1204"/>
      <c r="AH815" s="1204"/>
      <c r="AI815" s="1204"/>
    </row>
    <row r="816" spans="1:35" s="4" customFormat="1" ht="15" customHeight="1">
      <c r="A816" s="1249"/>
      <c r="B816" s="1076"/>
      <c r="C816" s="1076"/>
      <c r="D816" s="1076"/>
      <c r="E816" s="1076"/>
      <c r="F816" s="1076"/>
      <c r="G816" s="1076"/>
      <c r="H816" s="1352"/>
      <c r="I816" s="1123"/>
      <c r="J816" s="1119"/>
      <c r="K816" s="1119"/>
      <c r="L816" s="1119"/>
      <c r="M816" s="1171"/>
      <c r="N816" s="1295"/>
      <c r="O816" s="1295"/>
      <c r="P816" s="1295"/>
      <c r="Q816" s="1119"/>
      <c r="R816" s="1119"/>
      <c r="S816" s="1244"/>
      <c r="T816" s="33" t="s">
        <v>1207</v>
      </c>
      <c r="U816" s="866">
        <v>14674013.6</v>
      </c>
      <c r="V816" s="855">
        <v>42821</v>
      </c>
      <c r="W816" s="895" t="s">
        <v>7</v>
      </c>
      <c r="X816" s="1084"/>
      <c r="Y816" s="1084"/>
      <c r="Z816" s="827">
        <v>0</v>
      </c>
      <c r="AA816" s="1084"/>
      <c r="AB816" s="1119"/>
      <c r="AC816" s="1084"/>
      <c r="AD816" s="1119"/>
      <c r="AE816" s="1084"/>
      <c r="AF816" s="1249"/>
      <c r="AG816" s="1204"/>
      <c r="AH816" s="1204"/>
      <c r="AI816" s="1204"/>
    </row>
    <row r="817" spans="1:35" ht="15" customHeight="1">
      <c r="A817" s="1076" t="s">
        <v>1167</v>
      </c>
      <c r="B817" s="1076" t="s">
        <v>1169</v>
      </c>
      <c r="C817" s="1076" t="s">
        <v>71</v>
      </c>
      <c r="D817" s="1076" t="s">
        <v>1086</v>
      </c>
      <c r="E817" s="1076" t="s">
        <v>66</v>
      </c>
      <c r="F817" s="1076" t="s">
        <v>183</v>
      </c>
      <c r="G817" s="1076" t="s">
        <v>1182</v>
      </c>
      <c r="H817" s="1245">
        <v>221</v>
      </c>
      <c r="I817" s="1123" t="s">
        <v>137</v>
      </c>
      <c r="J817" s="1119">
        <v>209738318</v>
      </c>
      <c r="K817" s="1119">
        <v>209738318</v>
      </c>
      <c r="L817" s="1119">
        <v>209738318</v>
      </c>
      <c r="M817" s="1171">
        <v>40851</v>
      </c>
      <c r="N817" s="1196">
        <v>209738318</v>
      </c>
      <c r="O817" s="1196">
        <v>209738318</v>
      </c>
      <c r="P817" s="1196">
        <v>0</v>
      </c>
      <c r="Q817" s="1119">
        <v>209738150</v>
      </c>
      <c r="R817" s="1119">
        <v>209738150</v>
      </c>
      <c r="S817" s="1076" t="s">
        <v>1170</v>
      </c>
      <c r="T817" s="840" t="s">
        <v>1181</v>
      </c>
      <c r="U817" s="866">
        <v>104869075</v>
      </c>
      <c r="V817" s="855">
        <v>41127</v>
      </c>
      <c r="W817" s="866" t="s">
        <v>137</v>
      </c>
      <c r="X817" s="1084">
        <v>209738150</v>
      </c>
      <c r="Y817" s="1084">
        <v>209738150</v>
      </c>
      <c r="Z817" s="827">
        <v>0</v>
      </c>
      <c r="AA817" s="1084">
        <v>168</v>
      </c>
      <c r="AB817" s="1119">
        <v>0</v>
      </c>
      <c r="AC817" s="1119">
        <v>168</v>
      </c>
      <c r="AD817" s="1119">
        <v>0</v>
      </c>
      <c r="AE817" s="1119">
        <v>168</v>
      </c>
      <c r="AF817" s="1203" t="s">
        <v>606</v>
      </c>
      <c r="AG817" s="1237" t="s">
        <v>1184</v>
      </c>
      <c r="AH817" s="1204" t="s">
        <v>194</v>
      </c>
      <c r="AI817" s="1204" t="s">
        <v>1097</v>
      </c>
    </row>
    <row r="818" spans="1:35" ht="15" customHeight="1">
      <c r="A818" s="1076"/>
      <c r="B818" s="1076"/>
      <c r="C818" s="1076"/>
      <c r="D818" s="1076"/>
      <c r="E818" s="1076"/>
      <c r="F818" s="1076"/>
      <c r="G818" s="1076"/>
      <c r="H818" s="1245"/>
      <c r="I818" s="1123"/>
      <c r="J818" s="1119"/>
      <c r="K818" s="1119"/>
      <c r="L818" s="1119"/>
      <c r="M818" s="1171"/>
      <c r="N818" s="1196"/>
      <c r="O818" s="1196"/>
      <c r="P818" s="1196"/>
      <c r="Q818" s="1119"/>
      <c r="R818" s="1119"/>
      <c r="S818" s="1076"/>
      <c r="T818" s="840" t="s">
        <v>1183</v>
      </c>
      <c r="U818" s="866">
        <v>104869075</v>
      </c>
      <c r="V818" s="855">
        <v>41619</v>
      </c>
      <c r="W818" s="866" t="s">
        <v>137</v>
      </c>
      <c r="X818" s="1084"/>
      <c r="Y818" s="1084"/>
      <c r="Z818" s="827">
        <v>0</v>
      </c>
      <c r="AA818" s="1084"/>
      <c r="AB818" s="1119"/>
      <c r="AC818" s="1119"/>
      <c r="AD818" s="1119"/>
      <c r="AE818" s="1119"/>
      <c r="AF818" s="1203"/>
      <c r="AG818" s="1204"/>
      <c r="AH818" s="1204"/>
      <c r="AI818" s="1204"/>
    </row>
    <row r="819" spans="1:35" s="4" customFormat="1" ht="15" customHeight="1">
      <c r="A819" s="1149" t="s">
        <v>1222</v>
      </c>
      <c r="B819" s="1149" t="s">
        <v>1227</v>
      </c>
      <c r="C819" s="1149" t="s">
        <v>71</v>
      </c>
      <c r="D819" s="1149" t="s">
        <v>1221</v>
      </c>
      <c r="E819" s="1149" t="s">
        <v>66</v>
      </c>
      <c r="F819" s="1149" t="s">
        <v>183</v>
      </c>
      <c r="G819" s="1149" t="s">
        <v>1231</v>
      </c>
      <c r="H819" s="1245">
        <v>219</v>
      </c>
      <c r="I819" s="1149" t="s">
        <v>137</v>
      </c>
      <c r="J819" s="1084">
        <v>64112159</v>
      </c>
      <c r="K819" s="1084">
        <v>64112159</v>
      </c>
      <c r="L819" s="1084">
        <v>64112159</v>
      </c>
      <c r="M819" s="1171">
        <v>40851</v>
      </c>
      <c r="N819" s="1119">
        <v>64112159</v>
      </c>
      <c r="O819" s="1119">
        <v>64112159</v>
      </c>
      <c r="P819" s="1119">
        <v>0</v>
      </c>
      <c r="Q819" s="1084">
        <v>63321180</v>
      </c>
      <c r="R819" s="1084">
        <v>63321180</v>
      </c>
      <c r="S819" s="1149" t="s">
        <v>1228</v>
      </c>
      <c r="T819" s="840" t="s">
        <v>1229</v>
      </c>
      <c r="U819" s="866">
        <v>31660590</v>
      </c>
      <c r="V819" s="855">
        <v>41022</v>
      </c>
      <c r="W819" s="866" t="s">
        <v>137</v>
      </c>
      <c r="X819" s="1084">
        <v>63321180</v>
      </c>
      <c r="Y819" s="1084">
        <v>63321180</v>
      </c>
      <c r="Z819" s="858">
        <v>0</v>
      </c>
      <c r="AA819" s="1119">
        <v>790979</v>
      </c>
      <c r="AB819" s="1119">
        <v>0</v>
      </c>
      <c r="AC819" s="1119">
        <v>790979</v>
      </c>
      <c r="AD819" s="1119">
        <v>0</v>
      </c>
      <c r="AE819" s="1119">
        <v>790979</v>
      </c>
      <c r="AF819" s="1249" t="s">
        <v>606</v>
      </c>
      <c r="AG819" s="1249" t="s">
        <v>1232</v>
      </c>
      <c r="AH819" s="1204" t="s">
        <v>195</v>
      </c>
      <c r="AI819" s="1204" t="s">
        <v>1097</v>
      </c>
    </row>
    <row r="820" spans="1:35" s="4" customFormat="1" ht="15" customHeight="1">
      <c r="A820" s="1149"/>
      <c r="B820" s="1149"/>
      <c r="C820" s="1149"/>
      <c r="D820" s="1149"/>
      <c r="E820" s="1149"/>
      <c r="F820" s="1149"/>
      <c r="G820" s="1149"/>
      <c r="H820" s="1245"/>
      <c r="I820" s="1149"/>
      <c r="J820" s="1084"/>
      <c r="K820" s="1084"/>
      <c r="L820" s="1084"/>
      <c r="M820" s="1171"/>
      <c r="N820" s="1119"/>
      <c r="O820" s="1119"/>
      <c r="P820" s="1119"/>
      <c r="Q820" s="1084"/>
      <c r="R820" s="1084"/>
      <c r="S820" s="1149"/>
      <c r="T820" s="1123" t="s">
        <v>1230</v>
      </c>
      <c r="U820" s="866">
        <v>13531736.17</v>
      </c>
      <c r="V820" s="855">
        <v>41661</v>
      </c>
      <c r="W820" s="866"/>
      <c r="X820" s="1084"/>
      <c r="Y820" s="1084"/>
      <c r="Z820" s="858">
        <v>18128853.829999998</v>
      </c>
      <c r="AA820" s="1119"/>
      <c r="AB820" s="1119"/>
      <c r="AC820" s="1119"/>
      <c r="AD820" s="1119"/>
      <c r="AE820" s="1119"/>
      <c r="AF820" s="1249"/>
      <c r="AG820" s="1249"/>
      <c r="AH820" s="1204"/>
      <c r="AI820" s="1204"/>
    </row>
    <row r="821" spans="1:35" s="4" customFormat="1" ht="15" customHeight="1">
      <c r="A821" s="1149"/>
      <c r="B821" s="1149"/>
      <c r="C821" s="1149"/>
      <c r="D821" s="1149"/>
      <c r="E821" s="1149"/>
      <c r="F821" s="1149"/>
      <c r="G821" s="1149"/>
      <c r="H821" s="1245"/>
      <c r="I821" s="1149"/>
      <c r="J821" s="1084"/>
      <c r="K821" s="1084"/>
      <c r="L821" s="1084"/>
      <c r="M821" s="1171"/>
      <c r="N821" s="1119"/>
      <c r="O821" s="1119"/>
      <c r="P821" s="1119"/>
      <c r="Q821" s="1084"/>
      <c r="R821" s="1084"/>
      <c r="S821" s="1149"/>
      <c r="T821" s="1123"/>
      <c r="U821" s="866">
        <v>18128853.829999998</v>
      </c>
      <c r="V821" s="855">
        <v>41670</v>
      </c>
      <c r="W821" s="866"/>
      <c r="X821" s="1084"/>
      <c r="Y821" s="1084"/>
      <c r="Z821" s="858">
        <v>-18128853.829999998</v>
      </c>
      <c r="AA821" s="1119"/>
      <c r="AB821" s="1119"/>
      <c r="AC821" s="1119"/>
      <c r="AD821" s="1119"/>
      <c r="AE821" s="1119"/>
      <c r="AF821" s="1249"/>
      <c r="AG821" s="1249"/>
      <c r="AH821" s="1204"/>
      <c r="AI821" s="1204"/>
    </row>
    <row r="822" spans="1:35" s="4" customFormat="1" ht="15" customHeight="1">
      <c r="A822" s="1244" t="s">
        <v>1223</v>
      </c>
      <c r="B822" s="1244" t="s">
        <v>1234</v>
      </c>
      <c r="C822" s="1244" t="s">
        <v>71</v>
      </c>
      <c r="D822" s="1244" t="s">
        <v>1235</v>
      </c>
      <c r="E822" s="1244" t="s">
        <v>66</v>
      </c>
      <c r="F822" s="1244" t="s">
        <v>183</v>
      </c>
      <c r="G822" s="1244" t="s">
        <v>1220</v>
      </c>
      <c r="H822" s="1352">
        <v>213</v>
      </c>
      <c r="I822" s="1244" t="s">
        <v>137</v>
      </c>
      <c r="J822" s="1119">
        <v>104791790</v>
      </c>
      <c r="K822" s="1119">
        <v>104791790</v>
      </c>
      <c r="L822" s="1119">
        <v>104791790</v>
      </c>
      <c r="M822" s="1171">
        <v>40851</v>
      </c>
      <c r="N822" s="1119">
        <v>104791790</v>
      </c>
      <c r="O822" s="1119">
        <v>104791790</v>
      </c>
      <c r="P822" s="1119">
        <v>0</v>
      </c>
      <c r="Q822" s="1119">
        <v>104791790</v>
      </c>
      <c r="R822" s="1119">
        <v>104791790</v>
      </c>
      <c r="S822" s="1076" t="s">
        <v>1179</v>
      </c>
      <c r="T822" s="840" t="s">
        <v>1237</v>
      </c>
      <c r="U822" s="866">
        <v>52395895</v>
      </c>
      <c r="V822" s="855">
        <v>40910</v>
      </c>
      <c r="W822" s="866" t="s">
        <v>137</v>
      </c>
      <c r="X822" s="1084">
        <v>104791790</v>
      </c>
      <c r="Y822" s="1084">
        <v>104791790</v>
      </c>
      <c r="Z822" s="827">
        <v>0</v>
      </c>
      <c r="AA822" s="1084">
        <v>0</v>
      </c>
      <c r="AB822" s="1084">
        <v>1</v>
      </c>
      <c r="AC822" s="1084">
        <v>0</v>
      </c>
      <c r="AD822" s="1084">
        <v>-1</v>
      </c>
      <c r="AE822" s="1084">
        <v>-1</v>
      </c>
      <c r="AF822" s="1149" t="s">
        <v>606</v>
      </c>
      <c r="AG822" s="1149" t="s">
        <v>1236</v>
      </c>
      <c r="AH822" s="1204" t="s">
        <v>195</v>
      </c>
      <c r="AI822" s="1204" t="s">
        <v>1097</v>
      </c>
    </row>
    <row r="823" spans="1:35" s="4" customFormat="1" ht="15" customHeight="1">
      <c r="A823" s="1244"/>
      <c r="B823" s="1244"/>
      <c r="C823" s="1244"/>
      <c r="D823" s="1244"/>
      <c r="E823" s="1244"/>
      <c r="F823" s="1244"/>
      <c r="G823" s="1244"/>
      <c r="H823" s="1352"/>
      <c r="I823" s="1244"/>
      <c r="J823" s="1119"/>
      <c r="K823" s="1119"/>
      <c r="L823" s="1119"/>
      <c r="M823" s="1171"/>
      <c r="N823" s="1119"/>
      <c r="O823" s="1119"/>
      <c r="P823" s="1119"/>
      <c r="Q823" s="1119"/>
      <c r="R823" s="1119"/>
      <c r="S823" s="1076"/>
      <c r="T823" s="840" t="s">
        <v>1238</v>
      </c>
      <c r="U823" s="866">
        <v>46000965</v>
      </c>
      <c r="V823" s="855">
        <v>41213</v>
      </c>
      <c r="W823" s="866" t="s">
        <v>137</v>
      </c>
      <c r="X823" s="1084"/>
      <c r="Y823" s="1084"/>
      <c r="Z823" s="827">
        <v>0</v>
      </c>
      <c r="AA823" s="1084"/>
      <c r="AB823" s="1084"/>
      <c r="AC823" s="1084"/>
      <c r="AD823" s="1084"/>
      <c r="AE823" s="1084"/>
      <c r="AF823" s="1149"/>
      <c r="AG823" s="1149"/>
      <c r="AH823" s="1204"/>
      <c r="AI823" s="1204"/>
    </row>
    <row r="824" spans="1:35" s="4" customFormat="1" ht="15" customHeight="1">
      <c r="A824" s="1244"/>
      <c r="B824" s="1244"/>
      <c r="C824" s="1244"/>
      <c r="D824" s="1244"/>
      <c r="E824" s="1244"/>
      <c r="F824" s="1244"/>
      <c r="G824" s="1244"/>
      <c r="H824" s="1352"/>
      <c r="I824" s="1244"/>
      <c r="J824" s="1119"/>
      <c r="K824" s="1119"/>
      <c r="L824" s="1119"/>
      <c r="M824" s="1171"/>
      <c r="N824" s="1119"/>
      <c r="O824" s="1119"/>
      <c r="P824" s="1119"/>
      <c r="Q824" s="1119"/>
      <c r="R824" s="1119"/>
      <c r="S824" s="1076"/>
      <c r="T824" s="840" t="s">
        <v>1239</v>
      </c>
      <c r="U824" s="866">
        <v>6394930</v>
      </c>
      <c r="V824" s="855">
        <v>41451</v>
      </c>
      <c r="W824" s="866" t="s">
        <v>137</v>
      </c>
      <c r="X824" s="1084"/>
      <c r="Y824" s="1084"/>
      <c r="Z824" s="827">
        <v>1</v>
      </c>
      <c r="AA824" s="1084"/>
      <c r="AB824" s="1084"/>
      <c r="AC824" s="1084"/>
      <c r="AD824" s="1084"/>
      <c r="AE824" s="1084"/>
      <c r="AF824" s="1149"/>
      <c r="AG824" s="1149"/>
      <c r="AH824" s="1204"/>
      <c r="AI824" s="1204"/>
    </row>
    <row r="825" spans="1:35" s="4" customFormat="1" ht="15" customHeight="1">
      <c r="A825" s="1076" t="s">
        <v>1224</v>
      </c>
      <c r="B825" s="1123" t="s">
        <v>1219</v>
      </c>
      <c r="C825" s="1123" t="s">
        <v>71</v>
      </c>
      <c r="D825" s="1123" t="s">
        <v>1235</v>
      </c>
      <c r="E825" s="1123" t="s">
        <v>66</v>
      </c>
      <c r="F825" s="1123" t="s">
        <v>183</v>
      </c>
      <c r="G825" s="1123" t="s">
        <v>1244</v>
      </c>
      <c r="H825" s="1352">
        <v>211</v>
      </c>
      <c r="I825" s="1123" t="s">
        <v>137</v>
      </c>
      <c r="J825" s="1084">
        <v>101851852</v>
      </c>
      <c r="K825" s="1084">
        <v>101851852</v>
      </c>
      <c r="L825" s="1084">
        <v>101851852</v>
      </c>
      <c r="M825" s="1171">
        <v>40851</v>
      </c>
      <c r="N825" s="1295">
        <v>101102103</v>
      </c>
      <c r="O825" s="1295">
        <v>101102103</v>
      </c>
      <c r="P825" s="1295">
        <v>749749</v>
      </c>
      <c r="Q825" s="1084">
        <v>101102103</v>
      </c>
      <c r="R825" s="1084">
        <v>101102103</v>
      </c>
      <c r="S825" s="1149" t="s">
        <v>1179</v>
      </c>
      <c r="T825" s="840" t="s">
        <v>1241</v>
      </c>
      <c r="U825" s="866">
        <v>50551052</v>
      </c>
      <c r="V825" s="855">
        <v>41025</v>
      </c>
      <c r="W825" s="866" t="s">
        <v>137</v>
      </c>
      <c r="X825" s="1084">
        <v>101102104</v>
      </c>
      <c r="Y825" s="1084">
        <v>101102104</v>
      </c>
      <c r="Z825" s="827">
        <v>0</v>
      </c>
      <c r="AA825" s="1084">
        <v>-1</v>
      </c>
      <c r="AB825" s="1084">
        <v>-1</v>
      </c>
      <c r="AC825" s="1084">
        <v>0</v>
      </c>
      <c r="AD825" s="1084">
        <v>0</v>
      </c>
      <c r="AE825" s="1084">
        <v>0</v>
      </c>
      <c r="AF825" s="1149" t="s">
        <v>606</v>
      </c>
      <c r="AG825" s="1149" t="s">
        <v>1243</v>
      </c>
      <c r="AH825" s="1204" t="s">
        <v>195</v>
      </c>
      <c r="AI825" s="1204" t="s">
        <v>1097</v>
      </c>
    </row>
    <row r="826" spans="1:35" s="4" customFormat="1" ht="15" customHeight="1">
      <c r="A826" s="1076"/>
      <c r="B826" s="1123"/>
      <c r="C826" s="1123"/>
      <c r="D826" s="1123"/>
      <c r="E826" s="1123"/>
      <c r="F826" s="1123"/>
      <c r="G826" s="1123"/>
      <c r="H826" s="1352"/>
      <c r="I826" s="1123"/>
      <c r="J826" s="1084"/>
      <c r="K826" s="1084"/>
      <c r="L826" s="1084"/>
      <c r="M826" s="1171"/>
      <c r="N826" s="1295"/>
      <c r="O826" s="1295"/>
      <c r="P826" s="1295"/>
      <c r="Q826" s="1084"/>
      <c r="R826" s="1084"/>
      <c r="S826" s="1149"/>
      <c r="T826" s="840" t="s">
        <v>1242</v>
      </c>
      <c r="U826" s="866">
        <v>50551052</v>
      </c>
      <c r="V826" s="855">
        <v>41291</v>
      </c>
      <c r="W826" s="866" t="s">
        <v>137</v>
      </c>
      <c r="X826" s="1084"/>
      <c r="Y826" s="1084"/>
      <c r="Z826" s="827">
        <v>-1</v>
      </c>
      <c r="AA826" s="1084"/>
      <c r="AB826" s="1084"/>
      <c r="AC826" s="1084"/>
      <c r="AD826" s="1084"/>
      <c r="AE826" s="1084"/>
      <c r="AF826" s="1149"/>
      <c r="AG826" s="1149"/>
      <c r="AH826" s="1204"/>
      <c r="AI826" s="1204"/>
    </row>
    <row r="827" spans="1:35" s="4" customFormat="1" ht="15" customHeight="1">
      <c r="A827" s="1076" t="s">
        <v>1225</v>
      </c>
      <c r="B827" s="1076" t="s">
        <v>1246</v>
      </c>
      <c r="C827" s="1076" t="s">
        <v>71</v>
      </c>
      <c r="D827" s="1076" t="s">
        <v>1235</v>
      </c>
      <c r="E827" s="1123" t="s">
        <v>66</v>
      </c>
      <c r="F827" s="1123" t="s">
        <v>183</v>
      </c>
      <c r="G827" s="1123" t="s">
        <v>1218</v>
      </c>
      <c r="H827" s="1352">
        <v>215</v>
      </c>
      <c r="I827" s="1123" t="s">
        <v>137</v>
      </c>
      <c r="J827" s="1119">
        <v>91588785</v>
      </c>
      <c r="K827" s="1119">
        <v>91588785</v>
      </c>
      <c r="L827" s="1119">
        <v>134309400</v>
      </c>
      <c r="M827" s="1171">
        <v>40851</v>
      </c>
      <c r="N827" s="1119">
        <v>90737264</v>
      </c>
      <c r="O827" s="1119">
        <v>90737264</v>
      </c>
      <c r="P827" s="1119">
        <v>851521</v>
      </c>
      <c r="Q827" s="1119">
        <v>90737369.939999998</v>
      </c>
      <c r="R827" s="1119">
        <v>133457984.94</v>
      </c>
      <c r="S827" s="1076" t="s">
        <v>1247</v>
      </c>
      <c r="T827" s="840" t="s">
        <v>1248</v>
      </c>
      <c r="U827" s="866">
        <v>45368685</v>
      </c>
      <c r="V827" s="855">
        <v>41151</v>
      </c>
      <c r="W827" s="866" t="s">
        <v>137</v>
      </c>
      <c r="X827" s="1084">
        <v>90737264</v>
      </c>
      <c r="Y827" s="1084">
        <v>133457879</v>
      </c>
      <c r="Z827" s="827">
        <v>0</v>
      </c>
      <c r="AA827" s="1084">
        <v>0</v>
      </c>
      <c r="AB827" s="1119">
        <v>0</v>
      </c>
      <c r="AC827" s="1119">
        <v>-105.93999999761581</v>
      </c>
      <c r="AD827" s="1119">
        <v>105.93999999761581</v>
      </c>
      <c r="AE827" s="1119">
        <v>0</v>
      </c>
      <c r="AF827" s="1203" t="s">
        <v>606</v>
      </c>
      <c r="AG827" s="1204" t="s">
        <v>1251</v>
      </c>
      <c r="AH827" s="1204" t="s">
        <v>195</v>
      </c>
      <c r="AI827" s="1204" t="s">
        <v>1097</v>
      </c>
    </row>
    <row r="828" spans="1:35" s="4" customFormat="1" ht="15" customHeight="1">
      <c r="A828" s="1076"/>
      <c r="B828" s="1076"/>
      <c r="C828" s="1076"/>
      <c r="D828" s="1076"/>
      <c r="E828" s="1123"/>
      <c r="F828" s="1123"/>
      <c r="G828" s="1123"/>
      <c r="H828" s="1352"/>
      <c r="I828" s="1123"/>
      <c r="J828" s="1119"/>
      <c r="K828" s="1119"/>
      <c r="L828" s="1119"/>
      <c r="M828" s="1171"/>
      <c r="N828" s="1119"/>
      <c r="O828" s="1119"/>
      <c r="P828" s="1119"/>
      <c r="Q828" s="1119"/>
      <c r="R828" s="1119"/>
      <c r="S828" s="1076"/>
      <c r="T828" s="840" t="s">
        <v>1249</v>
      </c>
      <c r="U828" s="866">
        <v>45368579</v>
      </c>
      <c r="V828" s="855">
        <v>41968</v>
      </c>
      <c r="W828" s="866" t="s">
        <v>137</v>
      </c>
      <c r="X828" s="1084"/>
      <c r="Y828" s="1084"/>
      <c r="Z828" s="827">
        <v>0</v>
      </c>
      <c r="AA828" s="1084"/>
      <c r="AB828" s="1119"/>
      <c r="AC828" s="1119"/>
      <c r="AD828" s="1119"/>
      <c r="AE828" s="1119"/>
      <c r="AF828" s="1203"/>
      <c r="AG828" s="1204"/>
      <c r="AH828" s="1204"/>
      <c r="AI828" s="1204"/>
    </row>
    <row r="829" spans="1:35" s="4" customFormat="1" ht="15" customHeight="1">
      <c r="A829" s="1076"/>
      <c r="B829" s="1076"/>
      <c r="C829" s="1076"/>
      <c r="D829" s="1076"/>
      <c r="E829" s="823" t="s">
        <v>67</v>
      </c>
      <c r="F829" s="1123"/>
      <c r="G829" s="1123"/>
      <c r="H829" s="910">
        <v>306</v>
      </c>
      <c r="I829" s="840" t="s">
        <v>7</v>
      </c>
      <c r="J829" s="858">
        <v>42720615</v>
      </c>
      <c r="K829" s="858">
        <v>42720615</v>
      </c>
      <c r="L829" s="1119"/>
      <c r="M829" s="855">
        <v>41795</v>
      </c>
      <c r="N829" s="908">
        <v>42720615</v>
      </c>
      <c r="O829" s="858">
        <v>42720615</v>
      </c>
      <c r="P829" s="858">
        <v>0</v>
      </c>
      <c r="Q829" s="858">
        <v>42720615</v>
      </c>
      <c r="R829" s="1119"/>
      <c r="S829" s="1076"/>
      <c r="T829" s="840" t="s">
        <v>1250</v>
      </c>
      <c r="U829" s="866">
        <v>42720615</v>
      </c>
      <c r="V829" s="855">
        <v>41968</v>
      </c>
      <c r="W829" s="866" t="s">
        <v>7</v>
      </c>
      <c r="X829" s="827">
        <v>42720615</v>
      </c>
      <c r="Y829" s="1084"/>
      <c r="Z829" s="827">
        <v>0</v>
      </c>
      <c r="AA829" s="827">
        <v>0</v>
      </c>
      <c r="AB829" s="1119"/>
      <c r="AC829" s="858">
        <v>0</v>
      </c>
      <c r="AD829" s="858">
        <v>0</v>
      </c>
      <c r="AE829" s="858">
        <v>0</v>
      </c>
      <c r="AF829" s="1203"/>
      <c r="AG829" s="1204"/>
      <c r="AH829" s="1204"/>
      <c r="AI829" s="1204"/>
    </row>
    <row r="830" spans="1:35" s="4" customFormat="1" ht="15" customHeight="1">
      <c r="A830" s="823" t="s">
        <v>1255</v>
      </c>
      <c r="B830" s="823" t="s">
        <v>1258</v>
      </c>
      <c r="C830" s="823" t="s">
        <v>72</v>
      </c>
      <c r="D830" s="823" t="s">
        <v>177</v>
      </c>
      <c r="E830" s="823" t="s">
        <v>66</v>
      </c>
      <c r="F830" s="823" t="s">
        <v>49</v>
      </c>
      <c r="G830" s="823" t="s">
        <v>1260</v>
      </c>
      <c r="H830" s="876">
        <v>174</v>
      </c>
      <c r="I830" s="840" t="s">
        <v>7</v>
      </c>
      <c r="J830" s="858">
        <v>200004880</v>
      </c>
      <c r="K830" s="858">
        <v>200004880</v>
      </c>
      <c r="L830" s="858">
        <v>200004880</v>
      </c>
      <c r="M830" s="855">
        <v>40745</v>
      </c>
      <c r="N830" s="908"/>
      <c r="O830" s="858"/>
      <c r="P830" s="858"/>
      <c r="Q830" s="858">
        <v>200004880</v>
      </c>
      <c r="R830" s="858">
        <v>200004880</v>
      </c>
      <c r="S830" s="823" t="s">
        <v>1259</v>
      </c>
      <c r="T830" s="840" t="s">
        <v>1263</v>
      </c>
      <c r="U830" s="866">
        <v>80001952</v>
      </c>
      <c r="V830" s="855">
        <v>41025</v>
      </c>
      <c r="W830" s="866" t="s">
        <v>7</v>
      </c>
      <c r="X830" s="827">
        <v>80001952</v>
      </c>
      <c r="Y830" s="866">
        <v>80001952</v>
      </c>
      <c r="Z830" s="827">
        <v>0</v>
      </c>
      <c r="AA830" s="827">
        <v>120002928</v>
      </c>
      <c r="AB830" s="858">
        <v>-80001952</v>
      </c>
      <c r="AC830" s="858">
        <v>0</v>
      </c>
      <c r="AD830" s="858">
        <v>120002928</v>
      </c>
      <c r="AE830" s="858"/>
      <c r="AF830" s="863" t="s">
        <v>1261</v>
      </c>
      <c r="AG830" s="864" t="s">
        <v>1262</v>
      </c>
      <c r="AH830" s="864" t="s">
        <v>195</v>
      </c>
      <c r="AI830" s="864" t="s">
        <v>1097</v>
      </c>
    </row>
    <row r="831" spans="1:35" ht="15" customHeight="1">
      <c r="A831" s="1076" t="s">
        <v>1210</v>
      </c>
      <c r="B831" s="1076" t="s">
        <v>1211</v>
      </c>
      <c r="C831" s="1076" t="s">
        <v>72</v>
      </c>
      <c r="D831" s="1076" t="s">
        <v>206</v>
      </c>
      <c r="E831" s="1076" t="s">
        <v>66</v>
      </c>
      <c r="F831" s="1076" t="s">
        <v>49</v>
      </c>
      <c r="G831" s="1076" t="s">
        <v>1213</v>
      </c>
      <c r="H831" s="1245">
        <v>174</v>
      </c>
      <c r="I831" s="1123" t="s">
        <v>7</v>
      </c>
      <c r="J831" s="1119">
        <v>149423312</v>
      </c>
      <c r="K831" s="1119">
        <v>149423312</v>
      </c>
      <c r="L831" s="1119">
        <v>149423312</v>
      </c>
      <c r="M831" s="1171">
        <v>40745</v>
      </c>
      <c r="N831" s="1196"/>
      <c r="O831" s="1119"/>
      <c r="P831" s="1119"/>
      <c r="Q831" s="1119">
        <v>149423312</v>
      </c>
      <c r="R831" s="1119">
        <v>149423312</v>
      </c>
      <c r="S831" s="1076" t="s">
        <v>1212</v>
      </c>
      <c r="T831" s="840" t="s">
        <v>1214</v>
      </c>
      <c r="U831" s="866">
        <v>59769325</v>
      </c>
      <c r="V831" s="855">
        <v>41037</v>
      </c>
      <c r="W831" s="866" t="s">
        <v>7</v>
      </c>
      <c r="X831" s="1084">
        <v>125145012.47</v>
      </c>
      <c r="Y831" s="1215">
        <v>125145012.47</v>
      </c>
      <c r="Z831" s="827">
        <v>0</v>
      </c>
      <c r="AA831" s="1084">
        <v>24278299.530000001</v>
      </c>
      <c r="AB831" s="1119">
        <v>-16185533.359999999</v>
      </c>
      <c r="AC831" s="1119">
        <v>0</v>
      </c>
      <c r="AD831" s="1119">
        <v>24278299.530000001</v>
      </c>
      <c r="AE831" s="1119"/>
      <c r="AF831" s="1203" t="s">
        <v>1216</v>
      </c>
      <c r="AG831" s="1237" t="s">
        <v>1217</v>
      </c>
      <c r="AH831" s="1204" t="s">
        <v>194</v>
      </c>
      <c r="AI831" s="1204" t="s">
        <v>1097</v>
      </c>
    </row>
    <row r="832" spans="1:35" ht="15" customHeight="1">
      <c r="A832" s="1076"/>
      <c r="B832" s="1076"/>
      <c r="C832" s="1076"/>
      <c r="D832" s="1076"/>
      <c r="E832" s="1076"/>
      <c r="F832" s="1076"/>
      <c r="G832" s="1076"/>
      <c r="H832" s="1245"/>
      <c r="I832" s="1123"/>
      <c r="J832" s="1119"/>
      <c r="K832" s="1119"/>
      <c r="L832" s="1119"/>
      <c r="M832" s="1171"/>
      <c r="N832" s="1196"/>
      <c r="O832" s="1119"/>
      <c r="P832" s="1119"/>
      <c r="Q832" s="1119"/>
      <c r="R832" s="1119"/>
      <c r="S832" s="1076"/>
      <c r="T832" s="840" t="s">
        <v>1215</v>
      </c>
      <c r="U832" s="866">
        <v>65375687.469999999</v>
      </c>
      <c r="V832" s="855">
        <v>41423</v>
      </c>
      <c r="W832" s="866" t="s">
        <v>7</v>
      </c>
      <c r="X832" s="1084"/>
      <c r="Y832" s="1215"/>
      <c r="Z832" s="827">
        <v>0</v>
      </c>
      <c r="AA832" s="1084"/>
      <c r="AB832" s="1119"/>
      <c r="AC832" s="1119"/>
      <c r="AD832" s="1119"/>
      <c r="AE832" s="1119"/>
      <c r="AF832" s="1203"/>
      <c r="AG832" s="1204"/>
      <c r="AH832" s="1204"/>
      <c r="AI832" s="1204"/>
    </row>
    <row r="833" spans="1:36" ht="15" customHeight="1">
      <c r="A833" s="1076"/>
      <c r="B833" s="1076"/>
      <c r="C833" s="1076"/>
      <c r="D833" s="1076"/>
      <c r="E833" s="1076"/>
      <c r="F833" s="1076"/>
      <c r="G833" s="1076"/>
      <c r="H833" s="1245"/>
      <c r="I833" s="1123"/>
      <c r="J833" s="1119"/>
      <c r="K833" s="1119"/>
      <c r="L833" s="1119"/>
      <c r="M833" s="1171"/>
      <c r="N833" s="1196"/>
      <c r="O833" s="1119"/>
      <c r="P833" s="1119"/>
      <c r="Q833" s="1119"/>
      <c r="R833" s="1119"/>
      <c r="S833" s="1076"/>
      <c r="T833" s="840"/>
      <c r="U833" s="866">
        <v>0</v>
      </c>
      <c r="V833" s="855"/>
      <c r="W833" s="866" t="s">
        <v>7</v>
      </c>
      <c r="X833" s="1084"/>
      <c r="Y833" s="1215"/>
      <c r="Z833" s="827">
        <v>0</v>
      </c>
      <c r="AA833" s="1084"/>
      <c r="AB833" s="1119"/>
      <c r="AC833" s="1119"/>
      <c r="AD833" s="1119"/>
      <c r="AE833" s="1119"/>
      <c r="AF833" s="1203"/>
      <c r="AG833" s="1204"/>
      <c r="AH833" s="1204"/>
      <c r="AI833" s="1204"/>
    </row>
    <row r="834" spans="1:36" s="4" customFormat="1" ht="15" customHeight="1">
      <c r="A834" s="1076" t="s">
        <v>1256</v>
      </c>
      <c r="B834" s="1076" t="s">
        <v>1254</v>
      </c>
      <c r="C834" s="1076" t="s">
        <v>72</v>
      </c>
      <c r="D834" s="1076" t="s">
        <v>206</v>
      </c>
      <c r="E834" s="1076" t="s">
        <v>66</v>
      </c>
      <c r="F834" s="1076" t="s">
        <v>49</v>
      </c>
      <c r="G834" s="1076"/>
      <c r="H834" s="1245">
        <v>174</v>
      </c>
      <c r="I834" s="1123" t="s">
        <v>7</v>
      </c>
      <c r="J834" s="1257">
        <v>114070920</v>
      </c>
      <c r="K834" s="1257">
        <v>114070920</v>
      </c>
      <c r="L834" s="1257">
        <v>114070920</v>
      </c>
      <c r="M834" s="1171" t="s">
        <v>1265</v>
      </c>
      <c r="N834" s="1119"/>
      <c r="O834" s="1119"/>
      <c r="P834" s="1119"/>
      <c r="Q834" s="1257">
        <v>114070920</v>
      </c>
      <c r="R834" s="1257">
        <v>114070920</v>
      </c>
      <c r="S834" s="1363" t="s">
        <v>1264</v>
      </c>
      <c r="T834" s="840" t="s">
        <v>1267</v>
      </c>
      <c r="U834" s="866">
        <v>45628368</v>
      </c>
      <c r="V834" s="855">
        <v>41037</v>
      </c>
      <c r="W834" s="866" t="s">
        <v>7</v>
      </c>
      <c r="X834" s="1084">
        <v>103804537.2</v>
      </c>
      <c r="Y834" s="1215">
        <v>103804537.2</v>
      </c>
      <c r="Z834" s="827">
        <v>0</v>
      </c>
      <c r="AA834" s="1084">
        <v>10266382.799999997</v>
      </c>
      <c r="AB834" s="1119">
        <v>-6844255.200000003</v>
      </c>
      <c r="AC834" s="1084">
        <v>0</v>
      </c>
      <c r="AD834" s="1084">
        <v>10266382.799999997</v>
      </c>
      <c r="AE834" s="1084"/>
      <c r="AF834" s="1149" t="s">
        <v>1269</v>
      </c>
      <c r="AG834" s="1204" t="s">
        <v>1266</v>
      </c>
      <c r="AH834" s="1204" t="s">
        <v>195</v>
      </c>
      <c r="AI834" s="1204" t="s">
        <v>1097</v>
      </c>
    </row>
    <row r="835" spans="1:36" s="4" customFormat="1" ht="15" customHeight="1">
      <c r="A835" s="1076"/>
      <c r="B835" s="1076"/>
      <c r="C835" s="1076"/>
      <c r="D835" s="1076"/>
      <c r="E835" s="1076"/>
      <c r="F835" s="1076"/>
      <c r="G835" s="1076"/>
      <c r="H835" s="1245"/>
      <c r="I835" s="1123"/>
      <c r="J835" s="1257"/>
      <c r="K835" s="1257"/>
      <c r="L835" s="1257"/>
      <c r="M835" s="1171"/>
      <c r="N835" s="1119"/>
      <c r="O835" s="1119"/>
      <c r="P835" s="1119"/>
      <c r="Q835" s="1257"/>
      <c r="R835" s="1257"/>
      <c r="S835" s="1363"/>
      <c r="T835" s="840" t="s">
        <v>1268</v>
      </c>
      <c r="U835" s="866">
        <v>58176169.200000003</v>
      </c>
      <c r="V835" s="855">
        <v>41842</v>
      </c>
      <c r="W835" s="866" t="s">
        <v>7</v>
      </c>
      <c r="X835" s="1084"/>
      <c r="Y835" s="1215"/>
      <c r="Z835" s="827">
        <v>0</v>
      </c>
      <c r="AA835" s="1084"/>
      <c r="AB835" s="1119"/>
      <c r="AC835" s="1084"/>
      <c r="AD835" s="1084"/>
      <c r="AE835" s="1084"/>
      <c r="AF835" s="1149"/>
      <c r="AG835" s="1204"/>
      <c r="AH835" s="1204"/>
      <c r="AI835" s="1204"/>
    </row>
    <row r="836" spans="1:36" s="4" customFormat="1" ht="15" customHeight="1">
      <c r="A836" s="1076" t="s">
        <v>1257</v>
      </c>
      <c r="B836" s="1076" t="s">
        <v>1270</v>
      </c>
      <c r="C836" s="1076" t="s">
        <v>72</v>
      </c>
      <c r="D836" s="1076" t="s">
        <v>206</v>
      </c>
      <c r="E836" s="1076" t="s">
        <v>66</v>
      </c>
      <c r="F836" s="1076" t="s">
        <v>183</v>
      </c>
      <c r="G836" s="1076" t="s">
        <v>1252</v>
      </c>
      <c r="H836" s="1245">
        <v>174</v>
      </c>
      <c r="I836" s="1123" t="s">
        <v>7</v>
      </c>
      <c r="J836" s="1119">
        <v>70179999</v>
      </c>
      <c r="K836" s="1119">
        <v>70179999</v>
      </c>
      <c r="L836" s="1119">
        <v>70179999</v>
      </c>
      <c r="M836" s="1171">
        <v>40745</v>
      </c>
      <c r="N836" s="1119"/>
      <c r="O836" s="1119"/>
      <c r="P836" s="1119"/>
      <c r="Q836" s="1119">
        <v>70179999</v>
      </c>
      <c r="R836" s="1119">
        <v>70179999</v>
      </c>
      <c r="S836" s="1076" t="s">
        <v>1271</v>
      </c>
      <c r="T836" s="840" t="s">
        <v>1272</v>
      </c>
      <c r="U836" s="866">
        <v>28072000</v>
      </c>
      <c r="V836" s="855">
        <v>41065</v>
      </c>
      <c r="W836" s="866" t="s">
        <v>7</v>
      </c>
      <c r="X836" s="1084">
        <v>70179999</v>
      </c>
      <c r="Y836" s="1215">
        <v>70179999</v>
      </c>
      <c r="Z836" s="827">
        <v>0</v>
      </c>
      <c r="AA836" s="1084">
        <v>0</v>
      </c>
      <c r="AB836" s="1084">
        <v>0</v>
      </c>
      <c r="AC836" s="1084">
        <v>0</v>
      </c>
      <c r="AD836" s="1084">
        <v>0</v>
      </c>
      <c r="AE836" s="1084">
        <v>0</v>
      </c>
      <c r="AF836" s="1149" t="s">
        <v>606</v>
      </c>
      <c r="AG836" s="1149" t="s">
        <v>1277</v>
      </c>
      <c r="AH836" s="1204" t="s">
        <v>195</v>
      </c>
      <c r="AI836" s="1204" t="s">
        <v>1097</v>
      </c>
    </row>
    <row r="837" spans="1:36" s="4" customFormat="1" ht="15" customHeight="1">
      <c r="A837" s="1076"/>
      <c r="B837" s="1076"/>
      <c r="C837" s="1076"/>
      <c r="D837" s="1076"/>
      <c r="E837" s="1076"/>
      <c r="F837" s="1076"/>
      <c r="G837" s="1076"/>
      <c r="H837" s="1245"/>
      <c r="I837" s="1123"/>
      <c r="J837" s="1119"/>
      <c r="K837" s="1119"/>
      <c r="L837" s="1119"/>
      <c r="M837" s="1171"/>
      <c r="N837" s="1119"/>
      <c r="O837" s="1119"/>
      <c r="P837" s="1119"/>
      <c r="Q837" s="1119"/>
      <c r="R837" s="1119"/>
      <c r="S837" s="1076"/>
      <c r="T837" s="840" t="s">
        <v>1273</v>
      </c>
      <c r="U837" s="866">
        <v>36772915.880000003</v>
      </c>
      <c r="V837" s="855"/>
      <c r="W837" s="866" t="s">
        <v>7</v>
      </c>
      <c r="X837" s="1084"/>
      <c r="Y837" s="1215"/>
      <c r="Z837" s="827">
        <v>0</v>
      </c>
      <c r="AA837" s="1084"/>
      <c r="AB837" s="1084"/>
      <c r="AC837" s="1084"/>
      <c r="AD837" s="1084"/>
      <c r="AE837" s="1084"/>
      <c r="AF837" s="1149"/>
      <c r="AG837" s="1149"/>
      <c r="AH837" s="1204"/>
      <c r="AI837" s="1204"/>
    </row>
    <row r="838" spans="1:36" s="4" customFormat="1" ht="15" customHeight="1">
      <c r="A838" s="1076"/>
      <c r="B838" s="1076"/>
      <c r="C838" s="1076"/>
      <c r="D838" s="1076"/>
      <c r="E838" s="1076"/>
      <c r="F838" s="1076"/>
      <c r="G838" s="1076"/>
      <c r="H838" s="1245"/>
      <c r="I838" s="1123"/>
      <c r="J838" s="1119"/>
      <c r="K838" s="1119"/>
      <c r="L838" s="1119"/>
      <c r="M838" s="1171"/>
      <c r="N838" s="1119"/>
      <c r="O838" s="1119"/>
      <c r="P838" s="1119"/>
      <c r="Q838" s="1119"/>
      <c r="R838" s="1119"/>
      <c r="S838" s="1076"/>
      <c r="T838" s="840" t="s">
        <v>1274</v>
      </c>
      <c r="U838" s="866">
        <v>5335083.1199999992</v>
      </c>
      <c r="V838" s="855">
        <v>41862</v>
      </c>
      <c r="W838" s="866" t="s">
        <v>7</v>
      </c>
      <c r="X838" s="1084"/>
      <c r="Y838" s="1215"/>
      <c r="Z838" s="827">
        <v>0</v>
      </c>
      <c r="AA838" s="1084"/>
      <c r="AB838" s="1084"/>
      <c r="AC838" s="1084"/>
      <c r="AD838" s="1084"/>
      <c r="AE838" s="1084"/>
      <c r="AF838" s="1149"/>
      <c r="AG838" s="1149"/>
      <c r="AH838" s="1204"/>
      <c r="AI838" s="1204"/>
    </row>
    <row r="839" spans="1:36" ht="15" customHeight="1">
      <c r="A839" s="1076" t="s">
        <v>1278</v>
      </c>
      <c r="B839" s="1076" t="s">
        <v>1280</v>
      </c>
      <c r="C839" s="1076" t="s">
        <v>72</v>
      </c>
      <c r="D839" s="1076" t="s">
        <v>177</v>
      </c>
      <c r="E839" s="1076" t="s">
        <v>489</v>
      </c>
      <c r="F839" s="1076" t="s">
        <v>50</v>
      </c>
      <c r="G839" s="1076" t="s">
        <v>1284</v>
      </c>
      <c r="H839" s="1360">
        <v>174</v>
      </c>
      <c r="I839" s="1123" t="s">
        <v>7</v>
      </c>
      <c r="J839" s="1119">
        <v>90000000</v>
      </c>
      <c r="K839" s="1119">
        <v>90000000</v>
      </c>
      <c r="L839" s="1119">
        <v>90000000</v>
      </c>
      <c r="M839" s="1171">
        <v>40745</v>
      </c>
      <c r="N839" s="1196"/>
      <c r="O839" s="1196"/>
      <c r="P839" s="1196"/>
      <c r="Q839" s="1119">
        <v>60027680</v>
      </c>
      <c r="R839" s="1119">
        <v>90000000</v>
      </c>
      <c r="S839" s="1076" t="s">
        <v>1271</v>
      </c>
      <c r="T839" s="840" t="s">
        <v>1214</v>
      </c>
      <c r="U839" s="866">
        <v>24011072</v>
      </c>
      <c r="V839" s="855">
        <v>41038</v>
      </c>
      <c r="W839" s="866" t="s">
        <v>7</v>
      </c>
      <c r="X839" s="1084">
        <v>90000000.379999995</v>
      </c>
      <c r="Y839" s="1084">
        <v>90000000.379999995</v>
      </c>
      <c r="Z839" s="827">
        <v>0</v>
      </c>
      <c r="AA839" s="1084">
        <v>-0.37999999523162842</v>
      </c>
      <c r="AB839" s="1119">
        <v>-0.37999999523162842</v>
      </c>
      <c r="AC839" s="1119">
        <v>0</v>
      </c>
      <c r="AD839" s="1119">
        <v>0</v>
      </c>
      <c r="AE839" s="1119">
        <v>0</v>
      </c>
      <c r="AF839" s="1203" t="s">
        <v>1285</v>
      </c>
      <c r="AG839" s="1203" t="s">
        <v>1286</v>
      </c>
      <c r="AH839" s="1203" t="s">
        <v>194</v>
      </c>
      <c r="AI839" s="1203" t="s">
        <v>1097</v>
      </c>
      <c r="AJ839" s="1074" t="s">
        <v>2504</v>
      </c>
    </row>
    <row r="840" spans="1:36" ht="15" customHeight="1">
      <c r="A840" s="1076"/>
      <c r="B840" s="1076"/>
      <c r="C840" s="1076"/>
      <c r="D840" s="1076"/>
      <c r="E840" s="1076"/>
      <c r="F840" s="1076"/>
      <c r="G840" s="1076"/>
      <c r="H840" s="1360"/>
      <c r="I840" s="1123"/>
      <c r="J840" s="1119"/>
      <c r="K840" s="1119"/>
      <c r="L840" s="1119"/>
      <c r="M840" s="1171"/>
      <c r="N840" s="1196"/>
      <c r="O840" s="1196"/>
      <c r="P840" s="1196"/>
      <c r="Q840" s="1119"/>
      <c r="R840" s="1119"/>
      <c r="S840" s="1076"/>
      <c r="T840" s="840" t="s">
        <v>1281</v>
      </c>
      <c r="U840" s="866">
        <v>21746827.91</v>
      </c>
      <c r="V840" s="855">
        <v>41271</v>
      </c>
      <c r="W840" s="866" t="s">
        <v>7</v>
      </c>
      <c r="X840" s="1084"/>
      <c r="Y840" s="1084"/>
      <c r="Z840" s="827">
        <v>0</v>
      </c>
      <c r="AA840" s="1084"/>
      <c r="AB840" s="1119"/>
      <c r="AC840" s="1119"/>
      <c r="AD840" s="1119"/>
      <c r="AE840" s="1119"/>
      <c r="AF840" s="1203"/>
      <c r="AG840" s="1203"/>
      <c r="AH840" s="1203"/>
      <c r="AI840" s="1203"/>
      <c r="AJ840" s="1074"/>
    </row>
    <row r="841" spans="1:36" ht="15" customHeight="1">
      <c r="A841" s="1076"/>
      <c r="B841" s="1076"/>
      <c r="C841" s="1076"/>
      <c r="D841" s="1076"/>
      <c r="E841" s="1076"/>
      <c r="F841" s="1076"/>
      <c r="G841" s="1076"/>
      <c r="H841" s="1360"/>
      <c r="I841" s="1123"/>
      <c r="J841" s="1119"/>
      <c r="K841" s="1119"/>
      <c r="L841" s="1119"/>
      <c r="M841" s="1171"/>
      <c r="N841" s="1196"/>
      <c r="O841" s="1196"/>
      <c r="P841" s="1196"/>
      <c r="Q841" s="1119"/>
      <c r="R841" s="1119"/>
      <c r="S841" s="1076"/>
      <c r="T841" s="1123" t="s">
        <v>1282</v>
      </c>
      <c r="U841" s="866">
        <v>23373427.199999999</v>
      </c>
      <c r="V841" s="1171">
        <v>41424</v>
      </c>
      <c r="W841" s="866" t="s">
        <v>7</v>
      </c>
      <c r="X841" s="1084"/>
      <c r="Y841" s="1084"/>
      <c r="Z841" s="827">
        <v>14269780.09</v>
      </c>
      <c r="AA841" s="1084"/>
      <c r="AB841" s="1119"/>
      <c r="AC841" s="1119"/>
      <c r="AD841" s="1119"/>
      <c r="AE841" s="1119"/>
      <c r="AF841" s="1203"/>
      <c r="AG841" s="1203"/>
      <c r="AH841" s="1203"/>
      <c r="AI841" s="1203"/>
      <c r="AJ841" s="1074"/>
    </row>
    <row r="842" spans="1:36" ht="15" customHeight="1">
      <c r="A842" s="1076"/>
      <c r="B842" s="1076"/>
      <c r="C842" s="1076"/>
      <c r="D842" s="1076"/>
      <c r="E842" s="1076" t="s">
        <v>67</v>
      </c>
      <c r="F842" s="1076"/>
      <c r="G842" s="1076"/>
      <c r="H842" s="1360"/>
      <c r="I842" s="1123"/>
      <c r="J842" s="1119"/>
      <c r="K842" s="1119"/>
      <c r="L842" s="1119"/>
      <c r="M842" s="1171"/>
      <c r="N842" s="1196"/>
      <c r="O842" s="1196"/>
      <c r="P842" s="1196"/>
      <c r="Q842" s="1119">
        <v>29972320</v>
      </c>
      <c r="R842" s="1119"/>
      <c r="S842" s="1076"/>
      <c r="T842" s="1123"/>
      <c r="U842" s="866">
        <v>14269780.470000001</v>
      </c>
      <c r="V842" s="1171"/>
      <c r="W842" s="866" t="s">
        <v>7</v>
      </c>
      <c r="X842" s="1084"/>
      <c r="Y842" s="1084"/>
      <c r="Z842" s="827">
        <v>-14269780.470000001</v>
      </c>
      <c r="AA842" s="1084"/>
      <c r="AB842" s="1119"/>
      <c r="AC842" s="1119"/>
      <c r="AD842" s="1119"/>
      <c r="AE842" s="1119"/>
      <c r="AF842" s="1203"/>
      <c r="AG842" s="1203"/>
      <c r="AH842" s="1203"/>
      <c r="AI842" s="1203"/>
      <c r="AJ842" s="1074"/>
    </row>
    <row r="843" spans="1:36" ht="15" customHeight="1">
      <c r="A843" s="1076"/>
      <c r="B843" s="1076"/>
      <c r="C843" s="1076"/>
      <c r="D843" s="1076"/>
      <c r="E843" s="1076"/>
      <c r="F843" s="1076"/>
      <c r="G843" s="1076"/>
      <c r="H843" s="1360"/>
      <c r="I843" s="1123"/>
      <c r="J843" s="1119"/>
      <c r="K843" s="1119"/>
      <c r="L843" s="1119"/>
      <c r="M843" s="1171"/>
      <c r="N843" s="1196"/>
      <c r="O843" s="1196"/>
      <c r="P843" s="1196"/>
      <c r="Q843" s="1119"/>
      <c r="R843" s="1119"/>
      <c r="S843" s="1076"/>
      <c r="T843" s="840" t="s">
        <v>1283</v>
      </c>
      <c r="U843" s="866">
        <v>6598892.7999999998</v>
      </c>
      <c r="V843" s="855">
        <v>40482</v>
      </c>
      <c r="W843" s="866"/>
      <c r="X843" s="1084"/>
      <c r="Y843" s="1084"/>
      <c r="Z843" s="827">
        <v>0</v>
      </c>
      <c r="AA843" s="1084"/>
      <c r="AB843" s="1119"/>
      <c r="AC843" s="1119"/>
      <c r="AD843" s="1119"/>
      <c r="AE843" s="1119"/>
      <c r="AF843" s="1203"/>
      <c r="AG843" s="1203"/>
      <c r="AH843" s="1203"/>
      <c r="AI843" s="1203"/>
      <c r="AJ843" s="1074"/>
    </row>
    <row r="844" spans="1:36" ht="15" customHeight="1">
      <c r="A844" s="1076" t="s">
        <v>1287</v>
      </c>
      <c r="B844" s="1076" t="s">
        <v>1288</v>
      </c>
      <c r="C844" s="1076" t="s">
        <v>72</v>
      </c>
      <c r="D844" s="1076" t="s">
        <v>206</v>
      </c>
      <c r="E844" s="1076" t="s">
        <v>66</v>
      </c>
      <c r="F844" s="1076" t="s">
        <v>49</v>
      </c>
      <c r="G844" s="1076" t="s">
        <v>1290</v>
      </c>
      <c r="H844" s="1245">
        <v>174</v>
      </c>
      <c r="I844" s="1123" t="s">
        <v>7</v>
      </c>
      <c r="J844" s="1119">
        <v>47120360</v>
      </c>
      <c r="K844" s="1119">
        <v>47120360</v>
      </c>
      <c r="L844" s="1119">
        <v>47120360</v>
      </c>
      <c r="M844" s="1171">
        <v>40745</v>
      </c>
      <c r="N844" s="1196"/>
      <c r="O844" s="1119"/>
      <c r="P844" s="1119"/>
      <c r="Q844" s="1119">
        <v>47120360</v>
      </c>
      <c r="R844" s="1119">
        <v>47120360</v>
      </c>
      <c r="S844" s="1076" t="s">
        <v>1289</v>
      </c>
      <c r="T844" s="840" t="s">
        <v>1291</v>
      </c>
      <c r="U844" s="866">
        <v>18848144</v>
      </c>
      <c r="V844" s="855">
        <v>41038</v>
      </c>
      <c r="W844" s="866" t="s">
        <v>7</v>
      </c>
      <c r="X844" s="1084">
        <v>44293138.399999999</v>
      </c>
      <c r="Y844" s="1084">
        <v>44293138.399999999</v>
      </c>
      <c r="Z844" s="827">
        <v>0</v>
      </c>
      <c r="AA844" s="1084">
        <v>2827221.6000000015</v>
      </c>
      <c r="AB844" s="1119">
        <v>-1884814.3999999985</v>
      </c>
      <c r="AC844" s="1119">
        <v>0</v>
      </c>
      <c r="AD844" s="1119">
        <v>2827221.6000000015</v>
      </c>
      <c r="AE844" s="1119"/>
      <c r="AF844" s="1203" t="s">
        <v>1294</v>
      </c>
      <c r="AG844" s="1204" t="s">
        <v>1295</v>
      </c>
      <c r="AH844" s="1204" t="s">
        <v>194</v>
      </c>
      <c r="AI844" s="1204" t="s">
        <v>1097</v>
      </c>
    </row>
    <row r="845" spans="1:36" ht="15" customHeight="1">
      <c r="A845" s="1076"/>
      <c r="B845" s="1076"/>
      <c r="C845" s="1076"/>
      <c r="D845" s="1076"/>
      <c r="E845" s="1076"/>
      <c r="F845" s="1076"/>
      <c r="G845" s="1076"/>
      <c r="H845" s="1245"/>
      <c r="I845" s="1123"/>
      <c r="J845" s="1119"/>
      <c r="K845" s="1119"/>
      <c r="L845" s="1119"/>
      <c r="M845" s="1171"/>
      <c r="N845" s="1196"/>
      <c r="O845" s="1119"/>
      <c r="P845" s="1119"/>
      <c r="Q845" s="1119"/>
      <c r="R845" s="1119"/>
      <c r="S845" s="1076"/>
      <c r="T845" s="840" t="s">
        <v>1292</v>
      </c>
      <c r="U845" s="866">
        <v>15628881.01</v>
      </c>
      <c r="V845" s="855">
        <v>41255</v>
      </c>
      <c r="W845" s="866" t="s">
        <v>7</v>
      </c>
      <c r="X845" s="1084"/>
      <c r="Y845" s="1084"/>
      <c r="Z845" s="827">
        <v>0</v>
      </c>
      <c r="AA845" s="1084"/>
      <c r="AB845" s="1119"/>
      <c r="AC845" s="1119"/>
      <c r="AD845" s="1119"/>
      <c r="AE845" s="1119"/>
      <c r="AF845" s="1203"/>
      <c r="AG845" s="1204"/>
      <c r="AH845" s="1204"/>
      <c r="AI845" s="1204"/>
    </row>
    <row r="846" spans="1:36" ht="15" customHeight="1">
      <c r="A846" s="1076"/>
      <c r="B846" s="1076"/>
      <c r="C846" s="1076"/>
      <c r="D846" s="1076"/>
      <c r="E846" s="1076"/>
      <c r="F846" s="1076"/>
      <c r="G846" s="1076"/>
      <c r="H846" s="1245"/>
      <c r="I846" s="1123"/>
      <c r="J846" s="1119"/>
      <c r="K846" s="1119"/>
      <c r="L846" s="1119"/>
      <c r="M846" s="1171"/>
      <c r="N846" s="1196"/>
      <c r="O846" s="1119"/>
      <c r="P846" s="1119"/>
      <c r="Q846" s="1119"/>
      <c r="R846" s="1119"/>
      <c r="S846" s="1076"/>
      <c r="T846" s="840" t="s">
        <v>1293</v>
      </c>
      <c r="U846" s="866">
        <v>9816113.3900000006</v>
      </c>
      <c r="V846" s="855">
        <v>41682</v>
      </c>
      <c r="W846" s="866" t="s">
        <v>7</v>
      </c>
      <c r="X846" s="1084"/>
      <c r="Y846" s="1084"/>
      <c r="Z846" s="827">
        <v>0</v>
      </c>
      <c r="AA846" s="1084"/>
      <c r="AB846" s="1119"/>
      <c r="AC846" s="1119"/>
      <c r="AD846" s="1119"/>
      <c r="AE846" s="1119"/>
      <c r="AF846" s="1203"/>
      <c r="AG846" s="1204"/>
      <c r="AH846" s="1204"/>
      <c r="AI846" s="1204"/>
    </row>
    <row r="847" spans="1:36" ht="15" customHeight="1">
      <c r="A847" s="1076"/>
      <c r="B847" s="1076"/>
      <c r="C847" s="1076"/>
      <c r="D847" s="1076"/>
      <c r="E847" s="1076"/>
      <c r="F847" s="1076"/>
      <c r="G847" s="1076"/>
      <c r="H847" s="1245"/>
      <c r="I847" s="1123"/>
      <c r="J847" s="1119"/>
      <c r="K847" s="1119"/>
      <c r="L847" s="1119"/>
      <c r="M847" s="1171"/>
      <c r="N847" s="1196"/>
      <c r="O847" s="1119"/>
      <c r="P847" s="1119"/>
      <c r="Q847" s="1119"/>
      <c r="R847" s="1119"/>
      <c r="S847" s="1076"/>
      <c r="T847" s="840"/>
      <c r="U847" s="866"/>
      <c r="V847" s="855"/>
      <c r="W847" s="866"/>
      <c r="X847" s="1084"/>
      <c r="Y847" s="1084"/>
      <c r="Z847" s="827">
        <v>0</v>
      </c>
      <c r="AA847" s="1084"/>
      <c r="AB847" s="1119"/>
      <c r="AC847" s="1119"/>
      <c r="AD847" s="1119"/>
      <c r="AE847" s="1119"/>
      <c r="AF847" s="1203"/>
      <c r="AG847" s="1204"/>
      <c r="AH847" s="1204"/>
      <c r="AI847" s="1204"/>
    </row>
    <row r="848" spans="1:36" ht="15" customHeight="1">
      <c r="A848" s="1076" t="s">
        <v>1296</v>
      </c>
      <c r="B848" s="1076" t="s">
        <v>1298</v>
      </c>
      <c r="C848" s="1076" t="s">
        <v>72</v>
      </c>
      <c r="D848" s="1076" t="s">
        <v>206</v>
      </c>
      <c r="E848" s="1076" t="s">
        <v>66</v>
      </c>
      <c r="F848" s="1076" t="s">
        <v>50</v>
      </c>
      <c r="G848" s="1076" t="s">
        <v>1302</v>
      </c>
      <c r="H848" s="1245">
        <v>174</v>
      </c>
      <c r="I848" s="1123" t="s">
        <v>7</v>
      </c>
      <c r="J848" s="1119">
        <v>68874999</v>
      </c>
      <c r="K848" s="1119">
        <v>68874999</v>
      </c>
      <c r="L848" s="1119">
        <v>68874999</v>
      </c>
      <c r="M848" s="1171">
        <v>40745</v>
      </c>
      <c r="N848" s="1196"/>
      <c r="O848" s="1196"/>
      <c r="P848" s="1196"/>
      <c r="Q848" s="1119">
        <v>68874999</v>
      </c>
      <c r="R848" s="1119">
        <v>68874999</v>
      </c>
      <c r="S848" s="1076" t="s">
        <v>1271</v>
      </c>
      <c r="T848" s="840" t="s">
        <v>1299</v>
      </c>
      <c r="U848" s="866">
        <v>27550000</v>
      </c>
      <c r="V848" s="855">
        <v>41068</v>
      </c>
      <c r="W848" s="866" t="s">
        <v>7</v>
      </c>
      <c r="X848" s="1084">
        <v>64742499.460000008</v>
      </c>
      <c r="Y848" s="1084">
        <v>64742499.460000008</v>
      </c>
      <c r="Z848" s="827">
        <v>0</v>
      </c>
      <c r="AA848" s="1084">
        <v>4132499.5399999917</v>
      </c>
      <c r="AB848" s="1119">
        <v>4132499.5399999917</v>
      </c>
      <c r="AC848" s="1119">
        <v>0</v>
      </c>
      <c r="AD848" s="1119">
        <v>0</v>
      </c>
      <c r="AE848" s="1119">
        <v>0</v>
      </c>
      <c r="AF848" s="1203" t="s">
        <v>1303</v>
      </c>
      <c r="AG848" s="1237" t="s">
        <v>1304</v>
      </c>
      <c r="AH848" s="1204" t="s">
        <v>194</v>
      </c>
      <c r="AI848" s="1204" t="s">
        <v>1097</v>
      </c>
      <c r="AJ848" s="1074" t="s">
        <v>2504</v>
      </c>
    </row>
    <row r="849" spans="1:36" ht="15" customHeight="1">
      <c r="A849" s="1076"/>
      <c r="B849" s="1076"/>
      <c r="C849" s="1076"/>
      <c r="D849" s="1076"/>
      <c r="E849" s="1076"/>
      <c r="F849" s="1076"/>
      <c r="G849" s="1076"/>
      <c r="H849" s="1245"/>
      <c r="I849" s="1123"/>
      <c r="J849" s="1119"/>
      <c r="K849" s="1119"/>
      <c r="L849" s="1119"/>
      <c r="M849" s="1171"/>
      <c r="N849" s="1196"/>
      <c r="O849" s="1196"/>
      <c r="P849" s="1196"/>
      <c r="Q849" s="1119"/>
      <c r="R849" s="1119"/>
      <c r="S849" s="1076"/>
      <c r="T849" s="840" t="s">
        <v>1300</v>
      </c>
      <c r="U849" s="866">
        <v>26427337.120000001</v>
      </c>
      <c r="V849" s="855">
        <v>41598</v>
      </c>
      <c r="W849" s="866" t="s">
        <v>7</v>
      </c>
      <c r="X849" s="1084"/>
      <c r="Y849" s="1084"/>
      <c r="Z849" s="827">
        <v>0</v>
      </c>
      <c r="AA849" s="1084"/>
      <c r="AB849" s="1119"/>
      <c r="AC849" s="1119"/>
      <c r="AD849" s="1119"/>
      <c r="AE849" s="1119"/>
      <c r="AF849" s="1203"/>
      <c r="AG849" s="1204"/>
      <c r="AH849" s="1204"/>
      <c r="AI849" s="1204"/>
      <c r="AJ849" s="1074"/>
    </row>
    <row r="850" spans="1:36" ht="15" customHeight="1">
      <c r="A850" s="1076"/>
      <c r="B850" s="1076"/>
      <c r="C850" s="1076"/>
      <c r="D850" s="1076"/>
      <c r="E850" s="1076"/>
      <c r="F850" s="1076"/>
      <c r="G850" s="1076"/>
      <c r="H850" s="1245"/>
      <c r="I850" s="1123"/>
      <c r="J850" s="1119"/>
      <c r="K850" s="1119"/>
      <c r="L850" s="1119"/>
      <c r="M850" s="1171"/>
      <c r="N850" s="1196"/>
      <c r="O850" s="1196"/>
      <c r="P850" s="1196"/>
      <c r="Q850" s="1119"/>
      <c r="R850" s="1119"/>
      <c r="S850" s="1076"/>
      <c r="T850" s="840" t="s">
        <v>1301</v>
      </c>
      <c r="U850" s="866">
        <v>10765162.34</v>
      </c>
      <c r="V850" s="855">
        <v>41862</v>
      </c>
      <c r="W850" s="866" t="s">
        <v>7</v>
      </c>
      <c r="X850" s="1084"/>
      <c r="Y850" s="1084"/>
      <c r="Z850" s="827">
        <v>0</v>
      </c>
      <c r="AA850" s="1084"/>
      <c r="AB850" s="1119"/>
      <c r="AC850" s="1119"/>
      <c r="AD850" s="1119"/>
      <c r="AE850" s="1119"/>
      <c r="AF850" s="1203"/>
      <c r="AG850" s="1204"/>
      <c r="AH850" s="1204"/>
      <c r="AI850" s="1204"/>
      <c r="AJ850" s="1074"/>
    </row>
    <row r="851" spans="1:36" ht="15" customHeight="1">
      <c r="A851" s="1076"/>
      <c r="B851" s="1076"/>
      <c r="C851" s="1076"/>
      <c r="D851" s="1076"/>
      <c r="E851" s="1076"/>
      <c r="F851" s="1076"/>
      <c r="G851" s="1076"/>
      <c r="H851" s="1245"/>
      <c r="I851" s="1123"/>
      <c r="J851" s="1119"/>
      <c r="K851" s="1119"/>
      <c r="L851" s="1119"/>
      <c r="M851" s="1171"/>
      <c r="N851" s="1196"/>
      <c r="O851" s="1196"/>
      <c r="P851" s="1196"/>
      <c r="Q851" s="1119"/>
      <c r="R851" s="1119"/>
      <c r="S851" s="1076"/>
      <c r="T851" s="840" t="s">
        <v>1302</v>
      </c>
      <c r="U851" s="866">
        <v>0</v>
      </c>
      <c r="V851" s="855"/>
      <c r="W851" s="866" t="s">
        <v>7</v>
      </c>
      <c r="X851" s="1084"/>
      <c r="Y851" s="1084"/>
      <c r="Z851" s="827">
        <v>4132499.5400000024</v>
      </c>
      <c r="AA851" s="1084"/>
      <c r="AB851" s="1119"/>
      <c r="AC851" s="1119"/>
      <c r="AD851" s="1119"/>
      <c r="AE851" s="1119"/>
      <c r="AF851" s="1203"/>
      <c r="AG851" s="1204"/>
      <c r="AH851" s="1204"/>
      <c r="AI851" s="1204"/>
      <c r="AJ851" s="1074"/>
    </row>
    <row r="852" spans="1:36" ht="15" customHeight="1">
      <c r="A852" s="1076" t="s">
        <v>1305</v>
      </c>
      <c r="B852" s="1076" t="s">
        <v>1307</v>
      </c>
      <c r="C852" s="1076" t="s">
        <v>72</v>
      </c>
      <c r="D852" s="1076" t="s">
        <v>206</v>
      </c>
      <c r="E852" s="1076" t="s">
        <v>66</v>
      </c>
      <c r="F852" s="1076" t="s">
        <v>49</v>
      </c>
      <c r="G852" s="1076" t="s">
        <v>1308</v>
      </c>
      <c r="H852" s="1245">
        <v>174</v>
      </c>
      <c r="I852" s="1123" t="s">
        <v>7</v>
      </c>
      <c r="J852" s="1119">
        <v>63333680</v>
      </c>
      <c r="K852" s="1119">
        <v>63333680</v>
      </c>
      <c r="L852" s="1119">
        <v>63333680</v>
      </c>
      <c r="M852" s="1171">
        <v>40745</v>
      </c>
      <c r="N852" s="1196"/>
      <c r="O852" s="1119"/>
      <c r="P852" s="1119"/>
      <c r="Q852" s="1119">
        <v>63333680</v>
      </c>
      <c r="R852" s="1119">
        <v>63333680</v>
      </c>
      <c r="S852" s="1076" t="s">
        <v>1271</v>
      </c>
      <c r="T852" s="840" t="s">
        <v>1309</v>
      </c>
      <c r="U852" s="866">
        <v>25333472</v>
      </c>
      <c r="V852" s="855">
        <v>41037</v>
      </c>
      <c r="W852" s="866" t="s">
        <v>7</v>
      </c>
      <c r="X852" s="1084">
        <v>52074218.370000005</v>
      </c>
      <c r="Y852" s="1084">
        <v>52074218.370000005</v>
      </c>
      <c r="Z852" s="827">
        <v>0</v>
      </c>
      <c r="AA852" s="1084">
        <v>11259461.629999999</v>
      </c>
      <c r="AB852" s="1119">
        <v>-7506307.7500000075</v>
      </c>
      <c r="AC852" s="1119">
        <v>0</v>
      </c>
      <c r="AD852" s="1119">
        <v>11259461.629999995</v>
      </c>
      <c r="AE852" s="1119"/>
      <c r="AF852" s="1203" t="s">
        <v>1303</v>
      </c>
      <c r="AG852" s="1237" t="s">
        <v>1519</v>
      </c>
      <c r="AH852" s="1204" t="s">
        <v>194</v>
      </c>
      <c r="AI852" s="1204" t="s">
        <v>1097</v>
      </c>
    </row>
    <row r="853" spans="1:36" ht="15" customHeight="1">
      <c r="A853" s="1076"/>
      <c r="B853" s="1076"/>
      <c r="C853" s="1076"/>
      <c r="D853" s="1076"/>
      <c r="E853" s="1076"/>
      <c r="F853" s="1076"/>
      <c r="G853" s="1076"/>
      <c r="H853" s="1245"/>
      <c r="I853" s="1123"/>
      <c r="J853" s="1119"/>
      <c r="K853" s="1119"/>
      <c r="L853" s="1119"/>
      <c r="M853" s="1171"/>
      <c r="N853" s="1196"/>
      <c r="O853" s="1119"/>
      <c r="P853" s="1119"/>
      <c r="Q853" s="1119"/>
      <c r="R853" s="1119"/>
      <c r="S853" s="1076"/>
      <c r="T853" s="840" t="s">
        <v>1310</v>
      </c>
      <c r="U853" s="866">
        <v>26740746.370000001</v>
      </c>
      <c r="V853" s="855">
        <v>41423</v>
      </c>
      <c r="W853" s="866" t="s">
        <v>7</v>
      </c>
      <c r="X853" s="1084"/>
      <c r="Y853" s="1084"/>
      <c r="Z853" s="827">
        <v>0</v>
      </c>
      <c r="AA853" s="1084"/>
      <c r="AB853" s="1119"/>
      <c r="AC853" s="1119"/>
      <c r="AD853" s="1119"/>
      <c r="AE853" s="1119"/>
      <c r="AF853" s="1203"/>
      <c r="AG853" s="1204"/>
      <c r="AH853" s="1204"/>
      <c r="AI853" s="1204"/>
    </row>
    <row r="854" spans="1:36" ht="15" customHeight="1">
      <c r="A854" s="1076"/>
      <c r="B854" s="1076"/>
      <c r="C854" s="1076"/>
      <c r="D854" s="1076"/>
      <c r="E854" s="1076"/>
      <c r="F854" s="1076"/>
      <c r="G854" s="1076"/>
      <c r="H854" s="1245"/>
      <c r="I854" s="1123"/>
      <c r="J854" s="1119"/>
      <c r="K854" s="1119"/>
      <c r="L854" s="1119"/>
      <c r="M854" s="1171"/>
      <c r="N854" s="1196"/>
      <c r="O854" s="1119"/>
      <c r="P854" s="1119"/>
      <c r="Q854" s="1119"/>
      <c r="R854" s="1119"/>
      <c r="S854" s="1076"/>
      <c r="T854" s="840"/>
      <c r="U854" s="866">
        <v>0</v>
      </c>
      <c r="V854" s="855"/>
      <c r="W854" s="866" t="s">
        <v>7</v>
      </c>
      <c r="X854" s="1084"/>
      <c r="Y854" s="1084"/>
      <c r="Z854" s="827">
        <v>0</v>
      </c>
      <c r="AA854" s="1084"/>
      <c r="AB854" s="1119"/>
      <c r="AC854" s="1119"/>
      <c r="AD854" s="1119"/>
      <c r="AE854" s="1119"/>
      <c r="AF854" s="1203"/>
      <c r="AG854" s="1204"/>
      <c r="AH854" s="1204"/>
      <c r="AI854" s="1204"/>
    </row>
    <row r="855" spans="1:36" ht="15" customHeight="1">
      <c r="A855" s="1076" t="s">
        <v>1311</v>
      </c>
      <c r="B855" s="1076" t="s">
        <v>1313</v>
      </c>
      <c r="C855" s="1076" t="s">
        <v>72</v>
      </c>
      <c r="D855" s="1076" t="s">
        <v>206</v>
      </c>
      <c r="E855" s="1076" t="s">
        <v>66</v>
      </c>
      <c r="F855" s="1076" t="s">
        <v>49</v>
      </c>
      <c r="G855" s="1076" t="s">
        <v>1315</v>
      </c>
      <c r="H855" s="1245">
        <v>174</v>
      </c>
      <c r="I855" s="1123" t="s">
        <v>7</v>
      </c>
      <c r="J855" s="1119">
        <v>90044999</v>
      </c>
      <c r="K855" s="1119">
        <v>90044999</v>
      </c>
      <c r="L855" s="1119">
        <v>90044999</v>
      </c>
      <c r="M855" s="1171">
        <v>40745</v>
      </c>
      <c r="N855" s="1196"/>
      <c r="O855" s="1119"/>
      <c r="P855" s="1119"/>
      <c r="Q855" s="1119">
        <v>90044999</v>
      </c>
      <c r="R855" s="1119">
        <v>90044999</v>
      </c>
      <c r="S855" s="1076" t="s">
        <v>1271</v>
      </c>
      <c r="T855" s="840" t="s">
        <v>1299</v>
      </c>
      <c r="U855" s="866">
        <v>36018000</v>
      </c>
      <c r="V855" s="855">
        <v>41065</v>
      </c>
      <c r="W855" s="866" t="s">
        <v>7</v>
      </c>
      <c r="X855" s="1084">
        <v>84642299.460000008</v>
      </c>
      <c r="Y855" s="1084">
        <v>84642299.460000008</v>
      </c>
      <c r="Z855" s="827">
        <v>0</v>
      </c>
      <c r="AA855" s="1084">
        <v>5402699.5399999917</v>
      </c>
      <c r="AB855" s="1119">
        <v>-3601800.3600000143</v>
      </c>
      <c r="AC855" s="1119">
        <v>0</v>
      </c>
      <c r="AD855" s="1119">
        <v>5402699.5399999917</v>
      </c>
      <c r="AE855" s="1119"/>
      <c r="AF855" s="1203" t="s">
        <v>1303</v>
      </c>
      <c r="AG855" s="1204" t="s">
        <v>1316</v>
      </c>
      <c r="AH855" s="1204" t="s">
        <v>194</v>
      </c>
      <c r="AI855" s="1204" t="s">
        <v>1097</v>
      </c>
    </row>
    <row r="856" spans="1:36" ht="15" customHeight="1">
      <c r="A856" s="1076"/>
      <c r="B856" s="1076"/>
      <c r="C856" s="1076"/>
      <c r="D856" s="1076"/>
      <c r="E856" s="1076"/>
      <c r="F856" s="1076"/>
      <c r="G856" s="1076"/>
      <c r="H856" s="1245"/>
      <c r="I856" s="1123"/>
      <c r="J856" s="1119"/>
      <c r="K856" s="1119"/>
      <c r="L856" s="1119"/>
      <c r="M856" s="1171"/>
      <c r="N856" s="1196"/>
      <c r="O856" s="1119"/>
      <c r="P856" s="1119"/>
      <c r="Q856" s="1119"/>
      <c r="R856" s="1119"/>
      <c r="S856" s="1076"/>
      <c r="T856" s="840" t="s">
        <v>1314</v>
      </c>
      <c r="U856" s="866">
        <v>48624299.460000001</v>
      </c>
      <c r="V856" s="855">
        <v>41904</v>
      </c>
      <c r="W856" s="866" t="s">
        <v>7</v>
      </c>
      <c r="X856" s="1084"/>
      <c r="Y856" s="1084"/>
      <c r="Z856" s="827">
        <v>0</v>
      </c>
      <c r="AA856" s="1084"/>
      <c r="AB856" s="1119"/>
      <c r="AC856" s="1119"/>
      <c r="AD856" s="1119"/>
      <c r="AE856" s="1119"/>
      <c r="AF856" s="1203"/>
      <c r="AG856" s="1204"/>
      <c r="AH856" s="1204"/>
      <c r="AI856" s="1204"/>
    </row>
    <row r="857" spans="1:36" ht="15" customHeight="1">
      <c r="A857" s="1076"/>
      <c r="B857" s="1076"/>
      <c r="C857" s="1076"/>
      <c r="D857" s="1076"/>
      <c r="E857" s="1076"/>
      <c r="F857" s="1076"/>
      <c r="G857" s="1076"/>
      <c r="H857" s="1245"/>
      <c r="I857" s="1123"/>
      <c r="J857" s="1119"/>
      <c r="K857" s="1119"/>
      <c r="L857" s="1119"/>
      <c r="M857" s="1171"/>
      <c r="N857" s="1196"/>
      <c r="O857" s="1119"/>
      <c r="P857" s="1119"/>
      <c r="Q857" s="1119"/>
      <c r="R857" s="1119"/>
      <c r="S857" s="1076"/>
      <c r="T857" s="840"/>
      <c r="U857" s="866">
        <v>0</v>
      </c>
      <c r="V857" s="855"/>
      <c r="W857" s="866" t="s">
        <v>7</v>
      </c>
      <c r="X857" s="1084"/>
      <c r="Y857" s="1084"/>
      <c r="Z857" s="827">
        <v>0</v>
      </c>
      <c r="AA857" s="1084"/>
      <c r="AB857" s="1119"/>
      <c r="AC857" s="1119"/>
      <c r="AD857" s="1119"/>
      <c r="AE857" s="1119"/>
      <c r="AF857" s="1203"/>
      <c r="AG857" s="1204"/>
      <c r="AH857" s="1204"/>
      <c r="AI857" s="1204"/>
    </row>
    <row r="858" spans="1:36" ht="15" customHeight="1">
      <c r="A858" s="1076" t="s">
        <v>1317</v>
      </c>
      <c r="B858" s="1076" t="s">
        <v>1318</v>
      </c>
      <c r="C858" s="1076" t="s">
        <v>72</v>
      </c>
      <c r="D858" s="1076" t="s">
        <v>177</v>
      </c>
      <c r="E858" s="1076" t="s">
        <v>489</v>
      </c>
      <c r="F858" s="1076" t="s">
        <v>49</v>
      </c>
      <c r="G858" s="1076" t="s">
        <v>1319</v>
      </c>
      <c r="H858" s="1245">
        <v>174</v>
      </c>
      <c r="I858" s="1123" t="s">
        <v>7</v>
      </c>
      <c r="J858" s="1119">
        <v>42229104</v>
      </c>
      <c r="K858" s="1119">
        <v>42229104</v>
      </c>
      <c r="L858" s="1119">
        <v>42229104</v>
      </c>
      <c r="M858" s="1171">
        <v>40745</v>
      </c>
      <c r="N858" s="1196"/>
      <c r="O858" s="1119"/>
      <c r="P858" s="1119"/>
      <c r="Q858" s="1119">
        <v>42229104</v>
      </c>
      <c r="R858" s="1119">
        <v>42229104</v>
      </c>
      <c r="S858" s="1076" t="s">
        <v>1271</v>
      </c>
      <c r="T858" s="840" t="s">
        <v>1320</v>
      </c>
      <c r="U858" s="866">
        <v>16891642</v>
      </c>
      <c r="V858" s="855">
        <v>41040</v>
      </c>
      <c r="W858" s="866" t="s">
        <v>7</v>
      </c>
      <c r="X858" s="1084">
        <v>16891642</v>
      </c>
      <c r="Y858" s="1084">
        <v>16891642</v>
      </c>
      <c r="Z858" s="827">
        <v>-0.39999999850988388</v>
      </c>
      <c r="AA858" s="1084">
        <v>25337462</v>
      </c>
      <c r="AB858" s="1119">
        <v>-16891642</v>
      </c>
      <c r="AC858" s="1119">
        <v>0</v>
      </c>
      <c r="AD858" s="1119">
        <v>25337462</v>
      </c>
      <c r="AE858" s="1119"/>
      <c r="AF858" s="1203" t="s">
        <v>1321</v>
      </c>
      <c r="AG858" s="1204" t="s">
        <v>1322</v>
      </c>
      <c r="AH858" s="1204" t="s">
        <v>194</v>
      </c>
      <c r="AI858" s="1204" t="s">
        <v>1097</v>
      </c>
    </row>
    <row r="859" spans="1:36" ht="15" customHeight="1">
      <c r="A859" s="1076"/>
      <c r="B859" s="1076"/>
      <c r="C859" s="1076"/>
      <c r="D859" s="1076"/>
      <c r="E859" s="1076"/>
      <c r="F859" s="1076"/>
      <c r="G859" s="1076"/>
      <c r="H859" s="1245"/>
      <c r="I859" s="1123"/>
      <c r="J859" s="1119"/>
      <c r="K859" s="1119"/>
      <c r="L859" s="1119"/>
      <c r="M859" s="1171"/>
      <c r="N859" s="1196"/>
      <c r="O859" s="1119"/>
      <c r="P859" s="1119"/>
      <c r="Q859" s="1119"/>
      <c r="R859" s="1119"/>
      <c r="S859" s="1076"/>
      <c r="T859" s="840"/>
      <c r="U859" s="866"/>
      <c r="V859" s="855"/>
      <c r="W859" s="866"/>
      <c r="X859" s="1084"/>
      <c r="Y859" s="1084"/>
      <c r="Z859" s="827">
        <v>0</v>
      </c>
      <c r="AA859" s="1084"/>
      <c r="AB859" s="1119"/>
      <c r="AC859" s="1119"/>
      <c r="AD859" s="1119"/>
      <c r="AE859" s="1119"/>
      <c r="AF859" s="1203"/>
      <c r="AG859" s="1204"/>
      <c r="AH859" s="1204"/>
      <c r="AI859" s="1204"/>
    </row>
    <row r="860" spans="1:36" ht="15" customHeight="1">
      <c r="A860" s="1076"/>
      <c r="B860" s="1076"/>
      <c r="C860" s="1076"/>
      <c r="D860" s="1076"/>
      <c r="E860" s="1076"/>
      <c r="F860" s="1076"/>
      <c r="G860" s="1076"/>
      <c r="H860" s="1245"/>
      <c r="I860" s="1123"/>
      <c r="J860" s="1119"/>
      <c r="K860" s="1119"/>
      <c r="L860" s="1119"/>
      <c r="M860" s="1171"/>
      <c r="N860" s="1196"/>
      <c r="O860" s="1119"/>
      <c r="P860" s="1119"/>
      <c r="Q860" s="1119"/>
      <c r="R860" s="1119"/>
      <c r="S860" s="1076"/>
      <c r="T860" s="840"/>
      <c r="U860" s="866"/>
      <c r="V860" s="855"/>
      <c r="W860" s="866"/>
      <c r="X860" s="1084"/>
      <c r="Y860" s="1084"/>
      <c r="Z860" s="827">
        <v>0</v>
      </c>
      <c r="AA860" s="1084"/>
      <c r="AB860" s="1119"/>
      <c r="AC860" s="1119"/>
      <c r="AD860" s="1119"/>
      <c r="AE860" s="1119"/>
      <c r="AF860" s="1203"/>
      <c r="AG860" s="1204"/>
      <c r="AH860" s="1204"/>
      <c r="AI860" s="1204"/>
    </row>
    <row r="861" spans="1:36" ht="15" customHeight="1">
      <c r="A861" s="823" t="s">
        <v>1323</v>
      </c>
      <c r="B861" s="823" t="s">
        <v>1324</v>
      </c>
      <c r="C861" s="823" t="s">
        <v>72</v>
      </c>
      <c r="D861" s="823" t="s">
        <v>206</v>
      </c>
      <c r="E861" s="823" t="s">
        <v>66</v>
      </c>
      <c r="F861" s="823" t="s">
        <v>1326</v>
      </c>
      <c r="G861" s="823" t="s">
        <v>1325</v>
      </c>
      <c r="H861" s="876">
        <v>174</v>
      </c>
      <c r="I861" s="840" t="s">
        <v>7</v>
      </c>
      <c r="J861" s="858">
        <v>0</v>
      </c>
      <c r="K861" s="858">
        <v>0</v>
      </c>
      <c r="L861" s="858">
        <v>0</v>
      </c>
      <c r="M861" s="855">
        <v>40745</v>
      </c>
      <c r="N861" s="862"/>
      <c r="O861" s="858"/>
      <c r="P861" s="858"/>
      <c r="Q861" s="858">
        <v>80167600</v>
      </c>
      <c r="R861" s="858">
        <v>80167600</v>
      </c>
      <c r="S861" s="823" t="s">
        <v>1271</v>
      </c>
      <c r="T861" s="840"/>
      <c r="U861" s="866">
        <v>0</v>
      </c>
      <c r="V861" s="855"/>
      <c r="W861" s="866" t="s">
        <v>7</v>
      </c>
      <c r="X861" s="827">
        <v>0</v>
      </c>
      <c r="Y861" s="827">
        <v>0</v>
      </c>
      <c r="Z861" s="827">
        <v>0</v>
      </c>
      <c r="AA861" s="827">
        <v>0</v>
      </c>
      <c r="AB861" s="858">
        <v>0</v>
      </c>
      <c r="AC861" s="858">
        <v>0</v>
      </c>
      <c r="AD861" s="858">
        <v>0</v>
      </c>
      <c r="AE861" s="858">
        <v>0</v>
      </c>
      <c r="AF861" s="863"/>
      <c r="AG861" s="864" t="s">
        <v>1327</v>
      </c>
      <c r="AH861" s="864" t="s">
        <v>194</v>
      </c>
      <c r="AI861" s="864" t="s">
        <v>1097</v>
      </c>
    </row>
    <row r="862" spans="1:36" s="4" customFormat="1" ht="15" customHeight="1">
      <c r="A862" s="1076" t="s">
        <v>1351</v>
      </c>
      <c r="B862" s="1076" t="s">
        <v>1353</v>
      </c>
      <c r="C862" s="1076" t="s">
        <v>71</v>
      </c>
      <c r="D862" s="1076" t="s">
        <v>1221</v>
      </c>
      <c r="E862" s="1076" t="s">
        <v>66</v>
      </c>
      <c r="F862" s="1076" t="s">
        <v>50</v>
      </c>
      <c r="G862" s="1076" t="s">
        <v>1358</v>
      </c>
      <c r="H862" s="1245">
        <v>1</v>
      </c>
      <c r="I862" s="1353" t="s">
        <v>152</v>
      </c>
      <c r="J862" s="1119">
        <v>537864037</v>
      </c>
      <c r="K862" s="1119">
        <v>537864037</v>
      </c>
      <c r="L862" s="1119">
        <v>1304972075</v>
      </c>
      <c r="M862" s="1171">
        <v>40758</v>
      </c>
      <c r="N862" s="1089">
        <v>537864037</v>
      </c>
      <c r="O862" s="1089">
        <v>537864037</v>
      </c>
      <c r="P862" s="1089">
        <v>0</v>
      </c>
      <c r="Q862" s="1062">
        <v>537864037</v>
      </c>
      <c r="R862" s="1119">
        <v>1304972075</v>
      </c>
      <c r="S862" s="1076" t="s">
        <v>1330</v>
      </c>
      <c r="T862" s="864" t="s">
        <v>1359</v>
      </c>
      <c r="U862" s="866">
        <v>268932018.5</v>
      </c>
      <c r="V862" s="855">
        <v>41620</v>
      </c>
      <c r="W862" s="866" t="s">
        <v>152</v>
      </c>
      <c r="X862" s="1084">
        <v>537864037</v>
      </c>
      <c r="Y862" s="1084">
        <v>1304966817.54</v>
      </c>
      <c r="Z862" s="866">
        <v>0</v>
      </c>
      <c r="AA862" s="1043">
        <v>0</v>
      </c>
      <c r="AB862" s="1119">
        <v>0</v>
      </c>
      <c r="AC862" s="1062">
        <v>0</v>
      </c>
      <c r="AD862" s="1062">
        <v>0</v>
      </c>
      <c r="AE862" s="1062">
        <v>0</v>
      </c>
      <c r="AF862" s="1203" t="s">
        <v>1363</v>
      </c>
      <c r="AG862" s="1203" t="s">
        <v>1364</v>
      </c>
      <c r="AH862" s="1103" t="s">
        <v>195</v>
      </c>
      <c r="AI862" s="1103" t="s">
        <v>1097</v>
      </c>
    </row>
    <row r="863" spans="1:36" s="4" customFormat="1" ht="15" customHeight="1">
      <c r="A863" s="1076"/>
      <c r="B863" s="1076"/>
      <c r="C863" s="1076"/>
      <c r="D863" s="1076"/>
      <c r="E863" s="1076"/>
      <c r="F863" s="1076"/>
      <c r="G863" s="1076"/>
      <c r="H863" s="1245"/>
      <c r="I863" s="1353"/>
      <c r="J863" s="1119"/>
      <c r="K863" s="1119"/>
      <c r="L863" s="1119"/>
      <c r="M863" s="1171"/>
      <c r="N863" s="1090"/>
      <c r="O863" s="1090"/>
      <c r="P863" s="1090"/>
      <c r="Q863" s="1063"/>
      <c r="R863" s="1119"/>
      <c r="S863" s="1076"/>
      <c r="T863" s="864" t="s">
        <v>1360</v>
      </c>
      <c r="U863" s="866">
        <v>215136796.63999999</v>
      </c>
      <c r="V863" s="855">
        <v>41864</v>
      </c>
      <c r="W863" s="866" t="s">
        <v>152</v>
      </c>
      <c r="X863" s="1084"/>
      <c r="Y863" s="1084"/>
      <c r="Z863" s="866">
        <v>0</v>
      </c>
      <c r="AA863" s="1044"/>
      <c r="AB863" s="1119"/>
      <c r="AC863" s="1063"/>
      <c r="AD863" s="1063"/>
      <c r="AE863" s="1063"/>
      <c r="AF863" s="1203"/>
      <c r="AG863" s="1203"/>
      <c r="AH863" s="1104"/>
      <c r="AI863" s="1104"/>
    </row>
    <row r="864" spans="1:36" s="4" customFormat="1" ht="15" customHeight="1">
      <c r="A864" s="1076"/>
      <c r="B864" s="1076"/>
      <c r="C864" s="1076"/>
      <c r="D864" s="1076"/>
      <c r="E864" s="1076"/>
      <c r="F864" s="1076"/>
      <c r="G864" s="1076"/>
      <c r="H864" s="1245"/>
      <c r="I864" s="1353"/>
      <c r="J864" s="1119"/>
      <c r="K864" s="1119"/>
      <c r="L864" s="1119"/>
      <c r="M864" s="1171"/>
      <c r="N864" s="1091"/>
      <c r="O864" s="1091"/>
      <c r="P864" s="1091"/>
      <c r="Q864" s="1064"/>
      <c r="R864" s="1119"/>
      <c r="S864" s="1076"/>
      <c r="T864" s="864" t="s">
        <v>1361</v>
      </c>
      <c r="U864" s="866">
        <v>53795221.859999999</v>
      </c>
      <c r="V864" s="855">
        <v>42257</v>
      </c>
      <c r="W864" s="866" t="s">
        <v>152</v>
      </c>
      <c r="X864" s="1084"/>
      <c r="Y864" s="1084"/>
      <c r="Z864" s="866">
        <v>0</v>
      </c>
      <c r="AA864" s="1045"/>
      <c r="AB864" s="1119"/>
      <c r="AC864" s="1064"/>
      <c r="AD864" s="1064"/>
      <c r="AE864" s="1064"/>
      <c r="AF864" s="1203"/>
      <c r="AG864" s="1203"/>
      <c r="AH864" s="1104"/>
      <c r="AI864" s="1104"/>
    </row>
    <row r="865" spans="1:35" s="4" customFormat="1" ht="15" customHeight="1">
      <c r="A865" s="1076"/>
      <c r="B865" s="1076"/>
      <c r="C865" s="1076"/>
      <c r="D865" s="1076"/>
      <c r="E865" s="1076"/>
      <c r="F865" s="1076"/>
      <c r="G865" s="1076"/>
      <c r="H865" s="1245">
        <v>185</v>
      </c>
      <c r="I865" s="1353" t="s">
        <v>137</v>
      </c>
      <c r="J865" s="1119">
        <v>138627571</v>
      </c>
      <c r="K865" s="1119">
        <v>334322997</v>
      </c>
      <c r="L865" s="1119"/>
      <c r="M865" s="1068">
        <v>40758</v>
      </c>
      <c r="N865" s="1089">
        <v>334322997</v>
      </c>
      <c r="O865" s="1062">
        <v>138627571</v>
      </c>
      <c r="P865" s="1062">
        <v>0</v>
      </c>
      <c r="Q865" s="1062">
        <v>138627571</v>
      </c>
      <c r="R865" s="1119"/>
      <c r="S865" s="1076"/>
      <c r="T865" s="1103" t="s">
        <v>1359</v>
      </c>
      <c r="U865" s="866">
        <v>69313785.5</v>
      </c>
      <c r="V865" s="1068">
        <v>41620</v>
      </c>
      <c r="W865" s="866" t="s">
        <v>137</v>
      </c>
      <c r="X865" s="1084">
        <v>334322989</v>
      </c>
      <c r="Y865" s="1084"/>
      <c r="Z865" s="866">
        <v>0</v>
      </c>
      <c r="AA865" s="1043">
        <v>7.9999999981373549</v>
      </c>
      <c r="AB865" s="1119"/>
      <c r="AC865" s="1119">
        <v>0</v>
      </c>
      <c r="AD865" s="1062">
        <v>8</v>
      </c>
      <c r="AE865" s="1062">
        <v>8</v>
      </c>
      <c r="AF865" s="1203"/>
      <c r="AG865" s="1203"/>
      <c r="AH865" s="1104"/>
      <c r="AI865" s="1104"/>
    </row>
    <row r="866" spans="1:35" s="4" customFormat="1" ht="15" customHeight="1">
      <c r="A866" s="1076"/>
      <c r="B866" s="1076"/>
      <c r="C866" s="1076"/>
      <c r="D866" s="1076"/>
      <c r="E866" s="1076"/>
      <c r="F866" s="1076"/>
      <c r="G866" s="1076"/>
      <c r="H866" s="1245"/>
      <c r="I866" s="1353"/>
      <c r="J866" s="1119"/>
      <c r="K866" s="1119"/>
      <c r="L866" s="1119"/>
      <c r="M866" s="1069"/>
      <c r="N866" s="1090"/>
      <c r="O866" s="1063"/>
      <c r="P866" s="1063"/>
      <c r="Q866" s="1063"/>
      <c r="R866" s="1119"/>
      <c r="S866" s="1076"/>
      <c r="T866" s="1105"/>
      <c r="U866" s="866">
        <v>97847713</v>
      </c>
      <c r="V866" s="1070"/>
      <c r="W866" s="866" t="s">
        <v>7</v>
      </c>
      <c r="X866" s="1084"/>
      <c r="Y866" s="1084"/>
      <c r="Z866" s="866">
        <v>0</v>
      </c>
      <c r="AA866" s="1044"/>
      <c r="AB866" s="1119"/>
      <c r="AC866" s="1119"/>
      <c r="AD866" s="1063"/>
      <c r="AE866" s="1063"/>
      <c r="AF866" s="1203"/>
      <c r="AG866" s="1203"/>
      <c r="AH866" s="1104"/>
      <c r="AI866" s="1104"/>
    </row>
    <row r="867" spans="1:35" s="4" customFormat="1" ht="15" customHeight="1">
      <c r="A867" s="1076"/>
      <c r="B867" s="1076"/>
      <c r="C867" s="1076"/>
      <c r="D867" s="1076"/>
      <c r="E867" s="1076"/>
      <c r="F867" s="1076"/>
      <c r="G867" s="1076"/>
      <c r="H867" s="1245"/>
      <c r="I867" s="1353"/>
      <c r="J867" s="1119"/>
      <c r="K867" s="1119"/>
      <c r="L867" s="1119"/>
      <c r="M867" s="1069"/>
      <c r="N867" s="1090"/>
      <c r="O867" s="1064"/>
      <c r="P867" s="1064"/>
      <c r="Q867" s="1064"/>
      <c r="R867" s="1119"/>
      <c r="S867" s="1076"/>
      <c r="T867" s="1103" t="s">
        <v>1360</v>
      </c>
      <c r="U867" s="866">
        <v>55448757.630000003</v>
      </c>
      <c r="V867" s="1068">
        <v>41864</v>
      </c>
      <c r="W867" s="866" t="s">
        <v>137</v>
      </c>
      <c r="X867" s="1084"/>
      <c r="Y867" s="1084"/>
      <c r="Z867" s="866">
        <v>-2</v>
      </c>
      <c r="AA867" s="1045"/>
      <c r="AB867" s="1119"/>
      <c r="AC867" s="1119"/>
      <c r="AD867" s="1064"/>
      <c r="AE867" s="1064"/>
      <c r="AF867" s="1203"/>
      <c r="AG867" s="1203"/>
      <c r="AH867" s="1104"/>
      <c r="AI867" s="1104"/>
    </row>
    <row r="868" spans="1:35" s="4" customFormat="1" ht="15" customHeight="1">
      <c r="A868" s="1076"/>
      <c r="B868" s="1076"/>
      <c r="C868" s="1076"/>
      <c r="D868" s="1076"/>
      <c r="E868" s="1076"/>
      <c r="F868" s="1076"/>
      <c r="G868" s="1076"/>
      <c r="H868" s="1245"/>
      <c r="I868" s="1122" t="s">
        <v>7</v>
      </c>
      <c r="J868" s="1119">
        <v>195695426</v>
      </c>
      <c r="K868" s="1119"/>
      <c r="L868" s="1119"/>
      <c r="M868" s="1069"/>
      <c r="N868" s="1090"/>
      <c r="O868" s="1062">
        <v>195695426</v>
      </c>
      <c r="P868" s="1062">
        <v>0</v>
      </c>
      <c r="Q868" s="1062">
        <v>195695426</v>
      </c>
      <c r="R868" s="1119"/>
      <c r="S868" s="1076"/>
      <c r="T868" s="1105"/>
      <c r="U868" s="866">
        <v>78274962.019999996</v>
      </c>
      <c r="V868" s="1070"/>
      <c r="W868" s="866" t="s">
        <v>7</v>
      </c>
      <c r="X868" s="1084"/>
      <c r="Y868" s="1084"/>
      <c r="Z868" s="866">
        <v>0</v>
      </c>
      <c r="AA868" s="1043">
        <v>0</v>
      </c>
      <c r="AB868" s="1119"/>
      <c r="AC868" s="1119">
        <v>0</v>
      </c>
      <c r="AD868" s="1062">
        <v>0</v>
      </c>
      <c r="AE868" s="1062">
        <v>0</v>
      </c>
      <c r="AF868" s="1203"/>
      <c r="AG868" s="1203"/>
      <c r="AH868" s="1104"/>
      <c r="AI868" s="1104"/>
    </row>
    <row r="869" spans="1:35" s="4" customFormat="1" ht="15" customHeight="1">
      <c r="A869" s="1076"/>
      <c r="B869" s="1076"/>
      <c r="C869" s="1076"/>
      <c r="D869" s="1076"/>
      <c r="E869" s="1076"/>
      <c r="F869" s="1076"/>
      <c r="G869" s="1076"/>
      <c r="H869" s="1245"/>
      <c r="I869" s="1122"/>
      <c r="J869" s="1119"/>
      <c r="K869" s="1119"/>
      <c r="L869" s="1119"/>
      <c r="M869" s="1069"/>
      <c r="N869" s="1090"/>
      <c r="O869" s="1063"/>
      <c r="P869" s="1063"/>
      <c r="Q869" s="1063"/>
      <c r="R869" s="1119"/>
      <c r="S869" s="1076"/>
      <c r="T869" s="1103" t="s">
        <v>1361</v>
      </c>
      <c r="U869" s="866">
        <v>13865019.869999999</v>
      </c>
      <c r="V869" s="1068">
        <v>42257</v>
      </c>
      <c r="W869" s="866" t="s">
        <v>137</v>
      </c>
      <c r="X869" s="1084"/>
      <c r="Y869" s="1084"/>
      <c r="Z869" s="866">
        <v>9.9999999962747097</v>
      </c>
      <c r="AA869" s="1044"/>
      <c r="AB869" s="1119"/>
      <c r="AC869" s="1119"/>
      <c r="AD869" s="1063"/>
      <c r="AE869" s="1063"/>
      <c r="AF869" s="1203"/>
      <c r="AG869" s="1203"/>
      <c r="AH869" s="1104"/>
      <c r="AI869" s="1104"/>
    </row>
    <row r="870" spans="1:35" s="4" customFormat="1" ht="15" customHeight="1">
      <c r="A870" s="1076"/>
      <c r="B870" s="1076"/>
      <c r="C870" s="1076"/>
      <c r="D870" s="1076"/>
      <c r="E870" s="1076"/>
      <c r="F870" s="1076"/>
      <c r="G870" s="1076"/>
      <c r="H870" s="1245"/>
      <c r="I870" s="1122"/>
      <c r="J870" s="1119"/>
      <c r="K870" s="1119"/>
      <c r="L870" s="1119"/>
      <c r="M870" s="1070"/>
      <c r="N870" s="1091"/>
      <c r="O870" s="1064"/>
      <c r="P870" s="1064"/>
      <c r="Q870" s="1064"/>
      <c r="R870" s="1119"/>
      <c r="S870" s="1076"/>
      <c r="T870" s="1105"/>
      <c r="U870" s="866">
        <v>19572750.98</v>
      </c>
      <c r="V870" s="1070"/>
      <c r="W870" s="866" t="s">
        <v>7</v>
      </c>
      <c r="X870" s="1084"/>
      <c r="Y870" s="1084"/>
      <c r="Z870" s="866">
        <v>0</v>
      </c>
      <c r="AA870" s="1045"/>
      <c r="AB870" s="1119"/>
      <c r="AC870" s="1119"/>
      <c r="AD870" s="1064"/>
      <c r="AE870" s="1064"/>
      <c r="AF870" s="1203"/>
      <c r="AG870" s="1203"/>
      <c r="AH870" s="1104"/>
      <c r="AI870" s="1104"/>
    </row>
    <row r="871" spans="1:35" s="4" customFormat="1" ht="15" customHeight="1">
      <c r="A871" s="1076"/>
      <c r="B871" s="1076"/>
      <c r="C871" s="1076"/>
      <c r="D871" s="1076"/>
      <c r="E871" s="1076" t="s">
        <v>67</v>
      </c>
      <c r="F871" s="1076"/>
      <c r="G871" s="1076"/>
      <c r="H871" s="1245">
        <v>12</v>
      </c>
      <c r="I871" s="1122" t="s">
        <v>152</v>
      </c>
      <c r="J871" s="1119">
        <v>432785041</v>
      </c>
      <c r="K871" s="1119">
        <v>432785041</v>
      </c>
      <c r="L871" s="1119"/>
      <c r="M871" s="1068">
        <v>42003</v>
      </c>
      <c r="N871" s="1089">
        <v>432785041</v>
      </c>
      <c r="O871" s="1062">
        <v>432785041</v>
      </c>
      <c r="P871" s="1062">
        <v>0</v>
      </c>
      <c r="Q871" s="1119">
        <v>432785041</v>
      </c>
      <c r="R871" s="1119"/>
      <c r="S871" s="1076"/>
      <c r="T871" s="840" t="s">
        <v>1362</v>
      </c>
      <c r="U871" s="866">
        <v>302161645.05000001</v>
      </c>
      <c r="V871" s="855">
        <v>42257</v>
      </c>
      <c r="W871" s="866"/>
      <c r="X871" s="1084">
        <v>432779791.54000002</v>
      </c>
      <c r="Y871" s="1084"/>
      <c r="Z871" s="866">
        <v>0</v>
      </c>
      <c r="AA871" s="1043">
        <v>5249.4599999785423</v>
      </c>
      <c r="AB871" s="1119"/>
      <c r="AC871" s="1119">
        <v>0</v>
      </c>
      <c r="AD871" s="1062">
        <v>5249.4599999785423</v>
      </c>
      <c r="AE871" s="1062">
        <v>5249.4599999785423</v>
      </c>
      <c r="AF871" s="1203"/>
      <c r="AG871" s="1203"/>
      <c r="AH871" s="1104"/>
      <c r="AI871" s="1104"/>
    </row>
    <row r="872" spans="1:35" s="4" customFormat="1" ht="15" customHeight="1">
      <c r="A872" s="1076"/>
      <c r="B872" s="1076"/>
      <c r="C872" s="1076"/>
      <c r="D872" s="1076"/>
      <c r="E872" s="1076"/>
      <c r="F872" s="1076"/>
      <c r="G872" s="1076"/>
      <c r="H872" s="1245"/>
      <c r="I872" s="1122"/>
      <c r="J872" s="1119"/>
      <c r="K872" s="1119"/>
      <c r="L872" s="1119"/>
      <c r="M872" s="1070"/>
      <c r="N872" s="1091"/>
      <c r="O872" s="1064"/>
      <c r="P872" s="1064"/>
      <c r="Q872" s="1119"/>
      <c r="R872" s="1119"/>
      <c r="S872" s="1076"/>
      <c r="T872" s="840" t="s">
        <v>2717</v>
      </c>
      <c r="U872" s="866">
        <v>130618146.48999999</v>
      </c>
      <c r="V872" s="855">
        <v>43157</v>
      </c>
      <c r="W872" s="866"/>
      <c r="X872" s="1084"/>
      <c r="Y872" s="1084"/>
      <c r="Z872" s="866">
        <v>0</v>
      </c>
      <c r="AA872" s="1045"/>
      <c r="AB872" s="1119"/>
      <c r="AC872" s="1119"/>
      <c r="AD872" s="1064"/>
      <c r="AE872" s="1064"/>
      <c r="AF872" s="1203"/>
      <c r="AG872" s="1203"/>
      <c r="AH872" s="1105"/>
      <c r="AI872" s="1105"/>
    </row>
    <row r="873" spans="1:35" ht="15" customHeight="1">
      <c r="A873" s="1076" t="s">
        <v>1328</v>
      </c>
      <c r="B873" s="1076" t="s">
        <v>1329</v>
      </c>
      <c r="C873" s="1076" t="s">
        <v>71</v>
      </c>
      <c r="D873" s="1076" t="s">
        <v>1221</v>
      </c>
      <c r="E873" s="1076" t="s">
        <v>66</v>
      </c>
      <c r="F873" s="1076" t="s">
        <v>49</v>
      </c>
      <c r="G873" s="1076" t="s">
        <v>1349</v>
      </c>
      <c r="H873" s="1245">
        <v>1</v>
      </c>
      <c r="I873" s="1353" t="s">
        <v>144</v>
      </c>
      <c r="J873" s="1119">
        <v>316836415</v>
      </c>
      <c r="K873" s="1119">
        <v>316836415</v>
      </c>
      <c r="L873" s="1119">
        <v>1184936003</v>
      </c>
      <c r="M873" s="1171">
        <v>40899</v>
      </c>
      <c r="N873" s="1196">
        <v>316836415</v>
      </c>
      <c r="O873" s="1196">
        <v>316836415</v>
      </c>
      <c r="P873" s="1196">
        <v>0</v>
      </c>
      <c r="Q873" s="1119">
        <v>314935172</v>
      </c>
      <c r="R873" s="1119">
        <v>1177825549</v>
      </c>
      <c r="S873" s="1076" t="s">
        <v>1330</v>
      </c>
      <c r="T873" s="840" t="s">
        <v>1331</v>
      </c>
      <c r="U873" s="866">
        <v>55538100</v>
      </c>
      <c r="V873" s="855">
        <v>41569</v>
      </c>
      <c r="W873" s="866" t="s">
        <v>144</v>
      </c>
      <c r="X873" s="1084">
        <v>283446935.15999997</v>
      </c>
      <c r="Y873" s="1084">
        <v>1060062738.9999999</v>
      </c>
      <c r="Z873" s="827">
        <v>0</v>
      </c>
      <c r="AA873" s="1084">
        <v>33389479.840000033</v>
      </c>
      <c r="AB873" s="1119">
        <v>0</v>
      </c>
      <c r="AC873" s="1119">
        <v>1901243</v>
      </c>
      <c r="AD873" s="1119">
        <v>31488236.840000033</v>
      </c>
      <c r="AE873" s="1119"/>
      <c r="AF873" s="1203" t="s">
        <v>1336</v>
      </c>
      <c r="AG873" s="1204" t="s">
        <v>1350</v>
      </c>
      <c r="AH873" s="1204" t="s">
        <v>194</v>
      </c>
      <c r="AI873" s="1204" t="s">
        <v>1097</v>
      </c>
    </row>
    <row r="874" spans="1:35" ht="15" customHeight="1">
      <c r="A874" s="1076"/>
      <c r="B874" s="1076"/>
      <c r="C874" s="1076"/>
      <c r="D874" s="1076"/>
      <c r="E874" s="1076"/>
      <c r="F874" s="1076"/>
      <c r="G874" s="1076"/>
      <c r="H874" s="1245"/>
      <c r="I874" s="1353"/>
      <c r="J874" s="1119"/>
      <c r="K874" s="1119"/>
      <c r="L874" s="1119"/>
      <c r="M874" s="1171"/>
      <c r="N874" s="1196"/>
      <c r="O874" s="1196"/>
      <c r="P874" s="1196"/>
      <c r="Q874" s="1119"/>
      <c r="R874" s="1119"/>
      <c r="S874" s="1076"/>
      <c r="T874" s="840" t="s">
        <v>1332</v>
      </c>
      <c r="U874" s="866">
        <v>72167924.849999994</v>
      </c>
      <c r="V874" s="855">
        <v>41985</v>
      </c>
      <c r="W874" s="866" t="s">
        <v>144</v>
      </c>
      <c r="X874" s="1084"/>
      <c r="Y874" s="1084"/>
      <c r="Z874" s="827">
        <v>0</v>
      </c>
      <c r="AA874" s="1084"/>
      <c r="AB874" s="1119"/>
      <c r="AC874" s="1119"/>
      <c r="AD874" s="1119"/>
      <c r="AE874" s="1119"/>
      <c r="AF874" s="1203"/>
      <c r="AG874" s="1204"/>
      <c r="AH874" s="1204"/>
      <c r="AI874" s="1204"/>
    </row>
    <row r="875" spans="1:35" ht="15" customHeight="1">
      <c r="A875" s="1076"/>
      <c r="B875" s="1076"/>
      <c r="C875" s="1076"/>
      <c r="D875" s="1076"/>
      <c r="E875" s="1076"/>
      <c r="F875" s="1076"/>
      <c r="G875" s="1076"/>
      <c r="H875" s="1245"/>
      <c r="I875" s="1353"/>
      <c r="J875" s="1119"/>
      <c r="K875" s="1119"/>
      <c r="L875" s="1119"/>
      <c r="M875" s="1171"/>
      <c r="N875" s="1196"/>
      <c r="O875" s="1196"/>
      <c r="P875" s="1196"/>
      <c r="Q875" s="1119"/>
      <c r="R875" s="1119"/>
      <c r="S875" s="1076"/>
      <c r="T875" s="840" t="s">
        <v>1334</v>
      </c>
      <c r="U875" s="866">
        <v>54794274.560000002</v>
      </c>
      <c r="V875" s="855">
        <v>41985</v>
      </c>
      <c r="W875" s="866" t="s">
        <v>144</v>
      </c>
      <c r="X875" s="1084"/>
      <c r="Y875" s="1084"/>
      <c r="Z875" s="827">
        <v>0</v>
      </c>
      <c r="AA875" s="1084"/>
      <c r="AB875" s="1119"/>
      <c r="AC875" s="1119"/>
      <c r="AD875" s="1119"/>
      <c r="AE875" s="1119"/>
      <c r="AF875" s="1203"/>
      <c r="AG875" s="1204"/>
      <c r="AH875" s="1204"/>
      <c r="AI875" s="1204"/>
    </row>
    <row r="876" spans="1:35" ht="15" customHeight="1">
      <c r="A876" s="1076"/>
      <c r="B876" s="1076"/>
      <c r="C876" s="1076"/>
      <c r="D876" s="1076"/>
      <c r="E876" s="1076"/>
      <c r="F876" s="1076"/>
      <c r="G876" s="1076"/>
      <c r="H876" s="1245"/>
      <c r="I876" s="1353"/>
      <c r="J876" s="1119"/>
      <c r="K876" s="1119"/>
      <c r="L876" s="1119"/>
      <c r="M876" s="1171"/>
      <c r="N876" s="1196"/>
      <c r="O876" s="1196"/>
      <c r="P876" s="1196"/>
      <c r="Q876" s="1119"/>
      <c r="R876" s="1119"/>
      <c r="S876" s="1076"/>
      <c r="T876" s="840" t="s">
        <v>1335</v>
      </c>
      <c r="U876" s="866">
        <v>100946635.75</v>
      </c>
      <c r="V876" s="855">
        <v>42164</v>
      </c>
      <c r="W876" s="866" t="s">
        <v>144</v>
      </c>
      <c r="X876" s="1084"/>
      <c r="Y876" s="1084"/>
      <c r="Z876" s="827">
        <v>0</v>
      </c>
      <c r="AA876" s="1084"/>
      <c r="AB876" s="1119"/>
      <c r="AC876" s="1119"/>
      <c r="AD876" s="1119"/>
      <c r="AE876" s="1119"/>
      <c r="AF876" s="1203"/>
      <c r="AG876" s="1204"/>
      <c r="AH876" s="1204"/>
      <c r="AI876" s="1204"/>
    </row>
    <row r="877" spans="1:35" ht="15" customHeight="1">
      <c r="A877" s="1076"/>
      <c r="B877" s="1076"/>
      <c r="C877" s="1076"/>
      <c r="D877" s="1076"/>
      <c r="E877" s="1076"/>
      <c r="F877" s="1076"/>
      <c r="G877" s="1076"/>
      <c r="H877" s="1245"/>
      <c r="I877" s="1353"/>
      <c r="J877" s="1119"/>
      <c r="K877" s="1119"/>
      <c r="L877" s="1119"/>
      <c r="M877" s="1171"/>
      <c r="N877" s="1196"/>
      <c r="O877" s="1196"/>
      <c r="P877" s="1196"/>
      <c r="Q877" s="1119"/>
      <c r="R877" s="1119"/>
      <c r="S877" s="1076"/>
      <c r="T877" s="840"/>
      <c r="U877" s="866"/>
      <c r="V877" s="855"/>
      <c r="W877" s="866"/>
      <c r="X877" s="1084"/>
      <c r="Y877" s="1084"/>
      <c r="Z877" s="827">
        <v>0</v>
      </c>
      <c r="AA877" s="1084"/>
      <c r="AB877" s="1119"/>
      <c r="AC877" s="1119"/>
      <c r="AD877" s="1119"/>
      <c r="AE877" s="1119"/>
      <c r="AF877" s="1203"/>
      <c r="AG877" s="1204"/>
      <c r="AH877" s="1204"/>
      <c r="AI877" s="1204"/>
    </row>
    <row r="878" spans="1:35" ht="15" customHeight="1">
      <c r="A878" s="1076"/>
      <c r="B878" s="1076"/>
      <c r="C878" s="1076"/>
      <c r="D878" s="1076"/>
      <c r="E878" s="1076"/>
      <c r="F878" s="1076"/>
      <c r="G878" s="1076"/>
      <c r="H878" s="1245">
        <v>235</v>
      </c>
      <c r="I878" s="1353" t="s">
        <v>7</v>
      </c>
      <c r="J878" s="1119">
        <v>868099588</v>
      </c>
      <c r="K878" s="1119">
        <v>868099588</v>
      </c>
      <c r="L878" s="1119"/>
      <c r="M878" s="1171">
        <v>40899</v>
      </c>
      <c r="N878" s="1196">
        <v>868099588</v>
      </c>
      <c r="O878" s="1196">
        <v>868099588</v>
      </c>
      <c r="P878" s="1196">
        <v>0</v>
      </c>
      <c r="Q878" s="1119">
        <v>862890377</v>
      </c>
      <c r="R878" s="1119"/>
      <c r="S878" s="1076"/>
      <c r="T878" s="840" t="s">
        <v>1333</v>
      </c>
      <c r="U878" s="866">
        <v>152168750</v>
      </c>
      <c r="V878" s="855">
        <v>41569</v>
      </c>
      <c r="W878" s="866" t="s">
        <v>7</v>
      </c>
      <c r="X878" s="1084">
        <v>776615803.83999991</v>
      </c>
      <c r="Y878" s="1084"/>
      <c r="Z878" s="827">
        <v>0</v>
      </c>
      <c r="AA878" s="1084">
        <v>91483784.160000086</v>
      </c>
      <c r="AB878" s="1119">
        <v>0</v>
      </c>
      <c r="AC878" s="1119">
        <v>5209211</v>
      </c>
      <c r="AD878" s="1119">
        <v>86274573.160000086</v>
      </c>
      <c r="AE878" s="1119"/>
      <c r="AF878" s="1203"/>
      <c r="AG878" s="1204"/>
      <c r="AH878" s="1204"/>
      <c r="AI878" s="1204"/>
    </row>
    <row r="879" spans="1:35" ht="15" customHeight="1">
      <c r="A879" s="1076"/>
      <c r="B879" s="1076"/>
      <c r="C879" s="1076"/>
      <c r="D879" s="1076"/>
      <c r="E879" s="1076"/>
      <c r="F879" s="1076"/>
      <c r="G879" s="1076"/>
      <c r="H879" s="1245"/>
      <c r="I879" s="1353"/>
      <c r="J879" s="1119"/>
      <c r="K879" s="1119"/>
      <c r="L879" s="1119"/>
      <c r="M879" s="1171"/>
      <c r="N879" s="1196"/>
      <c r="O879" s="1196"/>
      <c r="P879" s="1196"/>
      <c r="Q879" s="1119"/>
      <c r="R879" s="1119"/>
      <c r="S879" s="1076"/>
      <c r="T879" s="840" t="s">
        <v>1332</v>
      </c>
      <c r="U879" s="866">
        <v>197732782.15000001</v>
      </c>
      <c r="V879" s="855">
        <v>41985</v>
      </c>
      <c r="W879" s="866" t="s">
        <v>7</v>
      </c>
      <c r="X879" s="1084"/>
      <c r="Y879" s="1084"/>
      <c r="Z879" s="827">
        <v>0</v>
      </c>
      <c r="AA879" s="1084"/>
      <c r="AB879" s="1119"/>
      <c r="AC879" s="1119"/>
      <c r="AD879" s="1119"/>
      <c r="AE879" s="1119"/>
      <c r="AF879" s="1203"/>
      <c r="AG879" s="1204"/>
      <c r="AH879" s="1204"/>
      <c r="AI879" s="1204"/>
    </row>
    <row r="880" spans="1:35" ht="15" customHeight="1">
      <c r="A880" s="1076"/>
      <c r="B880" s="1076"/>
      <c r="C880" s="1076"/>
      <c r="D880" s="1076"/>
      <c r="E880" s="1076"/>
      <c r="F880" s="1076"/>
      <c r="G880" s="1076"/>
      <c r="H880" s="1245"/>
      <c r="I880" s="1353"/>
      <c r="J880" s="1119"/>
      <c r="K880" s="1119"/>
      <c r="L880" s="1119"/>
      <c r="M880" s="1171"/>
      <c r="N880" s="1196"/>
      <c r="O880" s="1196"/>
      <c r="P880" s="1196"/>
      <c r="Q880" s="1119"/>
      <c r="R880" s="1119"/>
      <c r="S880" s="1076"/>
      <c r="T880" s="840" t="s">
        <v>1334</v>
      </c>
      <c r="U880" s="866">
        <v>150130745.44</v>
      </c>
      <c r="V880" s="855">
        <v>41985</v>
      </c>
      <c r="W880" s="866" t="s">
        <v>7</v>
      </c>
      <c r="X880" s="1084"/>
      <c r="Y880" s="1084"/>
      <c r="Z880" s="827">
        <v>0</v>
      </c>
      <c r="AA880" s="1084"/>
      <c r="AB880" s="1119"/>
      <c r="AC880" s="1119"/>
      <c r="AD880" s="1119"/>
      <c r="AE880" s="1119"/>
      <c r="AF880" s="1203"/>
      <c r="AG880" s="1204"/>
      <c r="AH880" s="1204"/>
      <c r="AI880" s="1204"/>
    </row>
    <row r="881" spans="1:35" ht="15" customHeight="1">
      <c r="A881" s="1076"/>
      <c r="B881" s="1076"/>
      <c r="C881" s="1076"/>
      <c r="D881" s="1076"/>
      <c r="E881" s="1076"/>
      <c r="F881" s="1076"/>
      <c r="G881" s="1076"/>
      <c r="H881" s="1245"/>
      <c r="I881" s="1353"/>
      <c r="J881" s="1119"/>
      <c r="K881" s="1119"/>
      <c r="L881" s="1119"/>
      <c r="M881" s="1171"/>
      <c r="N881" s="1196"/>
      <c r="O881" s="1196"/>
      <c r="P881" s="1196"/>
      <c r="Q881" s="1119"/>
      <c r="R881" s="1119"/>
      <c r="S881" s="1076"/>
      <c r="T881" s="840" t="s">
        <v>1335</v>
      </c>
      <c r="U881" s="866">
        <v>276583526.25</v>
      </c>
      <c r="V881" s="855">
        <v>42164</v>
      </c>
      <c r="W881" s="866" t="s">
        <v>7</v>
      </c>
      <c r="X881" s="1084"/>
      <c r="Y881" s="1084"/>
      <c r="Z881" s="827">
        <v>0</v>
      </c>
      <c r="AA881" s="1084"/>
      <c r="AB881" s="1119"/>
      <c r="AC881" s="1119"/>
      <c r="AD881" s="1119"/>
      <c r="AE881" s="1119"/>
      <c r="AF881" s="1203"/>
      <c r="AG881" s="1204"/>
      <c r="AH881" s="1204"/>
      <c r="AI881" s="1204"/>
    </row>
    <row r="882" spans="1:35" ht="15" customHeight="1">
      <c r="A882" s="1076"/>
      <c r="B882" s="1076"/>
      <c r="C882" s="1076"/>
      <c r="D882" s="1076"/>
      <c r="E882" s="1076"/>
      <c r="F882" s="1076"/>
      <c r="G882" s="1076"/>
      <c r="H882" s="1245"/>
      <c r="I882" s="1353"/>
      <c r="J882" s="1119"/>
      <c r="K882" s="1119"/>
      <c r="L882" s="1119"/>
      <c r="M882" s="1171"/>
      <c r="N882" s="1196"/>
      <c r="O882" s="1196"/>
      <c r="P882" s="1196"/>
      <c r="Q882" s="1119"/>
      <c r="R882" s="1119"/>
      <c r="S882" s="1076"/>
      <c r="T882" s="840"/>
      <c r="U882" s="866"/>
      <c r="V882" s="855"/>
      <c r="W882" s="866"/>
      <c r="X882" s="1084"/>
      <c r="Y882" s="1084"/>
      <c r="Z882" s="827">
        <v>0</v>
      </c>
      <c r="AA882" s="1084"/>
      <c r="AB882" s="1119"/>
      <c r="AC882" s="1119"/>
      <c r="AD882" s="1119"/>
      <c r="AE882" s="1119"/>
      <c r="AF882" s="1203"/>
      <c r="AG882" s="1204"/>
      <c r="AH882" s="1204"/>
      <c r="AI882" s="1204"/>
    </row>
    <row r="883" spans="1:35" ht="15" customHeight="1">
      <c r="A883" s="1076" t="s">
        <v>1337</v>
      </c>
      <c r="B883" s="1076" t="s">
        <v>1338</v>
      </c>
      <c r="C883" s="1076" t="s">
        <v>70</v>
      </c>
      <c r="D883" s="1076" t="s">
        <v>206</v>
      </c>
      <c r="E883" s="1076" t="s">
        <v>66</v>
      </c>
      <c r="F883" s="1076" t="s">
        <v>183</v>
      </c>
      <c r="G883" s="1076" t="s">
        <v>1341</v>
      </c>
      <c r="H883" s="1245">
        <v>212</v>
      </c>
      <c r="I883" s="1353" t="s">
        <v>137</v>
      </c>
      <c r="J883" s="1119">
        <v>8148148</v>
      </c>
      <c r="K883" s="1119">
        <v>8148148</v>
      </c>
      <c r="L883" s="1119">
        <v>18809218</v>
      </c>
      <c r="M883" s="1171">
        <v>40851</v>
      </c>
      <c r="N883" s="1196">
        <v>7754275</v>
      </c>
      <c r="O883" s="1196">
        <v>7754275</v>
      </c>
      <c r="P883" s="1196">
        <v>393873</v>
      </c>
      <c r="Q883" s="1119">
        <v>7754275</v>
      </c>
      <c r="R883" s="1119">
        <v>17900000</v>
      </c>
      <c r="S883" s="1076" t="s">
        <v>1340</v>
      </c>
      <c r="T883" s="840" t="s">
        <v>1342</v>
      </c>
      <c r="U883" s="866">
        <v>3877138</v>
      </c>
      <c r="V883" s="855">
        <v>41003</v>
      </c>
      <c r="W883" s="866" t="s">
        <v>137</v>
      </c>
      <c r="X883" s="1084">
        <v>7754275.5</v>
      </c>
      <c r="Y883" s="1084">
        <v>17900001</v>
      </c>
      <c r="Z883" s="827">
        <v>-0.5</v>
      </c>
      <c r="AA883" s="1084">
        <v>-0.5</v>
      </c>
      <c r="AB883" s="1119">
        <v>-1</v>
      </c>
      <c r="AC883" s="1119">
        <v>0</v>
      </c>
      <c r="AD883" s="1119">
        <v>0</v>
      </c>
      <c r="AE883" s="1119">
        <v>0</v>
      </c>
      <c r="AF883" s="1203" t="s">
        <v>1348</v>
      </c>
      <c r="AG883" s="1204" t="s">
        <v>1345</v>
      </c>
      <c r="AH883" s="1204" t="s">
        <v>194</v>
      </c>
      <c r="AI883" s="1204" t="s">
        <v>1097</v>
      </c>
    </row>
    <row r="884" spans="1:35" ht="15" customHeight="1">
      <c r="A884" s="1076"/>
      <c r="B884" s="1076"/>
      <c r="C884" s="1076"/>
      <c r="D884" s="1076"/>
      <c r="E884" s="1076"/>
      <c r="F884" s="1076"/>
      <c r="G884" s="1076"/>
      <c r="H884" s="1245"/>
      <c r="I884" s="1353"/>
      <c r="J884" s="1119"/>
      <c r="K884" s="1119"/>
      <c r="L884" s="1119"/>
      <c r="M884" s="1171"/>
      <c r="N884" s="1196"/>
      <c r="O884" s="1196"/>
      <c r="P884" s="1196"/>
      <c r="Q884" s="1119"/>
      <c r="R884" s="1119"/>
      <c r="S884" s="1076"/>
      <c r="T884" s="840" t="s">
        <v>1343</v>
      </c>
      <c r="U884" s="866">
        <v>3600000</v>
      </c>
      <c r="V884" s="855">
        <v>41263</v>
      </c>
      <c r="W884" s="866" t="s">
        <v>137</v>
      </c>
      <c r="X884" s="1084"/>
      <c r="Y884" s="1084"/>
      <c r="Z884" s="827">
        <v>0</v>
      </c>
      <c r="AA884" s="1084"/>
      <c r="AB884" s="1119"/>
      <c r="AC884" s="1119"/>
      <c r="AD884" s="1119"/>
      <c r="AE884" s="1119"/>
      <c r="AF884" s="1203"/>
      <c r="AG884" s="1204"/>
      <c r="AH884" s="1204"/>
      <c r="AI884" s="1204"/>
    </row>
    <row r="885" spans="1:35" ht="15" customHeight="1">
      <c r="A885" s="1076"/>
      <c r="B885" s="1076"/>
      <c r="C885" s="1076"/>
      <c r="D885" s="1076"/>
      <c r="E885" s="1076"/>
      <c r="F885" s="1076"/>
      <c r="G885" s="1076"/>
      <c r="H885" s="1245"/>
      <c r="I885" s="1353"/>
      <c r="J885" s="1119"/>
      <c r="K885" s="1119"/>
      <c r="L885" s="1119"/>
      <c r="M885" s="1171"/>
      <c r="N885" s="1196"/>
      <c r="O885" s="1196"/>
      <c r="P885" s="1196"/>
      <c r="Q885" s="1119"/>
      <c r="R885" s="1119"/>
      <c r="S885" s="1076"/>
      <c r="T885" s="840" t="s">
        <v>1346</v>
      </c>
      <c r="U885" s="866">
        <v>277137.5</v>
      </c>
      <c r="V885" s="855">
        <v>41859</v>
      </c>
      <c r="W885" s="866" t="s">
        <v>137</v>
      </c>
      <c r="X885" s="1084"/>
      <c r="Y885" s="1084"/>
      <c r="Z885" s="827">
        <v>0</v>
      </c>
      <c r="AA885" s="1084"/>
      <c r="AB885" s="1119"/>
      <c r="AC885" s="1119"/>
      <c r="AD885" s="1119"/>
      <c r="AE885" s="1119"/>
      <c r="AF885" s="1203"/>
      <c r="AG885" s="1204"/>
      <c r="AH885" s="1204"/>
      <c r="AI885" s="1204"/>
    </row>
    <row r="886" spans="1:35" ht="15" customHeight="1">
      <c r="A886" s="1076"/>
      <c r="B886" s="1076"/>
      <c r="C886" s="1076"/>
      <c r="D886" s="1076"/>
      <c r="E886" s="1076"/>
      <c r="F886" s="1076"/>
      <c r="G886" s="1076"/>
      <c r="H886" s="1245">
        <v>214</v>
      </c>
      <c r="I886" s="1353" t="s">
        <v>137</v>
      </c>
      <c r="J886" s="1119">
        <v>6173229</v>
      </c>
      <c r="K886" s="1119">
        <v>6173229</v>
      </c>
      <c r="L886" s="1119"/>
      <c r="M886" s="1171">
        <v>40851</v>
      </c>
      <c r="N886" s="1196">
        <v>5874822</v>
      </c>
      <c r="O886" s="1196">
        <v>5874822</v>
      </c>
      <c r="P886" s="1196">
        <v>298407</v>
      </c>
      <c r="Q886" s="1119">
        <v>5874822</v>
      </c>
      <c r="R886" s="1119"/>
      <c r="S886" s="1076"/>
      <c r="T886" s="840" t="s">
        <v>1342</v>
      </c>
      <c r="U886" s="866">
        <v>2937411</v>
      </c>
      <c r="V886" s="855">
        <v>41003</v>
      </c>
      <c r="W886" s="866" t="s">
        <v>137</v>
      </c>
      <c r="X886" s="1084">
        <v>5874822</v>
      </c>
      <c r="Y886" s="1084"/>
      <c r="Z886" s="827">
        <v>0</v>
      </c>
      <c r="AA886" s="1084">
        <v>0</v>
      </c>
      <c r="AB886" s="1119"/>
      <c r="AC886" s="1119">
        <v>0</v>
      </c>
      <c r="AD886" s="1119">
        <v>0</v>
      </c>
      <c r="AE886" s="1119">
        <v>0</v>
      </c>
      <c r="AF886" s="1203"/>
      <c r="AG886" s="1204"/>
      <c r="AH886" s="1204"/>
      <c r="AI886" s="1204"/>
    </row>
    <row r="887" spans="1:35" ht="15" customHeight="1">
      <c r="A887" s="1076"/>
      <c r="B887" s="1076"/>
      <c r="C887" s="1076"/>
      <c r="D887" s="1076"/>
      <c r="E887" s="1076"/>
      <c r="F887" s="1076"/>
      <c r="G887" s="1076"/>
      <c r="H887" s="1245"/>
      <c r="I887" s="1353"/>
      <c r="J887" s="1119"/>
      <c r="K887" s="1119"/>
      <c r="L887" s="1119"/>
      <c r="M887" s="1171"/>
      <c r="N887" s="1196"/>
      <c r="O887" s="1196"/>
      <c r="P887" s="1196"/>
      <c r="Q887" s="1119"/>
      <c r="R887" s="1119"/>
      <c r="S887" s="1076"/>
      <c r="T887" s="840" t="s">
        <v>1343</v>
      </c>
      <c r="U887" s="866">
        <v>2700000</v>
      </c>
      <c r="V887" s="855">
        <v>41263</v>
      </c>
      <c r="W887" s="866" t="s">
        <v>137</v>
      </c>
      <c r="X887" s="1084"/>
      <c r="Y887" s="1084"/>
      <c r="Z887" s="827">
        <v>0</v>
      </c>
      <c r="AA887" s="1084"/>
      <c r="AB887" s="1119"/>
      <c r="AC887" s="1119"/>
      <c r="AD887" s="1119"/>
      <c r="AE887" s="1119"/>
      <c r="AF887" s="1203"/>
      <c r="AG887" s="1204"/>
      <c r="AH887" s="1204"/>
      <c r="AI887" s="1204"/>
    </row>
    <row r="888" spans="1:35" ht="15" customHeight="1">
      <c r="A888" s="1076"/>
      <c r="B888" s="1076"/>
      <c r="C888" s="1076"/>
      <c r="D888" s="1076"/>
      <c r="E888" s="1076"/>
      <c r="F888" s="1076"/>
      <c r="G888" s="1076"/>
      <c r="H888" s="1245"/>
      <c r="I888" s="1353"/>
      <c r="J888" s="1119"/>
      <c r="K888" s="1119"/>
      <c r="L888" s="1119"/>
      <c r="M888" s="1171"/>
      <c r="N888" s="1196"/>
      <c r="O888" s="1196"/>
      <c r="P888" s="1196"/>
      <c r="Q888" s="1119"/>
      <c r="R888" s="1119"/>
      <c r="S888" s="1076"/>
      <c r="T888" s="840" t="s">
        <v>1346</v>
      </c>
      <c r="U888" s="866">
        <v>237411</v>
      </c>
      <c r="V888" s="855">
        <v>41859</v>
      </c>
      <c r="W888" s="866" t="s">
        <v>137</v>
      </c>
      <c r="X888" s="1084"/>
      <c r="Y888" s="1084"/>
      <c r="Z888" s="827">
        <v>0</v>
      </c>
      <c r="AA888" s="1084"/>
      <c r="AB888" s="1119"/>
      <c r="AC888" s="1119"/>
      <c r="AD888" s="1119"/>
      <c r="AE888" s="1119"/>
      <c r="AF888" s="1203"/>
      <c r="AG888" s="1204"/>
      <c r="AH888" s="1204"/>
      <c r="AI888" s="1204"/>
    </row>
    <row r="889" spans="1:35" ht="15" customHeight="1">
      <c r="A889" s="1076"/>
      <c r="B889" s="1076"/>
      <c r="C889" s="1076"/>
      <c r="D889" s="1076"/>
      <c r="E889" s="1076"/>
      <c r="F889" s="1076"/>
      <c r="G889" s="1076"/>
      <c r="H889" s="1245">
        <v>220</v>
      </c>
      <c r="I889" s="1353" t="s">
        <v>137</v>
      </c>
      <c r="J889" s="1119">
        <v>4487841</v>
      </c>
      <c r="K889" s="1119">
        <v>4487841</v>
      </c>
      <c r="L889" s="1119"/>
      <c r="M889" s="1171">
        <v>40851</v>
      </c>
      <c r="N889" s="1196">
        <v>4270903</v>
      </c>
      <c r="O889" s="1196">
        <v>4270903</v>
      </c>
      <c r="P889" s="1196">
        <v>216938</v>
      </c>
      <c r="Q889" s="1119">
        <v>4270903</v>
      </c>
      <c r="R889" s="1119"/>
      <c r="S889" s="1076"/>
      <c r="T889" s="840" t="s">
        <v>1342</v>
      </c>
      <c r="U889" s="866">
        <v>2135452</v>
      </c>
      <c r="V889" s="855">
        <v>41003</v>
      </c>
      <c r="W889" s="866" t="s">
        <v>137</v>
      </c>
      <c r="X889" s="1084">
        <v>4270903.5</v>
      </c>
      <c r="Y889" s="1084"/>
      <c r="Z889" s="827">
        <v>-0.5</v>
      </c>
      <c r="AA889" s="1084">
        <v>-0.5</v>
      </c>
      <c r="AB889" s="1119"/>
      <c r="AC889" s="1119">
        <v>0</v>
      </c>
      <c r="AD889" s="1119">
        <v>0</v>
      </c>
      <c r="AE889" s="1119">
        <v>0</v>
      </c>
      <c r="AF889" s="1203"/>
      <c r="AG889" s="1204"/>
      <c r="AH889" s="1204"/>
      <c r="AI889" s="1204"/>
    </row>
    <row r="890" spans="1:35" ht="15" customHeight="1">
      <c r="A890" s="1076"/>
      <c r="B890" s="1076"/>
      <c r="C890" s="1076"/>
      <c r="D890" s="1076"/>
      <c r="E890" s="1076"/>
      <c r="F890" s="1076"/>
      <c r="G890" s="1076"/>
      <c r="H890" s="1245"/>
      <c r="I890" s="1353"/>
      <c r="J890" s="1119"/>
      <c r="K890" s="1119"/>
      <c r="L890" s="1119"/>
      <c r="M890" s="1171"/>
      <c r="N890" s="1196"/>
      <c r="O890" s="1196"/>
      <c r="P890" s="1196"/>
      <c r="Q890" s="1119"/>
      <c r="R890" s="1119"/>
      <c r="S890" s="1076"/>
      <c r="T890" s="840" t="s">
        <v>1344</v>
      </c>
      <c r="U890" s="866">
        <v>1755000</v>
      </c>
      <c r="V890" s="855">
        <v>41263</v>
      </c>
      <c r="W890" s="866" t="s">
        <v>137</v>
      </c>
      <c r="X890" s="1084"/>
      <c r="Y890" s="1084"/>
      <c r="Z890" s="827">
        <v>0</v>
      </c>
      <c r="AA890" s="1084"/>
      <c r="AB890" s="1119"/>
      <c r="AC890" s="1119"/>
      <c r="AD890" s="1119"/>
      <c r="AE890" s="1119"/>
      <c r="AF890" s="1203"/>
      <c r="AG890" s="1204"/>
      <c r="AH890" s="1204"/>
      <c r="AI890" s="1204"/>
    </row>
    <row r="891" spans="1:35" ht="15" customHeight="1">
      <c r="A891" s="1076"/>
      <c r="B891" s="1076"/>
      <c r="C891" s="1076"/>
      <c r="D891" s="1076"/>
      <c r="E891" s="1076"/>
      <c r="F891" s="1076"/>
      <c r="G891" s="1076"/>
      <c r="H891" s="1245"/>
      <c r="I891" s="1353"/>
      <c r="J891" s="1119"/>
      <c r="K891" s="1119"/>
      <c r="L891" s="1119"/>
      <c r="M891" s="1171"/>
      <c r="N891" s="1196"/>
      <c r="O891" s="1196"/>
      <c r="P891" s="1196"/>
      <c r="Q891" s="1119"/>
      <c r="R891" s="1119"/>
      <c r="S891" s="1076"/>
      <c r="T891" s="840" t="s">
        <v>1347</v>
      </c>
      <c r="U891" s="866">
        <v>380451.5</v>
      </c>
      <c r="V891" s="855">
        <v>41859</v>
      </c>
      <c r="W891" s="866" t="s">
        <v>137</v>
      </c>
      <c r="X891" s="1084"/>
      <c r="Y891" s="1084"/>
      <c r="Z891" s="827">
        <v>0</v>
      </c>
      <c r="AA891" s="1084"/>
      <c r="AB891" s="1119"/>
      <c r="AC891" s="1119"/>
      <c r="AD891" s="1119"/>
      <c r="AE891" s="1119"/>
      <c r="AF891" s="1203"/>
      <c r="AG891" s="1204"/>
      <c r="AH891" s="1204"/>
      <c r="AI891" s="1204"/>
    </row>
    <row r="892" spans="1:35" s="4" customFormat="1" ht="15" customHeight="1">
      <c r="A892" s="1011" t="s">
        <v>1355</v>
      </c>
      <c r="B892" s="1023" t="s">
        <v>1365</v>
      </c>
      <c r="C892" s="1023" t="s">
        <v>70</v>
      </c>
      <c r="D892" s="1023" t="s">
        <v>1354</v>
      </c>
      <c r="E892" s="1011" t="s">
        <v>66</v>
      </c>
      <c r="F892" s="1011" t="s">
        <v>183</v>
      </c>
      <c r="G892" s="1011" t="s">
        <v>954</v>
      </c>
      <c r="H892" s="1286">
        <v>216</v>
      </c>
      <c r="I892" s="1021" t="s">
        <v>137</v>
      </c>
      <c r="J892" s="1062">
        <v>6411215</v>
      </c>
      <c r="K892" s="1062">
        <v>6411215</v>
      </c>
      <c r="L892" s="1062">
        <v>24083340</v>
      </c>
      <c r="M892" s="1068">
        <v>40851</v>
      </c>
      <c r="N892" s="1089">
        <v>6000000</v>
      </c>
      <c r="O892" s="1062">
        <v>6000000</v>
      </c>
      <c r="P892" s="1062">
        <v>411215</v>
      </c>
      <c r="Q892" s="1043">
        <v>6000000</v>
      </c>
      <c r="R892" s="1043">
        <v>22990443</v>
      </c>
      <c r="S892" s="1011" t="s">
        <v>1366</v>
      </c>
      <c r="T892" s="840" t="s">
        <v>1368</v>
      </c>
      <c r="U892" s="866">
        <v>3000000</v>
      </c>
      <c r="V892" s="855">
        <v>41075</v>
      </c>
      <c r="W892" s="866" t="s">
        <v>137</v>
      </c>
      <c r="X892" s="1043">
        <v>6000000</v>
      </c>
      <c r="Y892" s="1043">
        <v>22990443</v>
      </c>
      <c r="Z892" s="827">
        <v>0</v>
      </c>
      <c r="AA892" s="1043">
        <v>0</v>
      </c>
      <c r="AB892" s="1043">
        <v>0</v>
      </c>
      <c r="AC892" s="1043">
        <v>0</v>
      </c>
      <c r="AD892" s="1043">
        <v>0</v>
      </c>
      <c r="AE892" s="1043">
        <v>0</v>
      </c>
      <c r="AF892" s="1023" t="s">
        <v>606</v>
      </c>
      <c r="AG892" s="1103" t="s">
        <v>1372</v>
      </c>
      <c r="AH892" s="1103" t="s">
        <v>195</v>
      </c>
      <c r="AI892" s="1103" t="s">
        <v>1097</v>
      </c>
    </row>
    <row r="893" spans="1:35" s="4" customFormat="1" ht="15" customHeight="1">
      <c r="A893" s="1033"/>
      <c r="B893" s="1124"/>
      <c r="C893" s="1124"/>
      <c r="D893" s="1124"/>
      <c r="E893" s="1033"/>
      <c r="F893" s="1033"/>
      <c r="G893" s="1033"/>
      <c r="H893" s="1288"/>
      <c r="I893" s="1038"/>
      <c r="J893" s="1064"/>
      <c r="K893" s="1064"/>
      <c r="L893" s="1063"/>
      <c r="M893" s="1070"/>
      <c r="N893" s="1091"/>
      <c r="O893" s="1064"/>
      <c r="P893" s="1064"/>
      <c r="Q893" s="1045"/>
      <c r="R893" s="1044"/>
      <c r="S893" s="1033"/>
      <c r="T893" s="840" t="s">
        <v>1370</v>
      </c>
      <c r="U893" s="866">
        <v>3000000</v>
      </c>
      <c r="V893" s="855">
        <v>42037</v>
      </c>
      <c r="W893" s="866" t="s">
        <v>137</v>
      </c>
      <c r="X893" s="1045"/>
      <c r="Y893" s="1044"/>
      <c r="Z893" s="827">
        <v>0</v>
      </c>
      <c r="AA893" s="1044"/>
      <c r="AB893" s="1044"/>
      <c r="AC893" s="1045"/>
      <c r="AD893" s="1045"/>
      <c r="AE893" s="1045"/>
      <c r="AF893" s="1124"/>
      <c r="AG893" s="1104"/>
      <c r="AH893" s="1104"/>
      <c r="AI893" s="1104"/>
    </row>
    <row r="894" spans="1:35" s="4" customFormat="1" ht="15" customHeight="1">
      <c r="A894" s="1033"/>
      <c r="B894" s="1124"/>
      <c r="C894" s="1124"/>
      <c r="D894" s="1124"/>
      <c r="E894" s="1033"/>
      <c r="F894" s="1033"/>
      <c r="G894" s="1033"/>
      <c r="H894" s="1286">
        <v>222</v>
      </c>
      <c r="I894" s="1021" t="s">
        <v>137</v>
      </c>
      <c r="J894" s="1062">
        <v>14681682</v>
      </c>
      <c r="K894" s="1062">
        <v>14681682</v>
      </c>
      <c r="L894" s="1063"/>
      <c r="M894" s="1068">
        <v>40851</v>
      </c>
      <c r="N894" s="1089">
        <v>14000000</v>
      </c>
      <c r="O894" s="1062">
        <v>14000000</v>
      </c>
      <c r="P894" s="1062">
        <v>681682</v>
      </c>
      <c r="Q894" s="1043">
        <v>14000000</v>
      </c>
      <c r="R894" s="1044"/>
      <c r="S894" s="1033"/>
      <c r="T894" s="840" t="s">
        <v>1368</v>
      </c>
      <c r="U894" s="866">
        <v>7000000</v>
      </c>
      <c r="V894" s="855">
        <v>41075</v>
      </c>
      <c r="W894" s="866" t="s">
        <v>137</v>
      </c>
      <c r="X894" s="1043">
        <v>14000000</v>
      </c>
      <c r="Y894" s="1044"/>
      <c r="Z894" s="827">
        <v>0</v>
      </c>
      <c r="AA894" s="1084">
        <v>0</v>
      </c>
      <c r="AB894" s="1044"/>
      <c r="AC894" s="1043">
        <v>0</v>
      </c>
      <c r="AD894" s="1043">
        <v>0</v>
      </c>
      <c r="AE894" s="1043">
        <v>0</v>
      </c>
      <c r="AF894" s="1124"/>
      <c r="AG894" s="1104"/>
      <c r="AH894" s="1104"/>
      <c r="AI894" s="1104"/>
    </row>
    <row r="895" spans="1:35" s="4" customFormat="1" ht="15" customHeight="1">
      <c r="A895" s="1033"/>
      <c r="B895" s="1124"/>
      <c r="C895" s="1124"/>
      <c r="D895" s="1124"/>
      <c r="E895" s="1012"/>
      <c r="F895" s="1033"/>
      <c r="G895" s="1033"/>
      <c r="H895" s="1288"/>
      <c r="I895" s="1038"/>
      <c r="J895" s="1064"/>
      <c r="K895" s="1064"/>
      <c r="L895" s="1063"/>
      <c r="M895" s="1070"/>
      <c r="N895" s="1091"/>
      <c r="O895" s="1064"/>
      <c r="P895" s="1064"/>
      <c r="Q895" s="1045"/>
      <c r="R895" s="1044"/>
      <c r="S895" s="1033"/>
      <c r="T895" s="840" t="s">
        <v>1369</v>
      </c>
      <c r="U895" s="866">
        <v>7000000</v>
      </c>
      <c r="V895" s="855">
        <v>41857</v>
      </c>
      <c r="W895" s="866" t="s">
        <v>137</v>
      </c>
      <c r="X895" s="1045"/>
      <c r="Y895" s="1044"/>
      <c r="Z895" s="827">
        <v>0</v>
      </c>
      <c r="AA895" s="1084"/>
      <c r="AB895" s="1044"/>
      <c r="AC895" s="1045"/>
      <c r="AD895" s="1045"/>
      <c r="AE895" s="1045"/>
      <c r="AF895" s="1124"/>
      <c r="AG895" s="1104"/>
      <c r="AH895" s="1104"/>
      <c r="AI895" s="1104"/>
    </row>
    <row r="896" spans="1:35" s="4" customFormat="1" ht="15" customHeight="1">
      <c r="A896" s="1012"/>
      <c r="B896" s="1024"/>
      <c r="C896" s="1024"/>
      <c r="D896" s="1024"/>
      <c r="E896" s="823" t="s">
        <v>67</v>
      </c>
      <c r="F896" s="1012"/>
      <c r="G896" s="1012"/>
      <c r="H896" s="876">
        <v>307</v>
      </c>
      <c r="I896" s="842" t="s">
        <v>7</v>
      </c>
      <c r="J896" s="858">
        <v>2990443</v>
      </c>
      <c r="K896" s="858">
        <v>2990443</v>
      </c>
      <c r="L896" s="1064"/>
      <c r="M896" s="855">
        <v>41798</v>
      </c>
      <c r="N896" s="908">
        <v>2990443</v>
      </c>
      <c r="O896" s="858">
        <v>2990443</v>
      </c>
      <c r="P896" s="858">
        <v>0</v>
      </c>
      <c r="Q896" s="827">
        <v>2990443</v>
      </c>
      <c r="R896" s="1045"/>
      <c r="S896" s="1012"/>
      <c r="T896" s="840" t="s">
        <v>1371</v>
      </c>
      <c r="U896" s="866">
        <v>2990443</v>
      </c>
      <c r="V896" s="855">
        <v>42037</v>
      </c>
      <c r="W896" s="866" t="s">
        <v>7</v>
      </c>
      <c r="X896" s="827">
        <v>2990443</v>
      </c>
      <c r="Y896" s="1045"/>
      <c r="Z896" s="827">
        <v>0</v>
      </c>
      <c r="AA896" s="807">
        <v>0</v>
      </c>
      <c r="AB896" s="1045"/>
      <c r="AC896" s="827">
        <v>0</v>
      </c>
      <c r="AD896" s="827">
        <v>0</v>
      </c>
      <c r="AE896" s="827">
        <v>0</v>
      </c>
      <c r="AF896" s="1024"/>
      <c r="AG896" s="1105"/>
      <c r="AH896" s="1105"/>
      <c r="AI896" s="1105"/>
    </row>
    <row r="897" spans="1:35" s="4" customFormat="1" ht="15" customHeight="1">
      <c r="A897" s="1023" t="s">
        <v>1373</v>
      </c>
      <c r="B897" s="1023" t="s">
        <v>1375</v>
      </c>
      <c r="C897" s="1023" t="s">
        <v>70</v>
      </c>
      <c r="D897" s="1023" t="s">
        <v>206</v>
      </c>
      <c r="E897" s="1023" t="s">
        <v>66</v>
      </c>
      <c r="F897" s="1023" t="s">
        <v>250</v>
      </c>
      <c r="G897" s="1023" t="s">
        <v>1367</v>
      </c>
      <c r="H897" s="1286">
        <v>2</v>
      </c>
      <c r="I897" s="1023" t="s">
        <v>155</v>
      </c>
      <c r="J897" s="1043">
        <v>114671764</v>
      </c>
      <c r="K897" s="1043">
        <v>114671764</v>
      </c>
      <c r="L897" s="1043">
        <v>114671764</v>
      </c>
      <c r="M897" s="1068">
        <v>40871</v>
      </c>
      <c r="N897" s="1089">
        <v>114671764</v>
      </c>
      <c r="O897" s="1062">
        <v>114671764</v>
      </c>
      <c r="P897" s="1062">
        <v>0</v>
      </c>
      <c r="Q897" s="1043">
        <v>114637000</v>
      </c>
      <c r="R897" s="1043">
        <v>114637000</v>
      </c>
      <c r="S897" s="1023" t="s">
        <v>1138</v>
      </c>
      <c r="T897" s="840" t="s">
        <v>1376</v>
      </c>
      <c r="U897" s="866">
        <v>57318500</v>
      </c>
      <c r="V897" s="855">
        <v>41269</v>
      </c>
      <c r="W897" s="866" t="s">
        <v>155</v>
      </c>
      <c r="X897" s="1043">
        <v>108905150</v>
      </c>
      <c r="Y897" s="1043">
        <v>108905150</v>
      </c>
      <c r="Z897" s="827">
        <v>0</v>
      </c>
      <c r="AA897" s="1043">
        <v>5766614</v>
      </c>
      <c r="AB897" s="1043">
        <v>-5731850</v>
      </c>
      <c r="AC897" s="1043">
        <v>34764</v>
      </c>
      <c r="AD897" s="1043">
        <v>5731850</v>
      </c>
      <c r="AE897" s="1043">
        <v>5766614</v>
      </c>
      <c r="AF897" s="1023" t="s">
        <v>1379</v>
      </c>
      <c r="AG897" s="1023" t="s">
        <v>1380</v>
      </c>
      <c r="AH897" s="1103" t="s">
        <v>195</v>
      </c>
      <c r="AI897" s="1103" t="s">
        <v>1097</v>
      </c>
    </row>
    <row r="898" spans="1:35" s="4" customFormat="1" ht="15" customHeight="1">
      <c r="A898" s="1124"/>
      <c r="B898" s="1124"/>
      <c r="C898" s="1124"/>
      <c r="D898" s="1124"/>
      <c r="E898" s="1124"/>
      <c r="F898" s="1124"/>
      <c r="G898" s="1124"/>
      <c r="H898" s="1287"/>
      <c r="I898" s="1124"/>
      <c r="J898" s="1044"/>
      <c r="K898" s="1044"/>
      <c r="L898" s="1044"/>
      <c r="M898" s="1069"/>
      <c r="N898" s="1090"/>
      <c r="O898" s="1063"/>
      <c r="P898" s="1063"/>
      <c r="Q898" s="1044"/>
      <c r="R898" s="1044"/>
      <c r="S898" s="1124"/>
      <c r="T898" s="840" t="s">
        <v>1377</v>
      </c>
      <c r="U898" s="866">
        <v>42988875</v>
      </c>
      <c r="V898" s="855">
        <v>41451</v>
      </c>
      <c r="W898" s="866" t="s">
        <v>155</v>
      </c>
      <c r="X898" s="1044"/>
      <c r="Y898" s="1044"/>
      <c r="Z898" s="827">
        <v>0</v>
      </c>
      <c r="AA898" s="1044"/>
      <c r="AB898" s="1044"/>
      <c r="AC898" s="1044"/>
      <c r="AD898" s="1044"/>
      <c r="AE898" s="1044"/>
      <c r="AF898" s="1124"/>
      <c r="AG898" s="1124"/>
      <c r="AH898" s="1104"/>
      <c r="AI898" s="1104"/>
    </row>
    <row r="899" spans="1:35" s="4" customFormat="1" ht="15" customHeight="1">
      <c r="A899" s="1024"/>
      <c r="B899" s="1024"/>
      <c r="C899" s="1024"/>
      <c r="D899" s="1024"/>
      <c r="E899" s="1024"/>
      <c r="F899" s="1024"/>
      <c r="G899" s="1024"/>
      <c r="H899" s="1288"/>
      <c r="I899" s="1024"/>
      <c r="J899" s="1045"/>
      <c r="K899" s="1045"/>
      <c r="L899" s="1045"/>
      <c r="M899" s="1070"/>
      <c r="N899" s="1091"/>
      <c r="O899" s="1064"/>
      <c r="P899" s="1064"/>
      <c r="Q899" s="1045"/>
      <c r="R899" s="1045"/>
      <c r="S899" s="1024"/>
      <c r="T899" s="840" t="s">
        <v>1378</v>
      </c>
      <c r="U899" s="866">
        <v>8597775</v>
      </c>
      <c r="V899" s="855">
        <v>41528</v>
      </c>
      <c r="W899" s="866" t="s">
        <v>155</v>
      </c>
      <c r="X899" s="1045"/>
      <c r="Y899" s="1045"/>
      <c r="Z899" s="827">
        <v>0</v>
      </c>
      <c r="AA899" s="1045"/>
      <c r="AB899" s="1045"/>
      <c r="AC899" s="1045"/>
      <c r="AD899" s="1045"/>
      <c r="AE899" s="1045"/>
      <c r="AF899" s="1024"/>
      <c r="AG899" s="1024"/>
      <c r="AH899" s="1105"/>
      <c r="AI899" s="1105"/>
    </row>
    <row r="900" spans="1:35" ht="15" customHeight="1">
      <c r="A900" s="1011" t="s">
        <v>1381</v>
      </c>
      <c r="B900" s="1011" t="s">
        <v>1383</v>
      </c>
      <c r="C900" s="1011" t="s">
        <v>72</v>
      </c>
      <c r="D900" s="1011" t="s">
        <v>206</v>
      </c>
      <c r="E900" s="1011" t="s">
        <v>66</v>
      </c>
      <c r="F900" s="1011" t="s">
        <v>183</v>
      </c>
      <c r="G900" s="1011" t="s">
        <v>1443</v>
      </c>
      <c r="H900" s="1286">
        <v>230</v>
      </c>
      <c r="I900" s="1065" t="s">
        <v>7</v>
      </c>
      <c r="J900" s="1062">
        <v>45116885</v>
      </c>
      <c r="K900" s="1062">
        <v>45116885</v>
      </c>
      <c r="L900" s="1062">
        <v>70915067</v>
      </c>
      <c r="M900" s="1068">
        <v>40899</v>
      </c>
      <c r="N900" s="1092">
        <v>45116885</v>
      </c>
      <c r="O900" s="1062">
        <v>45116885</v>
      </c>
      <c r="P900" s="1062">
        <v>0</v>
      </c>
      <c r="Q900" s="1062">
        <v>45097668</v>
      </c>
      <c r="R900" s="1062">
        <v>70887600</v>
      </c>
      <c r="S900" s="1011" t="s">
        <v>1138</v>
      </c>
      <c r="T900" s="840" t="s">
        <v>1384</v>
      </c>
      <c r="U900" s="866">
        <v>22548834</v>
      </c>
      <c r="V900" s="855">
        <v>41094</v>
      </c>
      <c r="W900" s="866" t="s">
        <v>7</v>
      </c>
      <c r="X900" s="1043">
        <v>45097670</v>
      </c>
      <c r="Y900" s="1043"/>
      <c r="Z900" s="827">
        <v>0</v>
      </c>
      <c r="AA900" s="1043"/>
      <c r="AB900" s="1062">
        <v>5268448</v>
      </c>
      <c r="AC900" s="1062">
        <v>19217</v>
      </c>
      <c r="AD900" s="1062">
        <v>0</v>
      </c>
      <c r="AE900" s="1062"/>
      <c r="AF900" s="1103"/>
      <c r="AG900" s="1357" t="s">
        <v>2316</v>
      </c>
      <c r="AH900" s="1103" t="s">
        <v>194</v>
      </c>
      <c r="AI900" s="1103" t="s">
        <v>1097</v>
      </c>
    </row>
    <row r="901" spans="1:35" ht="15" customHeight="1">
      <c r="A901" s="1033"/>
      <c r="B901" s="1033"/>
      <c r="C901" s="1033"/>
      <c r="D901" s="1033"/>
      <c r="E901" s="1033"/>
      <c r="F901" s="1033"/>
      <c r="G901" s="1033"/>
      <c r="H901" s="1287"/>
      <c r="I901" s="1066"/>
      <c r="J901" s="1063"/>
      <c r="K901" s="1063"/>
      <c r="L901" s="1063"/>
      <c r="M901" s="1069"/>
      <c r="N901" s="1093"/>
      <c r="O901" s="1063"/>
      <c r="P901" s="1063"/>
      <c r="Q901" s="1063"/>
      <c r="R901" s="1063"/>
      <c r="S901" s="1033"/>
      <c r="T901" s="840" t="s">
        <v>1385</v>
      </c>
      <c r="U901" s="866">
        <v>3307250.5</v>
      </c>
      <c r="V901" s="855">
        <v>41179</v>
      </c>
      <c r="W901" s="866" t="s">
        <v>7</v>
      </c>
      <c r="X901" s="1044"/>
      <c r="Y901" s="1044"/>
      <c r="Z901" s="827">
        <v>0</v>
      </c>
      <c r="AA901" s="1044"/>
      <c r="AB901" s="1063"/>
      <c r="AC901" s="1063"/>
      <c r="AD901" s="1063"/>
      <c r="AE901" s="1063"/>
      <c r="AF901" s="1104"/>
      <c r="AG901" s="1358"/>
      <c r="AH901" s="1104"/>
      <c r="AI901" s="1104"/>
    </row>
    <row r="902" spans="1:35" ht="15" customHeight="1">
      <c r="A902" s="1033"/>
      <c r="B902" s="1033"/>
      <c r="C902" s="1033"/>
      <c r="D902" s="1033"/>
      <c r="E902" s="1033"/>
      <c r="F902" s="1033"/>
      <c r="G902" s="1033"/>
      <c r="H902" s="1287"/>
      <c r="I902" s="1066"/>
      <c r="J902" s="1063"/>
      <c r="K902" s="1063"/>
      <c r="L902" s="1063"/>
      <c r="M902" s="1069"/>
      <c r="N902" s="1093"/>
      <c r="O902" s="1063"/>
      <c r="P902" s="1063"/>
      <c r="Q902" s="1063"/>
      <c r="R902" s="1063"/>
      <c r="S902" s="1033"/>
      <c r="T902" s="840" t="s">
        <v>1387</v>
      </c>
      <c r="U902" s="866">
        <v>3307250.5</v>
      </c>
      <c r="V902" s="855">
        <v>41179</v>
      </c>
      <c r="W902" s="866" t="s">
        <v>7</v>
      </c>
      <c r="X902" s="1044"/>
      <c r="Y902" s="1044"/>
      <c r="Z902" s="827">
        <v>0</v>
      </c>
      <c r="AA902" s="1044"/>
      <c r="AB902" s="1063"/>
      <c r="AC902" s="1063"/>
      <c r="AD902" s="1063"/>
      <c r="AE902" s="1063"/>
      <c r="AF902" s="1104"/>
      <c r="AG902" s="1358"/>
      <c r="AH902" s="1104"/>
      <c r="AI902" s="1104"/>
    </row>
    <row r="903" spans="1:35" ht="15" customHeight="1">
      <c r="A903" s="1033"/>
      <c r="B903" s="1033"/>
      <c r="C903" s="1033"/>
      <c r="D903" s="1033"/>
      <c r="E903" s="1033"/>
      <c r="F903" s="1033"/>
      <c r="G903" s="1033"/>
      <c r="H903" s="1287"/>
      <c r="I903" s="1066"/>
      <c r="J903" s="1063"/>
      <c r="K903" s="1063"/>
      <c r="L903" s="1063"/>
      <c r="M903" s="1069"/>
      <c r="N903" s="1093"/>
      <c r="O903" s="1063"/>
      <c r="P903" s="1063"/>
      <c r="Q903" s="1063"/>
      <c r="R903" s="1063"/>
      <c r="S903" s="1033"/>
      <c r="T903" s="840" t="s">
        <v>1389</v>
      </c>
      <c r="U903" s="866">
        <v>3307250.5</v>
      </c>
      <c r="V903" s="855">
        <v>41179</v>
      </c>
      <c r="W903" s="866" t="s">
        <v>7</v>
      </c>
      <c r="X903" s="1044"/>
      <c r="Y903" s="1044"/>
      <c r="Z903" s="827">
        <v>0</v>
      </c>
      <c r="AA903" s="1044"/>
      <c r="AB903" s="1063"/>
      <c r="AC903" s="1063"/>
      <c r="AD903" s="1063"/>
      <c r="AE903" s="1063"/>
      <c r="AF903" s="1104"/>
      <c r="AG903" s="1358"/>
      <c r="AH903" s="1104"/>
      <c r="AI903" s="1104"/>
    </row>
    <row r="904" spans="1:35" ht="15" customHeight="1">
      <c r="A904" s="1033"/>
      <c r="B904" s="1033"/>
      <c r="C904" s="1033"/>
      <c r="D904" s="1033"/>
      <c r="E904" s="1033"/>
      <c r="F904" s="1033"/>
      <c r="G904" s="1033"/>
      <c r="H904" s="1287"/>
      <c r="I904" s="1066"/>
      <c r="J904" s="1063"/>
      <c r="K904" s="1063"/>
      <c r="L904" s="1063"/>
      <c r="M904" s="1069"/>
      <c r="N904" s="1093"/>
      <c r="O904" s="1063"/>
      <c r="P904" s="1063"/>
      <c r="Q904" s="1063"/>
      <c r="R904" s="1063"/>
      <c r="S904" s="1033"/>
      <c r="T904" s="840" t="s">
        <v>1391</v>
      </c>
      <c r="U904" s="866">
        <v>3307251.5</v>
      </c>
      <c r="V904" s="855">
        <v>41232</v>
      </c>
      <c r="W904" s="866" t="s">
        <v>7</v>
      </c>
      <c r="X904" s="1044"/>
      <c r="Y904" s="1044"/>
      <c r="Z904" s="827">
        <v>0</v>
      </c>
      <c r="AA904" s="1044"/>
      <c r="AB904" s="1063"/>
      <c r="AC904" s="1063"/>
      <c r="AD904" s="1063"/>
      <c r="AE904" s="1063"/>
      <c r="AF904" s="1104"/>
      <c r="AG904" s="1358"/>
      <c r="AH904" s="1104"/>
      <c r="AI904" s="1104"/>
    </row>
    <row r="905" spans="1:35" ht="15" customHeight="1">
      <c r="A905" s="1033"/>
      <c r="B905" s="1033"/>
      <c r="C905" s="1033"/>
      <c r="D905" s="1033"/>
      <c r="E905" s="1033"/>
      <c r="F905" s="1033"/>
      <c r="G905" s="1033"/>
      <c r="H905" s="1287"/>
      <c r="I905" s="1066"/>
      <c r="J905" s="1063"/>
      <c r="K905" s="1063"/>
      <c r="L905" s="1063"/>
      <c r="M905" s="1069"/>
      <c r="N905" s="1093"/>
      <c r="O905" s="1063"/>
      <c r="P905" s="1063"/>
      <c r="Q905" s="1063"/>
      <c r="R905" s="1063"/>
      <c r="S905" s="1033"/>
      <c r="T905" s="840" t="s">
        <v>1393</v>
      </c>
      <c r="U905" s="866">
        <v>3307252</v>
      </c>
      <c r="V905" s="855">
        <v>41232</v>
      </c>
      <c r="W905" s="866" t="s">
        <v>7</v>
      </c>
      <c r="X905" s="1044"/>
      <c r="Y905" s="1044"/>
      <c r="Z905" s="827">
        <v>-0.5</v>
      </c>
      <c r="AA905" s="1044"/>
      <c r="AB905" s="1063"/>
      <c r="AC905" s="1063"/>
      <c r="AD905" s="1063"/>
      <c r="AE905" s="1063"/>
      <c r="AF905" s="1104"/>
      <c r="AG905" s="1358"/>
      <c r="AH905" s="1104"/>
      <c r="AI905" s="1104"/>
    </row>
    <row r="906" spans="1:35" ht="15" customHeight="1">
      <c r="A906" s="1033"/>
      <c r="B906" s="1033"/>
      <c r="C906" s="1033"/>
      <c r="D906" s="1033"/>
      <c r="E906" s="1033"/>
      <c r="F906" s="1033"/>
      <c r="G906" s="1033"/>
      <c r="H906" s="1287"/>
      <c r="I906" s="1066"/>
      <c r="J906" s="1063"/>
      <c r="K906" s="1063"/>
      <c r="L906" s="1063"/>
      <c r="M906" s="1069"/>
      <c r="N906" s="1093"/>
      <c r="O906" s="1063"/>
      <c r="P906" s="1063"/>
      <c r="Q906" s="1063"/>
      <c r="R906" s="1063"/>
      <c r="S906" s="1033"/>
      <c r="T906" s="840" t="s">
        <v>1395</v>
      </c>
      <c r="U906" s="866">
        <v>3307251.5</v>
      </c>
      <c r="V906" s="855">
        <v>41232</v>
      </c>
      <c r="W906" s="866" t="s">
        <v>7</v>
      </c>
      <c r="X906" s="1044"/>
      <c r="Y906" s="1044"/>
      <c r="Z906" s="827">
        <v>0</v>
      </c>
      <c r="AA906" s="1044"/>
      <c r="AB906" s="1063"/>
      <c r="AC906" s="1063"/>
      <c r="AD906" s="1063"/>
      <c r="AE906" s="1063"/>
      <c r="AF906" s="1104"/>
      <c r="AG906" s="1358"/>
      <c r="AH906" s="1104"/>
      <c r="AI906" s="1104"/>
    </row>
    <row r="907" spans="1:35" ht="15" customHeight="1">
      <c r="A907" s="1033"/>
      <c r="B907" s="1033"/>
      <c r="C907" s="1033"/>
      <c r="D907" s="1033"/>
      <c r="E907" s="1033"/>
      <c r="F907" s="1033"/>
      <c r="G907" s="1033"/>
      <c r="H907" s="1287"/>
      <c r="I907" s="1066"/>
      <c r="J907" s="1063"/>
      <c r="K907" s="1063"/>
      <c r="L907" s="1063"/>
      <c r="M907" s="1069"/>
      <c r="N907" s="1093"/>
      <c r="O907" s="1063"/>
      <c r="P907" s="1063"/>
      <c r="Q907" s="1063"/>
      <c r="R907" s="1063"/>
      <c r="S907" s="1033"/>
      <c r="T907" s="840" t="s">
        <v>1397</v>
      </c>
      <c r="U907" s="866">
        <v>2705329.5</v>
      </c>
      <c r="V907" s="855">
        <v>41465</v>
      </c>
      <c r="W907" s="866" t="s">
        <v>7</v>
      </c>
      <c r="X907" s="1044"/>
      <c r="Y907" s="1044"/>
      <c r="Z907" s="827">
        <v>0</v>
      </c>
      <c r="AA907" s="1044"/>
      <c r="AB907" s="1063"/>
      <c r="AC907" s="1063"/>
      <c r="AD907" s="1063"/>
      <c r="AE907" s="1063"/>
      <c r="AF907" s="1104"/>
      <c r="AG907" s="1358"/>
      <c r="AH907" s="1104"/>
      <c r="AI907" s="1104"/>
    </row>
    <row r="908" spans="1:35" ht="15" customHeight="1">
      <c r="A908" s="1033"/>
      <c r="B908" s="1033"/>
      <c r="C908" s="1033"/>
      <c r="D908" s="1033"/>
      <c r="E908" s="1033"/>
      <c r="F908" s="1033"/>
      <c r="G908" s="1033"/>
      <c r="H908" s="1288"/>
      <c r="I908" s="1067"/>
      <c r="J908" s="1064"/>
      <c r="K908" s="1064"/>
      <c r="L908" s="1063"/>
      <c r="M908" s="1070"/>
      <c r="N908" s="1094"/>
      <c r="O908" s="1064"/>
      <c r="P908" s="1064"/>
      <c r="Q908" s="1064"/>
      <c r="R908" s="1063"/>
      <c r="S908" s="1033"/>
      <c r="T908" s="840"/>
      <c r="U908" s="866"/>
      <c r="V908" s="855"/>
      <c r="W908" s="866"/>
      <c r="X908" s="1045"/>
      <c r="Y908" s="1044"/>
      <c r="Z908" s="827">
        <v>0</v>
      </c>
      <c r="AA908" s="1045"/>
      <c r="AB908" s="1063"/>
      <c r="AC908" s="1064"/>
      <c r="AD908" s="1064"/>
      <c r="AE908" s="1064"/>
      <c r="AF908" s="1104"/>
      <c r="AG908" s="1358"/>
      <c r="AH908" s="1104"/>
      <c r="AI908" s="1104"/>
    </row>
    <row r="909" spans="1:35" ht="15" customHeight="1">
      <c r="A909" s="1033"/>
      <c r="B909" s="1033"/>
      <c r="C909" s="1033"/>
      <c r="D909" s="1033"/>
      <c r="E909" s="1033"/>
      <c r="F909" s="1033"/>
      <c r="G909" s="1033"/>
      <c r="H909" s="1286">
        <v>4</v>
      </c>
      <c r="I909" s="1065" t="s">
        <v>149</v>
      </c>
      <c r="J909" s="1062">
        <v>25798182</v>
      </c>
      <c r="K909" s="1062">
        <v>25798182</v>
      </c>
      <c r="L909" s="1063"/>
      <c r="M909" s="1068">
        <v>40899</v>
      </c>
      <c r="N909" s="1092">
        <v>25798182</v>
      </c>
      <c r="O909" s="1092">
        <v>25798182</v>
      </c>
      <c r="P909" s="1092">
        <v>0</v>
      </c>
      <c r="Q909" s="1062">
        <v>25789932</v>
      </c>
      <c r="R909" s="1063"/>
      <c r="S909" s="1033"/>
      <c r="T909" s="840" t="s">
        <v>1384</v>
      </c>
      <c r="U909" s="866">
        <v>12894966</v>
      </c>
      <c r="V909" s="855">
        <v>41094</v>
      </c>
      <c r="W909" s="866" t="s">
        <v>149</v>
      </c>
      <c r="X909" s="1043">
        <v>20521485</v>
      </c>
      <c r="Y909" s="1044"/>
      <c r="Z909" s="827">
        <v>0</v>
      </c>
      <c r="AA909" s="1043"/>
      <c r="AB909" s="1063"/>
      <c r="AC909" s="1062">
        <v>8250</v>
      </c>
      <c r="AD909" s="1062">
        <v>-3</v>
      </c>
      <c r="AE909" s="1062"/>
      <c r="AF909" s="1104"/>
      <c r="AG909" s="1358"/>
      <c r="AH909" s="1104"/>
      <c r="AI909" s="1104"/>
    </row>
    <row r="910" spans="1:35" ht="15" customHeight="1">
      <c r="A910" s="1033"/>
      <c r="B910" s="1033"/>
      <c r="C910" s="1033"/>
      <c r="D910" s="1033"/>
      <c r="E910" s="1033"/>
      <c r="F910" s="1033"/>
      <c r="G910" s="1033"/>
      <c r="H910" s="1287"/>
      <c r="I910" s="1066"/>
      <c r="J910" s="1063"/>
      <c r="K910" s="1063"/>
      <c r="L910" s="1063"/>
      <c r="M910" s="1069"/>
      <c r="N910" s="1093"/>
      <c r="O910" s="1093"/>
      <c r="P910" s="1093"/>
      <c r="Q910" s="1063"/>
      <c r="R910" s="1063"/>
      <c r="S910" s="1033"/>
      <c r="T910" s="840" t="s">
        <v>1386</v>
      </c>
      <c r="U910" s="866">
        <v>1756149.5</v>
      </c>
      <c r="V910" s="855">
        <v>41179</v>
      </c>
      <c r="W910" s="866" t="s">
        <v>149</v>
      </c>
      <c r="X910" s="1044"/>
      <c r="Y910" s="1044"/>
      <c r="Z910" s="827">
        <v>0</v>
      </c>
      <c r="AA910" s="1044"/>
      <c r="AB910" s="1063"/>
      <c r="AC910" s="1063"/>
      <c r="AD910" s="1063"/>
      <c r="AE910" s="1063"/>
      <c r="AF910" s="1104"/>
      <c r="AG910" s="1358"/>
      <c r="AH910" s="1104"/>
      <c r="AI910" s="1104"/>
    </row>
    <row r="911" spans="1:35" ht="15" customHeight="1">
      <c r="A911" s="1033"/>
      <c r="B911" s="1033"/>
      <c r="C911" s="1033"/>
      <c r="D911" s="1033"/>
      <c r="E911" s="1033"/>
      <c r="F911" s="1033"/>
      <c r="G911" s="1033"/>
      <c r="H911" s="1287"/>
      <c r="I911" s="1066"/>
      <c r="J911" s="1063"/>
      <c r="K911" s="1063"/>
      <c r="L911" s="1063"/>
      <c r="M911" s="1069"/>
      <c r="N911" s="1093"/>
      <c r="O911" s="1093"/>
      <c r="P911" s="1093"/>
      <c r="Q911" s="1063"/>
      <c r="R911" s="1063"/>
      <c r="S911" s="1033"/>
      <c r="T911" s="840" t="s">
        <v>1388</v>
      </c>
      <c r="U911" s="866">
        <v>1756149.5</v>
      </c>
      <c r="V911" s="855">
        <v>41179</v>
      </c>
      <c r="W911" s="866" t="s">
        <v>149</v>
      </c>
      <c r="X911" s="1044"/>
      <c r="Y911" s="1044"/>
      <c r="Z911" s="827">
        <v>0</v>
      </c>
      <c r="AA911" s="1044"/>
      <c r="AB911" s="1063"/>
      <c r="AC911" s="1063"/>
      <c r="AD911" s="1063"/>
      <c r="AE911" s="1063"/>
      <c r="AF911" s="1104"/>
      <c r="AG911" s="1358"/>
      <c r="AH911" s="1104"/>
      <c r="AI911" s="1104"/>
    </row>
    <row r="912" spans="1:35" ht="15" customHeight="1">
      <c r="A912" s="1033"/>
      <c r="B912" s="1033"/>
      <c r="C912" s="1033"/>
      <c r="D912" s="1033"/>
      <c r="E912" s="1033"/>
      <c r="F912" s="1033"/>
      <c r="G912" s="1033"/>
      <c r="H912" s="1287"/>
      <c r="I912" s="1066"/>
      <c r="J912" s="1063"/>
      <c r="K912" s="1063"/>
      <c r="L912" s="1063"/>
      <c r="M912" s="1069"/>
      <c r="N912" s="1093"/>
      <c r="O912" s="1093"/>
      <c r="P912" s="1093"/>
      <c r="Q912" s="1063"/>
      <c r="R912" s="1063"/>
      <c r="S912" s="1033"/>
      <c r="T912" s="840" t="s">
        <v>1390</v>
      </c>
      <c r="U912" s="866">
        <v>1756149.5</v>
      </c>
      <c r="V912" s="855">
        <v>41209</v>
      </c>
      <c r="W912" s="866" t="s">
        <v>149</v>
      </c>
      <c r="X912" s="1044"/>
      <c r="Y912" s="1044"/>
      <c r="Z912" s="827">
        <v>0</v>
      </c>
      <c r="AA912" s="1044"/>
      <c r="AB912" s="1063"/>
      <c r="AC912" s="1063"/>
      <c r="AD912" s="1063"/>
      <c r="AE912" s="1063"/>
      <c r="AF912" s="1104"/>
      <c r="AG912" s="1358"/>
      <c r="AH912" s="1104"/>
      <c r="AI912" s="1104"/>
    </row>
    <row r="913" spans="1:35" ht="15" customHeight="1">
      <c r="A913" s="1033"/>
      <c r="B913" s="1033"/>
      <c r="C913" s="1033"/>
      <c r="D913" s="1033"/>
      <c r="E913" s="1033"/>
      <c r="F913" s="1033"/>
      <c r="G913" s="1033"/>
      <c r="H913" s="1287"/>
      <c r="I913" s="1066"/>
      <c r="J913" s="1063"/>
      <c r="K913" s="1063"/>
      <c r="L913" s="1063"/>
      <c r="M913" s="1069"/>
      <c r="N913" s="1093"/>
      <c r="O913" s="1093"/>
      <c r="P913" s="1093"/>
      <c r="Q913" s="1063"/>
      <c r="R913" s="1063"/>
      <c r="S913" s="1033"/>
      <c r="T913" s="840" t="s">
        <v>1392</v>
      </c>
      <c r="U913" s="866">
        <v>0</v>
      </c>
      <c r="V913" s="855"/>
      <c r="W913" s="866" t="s">
        <v>149</v>
      </c>
      <c r="X913" s="1044"/>
      <c r="Y913" s="1044"/>
      <c r="Z913" s="827">
        <v>1756149.5</v>
      </c>
      <c r="AA913" s="1044"/>
      <c r="AB913" s="1063"/>
      <c r="AC913" s="1063"/>
      <c r="AD913" s="1063"/>
      <c r="AE913" s="1063"/>
      <c r="AF913" s="1104"/>
      <c r="AG913" s="1358"/>
      <c r="AH913" s="1104"/>
      <c r="AI913" s="1104"/>
    </row>
    <row r="914" spans="1:35" ht="15" customHeight="1">
      <c r="A914" s="1033"/>
      <c r="B914" s="1033"/>
      <c r="C914" s="1033"/>
      <c r="D914" s="1033"/>
      <c r="E914" s="1033"/>
      <c r="F914" s="1033"/>
      <c r="G914" s="1033"/>
      <c r="H914" s="1287"/>
      <c r="I914" s="1066"/>
      <c r="J914" s="1063"/>
      <c r="K914" s="1063"/>
      <c r="L914" s="1063"/>
      <c r="M914" s="1069"/>
      <c r="N914" s="1093"/>
      <c r="O914" s="1093"/>
      <c r="P914" s="1093"/>
      <c r="Q914" s="1063"/>
      <c r="R914" s="1063"/>
      <c r="S914" s="1033"/>
      <c r="T914" s="840" t="s">
        <v>1394</v>
      </c>
      <c r="U914" s="866">
        <v>0</v>
      </c>
      <c r="V914" s="855"/>
      <c r="W914" s="866" t="s">
        <v>149</v>
      </c>
      <c r="X914" s="1044"/>
      <c r="Y914" s="1044"/>
      <c r="Z914" s="827">
        <v>1756149.5</v>
      </c>
      <c r="AA914" s="1044"/>
      <c r="AB914" s="1063"/>
      <c r="AC914" s="1063"/>
      <c r="AD914" s="1063"/>
      <c r="AE914" s="1063"/>
      <c r="AF914" s="1104"/>
      <c r="AG914" s="1358"/>
      <c r="AH914" s="1104"/>
      <c r="AI914" s="1104"/>
    </row>
    <row r="915" spans="1:35" ht="15" customHeight="1">
      <c r="A915" s="1033"/>
      <c r="B915" s="1033"/>
      <c r="C915" s="1033"/>
      <c r="D915" s="1033"/>
      <c r="E915" s="1033"/>
      <c r="F915" s="1033"/>
      <c r="G915" s="1033"/>
      <c r="H915" s="1287"/>
      <c r="I915" s="1066"/>
      <c r="J915" s="1063"/>
      <c r="K915" s="1063"/>
      <c r="L915" s="1063"/>
      <c r="M915" s="1069"/>
      <c r="N915" s="1093"/>
      <c r="O915" s="1093"/>
      <c r="P915" s="1093"/>
      <c r="Q915" s="1063"/>
      <c r="R915" s="1063"/>
      <c r="S915" s="1033"/>
      <c r="T915" s="840" t="s">
        <v>1396</v>
      </c>
      <c r="U915" s="866">
        <v>0</v>
      </c>
      <c r="V915" s="855"/>
      <c r="W915" s="866" t="s">
        <v>149</v>
      </c>
      <c r="X915" s="1044"/>
      <c r="Y915" s="1044"/>
      <c r="Z915" s="827">
        <v>1756149.5</v>
      </c>
      <c r="AA915" s="1044"/>
      <c r="AB915" s="1063"/>
      <c r="AC915" s="1063"/>
      <c r="AD915" s="1063"/>
      <c r="AE915" s="1063"/>
      <c r="AF915" s="1104"/>
      <c r="AG915" s="1358"/>
      <c r="AH915" s="1104"/>
      <c r="AI915" s="1104"/>
    </row>
    <row r="916" spans="1:35" ht="15" customHeight="1">
      <c r="A916" s="1012"/>
      <c r="B916" s="1012"/>
      <c r="C916" s="1012"/>
      <c r="D916" s="1012"/>
      <c r="E916" s="1012"/>
      <c r="F916" s="1012"/>
      <c r="G916" s="1012"/>
      <c r="H916" s="1288"/>
      <c r="I916" s="1067"/>
      <c r="J916" s="1064"/>
      <c r="K916" s="1064"/>
      <c r="L916" s="1064"/>
      <c r="M916" s="1070"/>
      <c r="N916" s="1094"/>
      <c r="O916" s="1094"/>
      <c r="P916" s="1094"/>
      <c r="Q916" s="1064"/>
      <c r="R916" s="1064"/>
      <c r="S916" s="1012"/>
      <c r="T916" s="840" t="s">
        <v>1398</v>
      </c>
      <c r="U916" s="866">
        <v>2358070.5</v>
      </c>
      <c r="V916" s="855">
        <v>41465</v>
      </c>
      <c r="W916" s="866" t="s">
        <v>149</v>
      </c>
      <c r="X916" s="1045"/>
      <c r="Y916" s="1045"/>
      <c r="Z916" s="827">
        <v>0</v>
      </c>
      <c r="AA916" s="1045"/>
      <c r="AB916" s="1064"/>
      <c r="AC916" s="1064"/>
      <c r="AD916" s="1064"/>
      <c r="AE916" s="1064"/>
      <c r="AF916" s="1105"/>
      <c r="AG916" s="1359"/>
      <c r="AH916" s="1105"/>
      <c r="AI916" s="1105"/>
    </row>
    <row r="917" spans="1:35" ht="15" customHeight="1">
      <c r="A917" s="1011" t="s">
        <v>1399</v>
      </c>
      <c r="B917" s="1011" t="s">
        <v>1401</v>
      </c>
      <c r="C917" s="1011" t="s">
        <v>71</v>
      </c>
      <c r="D917" s="1076" t="s">
        <v>1221</v>
      </c>
      <c r="E917" s="1011" t="s">
        <v>66</v>
      </c>
      <c r="F917" s="1011" t="s">
        <v>183</v>
      </c>
      <c r="G917" s="1011" t="s">
        <v>1405</v>
      </c>
      <c r="H917" s="1286">
        <v>228</v>
      </c>
      <c r="I917" s="1065" t="s">
        <v>7</v>
      </c>
      <c r="J917" s="1062">
        <v>325573017</v>
      </c>
      <c r="K917" s="1062">
        <v>325573017</v>
      </c>
      <c r="L917" s="1062">
        <v>406710535</v>
      </c>
      <c r="M917" s="1068">
        <v>40899</v>
      </c>
      <c r="N917" s="1092">
        <v>322641179</v>
      </c>
      <c r="O917" s="1062">
        <v>322641179</v>
      </c>
      <c r="P917" s="1062">
        <v>2931838</v>
      </c>
      <c r="Q917" s="1062">
        <v>322641179</v>
      </c>
      <c r="R917" s="1062">
        <v>403048040</v>
      </c>
      <c r="S917" s="1011" t="s">
        <v>1402</v>
      </c>
      <c r="T917" s="840" t="s">
        <v>1403</v>
      </c>
      <c r="U917" s="866">
        <v>165186271</v>
      </c>
      <c r="V917" s="855">
        <v>41169</v>
      </c>
      <c r="W917" s="866" t="s">
        <v>7</v>
      </c>
      <c r="X917" s="1043">
        <v>320905550</v>
      </c>
      <c r="Y917" s="1043">
        <v>400879867</v>
      </c>
      <c r="Z917" s="827">
        <v>0</v>
      </c>
      <c r="AA917" s="1043">
        <v>1735629</v>
      </c>
      <c r="AB917" s="1062">
        <v>0</v>
      </c>
      <c r="AC917" s="1062">
        <v>0</v>
      </c>
      <c r="AD917" s="1062">
        <v>1735629</v>
      </c>
      <c r="AE917" s="1062">
        <v>1735629</v>
      </c>
      <c r="AF917" s="1108" t="s">
        <v>606</v>
      </c>
      <c r="AG917" s="1103" t="s">
        <v>1406</v>
      </c>
      <c r="AH917" s="1103" t="s">
        <v>194</v>
      </c>
      <c r="AI917" s="1103" t="s">
        <v>1097</v>
      </c>
    </row>
    <row r="918" spans="1:35" ht="15" customHeight="1">
      <c r="A918" s="1033"/>
      <c r="B918" s="1033"/>
      <c r="C918" s="1033"/>
      <c r="D918" s="1076"/>
      <c r="E918" s="1033"/>
      <c r="F918" s="1033"/>
      <c r="G918" s="1033"/>
      <c r="H918" s="1288"/>
      <c r="I918" s="1067"/>
      <c r="J918" s="1064"/>
      <c r="K918" s="1064"/>
      <c r="L918" s="1063"/>
      <c r="M918" s="1070"/>
      <c r="N918" s="1094"/>
      <c r="O918" s="1064"/>
      <c r="P918" s="1064"/>
      <c r="Q918" s="1063"/>
      <c r="R918" s="1063"/>
      <c r="S918" s="1033"/>
      <c r="T918" s="840" t="s">
        <v>1404</v>
      </c>
      <c r="U918" s="866">
        <v>155719279</v>
      </c>
      <c r="V918" s="855">
        <v>41347</v>
      </c>
      <c r="W918" s="866" t="s">
        <v>7</v>
      </c>
      <c r="X918" s="1045"/>
      <c r="Y918" s="1044"/>
      <c r="Z918" s="827">
        <v>0</v>
      </c>
      <c r="AA918" s="1045"/>
      <c r="AB918" s="1063"/>
      <c r="AC918" s="1064"/>
      <c r="AD918" s="1064"/>
      <c r="AE918" s="1064"/>
      <c r="AF918" s="1109"/>
      <c r="AG918" s="1104"/>
      <c r="AH918" s="1104"/>
      <c r="AI918" s="1104"/>
    </row>
    <row r="919" spans="1:35" ht="15" customHeight="1">
      <c r="A919" s="1033"/>
      <c r="B919" s="1033"/>
      <c r="C919" s="1033"/>
      <c r="D919" s="1076"/>
      <c r="E919" s="1033"/>
      <c r="F919" s="1033"/>
      <c r="G919" s="1033"/>
      <c r="H919" s="1286">
        <v>3</v>
      </c>
      <c r="I919" s="1065" t="s">
        <v>149</v>
      </c>
      <c r="J919" s="1062">
        <v>81137518</v>
      </c>
      <c r="K919" s="1062">
        <v>81137518</v>
      </c>
      <c r="L919" s="1063"/>
      <c r="M919" s="1068">
        <v>40899</v>
      </c>
      <c r="N919" s="1092">
        <v>80406861</v>
      </c>
      <c r="O919" s="1062">
        <v>80406861</v>
      </c>
      <c r="P919" s="1062">
        <v>730657</v>
      </c>
      <c r="Q919" s="1119">
        <v>80406861</v>
      </c>
      <c r="R919" s="1063"/>
      <c r="S919" s="1033"/>
      <c r="T919" s="840" t="s">
        <v>1403</v>
      </c>
      <c r="U919" s="866">
        <v>41166814</v>
      </c>
      <c r="V919" s="855">
        <v>41169</v>
      </c>
      <c r="W919" s="866" t="s">
        <v>149</v>
      </c>
      <c r="X919" s="1043">
        <v>79974317</v>
      </c>
      <c r="Y919" s="1044"/>
      <c r="Z919" s="827">
        <v>0</v>
      </c>
      <c r="AA919" s="1043">
        <v>432544</v>
      </c>
      <c r="AB919" s="1063"/>
      <c r="AC919" s="1062">
        <v>0</v>
      </c>
      <c r="AD919" s="1062">
        <v>432544</v>
      </c>
      <c r="AE919" s="1062">
        <v>432544</v>
      </c>
      <c r="AF919" s="1109"/>
      <c r="AG919" s="1104"/>
      <c r="AH919" s="1104"/>
      <c r="AI919" s="1104"/>
    </row>
    <row r="920" spans="1:35" ht="15" customHeight="1">
      <c r="A920" s="1012"/>
      <c r="B920" s="1012"/>
      <c r="C920" s="1012"/>
      <c r="D920" s="1076"/>
      <c r="E920" s="1012"/>
      <c r="F920" s="1012"/>
      <c r="G920" s="1012"/>
      <c r="H920" s="1288"/>
      <c r="I920" s="1067"/>
      <c r="J920" s="1064"/>
      <c r="K920" s="1064"/>
      <c r="L920" s="1064"/>
      <c r="M920" s="1070"/>
      <c r="N920" s="1094"/>
      <c r="O920" s="1064"/>
      <c r="P920" s="1064"/>
      <c r="Q920" s="1119"/>
      <c r="R920" s="1064"/>
      <c r="S920" s="1012"/>
      <c r="T920" s="840" t="s">
        <v>1404</v>
      </c>
      <c r="U920" s="866">
        <v>38807503</v>
      </c>
      <c r="V920" s="855">
        <v>41347</v>
      </c>
      <c r="W920" s="866" t="s">
        <v>149</v>
      </c>
      <c r="X920" s="1045"/>
      <c r="Y920" s="1045"/>
      <c r="Z920" s="827">
        <v>0</v>
      </c>
      <c r="AA920" s="1045"/>
      <c r="AB920" s="1064"/>
      <c r="AC920" s="1064"/>
      <c r="AD920" s="1064"/>
      <c r="AE920" s="1064"/>
      <c r="AF920" s="1110"/>
      <c r="AG920" s="1105"/>
      <c r="AH920" s="1105"/>
      <c r="AI920" s="1105"/>
    </row>
    <row r="921" spans="1:35" s="4" customFormat="1" ht="15" customHeight="1">
      <c r="A921" s="1023" t="s">
        <v>1408</v>
      </c>
      <c r="B921" s="1023" t="s">
        <v>1420</v>
      </c>
      <c r="C921" s="1023" t="s">
        <v>71</v>
      </c>
      <c r="D921" s="1023" t="s">
        <v>1235</v>
      </c>
      <c r="E921" s="1023" t="s">
        <v>66</v>
      </c>
      <c r="F921" s="1023" t="s">
        <v>183</v>
      </c>
      <c r="G921" s="1023" t="s">
        <v>1407</v>
      </c>
      <c r="H921" s="1286">
        <v>229</v>
      </c>
      <c r="I921" s="1065" t="s">
        <v>7</v>
      </c>
      <c r="J921" s="1043">
        <v>767715280</v>
      </c>
      <c r="K921" s="1043">
        <v>767715280</v>
      </c>
      <c r="L921" s="1043">
        <v>767715280</v>
      </c>
      <c r="M921" s="1068">
        <v>40899</v>
      </c>
      <c r="N921" s="1089">
        <v>767715280</v>
      </c>
      <c r="O921" s="1089">
        <v>767715280</v>
      </c>
      <c r="P921" s="1089">
        <v>0</v>
      </c>
      <c r="Q921" s="1043">
        <v>759036147.48000002</v>
      </c>
      <c r="R921" s="1043">
        <v>759036147.48000002</v>
      </c>
      <c r="S921" s="1023" t="s">
        <v>1421</v>
      </c>
      <c r="T921" s="840" t="s">
        <v>1424</v>
      </c>
      <c r="U921" s="866">
        <v>379518074</v>
      </c>
      <c r="V921" s="855">
        <v>41079</v>
      </c>
      <c r="W921" s="866" t="s">
        <v>7</v>
      </c>
      <c r="X921" s="1043">
        <v>758901814</v>
      </c>
      <c r="Y921" s="1043">
        <v>758901814</v>
      </c>
      <c r="Z921" s="827">
        <v>-0.25999999046325684</v>
      </c>
      <c r="AA921" s="1043">
        <v>8813466</v>
      </c>
      <c r="AB921" s="1043">
        <v>0</v>
      </c>
      <c r="AC921" s="1043">
        <v>8679132.5199999809</v>
      </c>
      <c r="AD921" s="1043">
        <v>134333.48000001907</v>
      </c>
      <c r="AE921" s="1043">
        <v>8813466</v>
      </c>
      <c r="AF921" s="1023" t="s">
        <v>1423</v>
      </c>
      <c r="AG921" s="1023" t="s">
        <v>1422</v>
      </c>
      <c r="AH921" s="1103" t="s">
        <v>195</v>
      </c>
      <c r="AI921" s="1103" t="s">
        <v>1414</v>
      </c>
    </row>
    <row r="922" spans="1:35" s="4" customFormat="1" ht="15" customHeight="1">
      <c r="A922" s="1124"/>
      <c r="B922" s="1124"/>
      <c r="C922" s="1124"/>
      <c r="D922" s="1124"/>
      <c r="E922" s="1124"/>
      <c r="F922" s="1124"/>
      <c r="G922" s="1124"/>
      <c r="H922" s="1287"/>
      <c r="I922" s="1066"/>
      <c r="J922" s="1044"/>
      <c r="K922" s="1044"/>
      <c r="L922" s="1044"/>
      <c r="M922" s="1069"/>
      <c r="N922" s="1090"/>
      <c r="O922" s="1090"/>
      <c r="P922" s="1090"/>
      <c r="Q922" s="1044"/>
      <c r="R922" s="1044"/>
      <c r="S922" s="1124"/>
      <c r="T922" s="840" t="s">
        <v>1425</v>
      </c>
      <c r="U922" s="866">
        <v>128986497</v>
      </c>
      <c r="V922" s="855">
        <v>41152</v>
      </c>
      <c r="W922" s="866" t="s">
        <v>7</v>
      </c>
      <c r="X922" s="1044"/>
      <c r="Y922" s="1044"/>
      <c r="Z922" s="827">
        <v>0</v>
      </c>
      <c r="AA922" s="1044"/>
      <c r="AB922" s="1044"/>
      <c r="AC922" s="1044"/>
      <c r="AD922" s="1044"/>
      <c r="AE922" s="1044"/>
      <c r="AF922" s="1124"/>
      <c r="AG922" s="1124"/>
      <c r="AH922" s="1104"/>
      <c r="AI922" s="1104"/>
    </row>
    <row r="923" spans="1:35" s="4" customFormat="1" ht="15" customHeight="1">
      <c r="A923" s="1124"/>
      <c r="B923" s="1124"/>
      <c r="C923" s="1124"/>
      <c r="D923" s="1124"/>
      <c r="E923" s="1124"/>
      <c r="F923" s="1124"/>
      <c r="G923" s="1124"/>
      <c r="H923" s="1287"/>
      <c r="I923" s="1066"/>
      <c r="J923" s="1044"/>
      <c r="K923" s="1044"/>
      <c r="L923" s="1044"/>
      <c r="M923" s="1069"/>
      <c r="N923" s="1090"/>
      <c r="O923" s="1090"/>
      <c r="P923" s="1090"/>
      <c r="Q923" s="1044"/>
      <c r="R923" s="1044"/>
      <c r="S923" s="1124"/>
      <c r="T923" s="840" t="s">
        <v>1426</v>
      </c>
      <c r="U923" s="866">
        <v>86686651</v>
      </c>
      <c r="V923" s="855">
        <v>41169</v>
      </c>
      <c r="W923" s="866" t="s">
        <v>7</v>
      </c>
      <c r="X923" s="1044"/>
      <c r="Y923" s="1044"/>
      <c r="Z923" s="827">
        <v>0</v>
      </c>
      <c r="AA923" s="1044"/>
      <c r="AB923" s="1044"/>
      <c r="AC923" s="1044"/>
      <c r="AD923" s="1044"/>
      <c r="AE923" s="1044"/>
      <c r="AF923" s="1124"/>
      <c r="AG923" s="1124"/>
      <c r="AH923" s="1104"/>
      <c r="AI923" s="1104"/>
    </row>
    <row r="924" spans="1:35" s="4" customFormat="1" ht="15" customHeight="1">
      <c r="A924" s="1124"/>
      <c r="B924" s="1124"/>
      <c r="C924" s="1124"/>
      <c r="D924" s="1124"/>
      <c r="E924" s="1124"/>
      <c r="F924" s="1124"/>
      <c r="G924" s="1124"/>
      <c r="H924" s="1287"/>
      <c r="I924" s="1066"/>
      <c r="J924" s="1044"/>
      <c r="K924" s="1044"/>
      <c r="L924" s="1044"/>
      <c r="M924" s="1069"/>
      <c r="N924" s="1090"/>
      <c r="O924" s="1090"/>
      <c r="P924" s="1090"/>
      <c r="Q924" s="1044"/>
      <c r="R924" s="1044"/>
      <c r="S924" s="1124"/>
      <c r="T924" s="840" t="s">
        <v>1427</v>
      </c>
      <c r="U924" s="866">
        <v>70853462</v>
      </c>
      <c r="V924" s="855">
        <v>41205</v>
      </c>
      <c r="W924" s="866" t="s">
        <v>7</v>
      </c>
      <c r="X924" s="1044"/>
      <c r="Y924" s="1044"/>
      <c r="Z924" s="827">
        <v>0</v>
      </c>
      <c r="AA924" s="1044"/>
      <c r="AB924" s="1044"/>
      <c r="AC924" s="1044"/>
      <c r="AD924" s="1044"/>
      <c r="AE924" s="1044"/>
      <c r="AF924" s="1124"/>
      <c r="AG924" s="1124"/>
      <c r="AH924" s="1104"/>
      <c r="AI924" s="1104"/>
    </row>
    <row r="925" spans="1:35" s="4" customFormat="1" ht="15" customHeight="1">
      <c r="A925" s="1124"/>
      <c r="B925" s="1124"/>
      <c r="C925" s="1124"/>
      <c r="D925" s="1124"/>
      <c r="E925" s="1124"/>
      <c r="F925" s="1124"/>
      <c r="G925" s="1124"/>
      <c r="H925" s="1287"/>
      <c r="I925" s="1066"/>
      <c r="J925" s="1044"/>
      <c r="K925" s="1044"/>
      <c r="L925" s="1044"/>
      <c r="M925" s="1069"/>
      <c r="N925" s="1090"/>
      <c r="O925" s="1090"/>
      <c r="P925" s="1090"/>
      <c r="Q925" s="1044"/>
      <c r="R925" s="1044"/>
      <c r="S925" s="1124"/>
      <c r="T925" s="840" t="s">
        <v>1428</v>
      </c>
      <c r="U925" s="866">
        <v>51875475</v>
      </c>
      <c r="V925" s="855">
        <v>41239</v>
      </c>
      <c r="W925" s="866" t="s">
        <v>7</v>
      </c>
      <c r="X925" s="1044"/>
      <c r="Y925" s="1044"/>
      <c r="Z925" s="827">
        <v>0</v>
      </c>
      <c r="AA925" s="1044"/>
      <c r="AB925" s="1044"/>
      <c r="AC925" s="1044"/>
      <c r="AD925" s="1044"/>
      <c r="AE925" s="1044"/>
      <c r="AF925" s="1124"/>
      <c r="AG925" s="1124"/>
      <c r="AH925" s="1104"/>
      <c r="AI925" s="1104"/>
    </row>
    <row r="926" spans="1:35" s="4" customFormat="1" ht="15" customHeight="1">
      <c r="A926" s="1024"/>
      <c r="B926" s="1024"/>
      <c r="C926" s="1024"/>
      <c r="D926" s="1024"/>
      <c r="E926" s="1024"/>
      <c r="F926" s="1024"/>
      <c r="G926" s="1024"/>
      <c r="H926" s="1288"/>
      <c r="I926" s="1067"/>
      <c r="J926" s="1045"/>
      <c r="K926" s="1045"/>
      <c r="L926" s="1045"/>
      <c r="M926" s="1070"/>
      <c r="N926" s="1091"/>
      <c r="O926" s="1091"/>
      <c r="P926" s="1091"/>
      <c r="Q926" s="1045"/>
      <c r="R926" s="1045"/>
      <c r="S926" s="1024"/>
      <c r="T926" s="840" t="s">
        <v>1429</v>
      </c>
      <c r="U926" s="866">
        <v>40981655</v>
      </c>
      <c r="V926" s="855">
        <v>41451</v>
      </c>
      <c r="W926" s="866" t="s">
        <v>7</v>
      </c>
      <c r="X926" s="1045"/>
      <c r="Y926" s="1045"/>
      <c r="Z926" s="827">
        <v>0</v>
      </c>
      <c r="AA926" s="1045"/>
      <c r="AB926" s="1045"/>
      <c r="AC926" s="1045"/>
      <c r="AD926" s="1045"/>
      <c r="AE926" s="1045"/>
      <c r="AF926" s="1024"/>
      <c r="AG926" s="1024"/>
      <c r="AH926" s="1105"/>
      <c r="AI926" s="1105"/>
    </row>
    <row r="927" spans="1:35" ht="15" customHeight="1">
      <c r="A927" s="1011" t="s">
        <v>1409</v>
      </c>
      <c r="B927" s="1011" t="s">
        <v>1410</v>
      </c>
      <c r="C927" s="1011" t="s">
        <v>72</v>
      </c>
      <c r="D927" s="1011" t="s">
        <v>206</v>
      </c>
      <c r="E927" s="1011" t="s">
        <v>66</v>
      </c>
      <c r="F927" s="1011" t="s">
        <v>49</v>
      </c>
      <c r="G927" s="1011" t="s">
        <v>1413</v>
      </c>
      <c r="H927" s="1286">
        <v>174</v>
      </c>
      <c r="I927" s="1065" t="s">
        <v>7</v>
      </c>
      <c r="J927" s="1062">
        <v>55728140</v>
      </c>
      <c r="K927" s="1062">
        <v>55728140</v>
      </c>
      <c r="L927" s="1062">
        <v>55728140</v>
      </c>
      <c r="M927" s="1068">
        <v>40745</v>
      </c>
      <c r="N927" s="1092"/>
      <c r="O927" s="1092"/>
      <c r="P927" s="1092"/>
      <c r="Q927" s="1062">
        <v>55728140</v>
      </c>
      <c r="R927" s="1062">
        <v>55728140</v>
      </c>
      <c r="S927" s="1011" t="s">
        <v>1412</v>
      </c>
      <c r="T927" s="1065" t="s">
        <v>1419</v>
      </c>
      <c r="U927" s="866">
        <v>3529985.74</v>
      </c>
      <c r="V927" s="1068">
        <v>41347</v>
      </c>
      <c r="W927" s="866" t="s">
        <v>7</v>
      </c>
      <c r="X927" s="1043">
        <v>44971656.809999995</v>
      </c>
      <c r="Y927" s="1043">
        <v>44971656.809999995</v>
      </c>
      <c r="Z927" s="827">
        <v>0</v>
      </c>
      <c r="AA927" s="1043">
        <v>10756483.190000005</v>
      </c>
      <c r="AB927" s="1062">
        <v>1910386.5100000054</v>
      </c>
      <c r="AC927" s="1062">
        <v>0</v>
      </c>
      <c r="AD927" s="1062">
        <v>8846096.6799999997</v>
      </c>
      <c r="AE927" s="1119"/>
      <c r="AF927" s="1108"/>
      <c r="AG927" s="1357" t="s">
        <v>1442</v>
      </c>
      <c r="AH927" s="1103" t="s">
        <v>194</v>
      </c>
      <c r="AI927" s="1103" t="s">
        <v>1414</v>
      </c>
    </row>
    <row r="928" spans="1:35" ht="15" customHeight="1">
      <c r="A928" s="1033"/>
      <c r="B928" s="1033"/>
      <c r="C928" s="1033"/>
      <c r="D928" s="1033"/>
      <c r="E928" s="1033"/>
      <c r="F928" s="1033"/>
      <c r="G928" s="1033"/>
      <c r="H928" s="1287"/>
      <c r="I928" s="1066"/>
      <c r="J928" s="1063"/>
      <c r="K928" s="1063"/>
      <c r="L928" s="1063"/>
      <c r="M928" s="1069"/>
      <c r="N928" s="1093"/>
      <c r="O928" s="1093"/>
      <c r="P928" s="1093"/>
      <c r="Q928" s="1063"/>
      <c r="R928" s="1063"/>
      <c r="S928" s="1033"/>
      <c r="T928" s="1066"/>
      <c r="U928" s="866">
        <v>0</v>
      </c>
      <c r="V928" s="1069"/>
      <c r="W928" s="866"/>
      <c r="X928" s="1044"/>
      <c r="Y928" s="1044"/>
      <c r="Z928" s="827">
        <v>725971.14</v>
      </c>
      <c r="AA928" s="1044"/>
      <c r="AB928" s="1063"/>
      <c r="AC928" s="1063"/>
      <c r="AD928" s="1063"/>
      <c r="AE928" s="1119"/>
      <c r="AF928" s="1109"/>
      <c r="AG928" s="1358"/>
      <c r="AH928" s="1104"/>
      <c r="AI928" s="1104"/>
    </row>
    <row r="929" spans="1:35" ht="15" customHeight="1">
      <c r="A929" s="1033"/>
      <c r="B929" s="1033"/>
      <c r="C929" s="1033"/>
      <c r="D929" s="1033"/>
      <c r="E929" s="1033"/>
      <c r="F929" s="1033"/>
      <c r="G929" s="1033"/>
      <c r="H929" s="1287"/>
      <c r="I929" s="1066"/>
      <c r="J929" s="1063"/>
      <c r="K929" s="1063"/>
      <c r="L929" s="1063"/>
      <c r="M929" s="1069"/>
      <c r="N929" s="1093"/>
      <c r="O929" s="1093"/>
      <c r="P929" s="1093"/>
      <c r="Q929" s="1063"/>
      <c r="R929" s="1063"/>
      <c r="S929" s="1033"/>
      <c r="T929" s="1066"/>
      <c r="U929" s="866">
        <v>0</v>
      </c>
      <c r="V929" s="1069"/>
      <c r="W929" s="866"/>
      <c r="X929" s="1044"/>
      <c r="Y929" s="1044"/>
      <c r="Z929" s="827">
        <v>917146.01</v>
      </c>
      <c r="AA929" s="1044"/>
      <c r="AB929" s="1063"/>
      <c r="AC929" s="1063"/>
      <c r="AD929" s="1063"/>
      <c r="AE929" s="1119"/>
      <c r="AF929" s="1109"/>
      <c r="AG929" s="1358"/>
      <c r="AH929" s="1104"/>
      <c r="AI929" s="1104"/>
    </row>
    <row r="930" spans="1:35" ht="15" customHeight="1">
      <c r="A930" s="1033"/>
      <c r="B930" s="1033"/>
      <c r="C930" s="1033"/>
      <c r="D930" s="1033"/>
      <c r="E930" s="1033"/>
      <c r="F930" s="1033"/>
      <c r="G930" s="1033"/>
      <c r="H930" s="1287"/>
      <c r="I930" s="1066"/>
      <c r="J930" s="1063"/>
      <c r="K930" s="1063"/>
      <c r="L930" s="1063"/>
      <c r="M930" s="1069"/>
      <c r="N930" s="1093"/>
      <c r="O930" s="1093"/>
      <c r="P930" s="1093"/>
      <c r="Q930" s="1063"/>
      <c r="R930" s="1063"/>
      <c r="S930" s="1033"/>
      <c r="T930" s="1066"/>
      <c r="U930" s="866">
        <v>2537029.33</v>
      </c>
      <c r="V930" s="1069"/>
      <c r="W930" s="866" t="s">
        <v>7</v>
      </c>
      <c r="X930" s="1044"/>
      <c r="Y930" s="1044"/>
      <c r="Z930" s="827">
        <v>0</v>
      </c>
      <c r="AA930" s="1044"/>
      <c r="AB930" s="1063"/>
      <c r="AC930" s="1063"/>
      <c r="AD930" s="1063"/>
      <c r="AE930" s="1119"/>
      <c r="AF930" s="1109"/>
      <c r="AG930" s="1358"/>
      <c r="AH930" s="1104"/>
      <c r="AI930" s="1104"/>
    </row>
    <row r="931" spans="1:35" ht="15" customHeight="1">
      <c r="A931" s="1033"/>
      <c r="B931" s="1033"/>
      <c r="C931" s="1033"/>
      <c r="D931" s="1033"/>
      <c r="E931" s="1033"/>
      <c r="F931" s="1033"/>
      <c r="G931" s="1033"/>
      <c r="H931" s="1287"/>
      <c r="I931" s="1066"/>
      <c r="J931" s="1063"/>
      <c r="K931" s="1063"/>
      <c r="L931" s="1063"/>
      <c r="M931" s="1069"/>
      <c r="N931" s="1093"/>
      <c r="O931" s="1093"/>
      <c r="P931" s="1093"/>
      <c r="Q931" s="1063"/>
      <c r="R931" s="1063"/>
      <c r="S931" s="1033"/>
      <c r="T931" s="1066"/>
      <c r="U931" s="866">
        <v>1823296.92</v>
      </c>
      <c r="V931" s="1069"/>
      <c r="W931" s="866" t="s">
        <v>7</v>
      </c>
      <c r="X931" s="1044"/>
      <c r="Y931" s="1044"/>
      <c r="Z931" s="827">
        <v>0</v>
      </c>
      <c r="AA931" s="1044"/>
      <c r="AB931" s="1063"/>
      <c r="AC931" s="1063"/>
      <c r="AD931" s="1063"/>
      <c r="AE931" s="1119"/>
      <c r="AF931" s="1109"/>
      <c r="AG931" s="1358"/>
      <c r="AH931" s="1104"/>
      <c r="AI931" s="1104"/>
    </row>
    <row r="932" spans="1:35" ht="15" customHeight="1">
      <c r="A932" s="1033"/>
      <c r="B932" s="1033"/>
      <c r="C932" s="1033"/>
      <c r="D932" s="1033"/>
      <c r="E932" s="1033"/>
      <c r="F932" s="1033"/>
      <c r="G932" s="1033"/>
      <c r="H932" s="1287"/>
      <c r="I932" s="1066"/>
      <c r="J932" s="1063"/>
      <c r="K932" s="1063"/>
      <c r="L932" s="1063"/>
      <c r="M932" s="1069"/>
      <c r="N932" s="1093"/>
      <c r="O932" s="1093"/>
      <c r="P932" s="1093"/>
      <c r="Q932" s="1063"/>
      <c r="R932" s="1063"/>
      <c r="S932" s="1033"/>
      <c r="T932" s="1066"/>
      <c r="U932" s="866">
        <v>457518.5</v>
      </c>
      <c r="V932" s="1069"/>
      <c r="W932" s="866" t="s">
        <v>7</v>
      </c>
      <c r="X932" s="1044"/>
      <c r="Y932" s="1044"/>
      <c r="Z932" s="827">
        <v>0</v>
      </c>
      <c r="AA932" s="1044"/>
      <c r="AB932" s="1063"/>
      <c r="AC932" s="1063"/>
      <c r="AD932" s="1063"/>
      <c r="AE932" s="1119"/>
      <c r="AF932" s="1109"/>
      <c r="AG932" s="1358"/>
      <c r="AH932" s="1104"/>
      <c r="AI932" s="1104"/>
    </row>
    <row r="933" spans="1:35" ht="15" customHeight="1">
      <c r="A933" s="1033"/>
      <c r="B933" s="1033"/>
      <c r="C933" s="1033"/>
      <c r="D933" s="1033"/>
      <c r="E933" s="1033"/>
      <c r="F933" s="1033"/>
      <c r="G933" s="1033"/>
      <c r="H933" s="1287"/>
      <c r="I933" s="1066"/>
      <c r="J933" s="1063"/>
      <c r="K933" s="1063"/>
      <c r="L933" s="1063"/>
      <c r="M933" s="1069"/>
      <c r="N933" s="1093"/>
      <c r="O933" s="1093"/>
      <c r="P933" s="1093"/>
      <c r="Q933" s="1063"/>
      <c r="R933" s="1063"/>
      <c r="S933" s="1033"/>
      <c r="T933" s="1066"/>
      <c r="U933" s="866">
        <v>1817604.62</v>
      </c>
      <c r="V933" s="1069"/>
      <c r="W933" s="866" t="s">
        <v>7</v>
      </c>
      <c r="X933" s="1044"/>
      <c r="Y933" s="1044"/>
      <c r="Z933" s="827">
        <v>0</v>
      </c>
      <c r="AA933" s="1044"/>
      <c r="AB933" s="1063"/>
      <c r="AC933" s="1063"/>
      <c r="AD933" s="1063"/>
      <c r="AE933" s="1119"/>
      <c r="AF933" s="1109"/>
      <c r="AG933" s="1358"/>
      <c r="AH933" s="1104"/>
      <c r="AI933" s="1104"/>
    </row>
    <row r="934" spans="1:35" ht="15" customHeight="1">
      <c r="A934" s="1033"/>
      <c r="B934" s="1033"/>
      <c r="C934" s="1033"/>
      <c r="D934" s="1033"/>
      <c r="E934" s="1033"/>
      <c r="F934" s="1033"/>
      <c r="G934" s="1033"/>
      <c r="H934" s="1287"/>
      <c r="I934" s="1066"/>
      <c r="J934" s="1063"/>
      <c r="K934" s="1063"/>
      <c r="L934" s="1063"/>
      <c r="M934" s="1069"/>
      <c r="N934" s="1093"/>
      <c r="O934" s="1093"/>
      <c r="P934" s="1093"/>
      <c r="Q934" s="1063"/>
      <c r="R934" s="1063"/>
      <c r="S934" s="1033"/>
      <c r="T934" s="1066"/>
      <c r="U934" s="866">
        <v>598145.21</v>
      </c>
      <c r="V934" s="1069"/>
      <c r="W934" s="866" t="s">
        <v>7</v>
      </c>
      <c r="X934" s="1044"/>
      <c r="Y934" s="1044"/>
      <c r="Z934" s="827">
        <v>0</v>
      </c>
      <c r="AA934" s="1044"/>
      <c r="AB934" s="1063"/>
      <c r="AC934" s="1063"/>
      <c r="AD934" s="1063"/>
      <c r="AE934" s="1119"/>
      <c r="AF934" s="1109"/>
      <c r="AG934" s="1358"/>
      <c r="AH934" s="1104"/>
      <c r="AI934" s="1104"/>
    </row>
    <row r="935" spans="1:35" ht="15" customHeight="1">
      <c r="A935" s="1033"/>
      <c r="B935" s="1033"/>
      <c r="C935" s="1033"/>
      <c r="D935" s="1033"/>
      <c r="E935" s="1033"/>
      <c r="F935" s="1033"/>
      <c r="G935" s="1033"/>
      <c r="H935" s="1287"/>
      <c r="I935" s="1066"/>
      <c r="J935" s="1063"/>
      <c r="K935" s="1063"/>
      <c r="L935" s="1063"/>
      <c r="M935" s="1069"/>
      <c r="N935" s="1093"/>
      <c r="O935" s="1093"/>
      <c r="P935" s="1093"/>
      <c r="Q935" s="1063"/>
      <c r="R935" s="1063"/>
      <c r="S935" s="1033"/>
      <c r="T935" s="1067"/>
      <c r="U935" s="866">
        <v>0</v>
      </c>
      <c r="V935" s="1070"/>
      <c r="W935" s="866"/>
      <c r="X935" s="1044"/>
      <c r="Y935" s="1044"/>
      <c r="Z935" s="827">
        <v>267269.36</v>
      </c>
      <c r="AA935" s="1044"/>
      <c r="AB935" s="1063"/>
      <c r="AC935" s="1063"/>
      <c r="AD935" s="1063"/>
      <c r="AE935" s="1119"/>
      <c r="AF935" s="1109"/>
      <c r="AG935" s="1358"/>
      <c r="AH935" s="1104"/>
      <c r="AI935" s="1104"/>
    </row>
    <row r="936" spans="1:35" ht="15" customHeight="1">
      <c r="A936" s="1033"/>
      <c r="B936" s="1033"/>
      <c r="C936" s="1033"/>
      <c r="D936" s="1033"/>
      <c r="E936" s="1033"/>
      <c r="F936" s="1033"/>
      <c r="G936" s="1033"/>
      <c r="H936" s="1287"/>
      <c r="I936" s="1066"/>
      <c r="J936" s="1063"/>
      <c r="K936" s="1063"/>
      <c r="L936" s="1063"/>
      <c r="M936" s="1069"/>
      <c r="N936" s="1093"/>
      <c r="O936" s="1093"/>
      <c r="P936" s="1093"/>
      <c r="Q936" s="1063"/>
      <c r="R936" s="1063"/>
      <c r="S936" s="1033"/>
      <c r="T936" s="1065" t="s">
        <v>1415</v>
      </c>
      <c r="U936" s="866">
        <v>4096875.3</v>
      </c>
      <c r="V936" s="1068">
        <v>41415</v>
      </c>
      <c r="W936" s="866" t="s">
        <v>7</v>
      </c>
      <c r="X936" s="1044"/>
      <c r="Y936" s="1044"/>
      <c r="Z936" s="827">
        <v>0</v>
      </c>
      <c r="AA936" s="1044"/>
      <c r="AB936" s="1063"/>
      <c r="AC936" s="1063"/>
      <c r="AD936" s="1063"/>
      <c r="AE936" s="1119"/>
      <c r="AF936" s="1109"/>
      <c r="AG936" s="1358"/>
      <c r="AH936" s="1104"/>
      <c r="AI936" s="1104"/>
    </row>
    <row r="937" spans="1:35" ht="15" customHeight="1">
      <c r="A937" s="1033"/>
      <c r="B937" s="1033"/>
      <c r="C937" s="1033"/>
      <c r="D937" s="1033"/>
      <c r="E937" s="1033"/>
      <c r="F937" s="1033"/>
      <c r="G937" s="1033"/>
      <c r="H937" s="1287"/>
      <c r="I937" s="1066"/>
      <c r="J937" s="1063"/>
      <c r="K937" s="1063"/>
      <c r="L937" s="1063"/>
      <c r="M937" s="1069"/>
      <c r="N937" s="1093"/>
      <c r="O937" s="1093"/>
      <c r="P937" s="1093"/>
      <c r="Q937" s="1063"/>
      <c r="R937" s="1063"/>
      <c r="S937" s="1033"/>
      <c r="T937" s="1066"/>
      <c r="U937" s="866">
        <v>4290003.29</v>
      </c>
      <c r="V937" s="1069"/>
      <c r="W937" s="866" t="s">
        <v>7</v>
      </c>
      <c r="X937" s="1044"/>
      <c r="Y937" s="1044"/>
      <c r="Z937" s="827">
        <v>0</v>
      </c>
      <c r="AA937" s="1044"/>
      <c r="AB937" s="1063"/>
      <c r="AC937" s="1063"/>
      <c r="AD937" s="1063"/>
      <c r="AE937" s="1119"/>
      <c r="AF937" s="1109"/>
      <c r="AG937" s="1358"/>
      <c r="AH937" s="1104"/>
      <c r="AI937" s="1104"/>
    </row>
    <row r="938" spans="1:35" ht="15" customHeight="1">
      <c r="A938" s="1033"/>
      <c r="B938" s="1033"/>
      <c r="C938" s="1033"/>
      <c r="D938" s="1033"/>
      <c r="E938" s="1033"/>
      <c r="F938" s="1033"/>
      <c r="G938" s="1033"/>
      <c r="H938" s="1287"/>
      <c r="I938" s="1066"/>
      <c r="J938" s="1063"/>
      <c r="K938" s="1063"/>
      <c r="L938" s="1063"/>
      <c r="M938" s="1069"/>
      <c r="N938" s="1093"/>
      <c r="O938" s="1093"/>
      <c r="P938" s="1093"/>
      <c r="Q938" s="1063"/>
      <c r="R938" s="1063"/>
      <c r="S938" s="1033"/>
      <c r="T938" s="1066"/>
      <c r="U938" s="866">
        <v>1244564.57</v>
      </c>
      <c r="V938" s="1069"/>
      <c r="W938" s="866" t="s">
        <v>7</v>
      </c>
      <c r="X938" s="1044"/>
      <c r="Y938" s="1044"/>
      <c r="Z938" s="827">
        <v>0</v>
      </c>
      <c r="AA938" s="1044"/>
      <c r="AB938" s="1063"/>
      <c r="AC938" s="1063"/>
      <c r="AD938" s="1063"/>
      <c r="AE938" s="1119"/>
      <c r="AF938" s="1109"/>
      <c r="AG938" s="1358"/>
      <c r="AH938" s="1104"/>
      <c r="AI938" s="1104"/>
    </row>
    <row r="939" spans="1:35" ht="15" customHeight="1">
      <c r="A939" s="1033"/>
      <c r="B939" s="1033"/>
      <c r="C939" s="1033"/>
      <c r="D939" s="1033"/>
      <c r="E939" s="1033"/>
      <c r="F939" s="1033"/>
      <c r="G939" s="1033"/>
      <c r="H939" s="1287"/>
      <c r="I939" s="1066"/>
      <c r="J939" s="1063"/>
      <c r="K939" s="1063"/>
      <c r="L939" s="1063"/>
      <c r="M939" s="1069"/>
      <c r="N939" s="1093"/>
      <c r="O939" s="1093"/>
      <c r="P939" s="1093"/>
      <c r="Q939" s="1063"/>
      <c r="R939" s="1063"/>
      <c r="S939" s="1033"/>
      <c r="T939" s="1066"/>
      <c r="U939" s="866">
        <v>635581.25</v>
      </c>
      <c r="V939" s="1069"/>
      <c r="W939" s="866" t="s">
        <v>7</v>
      </c>
      <c r="X939" s="1044"/>
      <c r="Y939" s="1044"/>
      <c r="Z939" s="827">
        <v>0</v>
      </c>
      <c r="AA939" s="1044"/>
      <c r="AB939" s="1063"/>
      <c r="AC939" s="1063"/>
      <c r="AD939" s="1063"/>
      <c r="AE939" s="1119"/>
      <c r="AF939" s="1109"/>
      <c r="AG939" s="1358"/>
      <c r="AH939" s="1104"/>
      <c r="AI939" s="1104"/>
    </row>
    <row r="940" spans="1:35" ht="15" customHeight="1">
      <c r="A940" s="1033"/>
      <c r="B940" s="1033"/>
      <c r="C940" s="1033"/>
      <c r="D940" s="1033"/>
      <c r="E940" s="1033"/>
      <c r="F940" s="1033"/>
      <c r="G940" s="1033"/>
      <c r="H940" s="1287"/>
      <c r="I940" s="1066"/>
      <c r="J940" s="1063"/>
      <c r="K940" s="1063"/>
      <c r="L940" s="1063"/>
      <c r="M940" s="1069"/>
      <c r="N940" s="1093"/>
      <c r="O940" s="1093"/>
      <c r="P940" s="1093"/>
      <c r="Q940" s="1063"/>
      <c r="R940" s="1063"/>
      <c r="S940" s="1033"/>
      <c r="T940" s="1066"/>
      <c r="U940" s="866">
        <v>601668.16</v>
      </c>
      <c r="V940" s="1069"/>
      <c r="W940" s="866" t="s">
        <v>7</v>
      </c>
      <c r="X940" s="1044"/>
      <c r="Y940" s="1044"/>
      <c r="Z940" s="827">
        <v>0</v>
      </c>
      <c r="AA940" s="1044"/>
      <c r="AB940" s="1063"/>
      <c r="AC940" s="1063"/>
      <c r="AD940" s="1063"/>
      <c r="AE940" s="1119"/>
      <c r="AF940" s="1109"/>
      <c r="AG940" s="1358"/>
      <c r="AH940" s="1104"/>
      <c r="AI940" s="1104"/>
    </row>
    <row r="941" spans="1:35" ht="15" customHeight="1">
      <c r="A941" s="1033"/>
      <c r="B941" s="1033"/>
      <c r="C941" s="1033"/>
      <c r="D941" s="1033"/>
      <c r="E941" s="1033"/>
      <c r="F941" s="1033"/>
      <c r="G941" s="1033"/>
      <c r="H941" s="1287"/>
      <c r="I941" s="1066"/>
      <c r="J941" s="1063"/>
      <c r="K941" s="1063"/>
      <c r="L941" s="1063"/>
      <c r="M941" s="1069"/>
      <c r="N941" s="1093"/>
      <c r="O941" s="1093"/>
      <c r="P941" s="1093"/>
      <c r="Q941" s="1063"/>
      <c r="R941" s="1063"/>
      <c r="S941" s="1033"/>
      <c r="T941" s="1066"/>
      <c r="U941" s="866">
        <v>1302025.55</v>
      </c>
      <c r="V941" s="1069"/>
      <c r="W941" s="866" t="s">
        <v>7</v>
      </c>
      <c r="X941" s="1044"/>
      <c r="Y941" s="1044"/>
      <c r="Z941" s="827">
        <v>0</v>
      </c>
      <c r="AA941" s="1044"/>
      <c r="AB941" s="1063"/>
      <c r="AC941" s="1063"/>
      <c r="AD941" s="1063"/>
      <c r="AE941" s="1119"/>
      <c r="AF941" s="1109"/>
      <c r="AG941" s="1358"/>
      <c r="AH941" s="1104"/>
      <c r="AI941" s="1104"/>
    </row>
    <row r="942" spans="1:35" ht="15" customHeight="1">
      <c r="A942" s="1033"/>
      <c r="B942" s="1033"/>
      <c r="C942" s="1033"/>
      <c r="D942" s="1033"/>
      <c r="E942" s="1033"/>
      <c r="F942" s="1033"/>
      <c r="G942" s="1033"/>
      <c r="H942" s="1287"/>
      <c r="I942" s="1066"/>
      <c r="J942" s="1063"/>
      <c r="K942" s="1063"/>
      <c r="L942" s="1063"/>
      <c r="M942" s="1069"/>
      <c r="N942" s="1093"/>
      <c r="O942" s="1093"/>
      <c r="P942" s="1093"/>
      <c r="Q942" s="1063"/>
      <c r="R942" s="1063"/>
      <c r="S942" s="1033"/>
      <c r="T942" s="1067"/>
      <c r="U942" s="866">
        <v>1938772.04</v>
      </c>
      <c r="V942" s="1070"/>
      <c r="W942" s="866" t="s">
        <v>7</v>
      </c>
      <c r="X942" s="1044"/>
      <c r="Y942" s="1044"/>
      <c r="Z942" s="827">
        <v>0</v>
      </c>
      <c r="AA942" s="1044"/>
      <c r="AB942" s="1063"/>
      <c r="AC942" s="1063"/>
      <c r="AD942" s="1063"/>
      <c r="AE942" s="1119"/>
      <c r="AF942" s="1109"/>
      <c r="AG942" s="1358"/>
      <c r="AH942" s="1104"/>
      <c r="AI942" s="1104"/>
    </row>
    <row r="943" spans="1:35" ht="15" customHeight="1">
      <c r="A943" s="1033"/>
      <c r="B943" s="1033"/>
      <c r="C943" s="1033"/>
      <c r="D943" s="1033"/>
      <c r="E943" s="1033"/>
      <c r="F943" s="1033"/>
      <c r="G943" s="1033"/>
      <c r="H943" s="1287"/>
      <c r="I943" s="1066"/>
      <c r="J943" s="1063"/>
      <c r="K943" s="1063"/>
      <c r="L943" s="1063"/>
      <c r="M943" s="1069"/>
      <c r="N943" s="1093"/>
      <c r="O943" s="1093"/>
      <c r="P943" s="1093"/>
      <c r="Q943" s="1063"/>
      <c r="R943" s="1063"/>
      <c r="S943" s="1033"/>
      <c r="T943" s="840" t="s">
        <v>1416</v>
      </c>
      <c r="U943" s="866">
        <v>5858587.0999999996</v>
      </c>
      <c r="V943" s="855">
        <v>41626</v>
      </c>
      <c r="W943" s="866" t="s">
        <v>7</v>
      </c>
      <c r="X943" s="1044"/>
      <c r="Y943" s="1044"/>
      <c r="Z943" s="827">
        <v>0</v>
      </c>
      <c r="AA943" s="1044"/>
      <c r="AB943" s="1063"/>
      <c r="AC943" s="1063"/>
      <c r="AD943" s="1063"/>
      <c r="AE943" s="1119"/>
      <c r="AF943" s="1109"/>
      <c r="AG943" s="1358"/>
      <c r="AH943" s="1104"/>
      <c r="AI943" s="1104"/>
    </row>
    <row r="944" spans="1:35" ht="15" customHeight="1">
      <c r="A944" s="1033"/>
      <c r="B944" s="1033"/>
      <c r="C944" s="1033"/>
      <c r="D944" s="1033"/>
      <c r="E944" s="1033"/>
      <c r="F944" s="1033"/>
      <c r="G944" s="1033"/>
      <c r="H944" s="1287"/>
      <c r="I944" s="1066"/>
      <c r="J944" s="1063"/>
      <c r="K944" s="1063"/>
      <c r="L944" s="1063"/>
      <c r="M944" s="1069"/>
      <c r="N944" s="1093"/>
      <c r="O944" s="1093"/>
      <c r="P944" s="1093"/>
      <c r="Q944" s="1063"/>
      <c r="R944" s="1063"/>
      <c r="S944" s="1033"/>
      <c r="T944" s="1065" t="s">
        <v>1417</v>
      </c>
      <c r="U944" s="866">
        <v>1786434.26</v>
      </c>
      <c r="V944" s="1068">
        <v>41586</v>
      </c>
      <c r="W944" s="866" t="s">
        <v>7</v>
      </c>
      <c r="X944" s="1044"/>
      <c r="Y944" s="1044"/>
      <c r="Z944" s="827">
        <v>0</v>
      </c>
      <c r="AA944" s="1044"/>
      <c r="AB944" s="1063"/>
      <c r="AC944" s="1063"/>
      <c r="AD944" s="1063"/>
      <c r="AE944" s="1119"/>
      <c r="AF944" s="1109"/>
      <c r="AG944" s="1358"/>
      <c r="AH944" s="1104"/>
      <c r="AI944" s="1104"/>
    </row>
    <row r="945" spans="1:36" ht="15" customHeight="1">
      <c r="A945" s="1033"/>
      <c r="B945" s="1033"/>
      <c r="C945" s="1033"/>
      <c r="D945" s="1033"/>
      <c r="E945" s="1033"/>
      <c r="F945" s="1033"/>
      <c r="G945" s="1033"/>
      <c r="H945" s="1287"/>
      <c r="I945" s="1066"/>
      <c r="J945" s="1063"/>
      <c r="K945" s="1063"/>
      <c r="L945" s="1063"/>
      <c r="M945" s="1069"/>
      <c r="N945" s="1093"/>
      <c r="O945" s="1093"/>
      <c r="P945" s="1093"/>
      <c r="Q945" s="1063"/>
      <c r="R945" s="1063"/>
      <c r="S945" s="1033"/>
      <c r="T945" s="1066"/>
      <c r="U945" s="866">
        <v>159967.26</v>
      </c>
      <c r="V945" s="1069"/>
      <c r="W945" s="866" t="s">
        <v>7</v>
      </c>
      <c r="X945" s="1044"/>
      <c r="Y945" s="1044"/>
      <c r="Z945" s="827">
        <v>0</v>
      </c>
      <c r="AA945" s="1044"/>
      <c r="AB945" s="1063"/>
      <c r="AC945" s="1063"/>
      <c r="AD945" s="1063"/>
      <c r="AE945" s="1119"/>
      <c r="AF945" s="1109"/>
      <c r="AG945" s="1358"/>
      <c r="AH945" s="1104"/>
      <c r="AI945" s="1104"/>
    </row>
    <row r="946" spans="1:36" ht="15" customHeight="1">
      <c r="A946" s="1033"/>
      <c r="B946" s="1033"/>
      <c r="C946" s="1033"/>
      <c r="D946" s="1033"/>
      <c r="E946" s="1033"/>
      <c r="F946" s="1033"/>
      <c r="G946" s="1033"/>
      <c r="H946" s="1287"/>
      <c r="I946" s="1066"/>
      <c r="J946" s="1063"/>
      <c r="K946" s="1063"/>
      <c r="L946" s="1063"/>
      <c r="M946" s="1069"/>
      <c r="N946" s="1093"/>
      <c r="O946" s="1093"/>
      <c r="P946" s="1093"/>
      <c r="Q946" s="1063"/>
      <c r="R946" s="1063"/>
      <c r="S946" s="1033"/>
      <c r="T946" s="1066"/>
      <c r="U946" s="866">
        <v>2023880.57</v>
      </c>
      <c r="V946" s="1069"/>
      <c r="W946" s="866" t="s">
        <v>7</v>
      </c>
      <c r="X946" s="1044"/>
      <c r="Y946" s="1044"/>
      <c r="Z946" s="827">
        <v>0</v>
      </c>
      <c r="AA946" s="1044"/>
      <c r="AB946" s="1063"/>
      <c r="AC946" s="1063"/>
      <c r="AD946" s="1063"/>
      <c r="AE946" s="1119"/>
      <c r="AF946" s="1109"/>
      <c r="AG946" s="1358"/>
      <c r="AH946" s="1104"/>
      <c r="AI946" s="1104"/>
    </row>
    <row r="947" spans="1:36" ht="15" customHeight="1">
      <c r="A947" s="1033"/>
      <c r="B947" s="1033"/>
      <c r="C947" s="1033"/>
      <c r="D947" s="1033"/>
      <c r="E947" s="1033"/>
      <c r="F947" s="1033"/>
      <c r="G947" s="1033"/>
      <c r="H947" s="1287"/>
      <c r="I947" s="1066"/>
      <c r="J947" s="1063"/>
      <c r="K947" s="1063"/>
      <c r="L947" s="1063"/>
      <c r="M947" s="1069"/>
      <c r="N947" s="1093"/>
      <c r="O947" s="1093"/>
      <c r="P947" s="1093"/>
      <c r="Q947" s="1063"/>
      <c r="R947" s="1063"/>
      <c r="S947" s="1033"/>
      <c r="T947" s="1066"/>
      <c r="U947" s="866">
        <v>480113.61</v>
      </c>
      <c r="V947" s="1069"/>
      <c r="W947" s="866" t="s">
        <v>7</v>
      </c>
      <c r="X947" s="1044"/>
      <c r="Y947" s="1044"/>
      <c r="Z947" s="827">
        <v>0</v>
      </c>
      <c r="AA947" s="1044"/>
      <c r="AB947" s="1063"/>
      <c r="AC947" s="1063"/>
      <c r="AD947" s="1063"/>
      <c r="AE947" s="1119"/>
      <c r="AF947" s="1109"/>
      <c r="AG947" s="1358"/>
      <c r="AH947" s="1104"/>
      <c r="AI947" s="1104"/>
    </row>
    <row r="948" spans="1:36" ht="15" customHeight="1">
      <c r="A948" s="1033"/>
      <c r="B948" s="1033"/>
      <c r="C948" s="1033"/>
      <c r="D948" s="1033"/>
      <c r="E948" s="1033"/>
      <c r="F948" s="1033"/>
      <c r="G948" s="1033"/>
      <c r="H948" s="1287"/>
      <c r="I948" s="1066"/>
      <c r="J948" s="1063"/>
      <c r="K948" s="1063"/>
      <c r="L948" s="1063"/>
      <c r="M948" s="1069"/>
      <c r="N948" s="1093"/>
      <c r="O948" s="1093"/>
      <c r="P948" s="1093"/>
      <c r="Q948" s="1063"/>
      <c r="R948" s="1063"/>
      <c r="S948" s="1033"/>
      <c r="T948" s="1067"/>
      <c r="U948" s="866">
        <v>1340626.82</v>
      </c>
      <c r="V948" s="1070"/>
      <c r="W948" s="866" t="s">
        <v>7</v>
      </c>
      <c r="X948" s="1044"/>
      <c r="Y948" s="1044"/>
      <c r="Z948" s="827">
        <v>0</v>
      </c>
      <c r="AA948" s="1044"/>
      <c r="AB948" s="1063"/>
      <c r="AC948" s="1063"/>
      <c r="AD948" s="1063"/>
      <c r="AE948" s="1119"/>
      <c r="AF948" s="1109"/>
      <c r="AG948" s="1358"/>
      <c r="AH948" s="1104"/>
      <c r="AI948" s="1104"/>
    </row>
    <row r="949" spans="1:36" ht="15" customHeight="1">
      <c r="A949" s="1033"/>
      <c r="B949" s="1033"/>
      <c r="C949" s="1033"/>
      <c r="D949" s="1033"/>
      <c r="E949" s="1033"/>
      <c r="F949" s="1033"/>
      <c r="G949" s="1033"/>
      <c r="H949" s="1287"/>
      <c r="I949" s="1066"/>
      <c r="J949" s="1063"/>
      <c r="K949" s="1063"/>
      <c r="L949" s="1063"/>
      <c r="M949" s="1069"/>
      <c r="N949" s="1093"/>
      <c r="O949" s="1093"/>
      <c r="P949" s="1093"/>
      <c r="Q949" s="1063"/>
      <c r="R949" s="1063"/>
      <c r="S949" s="1033"/>
      <c r="T949" s="1065" t="s">
        <v>1418</v>
      </c>
      <c r="U949" s="866">
        <v>4426004.05</v>
      </c>
      <c r="V949" s="1068">
        <v>41849</v>
      </c>
      <c r="W949" s="866" t="s">
        <v>7</v>
      </c>
      <c r="X949" s="1044"/>
      <c r="Y949" s="1044"/>
      <c r="Z949" s="827">
        <v>0</v>
      </c>
      <c r="AA949" s="1044"/>
      <c r="AB949" s="1063"/>
      <c r="AC949" s="1063"/>
      <c r="AD949" s="1063"/>
      <c r="AE949" s="1119"/>
      <c r="AF949" s="1109"/>
      <c r="AG949" s="1358"/>
      <c r="AH949" s="1104"/>
      <c r="AI949" s="1104"/>
    </row>
    <row r="950" spans="1:36" ht="15" customHeight="1">
      <c r="A950" s="1033"/>
      <c r="B950" s="1033"/>
      <c r="C950" s="1033"/>
      <c r="D950" s="1033"/>
      <c r="E950" s="1033"/>
      <c r="F950" s="1033"/>
      <c r="G950" s="1033"/>
      <c r="H950" s="1287"/>
      <c r="I950" s="1066"/>
      <c r="J950" s="1063"/>
      <c r="K950" s="1063"/>
      <c r="L950" s="1063"/>
      <c r="M950" s="1069"/>
      <c r="N950" s="1093"/>
      <c r="O950" s="1093"/>
      <c r="P950" s="1093"/>
      <c r="Q950" s="1063"/>
      <c r="R950" s="1063"/>
      <c r="S950" s="1033"/>
      <c r="T950" s="1066"/>
      <c r="U950" s="866">
        <v>622401.71</v>
      </c>
      <c r="V950" s="1069"/>
      <c r="W950" s="866" t="s">
        <v>7</v>
      </c>
      <c r="X950" s="1044"/>
      <c r="Y950" s="1044"/>
      <c r="Z950" s="827">
        <v>0</v>
      </c>
      <c r="AA950" s="1044"/>
      <c r="AB950" s="1063"/>
      <c r="AC950" s="1063"/>
      <c r="AD950" s="1063"/>
      <c r="AE950" s="1119"/>
      <c r="AF950" s="1109"/>
      <c r="AG950" s="1358"/>
      <c r="AH950" s="1104"/>
      <c r="AI950" s="1104"/>
    </row>
    <row r="951" spans="1:36" ht="15" customHeight="1">
      <c r="A951" s="1033"/>
      <c r="B951" s="1033"/>
      <c r="C951" s="1033"/>
      <c r="D951" s="1033"/>
      <c r="E951" s="1033"/>
      <c r="F951" s="1033"/>
      <c r="G951" s="1033"/>
      <c r="H951" s="1287"/>
      <c r="I951" s="1066"/>
      <c r="J951" s="1063"/>
      <c r="K951" s="1063"/>
      <c r="L951" s="1063"/>
      <c r="M951" s="1069"/>
      <c r="N951" s="1093"/>
      <c r="O951" s="1093"/>
      <c r="P951" s="1093"/>
      <c r="Q951" s="1063"/>
      <c r="R951" s="1063"/>
      <c r="S951" s="1033"/>
      <c r="T951" s="1066"/>
      <c r="U951" s="866">
        <v>349619.16</v>
      </c>
      <c r="V951" s="1069"/>
      <c r="W951" s="866" t="s">
        <v>7</v>
      </c>
      <c r="X951" s="1044"/>
      <c r="Y951" s="1044"/>
      <c r="Z951" s="827">
        <v>0</v>
      </c>
      <c r="AA951" s="1044"/>
      <c r="AB951" s="1063"/>
      <c r="AC951" s="1063"/>
      <c r="AD951" s="1063"/>
      <c r="AE951" s="1119"/>
      <c r="AF951" s="1109"/>
      <c r="AG951" s="1358"/>
      <c r="AH951" s="1104"/>
      <c r="AI951" s="1104"/>
    </row>
    <row r="952" spans="1:36" ht="15" customHeight="1">
      <c r="A952" s="1033"/>
      <c r="B952" s="1033"/>
      <c r="C952" s="1033"/>
      <c r="D952" s="1033"/>
      <c r="E952" s="1033"/>
      <c r="F952" s="1033"/>
      <c r="G952" s="1033"/>
      <c r="H952" s="1287"/>
      <c r="I952" s="1066"/>
      <c r="J952" s="1063"/>
      <c r="K952" s="1063"/>
      <c r="L952" s="1063"/>
      <c r="M952" s="1069"/>
      <c r="N952" s="1093"/>
      <c r="O952" s="1093"/>
      <c r="P952" s="1093"/>
      <c r="Q952" s="1063"/>
      <c r="R952" s="1063"/>
      <c r="S952" s="1033"/>
      <c r="T952" s="1066"/>
      <c r="U952" s="866">
        <v>1255885.8700000001</v>
      </c>
      <c r="V952" s="1069"/>
      <c r="W952" s="866" t="s">
        <v>7</v>
      </c>
      <c r="X952" s="1044"/>
      <c r="Y952" s="1044"/>
      <c r="Z952" s="827">
        <v>0</v>
      </c>
      <c r="AA952" s="1044"/>
      <c r="AB952" s="1063"/>
      <c r="AC952" s="1063"/>
      <c r="AD952" s="1063"/>
      <c r="AE952" s="1119"/>
      <c r="AF952" s="1109"/>
      <c r="AG952" s="1358"/>
      <c r="AH952" s="1104"/>
      <c r="AI952" s="1104"/>
    </row>
    <row r="953" spans="1:36" ht="15" customHeight="1">
      <c r="A953" s="1012"/>
      <c r="B953" s="1012"/>
      <c r="C953" s="1012"/>
      <c r="D953" s="1012"/>
      <c r="E953" s="1012"/>
      <c r="F953" s="1012"/>
      <c r="G953" s="1012"/>
      <c r="H953" s="1288"/>
      <c r="I953" s="1067"/>
      <c r="J953" s="1064"/>
      <c r="K953" s="1064"/>
      <c r="L953" s="1064"/>
      <c r="M953" s="1070"/>
      <c r="N953" s="1094"/>
      <c r="O953" s="1094"/>
      <c r="P953" s="1094"/>
      <c r="Q953" s="1064"/>
      <c r="R953" s="1064"/>
      <c r="S953" s="1012"/>
      <c r="T953" s="1067"/>
      <c r="U953" s="866">
        <v>1795065.92</v>
      </c>
      <c r="V953" s="1070"/>
      <c r="W953" s="866" t="s">
        <v>7</v>
      </c>
      <c r="X953" s="1045"/>
      <c r="Y953" s="1045"/>
      <c r="Z953" s="827">
        <v>0</v>
      </c>
      <c r="AA953" s="1045"/>
      <c r="AB953" s="1064"/>
      <c r="AC953" s="1064"/>
      <c r="AD953" s="1064"/>
      <c r="AE953" s="1119"/>
      <c r="AF953" s="1110"/>
      <c r="AG953" s="1359"/>
      <c r="AH953" s="1105"/>
      <c r="AI953" s="1105"/>
    </row>
    <row r="954" spans="1:36" s="4" customFormat="1" ht="15" customHeight="1">
      <c r="A954" s="1011" t="s">
        <v>1430</v>
      </c>
      <c r="B954" s="1011" t="s">
        <v>1432</v>
      </c>
      <c r="C954" s="1011" t="s">
        <v>70</v>
      </c>
      <c r="D954" s="1011" t="s">
        <v>206</v>
      </c>
      <c r="E954" s="1011" t="s">
        <v>66</v>
      </c>
      <c r="F954" s="1011" t="s">
        <v>50</v>
      </c>
      <c r="G954" s="1011" t="s">
        <v>1434</v>
      </c>
      <c r="H954" s="1286">
        <v>186</v>
      </c>
      <c r="I954" s="1065" t="s">
        <v>137</v>
      </c>
      <c r="J954" s="1062">
        <v>61053092</v>
      </c>
      <c r="K954" s="1062">
        <v>61053092</v>
      </c>
      <c r="L954" s="1062">
        <v>91348045</v>
      </c>
      <c r="M954" s="1068">
        <v>40758</v>
      </c>
      <c r="N954" s="1062">
        <v>61053092</v>
      </c>
      <c r="O954" s="1062">
        <v>61053092</v>
      </c>
      <c r="P954" s="1062">
        <v>0</v>
      </c>
      <c r="Q954" s="1089">
        <v>60923200</v>
      </c>
      <c r="R954" s="1062">
        <v>91218153</v>
      </c>
      <c r="S954" s="1011" t="s">
        <v>1448</v>
      </c>
      <c r="T954" s="840" t="s">
        <v>1435</v>
      </c>
      <c r="U954" s="866">
        <v>36553920</v>
      </c>
      <c r="V954" s="855">
        <v>41752</v>
      </c>
      <c r="W954" s="866" t="s">
        <v>137</v>
      </c>
      <c r="X954" s="1043">
        <v>60923200</v>
      </c>
      <c r="Y954" s="1043">
        <v>91218153</v>
      </c>
      <c r="Z954" s="827">
        <v>0</v>
      </c>
      <c r="AA954" s="1043">
        <v>129892</v>
      </c>
      <c r="AB954" s="1062">
        <v>0</v>
      </c>
      <c r="AC954" s="1062">
        <v>129892</v>
      </c>
      <c r="AD954" s="1062">
        <v>0</v>
      </c>
      <c r="AE954" s="1062">
        <v>129892</v>
      </c>
      <c r="AF954" s="1108" t="s">
        <v>1441</v>
      </c>
      <c r="AG954" s="1103" t="s">
        <v>1520</v>
      </c>
      <c r="AH954" s="1103" t="s">
        <v>195</v>
      </c>
      <c r="AI954" s="1103" t="s">
        <v>1097</v>
      </c>
    </row>
    <row r="955" spans="1:36" s="4" customFormat="1" ht="15" customHeight="1">
      <c r="A955" s="1033"/>
      <c r="B955" s="1033"/>
      <c r="C955" s="1033"/>
      <c r="D955" s="1033"/>
      <c r="E955" s="1033"/>
      <c r="F955" s="1033"/>
      <c r="G955" s="1033"/>
      <c r="H955" s="1287"/>
      <c r="I955" s="1066"/>
      <c r="J955" s="1063"/>
      <c r="K955" s="1063"/>
      <c r="L955" s="1063"/>
      <c r="M955" s="1069"/>
      <c r="N955" s="1063"/>
      <c r="O955" s="1063"/>
      <c r="P955" s="1063"/>
      <c r="Q955" s="1090"/>
      <c r="R955" s="1063"/>
      <c r="S955" s="1033"/>
      <c r="T955" s="840" t="s">
        <v>1436</v>
      </c>
      <c r="U955" s="866">
        <v>12184640</v>
      </c>
      <c r="V955" s="855">
        <v>41862</v>
      </c>
      <c r="W955" s="866" t="s">
        <v>137</v>
      </c>
      <c r="X955" s="1044"/>
      <c r="Y955" s="1044"/>
      <c r="Z955" s="827">
        <v>0</v>
      </c>
      <c r="AA955" s="1044"/>
      <c r="AB955" s="1063"/>
      <c r="AC955" s="1063"/>
      <c r="AD955" s="1063"/>
      <c r="AE955" s="1063"/>
      <c r="AF955" s="1109"/>
      <c r="AG955" s="1104"/>
      <c r="AH955" s="1104"/>
      <c r="AI955" s="1104"/>
    </row>
    <row r="956" spans="1:36" s="4" customFormat="1" ht="15" customHeight="1">
      <c r="A956" s="1033"/>
      <c r="B956" s="1033"/>
      <c r="C956" s="1033"/>
      <c r="D956" s="1033"/>
      <c r="E956" s="1033"/>
      <c r="F956" s="1033"/>
      <c r="G956" s="1033"/>
      <c r="H956" s="1287"/>
      <c r="I956" s="1066"/>
      <c r="J956" s="1063"/>
      <c r="K956" s="1063"/>
      <c r="L956" s="1063"/>
      <c r="M956" s="1069"/>
      <c r="N956" s="1063"/>
      <c r="O956" s="1063"/>
      <c r="P956" s="1063"/>
      <c r="Q956" s="1090"/>
      <c r="R956" s="1063"/>
      <c r="S956" s="1033"/>
      <c r="T956" s="840" t="s">
        <v>1437</v>
      </c>
      <c r="U956" s="866">
        <v>6092320</v>
      </c>
      <c r="V956" s="855">
        <v>41985</v>
      </c>
      <c r="W956" s="866" t="s">
        <v>137</v>
      </c>
      <c r="X956" s="1044"/>
      <c r="Y956" s="1044"/>
      <c r="Z956" s="827">
        <v>0</v>
      </c>
      <c r="AA956" s="1044"/>
      <c r="AB956" s="1063"/>
      <c r="AC956" s="1063"/>
      <c r="AD956" s="1063"/>
      <c r="AE956" s="1063"/>
      <c r="AF956" s="1109"/>
      <c r="AG956" s="1104"/>
      <c r="AH956" s="1104"/>
      <c r="AI956" s="1104"/>
    </row>
    <row r="957" spans="1:36" s="4" customFormat="1" ht="15" customHeight="1">
      <c r="A957" s="1033"/>
      <c r="B957" s="1033"/>
      <c r="C957" s="1033"/>
      <c r="D957" s="1033"/>
      <c r="E957" s="1012"/>
      <c r="F957" s="1033"/>
      <c r="G957" s="1033"/>
      <c r="H957" s="1288"/>
      <c r="I957" s="1067"/>
      <c r="J957" s="1064"/>
      <c r="K957" s="1064"/>
      <c r="L957" s="1063"/>
      <c r="M957" s="1070"/>
      <c r="N957" s="1064"/>
      <c r="O957" s="1064"/>
      <c r="P957" s="1064"/>
      <c r="Q957" s="1091"/>
      <c r="R957" s="1063"/>
      <c r="S957" s="1033"/>
      <c r="T957" s="840" t="s">
        <v>1438</v>
      </c>
      <c r="U957" s="866">
        <v>6092320</v>
      </c>
      <c r="V957" s="855">
        <v>42236</v>
      </c>
      <c r="W957" s="866" t="s">
        <v>137</v>
      </c>
      <c r="X957" s="1045"/>
      <c r="Y957" s="1044"/>
      <c r="Z957" s="827">
        <v>0</v>
      </c>
      <c r="AA957" s="1045"/>
      <c r="AB957" s="1063"/>
      <c r="AC957" s="1064"/>
      <c r="AD957" s="1064"/>
      <c r="AE957" s="1064"/>
      <c r="AF957" s="1109"/>
      <c r="AG957" s="1104"/>
      <c r="AH957" s="1104"/>
      <c r="AI957" s="1104"/>
    </row>
    <row r="958" spans="1:36" s="4" customFormat="1" ht="15" customHeight="1">
      <c r="A958" s="1033"/>
      <c r="B958" s="1033"/>
      <c r="C958" s="1033"/>
      <c r="D958" s="1033"/>
      <c r="E958" s="1011" t="s">
        <v>67</v>
      </c>
      <c r="F958" s="1033"/>
      <c r="G958" s="1033"/>
      <c r="H958" s="1286">
        <v>13</v>
      </c>
      <c r="I958" s="1065" t="s">
        <v>152</v>
      </c>
      <c r="J958" s="1062">
        <v>30294953</v>
      </c>
      <c r="K958" s="1062">
        <v>30294953</v>
      </c>
      <c r="L958" s="1063"/>
      <c r="M958" s="1068">
        <v>42003</v>
      </c>
      <c r="N958" s="1062">
        <v>30294953</v>
      </c>
      <c r="O958" s="1062">
        <v>30294953</v>
      </c>
      <c r="P958" s="1062">
        <v>0</v>
      </c>
      <c r="Q958" s="1062">
        <v>30294953</v>
      </c>
      <c r="R958" s="1063"/>
      <c r="S958" s="1033"/>
      <c r="T958" s="840" t="s">
        <v>1439</v>
      </c>
      <c r="U958" s="866">
        <v>21173138</v>
      </c>
      <c r="V958" s="855">
        <v>42236</v>
      </c>
      <c r="W958" s="866" t="s">
        <v>152</v>
      </c>
      <c r="X958" s="1043">
        <v>30294953</v>
      </c>
      <c r="Y958" s="1044"/>
      <c r="Z958" s="827">
        <v>0</v>
      </c>
      <c r="AA958" s="1043">
        <v>0</v>
      </c>
      <c r="AB958" s="1063"/>
      <c r="AC958" s="1062">
        <v>0</v>
      </c>
      <c r="AD958" s="1062">
        <v>0</v>
      </c>
      <c r="AE958" s="1062">
        <v>0</v>
      </c>
      <c r="AF958" s="1109"/>
      <c r="AG958" s="1104"/>
      <c r="AH958" s="1104"/>
      <c r="AI958" s="1104"/>
    </row>
    <row r="959" spans="1:36" ht="15" customHeight="1">
      <c r="A959" s="1012"/>
      <c r="B959" s="1012"/>
      <c r="C959" s="1012"/>
      <c r="D959" s="1012"/>
      <c r="E959" s="1012"/>
      <c r="F959" s="1012"/>
      <c r="G959" s="1012"/>
      <c r="H959" s="1288"/>
      <c r="I959" s="1067"/>
      <c r="J959" s="1064"/>
      <c r="K959" s="1064"/>
      <c r="L959" s="1064"/>
      <c r="M959" s="1070"/>
      <c r="N959" s="1064"/>
      <c r="O959" s="1064"/>
      <c r="P959" s="1064"/>
      <c r="Q959" s="1064"/>
      <c r="R959" s="1064"/>
      <c r="S959" s="1012"/>
      <c r="T959" s="840" t="s">
        <v>1440</v>
      </c>
      <c r="U959" s="866">
        <v>9121815</v>
      </c>
      <c r="V959" s="855">
        <v>43194</v>
      </c>
      <c r="W959" s="866" t="s">
        <v>152</v>
      </c>
      <c r="X959" s="1045"/>
      <c r="Y959" s="1045"/>
      <c r="Z959" s="827">
        <v>0</v>
      </c>
      <c r="AA959" s="1045"/>
      <c r="AB959" s="1064"/>
      <c r="AC959" s="1064"/>
      <c r="AD959" s="1064"/>
      <c r="AE959" s="1064"/>
      <c r="AF959" s="1110"/>
      <c r="AG959" s="1105"/>
      <c r="AH959" s="1105"/>
      <c r="AI959" s="1105"/>
    </row>
    <row r="960" spans="1:36" ht="15" customHeight="1">
      <c r="A960" s="1011" t="s">
        <v>1445</v>
      </c>
      <c r="B960" s="1011" t="s">
        <v>1447</v>
      </c>
      <c r="C960" s="1011" t="s">
        <v>70</v>
      </c>
      <c r="D960" s="1011" t="s">
        <v>206</v>
      </c>
      <c r="E960" s="1011" t="s">
        <v>66</v>
      </c>
      <c r="F960" s="1011" t="s">
        <v>49</v>
      </c>
      <c r="G960" s="1011" t="s">
        <v>1449</v>
      </c>
      <c r="H960" s="1286">
        <v>2</v>
      </c>
      <c r="I960" s="1065" t="s">
        <v>144</v>
      </c>
      <c r="J960" s="1062">
        <v>80193892</v>
      </c>
      <c r="K960" s="1062">
        <v>80193892</v>
      </c>
      <c r="L960" s="1062">
        <v>80193892</v>
      </c>
      <c r="M960" s="1068">
        <v>40899</v>
      </c>
      <c r="N960" s="1092">
        <v>80193892</v>
      </c>
      <c r="O960" s="1092">
        <v>80193892</v>
      </c>
      <c r="P960" s="1092">
        <v>0</v>
      </c>
      <c r="Q960" s="1062">
        <v>79970400</v>
      </c>
      <c r="R960" s="1062">
        <v>79970400</v>
      </c>
      <c r="S960" s="1011" t="s">
        <v>1448</v>
      </c>
      <c r="T960" s="840" t="s">
        <v>1450</v>
      </c>
      <c r="U960" s="866">
        <v>14098782</v>
      </c>
      <c r="V960" s="855">
        <v>41563</v>
      </c>
      <c r="W960" s="866" t="s">
        <v>144</v>
      </c>
      <c r="X960" s="1043">
        <v>71973361</v>
      </c>
      <c r="Y960" s="1043">
        <v>71973361</v>
      </c>
      <c r="Z960" s="827">
        <v>0</v>
      </c>
      <c r="AA960" s="1043">
        <v>8220531</v>
      </c>
      <c r="AB960" s="1062">
        <v>0</v>
      </c>
      <c r="AC960" s="1062">
        <v>223492</v>
      </c>
      <c r="AD960" s="1062">
        <v>7997039</v>
      </c>
      <c r="AE960" s="1062"/>
      <c r="AF960" s="1103" t="s">
        <v>1455</v>
      </c>
      <c r="AG960" s="1103" t="s">
        <v>1454</v>
      </c>
      <c r="AH960" s="1103" t="s">
        <v>194</v>
      </c>
      <c r="AI960" s="1103" t="s">
        <v>1414</v>
      </c>
      <c r="AJ960" s="1074" t="s">
        <v>2466</v>
      </c>
    </row>
    <row r="961" spans="1:36" ht="15" customHeight="1">
      <c r="A961" s="1033"/>
      <c r="B961" s="1033"/>
      <c r="C961" s="1033"/>
      <c r="D961" s="1033"/>
      <c r="E961" s="1033"/>
      <c r="F961" s="1033"/>
      <c r="G961" s="1033"/>
      <c r="H961" s="1287"/>
      <c r="I961" s="1066"/>
      <c r="J961" s="1063"/>
      <c r="K961" s="1063"/>
      <c r="L961" s="1063"/>
      <c r="M961" s="1069"/>
      <c r="N961" s="1093"/>
      <c r="O961" s="1093"/>
      <c r="P961" s="1093"/>
      <c r="Q961" s="1063"/>
      <c r="R961" s="1063"/>
      <c r="S961" s="1033"/>
      <c r="T961" s="840" t="s">
        <v>1451</v>
      </c>
      <c r="U961" s="866">
        <v>18329216</v>
      </c>
      <c r="V961" s="855">
        <v>41984</v>
      </c>
      <c r="W961" s="866" t="s">
        <v>144</v>
      </c>
      <c r="X961" s="1044"/>
      <c r="Y961" s="1044"/>
      <c r="Z961" s="827">
        <v>0</v>
      </c>
      <c r="AA961" s="1044"/>
      <c r="AB961" s="1063"/>
      <c r="AC961" s="1063"/>
      <c r="AD961" s="1063"/>
      <c r="AE961" s="1063"/>
      <c r="AF961" s="1104"/>
      <c r="AG961" s="1104"/>
      <c r="AH961" s="1104"/>
      <c r="AI961" s="1104"/>
      <c r="AJ961" s="1074"/>
    </row>
    <row r="962" spans="1:36" ht="15" customHeight="1">
      <c r="A962" s="1033"/>
      <c r="B962" s="1033"/>
      <c r="C962" s="1033"/>
      <c r="D962" s="1033"/>
      <c r="E962" s="1033"/>
      <c r="F962" s="1033"/>
      <c r="G962" s="1033"/>
      <c r="H962" s="1287"/>
      <c r="I962" s="1066"/>
      <c r="J962" s="1063"/>
      <c r="K962" s="1063"/>
      <c r="L962" s="1063"/>
      <c r="M962" s="1069"/>
      <c r="N962" s="1093"/>
      <c r="O962" s="1093"/>
      <c r="P962" s="1093"/>
      <c r="Q962" s="1063"/>
      <c r="R962" s="1063"/>
      <c r="S962" s="1033"/>
      <c r="T962" s="840" t="s">
        <v>1452</v>
      </c>
      <c r="U962" s="866">
        <v>13914850</v>
      </c>
      <c r="V962" s="855">
        <v>41989</v>
      </c>
      <c r="W962" s="866" t="s">
        <v>144</v>
      </c>
      <c r="X962" s="1044"/>
      <c r="Y962" s="1044"/>
      <c r="Z962" s="827">
        <v>0</v>
      </c>
      <c r="AA962" s="1044"/>
      <c r="AB962" s="1063"/>
      <c r="AC962" s="1063"/>
      <c r="AD962" s="1063"/>
      <c r="AE962" s="1063"/>
      <c r="AF962" s="1104"/>
      <c r="AG962" s="1104"/>
      <c r="AH962" s="1104"/>
      <c r="AI962" s="1104"/>
      <c r="AJ962" s="1074"/>
    </row>
    <row r="963" spans="1:36" ht="15" customHeight="1">
      <c r="A963" s="1033"/>
      <c r="B963" s="1033"/>
      <c r="C963" s="1033"/>
      <c r="D963" s="1033"/>
      <c r="E963" s="1033"/>
      <c r="F963" s="1033"/>
      <c r="G963" s="1033"/>
      <c r="H963" s="1287"/>
      <c r="I963" s="1066"/>
      <c r="J963" s="1063"/>
      <c r="K963" s="1063"/>
      <c r="L963" s="1063"/>
      <c r="M963" s="1069"/>
      <c r="N963" s="1093"/>
      <c r="O963" s="1093"/>
      <c r="P963" s="1093"/>
      <c r="Q963" s="1063"/>
      <c r="R963" s="1063"/>
      <c r="S963" s="1033"/>
      <c r="T963" s="840" t="s">
        <v>1453</v>
      </c>
      <c r="U963" s="866">
        <v>25630513</v>
      </c>
      <c r="V963" s="855">
        <v>42166</v>
      </c>
      <c r="W963" s="866" t="s">
        <v>144</v>
      </c>
      <c r="X963" s="1044"/>
      <c r="Y963" s="1044"/>
      <c r="Z963" s="827">
        <v>0</v>
      </c>
      <c r="AA963" s="1044"/>
      <c r="AB963" s="1063"/>
      <c r="AC963" s="1063"/>
      <c r="AD963" s="1063"/>
      <c r="AE963" s="1063"/>
      <c r="AF963" s="1104"/>
      <c r="AG963" s="1104"/>
      <c r="AH963" s="1104"/>
      <c r="AI963" s="1104"/>
      <c r="AJ963" s="1074"/>
    </row>
    <row r="964" spans="1:36" ht="15" customHeight="1">
      <c r="A964" s="1012"/>
      <c r="B964" s="1012"/>
      <c r="C964" s="1012"/>
      <c r="D964" s="1012"/>
      <c r="E964" s="1012"/>
      <c r="F964" s="1012"/>
      <c r="G964" s="1012"/>
      <c r="H964" s="1288"/>
      <c r="I964" s="1067"/>
      <c r="J964" s="1064"/>
      <c r="K964" s="1064"/>
      <c r="L964" s="1064"/>
      <c r="M964" s="1070"/>
      <c r="N964" s="1094"/>
      <c r="O964" s="1094"/>
      <c r="P964" s="1094"/>
      <c r="Q964" s="1064"/>
      <c r="R964" s="1064"/>
      <c r="S964" s="1012"/>
      <c r="T964" s="840"/>
      <c r="U964" s="866">
        <v>0</v>
      </c>
      <c r="V964" s="855"/>
      <c r="W964" s="866" t="s">
        <v>144</v>
      </c>
      <c r="X964" s="1045"/>
      <c r="Y964" s="1045"/>
      <c r="Z964" s="827">
        <v>0</v>
      </c>
      <c r="AA964" s="1045"/>
      <c r="AB964" s="1064"/>
      <c r="AC964" s="1064"/>
      <c r="AD964" s="1064"/>
      <c r="AE964" s="1064"/>
      <c r="AF964" s="1105"/>
      <c r="AG964" s="1105"/>
      <c r="AH964" s="1105"/>
      <c r="AI964" s="1105"/>
      <c r="AJ964" s="1074"/>
    </row>
    <row r="965" spans="1:36" ht="15" customHeight="1">
      <c r="A965" s="1011" t="s">
        <v>2684</v>
      </c>
      <c r="B965" s="1011" t="s">
        <v>2688</v>
      </c>
      <c r="C965" s="790"/>
      <c r="D965" s="790"/>
      <c r="E965" s="790"/>
      <c r="F965" s="790"/>
      <c r="G965" s="790"/>
      <c r="H965" s="1009">
        <v>6</v>
      </c>
      <c r="I965" s="1065" t="s">
        <v>161</v>
      </c>
      <c r="J965" s="798">
        <v>47711888</v>
      </c>
      <c r="K965" s="798"/>
      <c r="L965" s="798"/>
      <c r="M965" s="817">
        <v>41827</v>
      </c>
      <c r="N965" s="820"/>
      <c r="O965" s="820"/>
      <c r="P965" s="820"/>
      <c r="Q965" s="798">
        <v>31360454</v>
      </c>
      <c r="R965" s="798"/>
      <c r="S965" s="790"/>
      <c r="T965" s="840" t="s">
        <v>2685</v>
      </c>
      <c r="U965" s="866">
        <v>18581459</v>
      </c>
      <c r="V965" s="855">
        <v>42970</v>
      </c>
      <c r="W965" s="866"/>
      <c r="X965" s="806"/>
      <c r="Y965" s="806"/>
      <c r="Z965" s="827"/>
      <c r="AA965" s="806"/>
      <c r="AB965" s="798"/>
      <c r="AC965" s="798"/>
      <c r="AD965" s="798"/>
      <c r="AE965" s="798"/>
      <c r="AF965" s="835"/>
      <c r="AG965" s="835"/>
      <c r="AH965" s="835"/>
      <c r="AI965" s="835"/>
      <c r="AJ965" s="203"/>
    </row>
    <row r="966" spans="1:36" ht="15" customHeight="1">
      <c r="A966" s="1033"/>
      <c r="B966" s="1033"/>
      <c r="C966" s="790"/>
      <c r="D966" s="790"/>
      <c r="E966" s="790"/>
      <c r="F966" s="790"/>
      <c r="G966" s="790"/>
      <c r="H966" s="1039"/>
      <c r="I966" s="1066"/>
      <c r="J966" s="798"/>
      <c r="K966" s="798"/>
      <c r="L966" s="798"/>
      <c r="M966" s="817"/>
      <c r="N966" s="820"/>
      <c r="O966" s="820"/>
      <c r="P966" s="820"/>
      <c r="Q966" s="798"/>
      <c r="R966" s="798"/>
      <c r="S966" s="790"/>
      <c r="T966" s="840" t="s">
        <v>2686</v>
      </c>
      <c r="U966" s="866">
        <v>12778995</v>
      </c>
      <c r="V966" s="855">
        <v>42970</v>
      </c>
      <c r="W966" s="866"/>
      <c r="X966" s="806"/>
      <c r="Y966" s="806"/>
      <c r="Z966" s="827"/>
      <c r="AA966" s="806"/>
      <c r="AB966" s="798"/>
      <c r="AC966" s="798"/>
      <c r="AD966" s="798"/>
      <c r="AE966" s="798"/>
      <c r="AF966" s="835"/>
      <c r="AG966" s="835"/>
      <c r="AH966" s="835"/>
      <c r="AI966" s="835"/>
      <c r="AJ966" s="203"/>
    </row>
    <row r="967" spans="1:36" ht="15" customHeight="1">
      <c r="A967" s="790"/>
      <c r="B967" s="790"/>
      <c r="C967" s="790"/>
      <c r="D967" s="790"/>
      <c r="E967" s="790"/>
      <c r="F967" s="790"/>
      <c r="G967" s="790"/>
      <c r="H967" s="892"/>
      <c r="I967" s="793"/>
      <c r="J967" s="798"/>
      <c r="K967" s="798"/>
      <c r="L967" s="798"/>
      <c r="M967" s="817"/>
      <c r="N967" s="820"/>
      <c r="O967" s="820"/>
      <c r="P967" s="820"/>
      <c r="Q967" s="798"/>
      <c r="R967" s="798"/>
      <c r="S967" s="790"/>
      <c r="T967" s="840"/>
      <c r="U967" s="866"/>
      <c r="V967" s="855"/>
      <c r="W967" s="866"/>
      <c r="X967" s="806"/>
      <c r="Y967" s="806"/>
      <c r="Z967" s="827"/>
      <c r="AA967" s="806"/>
      <c r="AB967" s="798"/>
      <c r="AC967" s="798"/>
      <c r="AD967" s="798"/>
      <c r="AE967" s="798"/>
      <c r="AF967" s="835"/>
      <c r="AG967" s="835"/>
      <c r="AH967" s="835"/>
      <c r="AI967" s="835"/>
      <c r="AJ967" s="203"/>
    </row>
    <row r="968" spans="1:36" ht="15" customHeight="1">
      <c r="A968" s="1011" t="s">
        <v>1457</v>
      </c>
      <c r="B968" s="1011" t="s">
        <v>1458</v>
      </c>
      <c r="C968" s="1011" t="s">
        <v>71</v>
      </c>
      <c r="D968" s="1011" t="s">
        <v>1221</v>
      </c>
      <c r="E968" s="1011" t="s">
        <v>66</v>
      </c>
      <c r="F968" s="1011" t="s">
        <v>183</v>
      </c>
      <c r="G968" s="1011" t="s">
        <v>1469</v>
      </c>
      <c r="H968" s="1286">
        <v>261</v>
      </c>
      <c r="I968" s="1065" t="s">
        <v>7</v>
      </c>
      <c r="J968" s="1062">
        <v>839576101</v>
      </c>
      <c r="K968" s="1062">
        <v>839576101</v>
      </c>
      <c r="L968" s="1062">
        <v>1531340768</v>
      </c>
      <c r="M968" s="1068">
        <v>41220</v>
      </c>
      <c r="N968" s="1092">
        <v>828171885.54999995</v>
      </c>
      <c r="O968" s="1092">
        <v>828171885.54999995</v>
      </c>
      <c r="P968" s="1092">
        <v>11404215.450000048</v>
      </c>
      <c r="Q968" s="1062">
        <v>828171885.67999995</v>
      </c>
      <c r="R968" s="1062">
        <v>1514447709</v>
      </c>
      <c r="S968" s="1011" t="s">
        <v>1459</v>
      </c>
      <c r="T968" s="840" t="s">
        <v>1460</v>
      </c>
      <c r="U968" s="866">
        <v>186137458</v>
      </c>
      <c r="V968" s="855">
        <v>41571</v>
      </c>
      <c r="W968" s="866" t="s">
        <v>7</v>
      </c>
      <c r="X968" s="1043">
        <v>828171885.54999995</v>
      </c>
      <c r="Y968" s="1043">
        <v>1514447580</v>
      </c>
      <c r="Z968" s="827">
        <v>0</v>
      </c>
      <c r="AA968" s="1043">
        <v>0</v>
      </c>
      <c r="AB968" s="1062">
        <v>0</v>
      </c>
      <c r="AC968" s="1062">
        <v>-0.12999999523162842</v>
      </c>
      <c r="AD968" s="1062">
        <v>0.12999999523162842</v>
      </c>
      <c r="AE968" s="1062">
        <v>0</v>
      </c>
      <c r="AF968" s="1108" t="s">
        <v>606</v>
      </c>
      <c r="AG968" s="1103" t="s">
        <v>1470</v>
      </c>
      <c r="AH968" s="1103" t="s">
        <v>194</v>
      </c>
      <c r="AI968" s="1103" t="s">
        <v>1414</v>
      </c>
    </row>
    <row r="969" spans="1:36" ht="15" customHeight="1">
      <c r="A969" s="1033"/>
      <c r="B969" s="1033"/>
      <c r="C969" s="1033"/>
      <c r="D969" s="1033"/>
      <c r="E969" s="1033"/>
      <c r="F969" s="1033"/>
      <c r="G969" s="1033"/>
      <c r="H969" s="1287"/>
      <c r="I969" s="1066"/>
      <c r="J969" s="1063"/>
      <c r="K969" s="1063"/>
      <c r="L969" s="1063"/>
      <c r="M969" s="1069"/>
      <c r="N969" s="1093"/>
      <c r="O969" s="1093"/>
      <c r="P969" s="1093"/>
      <c r="Q969" s="1063"/>
      <c r="R969" s="1063"/>
      <c r="S969" s="1033"/>
      <c r="T969" s="840" t="s">
        <v>1462</v>
      </c>
      <c r="U969" s="866">
        <v>136875575</v>
      </c>
      <c r="V969" s="855">
        <v>41606</v>
      </c>
      <c r="W969" s="866" t="s">
        <v>7</v>
      </c>
      <c r="X969" s="1044"/>
      <c r="Y969" s="1044"/>
      <c r="Z969" s="827">
        <v>0</v>
      </c>
      <c r="AA969" s="1044"/>
      <c r="AB969" s="1063"/>
      <c r="AC969" s="1063"/>
      <c r="AD969" s="1063"/>
      <c r="AE969" s="1063"/>
      <c r="AF969" s="1109"/>
      <c r="AG969" s="1104"/>
      <c r="AH969" s="1104"/>
      <c r="AI969" s="1104"/>
    </row>
    <row r="970" spans="1:36" ht="15" customHeight="1">
      <c r="A970" s="1033"/>
      <c r="B970" s="1033"/>
      <c r="C970" s="1033"/>
      <c r="D970" s="1033"/>
      <c r="E970" s="1033"/>
      <c r="F970" s="1033"/>
      <c r="G970" s="1033"/>
      <c r="H970" s="1287"/>
      <c r="I970" s="1066"/>
      <c r="J970" s="1063"/>
      <c r="K970" s="1063"/>
      <c r="L970" s="1063"/>
      <c r="M970" s="1069"/>
      <c r="N970" s="1093"/>
      <c r="O970" s="1093"/>
      <c r="P970" s="1093"/>
      <c r="Q970" s="1063"/>
      <c r="R970" s="1063"/>
      <c r="S970" s="1033"/>
      <c r="T970" s="840" t="s">
        <v>1461</v>
      </c>
      <c r="U970" s="866">
        <v>111401544.81999999</v>
      </c>
      <c r="V970" s="855">
        <v>41626</v>
      </c>
      <c r="W970" s="866" t="s">
        <v>7</v>
      </c>
      <c r="X970" s="1044"/>
      <c r="Y970" s="1044"/>
      <c r="Z970" s="827">
        <v>0</v>
      </c>
      <c r="AA970" s="1044"/>
      <c r="AB970" s="1063"/>
      <c r="AC970" s="1063"/>
      <c r="AD970" s="1063"/>
      <c r="AE970" s="1063"/>
      <c r="AF970" s="1109"/>
      <c r="AG970" s="1104"/>
      <c r="AH970" s="1104"/>
      <c r="AI970" s="1104"/>
    </row>
    <row r="971" spans="1:36" ht="15" customHeight="1">
      <c r="A971" s="1033"/>
      <c r="B971" s="1033"/>
      <c r="C971" s="1033"/>
      <c r="D971" s="1033"/>
      <c r="E971" s="1033"/>
      <c r="F971" s="1033"/>
      <c r="G971" s="1033"/>
      <c r="H971" s="1287"/>
      <c r="I971" s="1066"/>
      <c r="J971" s="1063"/>
      <c r="K971" s="1063"/>
      <c r="L971" s="1063"/>
      <c r="M971" s="1069"/>
      <c r="N971" s="1093"/>
      <c r="O971" s="1093"/>
      <c r="P971" s="1093"/>
      <c r="Q971" s="1063"/>
      <c r="R971" s="1063"/>
      <c r="S971" s="1033"/>
      <c r="T971" s="840" t="s">
        <v>1463</v>
      </c>
      <c r="U971" s="866">
        <v>166012140</v>
      </c>
      <c r="V971" s="855">
        <v>41684</v>
      </c>
      <c r="W971" s="866" t="s">
        <v>7</v>
      </c>
      <c r="X971" s="1044"/>
      <c r="Y971" s="1044"/>
      <c r="Z971" s="827">
        <v>0</v>
      </c>
      <c r="AA971" s="1044"/>
      <c r="AB971" s="1063"/>
      <c r="AC971" s="1063"/>
      <c r="AD971" s="1063"/>
      <c r="AE971" s="1063"/>
      <c r="AF971" s="1109"/>
      <c r="AG971" s="1104"/>
      <c r="AH971" s="1104"/>
      <c r="AI971" s="1104"/>
    </row>
    <row r="972" spans="1:36" ht="15" customHeight="1">
      <c r="A972" s="1033"/>
      <c r="B972" s="1033"/>
      <c r="C972" s="1033"/>
      <c r="D972" s="1033"/>
      <c r="E972" s="1033"/>
      <c r="F972" s="1033"/>
      <c r="G972" s="1033"/>
      <c r="H972" s="1287"/>
      <c r="I972" s="1066"/>
      <c r="J972" s="1063"/>
      <c r="K972" s="1063"/>
      <c r="L972" s="1063"/>
      <c r="M972" s="1069"/>
      <c r="N972" s="1093"/>
      <c r="O972" s="1093"/>
      <c r="P972" s="1093"/>
      <c r="Q972" s="1063"/>
      <c r="R972" s="1063"/>
      <c r="S972" s="1033"/>
      <c r="T972" s="840" t="s">
        <v>1464</v>
      </c>
      <c r="U972" s="866">
        <v>73510098.709999993</v>
      </c>
      <c r="V972" s="855">
        <v>41726</v>
      </c>
      <c r="W972" s="866" t="s">
        <v>7</v>
      </c>
      <c r="X972" s="1044"/>
      <c r="Y972" s="1044"/>
      <c r="Z972" s="827">
        <v>0</v>
      </c>
      <c r="AA972" s="1044"/>
      <c r="AB972" s="1063"/>
      <c r="AC972" s="1063"/>
      <c r="AD972" s="1063"/>
      <c r="AE972" s="1063"/>
      <c r="AF972" s="1109"/>
      <c r="AG972" s="1104"/>
      <c r="AH972" s="1104"/>
      <c r="AI972" s="1104"/>
    </row>
    <row r="973" spans="1:36" ht="15" customHeight="1">
      <c r="A973" s="1033"/>
      <c r="B973" s="1033"/>
      <c r="C973" s="1033"/>
      <c r="D973" s="1033"/>
      <c r="E973" s="1033"/>
      <c r="F973" s="1033"/>
      <c r="G973" s="1033"/>
      <c r="H973" s="1287"/>
      <c r="I973" s="1066"/>
      <c r="J973" s="1063"/>
      <c r="K973" s="1063"/>
      <c r="L973" s="1063"/>
      <c r="M973" s="1069"/>
      <c r="N973" s="1093"/>
      <c r="O973" s="1093"/>
      <c r="P973" s="1093"/>
      <c r="Q973" s="1063"/>
      <c r="R973" s="1063"/>
      <c r="S973" s="1033"/>
      <c r="T973" s="840" t="s">
        <v>1465</v>
      </c>
      <c r="U973" s="866">
        <v>69281011.480000004</v>
      </c>
      <c r="V973" s="855">
        <v>41767</v>
      </c>
      <c r="W973" s="866" t="s">
        <v>7</v>
      </c>
      <c r="X973" s="1044"/>
      <c r="Y973" s="1044"/>
      <c r="Z973" s="827">
        <v>0</v>
      </c>
      <c r="AA973" s="1044"/>
      <c r="AB973" s="1063"/>
      <c r="AC973" s="1063"/>
      <c r="AD973" s="1063"/>
      <c r="AE973" s="1063"/>
      <c r="AF973" s="1109"/>
      <c r="AG973" s="1104"/>
      <c r="AH973" s="1104"/>
      <c r="AI973" s="1104"/>
    </row>
    <row r="974" spans="1:36" ht="15" customHeight="1">
      <c r="A974" s="1033"/>
      <c r="B974" s="1033"/>
      <c r="C974" s="1033"/>
      <c r="D974" s="1033"/>
      <c r="E974" s="1033"/>
      <c r="F974" s="1033"/>
      <c r="G974" s="1033"/>
      <c r="H974" s="1288"/>
      <c r="I974" s="1067"/>
      <c r="J974" s="1064"/>
      <c r="K974" s="1064"/>
      <c r="L974" s="1063"/>
      <c r="M974" s="1070"/>
      <c r="N974" s="1094"/>
      <c r="O974" s="1094"/>
      <c r="P974" s="1094"/>
      <c r="Q974" s="1064"/>
      <c r="R974" s="1063"/>
      <c r="S974" s="1033"/>
      <c r="T974" s="840" t="s">
        <v>1466</v>
      </c>
      <c r="U974" s="866">
        <v>84954057.540000007</v>
      </c>
      <c r="V974" s="855">
        <v>41947</v>
      </c>
      <c r="W974" s="866" t="s">
        <v>7</v>
      </c>
      <c r="X974" s="1045"/>
      <c r="Y974" s="1044"/>
      <c r="Z974" s="827">
        <v>0</v>
      </c>
      <c r="AA974" s="1045"/>
      <c r="AB974" s="1063"/>
      <c r="AC974" s="1064"/>
      <c r="AD974" s="1064"/>
      <c r="AE974" s="1064"/>
      <c r="AF974" s="1109"/>
      <c r="AG974" s="1104"/>
      <c r="AH974" s="1104"/>
      <c r="AI974" s="1104"/>
    </row>
    <row r="975" spans="1:36" ht="15" customHeight="1">
      <c r="A975" s="1033"/>
      <c r="B975" s="1033"/>
      <c r="C975" s="1033"/>
      <c r="D975" s="1033"/>
      <c r="E975" s="1033"/>
      <c r="F975" s="1033"/>
      <c r="G975" s="1033"/>
      <c r="H975" s="1286">
        <v>4</v>
      </c>
      <c r="I975" s="1065" t="s">
        <v>164</v>
      </c>
      <c r="J975" s="1062">
        <v>404087598</v>
      </c>
      <c r="K975" s="1062">
        <v>404087598</v>
      </c>
      <c r="L975" s="1063"/>
      <c r="M975" s="1068">
        <v>41220</v>
      </c>
      <c r="N975" s="1092">
        <v>398598754</v>
      </c>
      <c r="O975" s="1092">
        <v>398598754</v>
      </c>
      <c r="P975" s="1092">
        <v>5488844</v>
      </c>
      <c r="Q975" s="1062">
        <v>398598754.31999999</v>
      </c>
      <c r="R975" s="1063"/>
      <c r="S975" s="1033"/>
      <c r="T975" s="840" t="s">
        <v>1460</v>
      </c>
      <c r="U975" s="866">
        <v>89587875</v>
      </c>
      <c r="V975" s="855">
        <v>41571</v>
      </c>
      <c r="W975" s="866" t="s">
        <v>164</v>
      </c>
      <c r="X975" s="1043">
        <v>398598754.44999999</v>
      </c>
      <c r="Y975" s="1044"/>
      <c r="Z975" s="827">
        <v>0</v>
      </c>
      <c r="AA975" s="1043">
        <v>-0.44999998807907104</v>
      </c>
      <c r="AB975" s="1063"/>
      <c r="AC975" s="1062">
        <v>-0.31999999284744263</v>
      </c>
      <c r="AD975" s="1062">
        <v>-0.12999999523162842</v>
      </c>
      <c r="AE975" s="1062">
        <v>-0.44999998807907104</v>
      </c>
      <c r="AF975" s="1109"/>
      <c r="AG975" s="1104"/>
      <c r="AH975" s="1104"/>
      <c r="AI975" s="1104"/>
    </row>
    <row r="976" spans="1:36" ht="15" customHeight="1">
      <c r="A976" s="1033"/>
      <c r="B976" s="1033"/>
      <c r="C976" s="1033"/>
      <c r="D976" s="1033"/>
      <c r="E976" s="1033"/>
      <c r="F976" s="1033"/>
      <c r="G976" s="1033"/>
      <c r="H976" s="1287"/>
      <c r="I976" s="1066"/>
      <c r="J976" s="1063"/>
      <c r="K976" s="1063"/>
      <c r="L976" s="1063"/>
      <c r="M976" s="1069"/>
      <c r="N976" s="1093"/>
      <c r="O976" s="1093"/>
      <c r="P976" s="1093"/>
      <c r="Q976" s="1063"/>
      <c r="R976" s="1063"/>
      <c r="S976" s="1033"/>
      <c r="T976" s="840" t="s">
        <v>1462</v>
      </c>
      <c r="U976" s="866">
        <v>65878152</v>
      </c>
      <c r="V976" s="855">
        <v>41606</v>
      </c>
      <c r="W976" s="866" t="s">
        <v>164</v>
      </c>
      <c r="X976" s="1044"/>
      <c r="Y976" s="1044"/>
      <c r="Z976" s="827">
        <v>0</v>
      </c>
      <c r="AA976" s="1044"/>
      <c r="AB976" s="1063"/>
      <c r="AC976" s="1063"/>
      <c r="AD976" s="1063"/>
      <c r="AE976" s="1063"/>
      <c r="AF976" s="1109"/>
      <c r="AG976" s="1104"/>
      <c r="AH976" s="1104"/>
      <c r="AI976" s="1104"/>
    </row>
    <row r="977" spans="1:35" ht="15" customHeight="1">
      <c r="A977" s="1033"/>
      <c r="B977" s="1033"/>
      <c r="C977" s="1033"/>
      <c r="D977" s="1033"/>
      <c r="E977" s="1033"/>
      <c r="F977" s="1033"/>
      <c r="G977" s="1033"/>
      <c r="H977" s="1287"/>
      <c r="I977" s="1066"/>
      <c r="J977" s="1063"/>
      <c r="K977" s="1063"/>
      <c r="L977" s="1063"/>
      <c r="M977" s="1069"/>
      <c r="N977" s="1093"/>
      <c r="O977" s="1093"/>
      <c r="P977" s="1093"/>
      <c r="Q977" s="1063"/>
      <c r="R977" s="1063"/>
      <c r="S977" s="1033"/>
      <c r="T977" s="840" t="s">
        <v>1461</v>
      </c>
      <c r="U977" s="866">
        <v>53617513.18</v>
      </c>
      <c r="V977" s="855">
        <v>41626</v>
      </c>
      <c r="W977" s="866" t="s">
        <v>164</v>
      </c>
      <c r="X977" s="1044"/>
      <c r="Y977" s="1044"/>
      <c r="Z977" s="827">
        <v>0</v>
      </c>
      <c r="AA977" s="1044"/>
      <c r="AB977" s="1063"/>
      <c r="AC977" s="1063"/>
      <c r="AD977" s="1063"/>
      <c r="AE977" s="1063"/>
      <c r="AF977" s="1109"/>
      <c r="AG977" s="1104"/>
      <c r="AH977" s="1104"/>
      <c r="AI977" s="1104"/>
    </row>
    <row r="978" spans="1:35" ht="15" customHeight="1">
      <c r="A978" s="1033"/>
      <c r="B978" s="1033"/>
      <c r="C978" s="1033"/>
      <c r="D978" s="1033"/>
      <c r="E978" s="1033"/>
      <c r="F978" s="1033"/>
      <c r="G978" s="1033"/>
      <c r="H978" s="1287"/>
      <c r="I978" s="1066"/>
      <c r="J978" s="1063"/>
      <c r="K978" s="1063"/>
      <c r="L978" s="1063"/>
      <c r="M978" s="1069"/>
      <c r="N978" s="1093"/>
      <c r="O978" s="1093"/>
      <c r="P978" s="1093"/>
      <c r="Q978" s="1063"/>
      <c r="R978" s="1063"/>
      <c r="S978" s="1033"/>
      <c r="T978" s="840" t="s">
        <v>1463</v>
      </c>
      <c r="U978" s="866">
        <v>78123360.319999993</v>
      </c>
      <c r="V978" s="855">
        <v>41684</v>
      </c>
      <c r="W978" s="866" t="s">
        <v>164</v>
      </c>
      <c r="X978" s="1044"/>
      <c r="Y978" s="1044"/>
      <c r="Z978" s="827">
        <v>0</v>
      </c>
      <c r="AA978" s="1044"/>
      <c r="AB978" s="1063"/>
      <c r="AC978" s="1063"/>
      <c r="AD978" s="1063"/>
      <c r="AE978" s="1063"/>
      <c r="AF978" s="1109"/>
      <c r="AG978" s="1104"/>
      <c r="AH978" s="1104"/>
      <c r="AI978" s="1104"/>
    </row>
    <row r="979" spans="1:35" ht="15" customHeight="1">
      <c r="A979" s="1033"/>
      <c r="B979" s="1033"/>
      <c r="C979" s="1033"/>
      <c r="D979" s="1033"/>
      <c r="E979" s="1033"/>
      <c r="F979" s="1033"/>
      <c r="G979" s="1033"/>
      <c r="H979" s="1287"/>
      <c r="I979" s="1066"/>
      <c r="J979" s="1063"/>
      <c r="K979" s="1063"/>
      <c r="L979" s="1063"/>
      <c r="M979" s="1069"/>
      <c r="N979" s="1093"/>
      <c r="O979" s="1093"/>
      <c r="P979" s="1093"/>
      <c r="Q979" s="1063"/>
      <c r="R979" s="1063"/>
      <c r="S979" s="1033"/>
      <c r="T979" s="840" t="s">
        <v>1464</v>
      </c>
      <c r="U979" s="866">
        <v>35380377.289999999</v>
      </c>
      <c r="V979" s="855">
        <v>41726</v>
      </c>
      <c r="W979" s="866" t="s">
        <v>164</v>
      </c>
      <c r="X979" s="1044"/>
      <c r="Y979" s="1044"/>
      <c r="Z979" s="827">
        <v>0</v>
      </c>
      <c r="AA979" s="1044"/>
      <c r="AB979" s="1063"/>
      <c r="AC979" s="1063"/>
      <c r="AD979" s="1063"/>
      <c r="AE979" s="1063"/>
      <c r="AF979" s="1109"/>
      <c r="AG979" s="1104"/>
      <c r="AH979" s="1104"/>
      <c r="AI979" s="1104"/>
    </row>
    <row r="980" spans="1:35" ht="15" customHeight="1">
      <c r="A980" s="1033"/>
      <c r="B980" s="1033"/>
      <c r="C980" s="1033"/>
      <c r="D980" s="1033"/>
      <c r="E980" s="1033"/>
      <c r="F980" s="1033"/>
      <c r="G980" s="1033"/>
      <c r="H980" s="1287"/>
      <c r="I980" s="1066"/>
      <c r="J980" s="1063"/>
      <c r="K980" s="1063"/>
      <c r="L980" s="1063"/>
      <c r="M980" s="1069"/>
      <c r="N980" s="1093"/>
      <c r="O980" s="1093"/>
      <c r="P980" s="1093"/>
      <c r="Q980" s="1063"/>
      <c r="R980" s="1063"/>
      <c r="S980" s="1033"/>
      <c r="T980" s="840" t="s">
        <v>1465</v>
      </c>
      <c r="U980" s="866">
        <v>33344919.52</v>
      </c>
      <c r="V980" s="855">
        <v>41767</v>
      </c>
      <c r="W980" s="866" t="s">
        <v>164</v>
      </c>
      <c r="X980" s="1044"/>
      <c r="Y980" s="1044"/>
      <c r="Z980" s="827">
        <v>0</v>
      </c>
      <c r="AA980" s="1044"/>
      <c r="AB980" s="1063"/>
      <c r="AC980" s="1063"/>
      <c r="AD980" s="1063"/>
      <c r="AE980" s="1063"/>
      <c r="AF980" s="1109"/>
      <c r="AG980" s="1104"/>
      <c r="AH980" s="1104"/>
      <c r="AI980" s="1104"/>
    </row>
    <row r="981" spans="1:35" ht="15" customHeight="1">
      <c r="A981" s="1033"/>
      <c r="B981" s="1033"/>
      <c r="C981" s="1033"/>
      <c r="D981" s="1033"/>
      <c r="E981" s="1012"/>
      <c r="F981" s="1033"/>
      <c r="G981" s="1033"/>
      <c r="H981" s="1288"/>
      <c r="I981" s="1067"/>
      <c r="J981" s="1064"/>
      <c r="K981" s="1064"/>
      <c r="L981" s="1063"/>
      <c r="M981" s="1070"/>
      <c r="N981" s="1094"/>
      <c r="O981" s="1094"/>
      <c r="P981" s="1094"/>
      <c r="Q981" s="1064"/>
      <c r="R981" s="1063"/>
      <c r="S981" s="1033"/>
      <c r="T981" s="840" t="s">
        <v>1466</v>
      </c>
      <c r="U981" s="866">
        <v>42666557.140000001</v>
      </c>
      <c r="V981" s="855">
        <v>41947</v>
      </c>
      <c r="W981" s="866" t="s">
        <v>164</v>
      </c>
      <c r="X981" s="1045"/>
      <c r="Y981" s="1044"/>
      <c r="Z981" s="827">
        <v>0</v>
      </c>
      <c r="AA981" s="1045"/>
      <c r="AB981" s="1063"/>
      <c r="AC981" s="1064"/>
      <c r="AD981" s="1064"/>
      <c r="AE981" s="1064"/>
      <c r="AF981" s="1109"/>
      <c r="AG981" s="1104"/>
      <c r="AH981" s="1104"/>
      <c r="AI981" s="1104"/>
    </row>
    <row r="982" spans="1:35" ht="15" customHeight="1">
      <c r="A982" s="1033"/>
      <c r="B982" s="1033"/>
      <c r="C982" s="1033"/>
      <c r="D982" s="1033"/>
      <c r="E982" s="1011" t="s">
        <v>67</v>
      </c>
      <c r="F982" s="1033"/>
      <c r="G982" s="1033"/>
      <c r="H982" s="1286">
        <v>5</v>
      </c>
      <c r="I982" s="1065" t="s">
        <v>164</v>
      </c>
      <c r="J982" s="1062">
        <v>287677069</v>
      </c>
      <c r="K982" s="1062">
        <v>287677069</v>
      </c>
      <c r="L982" s="1063"/>
      <c r="M982" s="1068">
        <v>41893</v>
      </c>
      <c r="N982" s="1092">
        <v>287677069</v>
      </c>
      <c r="O982" s="1092">
        <v>287677069</v>
      </c>
      <c r="P982" s="1092">
        <v>0</v>
      </c>
      <c r="Q982" s="1062">
        <v>287677069</v>
      </c>
      <c r="R982" s="1063"/>
      <c r="S982" s="1033"/>
      <c r="T982" s="840" t="s">
        <v>1467</v>
      </c>
      <c r="U982" s="866">
        <v>135806502</v>
      </c>
      <c r="V982" s="855">
        <v>41947</v>
      </c>
      <c r="W982" s="866" t="s">
        <v>164</v>
      </c>
      <c r="X982" s="1043">
        <v>287676940</v>
      </c>
      <c r="Y982" s="1044"/>
      <c r="Z982" s="827">
        <v>0</v>
      </c>
      <c r="AA982" s="1043">
        <v>129</v>
      </c>
      <c r="AB982" s="1063"/>
      <c r="AC982" s="1062">
        <v>0</v>
      </c>
      <c r="AD982" s="1062">
        <v>129</v>
      </c>
      <c r="AE982" s="1062">
        <v>129</v>
      </c>
      <c r="AF982" s="1109"/>
      <c r="AG982" s="1104"/>
      <c r="AH982" s="1104"/>
      <c r="AI982" s="1104"/>
    </row>
    <row r="983" spans="1:35" ht="15" customHeight="1">
      <c r="A983" s="1012"/>
      <c r="B983" s="1012"/>
      <c r="C983" s="1012"/>
      <c r="D983" s="1012"/>
      <c r="E983" s="1012"/>
      <c r="F983" s="1012"/>
      <c r="G983" s="1012"/>
      <c r="H983" s="1288"/>
      <c r="I983" s="1067"/>
      <c r="J983" s="1064"/>
      <c r="K983" s="1064"/>
      <c r="L983" s="1064"/>
      <c r="M983" s="1070"/>
      <c r="N983" s="1094"/>
      <c r="O983" s="1094"/>
      <c r="P983" s="1094"/>
      <c r="Q983" s="1064"/>
      <c r="R983" s="1064"/>
      <c r="S983" s="1012"/>
      <c r="T983" s="840" t="s">
        <v>1468</v>
      </c>
      <c r="U983" s="866">
        <v>151870438</v>
      </c>
      <c r="V983" s="855">
        <v>42164</v>
      </c>
      <c r="W983" s="866" t="s">
        <v>164</v>
      </c>
      <c r="X983" s="1045"/>
      <c r="Y983" s="1045"/>
      <c r="Z983" s="827">
        <v>0</v>
      </c>
      <c r="AA983" s="1045"/>
      <c r="AB983" s="1064"/>
      <c r="AC983" s="1064"/>
      <c r="AD983" s="1064"/>
      <c r="AE983" s="1064"/>
      <c r="AF983" s="1110"/>
      <c r="AG983" s="1105"/>
      <c r="AH983" s="1105"/>
      <c r="AI983" s="1105"/>
    </row>
    <row r="984" spans="1:35" ht="15" customHeight="1">
      <c r="A984" s="1011" t="s">
        <v>1471</v>
      </c>
      <c r="B984" s="1011" t="s">
        <v>1473</v>
      </c>
      <c r="C984" s="1011" t="s">
        <v>71</v>
      </c>
      <c r="D984" s="1011" t="s">
        <v>1221</v>
      </c>
      <c r="E984" s="1011" t="s">
        <v>66</v>
      </c>
      <c r="F984" s="1011" t="s">
        <v>183</v>
      </c>
      <c r="G984" s="1011" t="s">
        <v>1478</v>
      </c>
      <c r="H984" s="1286">
        <v>253</v>
      </c>
      <c r="I984" s="1065" t="s">
        <v>7</v>
      </c>
      <c r="J984" s="1062">
        <v>45925680</v>
      </c>
      <c r="K984" s="1062">
        <v>95925680</v>
      </c>
      <c r="L984" s="1062">
        <v>139776266</v>
      </c>
      <c r="M984" s="1068">
        <v>41165</v>
      </c>
      <c r="N984" s="1092">
        <v>95925680</v>
      </c>
      <c r="O984" s="1062">
        <v>45925680</v>
      </c>
      <c r="P984" s="1062">
        <v>0</v>
      </c>
      <c r="Q984" s="1062">
        <v>45503172</v>
      </c>
      <c r="R984" s="1062">
        <v>138893767</v>
      </c>
      <c r="S984" s="1011" t="s">
        <v>1459</v>
      </c>
      <c r="T984" s="1065" t="s">
        <v>1474</v>
      </c>
      <c r="U984" s="866">
        <v>34043690.369999997</v>
      </c>
      <c r="V984" s="1068">
        <v>41626</v>
      </c>
      <c r="W984" s="866" t="s">
        <v>137</v>
      </c>
      <c r="X984" s="1043">
        <v>95043181</v>
      </c>
      <c r="Y984" s="1043">
        <v>138881205.63999999</v>
      </c>
      <c r="Z984" s="827">
        <v>0</v>
      </c>
      <c r="AA984" s="1043">
        <v>-2597695.2700000033</v>
      </c>
      <c r="AB984" s="1062">
        <v>0</v>
      </c>
      <c r="AC984" s="1062">
        <v>422508</v>
      </c>
      <c r="AD984" s="1062">
        <v>0</v>
      </c>
      <c r="AE984" s="1062">
        <v>422508</v>
      </c>
      <c r="AF984" s="1108" t="s">
        <v>606</v>
      </c>
      <c r="AG984" s="1195" t="s">
        <v>1479</v>
      </c>
      <c r="AH984" s="1103" t="s">
        <v>194</v>
      </c>
      <c r="AI984" s="1103" t="s">
        <v>1097</v>
      </c>
    </row>
    <row r="985" spans="1:35" ht="15" customHeight="1">
      <c r="A985" s="1033"/>
      <c r="B985" s="1033"/>
      <c r="C985" s="1033"/>
      <c r="D985" s="1033"/>
      <c r="E985" s="1033"/>
      <c r="F985" s="1033"/>
      <c r="G985" s="1033"/>
      <c r="H985" s="1287"/>
      <c r="I985" s="1067"/>
      <c r="J985" s="1064"/>
      <c r="K985" s="1063"/>
      <c r="L985" s="1063"/>
      <c r="M985" s="1069"/>
      <c r="N985" s="1093"/>
      <c r="O985" s="1064"/>
      <c r="P985" s="1064"/>
      <c r="Q985" s="1064"/>
      <c r="R985" s="1063"/>
      <c r="S985" s="1033"/>
      <c r="T985" s="1067"/>
      <c r="U985" s="866">
        <v>37063893.630000003</v>
      </c>
      <c r="V985" s="1070"/>
      <c r="W985" s="866" t="s">
        <v>7</v>
      </c>
      <c r="X985" s="1044"/>
      <c r="Y985" s="1044"/>
      <c r="Z985" s="827">
        <v>0</v>
      </c>
      <c r="AA985" s="1045"/>
      <c r="AB985" s="1063"/>
      <c r="AC985" s="1064"/>
      <c r="AD985" s="1063"/>
      <c r="AE985" s="1064"/>
      <c r="AF985" s="1109"/>
      <c r="AG985" s="1104"/>
      <c r="AH985" s="1104"/>
      <c r="AI985" s="1104"/>
    </row>
    <row r="986" spans="1:35" ht="15" customHeight="1">
      <c r="A986" s="1033"/>
      <c r="B986" s="1033"/>
      <c r="C986" s="1033"/>
      <c r="D986" s="1033"/>
      <c r="E986" s="1033"/>
      <c r="F986" s="1033"/>
      <c r="G986" s="1033"/>
      <c r="H986" s="1287"/>
      <c r="I986" s="1065" t="s">
        <v>137</v>
      </c>
      <c r="J986" s="1062">
        <v>50000000</v>
      </c>
      <c r="K986" s="1063"/>
      <c r="L986" s="1063"/>
      <c r="M986" s="1069"/>
      <c r="N986" s="1093"/>
      <c r="O986" s="1062">
        <v>50000000</v>
      </c>
      <c r="P986" s="1062">
        <v>0</v>
      </c>
      <c r="Q986" s="1062">
        <v>49540009</v>
      </c>
      <c r="R986" s="1063"/>
      <c r="S986" s="1033"/>
      <c r="T986" s="1065" t="s">
        <v>1475</v>
      </c>
      <c r="U986" s="866">
        <v>11459481.640000001</v>
      </c>
      <c r="V986" s="1068">
        <v>41939</v>
      </c>
      <c r="W986" s="866" t="s">
        <v>7</v>
      </c>
      <c r="X986" s="1044"/>
      <c r="Y986" s="1044"/>
      <c r="Z986" s="827">
        <v>0</v>
      </c>
      <c r="AA986" s="1043">
        <v>3480194.2700000033</v>
      </c>
      <c r="AB986" s="1063"/>
      <c r="AC986" s="1062">
        <v>459991</v>
      </c>
      <c r="AD986" s="1063"/>
      <c r="AE986" s="1062">
        <v>459991</v>
      </c>
      <c r="AF986" s="1109"/>
      <c r="AG986" s="1104"/>
      <c r="AH986" s="1104"/>
      <c r="AI986" s="1104"/>
    </row>
    <row r="987" spans="1:35" ht="15" customHeight="1">
      <c r="A987" s="1033"/>
      <c r="B987" s="1033"/>
      <c r="C987" s="1033"/>
      <c r="D987" s="1033"/>
      <c r="E987" s="1012"/>
      <c r="F987" s="1033"/>
      <c r="G987" s="1033"/>
      <c r="H987" s="1288"/>
      <c r="I987" s="1067"/>
      <c r="J987" s="1064"/>
      <c r="K987" s="1064"/>
      <c r="L987" s="1063"/>
      <c r="M987" s="1070"/>
      <c r="N987" s="1094"/>
      <c r="O987" s="1064"/>
      <c r="P987" s="1064"/>
      <c r="Q987" s="1064"/>
      <c r="R987" s="1063"/>
      <c r="S987" s="1033"/>
      <c r="T987" s="1067"/>
      <c r="U987" s="866">
        <v>12476115.359999999</v>
      </c>
      <c r="V987" s="1070"/>
      <c r="W987" s="866" t="s">
        <v>137</v>
      </c>
      <c r="X987" s="1045"/>
      <c r="Y987" s="1044"/>
      <c r="Z987" s="827">
        <v>0</v>
      </c>
      <c r="AA987" s="1045"/>
      <c r="AB987" s="1063"/>
      <c r="AC987" s="1064"/>
      <c r="AD987" s="1064"/>
      <c r="AE987" s="1064"/>
      <c r="AF987" s="1109"/>
      <c r="AG987" s="1104"/>
      <c r="AH987" s="1104"/>
      <c r="AI987" s="1104"/>
    </row>
    <row r="988" spans="1:35" ht="15" customHeight="1">
      <c r="A988" s="1033"/>
      <c r="B988" s="1033"/>
      <c r="C988" s="1033"/>
      <c r="D988" s="1033"/>
      <c r="E988" s="1011" t="s">
        <v>67</v>
      </c>
      <c r="F988" s="1033"/>
      <c r="G988" s="1033"/>
      <c r="H988" s="1286">
        <v>3</v>
      </c>
      <c r="I988" s="1065" t="s">
        <v>131</v>
      </c>
      <c r="J988" s="1062">
        <v>43850586</v>
      </c>
      <c r="K988" s="1062">
        <v>43850586</v>
      </c>
      <c r="L988" s="1063"/>
      <c r="M988" s="1068">
        <v>41795</v>
      </c>
      <c r="N988" s="1092">
        <v>43838024.640000001</v>
      </c>
      <c r="O988" s="1062">
        <v>43838024.640000001</v>
      </c>
      <c r="P988" s="1062">
        <v>12561.359999999404</v>
      </c>
      <c r="Q988" s="1062">
        <v>43850586</v>
      </c>
      <c r="R988" s="1063"/>
      <c r="S988" s="1033"/>
      <c r="T988" s="840" t="s">
        <v>1476</v>
      </c>
      <c r="U988" s="866">
        <v>14531838.640000001</v>
      </c>
      <c r="V988" s="855">
        <v>41887</v>
      </c>
      <c r="W988" s="866" t="s">
        <v>131</v>
      </c>
      <c r="X988" s="1043">
        <v>43838024.640000001</v>
      </c>
      <c r="Y988" s="1044"/>
      <c r="Z988" s="827">
        <v>0</v>
      </c>
      <c r="AA988" s="1043">
        <v>0</v>
      </c>
      <c r="AB988" s="1063"/>
      <c r="AC988" s="1062">
        <v>0</v>
      </c>
      <c r="AD988" s="1062">
        <v>12561.359999999404</v>
      </c>
      <c r="AE988" s="1062">
        <v>12561.359999999404</v>
      </c>
      <c r="AF988" s="1109"/>
      <c r="AG988" s="1104"/>
      <c r="AH988" s="1104"/>
      <c r="AI988" s="1104"/>
    </row>
    <row r="989" spans="1:35" ht="15" customHeight="1">
      <c r="A989" s="1012"/>
      <c r="B989" s="1012"/>
      <c r="C989" s="1012"/>
      <c r="D989" s="1012"/>
      <c r="E989" s="1012"/>
      <c r="F989" s="1012"/>
      <c r="G989" s="1012"/>
      <c r="H989" s="1288"/>
      <c r="I989" s="1067"/>
      <c r="J989" s="1064"/>
      <c r="K989" s="1064"/>
      <c r="L989" s="1064"/>
      <c r="M989" s="1070"/>
      <c r="N989" s="1094"/>
      <c r="O989" s="1064"/>
      <c r="P989" s="1064"/>
      <c r="Q989" s="1064"/>
      <c r="R989" s="1064"/>
      <c r="S989" s="1012"/>
      <c r="T989" s="840" t="s">
        <v>1477</v>
      </c>
      <c r="U989" s="866">
        <v>29306186</v>
      </c>
      <c r="V989" s="855">
        <v>41989</v>
      </c>
      <c r="W989" s="866" t="s">
        <v>131</v>
      </c>
      <c r="X989" s="1045"/>
      <c r="Y989" s="1045"/>
      <c r="Z989" s="827">
        <v>0</v>
      </c>
      <c r="AA989" s="1045"/>
      <c r="AB989" s="1064"/>
      <c r="AC989" s="1064"/>
      <c r="AD989" s="1064"/>
      <c r="AE989" s="1064"/>
      <c r="AF989" s="1110"/>
      <c r="AG989" s="1105"/>
      <c r="AH989" s="1105"/>
      <c r="AI989" s="1105"/>
    </row>
    <row r="990" spans="1:35" s="4" customFormat="1" ht="15" customHeight="1">
      <c r="A990" s="1011" t="s">
        <v>2143</v>
      </c>
      <c r="B990" s="1011" t="s">
        <v>2141</v>
      </c>
      <c r="C990" s="1011" t="s">
        <v>71</v>
      </c>
      <c r="D990" s="1011" t="s">
        <v>1235</v>
      </c>
      <c r="E990" s="1011" t="s">
        <v>66</v>
      </c>
      <c r="F990" s="1219" t="s">
        <v>183</v>
      </c>
      <c r="G990" s="1219" t="s">
        <v>2140</v>
      </c>
      <c r="H990" s="1009">
        <v>231</v>
      </c>
      <c r="I990" s="1023" t="s">
        <v>7</v>
      </c>
      <c r="J990" s="1043">
        <v>462377540</v>
      </c>
      <c r="K990" s="1043">
        <v>462377540</v>
      </c>
      <c r="L990" s="1043">
        <v>462377540</v>
      </c>
      <c r="M990" s="1120">
        <v>40899</v>
      </c>
      <c r="N990" s="1043">
        <v>462377540</v>
      </c>
      <c r="O990" s="1043">
        <v>462377540</v>
      </c>
      <c r="P990" s="1043">
        <v>0</v>
      </c>
      <c r="Q990" s="1043">
        <v>455759154</v>
      </c>
      <c r="R990" s="1043">
        <v>455759154</v>
      </c>
      <c r="S990" s="1023" t="s">
        <v>2139</v>
      </c>
      <c r="T990" s="840" t="s">
        <v>2138</v>
      </c>
      <c r="U990" s="866">
        <v>106034016</v>
      </c>
      <c r="V990" s="855">
        <v>41619</v>
      </c>
      <c r="W990" s="840" t="s">
        <v>7</v>
      </c>
      <c r="X990" s="1043">
        <v>455759153.39999998</v>
      </c>
      <c r="Y990" s="1043">
        <v>455759153.39999998</v>
      </c>
      <c r="Z990" s="827">
        <v>0</v>
      </c>
      <c r="AA990" s="1043">
        <v>6618386.6000000238</v>
      </c>
      <c r="AB990" s="1043">
        <v>0</v>
      </c>
      <c r="AC990" s="1043">
        <v>6618386</v>
      </c>
      <c r="AD990" s="1043">
        <v>0.60000002384185791</v>
      </c>
      <c r="AE990" s="1043">
        <v>6618386.6000000238</v>
      </c>
      <c r="AF990" s="1184" t="s">
        <v>2137</v>
      </c>
      <c r="AG990" s="1023" t="s">
        <v>2136</v>
      </c>
      <c r="AH990" s="1023" t="s">
        <v>195</v>
      </c>
      <c r="AI990" s="1023" t="s">
        <v>1911</v>
      </c>
    </row>
    <row r="991" spans="1:35" s="4" customFormat="1" ht="15" customHeight="1">
      <c r="A991" s="1033"/>
      <c r="B991" s="1033"/>
      <c r="C991" s="1033"/>
      <c r="D991" s="1033"/>
      <c r="E991" s="1033"/>
      <c r="F991" s="1219"/>
      <c r="G991" s="1219"/>
      <c r="H991" s="1039"/>
      <c r="I991" s="1124"/>
      <c r="J991" s="1044"/>
      <c r="K991" s="1044"/>
      <c r="L991" s="1044"/>
      <c r="M991" s="1121"/>
      <c r="N991" s="1044"/>
      <c r="O991" s="1044"/>
      <c r="P991" s="1044"/>
      <c r="Q991" s="1044"/>
      <c r="R991" s="1044"/>
      <c r="S991" s="1124"/>
      <c r="T991" s="840" t="s">
        <v>2135</v>
      </c>
      <c r="U991" s="866">
        <v>49470583</v>
      </c>
      <c r="V991" s="855">
        <v>41628</v>
      </c>
      <c r="W991" s="840" t="s">
        <v>7</v>
      </c>
      <c r="X991" s="1044"/>
      <c r="Y991" s="1044"/>
      <c r="Z991" s="827">
        <v>0</v>
      </c>
      <c r="AA991" s="1044"/>
      <c r="AB991" s="1044"/>
      <c r="AC991" s="1044"/>
      <c r="AD991" s="1044"/>
      <c r="AE991" s="1044"/>
      <c r="AF991" s="1207"/>
      <c r="AG991" s="1124"/>
      <c r="AH991" s="1124"/>
      <c r="AI991" s="1124"/>
    </row>
    <row r="992" spans="1:35" s="4" customFormat="1" ht="15" customHeight="1">
      <c r="A992" s="1033"/>
      <c r="B992" s="1033"/>
      <c r="C992" s="1033"/>
      <c r="D992" s="1033"/>
      <c r="E992" s="1033"/>
      <c r="F992" s="1219"/>
      <c r="G992" s="1219"/>
      <c r="H992" s="1039"/>
      <c r="I992" s="1124"/>
      <c r="J992" s="1044"/>
      <c r="K992" s="1044"/>
      <c r="L992" s="1044"/>
      <c r="M992" s="1121"/>
      <c r="N992" s="1044"/>
      <c r="O992" s="1044"/>
      <c r="P992" s="1044"/>
      <c r="Q992" s="1044"/>
      <c r="R992" s="1044"/>
      <c r="S992" s="1124"/>
      <c r="T992" s="840" t="s">
        <v>2134</v>
      </c>
      <c r="U992" s="866">
        <v>76718536</v>
      </c>
      <c r="V992" s="855">
        <v>41708</v>
      </c>
      <c r="W992" s="840" t="s">
        <v>7</v>
      </c>
      <c r="X992" s="1044"/>
      <c r="Y992" s="1044"/>
      <c r="Z992" s="827">
        <v>0</v>
      </c>
      <c r="AA992" s="1044"/>
      <c r="AB992" s="1044"/>
      <c r="AC992" s="1044"/>
      <c r="AD992" s="1044"/>
      <c r="AE992" s="1044"/>
      <c r="AF992" s="1207"/>
      <c r="AG992" s="1124"/>
      <c r="AH992" s="1124"/>
      <c r="AI992" s="1124"/>
    </row>
    <row r="993" spans="1:36" s="4" customFormat="1" ht="15" customHeight="1">
      <c r="A993" s="1033"/>
      <c r="B993" s="1033"/>
      <c r="C993" s="1033"/>
      <c r="D993" s="1033"/>
      <c r="E993" s="1033"/>
      <c r="F993" s="1219"/>
      <c r="G993" s="1219"/>
      <c r="H993" s="1039"/>
      <c r="I993" s="1124"/>
      <c r="J993" s="1044"/>
      <c r="K993" s="1044"/>
      <c r="L993" s="1044"/>
      <c r="M993" s="1121"/>
      <c r="N993" s="1044"/>
      <c r="O993" s="1044"/>
      <c r="P993" s="1044"/>
      <c r="Q993" s="1044"/>
      <c r="R993" s="1044"/>
      <c r="S993" s="1124"/>
      <c r="T993" s="840" t="s">
        <v>2133</v>
      </c>
      <c r="U993" s="866">
        <v>123911160</v>
      </c>
      <c r="V993" s="855">
        <v>41793</v>
      </c>
      <c r="W993" s="840" t="s">
        <v>7</v>
      </c>
      <c r="X993" s="1044"/>
      <c r="Y993" s="1044"/>
      <c r="Z993" s="827">
        <v>0</v>
      </c>
      <c r="AA993" s="1044"/>
      <c r="AB993" s="1044"/>
      <c r="AC993" s="1044"/>
      <c r="AD993" s="1044"/>
      <c r="AE993" s="1044"/>
      <c r="AF993" s="1207"/>
      <c r="AG993" s="1124"/>
      <c r="AH993" s="1124"/>
      <c r="AI993" s="1124"/>
    </row>
    <row r="994" spans="1:36" s="4" customFormat="1" ht="15" customHeight="1">
      <c r="A994" s="1033"/>
      <c r="B994" s="1033"/>
      <c r="C994" s="1033"/>
      <c r="D994" s="1033"/>
      <c r="E994" s="1033"/>
      <c r="F994" s="1219"/>
      <c r="G994" s="1219"/>
      <c r="H994" s="1039"/>
      <c r="I994" s="1124"/>
      <c r="J994" s="1044"/>
      <c r="K994" s="1044"/>
      <c r="L994" s="1044"/>
      <c r="M994" s="1121"/>
      <c r="N994" s="1044"/>
      <c r="O994" s="1044"/>
      <c r="P994" s="1044"/>
      <c r="Q994" s="1044"/>
      <c r="R994" s="1044"/>
      <c r="S994" s="1124"/>
      <c r="T994" s="840" t="s">
        <v>2132</v>
      </c>
      <c r="U994" s="866">
        <v>54045945</v>
      </c>
      <c r="V994" s="855">
        <v>41988</v>
      </c>
      <c r="W994" s="840" t="s">
        <v>7</v>
      </c>
      <c r="X994" s="1044"/>
      <c r="Y994" s="1044"/>
      <c r="Z994" s="827">
        <v>0</v>
      </c>
      <c r="AA994" s="1044"/>
      <c r="AB994" s="1044"/>
      <c r="AC994" s="1044"/>
      <c r="AD994" s="1044"/>
      <c r="AE994" s="1044"/>
      <c r="AF994" s="1207"/>
      <c r="AG994" s="1124"/>
      <c r="AH994" s="1124"/>
      <c r="AI994" s="1124"/>
    </row>
    <row r="995" spans="1:36" s="4" customFormat="1" ht="15" customHeight="1">
      <c r="A995" s="1012"/>
      <c r="B995" s="1012"/>
      <c r="C995" s="1012"/>
      <c r="D995" s="1012"/>
      <c r="E995" s="1012"/>
      <c r="F995" s="1219"/>
      <c r="G995" s="1219"/>
      <c r="H995" s="1010"/>
      <c r="I995" s="1024"/>
      <c r="J995" s="1045"/>
      <c r="K995" s="1045"/>
      <c r="L995" s="1045"/>
      <c r="M995" s="1160"/>
      <c r="N995" s="1045"/>
      <c r="O995" s="1045"/>
      <c r="P995" s="1045"/>
      <c r="Q995" s="1045"/>
      <c r="R995" s="1045"/>
      <c r="S995" s="1024"/>
      <c r="T995" s="840" t="s">
        <v>2131</v>
      </c>
      <c r="U995" s="866">
        <v>45578913.399999999</v>
      </c>
      <c r="V995" s="855">
        <v>42790</v>
      </c>
      <c r="W995" s="840" t="s">
        <v>7</v>
      </c>
      <c r="X995" s="1045"/>
      <c r="Y995" s="1045"/>
      <c r="Z995" s="827">
        <v>0</v>
      </c>
      <c r="AA995" s="1045"/>
      <c r="AB995" s="1045"/>
      <c r="AC995" s="1045"/>
      <c r="AD995" s="1045"/>
      <c r="AE995" s="1045"/>
      <c r="AF995" s="1185"/>
      <c r="AG995" s="1024"/>
      <c r="AH995" s="1024"/>
      <c r="AI995" s="1024"/>
    </row>
    <row r="996" spans="1:36" ht="15" customHeight="1">
      <c r="A996" s="1011" t="s">
        <v>1480</v>
      </c>
      <c r="B996" s="1011" t="s">
        <v>1482</v>
      </c>
      <c r="C996" s="1011" t="s">
        <v>71</v>
      </c>
      <c r="D996" s="1011" t="s">
        <v>1221</v>
      </c>
      <c r="E996" s="1011" t="s">
        <v>66</v>
      </c>
      <c r="F996" s="1011" t="s">
        <v>183</v>
      </c>
      <c r="G996" s="1011" t="s">
        <v>1484</v>
      </c>
      <c r="H996" s="1286">
        <v>251</v>
      </c>
      <c r="I996" s="1065" t="s">
        <v>137</v>
      </c>
      <c r="J996" s="1062">
        <v>82241467</v>
      </c>
      <c r="K996" s="1062">
        <v>82241467</v>
      </c>
      <c r="L996" s="1062">
        <v>82241467</v>
      </c>
      <c r="M996" s="1068">
        <v>41165</v>
      </c>
      <c r="N996" s="1092">
        <v>81536567</v>
      </c>
      <c r="O996" s="1092">
        <v>81536567</v>
      </c>
      <c r="P996" s="1092">
        <v>704900</v>
      </c>
      <c r="Q996" s="1062">
        <v>81536567</v>
      </c>
      <c r="R996" s="1062">
        <v>81536567</v>
      </c>
      <c r="S996" s="1011" t="s">
        <v>1483</v>
      </c>
      <c r="T996" s="840" t="s">
        <v>1485</v>
      </c>
      <c r="U996" s="866">
        <v>61705679</v>
      </c>
      <c r="V996" s="855">
        <v>41604</v>
      </c>
      <c r="W996" s="866" t="s">
        <v>137</v>
      </c>
      <c r="X996" s="1043">
        <v>81536551</v>
      </c>
      <c r="Y996" s="1043">
        <v>81536551</v>
      </c>
      <c r="Z996" s="827">
        <v>0</v>
      </c>
      <c r="AA996" s="1043">
        <v>16</v>
      </c>
      <c r="AB996" s="1062">
        <v>0</v>
      </c>
      <c r="AC996" s="1062">
        <v>0</v>
      </c>
      <c r="AD996" s="1062">
        <v>16</v>
      </c>
      <c r="AE996" s="1062">
        <v>16</v>
      </c>
      <c r="AF996" s="1108" t="s">
        <v>606</v>
      </c>
      <c r="AG996" s="1108" t="s">
        <v>1487</v>
      </c>
      <c r="AH996" s="1103" t="s">
        <v>194</v>
      </c>
      <c r="AI996" s="1103" t="s">
        <v>1414</v>
      </c>
    </row>
    <row r="997" spans="1:36" ht="15" customHeight="1">
      <c r="A997" s="1012"/>
      <c r="B997" s="1012"/>
      <c r="C997" s="1012"/>
      <c r="D997" s="1012"/>
      <c r="E997" s="1012"/>
      <c r="F997" s="1012"/>
      <c r="G997" s="1012"/>
      <c r="H997" s="1288"/>
      <c r="I997" s="1067"/>
      <c r="J997" s="1064"/>
      <c r="K997" s="1064"/>
      <c r="L997" s="1064"/>
      <c r="M997" s="1070"/>
      <c r="N997" s="1094"/>
      <c r="O997" s="1094"/>
      <c r="P997" s="1094"/>
      <c r="Q997" s="1064"/>
      <c r="R997" s="1064"/>
      <c r="S997" s="1012"/>
      <c r="T997" s="840" t="s">
        <v>1486</v>
      </c>
      <c r="U997" s="866">
        <v>19830872</v>
      </c>
      <c r="V997" s="855">
        <v>41807</v>
      </c>
      <c r="W997" s="866" t="s">
        <v>137</v>
      </c>
      <c r="X997" s="1045"/>
      <c r="Y997" s="1045"/>
      <c r="Z997" s="827">
        <v>0</v>
      </c>
      <c r="AA997" s="1045"/>
      <c r="AB997" s="1064"/>
      <c r="AC997" s="1064"/>
      <c r="AD997" s="1064"/>
      <c r="AE997" s="1064"/>
      <c r="AF997" s="1110"/>
      <c r="AG997" s="1110"/>
      <c r="AH997" s="1105"/>
      <c r="AI997" s="1105"/>
    </row>
    <row r="998" spans="1:36" ht="15" customHeight="1">
      <c r="A998" s="1011" t="s">
        <v>1517</v>
      </c>
      <c r="B998" s="1011" t="s">
        <v>1521</v>
      </c>
      <c r="C998" s="1011" t="s">
        <v>71</v>
      </c>
      <c r="D998" s="1011" t="s">
        <v>206</v>
      </c>
      <c r="E998" s="1011" t="s">
        <v>66</v>
      </c>
      <c r="F998" s="1011" t="s">
        <v>217</v>
      </c>
      <c r="G998" s="1011" t="s">
        <v>1523</v>
      </c>
      <c r="H998" s="1286">
        <v>263</v>
      </c>
      <c r="I998" s="1065" t="s">
        <v>7</v>
      </c>
      <c r="J998" s="1062">
        <v>533344668</v>
      </c>
      <c r="K998" s="1062">
        <v>533344668</v>
      </c>
      <c r="L998" s="1062">
        <v>789486763</v>
      </c>
      <c r="M998" s="1068">
        <v>41227</v>
      </c>
      <c r="N998" s="1092">
        <v>526328149</v>
      </c>
      <c r="O998" s="1092">
        <v>526328149</v>
      </c>
      <c r="P998" s="1092">
        <v>7016519</v>
      </c>
      <c r="Q998" s="1062">
        <v>526328149</v>
      </c>
      <c r="R998" s="1062">
        <v>782470244</v>
      </c>
      <c r="S998" s="1011" t="s">
        <v>1522</v>
      </c>
      <c r="T998" s="840" t="s">
        <v>1525</v>
      </c>
      <c r="U998" s="866">
        <v>162094172</v>
      </c>
      <c r="V998" s="855">
        <v>41628</v>
      </c>
      <c r="W998" s="866" t="s">
        <v>7</v>
      </c>
      <c r="X998" s="1043">
        <v>517796877</v>
      </c>
      <c r="Y998" s="1043">
        <v>773935838</v>
      </c>
      <c r="Z998" s="827">
        <v>8531272</v>
      </c>
      <c r="AA998" s="1043">
        <v>8531272</v>
      </c>
      <c r="AB998" s="1062">
        <v>8531272</v>
      </c>
      <c r="AC998" s="1062">
        <v>0</v>
      </c>
      <c r="AD998" s="1062">
        <v>0</v>
      </c>
      <c r="AE998" s="1062">
        <v>0</v>
      </c>
      <c r="AF998" s="1108" t="s">
        <v>1524</v>
      </c>
      <c r="AG998" s="1103" t="s">
        <v>1531</v>
      </c>
      <c r="AH998" s="1103" t="s">
        <v>194</v>
      </c>
      <c r="AI998" s="1103" t="s">
        <v>1414</v>
      </c>
      <c r="AJ998" s="25" t="s">
        <v>2318</v>
      </c>
    </row>
    <row r="999" spans="1:36" ht="15" customHeight="1">
      <c r="A999" s="1033"/>
      <c r="B999" s="1033"/>
      <c r="C999" s="1033"/>
      <c r="D999" s="1033"/>
      <c r="E999" s="1033"/>
      <c r="F999" s="1033"/>
      <c r="G999" s="1033"/>
      <c r="H999" s="1287"/>
      <c r="I999" s="1066"/>
      <c r="J999" s="1063"/>
      <c r="K999" s="1063"/>
      <c r="L999" s="1063"/>
      <c r="M999" s="1069"/>
      <c r="N999" s="1093"/>
      <c r="O999" s="1093"/>
      <c r="P999" s="1093"/>
      <c r="Q999" s="1063"/>
      <c r="R999" s="1063"/>
      <c r="S999" s="1033"/>
      <c r="T999" s="840" t="s">
        <v>1526</v>
      </c>
      <c r="U999" s="866">
        <v>188469362</v>
      </c>
      <c r="V999" s="855">
        <v>41795</v>
      </c>
      <c r="W999" s="866" t="s">
        <v>7</v>
      </c>
      <c r="X999" s="1044"/>
      <c r="Y999" s="1044"/>
      <c r="Z999" s="827">
        <v>0</v>
      </c>
      <c r="AA999" s="1044"/>
      <c r="AB999" s="1063"/>
      <c r="AC999" s="1063"/>
      <c r="AD999" s="1063"/>
      <c r="AE999" s="1063"/>
      <c r="AF999" s="1109"/>
      <c r="AG999" s="1104"/>
      <c r="AH999" s="1104"/>
      <c r="AI999" s="1104"/>
    </row>
    <row r="1000" spans="1:36" ht="15" customHeight="1">
      <c r="A1000" s="1033"/>
      <c r="B1000" s="1033"/>
      <c r="C1000" s="1033"/>
      <c r="D1000" s="1033"/>
      <c r="E1000" s="1033"/>
      <c r="F1000" s="1033"/>
      <c r="G1000" s="1033"/>
      <c r="H1000" s="1287"/>
      <c r="I1000" s="1066"/>
      <c r="J1000" s="1063"/>
      <c r="K1000" s="1063"/>
      <c r="L1000" s="1063"/>
      <c r="M1000" s="1069"/>
      <c r="N1000" s="1093"/>
      <c r="O1000" s="1093"/>
      <c r="P1000" s="1093"/>
      <c r="Q1000" s="1063"/>
      <c r="R1000" s="1063"/>
      <c r="S1000" s="1033"/>
      <c r="T1000" s="840" t="s">
        <v>1527</v>
      </c>
      <c r="U1000" s="866">
        <v>114493648</v>
      </c>
      <c r="V1000" s="855">
        <v>41963</v>
      </c>
      <c r="W1000" s="866" t="s">
        <v>7</v>
      </c>
      <c r="X1000" s="1044"/>
      <c r="Y1000" s="1044"/>
      <c r="Z1000" s="827">
        <v>0</v>
      </c>
      <c r="AA1000" s="1044"/>
      <c r="AB1000" s="1063"/>
      <c r="AC1000" s="1063"/>
      <c r="AD1000" s="1063"/>
      <c r="AE1000" s="1063"/>
      <c r="AF1000" s="1109"/>
      <c r="AG1000" s="1104"/>
      <c r="AH1000" s="1104"/>
      <c r="AI1000" s="1104"/>
    </row>
    <row r="1001" spans="1:36" ht="15" customHeight="1">
      <c r="A1001" s="1033"/>
      <c r="B1001" s="1033"/>
      <c r="C1001" s="1033"/>
      <c r="D1001" s="1033"/>
      <c r="E1001" s="1033"/>
      <c r="F1001" s="1033"/>
      <c r="G1001" s="1033"/>
      <c r="H1001" s="1287"/>
      <c r="I1001" s="1066"/>
      <c r="J1001" s="1063"/>
      <c r="K1001" s="1063"/>
      <c r="L1001" s="1063"/>
      <c r="M1001" s="1069"/>
      <c r="N1001" s="1093"/>
      <c r="O1001" s="1093"/>
      <c r="P1001" s="1093">
        <v>0</v>
      </c>
      <c r="Q1001" s="1063"/>
      <c r="R1001" s="1063"/>
      <c r="S1001" s="1033"/>
      <c r="T1001" s="840" t="s">
        <v>1528</v>
      </c>
      <c r="U1001" s="866">
        <v>52739695</v>
      </c>
      <c r="V1001" s="855">
        <v>42180</v>
      </c>
      <c r="W1001" s="866" t="s">
        <v>7</v>
      </c>
      <c r="X1001" s="1044"/>
      <c r="Y1001" s="1044"/>
      <c r="Z1001" s="827">
        <v>0</v>
      </c>
      <c r="AA1001" s="1044"/>
      <c r="AB1001" s="1063"/>
      <c r="AC1001" s="1063"/>
      <c r="AD1001" s="1063"/>
      <c r="AE1001" s="1063"/>
      <c r="AF1001" s="1109"/>
      <c r="AG1001" s="1104"/>
      <c r="AH1001" s="1104"/>
      <c r="AI1001" s="1104"/>
    </row>
    <row r="1002" spans="1:36" ht="15" customHeight="1">
      <c r="A1002" s="1033"/>
      <c r="B1002" s="1033"/>
      <c r="C1002" s="1033"/>
      <c r="D1002" s="1033"/>
      <c r="E1002" s="1011" t="s">
        <v>67</v>
      </c>
      <c r="F1002" s="1033"/>
      <c r="G1002" s="1033"/>
      <c r="H1002" s="1286">
        <v>14</v>
      </c>
      <c r="I1002" s="1065" t="s">
        <v>129</v>
      </c>
      <c r="J1002" s="1062">
        <v>256142095</v>
      </c>
      <c r="K1002" s="1062">
        <v>256142095</v>
      </c>
      <c r="L1002" s="1063"/>
      <c r="M1002" s="1068">
        <v>42069</v>
      </c>
      <c r="N1002" s="1092">
        <v>256138961</v>
      </c>
      <c r="O1002" s="1092">
        <v>256138961</v>
      </c>
      <c r="P1002" s="1092">
        <v>3134</v>
      </c>
      <c r="Q1002" s="1062">
        <v>256142095</v>
      </c>
      <c r="R1002" s="1063"/>
      <c r="S1002" s="1033"/>
      <c r="T1002" s="840" t="s">
        <v>1529</v>
      </c>
      <c r="U1002" s="866">
        <v>175800731</v>
      </c>
      <c r="V1002" s="855">
        <v>42180</v>
      </c>
      <c r="W1002" s="866" t="s">
        <v>129</v>
      </c>
      <c r="X1002" s="1043">
        <v>256138961</v>
      </c>
      <c r="Y1002" s="1044"/>
      <c r="Z1002" s="827">
        <v>0</v>
      </c>
      <c r="AA1002" s="1043">
        <v>0</v>
      </c>
      <c r="AB1002" s="1063"/>
      <c r="AC1002" s="1062">
        <v>-3134</v>
      </c>
      <c r="AD1002" s="1062">
        <v>3134</v>
      </c>
      <c r="AE1002" s="1062">
        <v>0</v>
      </c>
      <c r="AF1002" s="1109"/>
      <c r="AG1002" s="1104"/>
      <c r="AH1002" s="1104"/>
      <c r="AI1002" s="1104"/>
    </row>
    <row r="1003" spans="1:36" ht="15" customHeight="1">
      <c r="A1003" s="1012"/>
      <c r="B1003" s="1012"/>
      <c r="C1003" s="1012"/>
      <c r="D1003" s="1012"/>
      <c r="E1003" s="1012"/>
      <c r="F1003" s="1012"/>
      <c r="G1003" s="1012"/>
      <c r="H1003" s="1288"/>
      <c r="I1003" s="1067"/>
      <c r="J1003" s="1064"/>
      <c r="K1003" s="1064"/>
      <c r="L1003" s="1064"/>
      <c r="M1003" s="1070"/>
      <c r="N1003" s="1094"/>
      <c r="O1003" s="1094"/>
      <c r="P1003" s="1094"/>
      <c r="Q1003" s="1064"/>
      <c r="R1003" s="1064"/>
      <c r="S1003" s="1012"/>
      <c r="T1003" s="840" t="s">
        <v>1530</v>
      </c>
      <c r="U1003" s="866">
        <v>80338230</v>
      </c>
      <c r="V1003" s="855">
        <v>42366</v>
      </c>
      <c r="W1003" s="866" t="s">
        <v>129</v>
      </c>
      <c r="X1003" s="1045"/>
      <c r="Y1003" s="1045"/>
      <c r="Z1003" s="827">
        <v>0</v>
      </c>
      <c r="AA1003" s="1045"/>
      <c r="AB1003" s="1064"/>
      <c r="AC1003" s="1064"/>
      <c r="AD1003" s="1064"/>
      <c r="AE1003" s="1064"/>
      <c r="AF1003" s="1110"/>
      <c r="AG1003" s="1105"/>
      <c r="AH1003" s="1105"/>
      <c r="AI1003" s="1105"/>
    </row>
    <row r="1004" spans="1:36" ht="15" customHeight="1">
      <c r="A1004" s="1011" t="s">
        <v>1493</v>
      </c>
      <c r="B1004" s="1011" t="s">
        <v>1495</v>
      </c>
      <c r="C1004" s="1011" t="s">
        <v>71</v>
      </c>
      <c r="D1004" s="1011" t="s">
        <v>1221</v>
      </c>
      <c r="E1004" s="1011" t="s">
        <v>66</v>
      </c>
      <c r="F1004" s="1011" t="s">
        <v>183</v>
      </c>
      <c r="G1004" s="1011" t="s">
        <v>1497</v>
      </c>
      <c r="H1004" s="1286">
        <v>259</v>
      </c>
      <c r="I1004" s="1065" t="s">
        <v>7</v>
      </c>
      <c r="J1004" s="1062">
        <v>163689980</v>
      </c>
      <c r="K1004" s="1062">
        <v>163689980</v>
      </c>
      <c r="L1004" s="1062">
        <v>183326790</v>
      </c>
      <c r="M1004" s="1068">
        <v>41214</v>
      </c>
      <c r="N1004" s="1092">
        <v>163689980</v>
      </c>
      <c r="O1004" s="1062">
        <v>163689980</v>
      </c>
      <c r="P1004" s="1062">
        <v>0</v>
      </c>
      <c r="Q1004" s="1062">
        <v>161970244</v>
      </c>
      <c r="R1004" s="1062">
        <v>181607054</v>
      </c>
      <c r="S1004" s="1011" t="s">
        <v>1496</v>
      </c>
      <c r="T1004" s="840" t="s">
        <v>1498</v>
      </c>
      <c r="U1004" s="866">
        <v>143907842.30000001</v>
      </c>
      <c r="V1004" s="855">
        <v>41838</v>
      </c>
      <c r="W1004" s="866" t="s">
        <v>7</v>
      </c>
      <c r="X1004" s="1043">
        <v>161970244</v>
      </c>
      <c r="Y1004" s="1043">
        <v>181606966.84</v>
      </c>
      <c r="Z1004" s="827">
        <v>0</v>
      </c>
      <c r="AA1004" s="1043">
        <v>1719736</v>
      </c>
      <c r="AB1004" s="1062">
        <v>0</v>
      </c>
      <c r="AC1004" s="1062">
        <v>1719736</v>
      </c>
      <c r="AD1004" s="1062">
        <v>0</v>
      </c>
      <c r="AE1004" s="1062">
        <v>1719736</v>
      </c>
      <c r="AF1004" s="1103" t="s">
        <v>606</v>
      </c>
      <c r="AG1004" s="1195" t="s">
        <v>1501</v>
      </c>
      <c r="AH1004" s="1103" t="s">
        <v>194</v>
      </c>
      <c r="AI1004" s="1103" t="s">
        <v>1414</v>
      </c>
    </row>
    <row r="1005" spans="1:36" ht="15" customHeight="1">
      <c r="A1005" s="1033"/>
      <c r="B1005" s="1033"/>
      <c r="C1005" s="1033"/>
      <c r="D1005" s="1033"/>
      <c r="E1005" s="1012"/>
      <c r="F1005" s="1033"/>
      <c r="G1005" s="1033"/>
      <c r="H1005" s="1288"/>
      <c r="I1005" s="1067"/>
      <c r="J1005" s="1064"/>
      <c r="K1005" s="1064"/>
      <c r="L1005" s="1063"/>
      <c r="M1005" s="1070"/>
      <c r="N1005" s="1094"/>
      <c r="O1005" s="1064"/>
      <c r="P1005" s="1064"/>
      <c r="Q1005" s="1064"/>
      <c r="R1005" s="1063"/>
      <c r="S1005" s="1033"/>
      <c r="T1005" s="840" t="s">
        <v>1499</v>
      </c>
      <c r="U1005" s="866">
        <v>18062401.699999999</v>
      </c>
      <c r="V1005" s="855">
        <v>42230</v>
      </c>
      <c r="W1005" s="866" t="s">
        <v>7</v>
      </c>
      <c r="X1005" s="1045"/>
      <c r="Y1005" s="1044"/>
      <c r="Z1005" s="827">
        <v>0</v>
      </c>
      <c r="AA1005" s="1045"/>
      <c r="AB1005" s="1063"/>
      <c r="AC1005" s="1064"/>
      <c r="AD1005" s="1064"/>
      <c r="AE1005" s="1064"/>
      <c r="AF1005" s="1104"/>
      <c r="AG1005" s="1104"/>
      <c r="AH1005" s="1104"/>
      <c r="AI1005" s="1104"/>
    </row>
    <row r="1006" spans="1:36" ht="15" customHeight="1">
      <c r="A1006" s="1012"/>
      <c r="B1006" s="1012"/>
      <c r="C1006" s="1012"/>
      <c r="D1006" s="1012"/>
      <c r="E1006" s="823" t="s">
        <v>67</v>
      </c>
      <c r="F1006" s="1012"/>
      <c r="G1006" s="1012"/>
      <c r="H1006" s="876">
        <v>10</v>
      </c>
      <c r="I1006" s="840" t="s">
        <v>147</v>
      </c>
      <c r="J1006" s="858">
        <v>19636810</v>
      </c>
      <c r="K1006" s="858">
        <v>19636810</v>
      </c>
      <c r="L1006" s="1064"/>
      <c r="M1006" s="855">
        <v>42043</v>
      </c>
      <c r="N1006" s="862">
        <v>19636810</v>
      </c>
      <c r="O1006" s="858">
        <v>19636810</v>
      </c>
      <c r="P1006" s="858">
        <v>0</v>
      </c>
      <c r="Q1006" s="858">
        <v>19636810</v>
      </c>
      <c r="R1006" s="1064"/>
      <c r="S1006" s="1012"/>
      <c r="T1006" s="840" t="s">
        <v>1500</v>
      </c>
      <c r="U1006" s="866">
        <v>19636722.84</v>
      </c>
      <c r="V1006" s="855">
        <v>42230</v>
      </c>
      <c r="W1006" s="866" t="s">
        <v>147</v>
      </c>
      <c r="X1006" s="827">
        <v>19636722.84</v>
      </c>
      <c r="Y1006" s="1045"/>
      <c r="Z1006" s="827">
        <v>0</v>
      </c>
      <c r="AA1006" s="827">
        <v>87.160000000149012</v>
      </c>
      <c r="AB1006" s="1064"/>
      <c r="AC1006" s="858">
        <v>0</v>
      </c>
      <c r="AD1006" s="858">
        <v>87.160000000149012</v>
      </c>
      <c r="AE1006" s="858">
        <v>87.160000000149012</v>
      </c>
      <c r="AF1006" s="1105"/>
      <c r="AG1006" s="1105"/>
      <c r="AH1006" s="1105"/>
      <c r="AI1006" s="1105"/>
    </row>
    <row r="1007" spans="1:36" ht="15" customHeight="1">
      <c r="A1007" s="1011" t="s">
        <v>1502</v>
      </c>
      <c r="B1007" s="1011" t="s">
        <v>1595</v>
      </c>
      <c r="C1007" s="1011" t="s">
        <v>1504</v>
      </c>
      <c r="D1007" s="1011" t="s">
        <v>1235</v>
      </c>
      <c r="E1007" s="1011" t="s">
        <v>66</v>
      </c>
      <c r="F1007" s="1011" t="s">
        <v>183</v>
      </c>
      <c r="G1007" s="1011" t="s">
        <v>1514</v>
      </c>
      <c r="H1007" s="1286">
        <v>240</v>
      </c>
      <c r="I1007" s="1065" t="s">
        <v>7</v>
      </c>
      <c r="J1007" s="1062">
        <v>418021856</v>
      </c>
      <c r="K1007" s="1062">
        <v>1300852789</v>
      </c>
      <c r="L1007" s="1062">
        <v>3547077145</v>
      </c>
      <c r="M1007" s="1068">
        <v>41080</v>
      </c>
      <c r="N1007" s="1092">
        <v>1300852789</v>
      </c>
      <c r="O1007" s="1092">
        <v>418021856</v>
      </c>
      <c r="P1007" s="1092">
        <v>0</v>
      </c>
      <c r="Q1007" s="1062">
        <v>414676670.73000002</v>
      </c>
      <c r="R1007" s="1062">
        <v>3524109108.9999995</v>
      </c>
      <c r="S1007" s="1011" t="s">
        <v>1505</v>
      </c>
      <c r="T1007" s="1065" t="s">
        <v>1506</v>
      </c>
      <c r="U1007" s="866">
        <v>200787608.46000001</v>
      </c>
      <c r="V1007" s="1068">
        <v>41572</v>
      </c>
      <c r="W1007" s="866" t="s">
        <v>137</v>
      </c>
      <c r="X1007" s="1043">
        <v>1300835161.2600002</v>
      </c>
      <c r="Y1007" s="1043">
        <v>3547038252.0100002</v>
      </c>
      <c r="Z1007" s="827">
        <v>0</v>
      </c>
      <c r="AA1007" s="1043">
        <v>-223255156.90000001</v>
      </c>
      <c r="AB1007" s="1062">
        <v>0</v>
      </c>
      <c r="AC1007" s="1062">
        <v>3345185.2699999809</v>
      </c>
      <c r="AD1007" s="1062">
        <v>-10392338.930000305</v>
      </c>
      <c r="AE1007" s="1062">
        <v>17627.739999651909</v>
      </c>
      <c r="AF1007" s="1108" t="s">
        <v>1515</v>
      </c>
      <c r="AG1007" s="1376" t="s">
        <v>1516</v>
      </c>
      <c r="AH1007" s="1103" t="s">
        <v>194</v>
      </c>
      <c r="AI1007" s="1103" t="s">
        <v>1414</v>
      </c>
    </row>
    <row r="1008" spans="1:36" ht="15" customHeight="1">
      <c r="A1008" s="1033"/>
      <c r="B1008" s="1033"/>
      <c r="C1008" s="1033"/>
      <c r="D1008" s="1033"/>
      <c r="E1008" s="1033"/>
      <c r="F1008" s="1033"/>
      <c r="G1008" s="1033"/>
      <c r="H1008" s="1287"/>
      <c r="I1008" s="1066"/>
      <c r="J1008" s="1063"/>
      <c r="K1008" s="1063"/>
      <c r="L1008" s="1063"/>
      <c r="M1008" s="1069"/>
      <c r="N1008" s="1093"/>
      <c r="O1008" s="1093"/>
      <c r="P1008" s="1093"/>
      <c r="Q1008" s="1063"/>
      <c r="R1008" s="1063"/>
      <c r="S1008" s="1033"/>
      <c r="T1008" s="1067"/>
      <c r="U1008" s="866">
        <v>424048429.94</v>
      </c>
      <c r="V1008" s="1070"/>
      <c r="W1008" s="866" t="s">
        <v>7</v>
      </c>
      <c r="X1008" s="1044"/>
      <c r="Y1008" s="1044"/>
      <c r="Z1008" s="827">
        <v>0</v>
      </c>
      <c r="AA1008" s="1044"/>
      <c r="AB1008" s="1063"/>
      <c r="AC1008" s="1063"/>
      <c r="AD1008" s="1063"/>
      <c r="AE1008" s="1063"/>
      <c r="AF1008" s="1109"/>
      <c r="AG1008" s="1358"/>
      <c r="AH1008" s="1104"/>
      <c r="AI1008" s="1104"/>
    </row>
    <row r="1009" spans="1:35" ht="15" customHeight="1">
      <c r="A1009" s="1033"/>
      <c r="B1009" s="1033"/>
      <c r="C1009" s="1033"/>
      <c r="D1009" s="1033"/>
      <c r="E1009" s="1033"/>
      <c r="F1009" s="1033"/>
      <c r="G1009" s="1033"/>
      <c r="H1009" s="1287"/>
      <c r="I1009" s="1066"/>
      <c r="J1009" s="1063"/>
      <c r="K1009" s="1063"/>
      <c r="L1009" s="1063"/>
      <c r="M1009" s="1069"/>
      <c r="N1009" s="1093"/>
      <c r="O1009" s="1093"/>
      <c r="P1009" s="1093"/>
      <c r="Q1009" s="1063"/>
      <c r="R1009" s="1063"/>
      <c r="S1009" s="1033"/>
      <c r="T1009" s="1065" t="s">
        <v>1507</v>
      </c>
      <c r="U1009" s="866">
        <v>129988610</v>
      </c>
      <c r="V1009" s="1068">
        <v>41771</v>
      </c>
      <c r="W1009" s="866" t="s">
        <v>7</v>
      </c>
      <c r="X1009" s="1044"/>
      <c r="Y1009" s="1044"/>
      <c r="Z1009" s="827">
        <v>0</v>
      </c>
      <c r="AA1009" s="1044"/>
      <c r="AB1009" s="1063"/>
      <c r="AC1009" s="1063"/>
      <c r="AD1009" s="1063"/>
      <c r="AE1009" s="1063"/>
      <c r="AF1009" s="1109"/>
      <c r="AG1009" s="1358"/>
      <c r="AH1009" s="1104"/>
      <c r="AI1009" s="1104"/>
    </row>
    <row r="1010" spans="1:35" ht="15" customHeight="1">
      <c r="A1010" s="1033"/>
      <c r="B1010" s="1033"/>
      <c r="C1010" s="1033"/>
      <c r="D1010" s="1033"/>
      <c r="E1010" s="1033"/>
      <c r="F1010" s="1033"/>
      <c r="G1010" s="1033"/>
      <c r="H1010" s="1287"/>
      <c r="I1010" s="1066"/>
      <c r="J1010" s="1063"/>
      <c r="K1010" s="1063"/>
      <c r="L1010" s="1063"/>
      <c r="M1010" s="1069"/>
      <c r="N1010" s="1093"/>
      <c r="O1010" s="1093"/>
      <c r="P1010" s="1093"/>
      <c r="Q1010" s="1063"/>
      <c r="R1010" s="1063"/>
      <c r="S1010" s="1033"/>
      <c r="T1010" s="1067"/>
      <c r="U1010" s="866">
        <v>274526233</v>
      </c>
      <c r="V1010" s="1070"/>
      <c r="W1010" s="866" t="s">
        <v>137</v>
      </c>
      <c r="X1010" s="1044"/>
      <c r="Y1010" s="1044"/>
      <c r="Z1010" s="827">
        <v>0</v>
      </c>
      <c r="AA1010" s="1044"/>
      <c r="AB1010" s="1063"/>
      <c r="AC1010" s="1063"/>
      <c r="AD1010" s="1063"/>
      <c r="AE1010" s="1063"/>
      <c r="AF1010" s="1109"/>
      <c r="AG1010" s="1358"/>
      <c r="AH1010" s="1104"/>
      <c r="AI1010" s="1104"/>
    </row>
    <row r="1011" spans="1:35" ht="15" customHeight="1">
      <c r="A1011" s="1033"/>
      <c r="B1011" s="1033"/>
      <c r="C1011" s="1033"/>
      <c r="D1011" s="1033"/>
      <c r="E1011" s="1033"/>
      <c r="F1011" s="1033"/>
      <c r="G1011" s="1033"/>
      <c r="H1011" s="1287"/>
      <c r="I1011" s="1067"/>
      <c r="J1011" s="1064"/>
      <c r="K1011" s="1063"/>
      <c r="L1011" s="1063"/>
      <c r="M1011" s="1069"/>
      <c r="N1011" s="1093"/>
      <c r="O1011" s="1094"/>
      <c r="P1011" s="1094"/>
      <c r="Q1011" s="1064"/>
      <c r="R1011" s="1063"/>
      <c r="S1011" s="1033"/>
      <c r="T1011" s="1065" t="s">
        <v>1508</v>
      </c>
      <c r="U1011" s="866">
        <v>34429930.609999999</v>
      </c>
      <c r="V1011" s="1068">
        <v>41985</v>
      </c>
      <c r="W1011" s="866" t="s">
        <v>7</v>
      </c>
      <c r="X1011" s="1044"/>
      <c r="Y1011" s="1044"/>
      <c r="Z1011" s="827">
        <v>0</v>
      </c>
      <c r="AA1011" s="1045"/>
      <c r="AB1011" s="1063"/>
      <c r="AC1011" s="1064"/>
      <c r="AD1011" s="1063"/>
      <c r="AE1011" s="1063"/>
      <c r="AF1011" s="1109"/>
      <c r="AG1011" s="1358"/>
      <c r="AH1011" s="1104"/>
      <c r="AI1011" s="1104"/>
    </row>
    <row r="1012" spans="1:35" ht="15" customHeight="1">
      <c r="A1012" s="1033"/>
      <c r="B1012" s="1033"/>
      <c r="C1012" s="1033"/>
      <c r="D1012" s="1033"/>
      <c r="E1012" s="1033"/>
      <c r="F1012" s="1033"/>
      <c r="G1012" s="1033"/>
      <c r="H1012" s="1287"/>
      <c r="I1012" s="1065" t="s">
        <v>137</v>
      </c>
      <c r="J1012" s="1062">
        <v>882830933</v>
      </c>
      <c r="K1012" s="1063"/>
      <c r="L1012" s="1063"/>
      <c r="M1012" s="1069"/>
      <c r="N1012" s="1093"/>
      <c r="O1012" s="1092">
        <v>882830933</v>
      </c>
      <c r="P1012" s="1092">
        <v>0</v>
      </c>
      <c r="Q1012" s="1062">
        <v>875766151.60000002</v>
      </c>
      <c r="R1012" s="1063"/>
      <c r="S1012" s="1033"/>
      <c r="T1012" s="1067"/>
      <c r="U1012" s="866">
        <v>72713441.469999999</v>
      </c>
      <c r="V1012" s="1070"/>
      <c r="W1012" s="866" t="s">
        <v>137</v>
      </c>
      <c r="X1012" s="1044"/>
      <c r="Y1012" s="1044"/>
      <c r="Z1012" s="827">
        <v>0</v>
      </c>
      <c r="AA1012" s="1043">
        <v>223272784.63999996</v>
      </c>
      <c r="AB1012" s="1063"/>
      <c r="AC1012" s="1062">
        <v>7064781.3999999762</v>
      </c>
      <c r="AD1012" s="1063"/>
      <c r="AE1012" s="1063"/>
      <c r="AF1012" s="1109"/>
      <c r="AG1012" s="1358"/>
      <c r="AH1012" s="1104"/>
      <c r="AI1012" s="1104"/>
    </row>
    <row r="1013" spans="1:35" ht="15" customHeight="1">
      <c r="A1013" s="1033"/>
      <c r="B1013" s="1033"/>
      <c r="C1013" s="1033"/>
      <c r="D1013" s="1033"/>
      <c r="E1013" s="1033"/>
      <c r="F1013" s="1033"/>
      <c r="G1013" s="1033"/>
      <c r="H1013" s="1287"/>
      <c r="I1013" s="1066"/>
      <c r="J1013" s="1063"/>
      <c r="K1013" s="1063"/>
      <c r="L1013" s="1063"/>
      <c r="M1013" s="1069"/>
      <c r="N1013" s="1093"/>
      <c r="O1013" s="1093"/>
      <c r="P1013" s="1093"/>
      <c r="Q1013" s="1063"/>
      <c r="R1013" s="1063"/>
      <c r="S1013" s="1033"/>
      <c r="T1013" s="1065" t="s">
        <v>1511</v>
      </c>
      <c r="U1013" s="866">
        <v>49470521.659999996</v>
      </c>
      <c r="V1013" s="1068">
        <v>42178</v>
      </c>
      <c r="W1013" s="866" t="s">
        <v>7</v>
      </c>
      <c r="X1013" s="1044"/>
      <c r="Y1013" s="1044"/>
      <c r="Z1013" s="827">
        <v>0</v>
      </c>
      <c r="AA1013" s="1044"/>
      <c r="AB1013" s="1063"/>
      <c r="AC1013" s="1063"/>
      <c r="AD1013" s="1063"/>
      <c r="AE1013" s="1063"/>
      <c r="AF1013" s="1109"/>
      <c r="AG1013" s="1358"/>
      <c r="AH1013" s="1104"/>
      <c r="AI1013" s="1104"/>
    </row>
    <row r="1014" spans="1:35" ht="15" customHeight="1">
      <c r="A1014" s="1033"/>
      <c r="B1014" s="1033"/>
      <c r="C1014" s="1033"/>
      <c r="D1014" s="1033"/>
      <c r="E1014" s="1033"/>
      <c r="F1014" s="1033"/>
      <c r="G1014" s="1033"/>
      <c r="H1014" s="1287"/>
      <c r="I1014" s="1066"/>
      <c r="J1014" s="1063"/>
      <c r="K1014" s="1063"/>
      <c r="L1014" s="1063"/>
      <c r="M1014" s="1069"/>
      <c r="N1014" s="1093"/>
      <c r="O1014" s="1093"/>
      <c r="P1014" s="1093"/>
      <c r="Q1014" s="1063"/>
      <c r="R1014" s="1063"/>
      <c r="S1014" s="1033"/>
      <c r="T1014" s="1067"/>
      <c r="U1014" s="866">
        <v>104478047.2</v>
      </c>
      <c r="V1014" s="1070"/>
      <c r="W1014" s="866" t="s">
        <v>137</v>
      </c>
      <c r="X1014" s="1044"/>
      <c r="Y1014" s="1044"/>
      <c r="Z1014" s="827">
        <v>0</v>
      </c>
      <c r="AA1014" s="1044"/>
      <c r="AB1014" s="1063"/>
      <c r="AC1014" s="1063"/>
      <c r="AD1014" s="1063"/>
      <c r="AE1014" s="1063"/>
      <c r="AF1014" s="1109"/>
      <c r="AG1014" s="1358"/>
      <c r="AH1014" s="1104"/>
      <c r="AI1014" s="1104"/>
    </row>
    <row r="1015" spans="1:35" ht="15" customHeight="1">
      <c r="A1015" s="1033"/>
      <c r="B1015" s="1033"/>
      <c r="C1015" s="1033"/>
      <c r="D1015" s="1033"/>
      <c r="E1015" s="1033"/>
      <c r="F1015" s="1033"/>
      <c r="G1015" s="1033"/>
      <c r="H1015" s="1287"/>
      <c r="I1015" s="1066"/>
      <c r="J1015" s="1063"/>
      <c r="K1015" s="1063"/>
      <c r="L1015" s="1063"/>
      <c r="M1015" s="1069"/>
      <c r="N1015" s="1093"/>
      <c r="O1015" s="1093"/>
      <c r="P1015" s="1093"/>
      <c r="Q1015" s="1063"/>
      <c r="R1015" s="1063"/>
      <c r="S1015" s="1033"/>
      <c r="T1015" s="1065" t="s">
        <v>1513</v>
      </c>
      <c r="U1015" s="866">
        <v>3339520.69</v>
      </c>
      <c r="V1015" s="1068">
        <v>42542</v>
      </c>
      <c r="W1015" s="866" t="s">
        <v>7</v>
      </c>
      <c r="X1015" s="1044"/>
      <c r="Y1015" s="1044"/>
      <c r="Z1015" s="827">
        <v>0</v>
      </c>
      <c r="AA1015" s="1044"/>
      <c r="AB1015" s="1063"/>
      <c r="AC1015" s="1063"/>
      <c r="AD1015" s="1063"/>
      <c r="AE1015" s="1063"/>
      <c r="AF1015" s="1109"/>
      <c r="AG1015" s="1358"/>
      <c r="AH1015" s="1104"/>
      <c r="AI1015" s="1104"/>
    </row>
    <row r="1016" spans="1:35" ht="15" customHeight="1">
      <c r="A1016" s="1033"/>
      <c r="B1016" s="1033"/>
      <c r="C1016" s="1033"/>
      <c r="D1016" s="1033"/>
      <c r="E1016" s="1033"/>
      <c r="F1016" s="1033"/>
      <c r="G1016" s="1033"/>
      <c r="H1016" s="1288"/>
      <c r="I1016" s="1067"/>
      <c r="J1016" s="1064"/>
      <c r="K1016" s="1064"/>
      <c r="L1016" s="1063"/>
      <c r="M1016" s="1070"/>
      <c r="N1016" s="1094"/>
      <c r="O1016" s="1094"/>
      <c r="P1016" s="1094"/>
      <c r="Q1016" s="1064"/>
      <c r="R1016" s="1063"/>
      <c r="S1016" s="1033"/>
      <c r="T1016" s="1067"/>
      <c r="U1016" s="866">
        <v>7052818.2300000004</v>
      </c>
      <c r="V1016" s="1070"/>
      <c r="W1016" s="866" t="s">
        <v>137</v>
      </c>
      <c r="X1016" s="1045"/>
      <c r="Y1016" s="1044"/>
      <c r="Z1016" s="827">
        <v>0</v>
      </c>
      <c r="AA1016" s="1045"/>
      <c r="AB1016" s="1063"/>
      <c r="AC1016" s="1064"/>
      <c r="AD1016" s="1064"/>
      <c r="AE1016" s="1064"/>
      <c r="AF1016" s="1109"/>
      <c r="AG1016" s="1358"/>
      <c r="AH1016" s="1104"/>
      <c r="AI1016" s="1104"/>
    </row>
    <row r="1017" spans="1:35" ht="15" customHeight="1">
      <c r="A1017" s="1033"/>
      <c r="B1017" s="1033"/>
      <c r="C1017" s="1033"/>
      <c r="D1017" s="1033"/>
      <c r="E1017" s="1033"/>
      <c r="F1017" s="1033"/>
      <c r="G1017" s="1033"/>
      <c r="H1017" s="1286">
        <v>239</v>
      </c>
      <c r="I1017" s="1065" t="s">
        <v>137</v>
      </c>
      <c r="J1017" s="1062">
        <v>584557085</v>
      </c>
      <c r="K1017" s="1062">
        <v>1420131406</v>
      </c>
      <c r="L1017" s="1063"/>
      <c r="M1017" s="1068">
        <v>41080</v>
      </c>
      <c r="N1017" s="1092">
        <v>1420131406</v>
      </c>
      <c r="O1017" s="1092">
        <v>584557085</v>
      </c>
      <c r="P1017" s="1092">
        <v>0</v>
      </c>
      <c r="Q1017" s="1062">
        <v>579879215.35000002</v>
      </c>
      <c r="R1017" s="1063"/>
      <c r="S1017" s="1033"/>
      <c r="T1017" s="1065" t="s">
        <v>1506</v>
      </c>
      <c r="U1017" s="866">
        <v>280779144.49000001</v>
      </c>
      <c r="V1017" s="1068">
        <v>41572</v>
      </c>
      <c r="W1017" s="866" t="s">
        <v>137</v>
      </c>
      <c r="X1017" s="1043">
        <v>1420112161.9099998</v>
      </c>
      <c r="Y1017" s="1044"/>
      <c r="Z1017" s="827">
        <v>0</v>
      </c>
      <c r="AA1017" s="1043">
        <v>7921.289999990724</v>
      </c>
      <c r="AB1017" s="1063"/>
      <c r="AC1017" s="1062">
        <v>4677869.6499999762</v>
      </c>
      <c r="AD1017" s="1062">
        <v>-11345239.839999676</v>
      </c>
      <c r="AE1017" s="1062">
        <v>19244.090000271797</v>
      </c>
      <c r="AF1017" s="1109"/>
      <c r="AG1017" s="1358"/>
      <c r="AH1017" s="1104"/>
      <c r="AI1017" s="1104"/>
    </row>
    <row r="1018" spans="1:35" ht="15" customHeight="1">
      <c r="A1018" s="1033"/>
      <c r="B1018" s="1033"/>
      <c r="C1018" s="1033"/>
      <c r="D1018" s="1033"/>
      <c r="E1018" s="1033"/>
      <c r="F1018" s="1033"/>
      <c r="G1018" s="1033"/>
      <c r="H1018" s="1287"/>
      <c r="I1018" s="1066"/>
      <c r="J1018" s="1063"/>
      <c r="K1018" s="1063"/>
      <c r="L1018" s="1063"/>
      <c r="M1018" s="1069"/>
      <c r="N1018" s="1093"/>
      <c r="O1018" s="1093"/>
      <c r="P1018" s="1093"/>
      <c r="Q1018" s="1063"/>
      <c r="R1018" s="1063"/>
      <c r="S1018" s="1033"/>
      <c r="T1018" s="1067"/>
      <c r="U1018" s="866">
        <v>401349755.27999997</v>
      </c>
      <c r="V1018" s="1070"/>
      <c r="W1018" s="866" t="s">
        <v>7</v>
      </c>
      <c r="X1018" s="1044"/>
      <c r="Y1018" s="1044"/>
      <c r="Z1018" s="827">
        <v>0</v>
      </c>
      <c r="AA1018" s="1044"/>
      <c r="AB1018" s="1063"/>
      <c r="AC1018" s="1063"/>
      <c r="AD1018" s="1063"/>
      <c r="AE1018" s="1063"/>
      <c r="AF1018" s="1109"/>
      <c r="AG1018" s="1358"/>
      <c r="AH1018" s="1104"/>
      <c r="AI1018" s="1104"/>
    </row>
    <row r="1019" spans="1:35" ht="15" customHeight="1">
      <c r="A1019" s="1033"/>
      <c r="B1019" s="1033"/>
      <c r="C1019" s="1033"/>
      <c r="D1019" s="1033"/>
      <c r="E1019" s="1033"/>
      <c r="F1019" s="1033"/>
      <c r="G1019" s="1033"/>
      <c r="H1019" s="1287"/>
      <c r="I1019" s="1066"/>
      <c r="J1019" s="1063"/>
      <c r="K1019" s="1063"/>
      <c r="L1019" s="1063"/>
      <c r="M1019" s="1069"/>
      <c r="N1019" s="1093"/>
      <c r="O1019" s="1093"/>
      <c r="P1019" s="1093"/>
      <c r="Q1019" s="1063"/>
      <c r="R1019" s="1063"/>
      <c r="S1019" s="1033"/>
      <c r="T1019" s="1065" t="s">
        <v>1507</v>
      </c>
      <c r="U1019" s="866">
        <v>181774616.97999999</v>
      </c>
      <c r="V1019" s="1068">
        <v>41771</v>
      </c>
      <c r="W1019" s="866" t="s">
        <v>137</v>
      </c>
      <c r="X1019" s="1044"/>
      <c r="Y1019" s="1044"/>
      <c r="Z1019" s="827">
        <v>0</v>
      </c>
      <c r="AA1019" s="1044"/>
      <c r="AB1019" s="1063"/>
      <c r="AC1019" s="1063"/>
      <c r="AD1019" s="1063"/>
      <c r="AE1019" s="1063"/>
      <c r="AF1019" s="1109"/>
      <c r="AG1019" s="1358"/>
      <c r="AH1019" s="1104"/>
      <c r="AI1019" s="1104"/>
    </row>
    <row r="1020" spans="1:35" ht="15" customHeight="1">
      <c r="A1020" s="1033"/>
      <c r="B1020" s="1033"/>
      <c r="C1020" s="1033"/>
      <c r="D1020" s="1033"/>
      <c r="E1020" s="1033"/>
      <c r="F1020" s="1033"/>
      <c r="G1020" s="1033"/>
      <c r="H1020" s="1287"/>
      <c r="I1020" s="1066"/>
      <c r="J1020" s="1063"/>
      <c r="K1020" s="1063"/>
      <c r="L1020" s="1063"/>
      <c r="M1020" s="1069"/>
      <c r="N1020" s="1093"/>
      <c r="O1020" s="1093"/>
      <c r="P1020" s="1093"/>
      <c r="Q1020" s="1063"/>
      <c r="R1020" s="1063"/>
      <c r="S1020" s="1033"/>
      <c r="T1020" s="1067"/>
      <c r="U1020" s="866">
        <v>259831256.94999999</v>
      </c>
      <c r="V1020" s="1070"/>
      <c r="W1020" s="866" t="s">
        <v>7</v>
      </c>
      <c r="X1020" s="1044"/>
      <c r="Y1020" s="1044"/>
      <c r="Z1020" s="827">
        <v>0</v>
      </c>
      <c r="AA1020" s="1044"/>
      <c r="AB1020" s="1063"/>
      <c r="AC1020" s="1063"/>
      <c r="AD1020" s="1063"/>
      <c r="AE1020" s="1063"/>
      <c r="AF1020" s="1109"/>
      <c r="AG1020" s="1358"/>
      <c r="AH1020" s="1104"/>
      <c r="AI1020" s="1104"/>
    </row>
    <row r="1021" spans="1:35" ht="15" customHeight="1">
      <c r="A1021" s="1033"/>
      <c r="B1021" s="1033"/>
      <c r="C1021" s="1033"/>
      <c r="D1021" s="1033"/>
      <c r="E1021" s="1033"/>
      <c r="F1021" s="1033"/>
      <c r="G1021" s="1033"/>
      <c r="H1021" s="1287"/>
      <c r="I1021" s="1066"/>
      <c r="J1021" s="1063"/>
      <c r="K1021" s="1063"/>
      <c r="L1021" s="1063"/>
      <c r="M1021" s="1069"/>
      <c r="N1021" s="1093"/>
      <c r="O1021" s="1094"/>
      <c r="P1021" s="1094"/>
      <c r="Q1021" s="1064"/>
      <c r="R1021" s="1063"/>
      <c r="S1021" s="1033"/>
      <c r="T1021" s="1065" t="s">
        <v>1508</v>
      </c>
      <c r="U1021" s="866">
        <v>48146429.619999997</v>
      </c>
      <c r="V1021" s="1068">
        <v>41985</v>
      </c>
      <c r="W1021" s="866" t="s">
        <v>137</v>
      </c>
      <c r="X1021" s="1044"/>
      <c r="Y1021" s="1044"/>
      <c r="Z1021" s="827">
        <v>0</v>
      </c>
      <c r="AA1021" s="1045"/>
      <c r="AB1021" s="1063"/>
      <c r="AC1021" s="1064"/>
      <c r="AD1021" s="1063"/>
      <c r="AE1021" s="1063"/>
      <c r="AF1021" s="1109"/>
      <c r="AG1021" s="1358"/>
      <c r="AH1021" s="1104"/>
      <c r="AI1021" s="1104"/>
    </row>
    <row r="1022" spans="1:35" ht="15" customHeight="1">
      <c r="A1022" s="1033"/>
      <c r="B1022" s="1033"/>
      <c r="C1022" s="1033"/>
      <c r="D1022" s="1033"/>
      <c r="E1022" s="1033"/>
      <c r="F1022" s="1033"/>
      <c r="G1022" s="1033"/>
      <c r="H1022" s="1287"/>
      <c r="I1022" s="1065" t="s">
        <v>7</v>
      </c>
      <c r="J1022" s="1062">
        <v>835574321</v>
      </c>
      <c r="K1022" s="1063"/>
      <c r="L1022" s="1063"/>
      <c r="M1022" s="1069"/>
      <c r="N1022" s="1093"/>
      <c r="O1022" s="1092">
        <v>835574321</v>
      </c>
      <c r="P1022" s="1092">
        <v>0</v>
      </c>
      <c r="Q1022" s="1062">
        <v>828887706.72000003</v>
      </c>
      <c r="R1022" s="1063"/>
      <c r="S1022" s="1033"/>
      <c r="T1022" s="1067"/>
      <c r="U1022" s="866">
        <v>68821200.319999993</v>
      </c>
      <c r="V1022" s="1070"/>
      <c r="W1022" s="866" t="s">
        <v>7</v>
      </c>
      <c r="X1022" s="1044"/>
      <c r="Y1022" s="1044"/>
      <c r="Z1022" s="827">
        <v>0</v>
      </c>
      <c r="AA1022" s="1043">
        <v>11322.800000045449</v>
      </c>
      <c r="AB1022" s="1063"/>
      <c r="AC1022" s="1062">
        <v>6686614.2799999714</v>
      </c>
      <c r="AD1022" s="1063"/>
      <c r="AE1022" s="1063"/>
      <c r="AF1022" s="1109"/>
      <c r="AG1022" s="1358"/>
      <c r="AH1022" s="1104"/>
      <c r="AI1022" s="1104"/>
    </row>
    <row r="1023" spans="1:35" ht="15" customHeight="1">
      <c r="A1023" s="1033"/>
      <c r="B1023" s="1033"/>
      <c r="C1023" s="1033"/>
      <c r="D1023" s="1033"/>
      <c r="E1023" s="1033"/>
      <c r="F1023" s="1033"/>
      <c r="G1023" s="1033"/>
      <c r="H1023" s="1287"/>
      <c r="I1023" s="1066"/>
      <c r="J1023" s="1063"/>
      <c r="K1023" s="1063"/>
      <c r="L1023" s="1063"/>
      <c r="M1023" s="1069"/>
      <c r="N1023" s="1093"/>
      <c r="O1023" s="1093"/>
      <c r="P1023" s="1093"/>
      <c r="Q1023" s="1063"/>
      <c r="R1023" s="1063"/>
      <c r="S1023" s="1033"/>
      <c r="T1023" s="1065" t="s">
        <v>1510</v>
      </c>
      <c r="U1023" s="866">
        <v>69179024.260000005</v>
      </c>
      <c r="V1023" s="1068">
        <v>42178</v>
      </c>
      <c r="W1023" s="866" t="s">
        <v>137</v>
      </c>
      <c r="X1023" s="1044"/>
      <c r="Y1023" s="1044"/>
      <c r="Z1023" s="827">
        <v>0</v>
      </c>
      <c r="AA1023" s="1044"/>
      <c r="AB1023" s="1063"/>
      <c r="AC1023" s="1063"/>
      <c r="AD1023" s="1063"/>
      <c r="AE1023" s="1063"/>
      <c r="AF1023" s="1109"/>
      <c r="AG1023" s="1358"/>
      <c r="AH1023" s="1104"/>
      <c r="AI1023" s="1104"/>
    </row>
    <row r="1024" spans="1:35" ht="15" customHeight="1">
      <c r="A1024" s="1033"/>
      <c r="B1024" s="1033"/>
      <c r="C1024" s="1033"/>
      <c r="D1024" s="1033"/>
      <c r="E1024" s="1033"/>
      <c r="F1024" s="1033"/>
      <c r="G1024" s="1033"/>
      <c r="H1024" s="1287"/>
      <c r="I1024" s="1066"/>
      <c r="J1024" s="1063"/>
      <c r="K1024" s="1063"/>
      <c r="L1024" s="1063"/>
      <c r="M1024" s="1069"/>
      <c r="N1024" s="1093"/>
      <c r="O1024" s="1093"/>
      <c r="P1024" s="1093"/>
      <c r="Q1024" s="1063"/>
      <c r="R1024" s="1063"/>
      <c r="S1024" s="1033"/>
      <c r="T1024" s="1067"/>
      <c r="U1024" s="866">
        <v>98885494.170000002</v>
      </c>
      <c r="V1024" s="1070"/>
      <c r="W1024" s="866" t="s">
        <v>7</v>
      </c>
      <c r="X1024" s="1044"/>
      <c r="Y1024" s="1044"/>
      <c r="Z1024" s="827">
        <v>0</v>
      </c>
      <c r="AA1024" s="1044"/>
      <c r="AB1024" s="1063"/>
      <c r="AC1024" s="1063"/>
      <c r="AD1024" s="1063"/>
      <c r="AE1024" s="1063"/>
      <c r="AF1024" s="1109"/>
      <c r="AG1024" s="1358"/>
      <c r="AH1024" s="1104"/>
      <c r="AI1024" s="1104"/>
    </row>
    <row r="1025" spans="1:35" ht="15" customHeight="1">
      <c r="A1025" s="1033"/>
      <c r="B1025" s="1033"/>
      <c r="C1025" s="1033"/>
      <c r="D1025" s="1033"/>
      <c r="E1025" s="1033"/>
      <c r="F1025" s="1033"/>
      <c r="G1025" s="1033"/>
      <c r="H1025" s="1287"/>
      <c r="I1025" s="1066"/>
      <c r="J1025" s="1063"/>
      <c r="K1025" s="1063"/>
      <c r="L1025" s="1063"/>
      <c r="M1025" s="1069"/>
      <c r="N1025" s="1093"/>
      <c r="O1025" s="1093"/>
      <c r="P1025" s="1093"/>
      <c r="Q1025" s="1063"/>
      <c r="R1025" s="1063"/>
      <c r="S1025" s="1033"/>
      <c r="T1025" s="1065" t="s">
        <v>1513</v>
      </c>
      <c r="U1025" s="866">
        <v>4669948.3600000003</v>
      </c>
      <c r="V1025" s="1068">
        <v>42542</v>
      </c>
      <c r="W1025" s="866" t="s">
        <v>137</v>
      </c>
      <c r="X1025" s="1044"/>
      <c r="Y1025" s="1044"/>
      <c r="Z1025" s="827">
        <v>0</v>
      </c>
      <c r="AA1025" s="1044"/>
      <c r="AB1025" s="1063"/>
      <c r="AC1025" s="1063"/>
      <c r="AD1025" s="1063"/>
      <c r="AE1025" s="1063"/>
      <c r="AF1025" s="1109"/>
      <c r="AG1025" s="1358"/>
      <c r="AH1025" s="1104"/>
      <c r="AI1025" s="1104"/>
    </row>
    <row r="1026" spans="1:35" ht="15" customHeight="1">
      <c r="A1026" s="1033"/>
      <c r="B1026" s="1033"/>
      <c r="C1026" s="1033"/>
      <c r="D1026" s="1033"/>
      <c r="E1026" s="1033"/>
      <c r="F1026" s="1033"/>
      <c r="G1026" s="1033"/>
      <c r="H1026" s="1288"/>
      <c r="I1026" s="1067"/>
      <c r="J1026" s="1064"/>
      <c r="K1026" s="1064"/>
      <c r="L1026" s="1063"/>
      <c r="M1026" s="1070"/>
      <c r="N1026" s="1094"/>
      <c r="O1026" s="1094"/>
      <c r="P1026" s="1094"/>
      <c r="Q1026" s="1064"/>
      <c r="R1026" s="1063"/>
      <c r="S1026" s="1033"/>
      <c r="T1026" s="1067"/>
      <c r="U1026" s="866">
        <v>6675291.4800000004</v>
      </c>
      <c r="V1026" s="1070"/>
      <c r="W1026" s="866" t="s">
        <v>7</v>
      </c>
      <c r="X1026" s="1045"/>
      <c r="Y1026" s="1044"/>
      <c r="Z1026" s="827">
        <v>0</v>
      </c>
      <c r="AA1026" s="1045"/>
      <c r="AB1026" s="1063"/>
      <c r="AC1026" s="1064"/>
      <c r="AD1026" s="1064"/>
      <c r="AE1026" s="1064"/>
      <c r="AF1026" s="1109"/>
      <c r="AG1026" s="1358"/>
      <c r="AH1026" s="1104"/>
      <c r="AI1026" s="1104"/>
    </row>
    <row r="1027" spans="1:35" ht="15" customHeight="1">
      <c r="A1027" s="1033"/>
      <c r="B1027" s="1033"/>
      <c r="C1027" s="1033"/>
      <c r="D1027" s="1033"/>
      <c r="E1027" s="1033"/>
      <c r="F1027" s="1033"/>
      <c r="G1027" s="1033"/>
      <c r="H1027" s="1286">
        <v>4</v>
      </c>
      <c r="I1027" s="1065" t="s">
        <v>152</v>
      </c>
      <c r="J1027" s="1062">
        <v>149153109</v>
      </c>
      <c r="K1027" s="1062">
        <v>149153109</v>
      </c>
      <c r="L1027" s="1063"/>
      <c r="M1027" s="1068">
        <v>41080</v>
      </c>
      <c r="N1027" s="1092">
        <v>149153109</v>
      </c>
      <c r="O1027" s="1092">
        <v>149153109</v>
      </c>
      <c r="P1027" s="1092">
        <v>0</v>
      </c>
      <c r="Q1027" s="1062">
        <v>147959523.59999999</v>
      </c>
      <c r="R1027" s="1063"/>
      <c r="S1027" s="1033"/>
      <c r="T1027" s="840" t="s">
        <v>1506</v>
      </c>
      <c r="U1027" s="866">
        <v>71642416.829999998</v>
      </c>
      <c r="V1027" s="855">
        <v>41572</v>
      </c>
      <c r="W1027" s="866" t="s">
        <v>152</v>
      </c>
      <c r="X1027" s="1043">
        <v>149151087.84000003</v>
      </c>
      <c r="Y1027" s="1044"/>
      <c r="Z1027" s="827">
        <v>0</v>
      </c>
      <c r="AA1027" s="1043">
        <v>2021.1599999666214</v>
      </c>
      <c r="AB1027" s="1063"/>
      <c r="AC1027" s="1062">
        <v>1193585.400000006</v>
      </c>
      <c r="AD1027" s="1062">
        <v>-1191564.2400000393</v>
      </c>
      <c r="AE1027" s="1062">
        <v>2021.1599999666214</v>
      </c>
      <c r="AF1027" s="1109"/>
      <c r="AG1027" s="1358"/>
      <c r="AH1027" s="1104"/>
      <c r="AI1027" s="1104"/>
    </row>
    <row r="1028" spans="1:35" ht="15" customHeight="1">
      <c r="A1028" s="1033"/>
      <c r="B1028" s="1033"/>
      <c r="C1028" s="1033"/>
      <c r="D1028" s="1033"/>
      <c r="E1028" s="1033"/>
      <c r="F1028" s="1033"/>
      <c r="G1028" s="1033"/>
      <c r="H1028" s="1287"/>
      <c r="I1028" s="1066"/>
      <c r="J1028" s="1063"/>
      <c r="K1028" s="1063"/>
      <c r="L1028" s="1063"/>
      <c r="M1028" s="1069"/>
      <c r="N1028" s="1093"/>
      <c r="O1028" s="1093"/>
      <c r="P1028" s="1093"/>
      <c r="Q1028" s="1063"/>
      <c r="R1028" s="1063"/>
      <c r="S1028" s="1033"/>
      <c r="T1028" s="25" t="s">
        <v>1507</v>
      </c>
      <c r="U1028" s="866">
        <v>46380841.07</v>
      </c>
      <c r="V1028" s="855">
        <v>41771</v>
      </c>
      <c r="W1028" s="866" t="s">
        <v>152</v>
      </c>
      <c r="X1028" s="1044"/>
      <c r="Y1028" s="1044"/>
      <c r="Z1028" s="827">
        <v>0</v>
      </c>
      <c r="AA1028" s="1044"/>
      <c r="AB1028" s="1063"/>
      <c r="AC1028" s="1063"/>
      <c r="AD1028" s="1063"/>
      <c r="AE1028" s="1063"/>
      <c r="AF1028" s="1109"/>
      <c r="AG1028" s="1358"/>
      <c r="AH1028" s="1104"/>
      <c r="AI1028" s="1104"/>
    </row>
    <row r="1029" spans="1:35" ht="15" customHeight="1">
      <c r="A1029" s="1033"/>
      <c r="B1029" s="1033"/>
      <c r="C1029" s="1033"/>
      <c r="D1029" s="1033"/>
      <c r="E1029" s="1033"/>
      <c r="F1029" s="1033"/>
      <c r="G1029" s="1033"/>
      <c r="H1029" s="1287"/>
      <c r="I1029" s="1066"/>
      <c r="J1029" s="1063"/>
      <c r="K1029" s="1063"/>
      <c r="L1029" s="1063"/>
      <c r="M1029" s="1069"/>
      <c r="N1029" s="1093"/>
      <c r="O1029" s="1093"/>
      <c r="P1029" s="1093"/>
      <c r="Q1029" s="1063"/>
      <c r="R1029" s="1063"/>
      <c r="S1029" s="1033"/>
      <c r="T1029" s="840" t="s">
        <v>1508</v>
      </c>
      <c r="U1029" s="866">
        <v>12284838.98</v>
      </c>
      <c r="V1029" s="855">
        <v>41985</v>
      </c>
      <c r="W1029" s="866" t="s">
        <v>152</v>
      </c>
      <c r="X1029" s="1044"/>
      <c r="Y1029" s="1044"/>
      <c r="Z1029" s="827">
        <v>0</v>
      </c>
      <c r="AA1029" s="1044"/>
      <c r="AB1029" s="1063"/>
      <c r="AC1029" s="1063"/>
      <c r="AD1029" s="1063"/>
      <c r="AE1029" s="1063"/>
      <c r="AF1029" s="1109"/>
      <c r="AG1029" s="1358"/>
      <c r="AH1029" s="1104"/>
      <c r="AI1029" s="1104"/>
    </row>
    <row r="1030" spans="1:35" ht="15" customHeight="1">
      <c r="A1030" s="1033"/>
      <c r="B1030" s="1033"/>
      <c r="C1030" s="1033"/>
      <c r="D1030" s="1033"/>
      <c r="E1030" s="1033"/>
      <c r="F1030" s="1033"/>
      <c r="G1030" s="1033"/>
      <c r="H1030" s="1287"/>
      <c r="I1030" s="1066"/>
      <c r="J1030" s="1063"/>
      <c r="K1030" s="1063"/>
      <c r="L1030" s="1063"/>
      <c r="M1030" s="1069"/>
      <c r="N1030" s="1093"/>
      <c r="O1030" s="1093"/>
      <c r="P1030" s="1093"/>
      <c r="Q1030" s="1063"/>
      <c r="R1030" s="1063"/>
      <c r="S1030" s="1033"/>
      <c r="T1030" s="840" t="s">
        <v>1510</v>
      </c>
      <c r="U1030" s="866">
        <v>17651426.719999999</v>
      </c>
      <c r="V1030" s="855">
        <v>42178</v>
      </c>
      <c r="W1030" s="866" t="s">
        <v>152</v>
      </c>
      <c r="X1030" s="1044"/>
      <c r="Y1030" s="1044"/>
      <c r="Z1030" s="827">
        <v>0</v>
      </c>
      <c r="AA1030" s="1044"/>
      <c r="AB1030" s="1063"/>
      <c r="AC1030" s="1063"/>
      <c r="AD1030" s="1063"/>
      <c r="AE1030" s="1063"/>
      <c r="AF1030" s="1109"/>
      <c r="AG1030" s="1358"/>
      <c r="AH1030" s="1104"/>
      <c r="AI1030" s="1104"/>
    </row>
    <row r="1031" spans="1:35" ht="15" customHeight="1">
      <c r="A1031" s="1033"/>
      <c r="B1031" s="1033"/>
      <c r="C1031" s="1033"/>
      <c r="D1031" s="1033"/>
      <c r="E1031" s="1012"/>
      <c r="F1031" s="1033"/>
      <c r="G1031" s="1033"/>
      <c r="H1031" s="1287"/>
      <c r="I1031" s="1066"/>
      <c r="J1031" s="1063"/>
      <c r="K1031" s="1063"/>
      <c r="L1031" s="1063"/>
      <c r="M1031" s="1069"/>
      <c r="N1031" s="1094"/>
      <c r="O1031" s="1094"/>
      <c r="P1031" s="1094"/>
      <c r="Q1031" s="1064"/>
      <c r="R1031" s="1063"/>
      <c r="S1031" s="1033"/>
      <c r="T1031" s="840" t="s">
        <v>1513</v>
      </c>
      <c r="U1031" s="866">
        <v>1191564.24</v>
      </c>
      <c r="V1031" s="855">
        <v>42542</v>
      </c>
      <c r="W1031" s="866" t="s">
        <v>152</v>
      </c>
      <c r="X1031" s="1045"/>
      <c r="Y1031" s="1044"/>
      <c r="Z1031" s="827">
        <v>0</v>
      </c>
      <c r="AA1031" s="1045"/>
      <c r="AB1031" s="1063"/>
      <c r="AC1031" s="1064"/>
      <c r="AD1031" s="1064"/>
      <c r="AE1031" s="1064"/>
      <c r="AF1031" s="1109"/>
      <c r="AG1031" s="1358"/>
      <c r="AH1031" s="1104"/>
      <c r="AI1031" s="1104"/>
    </row>
    <row r="1032" spans="1:35" ht="15" customHeight="1">
      <c r="A1032" s="1033"/>
      <c r="B1032" s="1033"/>
      <c r="C1032" s="1033"/>
      <c r="D1032" s="1033"/>
      <c r="E1032" s="1011" t="s">
        <v>67</v>
      </c>
      <c r="F1032" s="1033"/>
      <c r="G1032" s="1033"/>
      <c r="H1032" s="1286">
        <v>310</v>
      </c>
      <c r="I1032" s="1065" t="s">
        <v>137</v>
      </c>
      <c r="J1032" s="1062">
        <v>676939841</v>
      </c>
      <c r="K1032" s="1062">
        <v>676939841</v>
      </c>
      <c r="L1032" s="1063"/>
      <c r="M1032" s="1068">
        <v>41955</v>
      </c>
      <c r="N1032" s="1062">
        <v>676939841</v>
      </c>
      <c r="O1032" s="1062">
        <v>676939841</v>
      </c>
      <c r="P1032" s="1062">
        <v>0</v>
      </c>
      <c r="Q1032" s="1062">
        <v>676939841</v>
      </c>
      <c r="R1032" s="1063"/>
      <c r="S1032" s="1033"/>
      <c r="T1032" s="840" t="s">
        <v>1513</v>
      </c>
      <c r="U1032" s="866">
        <v>331767544</v>
      </c>
      <c r="V1032" s="855">
        <v>42542</v>
      </c>
      <c r="W1032" s="866" t="s">
        <v>137</v>
      </c>
      <c r="X1032" s="1043">
        <v>676939841</v>
      </c>
      <c r="Y1032" s="1044"/>
      <c r="Z1032" s="827">
        <v>0</v>
      </c>
      <c r="AA1032" s="1043">
        <v>0</v>
      </c>
      <c r="AB1032" s="1063"/>
      <c r="AC1032" s="1062">
        <v>0</v>
      </c>
      <c r="AD1032" s="1062">
        <v>0</v>
      </c>
      <c r="AE1032" s="1062">
        <v>0</v>
      </c>
      <c r="AF1032" s="1109"/>
      <c r="AG1032" s="1358"/>
      <c r="AH1032" s="1104"/>
      <c r="AI1032" s="1104"/>
    </row>
    <row r="1033" spans="1:35" ht="15" customHeight="1">
      <c r="A1033" s="1033"/>
      <c r="B1033" s="1033"/>
      <c r="C1033" s="1033"/>
      <c r="D1033" s="1033"/>
      <c r="E1033" s="1033"/>
      <c r="F1033" s="1033"/>
      <c r="G1033" s="1033"/>
      <c r="H1033" s="1287"/>
      <c r="I1033" s="1066"/>
      <c r="J1033" s="1063"/>
      <c r="K1033" s="1063"/>
      <c r="L1033" s="1063"/>
      <c r="M1033" s="1069"/>
      <c r="N1033" s="1063"/>
      <c r="O1033" s="1063"/>
      <c r="P1033" s="1063"/>
      <c r="Q1033" s="1063"/>
      <c r="R1033" s="1063"/>
      <c r="S1033" s="1033"/>
      <c r="T1033" s="840" t="s">
        <v>1509</v>
      </c>
      <c r="U1033" s="866">
        <v>175706218</v>
      </c>
      <c r="V1033" s="855">
        <v>42178</v>
      </c>
      <c r="W1033" s="866" t="s">
        <v>137</v>
      </c>
      <c r="X1033" s="1044"/>
      <c r="Y1033" s="1044"/>
      <c r="Z1033" s="827">
        <v>0</v>
      </c>
      <c r="AA1033" s="1044"/>
      <c r="AB1033" s="1063"/>
      <c r="AC1033" s="1063"/>
      <c r="AD1033" s="1063"/>
      <c r="AE1033" s="1063"/>
      <c r="AF1033" s="1109"/>
      <c r="AG1033" s="1358"/>
      <c r="AH1033" s="1104"/>
      <c r="AI1033" s="1104"/>
    </row>
    <row r="1034" spans="1:35" ht="15" customHeight="1">
      <c r="A1034" s="1012"/>
      <c r="B1034" s="1012"/>
      <c r="C1034" s="1012"/>
      <c r="D1034" s="1012"/>
      <c r="E1034" s="1012"/>
      <c r="F1034" s="1012"/>
      <c r="G1034" s="1012"/>
      <c r="H1034" s="1288"/>
      <c r="I1034" s="1067"/>
      <c r="J1034" s="1064"/>
      <c r="K1034" s="1064"/>
      <c r="L1034" s="1064"/>
      <c r="M1034" s="1070"/>
      <c r="N1034" s="1064"/>
      <c r="O1034" s="1064"/>
      <c r="P1034" s="1064"/>
      <c r="Q1034" s="1064"/>
      <c r="R1034" s="1064"/>
      <c r="S1034" s="1012"/>
      <c r="T1034" s="840" t="s">
        <v>1512</v>
      </c>
      <c r="U1034" s="866">
        <v>169466079</v>
      </c>
      <c r="V1034" s="855">
        <v>42366</v>
      </c>
      <c r="W1034" s="866" t="s">
        <v>137</v>
      </c>
      <c r="X1034" s="1045"/>
      <c r="Y1034" s="1045"/>
      <c r="Z1034" s="827">
        <v>0</v>
      </c>
      <c r="AA1034" s="1045"/>
      <c r="AB1034" s="1064"/>
      <c r="AC1034" s="1064"/>
      <c r="AD1034" s="1064"/>
      <c r="AE1034" s="1064"/>
      <c r="AF1034" s="1110"/>
      <c r="AG1034" s="1359"/>
      <c r="AH1034" s="1105"/>
      <c r="AI1034" s="1105"/>
    </row>
    <row r="1035" spans="1:35" ht="15" customHeight="1">
      <c r="A1035" s="1011" t="s">
        <v>1532</v>
      </c>
      <c r="B1035" s="1011" t="s">
        <v>1534</v>
      </c>
      <c r="C1035" s="1011" t="s">
        <v>71</v>
      </c>
      <c r="D1035" s="1011" t="s">
        <v>1221</v>
      </c>
      <c r="E1035" s="1011" t="s">
        <v>66</v>
      </c>
      <c r="F1035" s="1011" t="s">
        <v>183</v>
      </c>
      <c r="G1035" s="1011" t="s">
        <v>1044</v>
      </c>
      <c r="H1035" s="1286">
        <v>257</v>
      </c>
      <c r="I1035" s="1065" t="s">
        <v>7</v>
      </c>
      <c r="J1035" s="1062">
        <v>64274591</v>
      </c>
      <c r="K1035" s="1062">
        <v>64274591</v>
      </c>
      <c r="L1035" s="1062">
        <v>64274591</v>
      </c>
      <c r="M1035" s="1068">
        <v>41212</v>
      </c>
      <c r="N1035" s="1092">
        <v>64274591</v>
      </c>
      <c r="O1035" s="1062">
        <v>64274591</v>
      </c>
      <c r="P1035" s="1062">
        <v>0</v>
      </c>
      <c r="Q1035" s="1062">
        <v>63903840</v>
      </c>
      <c r="R1035" s="1062">
        <v>63903840</v>
      </c>
      <c r="S1035" s="1011" t="s">
        <v>1535</v>
      </c>
      <c r="T1035" s="840" t="s">
        <v>1536</v>
      </c>
      <c r="U1035" s="866">
        <v>51515340</v>
      </c>
      <c r="V1035" s="855">
        <v>41712</v>
      </c>
      <c r="W1035" s="866" t="s">
        <v>7</v>
      </c>
      <c r="X1035" s="1043">
        <v>63424630</v>
      </c>
      <c r="Y1035" s="1043">
        <v>63424630</v>
      </c>
      <c r="Z1035" s="827">
        <v>0</v>
      </c>
      <c r="AA1035" s="1043">
        <v>849961</v>
      </c>
      <c r="AB1035" s="1062">
        <v>0</v>
      </c>
      <c r="AC1035" s="1062">
        <v>370751</v>
      </c>
      <c r="AD1035" s="1062">
        <v>479210</v>
      </c>
      <c r="AE1035" s="1062">
        <v>849961</v>
      </c>
      <c r="AF1035" s="1108" t="s">
        <v>606</v>
      </c>
      <c r="AG1035" s="1103" t="s">
        <v>1538</v>
      </c>
      <c r="AH1035" s="1103" t="s">
        <v>194</v>
      </c>
      <c r="AI1035" s="1103" t="s">
        <v>1414</v>
      </c>
    </row>
    <row r="1036" spans="1:35" ht="15" customHeight="1">
      <c r="A1036" s="1012"/>
      <c r="B1036" s="1012"/>
      <c r="C1036" s="1012"/>
      <c r="D1036" s="1012"/>
      <c r="E1036" s="1012"/>
      <c r="F1036" s="1012"/>
      <c r="G1036" s="1012"/>
      <c r="H1036" s="1288"/>
      <c r="I1036" s="1067"/>
      <c r="J1036" s="1064"/>
      <c r="K1036" s="1064"/>
      <c r="L1036" s="1064"/>
      <c r="M1036" s="1070"/>
      <c r="N1036" s="1094"/>
      <c r="O1036" s="1064"/>
      <c r="P1036" s="1064"/>
      <c r="Q1036" s="1064"/>
      <c r="R1036" s="1064"/>
      <c r="S1036" s="1012"/>
      <c r="T1036" s="840" t="s">
        <v>1537</v>
      </c>
      <c r="U1036" s="866">
        <v>11909290</v>
      </c>
      <c r="V1036" s="855">
        <v>41759</v>
      </c>
      <c r="W1036" s="866" t="s">
        <v>7</v>
      </c>
      <c r="X1036" s="1045"/>
      <c r="Y1036" s="1045"/>
      <c r="Z1036" s="827">
        <v>0</v>
      </c>
      <c r="AA1036" s="1045"/>
      <c r="AB1036" s="1064"/>
      <c r="AC1036" s="1064"/>
      <c r="AD1036" s="1064"/>
      <c r="AE1036" s="1064"/>
      <c r="AF1036" s="1110"/>
      <c r="AG1036" s="1105"/>
      <c r="AH1036" s="1105"/>
      <c r="AI1036" s="1105"/>
    </row>
    <row r="1037" spans="1:35" ht="15" customHeight="1">
      <c r="A1037" s="1011" t="s">
        <v>1539</v>
      </c>
      <c r="B1037" s="1011" t="s">
        <v>1541</v>
      </c>
      <c r="C1037" s="1011" t="s">
        <v>71</v>
      </c>
      <c r="D1037" s="1011" t="s">
        <v>1235</v>
      </c>
      <c r="E1037" s="1011" t="s">
        <v>66</v>
      </c>
      <c r="F1037" s="1011" t="s">
        <v>183</v>
      </c>
      <c r="G1037" s="1011" t="s">
        <v>1543</v>
      </c>
      <c r="H1037" s="1286">
        <v>255</v>
      </c>
      <c r="I1037" s="1065" t="s">
        <v>7</v>
      </c>
      <c r="J1037" s="1062">
        <v>258333759</v>
      </c>
      <c r="K1037" s="1062">
        <v>258333759</v>
      </c>
      <c r="L1037" s="1062">
        <v>258333759</v>
      </c>
      <c r="M1037" s="1068">
        <v>41186</v>
      </c>
      <c r="N1037" s="1092">
        <v>258333759</v>
      </c>
      <c r="O1037" s="1092">
        <v>258333759</v>
      </c>
      <c r="P1037" s="1092">
        <v>0</v>
      </c>
      <c r="Q1037" s="1062">
        <v>255010855</v>
      </c>
      <c r="R1037" s="1062">
        <v>255010855</v>
      </c>
      <c r="S1037" s="1011" t="s">
        <v>1542</v>
      </c>
      <c r="T1037" s="840" t="s">
        <v>1544</v>
      </c>
      <c r="U1037" s="866">
        <v>201260423</v>
      </c>
      <c r="V1037" s="855">
        <v>41935</v>
      </c>
      <c r="W1037" s="866" t="s">
        <v>7</v>
      </c>
      <c r="X1037" s="1043">
        <v>255006953</v>
      </c>
      <c r="Y1037" s="1043">
        <v>255006953</v>
      </c>
      <c r="Z1037" s="827">
        <v>0</v>
      </c>
      <c r="AA1037" s="1043">
        <v>3326806</v>
      </c>
      <c r="AB1037" s="1062">
        <v>0</v>
      </c>
      <c r="AC1037" s="1062">
        <v>3322904</v>
      </c>
      <c r="AD1037" s="1062">
        <v>3902</v>
      </c>
      <c r="AE1037" s="1062">
        <v>3326806</v>
      </c>
      <c r="AF1037" s="1108" t="s">
        <v>606</v>
      </c>
      <c r="AG1037" s="1103" t="s">
        <v>1547</v>
      </c>
      <c r="AH1037" s="1103" t="s">
        <v>194</v>
      </c>
      <c r="AI1037" s="1103" t="s">
        <v>1414</v>
      </c>
    </row>
    <row r="1038" spans="1:35" ht="15" customHeight="1">
      <c r="A1038" s="1033"/>
      <c r="B1038" s="1033"/>
      <c r="C1038" s="1033"/>
      <c r="D1038" s="1033"/>
      <c r="E1038" s="1033"/>
      <c r="F1038" s="1033"/>
      <c r="G1038" s="1033"/>
      <c r="H1038" s="1287"/>
      <c r="I1038" s="1066"/>
      <c r="J1038" s="1063"/>
      <c r="K1038" s="1063"/>
      <c r="L1038" s="1063"/>
      <c r="M1038" s="1069"/>
      <c r="N1038" s="1093"/>
      <c r="O1038" s="1093"/>
      <c r="P1038" s="1093"/>
      <c r="Q1038" s="1063"/>
      <c r="R1038" s="1063"/>
      <c r="S1038" s="1033"/>
      <c r="T1038" s="840" t="s">
        <v>1545</v>
      </c>
      <c r="U1038" s="866">
        <v>28247924</v>
      </c>
      <c r="V1038" s="855">
        <v>42158</v>
      </c>
      <c r="W1038" s="866" t="s">
        <v>7</v>
      </c>
      <c r="X1038" s="1044"/>
      <c r="Y1038" s="1044"/>
      <c r="Z1038" s="827">
        <v>0</v>
      </c>
      <c r="AA1038" s="1044"/>
      <c r="AB1038" s="1063"/>
      <c r="AC1038" s="1063"/>
      <c r="AD1038" s="1063"/>
      <c r="AE1038" s="1063"/>
      <c r="AF1038" s="1109"/>
      <c r="AG1038" s="1104"/>
      <c r="AH1038" s="1104"/>
      <c r="AI1038" s="1104"/>
    </row>
    <row r="1039" spans="1:35" ht="15" customHeight="1">
      <c r="A1039" s="1012"/>
      <c r="B1039" s="1012"/>
      <c r="C1039" s="1012"/>
      <c r="D1039" s="1012"/>
      <c r="E1039" s="1012"/>
      <c r="F1039" s="1012"/>
      <c r="G1039" s="1012"/>
      <c r="H1039" s="1288"/>
      <c r="I1039" s="1067"/>
      <c r="J1039" s="1064"/>
      <c r="K1039" s="1064"/>
      <c r="L1039" s="1064"/>
      <c r="M1039" s="1070"/>
      <c r="N1039" s="1094"/>
      <c r="O1039" s="1094"/>
      <c r="P1039" s="1094"/>
      <c r="Q1039" s="1064"/>
      <c r="R1039" s="1064"/>
      <c r="S1039" s="1012"/>
      <c r="T1039" s="840" t="s">
        <v>1546</v>
      </c>
      <c r="U1039" s="866">
        <v>25498606</v>
      </c>
      <c r="V1039" s="855">
        <v>42551</v>
      </c>
      <c r="W1039" s="866" t="s">
        <v>7</v>
      </c>
      <c r="X1039" s="1045"/>
      <c r="Y1039" s="1045"/>
      <c r="Z1039" s="827">
        <v>0</v>
      </c>
      <c r="AA1039" s="1045"/>
      <c r="AB1039" s="1064"/>
      <c r="AC1039" s="1064"/>
      <c r="AD1039" s="1064"/>
      <c r="AE1039" s="1064"/>
      <c r="AF1039" s="1110"/>
      <c r="AG1039" s="1105"/>
      <c r="AH1039" s="1105"/>
      <c r="AI1039" s="1105"/>
    </row>
    <row r="1040" spans="1:35" ht="15" customHeight="1">
      <c r="A1040" s="1076" t="s">
        <v>1557</v>
      </c>
      <c r="B1040" s="1076" t="s">
        <v>1559</v>
      </c>
      <c r="C1040" s="1076" t="s">
        <v>70</v>
      </c>
      <c r="D1040" s="1076" t="s">
        <v>206</v>
      </c>
      <c r="E1040" s="1076" t="s">
        <v>66</v>
      </c>
      <c r="F1040" s="1076" t="s">
        <v>183</v>
      </c>
      <c r="G1040" s="1076" t="s">
        <v>1597</v>
      </c>
      <c r="H1040" s="1209">
        <v>254</v>
      </c>
      <c r="I1040" s="1123" t="s">
        <v>7</v>
      </c>
      <c r="J1040" s="1119">
        <v>6714798</v>
      </c>
      <c r="K1040" s="1119">
        <v>6714798</v>
      </c>
      <c r="L1040" s="1119">
        <v>241500542</v>
      </c>
      <c r="M1040" s="1171">
        <v>41165</v>
      </c>
      <c r="N1040" s="1196">
        <v>6714798</v>
      </c>
      <c r="O1040" s="1196">
        <v>6714798</v>
      </c>
      <c r="P1040" s="1196">
        <v>0</v>
      </c>
      <c r="Q1040" s="1084">
        <v>6709515.21</v>
      </c>
      <c r="R1040" s="1119">
        <v>241352608</v>
      </c>
      <c r="S1040" s="1076" t="s">
        <v>1271</v>
      </c>
      <c r="T1040" s="840" t="s">
        <v>1596</v>
      </c>
      <c r="U1040" s="866">
        <v>2683806.08</v>
      </c>
      <c r="V1040" s="855">
        <v>41464</v>
      </c>
      <c r="W1040" s="842" t="s">
        <v>7</v>
      </c>
      <c r="X1040" s="1084">
        <v>6707382.0800000001</v>
      </c>
      <c r="Y1040" s="1084">
        <v>241343771.99999997</v>
      </c>
      <c r="Z1040" s="827">
        <v>4.0000001899898052E-3</v>
      </c>
      <c r="AA1040" s="1084">
        <v>7415.9199999999255</v>
      </c>
      <c r="AB1040" s="1119">
        <v>0</v>
      </c>
      <c r="AC1040" s="1119">
        <v>5282.7900000000373</v>
      </c>
      <c r="AD1040" s="1119">
        <v>2133.1299999999628</v>
      </c>
      <c r="AE1040" s="1119">
        <v>7415.92</v>
      </c>
      <c r="AF1040" s="1203" t="s">
        <v>606</v>
      </c>
      <c r="AG1040" s="1204" t="s">
        <v>1615</v>
      </c>
      <c r="AH1040" s="1204" t="s">
        <v>194</v>
      </c>
      <c r="AI1040" s="1204" t="s">
        <v>1619</v>
      </c>
    </row>
    <row r="1041" spans="1:35" ht="15" customHeight="1">
      <c r="A1041" s="1076"/>
      <c r="B1041" s="1076"/>
      <c r="C1041" s="1076"/>
      <c r="D1041" s="1076"/>
      <c r="E1041" s="1076"/>
      <c r="F1041" s="1076"/>
      <c r="G1041" s="1076"/>
      <c r="H1041" s="1209"/>
      <c r="I1041" s="1123"/>
      <c r="J1041" s="1119"/>
      <c r="K1041" s="1119"/>
      <c r="L1041" s="1119"/>
      <c r="M1041" s="1171"/>
      <c r="N1041" s="1196"/>
      <c r="O1041" s="1196"/>
      <c r="P1041" s="1196"/>
      <c r="Q1041" s="1084"/>
      <c r="R1041" s="1119"/>
      <c r="S1041" s="1076"/>
      <c r="T1041" s="840" t="s">
        <v>1598</v>
      </c>
      <c r="U1041" s="866">
        <v>3017682</v>
      </c>
      <c r="V1041" s="855">
        <v>41626</v>
      </c>
      <c r="W1041" s="842" t="s">
        <v>7</v>
      </c>
      <c r="X1041" s="1084"/>
      <c r="Y1041" s="1084"/>
      <c r="Z1041" s="827">
        <v>0</v>
      </c>
      <c r="AA1041" s="1084"/>
      <c r="AB1041" s="1119"/>
      <c r="AC1041" s="1119"/>
      <c r="AD1041" s="1119"/>
      <c r="AE1041" s="1119"/>
      <c r="AF1041" s="1203"/>
      <c r="AG1041" s="1204"/>
      <c r="AH1041" s="1204"/>
      <c r="AI1041" s="1204"/>
    </row>
    <row r="1042" spans="1:35" ht="15" customHeight="1">
      <c r="A1042" s="1076"/>
      <c r="B1042" s="1076"/>
      <c r="C1042" s="1076"/>
      <c r="D1042" s="1076"/>
      <c r="E1042" s="1076"/>
      <c r="F1042" s="1076"/>
      <c r="G1042" s="1076"/>
      <c r="H1042" s="1209"/>
      <c r="I1042" s="1123"/>
      <c r="J1042" s="1119"/>
      <c r="K1042" s="1119"/>
      <c r="L1042" s="1119"/>
      <c r="M1042" s="1171"/>
      <c r="N1042" s="1196"/>
      <c r="O1042" s="1196"/>
      <c r="P1042" s="1196"/>
      <c r="Q1042" s="1084"/>
      <c r="R1042" s="1119"/>
      <c r="S1042" s="1076"/>
      <c r="T1042" s="840" t="s">
        <v>1607</v>
      </c>
      <c r="U1042" s="866">
        <v>1005894</v>
      </c>
      <c r="V1042" s="855">
        <v>42088</v>
      </c>
      <c r="W1042" s="842" t="s">
        <v>7</v>
      </c>
      <c r="X1042" s="1084"/>
      <c r="Y1042" s="1084"/>
      <c r="Z1042" s="827">
        <v>0</v>
      </c>
      <c r="AA1042" s="1084"/>
      <c r="AB1042" s="1119"/>
      <c r="AC1042" s="1119"/>
      <c r="AD1042" s="1119"/>
      <c r="AE1042" s="1119"/>
      <c r="AF1042" s="1203"/>
      <c r="AG1042" s="1204"/>
      <c r="AH1042" s="1204"/>
      <c r="AI1042" s="1204"/>
    </row>
    <row r="1043" spans="1:35" ht="15" customHeight="1">
      <c r="A1043" s="1076"/>
      <c r="B1043" s="1076"/>
      <c r="C1043" s="1076"/>
      <c r="D1043" s="1076"/>
      <c r="E1043" s="1076"/>
      <c r="F1043" s="1076"/>
      <c r="G1043" s="1076"/>
      <c r="H1043" s="1209">
        <v>232</v>
      </c>
      <c r="I1043" s="1123" t="s">
        <v>7</v>
      </c>
      <c r="J1043" s="1119">
        <v>31988162</v>
      </c>
      <c r="K1043" s="1119">
        <v>31988162</v>
      </c>
      <c r="L1043" s="1119"/>
      <c r="M1043" s="1171">
        <v>40899</v>
      </c>
      <c r="N1043" s="1196">
        <v>31988162</v>
      </c>
      <c r="O1043" s="1196">
        <v>31988162</v>
      </c>
      <c r="P1043" s="1196">
        <v>0</v>
      </c>
      <c r="Q1043" s="1084">
        <v>31962995.670000002</v>
      </c>
      <c r="R1043" s="1119"/>
      <c r="S1043" s="1076"/>
      <c r="T1043" s="840" t="s">
        <v>1596</v>
      </c>
      <c r="U1043" s="866">
        <v>12785198.27</v>
      </c>
      <c r="V1043" s="855">
        <v>41464</v>
      </c>
      <c r="W1043" s="842" t="s">
        <v>7</v>
      </c>
      <c r="X1043" s="1084">
        <v>31962995.27</v>
      </c>
      <c r="Y1043" s="1084"/>
      <c r="Z1043" s="827">
        <v>-1.999998465180397E-3</v>
      </c>
      <c r="AA1043" s="1084">
        <v>25166.730000000447</v>
      </c>
      <c r="AB1043" s="1119"/>
      <c r="AC1043" s="1119">
        <v>25166.329999998212</v>
      </c>
      <c r="AD1043" s="1119">
        <v>0</v>
      </c>
      <c r="AE1043" s="1119">
        <v>25166.329999998212</v>
      </c>
      <c r="AF1043" s="1203"/>
      <c r="AG1043" s="1204"/>
      <c r="AH1043" s="1204"/>
      <c r="AI1043" s="1204"/>
    </row>
    <row r="1044" spans="1:35" ht="15" customHeight="1">
      <c r="A1044" s="1076"/>
      <c r="B1044" s="1076"/>
      <c r="C1044" s="1076"/>
      <c r="D1044" s="1076"/>
      <c r="E1044" s="1076"/>
      <c r="F1044" s="1076"/>
      <c r="G1044" s="1076"/>
      <c r="H1044" s="1209"/>
      <c r="I1044" s="1123"/>
      <c r="J1044" s="1119"/>
      <c r="K1044" s="1119"/>
      <c r="L1044" s="1119"/>
      <c r="M1044" s="1171"/>
      <c r="N1044" s="1196"/>
      <c r="O1044" s="1196"/>
      <c r="P1044" s="1196"/>
      <c r="Q1044" s="1084"/>
      <c r="R1044" s="1119"/>
      <c r="S1044" s="1076"/>
      <c r="T1044" s="840" t="s">
        <v>1599</v>
      </c>
      <c r="U1044" s="866">
        <v>4412926</v>
      </c>
      <c r="V1044" s="855">
        <v>41626</v>
      </c>
      <c r="W1044" s="842" t="s">
        <v>7</v>
      </c>
      <c r="X1044" s="1084"/>
      <c r="Y1044" s="1084"/>
      <c r="Z1044" s="827">
        <v>0</v>
      </c>
      <c r="AA1044" s="1084"/>
      <c r="AB1044" s="1119"/>
      <c r="AC1044" s="1119"/>
      <c r="AD1044" s="1119"/>
      <c r="AE1044" s="1119"/>
      <c r="AF1044" s="1203"/>
      <c r="AG1044" s="1204"/>
      <c r="AH1044" s="1204"/>
      <c r="AI1044" s="1204"/>
    </row>
    <row r="1045" spans="1:35" ht="15" customHeight="1">
      <c r="A1045" s="1076"/>
      <c r="B1045" s="1076"/>
      <c r="C1045" s="1076"/>
      <c r="D1045" s="1076"/>
      <c r="E1045" s="1076"/>
      <c r="F1045" s="1076"/>
      <c r="G1045" s="1076"/>
      <c r="H1045" s="1209"/>
      <c r="I1045" s="1123"/>
      <c r="J1045" s="1119"/>
      <c r="K1045" s="1119"/>
      <c r="L1045" s="1119"/>
      <c r="M1045" s="1171"/>
      <c r="N1045" s="1196"/>
      <c r="O1045" s="1196"/>
      <c r="P1045" s="1196"/>
      <c r="Q1045" s="1084"/>
      <c r="R1045" s="1119"/>
      <c r="S1045" s="1076"/>
      <c r="T1045" s="840" t="s">
        <v>1601</v>
      </c>
      <c r="U1045" s="866">
        <v>5180390</v>
      </c>
      <c r="V1045" s="855">
        <v>41849</v>
      </c>
      <c r="W1045" s="842" t="s">
        <v>7</v>
      </c>
      <c r="X1045" s="1084"/>
      <c r="Y1045" s="1084"/>
      <c r="Z1045" s="827">
        <v>0</v>
      </c>
      <c r="AA1045" s="1084"/>
      <c r="AB1045" s="1119"/>
      <c r="AC1045" s="1119"/>
      <c r="AD1045" s="1119"/>
      <c r="AE1045" s="1119"/>
      <c r="AF1045" s="1203"/>
      <c r="AG1045" s="1204"/>
      <c r="AH1045" s="1204"/>
      <c r="AI1045" s="1204"/>
    </row>
    <row r="1046" spans="1:35" ht="15" customHeight="1">
      <c r="A1046" s="1076"/>
      <c r="B1046" s="1076"/>
      <c r="C1046" s="1076"/>
      <c r="D1046" s="1076"/>
      <c r="E1046" s="1076"/>
      <c r="F1046" s="1076"/>
      <c r="G1046" s="1076"/>
      <c r="H1046" s="1209"/>
      <c r="I1046" s="1123"/>
      <c r="J1046" s="1119"/>
      <c r="K1046" s="1119"/>
      <c r="L1046" s="1119"/>
      <c r="M1046" s="1171"/>
      <c r="N1046" s="1196"/>
      <c r="O1046" s="1196"/>
      <c r="P1046" s="1196"/>
      <c r="Q1046" s="1084"/>
      <c r="R1046" s="1119"/>
      <c r="S1046" s="1076"/>
      <c r="T1046" s="840" t="s">
        <v>1605</v>
      </c>
      <c r="U1046" s="866">
        <v>7674653</v>
      </c>
      <c r="V1046" s="855">
        <v>42088</v>
      </c>
      <c r="W1046" s="842" t="s">
        <v>7</v>
      </c>
      <c r="X1046" s="1084"/>
      <c r="Y1046" s="1084"/>
      <c r="Z1046" s="827">
        <v>0</v>
      </c>
      <c r="AA1046" s="1084"/>
      <c r="AB1046" s="1119"/>
      <c r="AC1046" s="1119"/>
      <c r="AD1046" s="1119"/>
      <c r="AE1046" s="1119"/>
      <c r="AF1046" s="1203"/>
      <c r="AG1046" s="1204"/>
      <c r="AH1046" s="1204"/>
      <c r="AI1046" s="1204"/>
    </row>
    <row r="1047" spans="1:35" ht="15" customHeight="1">
      <c r="A1047" s="1076"/>
      <c r="B1047" s="1076"/>
      <c r="C1047" s="1076"/>
      <c r="D1047" s="1076"/>
      <c r="E1047" s="1076"/>
      <c r="F1047" s="1076"/>
      <c r="G1047" s="1076"/>
      <c r="H1047" s="1209"/>
      <c r="I1047" s="1123"/>
      <c r="J1047" s="1119"/>
      <c r="K1047" s="1119"/>
      <c r="L1047" s="1119"/>
      <c r="M1047" s="1171"/>
      <c r="N1047" s="1196"/>
      <c r="O1047" s="1196"/>
      <c r="P1047" s="1196"/>
      <c r="Q1047" s="1084"/>
      <c r="R1047" s="1119"/>
      <c r="S1047" s="1076"/>
      <c r="T1047" s="840" t="s">
        <v>1613</v>
      </c>
      <c r="U1047" s="866">
        <v>1909828</v>
      </c>
      <c r="V1047" s="855">
        <v>42922</v>
      </c>
      <c r="W1047" s="842" t="s">
        <v>7</v>
      </c>
      <c r="X1047" s="1084"/>
      <c r="Y1047" s="1084"/>
      <c r="Z1047" s="827">
        <v>0</v>
      </c>
      <c r="AA1047" s="1084"/>
      <c r="AB1047" s="1119"/>
      <c r="AC1047" s="1119"/>
      <c r="AD1047" s="1119"/>
      <c r="AE1047" s="1119"/>
      <c r="AF1047" s="1203"/>
      <c r="AG1047" s="1204"/>
      <c r="AH1047" s="1204"/>
      <c r="AI1047" s="1204"/>
    </row>
    <row r="1048" spans="1:35" ht="15" customHeight="1">
      <c r="A1048" s="1076"/>
      <c r="B1048" s="1076"/>
      <c r="C1048" s="1076"/>
      <c r="D1048" s="1076"/>
      <c r="E1048" s="1076"/>
      <c r="F1048" s="1076"/>
      <c r="G1048" s="1076"/>
      <c r="H1048" s="1209">
        <v>260</v>
      </c>
      <c r="I1048" s="1123" t="s">
        <v>7</v>
      </c>
      <c r="J1048" s="1119">
        <v>11458298</v>
      </c>
      <c r="K1048" s="1119">
        <v>11458298</v>
      </c>
      <c r="L1048" s="1119"/>
      <c r="M1048" s="1171">
        <v>41214</v>
      </c>
      <c r="N1048" s="1196">
        <v>11458298</v>
      </c>
      <c r="O1048" s="1196">
        <v>11458298</v>
      </c>
      <c r="P1048" s="1196">
        <v>0</v>
      </c>
      <c r="Q1048" s="1084">
        <v>11449283.310000001</v>
      </c>
      <c r="R1048" s="1119"/>
      <c r="S1048" s="1076"/>
      <c r="T1048" s="840" t="s">
        <v>1596</v>
      </c>
      <c r="U1048" s="866">
        <v>4579713.32</v>
      </c>
      <c r="V1048" s="855">
        <v>41464</v>
      </c>
      <c r="W1048" s="842" t="s">
        <v>7</v>
      </c>
      <c r="X1048" s="1084">
        <v>11442581.84</v>
      </c>
      <c r="Y1048" s="1084"/>
      <c r="Z1048" s="827">
        <v>3.9999997243285179E-3</v>
      </c>
      <c r="AA1048" s="1084">
        <v>15716.160000000149</v>
      </c>
      <c r="AB1048" s="1119"/>
      <c r="AC1048" s="1119">
        <v>9014.6899999994785</v>
      </c>
      <c r="AD1048" s="1119">
        <v>6701.4700000014927</v>
      </c>
      <c r="AE1048" s="1119">
        <v>15716.160000000971</v>
      </c>
      <c r="AF1048" s="1203"/>
      <c r="AG1048" s="1204"/>
      <c r="AH1048" s="1204"/>
      <c r="AI1048" s="1204"/>
    </row>
    <row r="1049" spans="1:35" ht="15" customHeight="1">
      <c r="A1049" s="1076"/>
      <c r="B1049" s="1076"/>
      <c r="C1049" s="1076"/>
      <c r="D1049" s="1076"/>
      <c r="E1049" s="1076"/>
      <c r="F1049" s="1076"/>
      <c r="G1049" s="1076"/>
      <c r="H1049" s="1209"/>
      <c r="I1049" s="1123"/>
      <c r="J1049" s="1119"/>
      <c r="K1049" s="1119"/>
      <c r="L1049" s="1119"/>
      <c r="M1049" s="1171"/>
      <c r="N1049" s="1196"/>
      <c r="O1049" s="1196"/>
      <c r="P1049" s="1196"/>
      <c r="Q1049" s="1084"/>
      <c r="R1049" s="1119"/>
      <c r="S1049" s="1076"/>
      <c r="T1049" s="840" t="s">
        <v>1603</v>
      </c>
      <c r="U1049" s="866">
        <v>1922588</v>
      </c>
      <c r="V1049" s="855">
        <v>41849</v>
      </c>
      <c r="W1049" s="842" t="s">
        <v>7</v>
      </c>
      <c r="X1049" s="1084"/>
      <c r="Y1049" s="1084"/>
      <c r="Z1049" s="827">
        <v>0</v>
      </c>
      <c r="AA1049" s="1084"/>
      <c r="AB1049" s="1119"/>
      <c r="AC1049" s="1119"/>
      <c r="AD1049" s="1119"/>
      <c r="AE1049" s="1119"/>
      <c r="AF1049" s="1203"/>
      <c r="AG1049" s="1204"/>
      <c r="AH1049" s="1204"/>
      <c r="AI1049" s="1204"/>
    </row>
    <row r="1050" spans="1:35" ht="15" customHeight="1">
      <c r="A1050" s="1076"/>
      <c r="B1050" s="1076"/>
      <c r="C1050" s="1076"/>
      <c r="D1050" s="1076"/>
      <c r="E1050" s="1076"/>
      <c r="F1050" s="1076"/>
      <c r="G1050" s="1076"/>
      <c r="H1050" s="1209"/>
      <c r="I1050" s="1123"/>
      <c r="J1050" s="1119"/>
      <c r="K1050" s="1119"/>
      <c r="L1050" s="1119"/>
      <c r="M1050" s="1171"/>
      <c r="N1050" s="1196"/>
      <c r="O1050" s="1196"/>
      <c r="P1050" s="1196"/>
      <c r="Q1050" s="1084"/>
      <c r="R1050" s="1119"/>
      <c r="S1050" s="1076"/>
      <c r="T1050" s="840" t="s">
        <v>1606</v>
      </c>
      <c r="U1050" s="866">
        <v>1477717.57</v>
      </c>
      <c r="V1050" s="855">
        <v>42088</v>
      </c>
      <c r="W1050" s="842" t="s">
        <v>7</v>
      </c>
      <c r="X1050" s="1084"/>
      <c r="Y1050" s="1084"/>
      <c r="Z1050" s="827">
        <v>0</v>
      </c>
      <c r="AA1050" s="1084"/>
      <c r="AB1050" s="1119"/>
      <c r="AC1050" s="1119"/>
      <c r="AD1050" s="1119"/>
      <c r="AE1050" s="1119"/>
      <c r="AF1050" s="1203"/>
      <c r="AG1050" s="1204"/>
      <c r="AH1050" s="1204"/>
      <c r="AI1050" s="1204"/>
    </row>
    <row r="1051" spans="1:35" ht="15" customHeight="1">
      <c r="A1051" s="1076"/>
      <c r="B1051" s="1076"/>
      <c r="C1051" s="1076"/>
      <c r="D1051" s="1076"/>
      <c r="E1051" s="1076"/>
      <c r="F1051" s="1076"/>
      <c r="G1051" s="1076"/>
      <c r="H1051" s="1209"/>
      <c r="I1051" s="1123"/>
      <c r="J1051" s="1119"/>
      <c r="K1051" s="1119"/>
      <c r="L1051" s="1119"/>
      <c r="M1051" s="1171"/>
      <c r="N1051" s="1196"/>
      <c r="O1051" s="1196"/>
      <c r="P1051" s="1196"/>
      <c r="Q1051" s="1084"/>
      <c r="R1051" s="1119"/>
      <c r="S1051" s="1076"/>
      <c r="T1051" s="840" t="s">
        <v>1609</v>
      </c>
      <c r="U1051" s="866">
        <v>3462562.95</v>
      </c>
      <c r="V1051" s="855">
        <v>42473</v>
      </c>
      <c r="W1051" s="842" t="s">
        <v>7</v>
      </c>
      <c r="X1051" s="1084"/>
      <c r="Y1051" s="1084"/>
      <c r="Z1051" s="827">
        <v>0</v>
      </c>
      <c r="AA1051" s="1084"/>
      <c r="AB1051" s="1119"/>
      <c r="AC1051" s="1119"/>
      <c r="AD1051" s="1119"/>
      <c r="AE1051" s="1119"/>
      <c r="AF1051" s="1203"/>
      <c r="AG1051" s="1204"/>
      <c r="AH1051" s="1204"/>
      <c r="AI1051" s="1204"/>
    </row>
    <row r="1052" spans="1:35" ht="15" customHeight="1">
      <c r="A1052" s="1076"/>
      <c r="B1052" s="1076"/>
      <c r="C1052" s="1076"/>
      <c r="D1052" s="1076"/>
      <c r="E1052" s="1076"/>
      <c r="F1052" s="1076"/>
      <c r="G1052" s="1076"/>
      <c r="H1052" s="1209">
        <v>5</v>
      </c>
      <c r="I1052" s="1123" t="s">
        <v>152</v>
      </c>
      <c r="J1052" s="1119">
        <v>133373960</v>
      </c>
      <c r="K1052" s="1119">
        <v>133373960</v>
      </c>
      <c r="L1052" s="1119"/>
      <c r="M1052" s="1171">
        <v>41080</v>
      </c>
      <c r="N1052" s="1196">
        <v>133373960</v>
      </c>
      <c r="O1052" s="1196">
        <v>133373960</v>
      </c>
      <c r="P1052" s="1196">
        <v>0</v>
      </c>
      <c r="Q1052" s="1084">
        <v>133269029.52</v>
      </c>
      <c r="R1052" s="1119"/>
      <c r="S1052" s="1076"/>
      <c r="T1052" s="840" t="s">
        <v>1596</v>
      </c>
      <c r="U1052" s="866">
        <v>53307611.810000002</v>
      </c>
      <c r="V1052" s="855">
        <v>41464</v>
      </c>
      <c r="W1052" s="842" t="s">
        <v>152</v>
      </c>
      <c r="X1052" s="1084">
        <v>133269029.52</v>
      </c>
      <c r="Y1052" s="1084"/>
      <c r="Z1052" s="827">
        <v>-2.0000040531158447E-3</v>
      </c>
      <c r="AA1052" s="1084">
        <v>104930.48000000417</v>
      </c>
      <c r="AB1052" s="1119"/>
      <c r="AC1052" s="1119">
        <v>104930.48000000417</v>
      </c>
      <c r="AD1052" s="1119">
        <v>0</v>
      </c>
      <c r="AE1052" s="1119">
        <v>104930.48000000417</v>
      </c>
      <c r="AF1052" s="1203"/>
      <c r="AG1052" s="1204"/>
      <c r="AH1052" s="1204"/>
      <c r="AI1052" s="1204"/>
    </row>
    <row r="1053" spans="1:35" ht="15" customHeight="1">
      <c r="A1053" s="1076"/>
      <c r="B1053" s="1076"/>
      <c r="C1053" s="1076"/>
      <c r="D1053" s="1076"/>
      <c r="E1053" s="1076"/>
      <c r="F1053" s="1076"/>
      <c r="G1053" s="1076"/>
      <c r="H1053" s="1209"/>
      <c r="I1053" s="1123"/>
      <c r="J1053" s="1119"/>
      <c r="K1053" s="1119"/>
      <c r="L1053" s="1119"/>
      <c r="M1053" s="1171"/>
      <c r="N1053" s="1196"/>
      <c r="O1053" s="1196"/>
      <c r="P1053" s="1196"/>
      <c r="Q1053" s="1084"/>
      <c r="R1053" s="1119"/>
      <c r="S1053" s="1076"/>
      <c r="T1053" s="840" t="s">
        <v>1600</v>
      </c>
      <c r="U1053" s="866">
        <v>38392474</v>
      </c>
      <c r="V1053" s="855">
        <v>41627</v>
      </c>
      <c r="W1053" s="842" t="s">
        <v>152</v>
      </c>
      <c r="X1053" s="1084"/>
      <c r="Y1053" s="1084"/>
      <c r="Z1053" s="827">
        <v>0</v>
      </c>
      <c r="AA1053" s="1084"/>
      <c r="AB1053" s="1119"/>
      <c r="AC1053" s="1119"/>
      <c r="AD1053" s="1119"/>
      <c r="AE1053" s="1119"/>
      <c r="AF1053" s="1203"/>
      <c r="AG1053" s="1204"/>
      <c r="AH1053" s="1204"/>
      <c r="AI1053" s="1204"/>
    </row>
    <row r="1054" spans="1:35" ht="15" customHeight="1">
      <c r="A1054" s="1076"/>
      <c r="B1054" s="1076"/>
      <c r="C1054" s="1076"/>
      <c r="D1054" s="1076"/>
      <c r="E1054" s="1076"/>
      <c r="F1054" s="1076"/>
      <c r="G1054" s="1076"/>
      <c r="H1054" s="1209"/>
      <c r="I1054" s="1123"/>
      <c r="J1054" s="1119"/>
      <c r="K1054" s="1119"/>
      <c r="L1054" s="1119"/>
      <c r="M1054" s="1171"/>
      <c r="N1054" s="1196"/>
      <c r="O1054" s="1196"/>
      <c r="P1054" s="1196"/>
      <c r="Q1054" s="1084"/>
      <c r="R1054" s="1119"/>
      <c r="S1054" s="1076"/>
      <c r="T1054" s="840" t="s">
        <v>1602</v>
      </c>
      <c r="U1054" s="866">
        <v>19996080</v>
      </c>
      <c r="V1054" s="855">
        <v>41849</v>
      </c>
      <c r="W1054" s="842" t="s">
        <v>152</v>
      </c>
      <c r="X1054" s="1084"/>
      <c r="Y1054" s="1084"/>
      <c r="Z1054" s="827">
        <v>0</v>
      </c>
      <c r="AA1054" s="1084"/>
      <c r="AB1054" s="1119"/>
      <c r="AC1054" s="1119"/>
      <c r="AD1054" s="1119"/>
      <c r="AE1054" s="1119"/>
      <c r="AF1054" s="1203"/>
      <c r="AG1054" s="1204"/>
      <c r="AH1054" s="1204"/>
      <c r="AI1054" s="1204"/>
    </row>
    <row r="1055" spans="1:35" ht="15" customHeight="1">
      <c r="A1055" s="1076"/>
      <c r="B1055" s="1076"/>
      <c r="C1055" s="1076"/>
      <c r="D1055" s="1076"/>
      <c r="E1055" s="1076"/>
      <c r="F1055" s="1076"/>
      <c r="G1055" s="1076"/>
      <c r="H1055" s="1209"/>
      <c r="I1055" s="1123"/>
      <c r="J1055" s="1119"/>
      <c r="K1055" s="1119"/>
      <c r="L1055" s="1119"/>
      <c r="M1055" s="1171"/>
      <c r="N1055" s="1196"/>
      <c r="O1055" s="1196"/>
      <c r="P1055" s="1196"/>
      <c r="Q1055" s="1084"/>
      <c r="R1055" s="1119"/>
      <c r="S1055" s="1076"/>
      <c r="T1055" s="840" t="s">
        <v>1604</v>
      </c>
      <c r="U1055" s="866">
        <v>13597334</v>
      </c>
      <c r="V1055" s="855">
        <v>42088</v>
      </c>
      <c r="W1055" s="842" t="s">
        <v>152</v>
      </c>
      <c r="X1055" s="1084"/>
      <c r="Y1055" s="1084"/>
      <c r="Z1055" s="827">
        <v>0</v>
      </c>
      <c r="AA1055" s="1084"/>
      <c r="AB1055" s="1119"/>
      <c r="AC1055" s="1119"/>
      <c r="AD1055" s="1119"/>
      <c r="AE1055" s="1119"/>
      <c r="AF1055" s="1203"/>
      <c r="AG1055" s="1204"/>
      <c r="AH1055" s="1204"/>
      <c r="AI1055" s="1204"/>
    </row>
    <row r="1056" spans="1:35" ht="15" customHeight="1">
      <c r="A1056" s="1076"/>
      <c r="B1056" s="1076"/>
      <c r="C1056" s="1076"/>
      <c r="D1056" s="1076"/>
      <c r="E1056" s="1076"/>
      <c r="F1056" s="1076"/>
      <c r="G1056" s="1076"/>
      <c r="H1056" s="1209"/>
      <c r="I1056" s="1123"/>
      <c r="J1056" s="1119"/>
      <c r="K1056" s="1119"/>
      <c r="L1056" s="1119"/>
      <c r="M1056" s="1171"/>
      <c r="N1056" s="1196"/>
      <c r="O1056" s="1196"/>
      <c r="P1056" s="1196"/>
      <c r="Q1056" s="1084"/>
      <c r="R1056" s="1119"/>
      <c r="S1056" s="1076"/>
      <c r="T1056" s="840" t="s">
        <v>1610</v>
      </c>
      <c r="U1056" s="866">
        <v>7975529.71</v>
      </c>
      <c r="V1056" s="855">
        <v>42473</v>
      </c>
      <c r="W1056" s="842" t="s">
        <v>152</v>
      </c>
      <c r="X1056" s="1084"/>
      <c r="Y1056" s="1084"/>
      <c r="Z1056" s="827">
        <v>0</v>
      </c>
      <c r="AA1056" s="1084"/>
      <c r="AB1056" s="1119"/>
      <c r="AC1056" s="1119"/>
      <c r="AD1056" s="1119"/>
      <c r="AE1056" s="1119"/>
      <c r="AF1056" s="1203"/>
      <c r="AG1056" s="1204"/>
      <c r="AH1056" s="1204"/>
      <c r="AI1056" s="1204"/>
    </row>
    <row r="1057" spans="1:35" ht="15" customHeight="1">
      <c r="A1057" s="1076"/>
      <c r="B1057" s="1076"/>
      <c r="C1057" s="1076"/>
      <c r="D1057" s="1076"/>
      <c r="E1057" s="1076"/>
      <c r="F1057" s="1076"/>
      <c r="G1057" s="1076"/>
      <c r="H1057" s="1209">
        <v>258</v>
      </c>
      <c r="I1057" s="1123" t="s">
        <v>7</v>
      </c>
      <c r="J1057" s="1119">
        <v>4499221</v>
      </c>
      <c r="K1057" s="1119">
        <v>4499221</v>
      </c>
      <c r="L1057" s="1119"/>
      <c r="M1057" s="1171">
        <v>41212</v>
      </c>
      <c r="N1057" s="1196">
        <v>4499221</v>
      </c>
      <c r="O1057" s="1196">
        <v>4499221</v>
      </c>
      <c r="P1057" s="1196">
        <v>0</v>
      </c>
      <c r="Q1057" s="1084">
        <v>4495681.29</v>
      </c>
      <c r="R1057" s="1119"/>
      <c r="S1057" s="1076"/>
      <c r="T1057" s="840" t="s">
        <v>1596</v>
      </c>
      <c r="U1057" s="866">
        <v>1798272.52</v>
      </c>
      <c r="V1057" s="855">
        <v>41464</v>
      </c>
      <c r="W1057" s="842" t="s">
        <v>7</v>
      </c>
      <c r="X1057" s="1084">
        <v>4495681.29</v>
      </c>
      <c r="Y1057" s="1084"/>
      <c r="Z1057" s="827">
        <v>-3.9999999571591616E-3</v>
      </c>
      <c r="AA1057" s="1084">
        <v>3539.7099999999627</v>
      </c>
      <c r="AB1057" s="1119"/>
      <c r="AC1057" s="1119">
        <v>3539.7099999999627</v>
      </c>
      <c r="AD1057" s="1119">
        <v>0</v>
      </c>
      <c r="AE1057" s="1119">
        <v>3539.7099999999627</v>
      </c>
      <c r="AF1057" s="1203"/>
      <c r="AG1057" s="1204"/>
      <c r="AH1057" s="1204"/>
      <c r="AI1057" s="1204"/>
    </row>
    <row r="1058" spans="1:35" ht="15" customHeight="1">
      <c r="A1058" s="1076"/>
      <c r="B1058" s="1076"/>
      <c r="C1058" s="1076"/>
      <c r="D1058" s="1076"/>
      <c r="E1058" s="1076"/>
      <c r="F1058" s="1076"/>
      <c r="G1058" s="1076"/>
      <c r="H1058" s="1209"/>
      <c r="I1058" s="1123"/>
      <c r="J1058" s="1119"/>
      <c r="K1058" s="1119"/>
      <c r="L1058" s="1119"/>
      <c r="M1058" s="1171"/>
      <c r="N1058" s="1196"/>
      <c r="O1058" s="1196"/>
      <c r="P1058" s="1196"/>
      <c r="Q1058" s="1084"/>
      <c r="R1058" s="1119"/>
      <c r="S1058" s="1076"/>
      <c r="T1058" s="840" t="s">
        <v>1603</v>
      </c>
      <c r="U1058" s="866">
        <v>754924</v>
      </c>
      <c r="V1058" s="855">
        <v>41849</v>
      </c>
      <c r="W1058" s="842" t="s">
        <v>7</v>
      </c>
      <c r="X1058" s="1084"/>
      <c r="Y1058" s="1084"/>
      <c r="Z1058" s="827">
        <v>0</v>
      </c>
      <c r="AA1058" s="1084"/>
      <c r="AB1058" s="1119"/>
      <c r="AC1058" s="1119"/>
      <c r="AD1058" s="1119"/>
      <c r="AE1058" s="1119"/>
      <c r="AF1058" s="1203"/>
      <c r="AG1058" s="1204"/>
      <c r="AH1058" s="1204"/>
      <c r="AI1058" s="1204"/>
    </row>
    <row r="1059" spans="1:35" ht="15" customHeight="1">
      <c r="A1059" s="1076"/>
      <c r="B1059" s="1076"/>
      <c r="C1059" s="1076"/>
      <c r="D1059" s="1076"/>
      <c r="E1059" s="1076"/>
      <c r="F1059" s="1076"/>
      <c r="G1059" s="1076"/>
      <c r="H1059" s="1209"/>
      <c r="I1059" s="1123"/>
      <c r="J1059" s="1119"/>
      <c r="K1059" s="1119"/>
      <c r="L1059" s="1119"/>
      <c r="M1059" s="1171"/>
      <c r="N1059" s="1196"/>
      <c r="O1059" s="1196"/>
      <c r="P1059" s="1196"/>
      <c r="Q1059" s="1084"/>
      <c r="R1059" s="1119"/>
      <c r="S1059" s="1076"/>
      <c r="T1059" s="840" t="s">
        <v>1606</v>
      </c>
      <c r="U1059" s="866">
        <v>580241.43000000005</v>
      </c>
      <c r="V1059" s="855">
        <v>42088</v>
      </c>
      <c r="W1059" s="842" t="s">
        <v>7</v>
      </c>
      <c r="X1059" s="1084"/>
      <c r="Y1059" s="1084"/>
      <c r="Z1059" s="827">
        <v>0</v>
      </c>
      <c r="AA1059" s="1084"/>
      <c r="AB1059" s="1119"/>
      <c r="AC1059" s="1119"/>
      <c r="AD1059" s="1119"/>
      <c r="AE1059" s="1119"/>
      <c r="AF1059" s="1203"/>
      <c r="AG1059" s="1204"/>
      <c r="AH1059" s="1204"/>
      <c r="AI1059" s="1204"/>
    </row>
    <row r="1060" spans="1:35" ht="15" customHeight="1">
      <c r="A1060" s="1076"/>
      <c r="B1060" s="1076"/>
      <c r="C1060" s="1076"/>
      <c r="D1060" s="1076"/>
      <c r="E1060" s="1076"/>
      <c r="F1060" s="1076"/>
      <c r="G1060" s="1076"/>
      <c r="H1060" s="1209"/>
      <c r="I1060" s="1123"/>
      <c r="J1060" s="1119"/>
      <c r="K1060" s="1119"/>
      <c r="L1060" s="1119"/>
      <c r="M1060" s="1171"/>
      <c r="N1060" s="1196"/>
      <c r="O1060" s="1196"/>
      <c r="P1060" s="1196"/>
      <c r="Q1060" s="1084"/>
      <c r="R1060" s="1119"/>
      <c r="S1060" s="1076"/>
      <c r="T1060" s="840" t="s">
        <v>1609</v>
      </c>
      <c r="U1060" s="866">
        <v>1362243.34</v>
      </c>
      <c r="V1060" s="855">
        <v>42473</v>
      </c>
      <c r="W1060" s="842" t="s">
        <v>7</v>
      </c>
      <c r="X1060" s="1084"/>
      <c r="Y1060" s="1084"/>
      <c r="Z1060" s="827">
        <v>0</v>
      </c>
      <c r="AA1060" s="1084"/>
      <c r="AB1060" s="1119"/>
      <c r="AC1060" s="1119"/>
      <c r="AD1060" s="1119"/>
      <c r="AE1060" s="1119"/>
      <c r="AF1060" s="1203"/>
      <c r="AG1060" s="1204"/>
      <c r="AH1060" s="1204"/>
      <c r="AI1060" s="1204"/>
    </row>
    <row r="1061" spans="1:35" ht="15" customHeight="1">
      <c r="A1061" s="1076"/>
      <c r="B1061" s="1076"/>
      <c r="C1061" s="1076"/>
      <c r="D1061" s="1076"/>
      <c r="E1061" s="823" t="s">
        <v>67</v>
      </c>
      <c r="F1061" s="1076"/>
      <c r="G1061" s="1076"/>
      <c r="H1061" s="861">
        <v>4</v>
      </c>
      <c r="I1061" s="840" t="s">
        <v>131</v>
      </c>
      <c r="J1061" s="858">
        <v>3069541</v>
      </c>
      <c r="K1061" s="858">
        <v>3069541</v>
      </c>
      <c r="L1061" s="1119"/>
      <c r="M1061" s="855">
        <v>41795</v>
      </c>
      <c r="N1061" s="862">
        <v>3069541</v>
      </c>
      <c r="O1061" s="858">
        <v>3069541</v>
      </c>
      <c r="P1061" s="858">
        <v>0</v>
      </c>
      <c r="Q1061" s="827">
        <v>3069541</v>
      </c>
      <c r="R1061" s="1119"/>
      <c r="S1061" s="1076"/>
      <c r="T1061" s="840" t="s">
        <v>1608</v>
      </c>
      <c r="U1061" s="866">
        <v>3069541</v>
      </c>
      <c r="V1061" s="855">
        <v>42081</v>
      </c>
      <c r="W1061" s="842" t="s">
        <v>131</v>
      </c>
      <c r="X1061" s="827">
        <v>3069541</v>
      </c>
      <c r="Y1061" s="1084"/>
      <c r="Z1061" s="827">
        <v>0</v>
      </c>
      <c r="AA1061" s="827">
        <v>0</v>
      </c>
      <c r="AB1061" s="1119"/>
      <c r="AC1061" s="858">
        <v>0</v>
      </c>
      <c r="AD1061" s="858">
        <v>0</v>
      </c>
      <c r="AE1061" s="858">
        <v>0</v>
      </c>
      <c r="AF1061" s="1203"/>
      <c r="AG1061" s="1204"/>
      <c r="AH1061" s="1204"/>
      <c r="AI1061" s="1204"/>
    </row>
    <row r="1062" spans="1:35" ht="15" customHeight="1">
      <c r="A1062" s="1076"/>
      <c r="B1062" s="1076"/>
      <c r="C1062" s="1076"/>
      <c r="D1062" s="1076"/>
      <c r="E1062" s="1076" t="s">
        <v>171</v>
      </c>
      <c r="F1062" s="1076"/>
      <c r="G1062" s="1076"/>
      <c r="H1062" s="1209">
        <v>311</v>
      </c>
      <c r="I1062" s="1123" t="s">
        <v>137</v>
      </c>
      <c r="J1062" s="1119">
        <v>48926798</v>
      </c>
      <c r="K1062" s="1119">
        <v>48926798</v>
      </c>
      <c r="L1062" s="1119"/>
      <c r="M1062" s="1171">
        <v>41955</v>
      </c>
      <c r="N1062" s="1196">
        <v>48926798</v>
      </c>
      <c r="O1062" s="1119">
        <v>48926798</v>
      </c>
      <c r="P1062" s="1119">
        <v>0</v>
      </c>
      <c r="Q1062" s="1084">
        <v>48926798</v>
      </c>
      <c r="R1062" s="1119"/>
      <c r="S1062" s="1076"/>
      <c r="T1062" s="840" t="s">
        <v>1611</v>
      </c>
      <c r="U1062" s="866">
        <v>12231700</v>
      </c>
      <c r="V1062" s="855">
        <v>42366</v>
      </c>
      <c r="W1062" s="842" t="s">
        <v>137</v>
      </c>
      <c r="X1062" s="1084">
        <v>48926797</v>
      </c>
      <c r="Y1062" s="1084"/>
      <c r="Z1062" s="827">
        <v>0</v>
      </c>
      <c r="AA1062" s="1084">
        <v>1</v>
      </c>
      <c r="AB1062" s="1119"/>
      <c r="AC1062" s="1119">
        <v>0</v>
      </c>
      <c r="AD1062" s="1119">
        <v>1</v>
      </c>
      <c r="AE1062" s="1119">
        <v>1</v>
      </c>
      <c r="AF1062" s="1203"/>
      <c r="AG1062" s="1204"/>
      <c r="AH1062" s="1204"/>
      <c r="AI1062" s="1204"/>
    </row>
    <row r="1063" spans="1:35" ht="15" customHeight="1">
      <c r="A1063" s="1076"/>
      <c r="B1063" s="1076"/>
      <c r="C1063" s="1076"/>
      <c r="D1063" s="1076"/>
      <c r="E1063" s="1076"/>
      <c r="F1063" s="1076"/>
      <c r="G1063" s="1076"/>
      <c r="H1063" s="1209"/>
      <c r="I1063" s="1123"/>
      <c r="J1063" s="1119"/>
      <c r="K1063" s="1119"/>
      <c r="L1063" s="1119"/>
      <c r="M1063" s="1171"/>
      <c r="N1063" s="1196"/>
      <c r="O1063" s="1119"/>
      <c r="P1063" s="1119"/>
      <c r="Q1063" s="1084"/>
      <c r="R1063" s="1119"/>
      <c r="S1063" s="1076"/>
      <c r="T1063" s="840" t="s">
        <v>1614</v>
      </c>
      <c r="U1063" s="866">
        <v>36695097</v>
      </c>
      <c r="V1063" s="855">
        <v>42922</v>
      </c>
      <c r="W1063" s="842" t="s">
        <v>137</v>
      </c>
      <c r="X1063" s="1084"/>
      <c r="Y1063" s="1084"/>
      <c r="Z1063" s="827">
        <v>0</v>
      </c>
      <c r="AA1063" s="1084"/>
      <c r="AB1063" s="1119"/>
      <c r="AC1063" s="1119"/>
      <c r="AD1063" s="1119"/>
      <c r="AE1063" s="1119"/>
      <c r="AF1063" s="1203"/>
      <c r="AG1063" s="1204"/>
      <c r="AH1063" s="1204"/>
      <c r="AI1063" s="1204"/>
    </row>
    <row r="1064" spans="1:35" ht="15" customHeight="1">
      <c r="A1064" s="1076"/>
      <c r="B1064" s="1076"/>
      <c r="C1064" s="1076"/>
      <c r="D1064" s="1076"/>
      <c r="E1064" s="823" t="s">
        <v>172</v>
      </c>
      <c r="F1064" s="1076"/>
      <c r="G1064" s="1076"/>
      <c r="H1064" s="840">
        <v>11</v>
      </c>
      <c r="I1064" s="840" t="s">
        <v>147</v>
      </c>
      <c r="J1064" s="858">
        <v>1469764</v>
      </c>
      <c r="K1064" s="858">
        <v>1469764</v>
      </c>
      <c r="L1064" s="1119"/>
      <c r="M1064" s="855">
        <v>42044</v>
      </c>
      <c r="N1064" s="862">
        <v>1469764</v>
      </c>
      <c r="O1064" s="858">
        <v>1469764</v>
      </c>
      <c r="P1064" s="858">
        <v>0</v>
      </c>
      <c r="Q1064" s="827">
        <v>1469764</v>
      </c>
      <c r="R1064" s="1119"/>
      <c r="S1064" s="1076"/>
      <c r="T1064" s="840" t="s">
        <v>1612</v>
      </c>
      <c r="U1064" s="866">
        <v>1469764</v>
      </c>
      <c r="V1064" s="855">
        <v>42366</v>
      </c>
      <c r="W1064" s="842" t="s">
        <v>147</v>
      </c>
      <c r="X1064" s="827">
        <v>1469764</v>
      </c>
      <c r="Y1064" s="1084"/>
      <c r="Z1064" s="827">
        <v>0</v>
      </c>
      <c r="AA1064" s="827">
        <v>0</v>
      </c>
      <c r="AB1064" s="1119"/>
      <c r="AC1064" s="858">
        <v>0</v>
      </c>
      <c r="AD1064" s="858">
        <v>0</v>
      </c>
      <c r="AE1064" s="858">
        <v>0</v>
      </c>
      <c r="AF1064" s="1203"/>
      <c r="AG1064" s="1204"/>
      <c r="AH1064" s="1204"/>
      <c r="AI1064" s="1204"/>
    </row>
    <row r="1065" spans="1:35" ht="15" customHeight="1">
      <c r="A1065" s="1076" t="s">
        <v>1548</v>
      </c>
      <c r="B1065" s="1076" t="s">
        <v>1549</v>
      </c>
      <c r="C1065" s="1076" t="s">
        <v>71</v>
      </c>
      <c r="D1065" s="1076" t="s">
        <v>1221</v>
      </c>
      <c r="E1065" s="1076" t="s">
        <v>66</v>
      </c>
      <c r="F1065" s="1076" t="s">
        <v>183</v>
      </c>
      <c r="G1065" s="1076" t="s">
        <v>1555</v>
      </c>
      <c r="H1065" s="1245">
        <v>275</v>
      </c>
      <c r="I1065" s="1123" t="s">
        <v>7</v>
      </c>
      <c r="J1065" s="1119">
        <v>120451283</v>
      </c>
      <c r="K1065" s="1119">
        <v>120451283</v>
      </c>
      <c r="L1065" s="1119">
        <v>261987320</v>
      </c>
      <c r="M1065" s="1171">
        <v>41309</v>
      </c>
      <c r="N1065" s="1196">
        <v>120451283</v>
      </c>
      <c r="O1065" s="1196">
        <v>120451283</v>
      </c>
      <c r="P1065" s="1196">
        <v>0</v>
      </c>
      <c r="Q1065" s="1119">
        <v>118828317</v>
      </c>
      <c r="R1065" s="1119">
        <v>259231023</v>
      </c>
      <c r="S1065" s="1076" t="s">
        <v>1550</v>
      </c>
      <c r="T1065" s="840" t="s">
        <v>1551</v>
      </c>
      <c r="U1065" s="866">
        <v>106943202</v>
      </c>
      <c r="V1065" s="855">
        <v>41989</v>
      </c>
      <c r="W1065" s="866" t="s">
        <v>7</v>
      </c>
      <c r="X1065" s="1084">
        <v>118677169</v>
      </c>
      <c r="Y1065" s="1084">
        <v>253137342</v>
      </c>
      <c r="Z1065" s="827">
        <v>0</v>
      </c>
      <c r="AA1065" s="1084">
        <v>1774114</v>
      </c>
      <c r="AB1065" s="1119">
        <v>0</v>
      </c>
      <c r="AC1065" s="1119">
        <v>1622966</v>
      </c>
      <c r="AD1065" s="1119">
        <v>151148</v>
      </c>
      <c r="AE1065" s="1119">
        <v>1774114</v>
      </c>
      <c r="AF1065" s="1204" t="s">
        <v>1553</v>
      </c>
      <c r="AG1065" s="1204" t="s">
        <v>1556</v>
      </c>
      <c r="AH1065" s="1204" t="s">
        <v>194</v>
      </c>
      <c r="AI1065" s="1204" t="s">
        <v>1414</v>
      </c>
    </row>
    <row r="1066" spans="1:35" ht="15" customHeight="1">
      <c r="A1066" s="1076"/>
      <c r="B1066" s="1076"/>
      <c r="C1066" s="1076"/>
      <c r="D1066" s="1076"/>
      <c r="E1066" s="1076"/>
      <c r="F1066" s="1076"/>
      <c r="G1066" s="1076"/>
      <c r="H1066" s="1245"/>
      <c r="I1066" s="1123"/>
      <c r="J1066" s="1119"/>
      <c r="K1066" s="1119"/>
      <c r="L1066" s="1119"/>
      <c r="M1066" s="1171"/>
      <c r="N1066" s="1196"/>
      <c r="O1066" s="1196"/>
      <c r="P1066" s="1196"/>
      <c r="Q1066" s="1119"/>
      <c r="R1066" s="1119"/>
      <c r="S1066" s="1076"/>
      <c r="T1066" s="840" t="s">
        <v>1554</v>
      </c>
      <c r="U1066" s="866">
        <v>11733967</v>
      </c>
      <c r="V1066" s="855">
        <v>42983</v>
      </c>
      <c r="W1066" s="866" t="s">
        <v>7</v>
      </c>
      <c r="X1066" s="1084"/>
      <c r="Y1066" s="1084"/>
      <c r="Z1066" s="827">
        <v>0</v>
      </c>
      <c r="AA1066" s="1084"/>
      <c r="AB1066" s="1119"/>
      <c r="AC1066" s="1119"/>
      <c r="AD1066" s="1119"/>
      <c r="AE1066" s="1119"/>
      <c r="AF1066" s="1204"/>
      <c r="AG1066" s="1204"/>
      <c r="AH1066" s="1204"/>
      <c r="AI1066" s="1204"/>
    </row>
    <row r="1067" spans="1:35" ht="15" customHeight="1">
      <c r="A1067" s="1076"/>
      <c r="B1067" s="1076"/>
      <c r="C1067" s="1076"/>
      <c r="D1067" s="1076"/>
      <c r="E1067" s="1076"/>
      <c r="F1067" s="1076"/>
      <c r="G1067" s="1076"/>
      <c r="H1067" s="1245">
        <v>249</v>
      </c>
      <c r="I1067" s="1123" t="s">
        <v>137</v>
      </c>
      <c r="J1067" s="1119">
        <v>84112150</v>
      </c>
      <c r="K1067" s="1119">
        <v>84112150</v>
      </c>
      <c r="L1067" s="1119"/>
      <c r="M1067" s="1171">
        <v>41165</v>
      </c>
      <c r="N1067" s="1196">
        <v>84112150</v>
      </c>
      <c r="O1067" s="1196">
        <v>84112150</v>
      </c>
      <c r="P1067" s="1196">
        <v>0</v>
      </c>
      <c r="Q1067" s="1119">
        <v>82978819</v>
      </c>
      <c r="R1067" s="1119"/>
      <c r="S1067" s="1076"/>
      <c r="T1067" s="840" t="s">
        <v>1552</v>
      </c>
      <c r="U1067" s="866">
        <v>74679343</v>
      </c>
      <c r="V1067" s="855">
        <v>41989</v>
      </c>
      <c r="W1067" s="866" t="s">
        <v>137</v>
      </c>
      <c r="X1067" s="1084">
        <v>82978819</v>
      </c>
      <c r="Y1067" s="1084"/>
      <c r="Z1067" s="827">
        <v>0</v>
      </c>
      <c r="AA1067" s="1084">
        <v>1133331</v>
      </c>
      <c r="AB1067" s="1119"/>
      <c r="AC1067" s="1119">
        <v>1133331</v>
      </c>
      <c r="AD1067" s="1119">
        <v>0</v>
      </c>
      <c r="AE1067" s="1119">
        <v>1133331</v>
      </c>
      <c r="AF1067" s="1204"/>
      <c r="AG1067" s="1204"/>
      <c r="AH1067" s="1204"/>
      <c r="AI1067" s="1204"/>
    </row>
    <row r="1068" spans="1:35" ht="15" customHeight="1">
      <c r="A1068" s="1076"/>
      <c r="B1068" s="1076"/>
      <c r="C1068" s="1076"/>
      <c r="D1068" s="1076"/>
      <c r="E1068" s="1076"/>
      <c r="F1068" s="1076"/>
      <c r="G1068" s="1076"/>
      <c r="H1068" s="1245"/>
      <c r="I1068" s="1123"/>
      <c r="J1068" s="1119"/>
      <c r="K1068" s="1119"/>
      <c r="L1068" s="1119"/>
      <c r="M1068" s="1171"/>
      <c r="N1068" s="1196"/>
      <c r="O1068" s="1196"/>
      <c r="P1068" s="1196"/>
      <c r="Q1068" s="1119"/>
      <c r="R1068" s="1119"/>
      <c r="S1068" s="1076"/>
      <c r="T1068" s="840" t="s">
        <v>1554</v>
      </c>
      <c r="U1068" s="866">
        <v>8299476</v>
      </c>
      <c r="V1068" s="855">
        <v>42983</v>
      </c>
      <c r="W1068" s="866" t="s">
        <v>137</v>
      </c>
      <c r="X1068" s="1084"/>
      <c r="Y1068" s="1084"/>
      <c r="Z1068" s="827">
        <v>0</v>
      </c>
      <c r="AA1068" s="1084"/>
      <c r="AB1068" s="1119"/>
      <c r="AC1068" s="1119"/>
      <c r="AD1068" s="1119"/>
      <c r="AE1068" s="1119"/>
      <c r="AF1068" s="1204"/>
      <c r="AG1068" s="1204"/>
      <c r="AH1068" s="1204"/>
      <c r="AI1068" s="1204"/>
    </row>
    <row r="1069" spans="1:35" ht="15" customHeight="1">
      <c r="A1069" s="1076"/>
      <c r="B1069" s="1076"/>
      <c r="C1069" s="1076"/>
      <c r="D1069" s="1076"/>
      <c r="E1069" s="823" t="s">
        <v>67</v>
      </c>
      <c r="F1069" s="1076"/>
      <c r="G1069" s="1076"/>
      <c r="H1069" s="876">
        <v>7</v>
      </c>
      <c r="I1069" s="840" t="s">
        <v>144</v>
      </c>
      <c r="J1069" s="858">
        <v>57423887</v>
      </c>
      <c r="K1069" s="858">
        <v>57423887</v>
      </c>
      <c r="L1069" s="1119"/>
      <c r="M1069" s="855">
        <v>42173</v>
      </c>
      <c r="N1069" s="862">
        <v>57423887</v>
      </c>
      <c r="O1069" s="858">
        <v>57423887</v>
      </c>
      <c r="P1069" s="858">
        <v>0</v>
      </c>
      <c r="Q1069" s="858">
        <v>57423887</v>
      </c>
      <c r="R1069" s="1119"/>
      <c r="S1069" s="1076"/>
      <c r="T1069" s="840" t="s">
        <v>1554</v>
      </c>
      <c r="U1069" s="866">
        <v>51481354</v>
      </c>
      <c r="V1069" s="855">
        <v>42983</v>
      </c>
      <c r="W1069" s="866" t="s">
        <v>144</v>
      </c>
      <c r="X1069" s="827">
        <v>51481354</v>
      </c>
      <c r="Y1069" s="1084"/>
      <c r="Z1069" s="827">
        <v>0</v>
      </c>
      <c r="AA1069" s="827">
        <v>5942533</v>
      </c>
      <c r="AB1069" s="1119"/>
      <c r="AC1069" s="858">
        <v>0</v>
      </c>
      <c r="AD1069" s="858">
        <v>5942533</v>
      </c>
      <c r="AE1069" s="858">
        <v>5942533</v>
      </c>
      <c r="AF1069" s="1204"/>
      <c r="AG1069" s="1204"/>
      <c r="AH1069" s="1204"/>
      <c r="AI1069" s="1204"/>
    </row>
    <row r="1070" spans="1:35" s="4" customFormat="1" ht="15" customHeight="1">
      <c r="A1070" s="1011" t="s">
        <v>1662</v>
      </c>
      <c r="B1070" s="1011" t="s">
        <v>2151</v>
      </c>
      <c r="C1070" s="1011" t="s">
        <v>71</v>
      </c>
      <c r="D1070" s="1011" t="s">
        <v>2150</v>
      </c>
      <c r="E1070" s="1011" t="s">
        <v>66</v>
      </c>
      <c r="F1070" s="1011" t="s">
        <v>50</v>
      </c>
      <c r="G1070" s="1011"/>
      <c r="H1070" s="1009">
        <v>273</v>
      </c>
      <c r="I1070" s="1065" t="s">
        <v>7</v>
      </c>
      <c r="J1070" s="1062">
        <v>2789231471</v>
      </c>
      <c r="K1070" s="1062">
        <v>3119128922</v>
      </c>
      <c r="L1070" s="1062">
        <v>3119128922</v>
      </c>
      <c r="M1070" s="1068"/>
      <c r="N1070" s="1089"/>
      <c r="O1070" s="1062"/>
      <c r="P1070" s="1062"/>
      <c r="Q1070" s="1119">
        <v>1783587551</v>
      </c>
      <c r="R1070" s="1063">
        <v>1908987851</v>
      </c>
      <c r="S1070" s="1011"/>
      <c r="T1070" s="840" t="s">
        <v>2149</v>
      </c>
      <c r="U1070" s="866">
        <v>458410686</v>
      </c>
      <c r="V1070" s="855">
        <v>41824</v>
      </c>
      <c r="W1070" s="842" t="s">
        <v>7</v>
      </c>
      <c r="X1070" s="1210">
        <v>1908987547</v>
      </c>
      <c r="Y1070" s="1043">
        <v>1908987547</v>
      </c>
      <c r="Z1070" s="827">
        <v>0</v>
      </c>
      <c r="AA1070" s="1043"/>
      <c r="AB1070" s="1043"/>
      <c r="AC1070" s="1043"/>
      <c r="AD1070" s="1210"/>
      <c r="AE1070" s="1062"/>
      <c r="AF1070" s="1108"/>
      <c r="AG1070" s="1103" t="s">
        <v>2148</v>
      </c>
      <c r="AH1070" s="1103" t="s">
        <v>195</v>
      </c>
      <c r="AI1070" s="1103" t="s">
        <v>1911</v>
      </c>
    </row>
    <row r="1071" spans="1:35" s="4" customFormat="1" ht="15" customHeight="1">
      <c r="A1071" s="1033"/>
      <c r="B1071" s="1033"/>
      <c r="C1071" s="1033"/>
      <c r="D1071" s="1033"/>
      <c r="E1071" s="1033"/>
      <c r="F1071" s="1033"/>
      <c r="G1071" s="1033"/>
      <c r="H1071" s="1039"/>
      <c r="I1071" s="1066"/>
      <c r="J1071" s="1063"/>
      <c r="K1071" s="1063"/>
      <c r="L1071" s="1063"/>
      <c r="M1071" s="1069"/>
      <c r="N1071" s="1090"/>
      <c r="O1071" s="1063"/>
      <c r="P1071" s="1063"/>
      <c r="Q1071" s="1119"/>
      <c r="R1071" s="1063"/>
      <c r="S1071" s="1033"/>
      <c r="T1071" s="840" t="s">
        <v>2147</v>
      </c>
      <c r="U1071" s="866">
        <v>716136946</v>
      </c>
      <c r="V1071" s="855">
        <v>41843</v>
      </c>
      <c r="W1071" s="842" t="s">
        <v>7</v>
      </c>
      <c r="X1071" s="1211"/>
      <c r="Y1071" s="1044"/>
      <c r="Z1071" s="827">
        <v>0</v>
      </c>
      <c r="AA1071" s="1044"/>
      <c r="AB1071" s="1044"/>
      <c r="AC1071" s="1044"/>
      <c r="AD1071" s="1211"/>
      <c r="AE1071" s="1063"/>
      <c r="AF1071" s="1109"/>
      <c r="AG1071" s="1104"/>
      <c r="AH1071" s="1104"/>
      <c r="AI1071" s="1104"/>
    </row>
    <row r="1072" spans="1:35" s="4" customFormat="1" ht="15" customHeight="1">
      <c r="A1072" s="1033"/>
      <c r="B1072" s="1033"/>
      <c r="C1072" s="1033"/>
      <c r="D1072" s="1033"/>
      <c r="E1072" s="1033"/>
      <c r="F1072" s="1033"/>
      <c r="G1072" s="1033"/>
      <c r="H1072" s="1039"/>
      <c r="I1072" s="1066"/>
      <c r="J1072" s="1063"/>
      <c r="K1072" s="1063"/>
      <c r="L1072" s="1063"/>
      <c r="M1072" s="1069"/>
      <c r="N1072" s="1090"/>
      <c r="O1072" s="1063"/>
      <c r="P1072" s="1063"/>
      <c r="Q1072" s="1119"/>
      <c r="R1072" s="1063"/>
      <c r="S1072" s="1033"/>
      <c r="T1072" s="840" t="s">
        <v>2146</v>
      </c>
      <c r="U1072" s="866">
        <v>500287319</v>
      </c>
      <c r="V1072" s="855">
        <v>41974</v>
      </c>
      <c r="W1072" s="842" t="s">
        <v>7</v>
      </c>
      <c r="X1072" s="1211"/>
      <c r="Y1072" s="1044"/>
      <c r="Z1072" s="827">
        <v>0</v>
      </c>
      <c r="AA1072" s="1044"/>
      <c r="AB1072" s="1044"/>
      <c r="AC1072" s="1044"/>
      <c r="AD1072" s="1211"/>
      <c r="AE1072" s="1063"/>
      <c r="AF1072" s="1109"/>
      <c r="AG1072" s="1104"/>
      <c r="AH1072" s="1104"/>
      <c r="AI1072" s="1104"/>
    </row>
    <row r="1073" spans="1:35" s="4" customFormat="1" ht="15" customHeight="1">
      <c r="A1073" s="1033"/>
      <c r="B1073" s="1033"/>
      <c r="C1073" s="1033"/>
      <c r="D1073" s="1033"/>
      <c r="E1073" s="1033"/>
      <c r="F1073" s="1033"/>
      <c r="G1073" s="1033"/>
      <c r="H1073" s="1039"/>
      <c r="I1073" s="1066"/>
      <c r="J1073" s="1063"/>
      <c r="K1073" s="1063"/>
      <c r="L1073" s="1063"/>
      <c r="M1073" s="1069"/>
      <c r="N1073" s="1090"/>
      <c r="O1073" s="1063"/>
      <c r="P1073" s="1063"/>
      <c r="Q1073" s="1119"/>
      <c r="R1073" s="1063"/>
      <c r="S1073" s="1033"/>
      <c r="T1073" s="1065" t="s">
        <v>2145</v>
      </c>
      <c r="U1073" s="866">
        <v>43763166.509999998</v>
      </c>
      <c r="V1073" s="855">
        <v>42209</v>
      </c>
      <c r="W1073" s="842" t="s">
        <v>7</v>
      </c>
      <c r="X1073" s="1211"/>
      <c r="Y1073" s="1044"/>
      <c r="Z1073" s="827">
        <v>0</v>
      </c>
      <c r="AA1073" s="1044"/>
      <c r="AB1073" s="1044"/>
      <c r="AC1073" s="1044"/>
      <c r="AD1073" s="1211"/>
      <c r="AE1073" s="1063"/>
      <c r="AF1073" s="1109"/>
      <c r="AG1073" s="1104"/>
      <c r="AH1073" s="1104"/>
      <c r="AI1073" s="1104"/>
    </row>
    <row r="1074" spans="1:35" s="4" customFormat="1" ht="15" customHeight="1">
      <c r="A1074" s="1033"/>
      <c r="B1074" s="1033"/>
      <c r="C1074" s="1033"/>
      <c r="D1074" s="1033"/>
      <c r="E1074" s="1033"/>
      <c r="F1074" s="1033"/>
      <c r="G1074" s="1033"/>
      <c r="H1074" s="1039"/>
      <c r="I1074" s="1066"/>
      <c r="J1074" s="1063"/>
      <c r="K1074" s="1063"/>
      <c r="L1074" s="1063"/>
      <c r="M1074" s="1069"/>
      <c r="N1074" s="1090"/>
      <c r="O1074" s="1063"/>
      <c r="P1074" s="1063"/>
      <c r="Q1074" s="1119"/>
      <c r="R1074" s="1063"/>
      <c r="S1074" s="1033"/>
      <c r="T1074" s="1067"/>
      <c r="U1074" s="866">
        <v>64989433.490000002</v>
      </c>
      <c r="V1074" s="855">
        <v>42209</v>
      </c>
      <c r="W1074" s="909" t="s">
        <v>137</v>
      </c>
      <c r="X1074" s="1211"/>
      <c r="Y1074" s="1044"/>
      <c r="Z1074" s="827">
        <v>0</v>
      </c>
      <c r="AA1074" s="1044"/>
      <c r="AB1074" s="1044"/>
      <c r="AC1074" s="1044"/>
      <c r="AD1074" s="1211"/>
      <c r="AE1074" s="1063"/>
      <c r="AF1074" s="1109"/>
      <c r="AG1074" s="1104"/>
      <c r="AH1074" s="1104"/>
      <c r="AI1074" s="1104"/>
    </row>
    <row r="1075" spans="1:35" s="4" customFormat="1" ht="15" customHeight="1">
      <c r="A1075" s="1033"/>
      <c r="B1075" s="1033"/>
      <c r="C1075" s="1033"/>
      <c r="D1075" s="1033"/>
      <c r="E1075" s="1033"/>
      <c r="F1075" s="1033"/>
      <c r="G1075" s="1033"/>
      <c r="H1075" s="1039"/>
      <c r="I1075" s="1065" t="s">
        <v>137</v>
      </c>
      <c r="J1075" s="1062">
        <v>329897451</v>
      </c>
      <c r="K1075" s="1063"/>
      <c r="L1075" s="1063"/>
      <c r="M1075" s="1069"/>
      <c r="N1075" s="1090"/>
      <c r="O1075" s="1063"/>
      <c r="P1075" s="1063"/>
      <c r="Q1075" s="1119">
        <v>125400300</v>
      </c>
      <c r="R1075" s="1063"/>
      <c r="S1075" s="1033"/>
      <c r="T1075" s="1065" t="s">
        <v>2144</v>
      </c>
      <c r="U1075" s="866">
        <v>50462250.149999999</v>
      </c>
      <c r="V1075" s="855">
        <v>42243</v>
      </c>
      <c r="W1075" s="842" t="s">
        <v>7</v>
      </c>
      <c r="X1075" s="1211"/>
      <c r="Y1075" s="1044"/>
      <c r="Z1075" s="827">
        <v>0</v>
      </c>
      <c r="AA1075" s="1044"/>
      <c r="AB1075" s="1044"/>
      <c r="AC1075" s="1044"/>
      <c r="AD1075" s="1211"/>
      <c r="AE1075" s="1063"/>
      <c r="AF1075" s="1109"/>
      <c r="AG1075" s="1104"/>
      <c r="AH1075" s="1104"/>
      <c r="AI1075" s="1104"/>
    </row>
    <row r="1076" spans="1:35" s="4" customFormat="1" ht="15" customHeight="1">
      <c r="A1076" s="1012"/>
      <c r="B1076" s="1033"/>
      <c r="C1076" s="1033"/>
      <c r="D1076" s="1033"/>
      <c r="E1076" s="1033"/>
      <c r="F1076" s="1033"/>
      <c r="G1076" s="1033"/>
      <c r="H1076" s="1039"/>
      <c r="I1076" s="1066"/>
      <c r="J1076" s="1063"/>
      <c r="K1076" s="1064"/>
      <c r="L1076" s="1064"/>
      <c r="M1076" s="1070"/>
      <c r="N1076" s="1091"/>
      <c r="O1076" s="1064"/>
      <c r="P1076" s="1064"/>
      <c r="Q1076" s="1119"/>
      <c r="R1076" s="1064"/>
      <c r="S1076" s="1012"/>
      <c r="T1076" s="1067"/>
      <c r="U1076" s="866">
        <v>74937745.849999994</v>
      </c>
      <c r="V1076" s="855">
        <v>42243</v>
      </c>
      <c r="W1076" s="909" t="s">
        <v>137</v>
      </c>
      <c r="X1076" s="1212"/>
      <c r="Y1076" s="1045"/>
      <c r="Z1076" s="827">
        <v>0</v>
      </c>
      <c r="AA1076" s="1045"/>
      <c r="AB1076" s="1045"/>
      <c r="AC1076" s="1045"/>
      <c r="AD1076" s="1212"/>
      <c r="AE1076" s="1064"/>
      <c r="AF1076" s="1110"/>
      <c r="AG1076" s="1105"/>
      <c r="AH1076" s="1105"/>
      <c r="AI1076" s="1105"/>
    </row>
    <row r="1077" spans="1:35" s="4" customFormat="1" ht="15" customHeight="1">
      <c r="A1077" s="1149" t="s">
        <v>1662</v>
      </c>
      <c r="B1077" s="1149" t="s">
        <v>1660</v>
      </c>
      <c r="C1077" s="1149" t="s">
        <v>70</v>
      </c>
      <c r="D1077" s="1149" t="s">
        <v>70</v>
      </c>
      <c r="E1077" s="1149" t="s">
        <v>66</v>
      </c>
      <c r="F1077" s="1149" t="s">
        <v>49</v>
      </c>
      <c r="G1077" s="1149" t="s">
        <v>1659</v>
      </c>
      <c r="H1077" s="1209">
        <v>276</v>
      </c>
      <c r="I1077" s="1122" t="s">
        <v>7</v>
      </c>
      <c r="J1077" s="1149">
        <v>8431590</v>
      </c>
      <c r="K1077" s="1149">
        <v>8431590</v>
      </c>
      <c r="L1077" s="1243">
        <v>288441255</v>
      </c>
      <c r="M1077" s="1171">
        <v>41309</v>
      </c>
      <c r="N1077" s="1242"/>
      <c r="O1077" s="1242"/>
      <c r="P1077" s="1242"/>
      <c r="Q1077" s="1149">
        <v>8383534</v>
      </c>
      <c r="R1077" s="1149">
        <v>214146079</v>
      </c>
      <c r="S1077" s="1149" t="s">
        <v>1658</v>
      </c>
      <c r="T1077" s="840" t="s">
        <v>1657</v>
      </c>
      <c r="U1077" s="902">
        <v>3353413.6</v>
      </c>
      <c r="V1077" s="855">
        <v>41554</v>
      </c>
      <c r="W1077" s="1122" t="s">
        <v>7</v>
      </c>
      <c r="X1077" s="1084">
        <v>8118152.8000000007</v>
      </c>
      <c r="Y1077" s="1084">
        <v>191841352.60000002</v>
      </c>
      <c r="Z1077" s="827"/>
      <c r="AA1077" s="827"/>
      <c r="AB1077" s="827"/>
      <c r="AC1077" s="827"/>
      <c r="AD1077" s="827"/>
      <c r="AE1077" s="827"/>
      <c r="AF1077" s="1149" t="s">
        <v>1656</v>
      </c>
      <c r="AG1077" s="1149" t="s">
        <v>1655</v>
      </c>
      <c r="AH1077" s="1204" t="s">
        <v>195</v>
      </c>
      <c r="AI1077" s="1204" t="s">
        <v>1619</v>
      </c>
    </row>
    <row r="1078" spans="1:35" s="4" customFormat="1" ht="15" customHeight="1">
      <c r="A1078" s="1149"/>
      <c r="B1078" s="1149"/>
      <c r="C1078" s="1149"/>
      <c r="D1078" s="1149"/>
      <c r="E1078" s="1149"/>
      <c r="F1078" s="1149"/>
      <c r="G1078" s="1149"/>
      <c r="H1078" s="1209"/>
      <c r="I1078" s="1122"/>
      <c r="J1078" s="1149"/>
      <c r="K1078" s="1149"/>
      <c r="L1078" s="1243"/>
      <c r="M1078" s="1171"/>
      <c r="N1078" s="1242"/>
      <c r="O1078" s="1242"/>
      <c r="P1078" s="1242"/>
      <c r="Q1078" s="1149"/>
      <c r="R1078" s="1149"/>
      <c r="S1078" s="1149"/>
      <c r="T1078" s="840" t="s">
        <v>1645</v>
      </c>
      <c r="U1078" s="866">
        <v>4764739.2</v>
      </c>
      <c r="V1078" s="855">
        <v>41885</v>
      </c>
      <c r="W1078" s="1122"/>
      <c r="X1078" s="1084"/>
      <c r="Y1078" s="1084"/>
      <c r="Z1078" s="827"/>
      <c r="AA1078" s="827"/>
      <c r="AB1078" s="827"/>
      <c r="AC1078" s="827"/>
      <c r="AD1078" s="827"/>
      <c r="AE1078" s="827"/>
      <c r="AF1078" s="1149"/>
      <c r="AG1078" s="1149"/>
      <c r="AH1078" s="1204"/>
      <c r="AI1078" s="1204"/>
    </row>
    <row r="1079" spans="1:35" s="4" customFormat="1" ht="15" customHeight="1">
      <c r="A1079" s="1149"/>
      <c r="B1079" s="1149"/>
      <c r="C1079" s="1149"/>
      <c r="D1079" s="1149"/>
      <c r="E1079" s="1149"/>
      <c r="F1079" s="1149"/>
      <c r="G1079" s="1149"/>
      <c r="H1079" s="1209"/>
      <c r="I1079" s="1122"/>
      <c r="J1079" s="1149"/>
      <c r="K1079" s="1149"/>
      <c r="L1079" s="1243"/>
      <c r="M1079" s="1171"/>
      <c r="N1079" s="1242"/>
      <c r="O1079" s="1242"/>
      <c r="P1079" s="1242"/>
      <c r="Q1079" s="1149"/>
      <c r="R1079" s="1149"/>
      <c r="S1079" s="1149"/>
      <c r="T1079" s="840" t="s">
        <v>1641</v>
      </c>
      <c r="U1079" s="866">
        <v>0</v>
      </c>
      <c r="V1079" s="855"/>
      <c r="W1079" s="1122"/>
      <c r="X1079" s="1084"/>
      <c r="Y1079" s="1084"/>
      <c r="Z1079" s="858"/>
      <c r="AA1079" s="827">
        <v>-3169083</v>
      </c>
      <c r="AB1079" s="827"/>
      <c r="AC1079" s="827"/>
      <c r="AD1079" s="827"/>
      <c r="AE1079" s="827"/>
      <c r="AF1079" s="1149"/>
      <c r="AG1079" s="1149" t="s">
        <v>2689</v>
      </c>
      <c r="AH1079" s="1204"/>
      <c r="AI1079" s="1204"/>
    </row>
    <row r="1080" spans="1:35" s="4" customFormat="1" ht="15" customHeight="1">
      <c r="A1080" s="1149"/>
      <c r="B1080" s="1149"/>
      <c r="C1080" s="1149"/>
      <c r="D1080" s="1149"/>
      <c r="E1080" s="1149"/>
      <c r="F1080" s="1149"/>
      <c r="G1080" s="1149"/>
      <c r="H1080" s="1009">
        <v>278</v>
      </c>
      <c r="I1080" s="1021" t="s">
        <v>7</v>
      </c>
      <c r="J1080" s="1149">
        <v>13448739</v>
      </c>
      <c r="K1080" s="1149">
        <v>13448739</v>
      </c>
      <c r="L1080" s="1243"/>
      <c r="M1080" s="1171"/>
      <c r="N1080" s="1244"/>
      <c r="O1080" s="1244"/>
      <c r="P1080" s="1244"/>
      <c r="Q1080" s="1149">
        <v>13372088</v>
      </c>
      <c r="R1080" s="1149"/>
      <c r="S1080" s="1149"/>
      <c r="T1080" s="840" t="s">
        <v>1653</v>
      </c>
      <c r="U1080" s="902">
        <v>5348538.2</v>
      </c>
      <c r="V1080" s="855">
        <v>41554</v>
      </c>
      <c r="W1080" s="1021" t="s">
        <v>7</v>
      </c>
      <c r="X1080" s="1043">
        <v>13372088</v>
      </c>
      <c r="Y1080" s="1084"/>
      <c r="Z1080" s="858"/>
      <c r="AA1080" s="827"/>
      <c r="AB1080" s="827"/>
      <c r="AC1080" s="827"/>
      <c r="AD1080" s="827"/>
      <c r="AE1080" s="827"/>
      <c r="AF1080" s="1149"/>
      <c r="AG1080" s="1149"/>
      <c r="AH1080" s="1204"/>
      <c r="AI1080" s="1204"/>
    </row>
    <row r="1081" spans="1:35" s="4" customFormat="1" ht="15" customHeight="1">
      <c r="A1081" s="1149"/>
      <c r="B1081" s="1149"/>
      <c r="C1081" s="1149"/>
      <c r="D1081" s="1149"/>
      <c r="E1081" s="1149"/>
      <c r="F1081" s="1149"/>
      <c r="G1081" s="1149"/>
      <c r="H1081" s="1039"/>
      <c r="I1081" s="1022"/>
      <c r="J1081" s="1149"/>
      <c r="K1081" s="1149"/>
      <c r="L1081" s="1243"/>
      <c r="M1081" s="1171"/>
      <c r="N1081" s="1244"/>
      <c r="O1081" s="1244"/>
      <c r="P1081" s="1244"/>
      <c r="Q1081" s="1149"/>
      <c r="R1081" s="1149"/>
      <c r="S1081" s="1149"/>
      <c r="T1081" s="840" t="s">
        <v>1652</v>
      </c>
      <c r="U1081" s="902">
        <v>297</v>
      </c>
      <c r="V1081" s="855">
        <v>41556</v>
      </c>
      <c r="W1081" s="1022"/>
      <c r="X1081" s="1044"/>
      <c r="Y1081" s="1084"/>
      <c r="Z1081" s="858"/>
      <c r="AA1081" s="827"/>
      <c r="AB1081" s="827"/>
      <c r="AC1081" s="827"/>
      <c r="AD1081" s="827"/>
      <c r="AE1081" s="827"/>
      <c r="AF1081" s="1149"/>
      <c r="AG1081" s="1149"/>
      <c r="AH1081" s="1204"/>
      <c r="AI1081" s="1204"/>
    </row>
    <row r="1082" spans="1:35" s="4" customFormat="1" ht="15" customHeight="1">
      <c r="A1082" s="1149"/>
      <c r="B1082" s="1149"/>
      <c r="C1082" s="1149"/>
      <c r="D1082" s="1149"/>
      <c r="E1082" s="1149"/>
      <c r="F1082" s="1149"/>
      <c r="G1082" s="1149"/>
      <c r="H1082" s="1010"/>
      <c r="I1082" s="1038"/>
      <c r="J1082" s="853"/>
      <c r="K1082" s="853"/>
      <c r="L1082" s="1243"/>
      <c r="M1082" s="855"/>
      <c r="N1082" s="875"/>
      <c r="O1082" s="875"/>
      <c r="P1082" s="875"/>
      <c r="Q1082" s="853"/>
      <c r="R1082" s="1149"/>
      <c r="S1082" s="1149"/>
      <c r="T1082" s="840"/>
      <c r="U1082" s="866">
        <v>8023252.7999999998</v>
      </c>
      <c r="V1082" s="855"/>
      <c r="W1082" s="1038"/>
      <c r="X1082" s="1045"/>
      <c r="Y1082" s="1084"/>
      <c r="Z1082" s="858"/>
      <c r="AA1082" s="827"/>
      <c r="AB1082" s="827"/>
      <c r="AC1082" s="827"/>
      <c r="AD1082" s="827"/>
      <c r="AE1082" s="827"/>
      <c r="AF1082" s="1149"/>
      <c r="AG1082" s="1149"/>
      <c r="AH1082" s="1204"/>
      <c r="AI1082" s="1204"/>
    </row>
    <row r="1083" spans="1:35" s="4" customFormat="1" ht="15" customHeight="1">
      <c r="A1083" s="1149"/>
      <c r="B1083" s="1149"/>
      <c r="C1083" s="1149"/>
      <c r="D1083" s="1149"/>
      <c r="E1083" s="1149"/>
      <c r="F1083" s="1149"/>
      <c r="G1083" s="1149"/>
      <c r="H1083" s="1209">
        <v>256</v>
      </c>
      <c r="I1083" s="1122" t="s">
        <v>7</v>
      </c>
      <c r="J1083" s="1149">
        <v>18083363</v>
      </c>
      <c r="K1083" s="1149">
        <v>18083363</v>
      </c>
      <c r="L1083" s="1243"/>
      <c r="M1083" s="1171"/>
      <c r="N1083" s="1242"/>
      <c r="O1083" s="1242"/>
      <c r="P1083" s="1242"/>
      <c r="Q1083" s="1149">
        <v>17980297</v>
      </c>
      <c r="R1083" s="1149"/>
      <c r="S1083" s="1149"/>
      <c r="T1083" s="840" t="s">
        <v>1651</v>
      </c>
      <c r="U1083" s="902">
        <v>7192118.7999999998</v>
      </c>
      <c r="V1083" s="855">
        <v>41554</v>
      </c>
      <c r="W1083" s="1122" t="s">
        <v>7</v>
      </c>
      <c r="X1083" s="1084">
        <v>15602416</v>
      </c>
      <c r="Y1083" s="1084"/>
      <c r="Z1083" s="858"/>
      <c r="AA1083" s="827"/>
      <c r="AB1083" s="827"/>
      <c r="AC1083" s="827"/>
      <c r="AD1083" s="827"/>
      <c r="AE1083" s="827"/>
      <c r="AF1083" s="1149"/>
      <c r="AG1083" s="1149"/>
      <c r="AH1083" s="1204"/>
      <c r="AI1083" s="1204"/>
    </row>
    <row r="1084" spans="1:35" s="4" customFormat="1" ht="15" customHeight="1">
      <c r="A1084" s="1149"/>
      <c r="B1084" s="1149"/>
      <c r="C1084" s="1149"/>
      <c r="D1084" s="1149"/>
      <c r="E1084" s="1149"/>
      <c r="F1084" s="1149"/>
      <c r="G1084" s="1149"/>
      <c r="H1084" s="1209"/>
      <c r="I1084" s="1122"/>
      <c r="J1084" s="1149"/>
      <c r="K1084" s="1149"/>
      <c r="L1084" s="1243"/>
      <c r="M1084" s="1171"/>
      <c r="N1084" s="1242"/>
      <c r="O1084" s="1242"/>
      <c r="P1084" s="1242"/>
      <c r="Q1084" s="1149"/>
      <c r="R1084" s="1149"/>
      <c r="S1084" s="1149"/>
      <c r="T1084" s="840" t="s">
        <v>1645</v>
      </c>
      <c r="U1084" s="866">
        <v>7008580.7999999998</v>
      </c>
      <c r="V1084" s="855">
        <v>41885</v>
      </c>
      <c r="W1084" s="1122"/>
      <c r="X1084" s="1084"/>
      <c r="Y1084" s="1084"/>
      <c r="Z1084" s="858"/>
      <c r="AA1084" s="827"/>
      <c r="AB1084" s="827"/>
      <c r="AC1084" s="827"/>
      <c r="AD1084" s="827"/>
      <c r="AE1084" s="827"/>
      <c r="AF1084" s="1149"/>
      <c r="AG1084" s="1149"/>
      <c r="AH1084" s="1204"/>
      <c r="AI1084" s="1204"/>
    </row>
    <row r="1085" spans="1:35" s="4" customFormat="1" ht="15" customHeight="1">
      <c r="A1085" s="1149"/>
      <c r="B1085" s="1149"/>
      <c r="C1085" s="1149"/>
      <c r="D1085" s="1149"/>
      <c r="E1085" s="1149"/>
      <c r="F1085" s="1149"/>
      <c r="G1085" s="1149"/>
      <c r="H1085" s="1209"/>
      <c r="I1085" s="1122"/>
      <c r="J1085" s="1149"/>
      <c r="K1085" s="1149"/>
      <c r="L1085" s="1243"/>
      <c r="M1085" s="1171"/>
      <c r="N1085" s="1242"/>
      <c r="O1085" s="1242"/>
      <c r="P1085" s="1242"/>
      <c r="Q1085" s="1149"/>
      <c r="R1085" s="1149"/>
      <c r="S1085" s="1149"/>
      <c r="T1085" s="840" t="s">
        <v>1641</v>
      </c>
      <c r="U1085" s="866">
        <v>1401716.4</v>
      </c>
      <c r="V1085" s="855">
        <v>42047</v>
      </c>
      <c r="W1085" s="1122"/>
      <c r="X1085" s="1084"/>
      <c r="Y1085" s="1084"/>
      <c r="Z1085" s="858"/>
      <c r="AA1085" s="827"/>
      <c r="AB1085" s="827"/>
      <c r="AC1085" s="827"/>
      <c r="AD1085" s="827"/>
      <c r="AE1085" s="827"/>
      <c r="AF1085" s="1149"/>
      <c r="AG1085" s="1149"/>
      <c r="AH1085" s="1204"/>
      <c r="AI1085" s="1204"/>
    </row>
    <row r="1086" spans="1:35" s="4" customFormat="1" ht="15" customHeight="1">
      <c r="A1086" s="1149"/>
      <c r="B1086" s="1149"/>
      <c r="C1086" s="1149"/>
      <c r="D1086" s="1149"/>
      <c r="E1086" s="1149"/>
      <c r="F1086" s="1149"/>
      <c r="G1086" s="1149"/>
      <c r="H1086" s="1209">
        <v>250</v>
      </c>
      <c r="I1086" s="1122" t="s">
        <v>137</v>
      </c>
      <c r="J1086" s="1149">
        <v>5887850</v>
      </c>
      <c r="K1086" s="1149">
        <v>5887850</v>
      </c>
      <c r="L1086" s="1243"/>
      <c r="M1086" s="1171"/>
      <c r="N1086" s="1244"/>
      <c r="O1086" s="1244"/>
      <c r="P1086" s="1244"/>
      <c r="Q1086" s="1149">
        <v>5854292</v>
      </c>
      <c r="R1086" s="1149"/>
      <c r="S1086" s="1149"/>
      <c r="T1086" s="840" t="s">
        <v>1650</v>
      </c>
      <c r="U1086" s="902">
        <v>2341716.7999999998</v>
      </c>
      <c r="V1086" s="855">
        <v>41554</v>
      </c>
      <c r="W1086" s="1122" t="s">
        <v>137</v>
      </c>
      <c r="X1086" s="1084">
        <v>5510799.7999999998</v>
      </c>
      <c r="Y1086" s="1084"/>
      <c r="Z1086" s="858"/>
      <c r="AA1086" s="827"/>
      <c r="AB1086" s="827"/>
      <c r="AC1086" s="827"/>
      <c r="AD1086" s="827"/>
      <c r="AE1086" s="827"/>
      <c r="AF1086" s="1149"/>
      <c r="AG1086" s="1149"/>
      <c r="AH1086" s="1204"/>
      <c r="AI1086" s="1204"/>
    </row>
    <row r="1087" spans="1:35" s="4" customFormat="1" ht="15" customHeight="1">
      <c r="A1087" s="1149"/>
      <c r="B1087" s="1149"/>
      <c r="C1087" s="1149"/>
      <c r="D1087" s="1149"/>
      <c r="E1087" s="1149"/>
      <c r="F1087" s="1149"/>
      <c r="G1087" s="1149"/>
      <c r="H1087" s="1209"/>
      <c r="I1087" s="1122"/>
      <c r="J1087" s="1149"/>
      <c r="K1087" s="1149"/>
      <c r="L1087" s="1243"/>
      <c r="M1087" s="1171"/>
      <c r="N1087" s="1244"/>
      <c r="O1087" s="1244"/>
      <c r="P1087" s="1244"/>
      <c r="Q1087" s="1149"/>
      <c r="R1087" s="1149"/>
      <c r="S1087" s="1149"/>
      <c r="T1087" s="840" t="s">
        <v>1649</v>
      </c>
      <c r="U1087" s="866">
        <v>3169083</v>
      </c>
      <c r="V1087" s="855">
        <v>42047</v>
      </c>
      <c r="W1087" s="1122"/>
      <c r="X1087" s="1084"/>
      <c r="Y1087" s="1084"/>
      <c r="Z1087" s="858"/>
      <c r="AA1087" s="827">
        <v>3169083</v>
      </c>
      <c r="AB1087" s="827"/>
      <c r="AC1087" s="827"/>
      <c r="AD1087" s="827"/>
      <c r="AE1087" s="827"/>
      <c r="AF1087" s="1149"/>
      <c r="AG1087" s="1149"/>
      <c r="AH1087" s="1204"/>
      <c r="AI1087" s="1204"/>
    </row>
    <row r="1088" spans="1:35" s="4" customFormat="1" ht="15" customHeight="1">
      <c r="A1088" s="1149"/>
      <c r="B1088" s="1149"/>
      <c r="C1088" s="1149"/>
      <c r="D1088" s="1149"/>
      <c r="E1088" s="1149"/>
      <c r="F1088" s="1149"/>
      <c r="G1088" s="1149"/>
      <c r="H1088" s="1209">
        <v>262</v>
      </c>
      <c r="I1088" s="1122" t="s">
        <v>137</v>
      </c>
      <c r="J1088" s="1149">
        <v>73275466</v>
      </c>
      <c r="K1088" s="1149">
        <v>73275466</v>
      </c>
      <c r="L1088" s="1243"/>
      <c r="M1088" s="1171"/>
      <c r="N1088" s="1242"/>
      <c r="O1088" s="1242"/>
      <c r="P1088" s="1242"/>
      <c r="Q1088" s="1149">
        <v>72857834</v>
      </c>
      <c r="R1088" s="1149"/>
      <c r="S1088" s="1149"/>
      <c r="T1088" s="840" t="s">
        <v>1648</v>
      </c>
      <c r="U1088" s="902">
        <v>29143133.600000001</v>
      </c>
      <c r="V1088" s="855">
        <v>41554</v>
      </c>
      <c r="W1088" s="1122" t="s">
        <v>137</v>
      </c>
      <c r="X1088" s="1084">
        <v>72857834.000000015</v>
      </c>
      <c r="Y1088" s="1084"/>
      <c r="Z1088" s="827"/>
      <c r="AA1088" s="827"/>
      <c r="AB1088" s="827"/>
      <c r="AC1088" s="827"/>
      <c r="AD1088" s="827"/>
      <c r="AE1088" s="827"/>
      <c r="AF1088" s="1149"/>
      <c r="AG1088" s="1149"/>
      <c r="AH1088" s="1204"/>
      <c r="AI1088" s="1204"/>
    </row>
    <row r="1089" spans="1:35" s="4" customFormat="1" ht="15" customHeight="1">
      <c r="A1089" s="1149"/>
      <c r="B1089" s="1149"/>
      <c r="C1089" s="1149"/>
      <c r="D1089" s="1149"/>
      <c r="E1089" s="1149"/>
      <c r="F1089" s="1149"/>
      <c r="G1089" s="1149"/>
      <c r="H1089" s="1209"/>
      <c r="I1089" s="1122"/>
      <c r="J1089" s="1149"/>
      <c r="K1089" s="1149"/>
      <c r="L1089" s="1243"/>
      <c r="M1089" s="1171"/>
      <c r="N1089" s="1242"/>
      <c r="O1089" s="1242"/>
      <c r="P1089" s="1242"/>
      <c r="Q1089" s="1149"/>
      <c r="R1089" s="1149"/>
      <c r="S1089" s="1149"/>
      <c r="T1089" s="840" t="s">
        <v>1645</v>
      </c>
      <c r="U1089" s="866">
        <v>38905477.799999997</v>
      </c>
      <c r="V1089" s="855">
        <v>41885</v>
      </c>
      <c r="W1089" s="1122"/>
      <c r="X1089" s="1084"/>
      <c r="Y1089" s="1084"/>
      <c r="Z1089" s="827"/>
      <c r="AA1089" s="827"/>
      <c r="AB1089" s="827"/>
      <c r="AC1089" s="827"/>
      <c r="AD1089" s="827"/>
      <c r="AE1089" s="827"/>
      <c r="AF1089" s="1149"/>
      <c r="AG1089" s="853"/>
      <c r="AH1089" s="1204"/>
      <c r="AI1089" s="1204"/>
    </row>
    <row r="1090" spans="1:35" s="4" customFormat="1" ht="15" customHeight="1">
      <c r="A1090" s="1149"/>
      <c r="B1090" s="1149"/>
      <c r="C1090" s="1149"/>
      <c r="D1090" s="1149"/>
      <c r="E1090" s="1149"/>
      <c r="F1090" s="1149"/>
      <c r="G1090" s="1149"/>
      <c r="H1090" s="1209"/>
      <c r="I1090" s="1122"/>
      <c r="J1090" s="1149"/>
      <c r="K1090" s="1149"/>
      <c r="L1090" s="1243"/>
      <c r="M1090" s="1171"/>
      <c r="N1090" s="1242"/>
      <c r="O1090" s="1242"/>
      <c r="P1090" s="1242"/>
      <c r="Q1090" s="1149"/>
      <c r="R1090" s="1149"/>
      <c r="S1090" s="1149"/>
      <c r="T1090" s="840" t="s">
        <v>1641</v>
      </c>
      <c r="U1090" s="866">
        <v>4808542.2</v>
      </c>
      <c r="V1090" s="855">
        <v>42047</v>
      </c>
      <c r="W1090" s="1122"/>
      <c r="X1090" s="1084"/>
      <c r="Y1090" s="1084"/>
      <c r="Z1090" s="827"/>
      <c r="AA1090" s="827"/>
      <c r="AB1090" s="827"/>
      <c r="AC1090" s="827"/>
      <c r="AD1090" s="827"/>
      <c r="AE1090" s="827"/>
      <c r="AF1090" s="1149"/>
      <c r="AG1090" s="853"/>
      <c r="AH1090" s="1204"/>
      <c r="AI1090" s="1204"/>
    </row>
    <row r="1091" spans="1:35" s="4" customFormat="1" ht="15" customHeight="1">
      <c r="A1091" s="1149"/>
      <c r="B1091" s="1149"/>
      <c r="C1091" s="1149"/>
      <c r="D1091" s="1149"/>
      <c r="E1091" s="1149"/>
      <c r="F1091" s="1149"/>
      <c r="G1091" s="1149"/>
      <c r="H1091" s="1209"/>
      <c r="I1091" s="1122"/>
      <c r="J1091" s="1149"/>
      <c r="K1091" s="1149"/>
      <c r="L1091" s="1243"/>
      <c r="M1091" s="1171"/>
      <c r="N1091" s="1242"/>
      <c r="O1091" s="1242"/>
      <c r="P1091" s="1242"/>
      <c r="Q1091" s="1149"/>
      <c r="R1091" s="1149"/>
      <c r="S1091" s="1149"/>
      <c r="T1091" s="840" t="s">
        <v>1647</v>
      </c>
      <c r="U1091" s="866">
        <v>680.4</v>
      </c>
      <c r="V1091" s="855">
        <v>42990</v>
      </c>
      <c r="W1091" s="1122"/>
      <c r="X1091" s="1084"/>
      <c r="Y1091" s="1084"/>
      <c r="Z1091" s="827"/>
      <c r="AA1091" s="827"/>
      <c r="AB1091" s="827"/>
      <c r="AC1091" s="827"/>
      <c r="AD1091" s="827"/>
      <c r="AE1091" s="827"/>
      <c r="AF1091" s="1149"/>
      <c r="AG1091" s="853"/>
      <c r="AH1091" s="1204"/>
      <c r="AI1091" s="1204"/>
    </row>
    <row r="1092" spans="1:35" s="4" customFormat="1" ht="15" customHeight="1">
      <c r="A1092" s="1149"/>
      <c r="B1092" s="1149"/>
      <c r="C1092" s="1149"/>
      <c r="D1092" s="1149"/>
      <c r="E1092" s="1149"/>
      <c r="F1092" s="1149"/>
      <c r="G1092" s="1149"/>
      <c r="H1092" s="1209">
        <v>252</v>
      </c>
      <c r="I1092" s="1122" t="s">
        <v>137</v>
      </c>
      <c r="J1092" s="1149">
        <v>5756903</v>
      </c>
      <c r="K1092" s="1149">
        <v>5756903</v>
      </c>
      <c r="L1092" s="1243"/>
      <c r="M1092" s="1171"/>
      <c r="N1092" s="1242"/>
      <c r="O1092" s="1242"/>
      <c r="P1092" s="1242"/>
      <c r="Q1092" s="1149">
        <v>5724092</v>
      </c>
      <c r="R1092" s="1149"/>
      <c r="S1092" s="1149"/>
      <c r="T1092" s="840" t="s">
        <v>1646</v>
      </c>
      <c r="U1092" s="902">
        <v>2289636.7999999998</v>
      </c>
      <c r="V1092" s="855">
        <v>41554</v>
      </c>
      <c r="W1092" s="1122" t="s">
        <v>137</v>
      </c>
      <c r="X1092" s="1084">
        <v>5724092</v>
      </c>
      <c r="Y1092" s="1084"/>
      <c r="Z1092" s="827"/>
      <c r="AA1092" s="827"/>
      <c r="AB1092" s="827"/>
      <c r="AC1092" s="827"/>
      <c r="AD1092" s="827"/>
      <c r="AE1092" s="827"/>
      <c r="AF1092" s="1149"/>
      <c r="AG1092" s="853"/>
      <c r="AH1092" s="1204"/>
      <c r="AI1092" s="1204"/>
    </row>
    <row r="1093" spans="1:35" s="4" customFormat="1" ht="15" customHeight="1">
      <c r="A1093" s="1149"/>
      <c r="B1093" s="1149"/>
      <c r="C1093" s="1149"/>
      <c r="D1093" s="1149"/>
      <c r="E1093" s="1149"/>
      <c r="F1093" s="1149"/>
      <c r="G1093" s="1149"/>
      <c r="H1093" s="1209"/>
      <c r="I1093" s="1122"/>
      <c r="J1093" s="1149"/>
      <c r="K1093" s="1149"/>
      <c r="L1093" s="1243"/>
      <c r="M1093" s="1171"/>
      <c r="N1093" s="1242"/>
      <c r="O1093" s="1242"/>
      <c r="P1093" s="1242"/>
      <c r="Q1093" s="1149"/>
      <c r="R1093" s="1149"/>
      <c r="S1093" s="1149"/>
      <c r="T1093" s="840" t="s">
        <v>1645</v>
      </c>
      <c r="U1093" s="866">
        <v>3431976</v>
      </c>
      <c r="V1093" s="855">
        <v>41885</v>
      </c>
      <c r="W1093" s="1122"/>
      <c r="X1093" s="1084"/>
      <c r="Y1093" s="1084"/>
      <c r="Z1093" s="827"/>
      <c r="AA1093" s="827"/>
      <c r="AB1093" s="827"/>
      <c r="AC1093" s="827"/>
      <c r="AD1093" s="827"/>
      <c r="AE1093" s="827"/>
      <c r="AF1093" s="1149"/>
      <c r="AG1093" s="853"/>
      <c r="AH1093" s="1204"/>
      <c r="AI1093" s="1204"/>
    </row>
    <row r="1094" spans="1:35" s="4" customFormat="1" ht="15" customHeight="1">
      <c r="A1094" s="1149"/>
      <c r="B1094" s="1149"/>
      <c r="C1094" s="1149"/>
      <c r="D1094" s="1149"/>
      <c r="E1094" s="1149"/>
      <c r="F1094" s="1149"/>
      <c r="G1094" s="1149"/>
      <c r="H1094" s="1209"/>
      <c r="I1094" s="1122"/>
      <c r="J1094" s="1149"/>
      <c r="K1094" s="1149"/>
      <c r="L1094" s="1243"/>
      <c r="M1094" s="1171"/>
      <c r="N1094" s="1242"/>
      <c r="O1094" s="1242"/>
      <c r="P1094" s="1242"/>
      <c r="Q1094" s="1149"/>
      <c r="R1094" s="1149"/>
      <c r="S1094" s="1149"/>
      <c r="T1094" s="840" t="s">
        <v>1644</v>
      </c>
      <c r="U1094" s="866">
        <v>2479.1999999999998</v>
      </c>
      <c r="V1094" s="855">
        <v>42990</v>
      </c>
      <c r="W1094" s="1122"/>
      <c r="X1094" s="1084"/>
      <c r="Y1094" s="1084"/>
      <c r="Z1094" s="827"/>
      <c r="AA1094" s="827"/>
      <c r="AB1094" s="827"/>
      <c r="AC1094" s="827"/>
      <c r="AD1094" s="827"/>
      <c r="AE1094" s="827"/>
      <c r="AF1094" s="1149"/>
      <c r="AG1094" s="853"/>
      <c r="AH1094" s="1204"/>
      <c r="AI1094" s="1204"/>
    </row>
    <row r="1095" spans="1:35" s="4" customFormat="1" ht="15" customHeight="1">
      <c r="A1095" s="1149"/>
      <c r="B1095" s="1149"/>
      <c r="C1095" s="1149"/>
      <c r="D1095" s="1149"/>
      <c r="E1095" s="1149"/>
      <c r="F1095" s="1149"/>
      <c r="G1095" s="1149"/>
      <c r="H1095" s="1209">
        <v>5</v>
      </c>
      <c r="I1095" s="1122" t="s">
        <v>150</v>
      </c>
      <c r="J1095" s="1149">
        <v>54028759</v>
      </c>
      <c r="K1095" s="1149">
        <v>54028759</v>
      </c>
      <c r="L1095" s="1243"/>
      <c r="M1095" s="1171"/>
      <c r="N1095" s="1244"/>
      <c r="O1095" s="1244"/>
      <c r="P1095" s="1244"/>
      <c r="Q1095" s="1149">
        <v>53720823</v>
      </c>
      <c r="R1095" s="1149"/>
      <c r="S1095" s="1149"/>
      <c r="T1095" s="840" t="s">
        <v>1643</v>
      </c>
      <c r="U1095" s="866">
        <v>21488329.199999999</v>
      </c>
      <c r="V1095" s="855">
        <v>41554</v>
      </c>
      <c r="W1095" s="1122" t="s">
        <v>150</v>
      </c>
      <c r="X1095" s="1084">
        <v>49517850</v>
      </c>
      <c r="Y1095" s="1084"/>
      <c r="Z1095" s="827"/>
      <c r="AA1095" s="827"/>
      <c r="AB1095" s="827"/>
      <c r="AC1095" s="827"/>
      <c r="AD1095" s="827"/>
      <c r="AE1095" s="827"/>
      <c r="AF1095" s="1149"/>
      <c r="AG1095" s="853"/>
      <c r="AH1095" s="1204"/>
      <c r="AI1095" s="1204"/>
    </row>
    <row r="1096" spans="1:35" s="4" customFormat="1" ht="15" customHeight="1">
      <c r="A1096" s="1149"/>
      <c r="B1096" s="1149"/>
      <c r="C1096" s="1149"/>
      <c r="D1096" s="1149"/>
      <c r="E1096" s="1149"/>
      <c r="F1096" s="1149"/>
      <c r="G1096" s="1149"/>
      <c r="H1096" s="1209"/>
      <c r="I1096" s="1122"/>
      <c r="J1096" s="1149"/>
      <c r="K1096" s="1149"/>
      <c r="L1096" s="1243"/>
      <c r="M1096" s="1171"/>
      <c r="N1096" s="1244"/>
      <c r="O1096" s="1244"/>
      <c r="P1096" s="1244"/>
      <c r="Q1096" s="1149"/>
      <c r="R1096" s="1149"/>
      <c r="S1096" s="1149"/>
      <c r="T1096" s="840" t="s">
        <v>1642</v>
      </c>
      <c r="U1096" s="866">
        <v>11276244</v>
      </c>
      <c r="V1096" s="855">
        <v>41885</v>
      </c>
      <c r="W1096" s="1122"/>
      <c r="X1096" s="1084"/>
      <c r="Y1096" s="1084"/>
      <c r="Z1096" s="827"/>
      <c r="AA1096" s="827"/>
      <c r="AB1096" s="827"/>
      <c r="AC1096" s="827"/>
      <c r="AD1096" s="827"/>
      <c r="AE1096" s="827"/>
      <c r="AF1096" s="1149"/>
      <c r="AG1096" s="853"/>
      <c r="AH1096" s="1204"/>
      <c r="AI1096" s="1204"/>
    </row>
    <row r="1097" spans="1:35" s="4" customFormat="1" ht="15" customHeight="1">
      <c r="A1097" s="1149"/>
      <c r="B1097" s="1149"/>
      <c r="C1097" s="1149"/>
      <c r="D1097" s="1149"/>
      <c r="E1097" s="1149"/>
      <c r="F1097" s="1149"/>
      <c r="G1097" s="1149"/>
      <c r="H1097" s="1209"/>
      <c r="I1097" s="1122"/>
      <c r="J1097" s="1149"/>
      <c r="K1097" s="1149"/>
      <c r="L1097" s="1243"/>
      <c r="M1097" s="1171"/>
      <c r="N1097" s="1244"/>
      <c r="O1097" s="1244"/>
      <c r="P1097" s="1244"/>
      <c r="Q1097" s="1149"/>
      <c r="R1097" s="1149"/>
      <c r="S1097" s="1149"/>
      <c r="T1097" s="840" t="s">
        <v>1641</v>
      </c>
      <c r="U1097" s="866">
        <v>4832676</v>
      </c>
      <c r="V1097" s="855">
        <v>42047</v>
      </c>
      <c r="W1097" s="1122"/>
      <c r="X1097" s="1084"/>
      <c r="Y1097" s="1084"/>
      <c r="Z1097" s="827"/>
      <c r="AA1097" s="827"/>
      <c r="AB1097" s="827"/>
      <c r="AC1097" s="827"/>
      <c r="AD1097" s="827"/>
      <c r="AE1097" s="827"/>
      <c r="AF1097" s="1149"/>
      <c r="AG1097" s="853"/>
      <c r="AH1097" s="1204"/>
      <c r="AI1097" s="1204"/>
    </row>
    <row r="1098" spans="1:35" s="4" customFormat="1" ht="15" customHeight="1">
      <c r="A1098" s="1149"/>
      <c r="B1098" s="1149"/>
      <c r="C1098" s="1149"/>
      <c r="D1098" s="1149"/>
      <c r="E1098" s="1149"/>
      <c r="F1098" s="1149"/>
      <c r="G1098" s="1149"/>
      <c r="H1098" s="1209"/>
      <c r="I1098" s="1122"/>
      <c r="J1098" s="1149"/>
      <c r="K1098" s="1149"/>
      <c r="L1098" s="1243"/>
      <c r="M1098" s="1171"/>
      <c r="N1098" s="1244"/>
      <c r="O1098" s="1244"/>
      <c r="P1098" s="1244"/>
      <c r="Q1098" s="1149"/>
      <c r="R1098" s="1149"/>
      <c r="S1098" s="1149"/>
      <c r="T1098" s="840" t="s">
        <v>1640</v>
      </c>
      <c r="U1098" s="866">
        <v>11920600.800000001</v>
      </c>
      <c r="V1098" s="855">
        <v>42990</v>
      </c>
      <c r="W1098" s="1122"/>
      <c r="X1098" s="1084"/>
      <c r="Y1098" s="1084"/>
      <c r="Z1098" s="827"/>
      <c r="AA1098" s="827"/>
      <c r="AB1098" s="827"/>
      <c r="AC1098" s="827"/>
      <c r="AD1098" s="827"/>
      <c r="AE1098" s="827"/>
      <c r="AF1098" s="1149"/>
      <c r="AG1098" s="853"/>
      <c r="AH1098" s="1204"/>
      <c r="AI1098" s="1204"/>
    </row>
    <row r="1099" spans="1:35" s="4" customFormat="1" ht="15" customHeight="1">
      <c r="A1099" s="1149"/>
      <c r="B1099" s="1149"/>
      <c r="C1099" s="1149"/>
      <c r="D1099" s="1149"/>
      <c r="E1099" s="1149" t="s">
        <v>67</v>
      </c>
      <c r="F1099" s="1149"/>
      <c r="G1099" s="1149"/>
      <c r="H1099" s="1209">
        <v>6</v>
      </c>
      <c r="I1099" s="1122" t="s">
        <v>164</v>
      </c>
      <c r="J1099" s="1149">
        <v>90795881</v>
      </c>
      <c r="K1099" s="1149">
        <v>90795881</v>
      </c>
      <c r="L1099" s="1243"/>
      <c r="M1099" s="1171"/>
      <c r="N1099" s="1242"/>
      <c r="O1099" s="1242"/>
      <c r="P1099" s="1242"/>
      <c r="Q1099" s="1149">
        <v>17520415</v>
      </c>
      <c r="R1099" s="1149"/>
      <c r="S1099" s="1149"/>
      <c r="T1099" s="840" t="s">
        <v>1639</v>
      </c>
      <c r="U1099" s="866">
        <v>10199938</v>
      </c>
      <c r="V1099" s="855">
        <v>42047</v>
      </c>
      <c r="W1099" s="1122" t="s">
        <v>164</v>
      </c>
      <c r="X1099" s="1084">
        <v>17520415</v>
      </c>
      <c r="Y1099" s="1084"/>
      <c r="Z1099" s="827"/>
      <c r="AA1099" s="827"/>
      <c r="AB1099" s="827"/>
      <c r="AC1099" s="827"/>
      <c r="AD1099" s="827"/>
      <c r="AE1099" s="827"/>
      <c r="AF1099" s="1149"/>
      <c r="AG1099" s="853"/>
      <c r="AH1099" s="1204"/>
      <c r="AI1099" s="1204"/>
    </row>
    <row r="1100" spans="1:35" s="4" customFormat="1" ht="15" customHeight="1">
      <c r="A1100" s="1149"/>
      <c r="B1100" s="1149"/>
      <c r="C1100" s="1149"/>
      <c r="D1100" s="1149"/>
      <c r="E1100" s="1149"/>
      <c r="F1100" s="1149"/>
      <c r="G1100" s="1149"/>
      <c r="H1100" s="1209"/>
      <c r="I1100" s="1122"/>
      <c r="J1100" s="1149"/>
      <c r="K1100" s="1149"/>
      <c r="L1100" s="1243"/>
      <c r="M1100" s="1171"/>
      <c r="N1100" s="1242"/>
      <c r="O1100" s="1242"/>
      <c r="P1100" s="1242"/>
      <c r="Q1100" s="1149"/>
      <c r="R1100" s="1149"/>
      <c r="S1100" s="1149"/>
      <c r="T1100" s="840" t="s">
        <v>1638</v>
      </c>
      <c r="U1100" s="866">
        <v>7320477</v>
      </c>
      <c r="V1100" s="855">
        <v>42990</v>
      </c>
      <c r="W1100" s="1122"/>
      <c r="X1100" s="1084"/>
      <c r="Y1100" s="1084"/>
      <c r="Z1100" s="827"/>
      <c r="AA1100" s="827"/>
      <c r="AB1100" s="827"/>
      <c r="AC1100" s="827"/>
      <c r="AD1100" s="827"/>
      <c r="AE1100" s="827"/>
      <c r="AF1100" s="1149"/>
      <c r="AG1100" s="853"/>
      <c r="AH1100" s="1204"/>
      <c r="AI1100" s="1204"/>
    </row>
    <row r="1101" spans="1:35" s="4" customFormat="1" ht="15" customHeight="1">
      <c r="A1101" s="1149"/>
      <c r="B1101" s="1149"/>
      <c r="C1101" s="1149"/>
      <c r="D1101" s="1149"/>
      <c r="E1101" s="853" t="s">
        <v>171</v>
      </c>
      <c r="F1101" s="1149"/>
      <c r="G1101" s="1149"/>
      <c r="H1101" s="861">
        <v>9</v>
      </c>
      <c r="I1101" s="842" t="s">
        <v>150</v>
      </c>
      <c r="J1101" s="853">
        <v>14713032</v>
      </c>
      <c r="K1101" s="853">
        <v>14713032</v>
      </c>
      <c r="L1101" s="1243"/>
      <c r="M1101" s="855"/>
      <c r="N1101" s="874"/>
      <c r="O1101" s="875"/>
      <c r="P1101" s="875"/>
      <c r="Q1101" s="853">
        <v>14713032</v>
      </c>
      <c r="R1101" s="1149"/>
      <c r="S1101" s="1149"/>
      <c r="T1101" s="840"/>
      <c r="U1101" s="866"/>
      <c r="V1101" s="855"/>
      <c r="W1101" s="842" t="s">
        <v>150</v>
      </c>
      <c r="X1101" s="827">
        <v>0</v>
      </c>
      <c r="Y1101" s="1084"/>
      <c r="Z1101" s="827"/>
      <c r="AA1101" s="827"/>
      <c r="AB1101" s="827"/>
      <c r="AC1101" s="827"/>
      <c r="AD1101" s="827"/>
      <c r="AE1101" s="827"/>
      <c r="AF1101" s="1149"/>
      <c r="AG1101" s="853"/>
      <c r="AH1101" s="1204"/>
      <c r="AI1101" s="1204"/>
    </row>
    <row r="1102" spans="1:35" s="4" customFormat="1" ht="15" customHeight="1">
      <c r="A1102" s="1149"/>
      <c r="B1102" s="1149"/>
      <c r="C1102" s="1149"/>
      <c r="D1102" s="1149"/>
      <c r="E1102" s="853" t="s">
        <v>172</v>
      </c>
      <c r="F1102" s="1149"/>
      <c r="G1102" s="1149"/>
      <c r="H1102" s="861">
        <v>8</v>
      </c>
      <c r="I1102" s="842" t="s">
        <v>144</v>
      </c>
      <c r="J1102" s="853">
        <v>4019672</v>
      </c>
      <c r="K1102" s="853">
        <v>4019672</v>
      </c>
      <c r="L1102" s="1243"/>
      <c r="M1102" s="855"/>
      <c r="N1102" s="874"/>
      <c r="O1102" s="875"/>
      <c r="P1102" s="875"/>
      <c r="Q1102" s="853">
        <v>4019672</v>
      </c>
      <c r="R1102" s="1149"/>
      <c r="S1102" s="1149"/>
      <c r="T1102" s="840" t="s">
        <v>1637</v>
      </c>
      <c r="U1102" s="866">
        <v>3617705</v>
      </c>
      <c r="V1102" s="855">
        <v>42990</v>
      </c>
      <c r="W1102" s="842" t="s">
        <v>144</v>
      </c>
      <c r="X1102" s="827">
        <v>3617705</v>
      </c>
      <c r="Y1102" s="1084"/>
      <c r="Z1102" s="827"/>
      <c r="AA1102" s="827"/>
      <c r="AB1102" s="827"/>
      <c r="AC1102" s="827"/>
      <c r="AD1102" s="827"/>
      <c r="AE1102" s="827"/>
      <c r="AF1102" s="1149"/>
      <c r="AG1102" s="853"/>
      <c r="AH1102" s="1204"/>
      <c r="AI1102" s="1204"/>
    </row>
    <row r="1103" spans="1:35" ht="15" customHeight="1">
      <c r="A1103" s="1076" t="s">
        <v>1626</v>
      </c>
      <c r="B1103" s="1076" t="s">
        <v>1628</v>
      </c>
      <c r="C1103" s="1076" t="s">
        <v>71</v>
      </c>
      <c r="D1103" s="1076" t="s">
        <v>1221</v>
      </c>
      <c r="E1103" s="1076" t="s">
        <v>66</v>
      </c>
      <c r="F1103" s="1076" t="s">
        <v>183</v>
      </c>
      <c r="G1103" s="1076" t="s">
        <v>1635</v>
      </c>
      <c r="H1103" s="1209">
        <v>271</v>
      </c>
      <c r="I1103" s="1123" t="s">
        <v>7</v>
      </c>
      <c r="J1103" s="1119">
        <v>313196209</v>
      </c>
      <c r="K1103" s="1119">
        <v>332184962</v>
      </c>
      <c r="L1103" s="1119">
        <v>1301723353</v>
      </c>
      <c r="M1103" s="1171">
        <v>41239</v>
      </c>
      <c r="N1103" s="1196">
        <v>1301723353</v>
      </c>
      <c r="O1103" s="1196">
        <v>313196209</v>
      </c>
      <c r="P1103" s="1196">
        <v>0</v>
      </c>
      <c r="Q1103" s="1084">
        <v>310864962</v>
      </c>
      <c r="R1103" s="1119">
        <v>1301723353</v>
      </c>
      <c r="S1103" s="1076" t="s">
        <v>1550</v>
      </c>
      <c r="T1103" s="1123" t="s">
        <v>1629</v>
      </c>
      <c r="U1103" s="57">
        <v>5177943.8</v>
      </c>
      <c r="V1103" s="1171">
        <v>41632</v>
      </c>
      <c r="W1103" s="842" t="s">
        <v>137</v>
      </c>
      <c r="X1103" s="1084">
        <v>332184962.00000006</v>
      </c>
      <c r="Y1103" s="1084">
        <v>1301723353.02</v>
      </c>
      <c r="Z1103" s="827">
        <v>0</v>
      </c>
      <c r="AA1103" s="1084">
        <v>-5315774.9500000142</v>
      </c>
      <c r="AB1103" s="1119">
        <v>0</v>
      </c>
      <c r="AC1103" s="1119">
        <v>2331247</v>
      </c>
      <c r="AD1103" s="1119">
        <v>-2472588.0000000596</v>
      </c>
      <c r="AE1103" s="1119">
        <v>-5.9604644775390625E-8</v>
      </c>
      <c r="AF1103" s="1203" t="s">
        <v>523</v>
      </c>
      <c r="AG1103" s="1204" t="s">
        <v>1636</v>
      </c>
      <c r="AH1103" s="1204" t="s">
        <v>194</v>
      </c>
      <c r="AI1103" s="1204" t="s">
        <v>1619</v>
      </c>
    </row>
    <row r="1104" spans="1:35" ht="15" customHeight="1">
      <c r="A1104" s="1076"/>
      <c r="B1104" s="1076"/>
      <c r="C1104" s="1076"/>
      <c r="D1104" s="1076"/>
      <c r="E1104" s="1076"/>
      <c r="F1104" s="1076"/>
      <c r="G1104" s="1076"/>
      <c r="H1104" s="1209"/>
      <c r="I1104" s="1123"/>
      <c r="J1104" s="1119"/>
      <c r="K1104" s="1119"/>
      <c r="L1104" s="1119"/>
      <c r="M1104" s="1171"/>
      <c r="N1104" s="1196"/>
      <c r="O1104" s="1196"/>
      <c r="P1104" s="1196"/>
      <c r="Q1104" s="1084"/>
      <c r="R1104" s="1119"/>
      <c r="S1104" s="1076"/>
      <c r="T1104" s="1123"/>
      <c r="U1104" s="866">
        <v>85403837.109999999</v>
      </c>
      <c r="V1104" s="1171"/>
      <c r="W1104" s="842" t="s">
        <v>7</v>
      </c>
      <c r="X1104" s="1084"/>
      <c r="Y1104" s="1084"/>
      <c r="Z1104" s="827">
        <v>0</v>
      </c>
      <c r="AA1104" s="1084"/>
      <c r="AB1104" s="1119"/>
      <c r="AC1104" s="1119"/>
      <c r="AD1104" s="1119"/>
      <c r="AE1104" s="1119"/>
      <c r="AF1104" s="1203"/>
      <c r="AG1104" s="1204"/>
      <c r="AH1104" s="1204"/>
      <c r="AI1104" s="1204"/>
    </row>
    <row r="1105" spans="1:35" ht="15" customHeight="1">
      <c r="A1105" s="1076"/>
      <c r="B1105" s="1076"/>
      <c r="C1105" s="1076"/>
      <c r="D1105" s="1076"/>
      <c r="E1105" s="1076"/>
      <c r="F1105" s="1076"/>
      <c r="G1105" s="1076"/>
      <c r="H1105" s="1209"/>
      <c r="I1105" s="1123"/>
      <c r="J1105" s="1119"/>
      <c r="K1105" s="1119"/>
      <c r="L1105" s="1119"/>
      <c r="M1105" s="1171"/>
      <c r="N1105" s="1196"/>
      <c r="O1105" s="1196"/>
      <c r="P1105" s="1196"/>
      <c r="Q1105" s="1084"/>
      <c r="R1105" s="1119"/>
      <c r="S1105" s="1076"/>
      <c r="T1105" s="1123" t="s">
        <v>1630</v>
      </c>
      <c r="U1105" s="866">
        <v>6468870.1799999997</v>
      </c>
      <c r="V1105" s="1171">
        <v>41705</v>
      </c>
      <c r="W1105" s="842" t="s">
        <v>137</v>
      </c>
      <c r="X1105" s="1084"/>
      <c r="Y1105" s="1084"/>
      <c r="Z1105" s="827">
        <v>0</v>
      </c>
      <c r="AA1105" s="1084"/>
      <c r="AB1105" s="1119"/>
      <c r="AC1105" s="1119"/>
      <c r="AD1105" s="1119"/>
      <c r="AE1105" s="1119"/>
      <c r="AF1105" s="1203"/>
      <c r="AG1105" s="1204"/>
      <c r="AH1105" s="1204"/>
      <c r="AI1105" s="1204"/>
    </row>
    <row r="1106" spans="1:35" ht="15" customHeight="1">
      <c r="A1106" s="1076"/>
      <c r="B1106" s="1076"/>
      <c r="C1106" s="1076"/>
      <c r="D1106" s="1076"/>
      <c r="E1106" s="1076"/>
      <c r="F1106" s="1076"/>
      <c r="G1106" s="1076"/>
      <c r="H1106" s="1209"/>
      <c r="I1106" s="1123"/>
      <c r="J1106" s="1119"/>
      <c r="K1106" s="1119"/>
      <c r="L1106" s="1119"/>
      <c r="M1106" s="1171"/>
      <c r="N1106" s="1196"/>
      <c r="O1106" s="1196"/>
      <c r="P1106" s="1196"/>
      <c r="Q1106" s="1084"/>
      <c r="R1106" s="1119"/>
      <c r="S1106" s="1076"/>
      <c r="T1106" s="1123"/>
      <c r="U1106" s="866">
        <v>106696085.63</v>
      </c>
      <c r="V1106" s="1171"/>
      <c r="W1106" s="842" t="s">
        <v>7</v>
      </c>
      <c r="X1106" s="1084"/>
      <c r="Y1106" s="1084"/>
      <c r="Z1106" s="827">
        <v>0</v>
      </c>
      <c r="AA1106" s="1084"/>
      <c r="AB1106" s="1119"/>
      <c r="AC1106" s="1119"/>
      <c r="AD1106" s="1119"/>
      <c r="AE1106" s="1119"/>
      <c r="AF1106" s="1203"/>
      <c r="AG1106" s="1204"/>
      <c r="AH1106" s="1204"/>
      <c r="AI1106" s="1204"/>
    </row>
    <row r="1107" spans="1:35" ht="15" customHeight="1">
      <c r="A1107" s="1076"/>
      <c r="B1107" s="1076"/>
      <c r="C1107" s="1076"/>
      <c r="D1107" s="1076"/>
      <c r="E1107" s="1076"/>
      <c r="F1107" s="1076"/>
      <c r="G1107" s="1076"/>
      <c r="H1107" s="1209"/>
      <c r="I1107" s="1123"/>
      <c r="J1107" s="1119"/>
      <c r="K1107" s="1119"/>
      <c r="L1107" s="1119"/>
      <c r="M1107" s="1171"/>
      <c r="N1107" s="1196"/>
      <c r="O1107" s="1196"/>
      <c r="P1107" s="1196"/>
      <c r="Q1107" s="1084"/>
      <c r="R1107" s="1119"/>
      <c r="S1107" s="1076"/>
      <c r="T1107" s="1123" t="s">
        <v>1631</v>
      </c>
      <c r="U1107" s="866">
        <v>5315774.95</v>
      </c>
      <c r="V1107" s="1171">
        <v>41802</v>
      </c>
      <c r="W1107" s="842" t="s">
        <v>7</v>
      </c>
      <c r="X1107" s="1084"/>
      <c r="Y1107" s="1084"/>
      <c r="Z1107" s="827">
        <v>0</v>
      </c>
      <c r="AA1107" s="1084"/>
      <c r="AB1107" s="1119"/>
      <c r="AC1107" s="1119"/>
      <c r="AD1107" s="1119"/>
      <c r="AE1107" s="1119"/>
      <c r="AF1107" s="1203"/>
      <c r="AG1107" s="1204"/>
      <c r="AH1107" s="1204"/>
      <c r="AI1107" s="1204"/>
    </row>
    <row r="1108" spans="1:35" ht="15" customHeight="1">
      <c r="A1108" s="1076"/>
      <c r="B1108" s="1076"/>
      <c r="C1108" s="1076"/>
      <c r="D1108" s="1076"/>
      <c r="E1108" s="1076"/>
      <c r="F1108" s="1076"/>
      <c r="G1108" s="1076"/>
      <c r="H1108" s="1209"/>
      <c r="I1108" s="1123"/>
      <c r="J1108" s="1119"/>
      <c r="K1108" s="1119"/>
      <c r="L1108" s="1119"/>
      <c r="M1108" s="1171"/>
      <c r="N1108" s="1196"/>
      <c r="O1108" s="1196"/>
      <c r="P1108" s="1196"/>
      <c r="Q1108" s="1084"/>
      <c r="R1108" s="1119"/>
      <c r="S1108" s="1076"/>
      <c r="T1108" s="1123"/>
      <c r="U1108" s="866">
        <v>87677193.060000002</v>
      </c>
      <c r="V1108" s="1171"/>
      <c r="W1108" s="842" t="s">
        <v>7</v>
      </c>
      <c r="X1108" s="1084"/>
      <c r="Y1108" s="1084"/>
      <c r="Z1108" s="827">
        <v>0</v>
      </c>
      <c r="AA1108" s="1084"/>
      <c r="AB1108" s="1119"/>
      <c r="AC1108" s="1119"/>
      <c r="AD1108" s="1119"/>
      <c r="AE1108" s="1119"/>
      <c r="AF1108" s="1203"/>
      <c r="AG1108" s="1204"/>
      <c r="AH1108" s="1204"/>
      <c r="AI1108" s="1204"/>
    </row>
    <row r="1109" spans="1:35" ht="15" customHeight="1">
      <c r="A1109" s="1076"/>
      <c r="B1109" s="1076"/>
      <c r="C1109" s="1076"/>
      <c r="D1109" s="1076"/>
      <c r="E1109" s="1076"/>
      <c r="F1109" s="1076"/>
      <c r="G1109" s="1076"/>
      <c r="H1109" s="1209"/>
      <c r="I1109" s="1123" t="s">
        <v>137</v>
      </c>
      <c r="J1109" s="1119">
        <v>18988753</v>
      </c>
      <c r="K1109" s="1119"/>
      <c r="L1109" s="1119"/>
      <c r="M1109" s="1171"/>
      <c r="N1109" s="1196"/>
      <c r="O1109" s="1196">
        <v>18988753</v>
      </c>
      <c r="P1109" s="1196">
        <v>0</v>
      </c>
      <c r="Q1109" s="1084">
        <v>18847412</v>
      </c>
      <c r="R1109" s="1119"/>
      <c r="S1109" s="1076"/>
      <c r="T1109" s="1123" t="s">
        <v>1632</v>
      </c>
      <c r="U1109" s="866">
        <v>1884823.06</v>
      </c>
      <c r="V1109" s="1171">
        <v>42619</v>
      </c>
      <c r="W1109" s="842" t="s">
        <v>137</v>
      </c>
      <c r="X1109" s="1084"/>
      <c r="Y1109" s="1084"/>
      <c r="Z1109" s="827">
        <v>0</v>
      </c>
      <c r="AA1109" s="1084">
        <v>5315774.9499999993</v>
      </c>
      <c r="AB1109" s="1119"/>
      <c r="AC1109" s="1119">
        <v>141341</v>
      </c>
      <c r="AD1109" s="1119"/>
      <c r="AE1109" s="1119"/>
      <c r="AF1109" s="1203"/>
      <c r="AG1109" s="1204"/>
      <c r="AH1109" s="1204"/>
      <c r="AI1109" s="1204"/>
    </row>
    <row r="1110" spans="1:35" ht="15" customHeight="1">
      <c r="A1110" s="1076"/>
      <c r="B1110" s="1076"/>
      <c r="C1110" s="1076"/>
      <c r="D1110" s="1076"/>
      <c r="E1110" s="1076"/>
      <c r="F1110" s="1076"/>
      <c r="G1110" s="1076"/>
      <c r="H1110" s="1209"/>
      <c r="I1110" s="1123"/>
      <c r="J1110" s="1119"/>
      <c r="K1110" s="1119"/>
      <c r="L1110" s="1119"/>
      <c r="M1110" s="1171"/>
      <c r="N1110" s="1196"/>
      <c r="O1110" s="1196"/>
      <c r="P1110" s="1196"/>
      <c r="Q1110" s="1084"/>
      <c r="R1110" s="1119"/>
      <c r="S1110" s="1076"/>
      <c r="T1110" s="1123"/>
      <c r="U1110" s="866">
        <v>31087846.539999999</v>
      </c>
      <c r="V1110" s="1171"/>
      <c r="W1110" s="842" t="s">
        <v>7</v>
      </c>
      <c r="X1110" s="1084"/>
      <c r="Y1110" s="1084"/>
      <c r="Z1110" s="827">
        <v>0</v>
      </c>
      <c r="AA1110" s="1084"/>
      <c r="AB1110" s="1119"/>
      <c r="AC1110" s="1119"/>
      <c r="AD1110" s="1119"/>
      <c r="AE1110" s="1119"/>
      <c r="AF1110" s="1203"/>
      <c r="AG1110" s="1204"/>
      <c r="AH1110" s="1204"/>
      <c r="AI1110" s="1204"/>
    </row>
    <row r="1111" spans="1:35" ht="15" customHeight="1">
      <c r="A1111" s="1076"/>
      <c r="B1111" s="1076"/>
      <c r="C1111" s="1076"/>
      <c r="D1111" s="1076"/>
      <c r="E1111" s="1076"/>
      <c r="F1111" s="1076"/>
      <c r="G1111" s="1076"/>
      <c r="H1111" s="1209"/>
      <c r="I1111" s="1123"/>
      <c r="J1111" s="1119"/>
      <c r="K1111" s="1119"/>
      <c r="L1111" s="1119"/>
      <c r="M1111" s="1171"/>
      <c r="N1111" s="1196"/>
      <c r="O1111" s="1196"/>
      <c r="P1111" s="1196"/>
      <c r="Q1111" s="1084"/>
      <c r="R1111" s="1119"/>
      <c r="S1111" s="1076"/>
      <c r="T1111" s="1123" t="s">
        <v>1633</v>
      </c>
      <c r="U1111" s="866">
        <v>141341.01</v>
      </c>
      <c r="V1111" s="1171">
        <v>42634</v>
      </c>
      <c r="W1111" s="842" t="s">
        <v>137</v>
      </c>
      <c r="X1111" s="1084"/>
      <c r="Y1111" s="1084"/>
      <c r="Z1111" s="827">
        <v>0</v>
      </c>
      <c r="AA1111" s="1084"/>
      <c r="AB1111" s="1119"/>
      <c r="AC1111" s="1119"/>
      <c r="AD1111" s="1119"/>
      <c r="AE1111" s="1119"/>
      <c r="AF1111" s="1203"/>
      <c r="AG1111" s="1204"/>
      <c r="AH1111" s="1204"/>
      <c r="AI1111" s="1204"/>
    </row>
    <row r="1112" spans="1:35" ht="15" customHeight="1">
      <c r="A1112" s="1076"/>
      <c r="B1112" s="1076"/>
      <c r="C1112" s="1076"/>
      <c r="D1112" s="1076"/>
      <c r="E1112" s="1076"/>
      <c r="F1112" s="1076"/>
      <c r="G1112" s="1076"/>
      <c r="H1112" s="1209"/>
      <c r="I1112" s="1123"/>
      <c r="J1112" s="1119"/>
      <c r="K1112" s="1119"/>
      <c r="L1112" s="1119"/>
      <c r="M1112" s="1171"/>
      <c r="N1112" s="1196"/>
      <c r="O1112" s="1196"/>
      <c r="P1112" s="1196"/>
      <c r="Q1112" s="1084"/>
      <c r="R1112" s="1119"/>
      <c r="S1112" s="1076"/>
      <c r="T1112" s="1123"/>
      <c r="U1112" s="866">
        <v>2331246.66</v>
      </c>
      <c r="V1112" s="1171"/>
      <c r="W1112" s="842" t="s">
        <v>7</v>
      </c>
      <c r="X1112" s="1084"/>
      <c r="Y1112" s="1084"/>
      <c r="Z1112" s="827">
        <v>0</v>
      </c>
      <c r="AA1112" s="1084"/>
      <c r="AB1112" s="1119"/>
      <c r="AC1112" s="1119"/>
      <c r="AD1112" s="1119"/>
      <c r="AE1112" s="1119"/>
      <c r="AF1112" s="1203"/>
      <c r="AG1112" s="1204"/>
      <c r="AH1112" s="1204"/>
      <c r="AI1112" s="1204"/>
    </row>
    <row r="1113" spans="1:35" ht="15" customHeight="1">
      <c r="A1113" s="1076"/>
      <c r="B1113" s="1076"/>
      <c r="C1113" s="1076"/>
      <c r="D1113" s="1076"/>
      <c r="E1113" s="1076"/>
      <c r="F1113" s="1076"/>
      <c r="G1113" s="1076"/>
      <c r="H1113" s="1209">
        <v>7</v>
      </c>
      <c r="I1113" s="1123" t="s">
        <v>129</v>
      </c>
      <c r="J1113" s="1119">
        <v>548161973</v>
      </c>
      <c r="K1113" s="1119">
        <v>548161973</v>
      </c>
      <c r="L1113" s="1119"/>
      <c r="M1113" s="1171">
        <v>41239</v>
      </c>
      <c r="N1113" s="1196">
        <v>548161973</v>
      </c>
      <c r="O1113" s="1196">
        <v>548161973</v>
      </c>
      <c r="P1113" s="1196">
        <v>0</v>
      </c>
      <c r="Q1113" s="1084">
        <v>544081781</v>
      </c>
      <c r="R1113" s="1119"/>
      <c r="S1113" s="1076"/>
      <c r="T1113" s="840" t="s">
        <v>1629</v>
      </c>
      <c r="U1113" s="866">
        <v>149475423.09</v>
      </c>
      <c r="V1113" s="855">
        <v>41632</v>
      </c>
      <c r="W1113" s="842" t="s">
        <v>129</v>
      </c>
      <c r="X1113" s="1084">
        <v>548161973</v>
      </c>
      <c r="Y1113" s="1084"/>
      <c r="Z1113" s="827">
        <v>0</v>
      </c>
      <c r="AA1113" s="1084">
        <v>0</v>
      </c>
      <c r="AB1113" s="1119"/>
      <c r="AC1113" s="1119">
        <v>4080192</v>
      </c>
      <c r="AD1113" s="1119">
        <v>-4080192</v>
      </c>
      <c r="AE1113" s="1119">
        <v>0</v>
      </c>
      <c r="AF1113" s="1203"/>
      <c r="AG1113" s="1204"/>
      <c r="AH1113" s="1204"/>
      <c r="AI1113" s="1204"/>
    </row>
    <row r="1114" spans="1:35" ht="15" customHeight="1">
      <c r="A1114" s="1076"/>
      <c r="B1114" s="1076"/>
      <c r="C1114" s="1076"/>
      <c r="D1114" s="1076"/>
      <c r="E1114" s="1076"/>
      <c r="F1114" s="1076"/>
      <c r="G1114" s="1076"/>
      <c r="H1114" s="1209"/>
      <c r="I1114" s="1123"/>
      <c r="J1114" s="1119"/>
      <c r="K1114" s="1119"/>
      <c r="L1114" s="1119"/>
      <c r="M1114" s="1171"/>
      <c r="N1114" s="1196"/>
      <c r="O1114" s="1196"/>
      <c r="P1114" s="1196"/>
      <c r="Q1114" s="1084"/>
      <c r="R1114" s="1119"/>
      <c r="S1114" s="1076"/>
      <c r="T1114" s="840" t="s">
        <v>1630</v>
      </c>
      <c r="U1114" s="866">
        <v>186741522.19</v>
      </c>
      <c r="V1114" s="855">
        <v>41705</v>
      </c>
      <c r="W1114" s="842" t="s">
        <v>129</v>
      </c>
      <c r="X1114" s="1084"/>
      <c r="Y1114" s="1084"/>
      <c r="Z1114" s="827">
        <v>0</v>
      </c>
      <c r="AA1114" s="1084"/>
      <c r="AB1114" s="1119"/>
      <c r="AC1114" s="1119"/>
      <c r="AD1114" s="1119"/>
      <c r="AE1114" s="1119"/>
      <c r="AF1114" s="1203"/>
      <c r="AG1114" s="1204"/>
      <c r="AH1114" s="1204"/>
      <c r="AI1114" s="1204"/>
    </row>
    <row r="1115" spans="1:35" ht="15" customHeight="1">
      <c r="A1115" s="1076"/>
      <c r="B1115" s="1076"/>
      <c r="C1115" s="1076"/>
      <c r="D1115" s="1076"/>
      <c r="E1115" s="1076"/>
      <c r="F1115" s="1076"/>
      <c r="G1115" s="1076"/>
      <c r="H1115" s="1209"/>
      <c r="I1115" s="1123"/>
      <c r="J1115" s="1119"/>
      <c r="K1115" s="1119"/>
      <c r="L1115" s="1119"/>
      <c r="M1115" s="1171"/>
      <c r="N1115" s="1196"/>
      <c r="O1115" s="1196"/>
      <c r="P1115" s="1196"/>
      <c r="Q1115" s="1084"/>
      <c r="R1115" s="1119"/>
      <c r="S1115" s="1076"/>
      <c r="T1115" s="840" t="s">
        <v>1631</v>
      </c>
      <c r="U1115" s="866">
        <v>153454293.99000001</v>
      </c>
      <c r="V1115" s="855">
        <v>41802</v>
      </c>
      <c r="W1115" s="842" t="s">
        <v>129</v>
      </c>
      <c r="X1115" s="1084"/>
      <c r="Y1115" s="1084"/>
      <c r="Z1115" s="827">
        <v>0</v>
      </c>
      <c r="AA1115" s="1084"/>
      <c r="AB1115" s="1119"/>
      <c r="AC1115" s="1119"/>
      <c r="AD1115" s="1119"/>
      <c r="AE1115" s="1119"/>
      <c r="AF1115" s="1203"/>
      <c r="AG1115" s="1204"/>
      <c r="AH1115" s="1204"/>
      <c r="AI1115" s="1204"/>
    </row>
    <row r="1116" spans="1:35" ht="15" customHeight="1">
      <c r="A1116" s="1076"/>
      <c r="B1116" s="1076"/>
      <c r="C1116" s="1076"/>
      <c r="D1116" s="1076"/>
      <c r="E1116" s="1076"/>
      <c r="F1116" s="1076"/>
      <c r="G1116" s="1076"/>
      <c r="H1116" s="1209"/>
      <c r="I1116" s="1123"/>
      <c r="J1116" s="1119"/>
      <c r="K1116" s="1119"/>
      <c r="L1116" s="1119"/>
      <c r="M1116" s="1171"/>
      <c r="N1116" s="1196"/>
      <c r="O1116" s="1196"/>
      <c r="P1116" s="1196"/>
      <c r="Q1116" s="1084"/>
      <c r="R1116" s="1119"/>
      <c r="S1116" s="1076"/>
      <c r="T1116" s="840" t="s">
        <v>1632</v>
      </c>
      <c r="U1116" s="866">
        <v>54410541.399999999</v>
      </c>
      <c r="V1116" s="855">
        <v>42619</v>
      </c>
      <c r="W1116" s="842" t="s">
        <v>129</v>
      </c>
      <c r="X1116" s="1084"/>
      <c r="Y1116" s="1084"/>
      <c r="Z1116" s="827">
        <v>0</v>
      </c>
      <c r="AA1116" s="1084"/>
      <c r="AB1116" s="1119"/>
      <c r="AC1116" s="1119"/>
      <c r="AD1116" s="1119"/>
      <c r="AE1116" s="1119"/>
      <c r="AF1116" s="1203"/>
      <c r="AG1116" s="1204"/>
      <c r="AH1116" s="1204"/>
      <c r="AI1116" s="1204"/>
    </row>
    <row r="1117" spans="1:35" ht="15" customHeight="1">
      <c r="A1117" s="1076"/>
      <c r="B1117" s="1076"/>
      <c r="C1117" s="1076"/>
      <c r="D1117" s="1076"/>
      <c r="E1117" s="1076"/>
      <c r="F1117" s="1076"/>
      <c r="G1117" s="1076"/>
      <c r="H1117" s="1209"/>
      <c r="I1117" s="1123"/>
      <c r="J1117" s="1119"/>
      <c r="K1117" s="1119"/>
      <c r="L1117" s="1119"/>
      <c r="M1117" s="1171"/>
      <c r="N1117" s="1196"/>
      <c r="O1117" s="1196"/>
      <c r="P1117" s="1196"/>
      <c r="Q1117" s="1084"/>
      <c r="R1117" s="1119"/>
      <c r="S1117" s="1076"/>
      <c r="T1117" s="840" t="s">
        <v>1633</v>
      </c>
      <c r="U1117" s="866">
        <v>4080192.33</v>
      </c>
      <c r="V1117" s="855">
        <v>42634</v>
      </c>
      <c r="W1117" s="842" t="s">
        <v>129</v>
      </c>
      <c r="X1117" s="1084"/>
      <c r="Y1117" s="1084"/>
      <c r="Z1117" s="827">
        <v>0</v>
      </c>
      <c r="AA1117" s="1084"/>
      <c r="AB1117" s="1119"/>
      <c r="AC1117" s="1119"/>
      <c r="AD1117" s="1119"/>
      <c r="AE1117" s="1119"/>
      <c r="AF1117" s="1203"/>
      <c r="AG1117" s="1204"/>
      <c r="AH1117" s="1204"/>
      <c r="AI1117" s="1204"/>
    </row>
    <row r="1118" spans="1:35" ht="15" customHeight="1">
      <c r="A1118" s="1076"/>
      <c r="B1118" s="1076"/>
      <c r="C1118" s="1076"/>
      <c r="D1118" s="1076"/>
      <c r="E1118" s="1076" t="s">
        <v>67</v>
      </c>
      <c r="F1118" s="1076"/>
      <c r="G1118" s="1076"/>
      <c r="H1118" s="1209">
        <v>20</v>
      </c>
      <c r="I1118" s="1123" t="s">
        <v>129</v>
      </c>
      <c r="J1118" s="1119">
        <v>421376418</v>
      </c>
      <c r="K1118" s="1119">
        <v>421376418</v>
      </c>
      <c r="L1118" s="1119"/>
      <c r="M1118" s="1171">
        <v>42236</v>
      </c>
      <c r="N1118" s="1196">
        <v>421376418</v>
      </c>
      <c r="O1118" s="1196">
        <v>421376418</v>
      </c>
      <c r="P1118" s="1196">
        <v>0</v>
      </c>
      <c r="Q1118" s="1084">
        <v>427929198</v>
      </c>
      <c r="R1118" s="1119"/>
      <c r="S1118" s="1076"/>
      <c r="T1118" s="840" t="s">
        <v>1633</v>
      </c>
      <c r="U1118" s="866">
        <v>169443135</v>
      </c>
      <c r="V1118" s="855">
        <v>42634</v>
      </c>
      <c r="W1118" s="842" t="s">
        <v>129</v>
      </c>
      <c r="X1118" s="1084">
        <v>421376418.01999998</v>
      </c>
      <c r="Y1118" s="1084"/>
      <c r="Z1118" s="827">
        <v>0</v>
      </c>
      <c r="AA1118" s="1084">
        <v>-1.9999980926513672E-2</v>
      </c>
      <c r="AB1118" s="1119"/>
      <c r="AC1118" s="1119">
        <v>-6552780</v>
      </c>
      <c r="AD1118" s="1119">
        <v>6552779.9800000191</v>
      </c>
      <c r="AE1118" s="1119">
        <v>-1.9999980926513672E-2</v>
      </c>
      <c r="AF1118" s="1203"/>
      <c r="AG1118" s="1204"/>
      <c r="AH1118" s="1204"/>
      <c r="AI1118" s="1204"/>
    </row>
    <row r="1119" spans="1:35" ht="15" customHeight="1">
      <c r="A1119" s="1076"/>
      <c r="B1119" s="1076"/>
      <c r="C1119" s="1076"/>
      <c r="D1119" s="1076"/>
      <c r="E1119" s="1076"/>
      <c r="F1119" s="1076"/>
      <c r="G1119" s="1076"/>
      <c r="H1119" s="1209"/>
      <c r="I1119" s="1123"/>
      <c r="J1119" s="1119"/>
      <c r="K1119" s="1119"/>
      <c r="L1119" s="1119"/>
      <c r="M1119" s="1171"/>
      <c r="N1119" s="1196"/>
      <c r="O1119" s="1196"/>
      <c r="P1119" s="1196"/>
      <c r="Q1119" s="1084"/>
      <c r="R1119" s="1119"/>
      <c r="S1119" s="1076"/>
      <c r="T1119" s="1123" t="s">
        <v>1634</v>
      </c>
      <c r="U1119" s="866">
        <v>226739953.19</v>
      </c>
      <c r="V1119" s="855">
        <v>42906</v>
      </c>
      <c r="W1119" s="842" t="s">
        <v>129</v>
      </c>
      <c r="X1119" s="1084"/>
      <c r="Y1119" s="1084"/>
      <c r="Z1119" s="827">
        <v>0</v>
      </c>
      <c r="AA1119" s="1084"/>
      <c r="AB1119" s="1119"/>
      <c r="AC1119" s="1119"/>
      <c r="AD1119" s="1119"/>
      <c r="AE1119" s="1119"/>
      <c r="AF1119" s="1203"/>
      <c r="AG1119" s="1204"/>
      <c r="AH1119" s="1204"/>
      <c r="AI1119" s="1204"/>
    </row>
    <row r="1120" spans="1:35" ht="15" customHeight="1">
      <c r="A1120" s="1076"/>
      <c r="B1120" s="1076"/>
      <c r="C1120" s="1076"/>
      <c r="D1120" s="1076"/>
      <c r="E1120" s="1076"/>
      <c r="F1120" s="1076"/>
      <c r="G1120" s="1076"/>
      <c r="H1120" s="1209"/>
      <c r="I1120" s="1123"/>
      <c r="J1120" s="1119"/>
      <c r="K1120" s="1119"/>
      <c r="L1120" s="1119"/>
      <c r="M1120" s="1171"/>
      <c r="N1120" s="1196"/>
      <c r="O1120" s="1196"/>
      <c r="P1120" s="1196"/>
      <c r="Q1120" s="1084"/>
      <c r="R1120" s="1119"/>
      <c r="S1120" s="1076"/>
      <c r="T1120" s="1123"/>
      <c r="U1120" s="866">
        <v>25193329.829999998</v>
      </c>
      <c r="V1120" s="855">
        <v>42916</v>
      </c>
      <c r="W1120" s="842" t="s">
        <v>129</v>
      </c>
      <c r="X1120" s="1084"/>
      <c r="Y1120" s="1084"/>
      <c r="Z1120" s="827">
        <v>0</v>
      </c>
      <c r="AA1120" s="1084"/>
      <c r="AB1120" s="1119"/>
      <c r="AC1120" s="1119"/>
      <c r="AD1120" s="1119"/>
      <c r="AE1120" s="1119"/>
      <c r="AF1120" s="1203"/>
      <c r="AG1120" s="1204"/>
      <c r="AH1120" s="1204"/>
      <c r="AI1120" s="1204"/>
    </row>
    <row r="1121" spans="1:35" ht="15" customHeight="1">
      <c r="A1121" s="1076" t="s">
        <v>1616</v>
      </c>
      <c r="B1121" s="1076" t="s">
        <v>1618</v>
      </c>
      <c r="C1121" s="1076" t="s">
        <v>71</v>
      </c>
      <c r="D1121" s="1076" t="s">
        <v>1221</v>
      </c>
      <c r="E1121" s="1076" t="s">
        <v>66</v>
      </c>
      <c r="F1121" s="1076" t="s">
        <v>217</v>
      </c>
      <c r="G1121" s="1076" t="s">
        <v>1624</v>
      </c>
      <c r="H1121" s="1209">
        <v>290</v>
      </c>
      <c r="I1121" s="1123" t="s">
        <v>7</v>
      </c>
      <c r="J1121" s="1119">
        <v>558579220</v>
      </c>
      <c r="K1121" s="1119">
        <v>558579220</v>
      </c>
      <c r="L1121" s="1119">
        <v>854013803</v>
      </c>
      <c r="M1121" s="1171">
        <v>41533</v>
      </c>
      <c r="N1121" s="1119">
        <v>558579220</v>
      </c>
      <c r="O1121" s="1119">
        <v>558579220</v>
      </c>
      <c r="P1121" s="1119">
        <v>0</v>
      </c>
      <c r="Q1121" s="1084">
        <v>554229928</v>
      </c>
      <c r="R1121" s="1119">
        <v>848755219</v>
      </c>
      <c r="S1121" s="1076" t="s">
        <v>1620</v>
      </c>
      <c r="T1121" s="840" t="s">
        <v>1621</v>
      </c>
      <c r="U1121" s="866">
        <v>277114964</v>
      </c>
      <c r="V1121" s="855">
        <v>41691</v>
      </c>
      <c r="W1121" s="842" t="s">
        <v>7</v>
      </c>
      <c r="X1121" s="1084">
        <v>391674846.13999999</v>
      </c>
      <c r="Y1121" s="1084">
        <v>682359868.13999999</v>
      </c>
      <c r="Z1121" s="827">
        <v>-7.9999983310699463E-2</v>
      </c>
      <c r="AA1121" s="1084">
        <v>166904373.86000001</v>
      </c>
      <c r="AB1121" s="1119">
        <v>162555081.86000001</v>
      </c>
      <c r="AC1121" s="1119">
        <v>4349292</v>
      </c>
      <c r="AD1121" s="1119">
        <v>0.99000000953674316</v>
      </c>
      <c r="AE1121" s="1119"/>
      <c r="AF1121" s="1203"/>
      <c r="AG1121" s="1237" t="s">
        <v>1625</v>
      </c>
      <c r="AH1121" s="1204" t="s">
        <v>194</v>
      </c>
      <c r="AI1121" s="1204" t="s">
        <v>1619</v>
      </c>
    </row>
    <row r="1122" spans="1:35" ht="15" customHeight="1">
      <c r="A1122" s="1076"/>
      <c r="B1122" s="1076"/>
      <c r="C1122" s="1076"/>
      <c r="D1122" s="1076"/>
      <c r="E1122" s="1076"/>
      <c r="F1122" s="1076"/>
      <c r="G1122" s="1076"/>
      <c r="H1122" s="1209"/>
      <c r="I1122" s="1123"/>
      <c r="J1122" s="1119"/>
      <c r="K1122" s="1119"/>
      <c r="L1122" s="1119"/>
      <c r="M1122" s="1171"/>
      <c r="N1122" s="1119"/>
      <c r="O1122" s="1119"/>
      <c r="P1122" s="1119"/>
      <c r="Q1122" s="1084"/>
      <c r="R1122" s="1119"/>
      <c r="S1122" s="1076"/>
      <c r="T1122" s="840" t="s">
        <v>1622</v>
      </c>
      <c r="U1122" s="866">
        <v>114559882.14</v>
      </c>
      <c r="V1122" s="855">
        <v>41988</v>
      </c>
      <c r="W1122" s="842" t="s">
        <v>7</v>
      </c>
      <c r="X1122" s="1084"/>
      <c r="Y1122" s="1084"/>
      <c r="Z1122" s="827">
        <v>0</v>
      </c>
      <c r="AA1122" s="1084"/>
      <c r="AB1122" s="1119"/>
      <c r="AC1122" s="1119"/>
      <c r="AD1122" s="1119"/>
      <c r="AE1122" s="1119"/>
      <c r="AF1122" s="1203"/>
      <c r="AG1122" s="1204"/>
      <c r="AH1122" s="1204"/>
      <c r="AI1122" s="1204"/>
    </row>
    <row r="1123" spans="1:35" ht="15" customHeight="1">
      <c r="A1123" s="1076"/>
      <c r="B1123" s="1076"/>
      <c r="C1123" s="1076"/>
      <c r="D1123" s="1076"/>
      <c r="E1123" s="1076"/>
      <c r="F1123" s="1076"/>
      <c r="G1123" s="1076"/>
      <c r="H1123" s="1209"/>
      <c r="I1123" s="1123"/>
      <c r="J1123" s="1119"/>
      <c r="K1123" s="1119"/>
      <c r="L1123" s="1119"/>
      <c r="M1123" s="1171"/>
      <c r="N1123" s="1119"/>
      <c r="O1123" s="1119"/>
      <c r="P1123" s="1119"/>
      <c r="Q1123" s="1084"/>
      <c r="R1123" s="1119"/>
      <c r="S1123" s="1076"/>
      <c r="T1123" s="840" t="s">
        <v>1623</v>
      </c>
      <c r="U1123"/>
      <c r="V1123" s="855"/>
      <c r="W1123" s="842"/>
      <c r="X1123" s="1084"/>
      <c r="Y1123" s="1084"/>
      <c r="Z1123" s="827">
        <v>162555080.94999999</v>
      </c>
      <c r="AA1123" s="1084"/>
      <c r="AB1123" s="1119"/>
      <c r="AC1123" s="1119"/>
      <c r="AD1123" s="1119"/>
      <c r="AE1123" s="1119"/>
      <c r="AF1123" s="1203"/>
      <c r="AG1123" s="1204"/>
      <c r="AH1123" s="1204"/>
      <c r="AI1123" s="1204"/>
    </row>
    <row r="1124" spans="1:35" ht="15" customHeight="1">
      <c r="A1124" s="1076"/>
      <c r="B1124" s="1076"/>
      <c r="C1124" s="1076"/>
      <c r="D1124" s="1076"/>
      <c r="E1124" s="1076"/>
      <c r="F1124" s="1076"/>
      <c r="G1124" s="1076"/>
      <c r="H1124" s="1209">
        <v>4</v>
      </c>
      <c r="I1124" s="1123" t="s">
        <v>150</v>
      </c>
      <c r="J1124" s="1119">
        <v>116780272</v>
      </c>
      <c r="K1124" s="1119">
        <v>116780272</v>
      </c>
      <c r="L1124" s="1119"/>
      <c r="M1124" s="1171">
        <v>41533</v>
      </c>
      <c r="N1124" s="1196">
        <v>116780272</v>
      </c>
      <c r="O1124" s="1196">
        <v>116780272</v>
      </c>
      <c r="P1124" s="1196">
        <v>0</v>
      </c>
      <c r="Q1124" s="1084">
        <v>115870980</v>
      </c>
      <c r="R1124" s="1119"/>
      <c r="S1124" s="1076"/>
      <c r="T1124" s="840" t="s">
        <v>1621</v>
      </c>
      <c r="U1124" s="866">
        <v>57935490</v>
      </c>
      <c r="V1124" s="855">
        <v>41691</v>
      </c>
      <c r="W1124" s="842" t="s">
        <v>150</v>
      </c>
      <c r="X1124" s="1084">
        <v>115870980</v>
      </c>
      <c r="Y1124" s="1084"/>
      <c r="Z1124" s="827">
        <v>9.0000003576278687E-2</v>
      </c>
      <c r="AA1124" s="1084">
        <v>909292</v>
      </c>
      <c r="AB1124" s="1119"/>
      <c r="AC1124" s="1119">
        <v>909292</v>
      </c>
      <c r="AD1124" s="1119">
        <v>-1.000000536441803E-2</v>
      </c>
      <c r="AE1124" s="1119"/>
      <c r="AF1124" s="1203"/>
      <c r="AG1124" s="1204"/>
      <c r="AH1124" s="1204"/>
      <c r="AI1124" s="1204"/>
    </row>
    <row r="1125" spans="1:35" ht="15" customHeight="1">
      <c r="A1125" s="1076"/>
      <c r="B1125" s="1076"/>
      <c r="C1125" s="1076"/>
      <c r="D1125" s="1076"/>
      <c r="E1125" s="1076"/>
      <c r="F1125" s="1076"/>
      <c r="G1125" s="1076"/>
      <c r="H1125" s="1209"/>
      <c r="I1125" s="1123"/>
      <c r="J1125" s="1119"/>
      <c r="K1125" s="1119"/>
      <c r="L1125" s="1119"/>
      <c r="M1125" s="1171"/>
      <c r="N1125" s="1196"/>
      <c r="O1125" s="1196"/>
      <c r="P1125" s="1196"/>
      <c r="Q1125" s="1084"/>
      <c r="R1125" s="1119"/>
      <c r="S1125" s="1076"/>
      <c r="T1125" s="840" t="s">
        <v>1622</v>
      </c>
      <c r="U1125" s="866">
        <v>23950647.859999999</v>
      </c>
      <c r="V1125" s="855">
        <v>41988</v>
      </c>
      <c r="W1125" s="842" t="s">
        <v>150</v>
      </c>
      <c r="X1125" s="1084"/>
      <c r="Y1125" s="1084"/>
      <c r="Z1125" s="827">
        <v>0</v>
      </c>
      <c r="AA1125" s="1084"/>
      <c r="AB1125" s="1119"/>
      <c r="AC1125" s="1119"/>
      <c r="AD1125" s="1119"/>
      <c r="AE1125" s="1119"/>
      <c r="AF1125" s="1203"/>
      <c r="AG1125" s="1204"/>
      <c r="AH1125" s="1204"/>
      <c r="AI1125" s="1204"/>
    </row>
    <row r="1126" spans="1:35" ht="15" customHeight="1">
      <c r="A1126" s="1076"/>
      <c r="B1126" s="1076"/>
      <c r="C1126" s="1076"/>
      <c r="D1126" s="1076"/>
      <c r="E1126" s="1076"/>
      <c r="F1126" s="1076"/>
      <c r="G1126" s="1076"/>
      <c r="H1126" s="1209"/>
      <c r="I1126" s="1123"/>
      <c r="J1126" s="1119"/>
      <c r="K1126" s="1119"/>
      <c r="L1126" s="1119"/>
      <c r="M1126" s="1171"/>
      <c r="N1126" s="1196"/>
      <c r="O1126" s="1196"/>
      <c r="P1126" s="1196"/>
      <c r="Q1126" s="1084"/>
      <c r="R1126" s="1119"/>
      <c r="S1126" s="1076"/>
      <c r="T1126" s="840" t="s">
        <v>1623</v>
      </c>
      <c r="U1126" s="866">
        <v>33984842.140000001</v>
      </c>
      <c r="V1126" s="855">
        <v>43096</v>
      </c>
      <c r="W1126" s="842" t="s">
        <v>150</v>
      </c>
      <c r="X1126" s="1084"/>
      <c r="Y1126" s="1084"/>
      <c r="Z1126" s="827">
        <v>-7.9999998211860657E-2</v>
      </c>
      <c r="AA1126" s="1084"/>
      <c r="AB1126" s="1119"/>
      <c r="AC1126" s="1119"/>
      <c r="AD1126" s="1119"/>
      <c r="AE1126" s="1119"/>
      <c r="AF1126" s="1203"/>
      <c r="AG1126" s="1204"/>
      <c r="AH1126" s="1204"/>
      <c r="AI1126" s="1204"/>
    </row>
    <row r="1127" spans="1:35" ht="15" customHeight="1">
      <c r="A1127" s="1076"/>
      <c r="B1127" s="1076"/>
      <c r="C1127" s="1076"/>
      <c r="D1127" s="1076"/>
      <c r="E1127" s="823" t="s">
        <v>67</v>
      </c>
      <c r="F1127" s="1076"/>
      <c r="G1127" s="1076"/>
      <c r="H1127" s="861">
        <v>8</v>
      </c>
      <c r="I1127" s="840" t="s">
        <v>150</v>
      </c>
      <c r="J1127" s="858">
        <v>178654311</v>
      </c>
      <c r="K1127" s="858">
        <v>178654311</v>
      </c>
      <c r="L1127" s="1119"/>
      <c r="M1127" s="855">
        <v>42048</v>
      </c>
      <c r="N1127" s="862">
        <v>178654311</v>
      </c>
      <c r="O1127" s="862">
        <v>178654311</v>
      </c>
      <c r="P1127" s="858">
        <v>0</v>
      </c>
      <c r="Q1127" s="827">
        <v>178654311</v>
      </c>
      <c r="R1127" s="1119"/>
      <c r="S1127" s="1076"/>
      <c r="T1127" s="840" t="s">
        <v>1623</v>
      </c>
      <c r="U1127" s="866">
        <v>174814042</v>
      </c>
      <c r="V1127" s="855">
        <v>43096</v>
      </c>
      <c r="W1127" s="842" t="s">
        <v>150</v>
      </c>
      <c r="X1127" s="827">
        <v>174814042</v>
      </c>
      <c r="Y1127" s="1084"/>
      <c r="Z1127" s="827">
        <v>0.98000001907348633</v>
      </c>
      <c r="AA1127" s="827">
        <v>3840269</v>
      </c>
      <c r="AB1127" s="1119"/>
      <c r="AC1127" s="858">
        <v>0</v>
      </c>
      <c r="AD1127" s="858">
        <v>3840268.0199999809</v>
      </c>
      <c r="AE1127" s="858"/>
      <c r="AF1127" s="1203"/>
      <c r="AG1127" s="1204"/>
      <c r="AH1127" s="1204"/>
      <c r="AI1127" s="1204"/>
    </row>
    <row r="1128" spans="1:35" ht="15" customHeight="1">
      <c r="A1128" s="1076" t="s">
        <v>1663</v>
      </c>
      <c r="B1128" s="1076" t="s">
        <v>1664</v>
      </c>
      <c r="C1128" s="1076" t="s">
        <v>70</v>
      </c>
      <c r="D1128" s="1076" t="s">
        <v>206</v>
      </c>
      <c r="E1128" s="1076" t="s">
        <v>66</v>
      </c>
      <c r="F1128" s="1076" t="s">
        <v>49</v>
      </c>
      <c r="G1128" s="1076" t="s">
        <v>1665</v>
      </c>
      <c r="H1128" s="1209">
        <v>264</v>
      </c>
      <c r="I1128" s="1123" t="s">
        <v>7</v>
      </c>
      <c r="J1128" s="1119">
        <v>32021416</v>
      </c>
      <c r="K1128" s="1119">
        <v>32021416</v>
      </c>
      <c r="L1128" s="1119">
        <v>133601418</v>
      </c>
      <c r="M1128" s="1171">
        <v>41227</v>
      </c>
      <c r="N1128" s="1196">
        <v>32021416</v>
      </c>
      <c r="O1128" s="1196">
        <v>32021416</v>
      </c>
      <c r="P1128" s="1196">
        <v>0</v>
      </c>
      <c r="Q1128" s="1084">
        <v>31872971.600000001</v>
      </c>
      <c r="R1128" s="1119">
        <v>133194266</v>
      </c>
      <c r="S1128" s="1076" t="s">
        <v>1271</v>
      </c>
      <c r="T1128" s="840" t="s">
        <v>1667</v>
      </c>
      <c r="U1128" s="866">
        <v>12749188.49</v>
      </c>
      <c r="V1128" s="855">
        <v>41564</v>
      </c>
      <c r="W1128" s="842" t="s">
        <v>7</v>
      </c>
      <c r="X1128" s="1084">
        <v>31872971.600000001</v>
      </c>
      <c r="Y1128" s="1084">
        <v>133194265.94000001</v>
      </c>
      <c r="Z1128" s="827">
        <v>0.15000000037252903</v>
      </c>
      <c r="AA1128" s="1084">
        <v>148444.39999999851</v>
      </c>
      <c r="AB1128" s="1119"/>
      <c r="AC1128" s="1119">
        <v>148444.39999999851</v>
      </c>
      <c r="AD1128" s="1119"/>
      <c r="AE1128" s="1119"/>
      <c r="AF1128" s="1203" t="s">
        <v>1676</v>
      </c>
      <c r="AG1128" s="1204" t="s">
        <v>1666</v>
      </c>
      <c r="AH1128" s="1204" t="s">
        <v>194</v>
      </c>
      <c r="AI1128" s="1204" t="s">
        <v>1619</v>
      </c>
    </row>
    <row r="1129" spans="1:35" ht="15" customHeight="1">
      <c r="A1129" s="1076"/>
      <c r="B1129" s="1076"/>
      <c r="C1129" s="1076"/>
      <c r="D1129" s="1076"/>
      <c r="E1129" s="1076"/>
      <c r="F1129" s="1076"/>
      <c r="G1129" s="1076"/>
      <c r="H1129" s="1209"/>
      <c r="I1129" s="1123"/>
      <c r="J1129" s="1119"/>
      <c r="K1129" s="1119"/>
      <c r="L1129" s="1119"/>
      <c r="M1129" s="1171"/>
      <c r="N1129" s="1196"/>
      <c r="O1129" s="1196"/>
      <c r="P1129" s="1196"/>
      <c r="Q1129" s="1084"/>
      <c r="R1129" s="1119"/>
      <c r="S1129" s="1076"/>
      <c r="T1129" s="840" t="s">
        <v>1668</v>
      </c>
      <c r="U1129" s="866">
        <v>5509930.1799999997</v>
      </c>
      <c r="V1129" s="855">
        <v>41631</v>
      </c>
      <c r="W1129" s="842" t="s">
        <v>7</v>
      </c>
      <c r="X1129" s="1084"/>
      <c r="Y1129" s="1084"/>
      <c r="Z1129" s="827">
        <v>0</v>
      </c>
      <c r="AA1129" s="1084"/>
      <c r="AB1129" s="1119"/>
      <c r="AC1129" s="1119"/>
      <c r="AD1129" s="1119"/>
      <c r="AE1129" s="1119"/>
      <c r="AF1129" s="1203"/>
      <c r="AG1129" s="1204"/>
      <c r="AH1129" s="1204"/>
      <c r="AI1129" s="1204"/>
    </row>
    <row r="1130" spans="1:35" ht="15" customHeight="1">
      <c r="A1130" s="1076"/>
      <c r="B1130" s="1076"/>
      <c r="C1130" s="1076"/>
      <c r="D1130" s="1076"/>
      <c r="E1130" s="1076"/>
      <c r="F1130" s="1076"/>
      <c r="G1130" s="1076"/>
      <c r="H1130" s="1209"/>
      <c r="I1130" s="1123"/>
      <c r="J1130" s="1119"/>
      <c r="K1130" s="1119"/>
      <c r="L1130" s="1119"/>
      <c r="M1130" s="1171"/>
      <c r="N1130" s="1196"/>
      <c r="O1130" s="1196"/>
      <c r="P1130" s="1196"/>
      <c r="Q1130" s="1084"/>
      <c r="R1130" s="1119"/>
      <c r="S1130" s="1076"/>
      <c r="T1130" s="840" t="s">
        <v>1669</v>
      </c>
      <c r="U1130" s="866">
        <v>4145827.4</v>
      </c>
      <c r="V1130" s="855">
        <v>41726</v>
      </c>
      <c r="W1130" s="842" t="s">
        <v>7</v>
      </c>
      <c r="X1130" s="1084"/>
      <c r="Y1130" s="1084"/>
      <c r="Z1130" s="827">
        <v>0</v>
      </c>
      <c r="AA1130" s="1084"/>
      <c r="AB1130" s="1119"/>
      <c r="AC1130" s="1119"/>
      <c r="AD1130" s="1119"/>
      <c r="AE1130" s="1119"/>
      <c r="AF1130" s="1203"/>
      <c r="AG1130" s="1204"/>
      <c r="AH1130" s="1204"/>
      <c r="AI1130" s="1204"/>
    </row>
    <row r="1131" spans="1:35" ht="15" customHeight="1">
      <c r="A1131" s="1076"/>
      <c r="B1131" s="1076"/>
      <c r="C1131" s="1076"/>
      <c r="D1131" s="1076"/>
      <c r="E1131" s="1076"/>
      <c r="F1131" s="1076"/>
      <c r="G1131" s="1076"/>
      <c r="H1131" s="1209"/>
      <c r="I1131" s="1123"/>
      <c r="J1131" s="1119"/>
      <c r="K1131" s="1119"/>
      <c r="L1131" s="1119"/>
      <c r="M1131" s="1171"/>
      <c r="N1131" s="1196"/>
      <c r="O1131" s="1196"/>
      <c r="P1131" s="1196"/>
      <c r="Q1131" s="1084"/>
      <c r="R1131" s="1119"/>
      <c r="S1131" s="1076"/>
      <c r="T1131" s="840" t="s">
        <v>1670</v>
      </c>
      <c r="U1131" s="866">
        <v>6031009.1600000001</v>
      </c>
      <c r="V1131" s="855">
        <v>41793</v>
      </c>
      <c r="W1131" s="842" t="s">
        <v>7</v>
      </c>
      <c r="X1131" s="1084"/>
      <c r="Y1131" s="1084"/>
      <c r="Z1131" s="827">
        <v>0</v>
      </c>
      <c r="AA1131" s="1084"/>
      <c r="AB1131" s="1119"/>
      <c r="AC1131" s="1119"/>
      <c r="AD1131" s="1119"/>
      <c r="AE1131" s="1119"/>
      <c r="AF1131" s="1203"/>
      <c r="AG1131" s="1204"/>
      <c r="AH1131" s="1204"/>
      <c r="AI1131" s="1204"/>
    </row>
    <row r="1132" spans="1:35" ht="15" customHeight="1">
      <c r="A1132" s="1076"/>
      <c r="B1132" s="1076"/>
      <c r="C1132" s="1076"/>
      <c r="D1132" s="1076"/>
      <c r="E1132" s="1076"/>
      <c r="F1132" s="1076"/>
      <c r="G1132" s="1076"/>
      <c r="H1132" s="1209"/>
      <c r="I1132" s="1123"/>
      <c r="J1132" s="1119"/>
      <c r="K1132" s="1119"/>
      <c r="L1132" s="1119"/>
      <c r="M1132" s="1171"/>
      <c r="N1132" s="1196"/>
      <c r="O1132" s="1196"/>
      <c r="P1132" s="1196"/>
      <c r="Q1132" s="1084"/>
      <c r="R1132" s="1119"/>
      <c r="S1132" s="1076"/>
      <c r="T1132" s="840" t="s">
        <v>1674</v>
      </c>
      <c r="U1132" s="866">
        <v>1524638.05</v>
      </c>
      <c r="V1132" s="855">
        <v>41976</v>
      </c>
      <c r="W1132" s="842" t="s">
        <v>7</v>
      </c>
      <c r="X1132" s="1084"/>
      <c r="Y1132" s="1084"/>
      <c r="Z1132" s="827">
        <v>0</v>
      </c>
      <c r="AA1132" s="1084"/>
      <c r="AB1132" s="1119"/>
      <c r="AC1132" s="1119"/>
      <c r="AD1132" s="1119"/>
      <c r="AE1132" s="1119"/>
      <c r="AF1132" s="1203"/>
      <c r="AG1132" s="1204"/>
      <c r="AH1132" s="1204"/>
      <c r="AI1132" s="1204"/>
    </row>
    <row r="1133" spans="1:35" ht="15" customHeight="1">
      <c r="A1133" s="1076"/>
      <c r="B1133" s="1076"/>
      <c r="C1133" s="1076"/>
      <c r="D1133" s="1076"/>
      <c r="E1133" s="1076"/>
      <c r="F1133" s="1076"/>
      <c r="G1133" s="1076"/>
      <c r="H1133" s="1209"/>
      <c r="I1133" s="1123"/>
      <c r="J1133" s="1119"/>
      <c r="K1133" s="1119"/>
      <c r="L1133" s="1119"/>
      <c r="M1133" s="1171"/>
      <c r="N1133" s="1196"/>
      <c r="O1133" s="1196"/>
      <c r="P1133" s="1196"/>
      <c r="Q1133" s="1084"/>
      <c r="R1133" s="1119"/>
      <c r="S1133" s="1076"/>
      <c r="T1133" s="840" t="s">
        <v>1671</v>
      </c>
      <c r="U1133" s="866">
        <v>1450366.79</v>
      </c>
      <c r="V1133" s="855">
        <v>42256</v>
      </c>
      <c r="W1133" s="842" t="s">
        <v>7</v>
      </c>
      <c r="X1133" s="1084"/>
      <c r="Y1133" s="1084"/>
      <c r="Z1133" s="827">
        <v>0</v>
      </c>
      <c r="AA1133" s="1084"/>
      <c r="AB1133" s="1119"/>
      <c r="AC1133" s="1119"/>
      <c r="AD1133" s="1119"/>
      <c r="AE1133" s="1119"/>
      <c r="AF1133" s="1203"/>
      <c r="AG1133" s="1204"/>
      <c r="AH1133" s="1204"/>
      <c r="AI1133" s="1204"/>
    </row>
    <row r="1134" spans="1:35" ht="15" customHeight="1">
      <c r="A1134" s="1076"/>
      <c r="B1134" s="1076"/>
      <c r="C1134" s="1076"/>
      <c r="D1134" s="1076"/>
      <c r="E1134" s="1076"/>
      <c r="F1134" s="1076"/>
      <c r="G1134" s="1076"/>
      <c r="H1134" s="1209"/>
      <c r="I1134" s="1123"/>
      <c r="J1134" s="1119"/>
      <c r="K1134" s="1119"/>
      <c r="L1134" s="1119"/>
      <c r="M1134" s="1171"/>
      <c r="N1134" s="1196"/>
      <c r="O1134" s="1196"/>
      <c r="P1134" s="1196"/>
      <c r="Q1134" s="1084"/>
      <c r="R1134" s="1119"/>
      <c r="S1134" s="1076"/>
      <c r="T1134" s="840" t="s">
        <v>1675</v>
      </c>
      <c r="U1134" s="866">
        <v>462011.53</v>
      </c>
      <c r="V1134" s="855">
        <v>42774</v>
      </c>
      <c r="W1134" s="842" t="s">
        <v>7</v>
      </c>
      <c r="X1134" s="1084"/>
      <c r="Y1134" s="1084"/>
      <c r="Z1134" s="827">
        <v>-462011.53</v>
      </c>
      <c r="AA1134" s="1084"/>
      <c r="AB1134" s="1119"/>
      <c r="AC1134" s="1119"/>
      <c r="AD1134" s="1119"/>
      <c r="AE1134" s="1119"/>
      <c r="AF1134" s="1203"/>
      <c r="AG1134" s="1204"/>
      <c r="AH1134" s="1204"/>
      <c r="AI1134" s="1204"/>
    </row>
    <row r="1135" spans="1:35" ht="15" customHeight="1">
      <c r="A1135" s="1076"/>
      <c r="B1135" s="1076"/>
      <c r="C1135" s="1076"/>
      <c r="D1135" s="1076"/>
      <c r="E1135" s="1076"/>
      <c r="F1135" s="1076"/>
      <c r="G1135" s="1076"/>
      <c r="H1135" s="1209"/>
      <c r="I1135" s="1123"/>
      <c r="J1135" s="1119"/>
      <c r="K1135" s="1119"/>
      <c r="L1135" s="1119"/>
      <c r="M1135" s="1171"/>
      <c r="N1135" s="1196"/>
      <c r="O1135" s="1196"/>
      <c r="P1135" s="1196"/>
      <c r="Q1135" s="1084"/>
      <c r="R1135" s="1119"/>
      <c r="S1135" s="1076"/>
      <c r="T1135" s="840"/>
      <c r="U1135" s="866"/>
      <c r="V1135" s="855"/>
      <c r="W1135" s="842"/>
      <c r="X1135" s="1084"/>
      <c r="Y1135" s="1084"/>
      <c r="Z1135" s="827">
        <v>0</v>
      </c>
      <c r="AA1135" s="1084"/>
      <c r="AB1135" s="1119"/>
      <c r="AC1135" s="1119"/>
      <c r="AD1135" s="1119"/>
      <c r="AE1135" s="1119"/>
      <c r="AF1135" s="1203"/>
      <c r="AG1135" s="1204"/>
      <c r="AH1135" s="1204"/>
      <c r="AI1135" s="1204"/>
    </row>
    <row r="1136" spans="1:35" ht="15" customHeight="1">
      <c r="A1136" s="1076"/>
      <c r="B1136" s="1076"/>
      <c r="C1136" s="1076"/>
      <c r="D1136" s="1076"/>
      <c r="E1136" s="1076"/>
      <c r="F1136" s="1076"/>
      <c r="G1136" s="1076"/>
      <c r="H1136" s="1209">
        <v>272</v>
      </c>
      <c r="I1136" s="1123" t="s">
        <v>137</v>
      </c>
      <c r="J1136" s="1119">
        <v>55806642</v>
      </c>
      <c r="K1136" s="1119">
        <v>55806642</v>
      </c>
      <c r="L1136" s="1119"/>
      <c r="M1136" s="1171">
        <v>41239</v>
      </c>
      <c r="N1136" s="1119">
        <v>55806642</v>
      </c>
      <c r="O1136" s="1119">
        <v>55806642</v>
      </c>
      <c r="P1136" s="1119">
        <v>0</v>
      </c>
      <c r="Q1136" s="1084">
        <v>55547934.399999999</v>
      </c>
      <c r="R1136" s="1119"/>
      <c r="S1136" s="1076"/>
      <c r="T1136" s="840" t="s">
        <v>1667</v>
      </c>
      <c r="U1136" s="866">
        <v>22219173.510000002</v>
      </c>
      <c r="V1136" s="855">
        <v>41564</v>
      </c>
      <c r="W1136" s="842" t="s">
        <v>137</v>
      </c>
      <c r="X1136" s="1084">
        <v>55547934.400000013</v>
      </c>
      <c r="Y1136" s="1084"/>
      <c r="Z1136" s="827">
        <v>0.25</v>
      </c>
      <c r="AA1136" s="1084">
        <v>258707.59999998659</v>
      </c>
      <c r="AB1136" s="1119"/>
      <c r="AC1136" s="1119">
        <v>258707.60000000149</v>
      </c>
      <c r="AD1136" s="1119"/>
      <c r="AE1136" s="1119"/>
      <c r="AF1136" s="1203"/>
      <c r="AG1136" s="1204"/>
      <c r="AH1136" s="1204"/>
      <c r="AI1136" s="1204"/>
    </row>
    <row r="1137" spans="1:35" ht="15" customHeight="1">
      <c r="A1137" s="1076"/>
      <c r="B1137" s="1076"/>
      <c r="C1137" s="1076"/>
      <c r="D1137" s="1076"/>
      <c r="E1137" s="1076"/>
      <c r="F1137" s="1076"/>
      <c r="G1137" s="1076"/>
      <c r="H1137" s="1209"/>
      <c r="I1137" s="1123"/>
      <c r="J1137" s="1119"/>
      <c r="K1137" s="1119"/>
      <c r="L1137" s="1119"/>
      <c r="M1137" s="1171"/>
      <c r="N1137" s="1119"/>
      <c r="O1137" s="1119"/>
      <c r="P1137" s="1119"/>
      <c r="Q1137" s="1084"/>
      <c r="R1137" s="1119"/>
      <c r="S1137" s="1076"/>
      <c r="T1137" s="840" t="s">
        <v>1668</v>
      </c>
      <c r="U1137" s="866">
        <v>9602657.8200000003</v>
      </c>
      <c r="V1137" s="855">
        <v>41631</v>
      </c>
      <c r="W1137" s="842" t="s">
        <v>137</v>
      </c>
      <c r="X1137" s="1084"/>
      <c r="Y1137" s="1084"/>
      <c r="Z1137" s="827">
        <v>0</v>
      </c>
      <c r="AA1137" s="1084"/>
      <c r="AB1137" s="1119"/>
      <c r="AC1137" s="1119"/>
      <c r="AD1137" s="1119"/>
      <c r="AE1137" s="1119"/>
      <c r="AF1137" s="1203"/>
      <c r="AG1137" s="1204"/>
      <c r="AH1137" s="1204"/>
      <c r="AI1137" s="1204"/>
    </row>
    <row r="1138" spans="1:35" ht="15" customHeight="1">
      <c r="A1138" s="1076"/>
      <c r="B1138" s="1076"/>
      <c r="C1138" s="1076"/>
      <c r="D1138" s="1076"/>
      <c r="E1138" s="1076"/>
      <c r="F1138" s="1076"/>
      <c r="G1138" s="1076"/>
      <c r="H1138" s="1209"/>
      <c r="I1138" s="1123"/>
      <c r="J1138" s="1119"/>
      <c r="K1138" s="1119"/>
      <c r="L1138" s="1119"/>
      <c r="M1138" s="1171"/>
      <c r="N1138" s="1119"/>
      <c r="O1138" s="1119"/>
      <c r="P1138" s="1119"/>
      <c r="Q1138" s="1084"/>
      <c r="R1138" s="1119"/>
      <c r="S1138" s="1076"/>
      <c r="T1138" s="840" t="s">
        <v>1669</v>
      </c>
      <c r="U1138" s="866">
        <v>7225311.5099999998</v>
      </c>
      <c r="V1138" s="855">
        <v>41726</v>
      </c>
      <c r="W1138" s="842" t="s">
        <v>137</v>
      </c>
      <c r="X1138" s="1084"/>
      <c r="Y1138" s="1084"/>
      <c r="Z1138" s="827">
        <v>0</v>
      </c>
      <c r="AA1138" s="1084"/>
      <c r="AB1138" s="1119"/>
      <c r="AC1138" s="1119"/>
      <c r="AD1138" s="1119"/>
      <c r="AE1138" s="1119"/>
      <c r="AF1138" s="1203"/>
      <c r="AG1138" s="1204"/>
      <c r="AH1138" s="1204"/>
      <c r="AI1138" s="1204"/>
    </row>
    <row r="1139" spans="1:35" ht="15" customHeight="1">
      <c r="A1139" s="1076"/>
      <c r="B1139" s="1076"/>
      <c r="C1139" s="1076"/>
      <c r="D1139" s="1076"/>
      <c r="E1139" s="1076"/>
      <c r="F1139" s="1076"/>
      <c r="G1139" s="1076"/>
      <c r="H1139" s="1209"/>
      <c r="I1139" s="1123"/>
      <c r="J1139" s="1119"/>
      <c r="K1139" s="1119"/>
      <c r="L1139" s="1119"/>
      <c r="M1139" s="1171"/>
      <c r="N1139" s="1119"/>
      <c r="O1139" s="1119"/>
      <c r="P1139" s="1119"/>
      <c r="Q1139" s="1084"/>
      <c r="R1139" s="1119"/>
      <c r="S1139" s="1076"/>
      <c r="T1139" s="840" t="s">
        <v>1670</v>
      </c>
      <c r="U1139" s="866">
        <v>10510789.699999999</v>
      </c>
      <c r="V1139" s="855">
        <v>41793</v>
      </c>
      <c r="W1139" s="842" t="s">
        <v>137</v>
      </c>
      <c r="X1139" s="1084"/>
      <c r="Y1139" s="1084"/>
      <c r="Z1139" s="827">
        <v>0</v>
      </c>
      <c r="AA1139" s="1084"/>
      <c r="AB1139" s="1119"/>
      <c r="AC1139" s="1119"/>
      <c r="AD1139" s="1119"/>
      <c r="AE1139" s="1119"/>
      <c r="AF1139" s="1203"/>
      <c r="AG1139" s="1204"/>
      <c r="AH1139" s="1204"/>
      <c r="AI1139" s="1204"/>
    </row>
    <row r="1140" spans="1:35" ht="15" customHeight="1">
      <c r="A1140" s="1076"/>
      <c r="B1140" s="1076"/>
      <c r="C1140" s="1076"/>
      <c r="D1140" s="1076"/>
      <c r="E1140" s="1076"/>
      <c r="F1140" s="1076"/>
      <c r="G1140" s="1076"/>
      <c r="H1140" s="1209"/>
      <c r="I1140" s="1123"/>
      <c r="J1140" s="1119"/>
      <c r="K1140" s="1119"/>
      <c r="L1140" s="1119"/>
      <c r="M1140" s="1171"/>
      <c r="N1140" s="1119"/>
      <c r="O1140" s="1119"/>
      <c r="P1140" s="1119"/>
      <c r="Q1140" s="1084"/>
      <c r="R1140" s="1119"/>
      <c r="S1140" s="1076"/>
      <c r="T1140" s="840" t="s">
        <v>1674</v>
      </c>
      <c r="U1140" s="866">
        <v>2657125.7799999998</v>
      </c>
      <c r="V1140" s="855">
        <v>41976</v>
      </c>
      <c r="W1140" s="842" t="s">
        <v>137</v>
      </c>
      <c r="X1140" s="1084"/>
      <c r="Y1140" s="1084"/>
      <c r="Z1140" s="827">
        <v>0</v>
      </c>
      <c r="AA1140" s="1084"/>
      <c r="AB1140" s="1119"/>
      <c r="AC1140" s="1119"/>
      <c r="AD1140" s="1119"/>
      <c r="AE1140" s="1119"/>
      <c r="AF1140" s="1203"/>
      <c r="AG1140" s="1204"/>
      <c r="AH1140" s="1204"/>
      <c r="AI1140" s="1204"/>
    </row>
    <row r="1141" spans="1:35" ht="15" customHeight="1">
      <c r="A1141" s="1076"/>
      <c r="B1141" s="1076"/>
      <c r="C1141" s="1076"/>
      <c r="D1141" s="1076"/>
      <c r="E1141" s="1076"/>
      <c r="F1141" s="1076"/>
      <c r="G1141" s="1076"/>
      <c r="H1141" s="1209"/>
      <c r="I1141" s="1123"/>
      <c r="J1141" s="1119"/>
      <c r="K1141" s="1119"/>
      <c r="L1141" s="1119"/>
      <c r="M1141" s="1171"/>
      <c r="N1141" s="1119"/>
      <c r="O1141" s="1119"/>
      <c r="P1141" s="1119"/>
      <c r="Q1141" s="1084"/>
      <c r="R1141" s="1119"/>
      <c r="S1141" s="1076"/>
      <c r="T1141" s="840" t="s">
        <v>1671</v>
      </c>
      <c r="U1141" s="866">
        <v>450434.95</v>
      </c>
      <c r="V1141" s="855">
        <v>42256</v>
      </c>
      <c r="W1141" s="842" t="s">
        <v>137</v>
      </c>
      <c r="X1141" s="1084"/>
      <c r="Y1141" s="1084"/>
      <c r="Z1141" s="827">
        <v>0</v>
      </c>
      <c r="AA1141" s="1084"/>
      <c r="AB1141" s="1119"/>
      <c r="AC1141" s="1119"/>
      <c r="AD1141" s="1119"/>
      <c r="AE1141" s="1119"/>
      <c r="AF1141" s="1203"/>
      <c r="AG1141" s="1204"/>
      <c r="AH1141" s="1204"/>
      <c r="AI1141" s="1204"/>
    </row>
    <row r="1142" spans="1:35" ht="15" customHeight="1">
      <c r="A1142" s="1076"/>
      <c r="B1142" s="1076"/>
      <c r="C1142" s="1076"/>
      <c r="D1142" s="1076"/>
      <c r="E1142" s="1076"/>
      <c r="F1142" s="1076"/>
      <c r="G1142" s="1076"/>
      <c r="H1142" s="1209"/>
      <c r="I1142" s="1123"/>
      <c r="J1142" s="1119"/>
      <c r="K1142" s="1119"/>
      <c r="L1142" s="1119"/>
      <c r="M1142" s="1171"/>
      <c r="N1142" s="1119"/>
      <c r="O1142" s="1119"/>
      <c r="P1142" s="1119"/>
      <c r="Q1142" s="1084"/>
      <c r="R1142" s="1119"/>
      <c r="S1142" s="1076"/>
      <c r="T1142" s="840" t="s">
        <v>1675</v>
      </c>
      <c r="U1142" s="866">
        <v>2882441.13</v>
      </c>
      <c r="V1142" s="855">
        <v>42774</v>
      </c>
      <c r="W1142" s="842" t="s">
        <v>137</v>
      </c>
      <c r="X1142" s="1084"/>
      <c r="Y1142" s="1084"/>
      <c r="Z1142" s="827">
        <v>-2882441.13</v>
      </c>
      <c r="AA1142" s="1084"/>
      <c r="AB1142" s="1119"/>
      <c r="AC1142" s="1119"/>
      <c r="AD1142" s="1119"/>
      <c r="AE1142" s="1119"/>
      <c r="AF1142" s="1203"/>
      <c r="AG1142" s="1204"/>
      <c r="AH1142" s="1204"/>
      <c r="AI1142" s="1204"/>
    </row>
    <row r="1143" spans="1:35" ht="15" customHeight="1">
      <c r="A1143" s="1076"/>
      <c r="B1143" s="1076"/>
      <c r="C1143" s="1076"/>
      <c r="D1143" s="1076"/>
      <c r="E1143" s="1076"/>
      <c r="F1143" s="1076"/>
      <c r="G1143" s="1076"/>
      <c r="H1143" s="1209"/>
      <c r="I1143" s="1123"/>
      <c r="J1143" s="1119"/>
      <c r="K1143" s="1119"/>
      <c r="L1143" s="1119"/>
      <c r="M1143" s="1171"/>
      <c r="N1143" s="1119"/>
      <c r="O1143" s="1119"/>
      <c r="P1143" s="1119"/>
      <c r="Q1143" s="1084"/>
      <c r="R1143" s="1119"/>
      <c r="S1143" s="1076"/>
      <c r="T1143" s="840"/>
      <c r="U1143" s="866"/>
      <c r="V1143" s="855"/>
      <c r="W1143" s="842"/>
      <c r="X1143" s="1084"/>
      <c r="Y1143" s="1084"/>
      <c r="Z1143" s="827">
        <v>0</v>
      </c>
      <c r="AA1143" s="1084"/>
      <c r="AB1143" s="1119"/>
      <c r="AC1143" s="1119"/>
      <c r="AD1143" s="1119"/>
      <c r="AE1143" s="1119"/>
      <c r="AF1143" s="1203"/>
      <c r="AG1143" s="1204"/>
      <c r="AH1143" s="1204"/>
      <c r="AI1143" s="1204"/>
    </row>
    <row r="1144" spans="1:35" ht="15" customHeight="1">
      <c r="A1144" s="1076"/>
      <c r="B1144" s="1076"/>
      <c r="C1144" s="1076"/>
      <c r="D1144" s="1076"/>
      <c r="E1144" s="1076" t="s">
        <v>67</v>
      </c>
      <c r="F1144" s="1076"/>
      <c r="G1144" s="1076"/>
      <c r="H1144" s="1209">
        <v>15</v>
      </c>
      <c r="I1144" s="1123" t="s">
        <v>129</v>
      </c>
      <c r="J1144" s="1119">
        <v>16220453</v>
      </c>
      <c r="K1144" s="1119">
        <v>16220453</v>
      </c>
      <c r="L1144" s="1119"/>
      <c r="M1144" s="1171">
        <v>42069</v>
      </c>
      <c r="N1144" s="1196">
        <v>16220453</v>
      </c>
      <c r="O1144" s="1196">
        <v>16220453</v>
      </c>
      <c r="P1144" s="1196">
        <v>0</v>
      </c>
      <c r="Q1144" s="1084">
        <v>16220453</v>
      </c>
      <c r="R1144" s="1119"/>
      <c r="S1144" s="1076"/>
      <c r="T1144" s="840" t="s">
        <v>1672</v>
      </c>
      <c r="U1144" s="866">
        <v>11088421.99</v>
      </c>
      <c r="V1144" s="855">
        <v>42256</v>
      </c>
      <c r="W1144" s="842" t="s">
        <v>129</v>
      </c>
      <c r="X1144" s="1084">
        <v>16220452.939999999</v>
      </c>
      <c r="Y1144" s="1084"/>
      <c r="Z1144" s="827">
        <v>0</v>
      </c>
      <c r="AA1144" s="1084">
        <v>6.0000000521540642E-2</v>
      </c>
      <c r="AB1144" s="1119"/>
      <c r="AC1144" s="1119">
        <v>0</v>
      </c>
      <c r="AD1144" s="1119"/>
      <c r="AE1144" s="1119"/>
      <c r="AF1144" s="1203"/>
      <c r="AG1144" s="1204"/>
      <c r="AH1144" s="1204"/>
      <c r="AI1144" s="1204"/>
    </row>
    <row r="1145" spans="1:35" ht="15" customHeight="1">
      <c r="A1145" s="1076"/>
      <c r="B1145" s="1076"/>
      <c r="C1145" s="1076"/>
      <c r="D1145" s="1076"/>
      <c r="E1145" s="1076"/>
      <c r="F1145" s="1076"/>
      <c r="G1145" s="1076"/>
      <c r="H1145" s="1209"/>
      <c r="I1145" s="1123"/>
      <c r="J1145" s="1119"/>
      <c r="K1145" s="1119"/>
      <c r="L1145" s="1119"/>
      <c r="M1145" s="1171"/>
      <c r="N1145" s="1196"/>
      <c r="O1145" s="1196"/>
      <c r="P1145" s="1196"/>
      <c r="Q1145" s="1084"/>
      <c r="R1145" s="1119"/>
      <c r="S1145" s="1076"/>
      <c r="T1145" s="840" t="s">
        <v>1673</v>
      </c>
      <c r="U1145" s="866">
        <v>4435204</v>
      </c>
      <c r="V1145" s="855">
        <v>42366</v>
      </c>
      <c r="W1145" s="1021" t="s">
        <v>129</v>
      </c>
      <c r="X1145" s="1084"/>
      <c r="Y1145" s="1084"/>
      <c r="Z1145" s="827">
        <v>5.9999999590218067E-2</v>
      </c>
      <c r="AA1145" s="1084"/>
      <c r="AB1145" s="1119"/>
      <c r="AC1145" s="1119"/>
      <c r="AD1145" s="1119"/>
      <c r="AE1145" s="1119"/>
      <c r="AF1145" s="1203"/>
      <c r="AG1145" s="1204"/>
      <c r="AH1145" s="1204"/>
      <c r="AI1145" s="1204"/>
    </row>
    <row r="1146" spans="1:35" ht="15" customHeight="1">
      <c r="A1146" s="1076"/>
      <c r="B1146" s="1076"/>
      <c r="C1146" s="1076"/>
      <c r="D1146" s="1076"/>
      <c r="E1146" s="1076"/>
      <c r="F1146" s="1076"/>
      <c r="G1146" s="1076"/>
      <c r="H1146" s="1209"/>
      <c r="I1146" s="1123"/>
      <c r="J1146" s="1119"/>
      <c r="K1146" s="1119"/>
      <c r="L1146" s="1119"/>
      <c r="M1146" s="1171"/>
      <c r="N1146" s="1196"/>
      <c r="O1146" s="1196"/>
      <c r="P1146" s="1196"/>
      <c r="Q1146" s="1084"/>
      <c r="R1146" s="1119"/>
      <c r="S1146" s="1076"/>
      <c r="T1146" s="840"/>
      <c r="U1146" s="866">
        <v>696826.95</v>
      </c>
      <c r="V1146" s="855">
        <v>43095</v>
      </c>
      <c r="W1146" s="1038"/>
      <c r="X1146" s="1084"/>
      <c r="Y1146" s="1084"/>
      <c r="Z1146" s="827">
        <v>0</v>
      </c>
      <c r="AA1146" s="1084"/>
      <c r="AB1146" s="1119"/>
      <c r="AC1146" s="1119"/>
      <c r="AD1146" s="1119"/>
      <c r="AE1146" s="1119"/>
      <c r="AF1146" s="1203"/>
      <c r="AG1146" s="1204"/>
      <c r="AH1146" s="1204"/>
      <c r="AI1146" s="1204"/>
    </row>
    <row r="1147" spans="1:35" ht="15" customHeight="1">
      <c r="A1147" s="1076"/>
      <c r="B1147" s="1076"/>
      <c r="C1147" s="1076"/>
      <c r="D1147" s="1076"/>
      <c r="E1147" s="1076" t="s">
        <v>171</v>
      </c>
      <c r="F1147" s="1076"/>
      <c r="G1147" s="1076"/>
      <c r="H1147" s="1209">
        <v>21</v>
      </c>
      <c r="I1147" s="1123" t="s">
        <v>129</v>
      </c>
      <c r="J1147" s="1119">
        <v>29552907</v>
      </c>
      <c r="K1147" s="1119">
        <v>29552907</v>
      </c>
      <c r="L1147" s="1119"/>
      <c r="M1147" s="1171">
        <v>42236</v>
      </c>
      <c r="N1147" s="1119">
        <v>29552907</v>
      </c>
      <c r="O1147" s="1119">
        <v>29552907</v>
      </c>
      <c r="P1147" s="1119">
        <v>0</v>
      </c>
      <c r="Q1147" s="1084">
        <v>29552907</v>
      </c>
      <c r="R1147" s="1119"/>
      <c r="S1147" s="1076"/>
      <c r="T1147" s="840"/>
      <c r="U1147" s="866">
        <v>11148175</v>
      </c>
      <c r="V1147" s="855">
        <v>42817</v>
      </c>
      <c r="W1147" s="1021" t="s">
        <v>129</v>
      </c>
      <c r="X1147" s="1084">
        <v>29552907</v>
      </c>
      <c r="Y1147" s="1084"/>
      <c r="Z1147" s="827">
        <v>0</v>
      </c>
      <c r="AA1147" s="1084">
        <v>0</v>
      </c>
      <c r="AB1147" s="1119"/>
      <c r="AC1147" s="1119">
        <v>0</v>
      </c>
      <c r="AD1147" s="1119"/>
      <c r="AE1147" s="1119"/>
      <c r="AF1147" s="1203"/>
      <c r="AG1147" s="1204"/>
      <c r="AH1147" s="1204"/>
      <c r="AI1147" s="1204"/>
    </row>
    <row r="1148" spans="1:35" ht="15" customHeight="1">
      <c r="A1148" s="1076"/>
      <c r="B1148" s="1076"/>
      <c r="C1148" s="1076"/>
      <c r="D1148" s="1076"/>
      <c r="E1148" s="1076"/>
      <c r="F1148" s="1076"/>
      <c r="G1148" s="1076"/>
      <c r="H1148" s="1209"/>
      <c r="I1148" s="1123"/>
      <c r="J1148" s="1119"/>
      <c r="K1148" s="1119"/>
      <c r="L1148" s="1119"/>
      <c r="M1148" s="1171"/>
      <c r="N1148" s="1119"/>
      <c r="O1148" s="1119"/>
      <c r="P1148" s="1119"/>
      <c r="Q1148" s="1084"/>
      <c r="R1148" s="1119"/>
      <c r="S1148" s="1076"/>
      <c r="T1148" s="840"/>
      <c r="U1148" s="866">
        <v>18404732</v>
      </c>
      <c r="V1148" s="855">
        <v>43095</v>
      </c>
      <c r="W1148" s="1038"/>
      <c r="X1148" s="1084"/>
      <c r="Y1148" s="1084"/>
      <c r="Z1148" s="827">
        <v>0</v>
      </c>
      <c r="AA1148" s="1084"/>
      <c r="AB1148" s="1119"/>
      <c r="AC1148" s="1119"/>
      <c r="AD1148" s="1119"/>
      <c r="AE1148" s="1119"/>
      <c r="AF1148" s="1203"/>
      <c r="AG1148" s="1204"/>
      <c r="AH1148" s="1204"/>
      <c r="AI1148" s="1204"/>
    </row>
    <row r="1149" spans="1:35" s="4" customFormat="1" ht="15" customHeight="1">
      <c r="A1149" s="1149" t="s">
        <v>1680</v>
      </c>
      <c r="B1149" s="1149" t="s">
        <v>1678</v>
      </c>
      <c r="C1149" s="1149" t="s">
        <v>71</v>
      </c>
      <c r="D1149" s="1149" t="s">
        <v>1221</v>
      </c>
      <c r="E1149" s="1149" t="s">
        <v>66</v>
      </c>
      <c r="F1149" s="1149" t="s">
        <v>183</v>
      </c>
      <c r="G1149" s="1149" t="s">
        <v>1677</v>
      </c>
      <c r="H1149" s="1209">
        <v>277</v>
      </c>
      <c r="I1149" s="1122" t="s">
        <v>7</v>
      </c>
      <c r="J1149" s="1149">
        <v>192124850</v>
      </c>
      <c r="K1149" s="1149">
        <v>192124850</v>
      </c>
      <c r="L1149" s="1149">
        <v>192124850</v>
      </c>
      <c r="M1149" s="1171">
        <v>41310</v>
      </c>
      <c r="N1149" s="1242"/>
      <c r="O1149" s="1242"/>
      <c r="P1149" s="1242"/>
      <c r="Q1149" s="1149">
        <v>190449007</v>
      </c>
      <c r="R1149" s="1149">
        <v>190449007</v>
      </c>
      <c r="S1149" s="1149"/>
      <c r="T1149" s="840" t="s">
        <v>1682</v>
      </c>
      <c r="U1149" s="842">
        <v>147710367</v>
      </c>
      <c r="V1149" s="855">
        <v>42200</v>
      </c>
      <c r="W1149" s="1122" t="s">
        <v>7</v>
      </c>
      <c r="X1149" s="1149">
        <v>190448592</v>
      </c>
      <c r="Y1149" s="1149">
        <v>190448592</v>
      </c>
      <c r="Z1149" s="1149">
        <v>0</v>
      </c>
      <c r="AA1149" s="1149">
        <v>0</v>
      </c>
      <c r="AB1149" s="1149">
        <v>0</v>
      </c>
      <c r="AC1149" s="1149">
        <v>1675843</v>
      </c>
      <c r="AD1149" s="1149">
        <v>415</v>
      </c>
      <c r="AE1149" s="1149">
        <v>1676258</v>
      </c>
      <c r="AF1149" s="1149"/>
      <c r="AG1149" s="1149" t="s">
        <v>1681</v>
      </c>
      <c r="AH1149" s="1204" t="s">
        <v>195</v>
      </c>
      <c r="AI1149" s="1204" t="s">
        <v>1619</v>
      </c>
    </row>
    <row r="1150" spans="1:35" s="4" customFormat="1" ht="15" customHeight="1">
      <c r="A1150" s="1149"/>
      <c r="B1150" s="1149"/>
      <c r="C1150" s="1149"/>
      <c r="D1150" s="1149"/>
      <c r="E1150" s="1149"/>
      <c r="F1150" s="1149"/>
      <c r="G1150" s="1149"/>
      <c r="H1150" s="1209"/>
      <c r="I1150" s="1122"/>
      <c r="J1150" s="1149"/>
      <c r="K1150" s="1149"/>
      <c r="L1150" s="1149"/>
      <c r="M1150" s="1171"/>
      <c r="N1150" s="1242"/>
      <c r="O1150" s="1242"/>
      <c r="P1150" s="1242"/>
      <c r="Q1150" s="1149"/>
      <c r="R1150" s="1149"/>
      <c r="S1150" s="1149"/>
      <c r="T1150" s="840" t="s">
        <v>1683</v>
      </c>
      <c r="U1150" s="842">
        <v>42738225</v>
      </c>
      <c r="V1150" s="855">
        <v>42615</v>
      </c>
      <c r="W1150" s="1122"/>
      <c r="X1150" s="1149"/>
      <c r="Y1150" s="1149"/>
      <c r="Z1150" s="1149"/>
      <c r="AA1150" s="1149"/>
      <c r="AB1150" s="1149"/>
      <c r="AC1150" s="1149"/>
      <c r="AD1150" s="1149"/>
      <c r="AE1150" s="1149"/>
      <c r="AF1150" s="1149"/>
      <c r="AG1150" s="1149"/>
      <c r="AH1150" s="1204"/>
      <c r="AI1150" s="1204"/>
    </row>
    <row r="1151" spans="1:35" s="203" customFormat="1" ht="15" customHeight="1">
      <c r="A1151" s="1075" t="s">
        <v>1698</v>
      </c>
      <c r="B1151" s="1075" t="s">
        <v>1700</v>
      </c>
      <c r="C1151" s="1075" t="s">
        <v>71</v>
      </c>
      <c r="D1151" s="1075" t="s">
        <v>1221</v>
      </c>
      <c r="E1151" s="1075" t="s">
        <v>66</v>
      </c>
      <c r="F1151" s="1075" t="s">
        <v>49</v>
      </c>
      <c r="G1151" s="1075" t="s">
        <v>1703</v>
      </c>
      <c r="H1151" s="1239">
        <v>288</v>
      </c>
      <c r="I1151" s="1206" t="s">
        <v>137</v>
      </c>
      <c r="J1151" s="1198">
        <v>564649341</v>
      </c>
      <c r="K1151" s="1198">
        <v>2190887838</v>
      </c>
      <c r="L1151" s="1198">
        <v>3708336908</v>
      </c>
      <c r="M1151" s="1199">
        <v>41522</v>
      </c>
      <c r="N1151" s="1240">
        <v>2190887838</v>
      </c>
      <c r="O1151" s="1198">
        <v>564649341</v>
      </c>
      <c r="P1151" s="1198">
        <v>0</v>
      </c>
      <c r="Q1151" s="1198">
        <v>556428823.98000002</v>
      </c>
      <c r="R1151" s="1198">
        <v>3708336908</v>
      </c>
      <c r="S1151" s="1075" t="s">
        <v>1701</v>
      </c>
      <c r="T1151" s="1206" t="s">
        <v>1705</v>
      </c>
      <c r="U1151" s="200">
        <v>157769107.96000001</v>
      </c>
      <c r="V1151" s="1199">
        <v>41961</v>
      </c>
      <c r="W1151" s="201" t="s">
        <v>137</v>
      </c>
      <c r="X1151" s="1197">
        <v>2158991527.3799996</v>
      </c>
      <c r="Y1151" s="1197">
        <v>3289963512.3399997</v>
      </c>
      <c r="Z1151" s="859">
        <v>0</v>
      </c>
      <c r="AA1151" s="1197"/>
      <c r="AB1151" s="1198"/>
      <c r="AC1151" s="1198"/>
      <c r="AD1151" s="1198"/>
      <c r="AE1151" s="1198"/>
      <c r="AF1151" s="1200" t="s">
        <v>1704</v>
      </c>
      <c r="AG1151" s="1201" t="s">
        <v>1711</v>
      </c>
      <c r="AH1151" s="1202" t="s">
        <v>194</v>
      </c>
      <c r="AI1151" s="1202" t="s">
        <v>1619</v>
      </c>
    </row>
    <row r="1152" spans="1:35" s="203" customFormat="1" ht="15" customHeight="1">
      <c r="A1152" s="1075"/>
      <c r="B1152" s="1075"/>
      <c r="C1152" s="1075"/>
      <c r="D1152" s="1075"/>
      <c r="E1152" s="1075"/>
      <c r="F1152" s="1075"/>
      <c r="G1152" s="1075"/>
      <c r="H1152" s="1239"/>
      <c r="I1152" s="1206"/>
      <c r="J1152" s="1198"/>
      <c r="K1152" s="1198"/>
      <c r="L1152" s="1198"/>
      <c r="M1152" s="1199"/>
      <c r="N1152" s="1240"/>
      <c r="O1152" s="1198"/>
      <c r="P1152" s="1198"/>
      <c r="Q1152" s="1198"/>
      <c r="R1152" s="1198"/>
      <c r="S1152" s="1075"/>
      <c r="T1152" s="1206"/>
      <c r="U1152" s="200">
        <v>454388552.99000001</v>
      </c>
      <c r="V1152" s="1199"/>
      <c r="W1152" s="201" t="s">
        <v>7</v>
      </c>
      <c r="X1152" s="1197"/>
      <c r="Y1152" s="1197"/>
      <c r="Z1152" s="859">
        <v>0</v>
      </c>
      <c r="AA1152" s="1197"/>
      <c r="AB1152" s="1198"/>
      <c r="AC1152" s="1198"/>
      <c r="AD1152" s="1198"/>
      <c r="AE1152" s="1198"/>
      <c r="AF1152" s="1200"/>
      <c r="AG1152" s="1202"/>
      <c r="AH1152" s="1202"/>
      <c r="AI1152" s="1202"/>
    </row>
    <row r="1153" spans="1:35" s="203" customFormat="1" ht="15" customHeight="1">
      <c r="A1153" s="1075"/>
      <c r="B1153" s="1075"/>
      <c r="C1153" s="1075"/>
      <c r="D1153" s="1075"/>
      <c r="E1153" s="1075"/>
      <c r="F1153" s="1075"/>
      <c r="G1153" s="1075"/>
      <c r="H1153" s="1239"/>
      <c r="I1153" s="1206"/>
      <c r="J1153" s="1198"/>
      <c r="K1153" s="1198"/>
      <c r="L1153" s="1198"/>
      <c r="M1153" s="1199"/>
      <c r="N1153" s="1240"/>
      <c r="O1153" s="1198"/>
      <c r="P1153" s="1198"/>
      <c r="Q1153" s="1198"/>
      <c r="R1153" s="1198"/>
      <c r="S1153" s="1075"/>
      <c r="T1153" s="1206" t="s">
        <v>1706</v>
      </c>
      <c r="U1153" s="200">
        <v>78015709.75</v>
      </c>
      <c r="V1153" s="1199">
        <v>42026</v>
      </c>
      <c r="W1153" s="201" t="s">
        <v>137</v>
      </c>
      <c r="X1153" s="1197"/>
      <c r="Y1153" s="1197"/>
      <c r="Z1153" s="859">
        <v>0</v>
      </c>
      <c r="AA1153" s="1197"/>
      <c r="AB1153" s="1198"/>
      <c r="AC1153" s="1198"/>
      <c r="AD1153" s="1198"/>
      <c r="AE1153" s="1198"/>
      <c r="AF1153" s="1200"/>
      <c r="AG1153" s="1202"/>
      <c r="AH1153" s="1202"/>
      <c r="AI1153" s="1202"/>
    </row>
    <row r="1154" spans="1:35" s="203" customFormat="1" ht="15" customHeight="1">
      <c r="A1154" s="1075"/>
      <c r="B1154" s="1075"/>
      <c r="C1154" s="1075"/>
      <c r="D1154" s="1075"/>
      <c r="E1154" s="1075"/>
      <c r="F1154" s="1075"/>
      <c r="G1154" s="1075"/>
      <c r="H1154" s="1239"/>
      <c r="I1154" s="1206"/>
      <c r="J1154" s="1198"/>
      <c r="K1154" s="1198"/>
      <c r="L1154" s="1198"/>
      <c r="M1154" s="1199"/>
      <c r="N1154" s="1240"/>
      <c r="O1154" s="1198"/>
      <c r="P1154" s="1198"/>
      <c r="Q1154" s="1198"/>
      <c r="R1154" s="1198"/>
      <c r="S1154" s="1075"/>
      <c r="T1154" s="1206"/>
      <c r="U1154" s="200">
        <v>224691930.66</v>
      </c>
      <c r="V1154" s="1199"/>
      <c r="W1154" s="201" t="s">
        <v>7</v>
      </c>
      <c r="X1154" s="1197"/>
      <c r="Y1154" s="1197"/>
      <c r="Z1154" s="859">
        <v>0</v>
      </c>
      <c r="AA1154" s="1197"/>
      <c r="AB1154" s="1198"/>
      <c r="AC1154" s="1198"/>
      <c r="AD1154" s="1198"/>
      <c r="AE1154" s="1198"/>
      <c r="AF1154" s="1200"/>
      <c r="AG1154" s="1202"/>
      <c r="AH1154" s="1202"/>
      <c r="AI1154" s="1202"/>
    </row>
    <row r="1155" spans="1:35" s="203" customFormat="1" ht="15" customHeight="1">
      <c r="A1155" s="1075"/>
      <c r="B1155" s="1075"/>
      <c r="C1155" s="1075"/>
      <c r="D1155" s="1075"/>
      <c r="E1155" s="1075"/>
      <c r="F1155" s="1075"/>
      <c r="G1155" s="1075"/>
      <c r="H1155" s="1239"/>
      <c r="I1155" s="1206"/>
      <c r="J1155" s="1198"/>
      <c r="K1155" s="1198"/>
      <c r="L1155" s="1198"/>
      <c r="M1155" s="1199"/>
      <c r="N1155" s="1240"/>
      <c r="O1155" s="1198"/>
      <c r="P1155" s="1198"/>
      <c r="Q1155" s="1198"/>
      <c r="R1155" s="1198"/>
      <c r="S1155" s="1075"/>
      <c r="T1155" s="1206" t="s">
        <v>1707</v>
      </c>
      <c r="U1155" s="200">
        <v>135723777.19</v>
      </c>
      <c r="V1155" s="1199">
        <v>42342</v>
      </c>
      <c r="W1155" s="201" t="s">
        <v>137</v>
      </c>
      <c r="X1155" s="1197"/>
      <c r="Y1155" s="1197"/>
      <c r="Z1155" s="859">
        <v>0</v>
      </c>
      <c r="AA1155" s="1197"/>
      <c r="AB1155" s="1198"/>
      <c r="AC1155" s="1198"/>
      <c r="AD1155" s="1198"/>
      <c r="AE1155" s="1198"/>
      <c r="AF1155" s="1200"/>
      <c r="AG1155" s="1202"/>
      <c r="AH1155" s="1202"/>
      <c r="AI1155" s="1202"/>
    </row>
    <row r="1156" spans="1:35" s="203" customFormat="1" ht="15" customHeight="1">
      <c r="A1156" s="1075"/>
      <c r="B1156" s="1075"/>
      <c r="C1156" s="1075"/>
      <c r="D1156" s="1075"/>
      <c r="E1156" s="1075"/>
      <c r="F1156" s="1075"/>
      <c r="G1156" s="1075"/>
      <c r="H1156" s="1239"/>
      <c r="I1156" s="1206"/>
      <c r="J1156" s="1198"/>
      <c r="K1156" s="1198"/>
      <c r="L1156" s="1198"/>
      <c r="M1156" s="1199"/>
      <c r="N1156" s="1240"/>
      <c r="O1156" s="1198"/>
      <c r="P1156" s="1198"/>
      <c r="Q1156" s="1198"/>
      <c r="R1156" s="1198"/>
      <c r="S1156" s="1075"/>
      <c r="T1156" s="1206"/>
      <c r="U1156" s="200">
        <v>390896110.89999998</v>
      </c>
      <c r="V1156" s="1199"/>
      <c r="W1156" s="201" t="s">
        <v>7</v>
      </c>
      <c r="X1156" s="1197"/>
      <c r="Y1156" s="1197"/>
      <c r="Z1156" s="859">
        <v>0</v>
      </c>
      <c r="AA1156" s="1197"/>
      <c r="AB1156" s="1198"/>
      <c r="AC1156" s="1198"/>
      <c r="AD1156" s="1198"/>
      <c r="AE1156" s="1198"/>
      <c r="AF1156" s="1200"/>
      <c r="AG1156" s="1202"/>
      <c r="AH1156" s="1202"/>
      <c r="AI1156" s="1202"/>
    </row>
    <row r="1157" spans="1:35" s="203" customFormat="1" ht="15" customHeight="1">
      <c r="A1157" s="1075"/>
      <c r="B1157" s="1075"/>
      <c r="C1157" s="1075"/>
      <c r="D1157" s="1075"/>
      <c r="E1157" s="1075"/>
      <c r="F1157" s="1075"/>
      <c r="G1157" s="1075"/>
      <c r="H1157" s="1239"/>
      <c r="I1157" s="1206" t="s">
        <v>7</v>
      </c>
      <c r="J1157" s="1198">
        <v>1626238497</v>
      </c>
      <c r="K1157" s="1198"/>
      <c r="L1157" s="1198"/>
      <c r="M1157" s="1199"/>
      <c r="N1157" s="1240"/>
      <c r="O1157" s="1198">
        <v>1626238497</v>
      </c>
      <c r="P1157" s="1198">
        <v>0</v>
      </c>
      <c r="Q1157" s="1198">
        <v>1602562703.4000001</v>
      </c>
      <c r="R1157" s="1198"/>
      <c r="S1157" s="1075"/>
      <c r="T1157" s="1206" t="s">
        <v>1708</v>
      </c>
      <c r="U1157" s="200">
        <v>97399436.519999996</v>
      </c>
      <c r="V1157" s="1136">
        <v>42367</v>
      </c>
      <c r="W1157" s="201" t="s">
        <v>137</v>
      </c>
      <c r="X1157" s="1197"/>
      <c r="Y1157" s="1197"/>
      <c r="Z1157" s="859">
        <v>0</v>
      </c>
      <c r="AA1157" s="1197"/>
      <c r="AB1157" s="1198"/>
      <c r="AC1157" s="1198"/>
      <c r="AD1157" s="1198"/>
      <c r="AE1157" s="1198"/>
      <c r="AF1157" s="1200"/>
      <c r="AG1157" s="1202"/>
      <c r="AH1157" s="1202"/>
      <c r="AI1157" s="1202"/>
    </row>
    <row r="1158" spans="1:35" s="203" customFormat="1" ht="15" customHeight="1">
      <c r="A1158" s="1075"/>
      <c r="B1158" s="1075"/>
      <c r="C1158" s="1075"/>
      <c r="D1158" s="1075"/>
      <c r="E1158" s="1075"/>
      <c r="F1158" s="1075"/>
      <c r="G1158" s="1075"/>
      <c r="H1158" s="1239"/>
      <c r="I1158" s="1206"/>
      <c r="J1158" s="1198"/>
      <c r="K1158" s="1198"/>
      <c r="L1158" s="1198"/>
      <c r="M1158" s="1199"/>
      <c r="N1158" s="1240"/>
      <c r="O1158" s="1198"/>
      <c r="P1158" s="1198"/>
      <c r="Q1158" s="1198"/>
      <c r="R1158" s="1198"/>
      <c r="S1158" s="1075"/>
      <c r="T1158" s="1206"/>
      <c r="U1158" s="200">
        <v>280518725.07999998</v>
      </c>
      <c r="V1158" s="1205"/>
      <c r="W1158" s="201" t="s">
        <v>7</v>
      </c>
      <c r="X1158" s="1197"/>
      <c r="Y1158" s="1197"/>
      <c r="Z1158" s="859">
        <v>0</v>
      </c>
      <c r="AA1158" s="1197"/>
      <c r="AB1158" s="1198"/>
      <c r="AC1158" s="1198"/>
      <c r="AD1158" s="1198"/>
      <c r="AE1158" s="1198"/>
      <c r="AF1158" s="1200"/>
      <c r="AG1158" s="1202"/>
      <c r="AH1158" s="1202"/>
      <c r="AI1158" s="1202"/>
    </row>
    <row r="1159" spans="1:35" s="203" customFormat="1" ht="15" customHeight="1">
      <c r="A1159" s="1075"/>
      <c r="B1159" s="1075"/>
      <c r="C1159" s="1075"/>
      <c r="D1159" s="1075"/>
      <c r="E1159" s="1075"/>
      <c r="F1159" s="1075"/>
      <c r="G1159" s="1075"/>
      <c r="H1159" s="1239"/>
      <c r="I1159" s="1206"/>
      <c r="J1159" s="1198"/>
      <c r="K1159" s="1198"/>
      <c r="L1159" s="1198"/>
      <c r="M1159" s="1199"/>
      <c r="N1159" s="1240"/>
      <c r="O1159" s="1198"/>
      <c r="P1159" s="1198"/>
      <c r="Q1159" s="1198"/>
      <c r="R1159" s="1198"/>
      <c r="S1159" s="1075"/>
      <c r="T1159" s="872"/>
      <c r="U1159" s="200"/>
      <c r="V1159" s="873"/>
      <c r="W1159" s="201"/>
      <c r="X1159" s="1197"/>
      <c r="Y1159" s="1197"/>
      <c r="Z1159" s="859"/>
      <c r="AA1159" s="1197"/>
      <c r="AB1159" s="1198"/>
      <c r="AC1159" s="1198"/>
      <c r="AD1159" s="1198"/>
      <c r="AE1159" s="1198"/>
      <c r="AF1159" s="1200"/>
      <c r="AG1159" s="1202"/>
      <c r="AH1159" s="1202"/>
      <c r="AI1159" s="1202"/>
    </row>
    <row r="1160" spans="1:35" s="203" customFormat="1" ht="15" customHeight="1">
      <c r="A1160" s="1075"/>
      <c r="B1160" s="1075"/>
      <c r="C1160" s="1075"/>
      <c r="D1160" s="1075"/>
      <c r="E1160" s="1075"/>
      <c r="F1160" s="1075"/>
      <c r="G1160" s="1075"/>
      <c r="H1160" s="1239"/>
      <c r="I1160" s="1206"/>
      <c r="J1160" s="1198"/>
      <c r="K1160" s="1198"/>
      <c r="L1160" s="1198"/>
      <c r="M1160" s="1199"/>
      <c r="N1160" s="1240"/>
      <c r="O1160" s="1198"/>
      <c r="P1160" s="1198"/>
      <c r="Q1160" s="1198"/>
      <c r="R1160" s="1198"/>
      <c r="S1160" s="1075"/>
      <c r="T1160" s="1206" t="s">
        <v>1709</v>
      </c>
      <c r="U1160" s="200">
        <v>87520792.560000002</v>
      </c>
      <c r="V1160" s="1136">
        <v>42732</v>
      </c>
      <c r="W1160" s="201" t="s">
        <v>137</v>
      </c>
      <c r="X1160" s="1197"/>
      <c r="Y1160" s="1197"/>
      <c r="Z1160" s="859">
        <v>0</v>
      </c>
      <c r="AA1160" s="1197"/>
      <c r="AB1160" s="1198"/>
      <c r="AC1160" s="1198"/>
      <c r="AD1160" s="1198"/>
      <c r="AE1160" s="1198"/>
      <c r="AF1160" s="1200"/>
      <c r="AG1160" s="1202"/>
      <c r="AH1160" s="1202"/>
      <c r="AI1160" s="1202"/>
    </row>
    <row r="1161" spans="1:35" s="203" customFormat="1" ht="15" customHeight="1">
      <c r="A1161" s="1075"/>
      <c r="B1161" s="1075"/>
      <c r="C1161" s="1075"/>
      <c r="D1161" s="1075"/>
      <c r="E1161" s="1075"/>
      <c r="F1161" s="1075"/>
      <c r="G1161" s="1075"/>
      <c r="H1161" s="1239"/>
      <c r="I1161" s="1206"/>
      <c r="J1161" s="1198"/>
      <c r="K1161" s="1198"/>
      <c r="L1161" s="1198"/>
      <c r="M1161" s="1199"/>
      <c r="N1161" s="1240"/>
      <c r="O1161" s="1198"/>
      <c r="P1161" s="1198"/>
      <c r="Q1161" s="1198"/>
      <c r="R1161" s="1198"/>
      <c r="S1161" s="1075"/>
      <c r="T1161" s="1206"/>
      <c r="U1161" s="200">
        <v>252067383.77000001</v>
      </c>
      <c r="V1161" s="1205"/>
      <c r="W1161" s="201" t="s">
        <v>7</v>
      </c>
      <c r="X1161" s="1197"/>
      <c r="Y1161" s="1197"/>
      <c r="Z1161" s="859"/>
      <c r="AA1161" s="1197"/>
      <c r="AB1161" s="1198"/>
      <c r="AC1161" s="1198"/>
      <c r="AD1161" s="1198"/>
      <c r="AE1161" s="1198"/>
      <c r="AF1161" s="1200"/>
      <c r="AG1161" s="1202"/>
      <c r="AH1161" s="1202"/>
      <c r="AI1161" s="1202"/>
    </row>
    <row r="1162" spans="1:35" s="203" customFormat="1" ht="15" customHeight="1">
      <c r="A1162" s="1075"/>
      <c r="B1162" s="1075"/>
      <c r="C1162" s="1075"/>
      <c r="D1162" s="1075"/>
      <c r="E1162" s="1075"/>
      <c r="F1162" s="1075"/>
      <c r="G1162" s="1075"/>
      <c r="H1162" s="1239"/>
      <c r="I1162" s="1206"/>
      <c r="J1162" s="1198"/>
      <c r="K1162" s="1198"/>
      <c r="L1162" s="1198"/>
      <c r="M1162" s="1199"/>
      <c r="N1162" s="1240"/>
      <c r="O1162" s="1198"/>
      <c r="P1162" s="1198"/>
      <c r="Q1162" s="1198"/>
      <c r="R1162" s="1198"/>
      <c r="S1162" s="1075"/>
      <c r="T1162" s="1206"/>
      <c r="U1162" s="200"/>
      <c r="V1162" s="1199"/>
      <c r="W1162" s="201"/>
      <c r="X1162" s="1197"/>
      <c r="Y1162" s="1197"/>
      <c r="Z1162" s="859"/>
      <c r="AA1162" s="1197"/>
      <c r="AB1162" s="1198"/>
      <c r="AC1162" s="1198"/>
      <c r="AD1162" s="1198"/>
      <c r="AE1162" s="1198"/>
      <c r="AF1162" s="1200"/>
      <c r="AG1162" s="1202"/>
      <c r="AH1162" s="1202"/>
      <c r="AI1162" s="1202"/>
    </row>
    <row r="1163" spans="1:35" s="203" customFormat="1" ht="15" customHeight="1">
      <c r="A1163" s="1075"/>
      <c r="B1163" s="1075"/>
      <c r="C1163" s="1075"/>
      <c r="D1163" s="1075"/>
      <c r="E1163" s="1075"/>
      <c r="F1163" s="1075"/>
      <c r="G1163" s="1075"/>
      <c r="H1163" s="1239"/>
      <c r="I1163" s="1206"/>
      <c r="J1163" s="1198"/>
      <c r="K1163" s="1198"/>
      <c r="L1163" s="1198"/>
      <c r="M1163" s="1199"/>
      <c r="N1163" s="1240"/>
      <c r="O1163" s="1198"/>
      <c r="P1163" s="1198"/>
      <c r="Q1163" s="1198"/>
      <c r="R1163" s="1198"/>
      <c r="S1163" s="1075"/>
      <c r="T1163" s="1206"/>
      <c r="U1163" s="200"/>
      <c r="V1163" s="1199"/>
      <c r="W1163" s="201"/>
      <c r="X1163" s="1197"/>
      <c r="Y1163" s="1197"/>
      <c r="Z1163" s="859">
        <v>0</v>
      </c>
      <c r="AA1163" s="1197"/>
      <c r="AB1163" s="1198"/>
      <c r="AC1163" s="1198"/>
      <c r="AD1163" s="1198"/>
      <c r="AE1163" s="1198"/>
      <c r="AF1163" s="1200"/>
      <c r="AG1163" s="1202"/>
      <c r="AH1163" s="1202"/>
      <c r="AI1163" s="1202"/>
    </row>
    <row r="1164" spans="1:35" s="203" customFormat="1" ht="15" customHeight="1">
      <c r="A1164" s="1075"/>
      <c r="B1164" s="1075"/>
      <c r="C1164" s="1075"/>
      <c r="D1164" s="1075"/>
      <c r="E1164" s="1075"/>
      <c r="F1164" s="1075"/>
      <c r="G1164" s="1075"/>
      <c r="H1164" s="1239">
        <v>3</v>
      </c>
      <c r="I1164" s="1206" t="s">
        <v>162</v>
      </c>
      <c r="J1164" s="1198">
        <v>317939042</v>
      </c>
      <c r="K1164" s="1198">
        <v>317939042</v>
      </c>
      <c r="L1164" s="1198"/>
      <c r="M1164" s="1199">
        <v>41522</v>
      </c>
      <c r="N1164" s="1240">
        <v>317939042</v>
      </c>
      <c r="O1164" s="1240">
        <v>317939042</v>
      </c>
      <c r="P1164" s="1240">
        <v>0</v>
      </c>
      <c r="Q1164" s="1240">
        <v>317939042</v>
      </c>
      <c r="R1164" s="1198"/>
      <c r="S1164" s="1075"/>
      <c r="T1164" s="872" t="s">
        <v>1705</v>
      </c>
      <c r="U1164" s="200">
        <v>88835593</v>
      </c>
      <c r="V1164" s="873">
        <v>41961</v>
      </c>
      <c r="W1164" s="201" t="s">
        <v>162</v>
      </c>
      <c r="X1164" s="1197">
        <v>317939042.00000006</v>
      </c>
      <c r="Y1164" s="1197"/>
      <c r="Z1164" s="859">
        <v>0</v>
      </c>
      <c r="AA1164" s="1197"/>
      <c r="AB1164" s="1198"/>
      <c r="AC1164" s="1198"/>
      <c r="AD1164" s="1198"/>
      <c r="AE1164" s="1198"/>
      <c r="AF1164" s="1200"/>
      <c r="AG1164" s="1202"/>
      <c r="AH1164" s="1202"/>
      <c r="AI1164" s="1202"/>
    </row>
    <row r="1165" spans="1:35" s="203" customFormat="1" ht="15" customHeight="1">
      <c r="A1165" s="1075"/>
      <c r="B1165" s="1075"/>
      <c r="C1165" s="1075"/>
      <c r="D1165" s="1075"/>
      <c r="E1165" s="1075"/>
      <c r="F1165" s="1075"/>
      <c r="G1165" s="1075"/>
      <c r="H1165" s="1239"/>
      <c r="I1165" s="1206"/>
      <c r="J1165" s="1198"/>
      <c r="K1165" s="1198"/>
      <c r="L1165" s="1198"/>
      <c r="M1165" s="1199"/>
      <c r="N1165" s="1240"/>
      <c r="O1165" s="1240"/>
      <c r="P1165" s="1240"/>
      <c r="Q1165" s="1240"/>
      <c r="R1165" s="1198"/>
      <c r="S1165" s="1075"/>
      <c r="T1165" s="872" t="s">
        <v>1706</v>
      </c>
      <c r="U1165" s="200">
        <v>43928573.399999999</v>
      </c>
      <c r="V1165" s="873">
        <v>42026</v>
      </c>
      <c r="W1165" s="201" t="s">
        <v>162</v>
      </c>
      <c r="X1165" s="1197"/>
      <c r="Y1165" s="1197"/>
      <c r="Z1165" s="859">
        <v>0</v>
      </c>
      <c r="AA1165" s="1197"/>
      <c r="AB1165" s="1198"/>
      <c r="AC1165" s="1198"/>
      <c r="AD1165" s="1198"/>
      <c r="AE1165" s="1198"/>
      <c r="AF1165" s="1200"/>
      <c r="AG1165" s="1202"/>
      <c r="AH1165" s="1202"/>
      <c r="AI1165" s="1202"/>
    </row>
    <row r="1166" spans="1:35" s="203" customFormat="1" ht="15" customHeight="1">
      <c r="A1166" s="1075"/>
      <c r="B1166" s="1075"/>
      <c r="C1166" s="1075"/>
      <c r="D1166" s="1075"/>
      <c r="E1166" s="1075"/>
      <c r="F1166" s="1075"/>
      <c r="G1166" s="1075"/>
      <c r="H1166" s="1239"/>
      <c r="I1166" s="1206"/>
      <c r="J1166" s="1198"/>
      <c r="K1166" s="1198"/>
      <c r="L1166" s="1198"/>
      <c r="M1166" s="1199"/>
      <c r="N1166" s="1240"/>
      <c r="O1166" s="1240"/>
      <c r="P1166" s="1240"/>
      <c r="Q1166" s="1240"/>
      <c r="R1166" s="1198"/>
      <c r="S1166" s="1075"/>
      <c r="T1166" s="872" t="s">
        <v>1707</v>
      </c>
      <c r="U1166" s="200">
        <v>76422452.950000003</v>
      </c>
      <c r="V1166" s="873">
        <v>42342</v>
      </c>
      <c r="W1166" s="201" t="s">
        <v>162</v>
      </c>
      <c r="X1166" s="1197"/>
      <c r="Y1166" s="1197"/>
      <c r="Z1166" s="859">
        <v>0</v>
      </c>
      <c r="AA1166" s="1197"/>
      <c r="AB1166" s="1198"/>
      <c r="AC1166" s="1198"/>
      <c r="AD1166" s="1198"/>
      <c r="AE1166" s="1198"/>
      <c r="AF1166" s="1200"/>
      <c r="AG1166" s="1202"/>
      <c r="AH1166" s="1202"/>
      <c r="AI1166" s="1202"/>
    </row>
    <row r="1167" spans="1:35" s="203" customFormat="1" ht="15" customHeight="1">
      <c r="A1167" s="1075"/>
      <c r="B1167" s="1075"/>
      <c r="C1167" s="1075"/>
      <c r="D1167" s="1075"/>
      <c r="E1167" s="1075"/>
      <c r="F1167" s="1075"/>
      <c r="G1167" s="1075"/>
      <c r="H1167" s="1239"/>
      <c r="I1167" s="1206"/>
      <c r="J1167" s="1198"/>
      <c r="K1167" s="1198"/>
      <c r="L1167" s="1198"/>
      <c r="M1167" s="1199"/>
      <c r="N1167" s="1240"/>
      <c r="O1167" s="1240"/>
      <c r="P1167" s="1240"/>
      <c r="Q1167" s="1240"/>
      <c r="R1167" s="1198"/>
      <c r="S1167" s="1075"/>
      <c r="T1167" s="872" t="s">
        <v>1708</v>
      </c>
      <c r="U1167" s="200">
        <v>54843034.939999998</v>
      </c>
      <c r="V1167" s="873">
        <v>42367</v>
      </c>
      <c r="W1167" s="201" t="s">
        <v>162</v>
      </c>
      <c r="X1167" s="1197"/>
      <c r="Y1167" s="1197"/>
      <c r="Z1167" s="859">
        <v>0</v>
      </c>
      <c r="AA1167" s="1197"/>
      <c r="AB1167" s="1198"/>
      <c r="AC1167" s="1198"/>
      <c r="AD1167" s="1198"/>
      <c r="AE1167" s="1198"/>
      <c r="AF1167" s="1200"/>
      <c r="AG1167" s="1202"/>
      <c r="AH1167" s="1202"/>
      <c r="AI1167" s="1202"/>
    </row>
    <row r="1168" spans="1:35" s="203" customFormat="1" ht="15" customHeight="1">
      <c r="A1168" s="1075"/>
      <c r="B1168" s="1075"/>
      <c r="C1168" s="1075"/>
      <c r="D1168" s="1075"/>
      <c r="E1168" s="1075"/>
      <c r="F1168" s="1075"/>
      <c r="G1168" s="1075"/>
      <c r="H1168" s="1239"/>
      <c r="I1168" s="1206"/>
      <c r="J1168" s="1198"/>
      <c r="K1168" s="1198"/>
      <c r="L1168" s="1198"/>
      <c r="M1168" s="1199"/>
      <c r="N1168" s="1240"/>
      <c r="O1168" s="1240"/>
      <c r="P1168" s="1240"/>
      <c r="Q1168" s="1240"/>
      <c r="R1168" s="1198"/>
      <c r="S1168" s="1075"/>
      <c r="T1168" s="872" t="s">
        <v>1709</v>
      </c>
      <c r="U1168" s="200">
        <v>49280632.979999997</v>
      </c>
      <c r="V1168" s="873">
        <v>42732</v>
      </c>
      <c r="W1168" s="201" t="s">
        <v>162</v>
      </c>
      <c r="X1168" s="1197"/>
      <c r="Y1168" s="1197"/>
      <c r="Z1168" s="859">
        <v>0</v>
      </c>
      <c r="AA1168" s="1197"/>
      <c r="AB1168" s="1198"/>
      <c r="AC1168" s="1198"/>
      <c r="AD1168" s="1198"/>
      <c r="AE1168" s="1198"/>
      <c r="AF1168" s="1200"/>
      <c r="AG1168" s="1202"/>
      <c r="AH1168" s="1202"/>
      <c r="AI1168" s="1202"/>
    </row>
    <row r="1169" spans="1:35" s="203" customFormat="1" ht="15" customHeight="1">
      <c r="A1169" s="1075"/>
      <c r="B1169" s="1075"/>
      <c r="C1169" s="1075"/>
      <c r="D1169" s="1075"/>
      <c r="E1169" s="1075"/>
      <c r="F1169" s="1075"/>
      <c r="G1169" s="1075"/>
      <c r="H1169" s="1239"/>
      <c r="I1169" s="1206"/>
      <c r="J1169" s="1198"/>
      <c r="K1169" s="1198"/>
      <c r="L1169" s="1198"/>
      <c r="M1169" s="1199"/>
      <c r="N1169" s="1240"/>
      <c r="O1169" s="1240"/>
      <c r="P1169" s="1240"/>
      <c r="Q1169" s="1240"/>
      <c r="R1169" s="1198"/>
      <c r="S1169" s="1075"/>
      <c r="T1169" s="872" t="s">
        <v>1710</v>
      </c>
      <c r="U1169" s="200">
        <v>4628754.7300000004</v>
      </c>
      <c r="V1169" s="873">
        <v>43005</v>
      </c>
      <c r="W1169" s="201" t="s">
        <v>162</v>
      </c>
      <c r="X1169" s="1197"/>
      <c r="Y1169" s="1197"/>
      <c r="Z1169" s="859">
        <v>0</v>
      </c>
      <c r="AA1169" s="1197"/>
      <c r="AB1169" s="1198"/>
      <c r="AC1169" s="1198"/>
      <c r="AD1169" s="1198"/>
      <c r="AE1169" s="1198"/>
      <c r="AF1169" s="1200"/>
      <c r="AG1169" s="1202"/>
      <c r="AH1169" s="1202"/>
      <c r="AI1169" s="1202"/>
    </row>
    <row r="1170" spans="1:35" s="203" customFormat="1" ht="15" customHeight="1">
      <c r="A1170" s="1075"/>
      <c r="B1170" s="1075"/>
      <c r="C1170" s="1075"/>
      <c r="D1170" s="1075"/>
      <c r="E1170" s="1075" t="s">
        <v>67</v>
      </c>
      <c r="F1170" s="1075"/>
      <c r="G1170" s="1075"/>
      <c r="H1170" s="1239">
        <v>341</v>
      </c>
      <c r="I1170" s="1206" t="s">
        <v>137</v>
      </c>
      <c r="J1170" s="1198">
        <v>549510028</v>
      </c>
      <c r="K1170" s="1198">
        <v>549510028</v>
      </c>
      <c r="L1170" s="1198"/>
      <c r="M1170" s="1199">
        <v>42611</v>
      </c>
      <c r="N1170" s="1240">
        <v>549510028</v>
      </c>
      <c r="O1170" s="1240">
        <v>549510028</v>
      </c>
      <c r="P1170" s="1240">
        <v>0</v>
      </c>
      <c r="Q1170" s="1240">
        <v>549510028</v>
      </c>
      <c r="R1170" s="1198"/>
      <c r="S1170" s="1075"/>
      <c r="T1170" s="872" t="s">
        <v>1709</v>
      </c>
      <c r="U1170" s="200">
        <v>100000000</v>
      </c>
      <c r="V1170" s="873">
        <v>42732</v>
      </c>
      <c r="W1170" s="201" t="s">
        <v>137</v>
      </c>
      <c r="X1170" s="1197">
        <v>310752673.96000004</v>
      </c>
      <c r="Y1170" s="1197"/>
      <c r="Z1170" s="859">
        <v>0</v>
      </c>
      <c r="AA1170" s="1197"/>
      <c r="AB1170" s="1198"/>
      <c r="AC1170" s="1198"/>
      <c r="AD1170" s="1198"/>
      <c r="AE1170" s="1198"/>
      <c r="AF1170" s="1200"/>
      <c r="AG1170" s="1202"/>
      <c r="AH1170" s="1202"/>
      <c r="AI1170" s="1202"/>
    </row>
    <row r="1171" spans="1:35" s="203" customFormat="1" ht="15" customHeight="1">
      <c r="A1171" s="1075"/>
      <c r="B1171" s="1075"/>
      <c r="C1171" s="1075"/>
      <c r="D1171" s="1075"/>
      <c r="E1171" s="1075"/>
      <c r="F1171" s="1075"/>
      <c r="G1171" s="1075"/>
      <c r="H1171" s="1239"/>
      <c r="I1171" s="1206"/>
      <c r="J1171" s="1198"/>
      <c r="K1171" s="1198"/>
      <c r="L1171" s="1198"/>
      <c r="M1171" s="1199"/>
      <c r="N1171" s="1240"/>
      <c r="O1171" s="1240"/>
      <c r="P1171" s="1240"/>
      <c r="Q1171" s="1240"/>
      <c r="R1171" s="1198"/>
      <c r="S1171" s="1075"/>
      <c r="T1171" s="872" t="s">
        <v>1710</v>
      </c>
      <c r="U1171" s="200">
        <v>210752673.96000001</v>
      </c>
      <c r="V1171" s="873">
        <v>43005</v>
      </c>
      <c r="W1171" s="201" t="s">
        <v>137</v>
      </c>
      <c r="X1171" s="1197"/>
      <c r="Y1171" s="1197"/>
      <c r="Z1171" s="859">
        <v>0</v>
      </c>
      <c r="AA1171" s="1197"/>
      <c r="AB1171" s="1198"/>
      <c r="AC1171" s="1198"/>
      <c r="AD1171" s="1198"/>
      <c r="AE1171" s="1198"/>
      <c r="AF1171" s="1200"/>
      <c r="AG1171" s="1202"/>
      <c r="AH1171" s="1202"/>
      <c r="AI1171" s="1202"/>
    </row>
    <row r="1172" spans="1:35" s="203" customFormat="1" ht="15" customHeight="1">
      <c r="A1172" s="1075"/>
      <c r="B1172" s="1075"/>
      <c r="C1172" s="1075"/>
      <c r="D1172" s="1075"/>
      <c r="E1172" s="1075"/>
      <c r="F1172" s="1075"/>
      <c r="G1172" s="1075"/>
      <c r="H1172" s="1239"/>
      <c r="I1172" s="1206"/>
      <c r="J1172" s="1198"/>
      <c r="K1172" s="1198"/>
      <c r="L1172" s="1198"/>
      <c r="M1172" s="1199"/>
      <c r="N1172" s="1240"/>
      <c r="O1172" s="1240"/>
      <c r="P1172" s="1240"/>
      <c r="Q1172" s="1240"/>
      <c r="R1172" s="1198"/>
      <c r="S1172" s="1075"/>
      <c r="T1172" s="872"/>
      <c r="U1172" s="200"/>
      <c r="V1172" s="873"/>
      <c r="W1172" s="201"/>
      <c r="X1172" s="1197"/>
      <c r="Y1172" s="1197"/>
      <c r="Z1172" s="859">
        <v>0</v>
      </c>
      <c r="AA1172" s="1197"/>
      <c r="AB1172" s="1198"/>
      <c r="AC1172" s="1198"/>
      <c r="AD1172" s="1198"/>
      <c r="AE1172" s="1198"/>
      <c r="AF1172" s="1200"/>
      <c r="AG1172" s="1202"/>
      <c r="AH1172" s="1202"/>
      <c r="AI1172" s="1202"/>
    </row>
    <row r="1173" spans="1:35" s="203" customFormat="1" ht="15" customHeight="1">
      <c r="A1173" s="1075"/>
      <c r="B1173" s="1075"/>
      <c r="C1173" s="1075"/>
      <c r="D1173" s="1075"/>
      <c r="E1173" s="1075"/>
      <c r="F1173" s="1075"/>
      <c r="G1173" s="1075"/>
      <c r="H1173" s="1239">
        <v>12</v>
      </c>
      <c r="I1173" s="1206" t="s">
        <v>162</v>
      </c>
      <c r="J1173" s="1198">
        <v>650000000</v>
      </c>
      <c r="K1173" s="1198">
        <v>650000000</v>
      </c>
      <c r="L1173" s="1198"/>
      <c r="M1173" s="1199">
        <v>42611</v>
      </c>
      <c r="N1173" s="1198">
        <v>650000000</v>
      </c>
      <c r="O1173" s="1198">
        <v>650000000</v>
      </c>
      <c r="P1173" s="1198">
        <v>0</v>
      </c>
      <c r="Q1173" s="1198">
        <v>650000000</v>
      </c>
      <c r="R1173" s="1198"/>
      <c r="S1173" s="1075"/>
      <c r="T1173" s="872" t="s">
        <v>1709</v>
      </c>
      <c r="U1173" s="200">
        <v>292318451.69</v>
      </c>
      <c r="V1173" s="873">
        <v>42732</v>
      </c>
      <c r="W1173" s="201" t="s">
        <v>162</v>
      </c>
      <c r="X1173" s="1197">
        <v>502280269</v>
      </c>
      <c r="Y1173" s="1197"/>
      <c r="Z1173" s="859">
        <v>0</v>
      </c>
      <c r="AA1173" s="1197"/>
      <c r="AB1173" s="1198"/>
      <c r="AC1173" s="1198"/>
      <c r="AD1173" s="1198"/>
      <c r="AE1173" s="1198"/>
      <c r="AF1173" s="1200"/>
      <c r="AG1173" s="1202"/>
      <c r="AH1173" s="1202"/>
      <c r="AI1173" s="1202"/>
    </row>
    <row r="1174" spans="1:35" s="203" customFormat="1" ht="15" customHeight="1">
      <c r="A1174" s="1075"/>
      <c r="B1174" s="1075"/>
      <c r="C1174" s="1075"/>
      <c r="D1174" s="1075"/>
      <c r="E1174" s="1075"/>
      <c r="F1174" s="1075"/>
      <c r="G1174" s="1075"/>
      <c r="H1174" s="1239"/>
      <c r="I1174" s="1206"/>
      <c r="J1174" s="1198"/>
      <c r="K1174" s="1198"/>
      <c r="L1174" s="1198"/>
      <c r="M1174" s="1199"/>
      <c r="N1174" s="1198"/>
      <c r="O1174" s="1198"/>
      <c r="P1174" s="1198"/>
      <c r="Q1174" s="1198"/>
      <c r="R1174" s="1198"/>
      <c r="S1174" s="1075"/>
      <c r="T1174" s="872" t="s">
        <v>1710</v>
      </c>
      <c r="U1174" s="200">
        <v>209961817.31</v>
      </c>
      <c r="V1174" s="873">
        <v>43005</v>
      </c>
      <c r="W1174" s="201" t="s">
        <v>162</v>
      </c>
      <c r="X1174" s="1197"/>
      <c r="Y1174" s="1197"/>
      <c r="Z1174" s="859">
        <v>0</v>
      </c>
      <c r="AA1174" s="1197"/>
      <c r="AB1174" s="1198"/>
      <c r="AC1174" s="1198"/>
      <c r="AD1174" s="1198"/>
      <c r="AE1174" s="1198"/>
      <c r="AF1174" s="1200"/>
      <c r="AG1174" s="1202"/>
      <c r="AH1174" s="1202"/>
      <c r="AI1174" s="1202"/>
    </row>
    <row r="1175" spans="1:35" s="203" customFormat="1" ht="15" customHeight="1">
      <c r="A1175" s="1075"/>
      <c r="B1175" s="1075"/>
      <c r="C1175" s="1075"/>
      <c r="D1175" s="1075"/>
      <c r="E1175" s="1075"/>
      <c r="F1175" s="1075"/>
      <c r="G1175" s="1075"/>
      <c r="H1175" s="1239"/>
      <c r="I1175" s="1206"/>
      <c r="J1175" s="1198"/>
      <c r="K1175" s="1198"/>
      <c r="L1175" s="1198"/>
      <c r="M1175" s="1199"/>
      <c r="N1175" s="1198"/>
      <c r="O1175" s="1198"/>
      <c r="P1175" s="1198"/>
      <c r="Q1175" s="1198"/>
      <c r="R1175" s="1198"/>
      <c r="S1175" s="1075"/>
      <c r="T1175" s="872"/>
      <c r="U1175" s="200"/>
      <c r="V1175" s="873"/>
      <c r="W1175" s="201"/>
      <c r="X1175" s="1197"/>
      <c r="Y1175" s="1197"/>
      <c r="Z1175" s="859">
        <v>0</v>
      </c>
      <c r="AA1175" s="1197"/>
      <c r="AB1175" s="1198"/>
      <c r="AC1175" s="1198"/>
      <c r="AD1175" s="1198"/>
      <c r="AE1175" s="1198"/>
      <c r="AF1175" s="1200"/>
      <c r="AG1175" s="1202"/>
      <c r="AH1175" s="1202"/>
      <c r="AI1175" s="1202"/>
    </row>
    <row r="1176" spans="1:35" ht="15" customHeight="1">
      <c r="A1176" s="1076" t="s">
        <v>1684</v>
      </c>
      <c r="B1176" s="1076" t="s">
        <v>1686</v>
      </c>
      <c r="C1176" s="1076" t="s">
        <v>71</v>
      </c>
      <c r="D1176" s="1076" t="s">
        <v>1221</v>
      </c>
      <c r="E1176" s="1076" t="s">
        <v>66</v>
      </c>
      <c r="F1176" s="1076" t="s">
        <v>50</v>
      </c>
      <c r="G1176" s="1076" t="s">
        <v>1695</v>
      </c>
      <c r="H1176" s="1209">
        <v>283</v>
      </c>
      <c r="I1176" s="1123" t="s">
        <v>7</v>
      </c>
      <c r="J1176" s="1119">
        <v>1060540121</v>
      </c>
      <c r="K1176" s="1119">
        <v>1060540121</v>
      </c>
      <c r="L1176" s="1119">
        <v>4617420117</v>
      </c>
      <c r="M1176" s="1171">
        <v>41449</v>
      </c>
      <c r="N1176" s="1196">
        <v>1060540121</v>
      </c>
      <c r="O1176" s="1196">
        <v>1060540121</v>
      </c>
      <c r="P1176" s="1196">
        <v>0</v>
      </c>
      <c r="Q1176" s="1084">
        <v>1048502322.5</v>
      </c>
      <c r="R1176" s="1119">
        <v>5645082978</v>
      </c>
      <c r="S1176" s="1076" t="s">
        <v>1687</v>
      </c>
      <c r="T1176" s="1123" t="s">
        <v>1688</v>
      </c>
      <c r="U1176" s="866">
        <v>354402897.62</v>
      </c>
      <c r="V1176" s="1171">
        <v>41864</v>
      </c>
      <c r="W1176" s="842" t="s">
        <v>7</v>
      </c>
      <c r="X1176" s="1084">
        <v>2107559302.5400002</v>
      </c>
      <c r="Y1176" s="1084">
        <v>5069523127.8000002</v>
      </c>
      <c r="Z1176" s="827">
        <v>0</v>
      </c>
      <c r="AA1176" s="1084">
        <v>12037798.49999997</v>
      </c>
      <c r="AB1176" s="1119">
        <v>575450359</v>
      </c>
      <c r="AC1176" s="1119">
        <v>12037798.5</v>
      </c>
      <c r="AD1176" s="1119">
        <v>0</v>
      </c>
      <c r="AE1176" s="1119"/>
      <c r="AF1176" s="1203" t="s">
        <v>1696</v>
      </c>
      <c r="AG1176" s="1204" t="s">
        <v>1697</v>
      </c>
      <c r="AH1176" s="1204" t="s">
        <v>194</v>
      </c>
      <c r="AI1176" s="1204" t="s">
        <v>1619</v>
      </c>
    </row>
    <row r="1177" spans="1:35" ht="15" customHeight="1">
      <c r="A1177" s="1076"/>
      <c r="B1177" s="1076"/>
      <c r="C1177" s="1076"/>
      <c r="D1177" s="1076"/>
      <c r="E1177" s="1076"/>
      <c r="F1177" s="1076"/>
      <c r="G1177" s="1076"/>
      <c r="H1177" s="1209"/>
      <c r="I1177" s="1123"/>
      <c r="J1177" s="1119"/>
      <c r="K1177" s="1119"/>
      <c r="L1177" s="1119"/>
      <c r="M1177" s="1171"/>
      <c r="N1177" s="1196"/>
      <c r="O1177" s="1196"/>
      <c r="P1177" s="1196"/>
      <c r="Q1177" s="1084"/>
      <c r="R1177" s="1119"/>
      <c r="S1177" s="1076"/>
      <c r="T1177" s="1123"/>
      <c r="U1177" s="866">
        <v>357970463.61000001</v>
      </c>
      <c r="V1177" s="1171"/>
      <c r="W1177" s="842" t="s">
        <v>137</v>
      </c>
      <c r="X1177" s="1084"/>
      <c r="Y1177" s="1084"/>
      <c r="Z1177" s="827">
        <v>0</v>
      </c>
      <c r="AA1177" s="1084"/>
      <c r="AB1177" s="1119"/>
      <c r="AC1177" s="1119"/>
      <c r="AD1177" s="1119"/>
      <c r="AE1177" s="1119"/>
      <c r="AF1177" s="1203"/>
      <c r="AG1177" s="1204"/>
      <c r="AH1177" s="1204"/>
      <c r="AI1177" s="1204"/>
    </row>
    <row r="1178" spans="1:35" ht="15" customHeight="1">
      <c r="A1178" s="1076"/>
      <c r="B1178" s="1076"/>
      <c r="C1178" s="1076"/>
      <c r="D1178" s="1076"/>
      <c r="E1178" s="1076"/>
      <c r="F1178" s="1076"/>
      <c r="G1178" s="1076"/>
      <c r="H1178" s="1209"/>
      <c r="I1178" s="1123"/>
      <c r="J1178" s="1119"/>
      <c r="K1178" s="1119"/>
      <c r="L1178" s="1119"/>
      <c r="M1178" s="1171"/>
      <c r="N1178" s="1196"/>
      <c r="O1178" s="1196"/>
      <c r="P1178" s="1196"/>
      <c r="Q1178" s="1084"/>
      <c r="R1178" s="1119"/>
      <c r="S1178" s="1076"/>
      <c r="T1178" s="1123" t="s">
        <v>1689</v>
      </c>
      <c r="U1178" s="866">
        <v>342086080.35000002</v>
      </c>
      <c r="V1178" s="1171">
        <v>41982</v>
      </c>
      <c r="W1178" s="842" t="s">
        <v>7</v>
      </c>
      <c r="X1178" s="1084"/>
      <c r="Y1178" s="1084"/>
      <c r="Z1178" s="827">
        <v>0</v>
      </c>
      <c r="AA1178" s="1084"/>
      <c r="AB1178" s="1119"/>
      <c r="AC1178" s="1119"/>
      <c r="AD1178" s="1119"/>
      <c r="AE1178" s="1119"/>
      <c r="AF1178" s="1203"/>
      <c r="AG1178" s="1204"/>
      <c r="AH1178" s="1204"/>
      <c r="AI1178" s="1204"/>
    </row>
    <row r="1179" spans="1:35" ht="15" customHeight="1">
      <c r="A1179" s="1076"/>
      <c r="B1179" s="1076"/>
      <c r="C1179" s="1076"/>
      <c r="D1179" s="1076"/>
      <c r="E1179" s="1076"/>
      <c r="F1179" s="1076"/>
      <c r="G1179" s="1076"/>
      <c r="H1179" s="1209"/>
      <c r="I1179" s="1123"/>
      <c r="J1179" s="1119"/>
      <c r="K1179" s="1119"/>
      <c r="L1179" s="1119"/>
      <c r="M1179" s="1171"/>
      <c r="N1179" s="1196"/>
      <c r="O1179" s="1196"/>
      <c r="P1179" s="1196"/>
      <c r="Q1179" s="1084"/>
      <c r="R1179" s="1119"/>
      <c r="S1179" s="1076"/>
      <c r="T1179" s="1123"/>
      <c r="U1179" s="866">
        <v>345529660.16000003</v>
      </c>
      <c r="V1179" s="1171"/>
      <c r="W1179" s="842" t="s">
        <v>137</v>
      </c>
      <c r="X1179" s="1084"/>
      <c r="Y1179" s="1084"/>
      <c r="Z1179" s="827">
        <v>0</v>
      </c>
      <c r="AA1179" s="1084"/>
      <c r="AB1179" s="1119"/>
      <c r="AC1179" s="1119"/>
      <c r="AD1179" s="1119"/>
      <c r="AE1179" s="1119"/>
      <c r="AF1179" s="1203"/>
      <c r="AG1179" s="1204"/>
      <c r="AH1179" s="1204"/>
      <c r="AI1179" s="1204"/>
    </row>
    <row r="1180" spans="1:35" ht="15" customHeight="1">
      <c r="A1180" s="1076"/>
      <c r="B1180" s="1076"/>
      <c r="C1180" s="1076"/>
      <c r="D1180" s="1076"/>
      <c r="E1180" s="1076"/>
      <c r="F1180" s="1076"/>
      <c r="G1180" s="1076"/>
      <c r="H1180" s="1209"/>
      <c r="I1180" s="1123" t="s">
        <v>137</v>
      </c>
      <c r="J1180" s="1119">
        <v>1071215956</v>
      </c>
      <c r="K1180" s="1119"/>
      <c r="L1180" s="1119"/>
      <c r="M1180" s="1171"/>
      <c r="N1180" s="1196"/>
      <c r="O1180" s="1119">
        <v>1071215956</v>
      </c>
      <c r="P1180" s="1119">
        <v>0</v>
      </c>
      <c r="Q1180" s="1084">
        <v>1059056980.04</v>
      </c>
      <c r="R1180" s="1119"/>
      <c r="S1180" s="1076"/>
      <c r="T1180" s="1123" t="s">
        <v>1690</v>
      </c>
      <c r="U1180" s="866">
        <v>247043901.65000001</v>
      </c>
      <c r="V1180" s="1171">
        <v>42108</v>
      </c>
      <c r="W1180" s="842" t="s">
        <v>7</v>
      </c>
      <c r="X1180" s="1084"/>
      <c r="Y1180" s="1084"/>
      <c r="Z1180" s="827">
        <v>0</v>
      </c>
      <c r="AA1180" s="1084">
        <v>12158975.959999964</v>
      </c>
      <c r="AB1180" s="1119"/>
      <c r="AC1180" s="1119">
        <v>12158975.960000038</v>
      </c>
      <c r="AD1180" s="1119"/>
      <c r="AE1180" s="1119"/>
      <c r="AF1180" s="1203"/>
      <c r="AG1180" s="1204"/>
      <c r="AH1180" s="1204"/>
      <c r="AI1180" s="1204"/>
    </row>
    <row r="1181" spans="1:35" ht="15" customHeight="1">
      <c r="A1181" s="1076"/>
      <c r="B1181" s="1076"/>
      <c r="C1181" s="1076"/>
      <c r="D1181" s="1076"/>
      <c r="E1181" s="1076"/>
      <c r="F1181" s="1076"/>
      <c r="G1181" s="1076"/>
      <c r="H1181" s="1209"/>
      <c r="I1181" s="1123"/>
      <c r="J1181" s="1119"/>
      <c r="K1181" s="1119"/>
      <c r="L1181" s="1119"/>
      <c r="M1181" s="1171"/>
      <c r="N1181" s="1196"/>
      <c r="O1181" s="1119"/>
      <c r="P1181" s="1119"/>
      <c r="Q1181" s="1084"/>
      <c r="R1181" s="1119"/>
      <c r="S1181" s="1076"/>
      <c r="T1181" s="1123"/>
      <c r="U1181" s="866">
        <v>249530747.63</v>
      </c>
      <c r="V1181" s="1171"/>
      <c r="W1181" s="842" t="s">
        <v>137</v>
      </c>
      <c r="X1181" s="1084"/>
      <c r="Y1181" s="1084"/>
      <c r="Z1181" s="827">
        <v>0</v>
      </c>
      <c r="AA1181" s="1084"/>
      <c r="AB1181" s="1119"/>
      <c r="AC1181" s="1119"/>
      <c r="AD1181" s="1119"/>
      <c r="AE1181" s="1119"/>
      <c r="AF1181" s="1203"/>
      <c r="AG1181" s="1204"/>
      <c r="AH1181" s="1204"/>
      <c r="AI1181" s="1204"/>
    </row>
    <row r="1182" spans="1:35" ht="15" customHeight="1">
      <c r="A1182" s="1076"/>
      <c r="B1182" s="1076"/>
      <c r="C1182" s="1076"/>
      <c r="D1182" s="1076"/>
      <c r="E1182" s="1076"/>
      <c r="F1182" s="1076"/>
      <c r="G1182" s="1076"/>
      <c r="H1182" s="1209"/>
      <c r="I1182" s="1123"/>
      <c r="J1182" s="1119"/>
      <c r="K1182" s="1119"/>
      <c r="L1182" s="1119"/>
      <c r="M1182" s="1171"/>
      <c r="N1182" s="1196"/>
      <c r="O1182" s="1119"/>
      <c r="P1182" s="1119"/>
      <c r="Q1182" s="1084"/>
      <c r="R1182" s="1119"/>
      <c r="S1182" s="1076"/>
      <c r="T1182" s="1123" t="s">
        <v>1691</v>
      </c>
      <c r="U1182" s="866">
        <v>104969442.88</v>
      </c>
      <c r="V1182" s="1171">
        <v>42243</v>
      </c>
      <c r="W1182" s="842" t="s">
        <v>7</v>
      </c>
      <c r="X1182" s="1084"/>
      <c r="Y1182" s="1084"/>
      <c r="Z1182" s="827">
        <v>0</v>
      </c>
      <c r="AA1182" s="1084"/>
      <c r="AB1182" s="1119"/>
      <c r="AC1182" s="1119"/>
      <c r="AD1182" s="1119"/>
      <c r="AE1182" s="1119"/>
      <c r="AF1182" s="1203"/>
      <c r="AG1182" s="1204"/>
      <c r="AH1182" s="1204"/>
      <c r="AI1182" s="1204"/>
    </row>
    <row r="1183" spans="1:35" ht="15" customHeight="1">
      <c r="A1183" s="1076"/>
      <c r="B1183" s="1076"/>
      <c r="C1183" s="1076"/>
      <c r="D1183" s="1076"/>
      <c r="E1183" s="1076"/>
      <c r="F1183" s="1076"/>
      <c r="G1183" s="1076"/>
      <c r="H1183" s="1209"/>
      <c r="I1183" s="1123"/>
      <c r="J1183" s="1119"/>
      <c r="K1183" s="1119"/>
      <c r="L1183" s="1119"/>
      <c r="M1183" s="1171"/>
      <c r="N1183" s="1196"/>
      <c r="O1183" s="1119"/>
      <c r="P1183" s="1119"/>
      <c r="Q1183" s="1084"/>
      <c r="R1183" s="1119"/>
      <c r="S1183" s="1076"/>
      <c r="T1183" s="1123"/>
      <c r="U1183" s="866">
        <v>106026108.64</v>
      </c>
      <c r="V1183" s="1171"/>
      <c r="W1183" s="842" t="s">
        <v>137</v>
      </c>
      <c r="X1183" s="1084"/>
      <c r="Y1183" s="1084"/>
      <c r="Z1183" s="827">
        <v>0</v>
      </c>
      <c r="AA1183" s="1084"/>
      <c r="AB1183" s="1119"/>
      <c r="AC1183" s="1119"/>
      <c r="AD1183" s="1119"/>
      <c r="AE1183" s="1119"/>
      <c r="AF1183" s="1203"/>
      <c r="AG1183" s="1204"/>
      <c r="AH1183" s="1204"/>
      <c r="AI1183" s="1204"/>
    </row>
    <row r="1184" spans="1:35" ht="15" customHeight="1">
      <c r="A1184" s="1076"/>
      <c r="B1184" s="1076"/>
      <c r="C1184" s="1076"/>
      <c r="D1184" s="1076"/>
      <c r="E1184" s="1076"/>
      <c r="F1184" s="1076"/>
      <c r="G1184" s="1076"/>
      <c r="H1184" s="1209">
        <v>2</v>
      </c>
      <c r="I1184" s="1123" t="s">
        <v>147</v>
      </c>
      <c r="J1184" s="1119">
        <v>1705308036</v>
      </c>
      <c r="K1184" s="1119">
        <v>1705308036</v>
      </c>
      <c r="L1184" s="1119"/>
      <c r="M1184" s="1171">
        <v>41449</v>
      </c>
      <c r="N1184" s="1196">
        <v>1705308036</v>
      </c>
      <c r="O1184" s="1196">
        <v>1705308036</v>
      </c>
      <c r="P1184" s="1196">
        <v>0</v>
      </c>
      <c r="Q1184" s="1084">
        <v>1685951715.46</v>
      </c>
      <c r="R1184" s="1119"/>
      <c r="S1184" s="1076"/>
      <c r="T1184" s="840" t="s">
        <v>1688</v>
      </c>
      <c r="U1184" s="866">
        <v>569866332.57000005</v>
      </c>
      <c r="V1184" s="855">
        <v>41864</v>
      </c>
      <c r="W1184" s="842" t="s">
        <v>147</v>
      </c>
      <c r="X1184" s="1084">
        <v>1685951715.46</v>
      </c>
      <c r="Y1184" s="1084"/>
      <c r="Z1184" s="827">
        <v>0</v>
      </c>
      <c r="AA1184" s="1084">
        <v>19356320.539999962</v>
      </c>
      <c r="AB1184" s="1119"/>
      <c r="AC1184" s="1119">
        <v>19356320.539999962</v>
      </c>
      <c r="AD1184" s="1119">
        <v>0</v>
      </c>
      <c r="AE1184" s="1119"/>
      <c r="AF1184" s="1203"/>
      <c r="AG1184" s="1204"/>
      <c r="AH1184" s="1204"/>
      <c r="AI1184" s="1204"/>
    </row>
    <row r="1185" spans="1:35" ht="15" customHeight="1">
      <c r="A1185" s="1076"/>
      <c r="B1185" s="1076"/>
      <c r="C1185" s="1076"/>
      <c r="D1185" s="1076"/>
      <c r="E1185" s="1076"/>
      <c r="F1185" s="1076"/>
      <c r="G1185" s="1076"/>
      <c r="H1185" s="1209"/>
      <c r="I1185" s="1123"/>
      <c r="J1185" s="1119"/>
      <c r="K1185" s="1119"/>
      <c r="L1185" s="1119"/>
      <c r="M1185" s="1171"/>
      <c r="N1185" s="1196"/>
      <c r="O1185" s="1196"/>
      <c r="P1185" s="1196"/>
      <c r="Q1185" s="1084"/>
      <c r="R1185" s="1119"/>
      <c r="S1185" s="1076"/>
      <c r="T1185" s="840" t="s">
        <v>1689</v>
      </c>
      <c r="U1185" s="866">
        <v>550061360.49000001</v>
      </c>
      <c r="V1185" s="855">
        <v>41982</v>
      </c>
      <c r="W1185" s="842" t="s">
        <v>147</v>
      </c>
      <c r="X1185" s="1084"/>
      <c r="Y1185" s="1084"/>
      <c r="Z1185" s="827">
        <v>0</v>
      </c>
      <c r="AA1185" s="1084"/>
      <c r="AB1185" s="1119"/>
      <c r="AC1185" s="1119"/>
      <c r="AD1185" s="1119"/>
      <c r="AE1185" s="1119"/>
      <c r="AF1185" s="1203"/>
      <c r="AG1185" s="1204"/>
      <c r="AH1185" s="1204"/>
      <c r="AI1185" s="1204"/>
    </row>
    <row r="1186" spans="1:35" ht="15" customHeight="1">
      <c r="A1186" s="1076"/>
      <c r="B1186" s="1076"/>
      <c r="C1186" s="1076"/>
      <c r="D1186" s="1076"/>
      <c r="E1186" s="1076"/>
      <c r="F1186" s="1076"/>
      <c r="G1186" s="1076"/>
      <c r="H1186" s="1209"/>
      <c r="I1186" s="1123"/>
      <c r="J1186" s="1119"/>
      <c r="K1186" s="1119"/>
      <c r="L1186" s="1119"/>
      <c r="M1186" s="1171"/>
      <c r="N1186" s="1196"/>
      <c r="O1186" s="1196"/>
      <c r="P1186" s="1196"/>
      <c r="Q1186" s="1084"/>
      <c r="R1186" s="1119"/>
      <c r="S1186" s="1076"/>
      <c r="T1186" s="840" t="s">
        <v>1690</v>
      </c>
      <c r="U1186" s="866">
        <v>397237164.72000003</v>
      </c>
      <c r="V1186" s="855">
        <v>42108</v>
      </c>
      <c r="W1186" s="842" t="s">
        <v>147</v>
      </c>
      <c r="X1186" s="1084"/>
      <c r="Y1186" s="1084"/>
      <c r="Z1186" s="827">
        <v>0</v>
      </c>
      <c r="AA1186" s="1084"/>
      <c r="AB1186" s="1119"/>
      <c r="AC1186" s="1119"/>
      <c r="AD1186" s="1119"/>
      <c r="AE1186" s="1119"/>
      <c r="AF1186" s="1203"/>
      <c r="AG1186" s="1204"/>
      <c r="AH1186" s="1204"/>
      <c r="AI1186" s="1204"/>
    </row>
    <row r="1187" spans="1:35" ht="15" customHeight="1">
      <c r="A1187" s="1076"/>
      <c r="B1187" s="1076"/>
      <c r="C1187" s="1076"/>
      <c r="D1187" s="1076"/>
      <c r="E1187" s="1076"/>
      <c r="F1187" s="1076"/>
      <c r="G1187" s="1076"/>
      <c r="H1187" s="1209"/>
      <c r="I1187" s="1123"/>
      <c r="J1187" s="1119"/>
      <c r="K1187" s="1119"/>
      <c r="L1187" s="1119"/>
      <c r="M1187" s="1171"/>
      <c r="N1187" s="1196"/>
      <c r="O1187" s="1196"/>
      <c r="P1187" s="1196"/>
      <c r="Q1187" s="1084"/>
      <c r="R1187" s="1119"/>
      <c r="S1187" s="1076"/>
      <c r="T1187" s="840" t="s">
        <v>1691</v>
      </c>
      <c r="U1187" s="866">
        <v>168786857.68000001</v>
      </c>
      <c r="V1187" s="855">
        <v>42243</v>
      </c>
      <c r="W1187" s="842" t="s">
        <v>147</v>
      </c>
      <c r="X1187" s="1084"/>
      <c r="Y1187" s="1084"/>
      <c r="Z1187" s="827">
        <v>0</v>
      </c>
      <c r="AA1187" s="1084"/>
      <c r="AB1187" s="1119"/>
      <c r="AC1187" s="1119"/>
      <c r="AD1187" s="1119"/>
      <c r="AE1187" s="1119"/>
      <c r="AF1187" s="1203"/>
      <c r="AG1187" s="1204"/>
      <c r="AH1187" s="1204"/>
      <c r="AI1187" s="1204"/>
    </row>
    <row r="1188" spans="1:35" ht="15" customHeight="1">
      <c r="A1188" s="1076"/>
      <c r="B1188" s="1076"/>
      <c r="C1188" s="1076"/>
      <c r="D1188" s="1076"/>
      <c r="E1188" s="1076" t="s">
        <v>67</v>
      </c>
      <c r="F1188" s="1076"/>
      <c r="G1188" s="1076"/>
      <c r="H1188" s="1209">
        <v>317</v>
      </c>
      <c r="I1188" s="1123" t="s">
        <v>137</v>
      </c>
      <c r="J1188" s="1119">
        <v>1851571960</v>
      </c>
      <c r="K1188" s="1119">
        <v>1851571960</v>
      </c>
      <c r="L1188" s="1119"/>
      <c r="M1188" s="1171">
        <v>42130</v>
      </c>
      <c r="N1188" s="1196">
        <v>1851571960</v>
      </c>
      <c r="O1188" s="1196">
        <v>1851571960</v>
      </c>
      <c r="P1188" s="1196">
        <v>0</v>
      </c>
      <c r="Q1188" s="1084">
        <v>1851571960</v>
      </c>
      <c r="R1188" s="1119"/>
      <c r="S1188" s="1076"/>
      <c r="T1188" s="840" t="s">
        <v>1692</v>
      </c>
      <c r="U1188" s="866">
        <v>509387198.80000001</v>
      </c>
      <c r="V1188" s="855">
        <v>42243</v>
      </c>
      <c r="W1188" s="842" t="s">
        <v>137</v>
      </c>
      <c r="X1188" s="1084">
        <v>1276012109.8</v>
      </c>
      <c r="Y1188" s="1084"/>
      <c r="Z1188" s="827">
        <v>0</v>
      </c>
      <c r="AA1188" s="1084">
        <v>575559850.20000005</v>
      </c>
      <c r="AB1188" s="1119"/>
      <c r="AC1188" s="1119">
        <v>0</v>
      </c>
      <c r="AD1188" s="1119">
        <v>109491.20000004768</v>
      </c>
      <c r="AE1188" s="1119"/>
      <c r="AF1188" s="1203"/>
      <c r="AG1188" s="1204"/>
      <c r="AH1188" s="1204"/>
      <c r="AI1188" s="1204"/>
    </row>
    <row r="1189" spans="1:35" ht="15" customHeight="1">
      <c r="A1189" s="1076"/>
      <c r="B1189" s="1076"/>
      <c r="C1189" s="1076"/>
      <c r="D1189" s="1076"/>
      <c r="E1189" s="1076"/>
      <c r="F1189" s="1076"/>
      <c r="G1189" s="1076"/>
      <c r="H1189" s="1209"/>
      <c r="I1189" s="1123"/>
      <c r="J1189" s="1119"/>
      <c r="K1189" s="1119"/>
      <c r="L1189" s="1119"/>
      <c r="M1189" s="1171"/>
      <c r="N1189" s="1196"/>
      <c r="O1189" s="1196"/>
      <c r="P1189" s="1196"/>
      <c r="Q1189" s="1084"/>
      <c r="R1189" s="1119"/>
      <c r="S1189" s="1076"/>
      <c r="T1189" s="840" t="s">
        <v>1693</v>
      </c>
      <c r="U1189" s="866">
        <v>766624911</v>
      </c>
      <c r="V1189" s="855">
        <v>42332</v>
      </c>
      <c r="W1189" s="842" t="s">
        <v>137</v>
      </c>
      <c r="X1189" s="1084"/>
      <c r="Y1189" s="1084"/>
      <c r="Z1189" s="827">
        <v>0</v>
      </c>
      <c r="AA1189" s="1084"/>
      <c r="AB1189" s="1119"/>
      <c r="AC1189" s="1119"/>
      <c r="AD1189" s="1119"/>
      <c r="AE1189" s="1119"/>
      <c r="AF1189" s="1203"/>
      <c r="AG1189" s="1204"/>
      <c r="AH1189" s="1204"/>
      <c r="AI1189" s="1204"/>
    </row>
    <row r="1190" spans="1:35" ht="15" customHeight="1">
      <c r="A1190" s="1076"/>
      <c r="B1190" s="1076"/>
      <c r="C1190" s="1076"/>
      <c r="D1190" s="1076"/>
      <c r="E1190" s="1076"/>
      <c r="F1190" s="1076"/>
      <c r="G1190" s="1076"/>
      <c r="H1190" s="1209"/>
      <c r="I1190" s="1123"/>
      <c r="J1190" s="1119"/>
      <c r="K1190" s="1119"/>
      <c r="L1190" s="1119"/>
      <c r="M1190" s="1171"/>
      <c r="N1190" s="1196"/>
      <c r="O1190" s="1196"/>
      <c r="P1190" s="1196"/>
      <c r="Q1190" s="1084"/>
      <c r="R1190" s="1119"/>
      <c r="S1190" s="1076"/>
      <c r="T1190" s="840" t="s">
        <v>1694</v>
      </c>
      <c r="U1190" s="866"/>
      <c r="V1190" s="855"/>
      <c r="W1190" s="842"/>
      <c r="X1190" s="1084"/>
      <c r="Y1190" s="1084"/>
      <c r="Z1190" s="827">
        <v>575450359</v>
      </c>
      <c r="AA1190" s="1084"/>
      <c r="AB1190" s="1119"/>
      <c r="AC1190" s="1119"/>
      <c r="AD1190" s="1119"/>
      <c r="AE1190" s="1119"/>
      <c r="AF1190" s="1203"/>
      <c r="AG1190" s="1204"/>
      <c r="AH1190" s="1204"/>
      <c r="AI1190" s="1204"/>
    </row>
    <row r="1191" spans="1:35" ht="15" customHeight="1">
      <c r="A1191" s="1076" t="s">
        <v>1712</v>
      </c>
      <c r="B1191" s="1076" t="s">
        <v>1714</v>
      </c>
      <c r="C1191" s="1076" t="s">
        <v>71</v>
      </c>
      <c r="D1191" s="1076" t="s">
        <v>1221</v>
      </c>
      <c r="E1191" s="1076" t="s">
        <v>66</v>
      </c>
      <c r="F1191" s="1076" t="s">
        <v>183</v>
      </c>
      <c r="G1191" s="1076" t="s">
        <v>1718</v>
      </c>
      <c r="H1191" s="1209">
        <v>296</v>
      </c>
      <c r="I1191" s="1123" t="s">
        <v>7</v>
      </c>
      <c r="J1191" s="1119">
        <v>130416795</v>
      </c>
      <c r="K1191" s="1119">
        <v>130416795</v>
      </c>
      <c r="L1191" s="1119">
        <v>130416795</v>
      </c>
      <c r="M1191" s="1171">
        <v>41598</v>
      </c>
      <c r="N1191" s="1196">
        <v>129113450.16</v>
      </c>
      <c r="O1191" s="1196">
        <v>129113450.16</v>
      </c>
      <c r="P1191" s="1196">
        <v>1303344.8400000036</v>
      </c>
      <c r="Q1191" s="1084">
        <v>129113450.16</v>
      </c>
      <c r="R1191" s="1119">
        <v>129113450.16</v>
      </c>
      <c r="S1191" s="1076" t="s">
        <v>1715</v>
      </c>
      <c r="T1191" s="840" t="s">
        <v>1716</v>
      </c>
      <c r="U1191" s="866">
        <v>116549544</v>
      </c>
      <c r="V1191" s="855">
        <v>41901</v>
      </c>
      <c r="W1191" s="842" t="s">
        <v>7</v>
      </c>
      <c r="X1191" s="1084">
        <v>129113450.16</v>
      </c>
      <c r="Y1191" s="1084">
        <v>129113450.16</v>
      </c>
      <c r="Z1191" s="827">
        <v>0</v>
      </c>
      <c r="AA1191" s="1084">
        <v>0</v>
      </c>
      <c r="AB1191" s="1119">
        <v>0</v>
      </c>
      <c r="AC1191" s="1119">
        <v>0</v>
      </c>
      <c r="AD1191" s="1119">
        <v>0</v>
      </c>
      <c r="AE1191" s="1119">
        <v>0</v>
      </c>
      <c r="AF1191" s="1203" t="s">
        <v>606</v>
      </c>
      <c r="AG1191" s="1204" t="s">
        <v>1719</v>
      </c>
      <c r="AH1191" s="1204" t="s">
        <v>194</v>
      </c>
      <c r="AI1191" s="1204" t="s">
        <v>1619</v>
      </c>
    </row>
    <row r="1192" spans="1:35" ht="15" customHeight="1">
      <c r="A1192" s="1076"/>
      <c r="B1192" s="1076"/>
      <c r="C1192" s="1076"/>
      <c r="D1192" s="1076"/>
      <c r="E1192" s="1076"/>
      <c r="F1192" s="1076"/>
      <c r="G1192" s="1076"/>
      <c r="H1192" s="1209"/>
      <c r="I1192" s="1123"/>
      <c r="J1192" s="1119"/>
      <c r="K1192" s="1119"/>
      <c r="L1192" s="1119"/>
      <c r="M1192" s="1171"/>
      <c r="N1192" s="1196"/>
      <c r="O1192" s="1196"/>
      <c r="P1192" s="1196"/>
      <c r="Q1192" s="1084"/>
      <c r="R1192" s="1119"/>
      <c r="S1192" s="1076"/>
      <c r="T1192" s="840" t="s">
        <v>1717</v>
      </c>
      <c r="U1192" s="866">
        <v>12563906.16</v>
      </c>
      <c r="V1192" s="855">
        <v>41984</v>
      </c>
      <c r="W1192" s="842" t="s">
        <v>7</v>
      </c>
      <c r="X1192" s="1084"/>
      <c r="Y1192" s="1084"/>
      <c r="Z1192" s="827">
        <v>0</v>
      </c>
      <c r="AA1192" s="1084"/>
      <c r="AB1192" s="1119"/>
      <c r="AC1192" s="1119"/>
      <c r="AD1192" s="1119"/>
      <c r="AE1192" s="1119"/>
      <c r="AF1192" s="1203"/>
      <c r="AG1192" s="1204"/>
      <c r="AH1192" s="1204"/>
      <c r="AI1192" s="1204"/>
    </row>
    <row r="1193" spans="1:35" ht="15" customHeight="1">
      <c r="A1193" s="1076" t="s">
        <v>1758</v>
      </c>
      <c r="B1193" s="1076" t="s">
        <v>1759</v>
      </c>
      <c r="C1193" s="1076" t="s">
        <v>70</v>
      </c>
      <c r="D1193" s="1076" t="s">
        <v>206</v>
      </c>
      <c r="E1193" s="1076" t="s">
        <v>66</v>
      </c>
      <c r="F1193" s="1076" t="s">
        <v>49</v>
      </c>
      <c r="G1193" s="1076" t="s">
        <v>1761</v>
      </c>
      <c r="H1193" s="1209">
        <v>4</v>
      </c>
      <c r="I1193" s="1123" t="s">
        <v>162</v>
      </c>
      <c r="J1193" s="1119">
        <v>136092428</v>
      </c>
      <c r="K1193" s="1119">
        <v>136092428</v>
      </c>
      <c r="L1193" s="1119">
        <v>173486418</v>
      </c>
      <c r="M1193" s="1171">
        <v>41522</v>
      </c>
      <c r="N1193" s="1196">
        <v>136092428</v>
      </c>
      <c r="O1193" s="1196">
        <v>136092428</v>
      </c>
      <c r="P1193" s="1196">
        <v>0</v>
      </c>
      <c r="Q1193" s="1084">
        <v>136040933</v>
      </c>
      <c r="R1193" s="1119">
        <v>173434923</v>
      </c>
      <c r="S1193" s="1076" t="s">
        <v>1271</v>
      </c>
      <c r="T1193" s="840" t="s">
        <v>1762</v>
      </c>
      <c r="U1193" s="866">
        <v>54413363.329999998</v>
      </c>
      <c r="V1193" s="855">
        <v>41745</v>
      </c>
      <c r="W1193" s="842" t="s">
        <v>162</v>
      </c>
      <c r="X1193" s="1084">
        <v>136040933.15000001</v>
      </c>
      <c r="Y1193" s="1084">
        <v>155686241.15000001</v>
      </c>
      <c r="Z1193" s="827">
        <v>0</v>
      </c>
      <c r="AA1193" s="1084">
        <v>51494.84999999404</v>
      </c>
      <c r="AB1193" s="1119">
        <v>-0.14999997615814209</v>
      </c>
      <c r="AC1193" s="1119">
        <v>51495</v>
      </c>
      <c r="AD1193" s="1119">
        <v>0</v>
      </c>
      <c r="AE1193" s="1119"/>
      <c r="AF1193" s="1203"/>
      <c r="AG1193" s="1204" t="s">
        <v>1767</v>
      </c>
      <c r="AH1193" s="1204" t="s">
        <v>194</v>
      </c>
      <c r="AI1193" s="1204" t="s">
        <v>1619</v>
      </c>
    </row>
    <row r="1194" spans="1:35" ht="15" customHeight="1">
      <c r="A1194" s="1076"/>
      <c r="B1194" s="1076"/>
      <c r="C1194" s="1076"/>
      <c r="D1194" s="1076"/>
      <c r="E1194" s="1076"/>
      <c r="F1194" s="1076"/>
      <c r="G1194" s="1076"/>
      <c r="H1194" s="1209"/>
      <c r="I1194" s="1123"/>
      <c r="J1194" s="1119"/>
      <c r="K1194" s="1119"/>
      <c r="L1194" s="1119"/>
      <c r="M1194" s="1171"/>
      <c r="N1194" s="1196"/>
      <c r="O1194" s="1196"/>
      <c r="P1194" s="1196"/>
      <c r="Q1194" s="1084"/>
      <c r="R1194" s="1119"/>
      <c r="S1194" s="1076"/>
      <c r="T1194" s="840" t="s">
        <v>1763</v>
      </c>
      <c r="U1194" s="866">
        <v>34279154.899999999</v>
      </c>
      <c r="V1194" s="855">
        <v>41992</v>
      </c>
      <c r="W1194" s="842" t="s">
        <v>162</v>
      </c>
      <c r="X1194" s="1084"/>
      <c r="Y1194" s="1084"/>
      <c r="Z1194" s="827">
        <v>0</v>
      </c>
      <c r="AA1194" s="1084"/>
      <c r="AB1194" s="1119"/>
      <c r="AC1194" s="1119"/>
      <c r="AD1194" s="1119"/>
      <c r="AE1194" s="1119"/>
      <c r="AF1194" s="1203"/>
      <c r="AG1194" s="1204"/>
      <c r="AH1194" s="1204"/>
      <c r="AI1194" s="1204"/>
    </row>
    <row r="1195" spans="1:35" ht="15" customHeight="1">
      <c r="A1195" s="1076"/>
      <c r="B1195" s="1076"/>
      <c r="C1195" s="1076"/>
      <c r="D1195" s="1076"/>
      <c r="E1195" s="1076"/>
      <c r="F1195" s="1076"/>
      <c r="G1195" s="1076"/>
      <c r="H1195" s="1209"/>
      <c r="I1195" s="1123"/>
      <c r="J1195" s="1119"/>
      <c r="K1195" s="1119"/>
      <c r="L1195" s="1119"/>
      <c r="M1195" s="1171"/>
      <c r="N1195" s="1196"/>
      <c r="O1195" s="1196"/>
      <c r="P1195" s="1196"/>
      <c r="Q1195" s="1084"/>
      <c r="R1195" s="1119"/>
      <c r="S1195" s="1076"/>
      <c r="T1195" s="840" t="s">
        <v>1764</v>
      </c>
      <c r="U1195" s="866">
        <v>34282316.340000004</v>
      </c>
      <c r="V1195" s="855">
        <v>42366</v>
      </c>
      <c r="W1195" s="842" t="s">
        <v>162</v>
      </c>
      <c r="X1195" s="1084"/>
      <c r="Y1195" s="1084"/>
      <c r="Z1195" s="827">
        <v>-0.14999999850988388</v>
      </c>
      <c r="AA1195" s="1084"/>
      <c r="AB1195" s="1119"/>
      <c r="AC1195" s="1119"/>
      <c r="AD1195" s="1119"/>
      <c r="AE1195" s="1119"/>
      <c r="AF1195" s="1203"/>
      <c r="AG1195" s="1204"/>
      <c r="AH1195" s="1204"/>
      <c r="AI1195" s="1204"/>
    </row>
    <row r="1196" spans="1:35" ht="15" customHeight="1">
      <c r="A1196" s="1076"/>
      <c r="B1196" s="1076"/>
      <c r="C1196" s="1076"/>
      <c r="D1196" s="1076"/>
      <c r="E1196" s="1076"/>
      <c r="F1196" s="1076"/>
      <c r="G1196" s="1076"/>
      <c r="H1196" s="1209"/>
      <c r="I1196" s="1123"/>
      <c r="J1196" s="1119"/>
      <c r="K1196" s="1119"/>
      <c r="L1196" s="1119"/>
      <c r="M1196" s="1171"/>
      <c r="N1196" s="1196"/>
      <c r="O1196" s="1196"/>
      <c r="P1196" s="1196"/>
      <c r="Q1196" s="1084"/>
      <c r="R1196" s="1119"/>
      <c r="S1196" s="1076"/>
      <c r="T1196" s="840" t="s">
        <v>1765</v>
      </c>
      <c r="U1196" s="866">
        <v>13066098.58</v>
      </c>
      <c r="V1196" s="855">
        <v>42933</v>
      </c>
      <c r="W1196" s="842" t="s">
        <v>162</v>
      </c>
      <c r="X1196" s="1084"/>
      <c r="Y1196" s="1084"/>
      <c r="Z1196" s="827">
        <v>0</v>
      </c>
      <c r="AA1196" s="1084"/>
      <c r="AB1196" s="1119"/>
      <c r="AC1196" s="1119"/>
      <c r="AD1196" s="1119"/>
      <c r="AE1196" s="1119"/>
      <c r="AF1196" s="1203"/>
      <c r="AG1196" s="1204"/>
      <c r="AH1196" s="1204"/>
      <c r="AI1196" s="1204"/>
    </row>
    <row r="1197" spans="1:35" ht="15" customHeight="1">
      <c r="A1197" s="1076"/>
      <c r="B1197" s="1076"/>
      <c r="C1197" s="1076"/>
      <c r="D1197" s="1076"/>
      <c r="E1197" s="1076"/>
      <c r="F1197" s="1076"/>
      <c r="G1197" s="1076"/>
      <c r="H1197" s="1209"/>
      <c r="I1197" s="1123"/>
      <c r="J1197" s="1119"/>
      <c r="K1197" s="1119"/>
      <c r="L1197" s="1119"/>
      <c r="M1197" s="1171"/>
      <c r="N1197" s="1196"/>
      <c r="O1197" s="1196"/>
      <c r="P1197" s="1196"/>
      <c r="Q1197" s="1084"/>
      <c r="R1197" s="1119"/>
      <c r="S1197" s="1076"/>
      <c r="T1197" s="840"/>
      <c r="U1197" s="866"/>
      <c r="V1197" s="855"/>
      <c r="W1197" s="842"/>
      <c r="X1197" s="1084"/>
      <c r="Y1197" s="1084"/>
      <c r="Z1197" s="827">
        <v>0</v>
      </c>
      <c r="AA1197" s="1084"/>
      <c r="AB1197" s="1119"/>
      <c r="AC1197" s="1119"/>
      <c r="AD1197" s="1119"/>
      <c r="AE1197" s="1119"/>
      <c r="AF1197" s="1203"/>
      <c r="AG1197" s="1204"/>
      <c r="AH1197" s="1204"/>
      <c r="AI1197" s="1204"/>
    </row>
    <row r="1198" spans="1:35" ht="15" customHeight="1">
      <c r="A1198" s="1076"/>
      <c r="B1198" s="1076"/>
      <c r="C1198" s="1076"/>
      <c r="D1198" s="1076"/>
      <c r="E1198" s="1076"/>
      <c r="F1198" s="1076"/>
      <c r="G1198" s="1076"/>
      <c r="H1198" s="1209">
        <v>289</v>
      </c>
      <c r="I1198" s="1123" t="s">
        <v>7</v>
      </c>
      <c r="J1198" s="1119">
        <v>11292987</v>
      </c>
      <c r="K1198" s="1119">
        <v>11292987</v>
      </c>
      <c r="L1198" s="1119"/>
      <c r="M1198" s="1171">
        <v>41522</v>
      </c>
      <c r="N1198" s="1196">
        <v>11292987</v>
      </c>
      <c r="O1198" s="1119">
        <v>11292987</v>
      </c>
      <c r="P1198" s="1119">
        <v>0</v>
      </c>
      <c r="Q1198" s="1084">
        <v>11292987</v>
      </c>
      <c r="R1198" s="1119"/>
      <c r="S1198" s="1076"/>
      <c r="T1198" s="840" t="s">
        <v>1762</v>
      </c>
      <c r="U1198" s="866">
        <v>4520204.67</v>
      </c>
      <c r="V1198" s="855">
        <v>41745</v>
      </c>
      <c r="W1198" s="842" t="s">
        <v>7</v>
      </c>
      <c r="X1198" s="1084">
        <v>11292987</v>
      </c>
      <c r="Y1198" s="1084"/>
      <c r="Z1198" s="827">
        <v>0</v>
      </c>
      <c r="AA1198" s="1084">
        <v>0</v>
      </c>
      <c r="AB1198" s="1119"/>
      <c r="AC1198" s="1119">
        <v>0</v>
      </c>
      <c r="AD1198" s="1119">
        <v>0</v>
      </c>
      <c r="AE1198" s="1119"/>
      <c r="AF1198" s="1203"/>
      <c r="AG1198" s="1204"/>
      <c r="AH1198" s="1204"/>
      <c r="AI1198" s="1204"/>
    </row>
    <row r="1199" spans="1:35" ht="15" customHeight="1">
      <c r="A1199" s="1076"/>
      <c r="B1199" s="1076"/>
      <c r="C1199" s="1076"/>
      <c r="D1199" s="1076"/>
      <c r="E1199" s="1076"/>
      <c r="F1199" s="1076"/>
      <c r="G1199" s="1076"/>
      <c r="H1199" s="1209"/>
      <c r="I1199" s="1123"/>
      <c r="J1199" s="1119"/>
      <c r="K1199" s="1119"/>
      <c r="L1199" s="1119"/>
      <c r="M1199" s="1171"/>
      <c r="N1199" s="1196"/>
      <c r="O1199" s="1119"/>
      <c r="P1199" s="1119"/>
      <c r="Q1199" s="1084"/>
      <c r="R1199" s="1119"/>
      <c r="S1199" s="1076"/>
      <c r="T1199" s="840" t="s">
        <v>1763</v>
      </c>
      <c r="U1199" s="866">
        <v>2848993.1</v>
      </c>
      <c r="V1199" s="855">
        <v>41992</v>
      </c>
      <c r="W1199" s="842" t="s">
        <v>7</v>
      </c>
      <c r="X1199" s="1084"/>
      <c r="Y1199" s="1084"/>
      <c r="Z1199" s="827">
        <v>0</v>
      </c>
      <c r="AA1199" s="1084"/>
      <c r="AB1199" s="1119"/>
      <c r="AC1199" s="1119"/>
      <c r="AD1199" s="1119"/>
      <c r="AE1199" s="1119"/>
      <c r="AF1199" s="1203"/>
      <c r="AG1199" s="1204"/>
      <c r="AH1199" s="1204"/>
      <c r="AI1199" s="1204"/>
    </row>
    <row r="1200" spans="1:35" ht="15" customHeight="1">
      <c r="A1200" s="1076"/>
      <c r="B1200" s="1076"/>
      <c r="C1200" s="1076"/>
      <c r="D1200" s="1076"/>
      <c r="E1200" s="1076"/>
      <c r="F1200" s="1076"/>
      <c r="G1200" s="1076"/>
      <c r="H1200" s="1209"/>
      <c r="I1200" s="1123"/>
      <c r="J1200" s="1119"/>
      <c r="K1200" s="1119"/>
      <c r="L1200" s="1119"/>
      <c r="M1200" s="1171"/>
      <c r="N1200" s="1196"/>
      <c r="O1200" s="1119"/>
      <c r="P1200" s="1119"/>
      <c r="Q1200" s="1084"/>
      <c r="R1200" s="1119"/>
      <c r="S1200" s="1076"/>
      <c r="T1200" s="840" t="s">
        <v>1764</v>
      </c>
      <c r="U1200" s="866">
        <v>2845832.81</v>
      </c>
      <c r="V1200" s="855">
        <v>42366</v>
      </c>
      <c r="W1200" s="842" t="s">
        <v>7</v>
      </c>
      <c r="X1200" s="1084"/>
      <c r="Y1200" s="1084"/>
      <c r="Z1200" s="827">
        <v>0</v>
      </c>
      <c r="AA1200" s="1084"/>
      <c r="AB1200" s="1119"/>
      <c r="AC1200" s="1119"/>
      <c r="AD1200" s="1119"/>
      <c r="AE1200" s="1119"/>
      <c r="AF1200" s="1203"/>
      <c r="AG1200" s="1204"/>
      <c r="AH1200" s="1204"/>
      <c r="AI1200" s="1204"/>
    </row>
    <row r="1201" spans="1:35" ht="15" customHeight="1">
      <c r="A1201" s="1076"/>
      <c r="B1201" s="1076"/>
      <c r="C1201" s="1076"/>
      <c r="D1201" s="1076"/>
      <c r="E1201" s="1076"/>
      <c r="F1201" s="1076"/>
      <c r="G1201" s="1076"/>
      <c r="H1201" s="1209"/>
      <c r="I1201" s="1123"/>
      <c r="J1201" s="1119"/>
      <c r="K1201" s="1119"/>
      <c r="L1201" s="1119"/>
      <c r="M1201" s="1171"/>
      <c r="N1201" s="1196"/>
      <c r="O1201" s="1119"/>
      <c r="P1201" s="1119"/>
      <c r="Q1201" s="1084"/>
      <c r="R1201" s="1119"/>
      <c r="S1201" s="1076"/>
      <c r="T1201" s="840" t="s">
        <v>1765</v>
      </c>
      <c r="U1201" s="866">
        <v>1077956.42</v>
      </c>
      <c r="V1201" s="855">
        <v>42933</v>
      </c>
      <c r="W1201" s="842" t="s">
        <v>7</v>
      </c>
      <c r="X1201" s="1084"/>
      <c r="Y1201" s="1084"/>
      <c r="Z1201" s="827">
        <v>0</v>
      </c>
      <c r="AA1201" s="1084"/>
      <c r="AB1201" s="1119"/>
      <c r="AC1201" s="1119"/>
      <c r="AD1201" s="1119"/>
      <c r="AE1201" s="1119"/>
      <c r="AF1201" s="1203"/>
      <c r="AG1201" s="1204"/>
      <c r="AH1201" s="1204"/>
      <c r="AI1201" s="1204"/>
    </row>
    <row r="1202" spans="1:35" ht="15" customHeight="1">
      <c r="A1202" s="1076"/>
      <c r="B1202" s="1076"/>
      <c r="C1202" s="1076"/>
      <c r="D1202" s="1076"/>
      <c r="E1202" s="1076" t="s">
        <v>67</v>
      </c>
      <c r="F1202" s="1076"/>
      <c r="G1202" s="1076"/>
      <c r="H1202" s="1209">
        <v>342</v>
      </c>
      <c r="I1202" s="1123" t="s">
        <v>137</v>
      </c>
      <c r="J1202" s="1119">
        <v>26101003</v>
      </c>
      <c r="K1202" s="1119">
        <v>26101003</v>
      </c>
      <c r="L1202" s="1119"/>
      <c r="M1202" s="1171">
        <v>42611</v>
      </c>
      <c r="N1202" s="1196">
        <v>26101003</v>
      </c>
      <c r="O1202" s="1196">
        <v>26101003</v>
      </c>
      <c r="P1202" s="1196">
        <v>0</v>
      </c>
      <c r="Q1202" s="1084">
        <v>26101003</v>
      </c>
      <c r="R1202" s="1119"/>
      <c r="S1202" s="1076"/>
      <c r="T1202" s="840" t="s">
        <v>1766</v>
      </c>
      <c r="U1202" s="866">
        <v>8352321</v>
      </c>
      <c r="V1202" s="855">
        <v>42933</v>
      </c>
      <c r="W1202" s="842" t="s">
        <v>137</v>
      </c>
      <c r="X1202" s="1084">
        <v>8352321</v>
      </c>
      <c r="Y1202" s="1084"/>
      <c r="Z1202" s="827">
        <v>0</v>
      </c>
      <c r="AA1202" s="1084">
        <v>17748682</v>
      </c>
      <c r="AB1202" s="1119"/>
      <c r="AC1202" s="1119">
        <v>0</v>
      </c>
      <c r="AD1202" s="1119">
        <v>17748682</v>
      </c>
      <c r="AE1202" s="1119"/>
      <c r="AF1202" s="1203"/>
      <c r="AG1202" s="1204"/>
      <c r="AH1202" s="1204"/>
      <c r="AI1202" s="1204"/>
    </row>
    <row r="1203" spans="1:35" ht="15" customHeight="1">
      <c r="A1203" s="1076"/>
      <c r="B1203" s="1076"/>
      <c r="C1203" s="1076"/>
      <c r="D1203" s="1076"/>
      <c r="E1203" s="1076"/>
      <c r="F1203" s="1076"/>
      <c r="G1203" s="1076"/>
      <c r="H1203" s="1209"/>
      <c r="I1203" s="1123"/>
      <c r="J1203" s="1119"/>
      <c r="K1203" s="1119"/>
      <c r="L1203" s="1119"/>
      <c r="M1203" s="1171"/>
      <c r="N1203" s="1196"/>
      <c r="O1203" s="1196"/>
      <c r="P1203" s="1196"/>
      <c r="Q1203" s="1084"/>
      <c r="R1203" s="1119"/>
      <c r="S1203" s="1076"/>
      <c r="T1203" s="840"/>
      <c r="U1203" s="866"/>
      <c r="V1203" s="855"/>
      <c r="W1203" s="842"/>
      <c r="X1203" s="1084"/>
      <c r="Y1203" s="1084"/>
      <c r="Z1203" s="827">
        <v>0</v>
      </c>
      <c r="AA1203" s="1084"/>
      <c r="AB1203" s="1119"/>
      <c r="AC1203" s="1119"/>
      <c r="AD1203" s="1119"/>
      <c r="AE1203" s="1119"/>
      <c r="AF1203" s="1203"/>
      <c r="AG1203" s="1204"/>
      <c r="AH1203" s="1204"/>
      <c r="AI1203" s="1204"/>
    </row>
    <row r="1204" spans="1:35" s="4" customFormat="1" ht="15" customHeight="1">
      <c r="A1204" s="1076" t="s">
        <v>2158</v>
      </c>
      <c r="B1204" s="1011" t="s">
        <v>2156</v>
      </c>
      <c r="C1204" s="1011" t="s">
        <v>71</v>
      </c>
      <c r="D1204" s="1011" t="s">
        <v>2036</v>
      </c>
      <c r="E1204" s="1011" t="s">
        <v>66</v>
      </c>
      <c r="F1204" s="1011" t="s">
        <v>48</v>
      </c>
      <c r="G1204" s="1011" t="s">
        <v>2155</v>
      </c>
      <c r="H1204" s="1009">
        <v>291</v>
      </c>
      <c r="I1204" s="1065" t="s">
        <v>7</v>
      </c>
      <c r="J1204" s="1062">
        <v>249876522</v>
      </c>
      <c r="K1204" s="1062">
        <v>249876522</v>
      </c>
      <c r="L1204" s="1062">
        <v>479313848</v>
      </c>
      <c r="M1204" s="1068">
        <v>41533</v>
      </c>
      <c r="N1204" s="1089">
        <v>249876522</v>
      </c>
      <c r="O1204" s="1062">
        <v>249876522</v>
      </c>
      <c r="P1204" s="1089">
        <v>0</v>
      </c>
      <c r="Q1204" s="1062">
        <v>354508261</v>
      </c>
      <c r="R1204" s="1062">
        <v>472245337</v>
      </c>
      <c r="S1204" s="1011"/>
      <c r="T1204" s="840"/>
      <c r="U1204" s="866">
        <v>0</v>
      </c>
      <c r="V1204" s="855"/>
      <c r="W1204" s="842"/>
      <c r="X1204" s="1043">
        <v>0</v>
      </c>
      <c r="Y1204" s="827"/>
      <c r="Z1204" s="827">
        <v>0</v>
      </c>
      <c r="AA1204" s="1043">
        <v>249876522</v>
      </c>
      <c r="AB1204" s="1062"/>
      <c r="AC1204" s="1062"/>
      <c r="AD1204" s="1062"/>
      <c r="AE1204" s="1062"/>
      <c r="AF1204" s="1108"/>
      <c r="AG1204" s="1103" t="s">
        <v>2154</v>
      </c>
      <c r="AH1204" s="1103" t="s">
        <v>195</v>
      </c>
      <c r="AI1204" s="1103" t="s">
        <v>1911</v>
      </c>
    </row>
    <row r="1205" spans="1:35" s="4" customFormat="1" ht="15" customHeight="1">
      <c r="A1205" s="1076"/>
      <c r="B1205" s="1033"/>
      <c r="C1205" s="1033"/>
      <c r="D1205" s="1033"/>
      <c r="E1205" s="1033"/>
      <c r="F1205" s="1033"/>
      <c r="G1205" s="1033"/>
      <c r="H1205" s="1039"/>
      <c r="I1205" s="1066"/>
      <c r="J1205" s="1064"/>
      <c r="K1205" s="1064"/>
      <c r="L1205" s="1063"/>
      <c r="M1205" s="1070"/>
      <c r="N1205" s="1091"/>
      <c r="O1205" s="1064"/>
      <c r="P1205" s="1091"/>
      <c r="Q1205" s="1063"/>
      <c r="R1205" s="1063"/>
      <c r="S1205" s="1033"/>
      <c r="T1205" s="840"/>
      <c r="U1205" s="866">
        <v>0</v>
      </c>
      <c r="V1205" s="855"/>
      <c r="W1205" s="842"/>
      <c r="X1205" s="1045"/>
      <c r="Y1205" s="827"/>
      <c r="Z1205" s="827">
        <v>0</v>
      </c>
      <c r="AA1205" s="1045"/>
      <c r="AB1205" s="1063"/>
      <c r="AC1205" s="1064"/>
      <c r="AD1205" s="1064"/>
      <c r="AE1205" s="1064"/>
      <c r="AF1205" s="1109"/>
      <c r="AG1205" s="1104"/>
      <c r="AH1205" s="1104"/>
      <c r="AI1205" s="1104"/>
    </row>
    <row r="1206" spans="1:35" s="4" customFormat="1" ht="15" customHeight="1">
      <c r="A1206" s="1076"/>
      <c r="B1206" s="1033"/>
      <c r="C1206" s="1033"/>
      <c r="D1206" s="1033"/>
      <c r="E1206" s="1033"/>
      <c r="F1206" s="1033"/>
      <c r="G1206" s="1033"/>
      <c r="H1206" s="1009">
        <v>3</v>
      </c>
      <c r="I1206" s="1065" t="s">
        <v>159</v>
      </c>
      <c r="J1206" s="1062">
        <v>111700250</v>
      </c>
      <c r="K1206" s="1062">
        <v>111700250</v>
      </c>
      <c r="L1206" s="1063"/>
      <c r="M1206" s="1068">
        <v>41536</v>
      </c>
      <c r="N1206" s="1062">
        <v>111700250</v>
      </c>
      <c r="O1206" s="1062">
        <v>111700250</v>
      </c>
      <c r="P1206" s="1062">
        <v>0</v>
      </c>
      <c r="Q1206" s="1063"/>
      <c r="R1206" s="1063"/>
      <c r="S1206" s="1033"/>
      <c r="T1206" s="840"/>
      <c r="U1206" s="866">
        <v>0</v>
      </c>
      <c r="V1206" s="855"/>
      <c r="W1206" s="842"/>
      <c r="X1206" s="1043">
        <v>0</v>
      </c>
      <c r="Y1206" s="827"/>
      <c r="Z1206" s="827">
        <v>0</v>
      </c>
      <c r="AA1206" s="1043">
        <v>111700250</v>
      </c>
      <c r="AB1206" s="1063"/>
      <c r="AC1206" s="1062"/>
      <c r="AD1206" s="1062"/>
      <c r="AE1206" s="1062"/>
      <c r="AF1206" s="1109"/>
      <c r="AG1206" s="1104"/>
      <c r="AH1206" s="1104"/>
      <c r="AI1206" s="1104"/>
    </row>
    <row r="1207" spans="1:35" s="4" customFormat="1" ht="15" customHeight="1">
      <c r="A1207" s="1076"/>
      <c r="B1207" s="1033"/>
      <c r="C1207" s="1033"/>
      <c r="D1207" s="1033"/>
      <c r="E1207" s="1033"/>
      <c r="F1207" s="1033"/>
      <c r="G1207" s="1033"/>
      <c r="H1207" s="1010"/>
      <c r="I1207" s="1066"/>
      <c r="J1207" s="1064"/>
      <c r="K1207" s="1064"/>
      <c r="L1207" s="1063"/>
      <c r="M1207" s="1070"/>
      <c r="N1207" s="1064"/>
      <c r="O1207" s="1064"/>
      <c r="P1207" s="1064"/>
      <c r="Q1207" s="1064"/>
      <c r="R1207" s="1063"/>
      <c r="S1207" s="1033"/>
      <c r="T1207" s="840"/>
      <c r="U1207" s="866">
        <v>0</v>
      </c>
      <c r="V1207" s="855"/>
      <c r="W1207" s="842"/>
      <c r="X1207" s="1045"/>
      <c r="Y1207" s="827"/>
      <c r="Z1207" s="827">
        <v>0</v>
      </c>
      <c r="AA1207" s="1045"/>
      <c r="AB1207" s="1063"/>
      <c r="AC1207" s="1064"/>
      <c r="AD1207" s="1064"/>
      <c r="AE1207" s="1064"/>
      <c r="AF1207" s="1109"/>
      <c r="AG1207" s="1104"/>
      <c r="AH1207" s="1104"/>
      <c r="AI1207" s="1104"/>
    </row>
    <row r="1208" spans="1:35" s="4" customFormat="1" ht="15" customHeight="1">
      <c r="A1208" s="1076"/>
      <c r="B1208" s="1033"/>
      <c r="C1208" s="1033"/>
      <c r="D1208" s="1033"/>
      <c r="E1208" s="1011" t="s">
        <v>67</v>
      </c>
      <c r="F1208" s="1033"/>
      <c r="G1208" s="1033"/>
      <c r="H1208" s="1009">
        <v>2646</v>
      </c>
      <c r="I1208" s="1065" t="s">
        <v>159</v>
      </c>
      <c r="J1208" s="1062">
        <v>117737076</v>
      </c>
      <c r="K1208" s="1062">
        <v>117737076</v>
      </c>
      <c r="L1208" s="1063"/>
      <c r="M1208" s="1068">
        <v>42860</v>
      </c>
      <c r="N1208" s="1089">
        <v>117737076</v>
      </c>
      <c r="O1208" s="1062">
        <v>117737076</v>
      </c>
      <c r="P1208" s="1089">
        <v>0</v>
      </c>
      <c r="Q1208" s="1062">
        <v>117737076</v>
      </c>
      <c r="R1208" s="1063"/>
      <c r="S1208" s="1033"/>
      <c r="T1208" s="840"/>
      <c r="U1208" s="866">
        <v>0</v>
      </c>
      <c r="V1208" s="855"/>
      <c r="W1208" s="842"/>
      <c r="X1208" s="1043">
        <v>0</v>
      </c>
      <c r="Y1208" s="827"/>
      <c r="Z1208" s="827">
        <v>0</v>
      </c>
      <c r="AA1208" s="1043">
        <v>117737076</v>
      </c>
      <c r="AB1208" s="1063"/>
      <c r="AC1208" s="1062"/>
      <c r="AD1208" s="1062"/>
      <c r="AE1208" s="1062"/>
      <c r="AF1208" s="1109"/>
      <c r="AG1208" s="1104"/>
      <c r="AH1208" s="1104"/>
      <c r="AI1208" s="1104"/>
    </row>
    <row r="1209" spans="1:35" s="4" customFormat="1" ht="15" customHeight="1">
      <c r="A1209" s="1076"/>
      <c r="B1209" s="1012"/>
      <c r="C1209" s="1012"/>
      <c r="D1209" s="1012"/>
      <c r="E1209" s="1033"/>
      <c r="F1209" s="1012"/>
      <c r="G1209" s="1012"/>
      <c r="H1209" s="1010"/>
      <c r="I1209" s="1066"/>
      <c r="J1209" s="1064"/>
      <c r="K1209" s="1064"/>
      <c r="L1209" s="1064"/>
      <c r="M1209" s="1070"/>
      <c r="N1209" s="1091"/>
      <c r="O1209" s="1064"/>
      <c r="P1209" s="1091"/>
      <c r="Q1209" s="1064"/>
      <c r="R1209" s="1064"/>
      <c r="S1209" s="1012"/>
      <c r="T1209" s="840"/>
      <c r="U1209" s="866">
        <v>0</v>
      </c>
      <c r="V1209" s="855"/>
      <c r="W1209" s="842"/>
      <c r="X1209" s="1045"/>
      <c r="Y1209" s="827"/>
      <c r="Z1209" s="827">
        <v>0</v>
      </c>
      <c r="AA1209" s="1045"/>
      <c r="AB1209" s="1064"/>
      <c r="AC1209" s="1064"/>
      <c r="AD1209" s="1064"/>
      <c r="AE1209" s="1064"/>
      <c r="AF1209" s="1110"/>
      <c r="AG1209" s="1105"/>
      <c r="AH1209" s="1105"/>
      <c r="AI1209" s="1105"/>
    </row>
    <row r="1210" spans="1:35" ht="15" customHeight="1">
      <c r="A1210" s="1076" t="s">
        <v>1720</v>
      </c>
      <c r="B1210" s="1076" t="s">
        <v>1722</v>
      </c>
      <c r="C1210" s="1076" t="s">
        <v>70</v>
      </c>
      <c r="D1210" s="1076" t="s">
        <v>206</v>
      </c>
      <c r="E1210" s="1076" t="s">
        <v>66</v>
      </c>
      <c r="F1210" s="1076" t="s">
        <v>49</v>
      </c>
      <c r="G1210" s="1076" t="s">
        <v>1723</v>
      </c>
      <c r="H1210" s="1209">
        <v>284</v>
      </c>
      <c r="I1210" s="1123" t="s">
        <v>137</v>
      </c>
      <c r="J1210" s="1119">
        <v>170540486</v>
      </c>
      <c r="K1210" s="1119">
        <v>170540486</v>
      </c>
      <c r="L1210" s="1119">
        <v>353962767</v>
      </c>
      <c r="M1210" s="1171">
        <v>41449</v>
      </c>
      <c r="N1210" s="1196">
        <v>170540486</v>
      </c>
      <c r="O1210" s="1196">
        <v>170540486</v>
      </c>
      <c r="P1210" s="1196">
        <v>0</v>
      </c>
      <c r="Q1210" s="1084">
        <v>170534367</v>
      </c>
      <c r="R1210" s="1119">
        <v>353954200</v>
      </c>
      <c r="S1210" s="1076" t="s">
        <v>1271</v>
      </c>
      <c r="T1210" s="840" t="s">
        <v>1724</v>
      </c>
      <c r="U1210" s="866">
        <v>68213747</v>
      </c>
      <c r="V1210" s="855">
        <v>41855</v>
      </c>
      <c r="W1210" s="842" t="s">
        <v>137</v>
      </c>
      <c r="X1210" s="1084">
        <v>163706170.63</v>
      </c>
      <c r="Y1210" s="1084">
        <v>317846611.13999999</v>
      </c>
      <c r="Z1210" s="827">
        <v>0</v>
      </c>
      <c r="AA1210" s="1084">
        <v>6834315.3700000048</v>
      </c>
      <c r="AB1210" s="1119">
        <v>36096248.980000019</v>
      </c>
      <c r="AC1210" s="1119">
        <v>6119</v>
      </c>
      <c r="AD1210" s="1119">
        <v>0</v>
      </c>
      <c r="AE1210" s="1119"/>
      <c r="AF1210" s="1203"/>
      <c r="AG1210" s="1204" t="s">
        <v>1666</v>
      </c>
      <c r="AH1210" s="1204" t="s">
        <v>194</v>
      </c>
      <c r="AI1210" s="1204" t="s">
        <v>1619</v>
      </c>
    </row>
    <row r="1211" spans="1:35" ht="15" customHeight="1">
      <c r="A1211" s="1076"/>
      <c r="B1211" s="1076"/>
      <c r="C1211" s="1076"/>
      <c r="D1211" s="1076"/>
      <c r="E1211" s="1076"/>
      <c r="F1211" s="1076"/>
      <c r="G1211" s="1076"/>
      <c r="H1211" s="1209"/>
      <c r="I1211" s="1123"/>
      <c r="J1211" s="1119"/>
      <c r="K1211" s="1119"/>
      <c r="L1211" s="1119"/>
      <c r="M1211" s="1171"/>
      <c r="N1211" s="1196"/>
      <c r="O1211" s="1196"/>
      <c r="P1211" s="1196"/>
      <c r="Q1211" s="1084"/>
      <c r="R1211" s="1119"/>
      <c r="S1211" s="1076"/>
      <c r="T1211" s="840" t="s">
        <v>1725</v>
      </c>
      <c r="U1211" s="866">
        <v>34584369.549999997</v>
      </c>
      <c r="V1211" s="855">
        <v>41904</v>
      </c>
      <c r="W1211" s="842" t="s">
        <v>137</v>
      </c>
      <c r="X1211" s="1084"/>
      <c r="Y1211" s="1084"/>
      <c r="Z1211" s="827">
        <v>0</v>
      </c>
      <c r="AA1211" s="1084"/>
      <c r="AB1211" s="1119"/>
      <c r="AC1211" s="1119"/>
      <c r="AD1211" s="1119"/>
      <c r="AE1211" s="1119"/>
      <c r="AF1211" s="1203"/>
      <c r="AG1211" s="1204"/>
      <c r="AH1211" s="1204"/>
      <c r="AI1211" s="1204"/>
    </row>
    <row r="1212" spans="1:35" ht="15" customHeight="1">
      <c r="A1212" s="1076"/>
      <c r="B1212" s="1076"/>
      <c r="C1212" s="1076"/>
      <c r="D1212" s="1076"/>
      <c r="E1212" s="1076"/>
      <c r="F1212" s="1076"/>
      <c r="G1212" s="1076"/>
      <c r="H1212" s="1209"/>
      <c r="I1212" s="1123"/>
      <c r="J1212" s="1119"/>
      <c r="K1212" s="1119"/>
      <c r="L1212" s="1119"/>
      <c r="M1212" s="1171"/>
      <c r="N1212" s="1196"/>
      <c r="O1212" s="1196"/>
      <c r="P1212" s="1196"/>
      <c r="Q1212" s="1084"/>
      <c r="R1212" s="1119"/>
      <c r="S1212" s="1076"/>
      <c r="T1212" s="840" t="s">
        <v>1726</v>
      </c>
      <c r="U1212" s="866">
        <v>33387218.079999998</v>
      </c>
      <c r="V1212" s="855">
        <v>42089</v>
      </c>
      <c r="W1212" s="842" t="s">
        <v>137</v>
      </c>
      <c r="X1212" s="1084"/>
      <c r="Y1212" s="1084"/>
      <c r="Z1212" s="827">
        <v>0</v>
      </c>
      <c r="AA1212" s="1084"/>
      <c r="AB1212" s="1119"/>
      <c r="AC1212" s="1119"/>
      <c r="AD1212" s="1119"/>
      <c r="AE1212" s="1119"/>
      <c r="AF1212" s="1203"/>
      <c r="AG1212" s="1204"/>
      <c r="AH1212" s="1204"/>
      <c r="AI1212" s="1204"/>
    </row>
    <row r="1213" spans="1:35" ht="15" customHeight="1">
      <c r="A1213" s="1076"/>
      <c r="B1213" s="1076"/>
      <c r="C1213" s="1076"/>
      <c r="D1213" s="1076"/>
      <c r="E1213" s="1076"/>
      <c r="F1213" s="1076"/>
      <c r="G1213" s="1076"/>
      <c r="H1213" s="1209"/>
      <c r="I1213" s="1123"/>
      <c r="J1213" s="1119"/>
      <c r="K1213" s="1119"/>
      <c r="L1213" s="1119"/>
      <c r="M1213" s="1171"/>
      <c r="N1213" s="1196"/>
      <c r="O1213" s="1196"/>
      <c r="P1213" s="1196"/>
      <c r="Q1213" s="1084"/>
      <c r="R1213" s="1119"/>
      <c r="S1213" s="1076"/>
      <c r="T1213" s="840" t="s">
        <v>1727</v>
      </c>
      <c r="U1213" s="866">
        <v>24106737.57</v>
      </c>
      <c r="V1213" s="855">
        <v>42121</v>
      </c>
      <c r="W1213" s="842" t="s">
        <v>137</v>
      </c>
      <c r="X1213" s="1084"/>
      <c r="Y1213" s="1084"/>
      <c r="Z1213" s="827">
        <v>0</v>
      </c>
      <c r="AA1213" s="1084"/>
      <c r="AB1213" s="1119"/>
      <c r="AC1213" s="1119"/>
      <c r="AD1213" s="1119"/>
      <c r="AE1213" s="1119"/>
      <c r="AF1213" s="1203"/>
      <c r="AG1213" s="1204"/>
      <c r="AH1213" s="1204"/>
      <c r="AI1213" s="1204"/>
    </row>
    <row r="1214" spans="1:35" ht="15" customHeight="1">
      <c r="A1214" s="1076"/>
      <c r="B1214" s="1076"/>
      <c r="C1214" s="1076"/>
      <c r="D1214" s="1076"/>
      <c r="E1214" s="1076"/>
      <c r="F1214" s="1076"/>
      <c r="G1214" s="1076"/>
      <c r="H1214" s="1209"/>
      <c r="I1214" s="1123"/>
      <c r="J1214" s="1119"/>
      <c r="K1214" s="1119"/>
      <c r="L1214" s="1119"/>
      <c r="M1214" s="1171"/>
      <c r="N1214" s="1196"/>
      <c r="O1214" s="1196"/>
      <c r="P1214" s="1196"/>
      <c r="Q1214" s="1084"/>
      <c r="R1214" s="1119"/>
      <c r="S1214" s="1076"/>
      <c r="T1214" s="840" t="s">
        <v>1728</v>
      </c>
      <c r="U1214" s="866">
        <v>3414098.43</v>
      </c>
      <c r="V1214" s="855">
        <v>42299</v>
      </c>
      <c r="W1214" s="842" t="s">
        <v>137</v>
      </c>
      <c r="X1214" s="1084"/>
      <c r="Y1214" s="1084"/>
      <c r="Z1214" s="827">
        <v>0</v>
      </c>
      <c r="AA1214" s="1084"/>
      <c r="AB1214" s="1119"/>
      <c r="AC1214" s="1119"/>
      <c r="AD1214" s="1119"/>
      <c r="AE1214" s="1119"/>
      <c r="AF1214" s="1203"/>
      <c r="AG1214" s="1204"/>
      <c r="AH1214" s="1204"/>
      <c r="AI1214" s="1204"/>
    </row>
    <row r="1215" spans="1:35" ht="15" customHeight="1">
      <c r="A1215" s="1076"/>
      <c r="B1215" s="1076"/>
      <c r="C1215" s="1076"/>
      <c r="D1215" s="1076"/>
      <c r="E1215" s="1076"/>
      <c r="F1215" s="1076"/>
      <c r="G1215" s="1076"/>
      <c r="H1215" s="1209"/>
      <c r="I1215" s="1123"/>
      <c r="J1215" s="1119"/>
      <c r="K1215" s="1119"/>
      <c r="L1215" s="1119"/>
      <c r="M1215" s="1171"/>
      <c r="N1215" s="1196"/>
      <c r="O1215" s="1196"/>
      <c r="P1215" s="1196"/>
      <c r="Q1215" s="1084"/>
      <c r="R1215" s="1119"/>
      <c r="S1215" s="1076"/>
      <c r="T1215" s="840" t="s">
        <v>1731</v>
      </c>
      <c r="U1215" s="866"/>
      <c r="V1215" s="855"/>
      <c r="W1215" s="842"/>
      <c r="X1215" s="1084"/>
      <c r="Y1215" s="1084"/>
      <c r="Z1215" s="827">
        <v>6828196.6700000167</v>
      </c>
      <c r="AA1215" s="1084"/>
      <c r="AB1215" s="1119"/>
      <c r="AC1215" s="1119"/>
      <c r="AD1215" s="1119"/>
      <c r="AE1215" s="1119"/>
      <c r="AF1215" s="1203"/>
      <c r="AG1215" s="1204"/>
      <c r="AH1215" s="1204"/>
      <c r="AI1215" s="1204"/>
    </row>
    <row r="1216" spans="1:35" ht="15" customHeight="1">
      <c r="A1216" s="1076"/>
      <c r="B1216" s="1076"/>
      <c r="C1216" s="1076"/>
      <c r="D1216" s="1076"/>
      <c r="E1216" s="1076"/>
      <c r="F1216" s="1076"/>
      <c r="G1216" s="1076"/>
      <c r="H1216" s="1209">
        <v>285</v>
      </c>
      <c r="I1216" s="1123" t="s">
        <v>137</v>
      </c>
      <c r="J1216" s="1119">
        <v>68212321</v>
      </c>
      <c r="K1216" s="1119">
        <v>68212321</v>
      </c>
      <c r="L1216" s="1119"/>
      <c r="M1216" s="1171">
        <v>41449</v>
      </c>
      <c r="N1216" s="1119">
        <v>68212321</v>
      </c>
      <c r="O1216" s="1119">
        <v>68212321</v>
      </c>
      <c r="P1216" s="1119">
        <v>0</v>
      </c>
      <c r="Q1216" s="1084">
        <v>68209873</v>
      </c>
      <c r="R1216" s="1119"/>
      <c r="S1216" s="1076"/>
      <c r="T1216" s="840" t="s">
        <v>1724</v>
      </c>
      <c r="U1216" s="866">
        <v>27283949</v>
      </c>
      <c r="V1216" s="855">
        <v>41855</v>
      </c>
      <c r="W1216" s="842" t="s">
        <v>137</v>
      </c>
      <c r="X1216" s="1084">
        <v>65478749.509999998</v>
      </c>
      <c r="Y1216" s="1084"/>
      <c r="Z1216" s="827">
        <v>0</v>
      </c>
      <c r="AA1216" s="1084">
        <v>2733571.4900000021</v>
      </c>
      <c r="AB1216" s="1119"/>
      <c r="AC1216" s="1119">
        <v>2448</v>
      </c>
      <c r="AD1216" s="1119">
        <v>0</v>
      </c>
      <c r="AE1216" s="1119"/>
      <c r="AF1216" s="1203"/>
      <c r="AG1216" s="1204"/>
      <c r="AH1216" s="1204"/>
      <c r="AI1216" s="1204"/>
    </row>
    <row r="1217" spans="1:35" ht="15" customHeight="1">
      <c r="A1217" s="1076"/>
      <c r="B1217" s="1076"/>
      <c r="C1217" s="1076"/>
      <c r="D1217" s="1076"/>
      <c r="E1217" s="1076"/>
      <c r="F1217" s="1076"/>
      <c r="G1217" s="1076"/>
      <c r="H1217" s="1209"/>
      <c r="I1217" s="1123"/>
      <c r="J1217" s="1119"/>
      <c r="K1217" s="1119"/>
      <c r="L1217" s="1119"/>
      <c r="M1217" s="1171"/>
      <c r="N1217" s="1119"/>
      <c r="O1217" s="1119"/>
      <c r="P1217" s="1119"/>
      <c r="Q1217" s="1084"/>
      <c r="R1217" s="1119"/>
      <c r="S1217" s="1076"/>
      <c r="T1217" s="840" t="s">
        <v>1725</v>
      </c>
      <c r="U1217" s="866">
        <v>13832962.32</v>
      </c>
      <c r="V1217" s="855">
        <v>41904</v>
      </c>
      <c r="W1217" s="842" t="s">
        <v>137</v>
      </c>
      <c r="X1217" s="1084"/>
      <c r="Y1217" s="1084"/>
      <c r="Z1217" s="827">
        <v>0</v>
      </c>
      <c r="AA1217" s="1084"/>
      <c r="AB1217" s="1119"/>
      <c r="AC1217" s="1119"/>
      <c r="AD1217" s="1119"/>
      <c r="AE1217" s="1119"/>
      <c r="AF1217" s="1203"/>
      <c r="AG1217" s="1204"/>
      <c r="AH1217" s="1204"/>
      <c r="AI1217" s="1204"/>
    </row>
    <row r="1218" spans="1:35" ht="15" customHeight="1">
      <c r="A1218" s="1076"/>
      <c r="B1218" s="1076"/>
      <c r="C1218" s="1076"/>
      <c r="D1218" s="1076"/>
      <c r="E1218" s="1076"/>
      <c r="F1218" s="1076"/>
      <c r="G1218" s="1076"/>
      <c r="H1218" s="1209"/>
      <c r="I1218" s="1123"/>
      <c r="J1218" s="1119"/>
      <c r="K1218" s="1119"/>
      <c r="L1218" s="1119"/>
      <c r="M1218" s="1171"/>
      <c r="N1218" s="1119"/>
      <c r="O1218" s="1119"/>
      <c r="P1218" s="1119"/>
      <c r="Q1218" s="1084"/>
      <c r="R1218" s="1119"/>
      <c r="S1218" s="1076"/>
      <c r="T1218" s="840" t="s">
        <v>1726</v>
      </c>
      <c r="U1218" s="866">
        <v>13354128.92</v>
      </c>
      <c r="V1218" s="855">
        <v>42089</v>
      </c>
      <c r="W1218" s="842" t="s">
        <v>137</v>
      </c>
      <c r="X1218" s="1084"/>
      <c r="Y1218" s="1084"/>
      <c r="Z1218" s="827">
        <v>0</v>
      </c>
      <c r="AA1218" s="1084"/>
      <c r="AB1218" s="1119"/>
      <c r="AC1218" s="1119"/>
      <c r="AD1218" s="1119"/>
      <c r="AE1218" s="1119"/>
      <c r="AF1218" s="1203"/>
      <c r="AG1218" s="1204"/>
      <c r="AH1218" s="1204"/>
      <c r="AI1218" s="1204"/>
    </row>
    <row r="1219" spans="1:35" ht="15" customHeight="1">
      <c r="A1219" s="1076"/>
      <c r="B1219" s="1076"/>
      <c r="C1219" s="1076"/>
      <c r="D1219" s="1076"/>
      <c r="E1219" s="1076"/>
      <c r="F1219" s="1076"/>
      <c r="G1219" s="1076"/>
      <c r="H1219" s="1209"/>
      <c r="I1219" s="1123"/>
      <c r="J1219" s="1119"/>
      <c r="K1219" s="1119"/>
      <c r="L1219" s="1119"/>
      <c r="M1219" s="1171"/>
      <c r="N1219" s="1119"/>
      <c r="O1219" s="1119"/>
      <c r="P1219" s="1119"/>
      <c r="Q1219" s="1084"/>
      <c r="R1219" s="1119"/>
      <c r="S1219" s="1076"/>
      <c r="T1219" s="840" t="s">
        <v>1727</v>
      </c>
      <c r="U1219" s="866">
        <v>9642147.4499999993</v>
      </c>
      <c r="V1219" s="855">
        <v>42121</v>
      </c>
      <c r="W1219" s="842" t="s">
        <v>137</v>
      </c>
      <c r="X1219" s="1084"/>
      <c r="Y1219" s="1084"/>
      <c r="Z1219" s="827">
        <v>0</v>
      </c>
      <c r="AA1219" s="1084"/>
      <c r="AB1219" s="1119"/>
      <c r="AC1219" s="1119"/>
      <c r="AD1219" s="1119"/>
      <c r="AE1219" s="1119"/>
      <c r="AF1219" s="1203"/>
      <c r="AG1219" s="1204"/>
      <c r="AH1219" s="1204"/>
      <c r="AI1219" s="1204"/>
    </row>
    <row r="1220" spans="1:35" ht="15" customHeight="1">
      <c r="A1220" s="1076"/>
      <c r="B1220" s="1076"/>
      <c r="C1220" s="1076"/>
      <c r="D1220" s="1076"/>
      <c r="E1220" s="1076"/>
      <c r="F1220" s="1076"/>
      <c r="G1220" s="1076"/>
      <c r="H1220" s="1209"/>
      <c r="I1220" s="1123"/>
      <c r="J1220" s="1119"/>
      <c r="K1220" s="1119"/>
      <c r="L1220" s="1119"/>
      <c r="M1220" s="1171"/>
      <c r="N1220" s="1119"/>
      <c r="O1220" s="1119"/>
      <c r="P1220" s="1119"/>
      <c r="Q1220" s="1084"/>
      <c r="R1220" s="1119"/>
      <c r="S1220" s="1076"/>
      <c r="T1220" s="840" t="s">
        <v>1728</v>
      </c>
      <c r="U1220" s="866">
        <v>1365561.82</v>
      </c>
      <c r="V1220" s="855">
        <v>42299</v>
      </c>
      <c r="W1220" s="842" t="s">
        <v>137</v>
      </c>
      <c r="X1220" s="1084"/>
      <c r="Y1220" s="1084"/>
      <c r="Z1220" s="827">
        <v>0</v>
      </c>
      <c r="AA1220" s="1084"/>
      <c r="AB1220" s="1119"/>
      <c r="AC1220" s="1119"/>
      <c r="AD1220" s="1119"/>
      <c r="AE1220" s="1119"/>
      <c r="AF1220" s="1203"/>
      <c r="AG1220" s="1204"/>
      <c r="AH1220" s="1204"/>
      <c r="AI1220" s="1204"/>
    </row>
    <row r="1221" spans="1:35" ht="15" customHeight="1">
      <c r="A1221" s="1076"/>
      <c r="B1221" s="1076"/>
      <c r="C1221" s="1076"/>
      <c r="D1221" s="1076"/>
      <c r="E1221" s="1076"/>
      <c r="F1221" s="1076"/>
      <c r="G1221" s="1076"/>
      <c r="H1221" s="1209"/>
      <c r="I1221" s="1123"/>
      <c r="J1221" s="1119"/>
      <c r="K1221" s="1119"/>
      <c r="L1221" s="1119"/>
      <c r="M1221" s="1171"/>
      <c r="N1221" s="1119"/>
      <c r="O1221" s="1119"/>
      <c r="P1221" s="1119"/>
      <c r="Q1221" s="1084"/>
      <c r="R1221" s="1119"/>
      <c r="S1221" s="1076"/>
      <c r="T1221" s="840" t="s">
        <v>1731</v>
      </c>
      <c r="U1221" s="866"/>
      <c r="V1221" s="855"/>
      <c r="W1221" s="842"/>
      <c r="X1221" s="1084"/>
      <c r="Y1221" s="1084"/>
      <c r="Z1221" s="827">
        <v>2731123.2100000009</v>
      </c>
      <c r="AA1221" s="1084"/>
      <c r="AB1221" s="1119"/>
      <c r="AC1221" s="1119"/>
      <c r="AD1221" s="1119"/>
      <c r="AE1221" s="1119"/>
      <c r="AF1221" s="1203"/>
      <c r="AG1221" s="1204"/>
      <c r="AH1221" s="1204"/>
      <c r="AI1221" s="1204"/>
    </row>
    <row r="1222" spans="1:35" ht="15" customHeight="1">
      <c r="A1222" s="1076"/>
      <c r="B1222" s="1076"/>
      <c r="C1222" s="1076"/>
      <c r="D1222" s="1076"/>
      <c r="E1222" s="1076" t="s">
        <v>67</v>
      </c>
      <c r="F1222" s="1076"/>
      <c r="G1222" s="1076"/>
      <c r="H1222" s="1209">
        <v>318</v>
      </c>
      <c r="I1222" s="1123" t="s">
        <v>137</v>
      </c>
      <c r="J1222" s="1119">
        <v>115209960</v>
      </c>
      <c r="K1222" s="1119">
        <v>115209960</v>
      </c>
      <c r="L1222" s="1119"/>
      <c r="M1222" s="1171">
        <v>42130</v>
      </c>
      <c r="N1222" s="1196">
        <v>115209960</v>
      </c>
      <c r="O1222" s="1196">
        <v>115209960</v>
      </c>
      <c r="P1222" s="1196">
        <v>0</v>
      </c>
      <c r="Q1222" s="1084">
        <v>115209960</v>
      </c>
      <c r="R1222" s="1119"/>
      <c r="S1222" s="1076"/>
      <c r="T1222" s="840" t="s">
        <v>1729</v>
      </c>
      <c r="U1222" s="866">
        <v>40594711</v>
      </c>
      <c r="V1222" s="855">
        <v>42299</v>
      </c>
      <c r="W1222" s="842" t="s">
        <v>137</v>
      </c>
      <c r="X1222" s="1084">
        <v>88661691</v>
      </c>
      <c r="Y1222" s="1084"/>
      <c r="Z1222" s="827">
        <v>0</v>
      </c>
      <c r="AA1222" s="1084">
        <v>26548269</v>
      </c>
      <c r="AB1222" s="1119"/>
      <c r="AC1222" s="1119">
        <v>0</v>
      </c>
      <c r="AD1222" s="1119">
        <v>11339.879999995232</v>
      </c>
      <c r="AE1222" s="1119"/>
      <c r="AF1222" s="1203"/>
      <c r="AG1222" s="1204"/>
      <c r="AH1222" s="1204"/>
      <c r="AI1222" s="1204"/>
    </row>
    <row r="1223" spans="1:35" ht="15" customHeight="1">
      <c r="A1223" s="1076"/>
      <c r="B1223" s="1076"/>
      <c r="C1223" s="1076"/>
      <c r="D1223" s="1076"/>
      <c r="E1223" s="1076"/>
      <c r="F1223" s="1076"/>
      <c r="G1223" s="1076"/>
      <c r="H1223" s="1209"/>
      <c r="I1223" s="1123"/>
      <c r="J1223" s="1119"/>
      <c r="K1223" s="1119"/>
      <c r="L1223" s="1119"/>
      <c r="M1223" s="1171"/>
      <c r="N1223" s="1196"/>
      <c r="O1223" s="1196"/>
      <c r="P1223" s="1196"/>
      <c r="Q1223" s="1084"/>
      <c r="R1223" s="1119"/>
      <c r="S1223" s="1076"/>
      <c r="T1223" s="840" t="s">
        <v>1730</v>
      </c>
      <c r="U1223" s="866">
        <v>48066980</v>
      </c>
      <c r="V1223" s="855">
        <v>42340</v>
      </c>
      <c r="W1223" s="842" t="s">
        <v>137</v>
      </c>
      <c r="X1223" s="1084"/>
      <c r="Y1223" s="1084"/>
      <c r="Z1223" s="827">
        <v>0</v>
      </c>
      <c r="AA1223" s="1084"/>
      <c r="AB1223" s="1119"/>
      <c r="AC1223" s="1119"/>
      <c r="AD1223" s="1119"/>
      <c r="AE1223" s="1119"/>
      <c r="AF1223" s="1203"/>
      <c r="AG1223" s="1204"/>
      <c r="AH1223" s="1204"/>
      <c r="AI1223" s="1204"/>
    </row>
    <row r="1224" spans="1:35" ht="15" customHeight="1">
      <c r="A1224" s="1076"/>
      <c r="B1224" s="1076"/>
      <c r="C1224" s="1076"/>
      <c r="D1224" s="1076"/>
      <c r="E1224" s="1076"/>
      <c r="F1224" s="1076"/>
      <c r="G1224" s="1076"/>
      <c r="H1224" s="1209"/>
      <c r="I1224" s="1123"/>
      <c r="J1224" s="1119"/>
      <c r="K1224" s="1119"/>
      <c r="L1224" s="1119"/>
      <c r="M1224" s="1171"/>
      <c r="N1224" s="1196"/>
      <c r="O1224" s="1196"/>
      <c r="P1224" s="1196"/>
      <c r="Q1224" s="1084"/>
      <c r="R1224" s="1119"/>
      <c r="S1224" s="1076"/>
      <c r="T1224" s="840" t="s">
        <v>1731</v>
      </c>
      <c r="U1224" s="866"/>
      <c r="V1224" s="855"/>
      <c r="W1224" s="842"/>
      <c r="X1224" s="1084"/>
      <c r="Y1224" s="1084"/>
      <c r="Z1224" s="827">
        <v>26536929.120000001</v>
      </c>
      <c r="AA1224" s="1084"/>
      <c r="AB1224" s="1119"/>
      <c r="AC1224" s="1119"/>
      <c r="AD1224" s="1119"/>
      <c r="AE1224" s="1119"/>
      <c r="AF1224" s="1203"/>
      <c r="AG1224" s="1204"/>
      <c r="AH1224" s="1204"/>
      <c r="AI1224" s="1204"/>
    </row>
    <row r="1225" spans="1:35" ht="15" customHeight="1">
      <c r="A1225" s="823" t="s">
        <v>2319</v>
      </c>
      <c r="B1225" s="823" t="s">
        <v>1732</v>
      </c>
      <c r="C1225" s="823" t="s">
        <v>72</v>
      </c>
      <c r="D1225" s="823" t="s">
        <v>206</v>
      </c>
      <c r="E1225" s="823" t="s">
        <v>489</v>
      </c>
      <c r="F1225" s="823" t="s">
        <v>183</v>
      </c>
      <c r="G1225" s="823" t="s">
        <v>1734</v>
      </c>
      <c r="H1225" s="861">
        <v>269</v>
      </c>
      <c r="I1225" s="840" t="s">
        <v>7</v>
      </c>
      <c r="J1225" s="858">
        <v>111000000</v>
      </c>
      <c r="K1225" s="858">
        <v>111000000</v>
      </c>
      <c r="L1225" s="858">
        <v>111000000</v>
      </c>
      <c r="M1225" s="855">
        <v>41234</v>
      </c>
      <c r="N1225" s="862">
        <v>111000000</v>
      </c>
      <c r="O1225" s="862">
        <v>111000000</v>
      </c>
      <c r="P1225" s="862">
        <v>0</v>
      </c>
      <c r="Q1225" s="827">
        <v>15995000</v>
      </c>
      <c r="R1225" s="858">
        <v>15995000</v>
      </c>
      <c r="S1225" s="823"/>
      <c r="T1225" s="840" t="s">
        <v>1735</v>
      </c>
      <c r="U1225" s="866">
        <v>15995000</v>
      </c>
      <c r="V1225" s="855">
        <v>41495</v>
      </c>
      <c r="W1225" s="842" t="s">
        <v>7</v>
      </c>
      <c r="X1225" s="827">
        <v>15995000</v>
      </c>
      <c r="Y1225" s="827">
        <v>15995000</v>
      </c>
      <c r="Z1225" s="827">
        <v>0</v>
      </c>
      <c r="AA1225" s="827">
        <v>95005000</v>
      </c>
      <c r="AB1225" s="858">
        <v>0</v>
      </c>
      <c r="AC1225" s="858">
        <v>95005000</v>
      </c>
      <c r="AD1225" s="858">
        <v>0</v>
      </c>
      <c r="AE1225" s="858">
        <v>95005000</v>
      </c>
      <c r="AF1225" s="863" t="s">
        <v>606</v>
      </c>
      <c r="AG1225" s="871" t="s">
        <v>1736</v>
      </c>
      <c r="AH1225" s="864" t="s">
        <v>194</v>
      </c>
      <c r="AI1225" s="864" t="s">
        <v>1619</v>
      </c>
    </row>
    <row r="1226" spans="1:35" ht="15" customHeight="1">
      <c r="A1226" s="1011" t="s">
        <v>2703</v>
      </c>
      <c r="B1226" s="1011" t="s">
        <v>2710</v>
      </c>
      <c r="C1226" s="823"/>
      <c r="D1226" s="823"/>
      <c r="E1226" s="823"/>
      <c r="F1226" s="823"/>
      <c r="G1226" s="823"/>
      <c r="H1226" s="861">
        <v>4</v>
      </c>
      <c r="I1226" s="840" t="s">
        <v>2704</v>
      </c>
      <c r="J1226" s="858">
        <v>174186473</v>
      </c>
      <c r="K1226" s="858"/>
      <c r="L1226" s="858"/>
      <c r="M1226" s="855">
        <v>41598</v>
      </c>
      <c r="N1226" s="862"/>
      <c r="O1226" s="862"/>
      <c r="P1226" s="862"/>
      <c r="Q1226" s="827">
        <v>172255815.62</v>
      </c>
      <c r="R1226" s="858"/>
      <c r="S1226" s="823"/>
      <c r="T1226" s="840" t="s">
        <v>2707</v>
      </c>
      <c r="U1226" s="866">
        <v>75003789.840000004</v>
      </c>
      <c r="V1226" s="855">
        <v>41940</v>
      </c>
      <c r="W1226" s="842"/>
      <c r="X1226" s="827"/>
      <c r="Y1226" s="827"/>
      <c r="Z1226" s="827"/>
      <c r="AA1226" s="827"/>
      <c r="AB1226" s="858"/>
      <c r="AC1226" s="858"/>
      <c r="AD1226" s="858"/>
      <c r="AE1226" s="858"/>
      <c r="AF1226" s="863"/>
      <c r="AG1226" s="871"/>
      <c r="AH1226" s="864"/>
      <c r="AI1226" s="864"/>
    </row>
    <row r="1227" spans="1:35" ht="15" customHeight="1">
      <c r="A1227" s="1033"/>
      <c r="B1227" s="1033"/>
      <c r="C1227" s="823"/>
      <c r="D1227" s="823"/>
      <c r="E1227" s="823"/>
      <c r="F1227" s="823"/>
      <c r="G1227" s="823"/>
      <c r="H1227" s="861"/>
      <c r="I1227" s="840"/>
      <c r="J1227" s="858"/>
      <c r="K1227" s="858"/>
      <c r="L1227" s="858"/>
      <c r="M1227" s="855"/>
      <c r="N1227" s="862"/>
      <c r="O1227" s="862"/>
      <c r="P1227" s="862"/>
      <c r="Q1227" s="827"/>
      <c r="R1227" s="858"/>
      <c r="S1227" s="823"/>
      <c r="T1227" s="840" t="s">
        <v>2708</v>
      </c>
      <c r="U1227" s="866">
        <v>76869701.739999995</v>
      </c>
      <c r="V1227" s="855">
        <v>42062</v>
      </c>
      <c r="W1227" s="842"/>
      <c r="X1227" s="827"/>
      <c r="Y1227" s="827"/>
      <c r="Z1227" s="827"/>
      <c r="AA1227" s="827"/>
      <c r="AB1227" s="858"/>
      <c r="AC1227" s="858"/>
      <c r="AD1227" s="858"/>
      <c r="AE1227" s="858"/>
      <c r="AF1227" s="863"/>
      <c r="AG1227" s="871"/>
      <c r="AH1227" s="864"/>
      <c r="AI1227" s="864"/>
    </row>
    <row r="1228" spans="1:35" ht="15" customHeight="1">
      <c r="A1228" s="1033"/>
      <c r="B1228" s="1033"/>
      <c r="C1228" s="823"/>
      <c r="D1228" s="823"/>
      <c r="E1228" s="823"/>
      <c r="F1228" s="823"/>
      <c r="G1228" s="823"/>
      <c r="H1228" s="861"/>
      <c r="I1228" s="840"/>
      <c r="J1228" s="858"/>
      <c r="K1228" s="858"/>
      <c r="L1228" s="858"/>
      <c r="M1228" s="855"/>
      <c r="N1228" s="862"/>
      <c r="O1228" s="862"/>
      <c r="P1228" s="862"/>
      <c r="Q1228" s="827"/>
      <c r="R1228" s="858"/>
      <c r="S1228" s="823"/>
      <c r="T1228" s="840" t="s">
        <v>2709</v>
      </c>
      <c r="U1228" s="866">
        <v>20382324.039999999</v>
      </c>
      <c r="V1228" s="855">
        <v>43095</v>
      </c>
      <c r="W1228" s="842"/>
      <c r="X1228" s="827"/>
      <c r="Y1228" s="827"/>
      <c r="Z1228" s="827"/>
      <c r="AA1228" s="827"/>
      <c r="AB1228" s="858"/>
      <c r="AC1228" s="858"/>
      <c r="AD1228" s="858"/>
      <c r="AE1228" s="858"/>
      <c r="AF1228" s="863"/>
      <c r="AG1228" s="871"/>
      <c r="AH1228" s="864"/>
      <c r="AI1228" s="864"/>
    </row>
    <row r="1229" spans="1:35" ht="15" customHeight="1">
      <c r="A1229" s="1033"/>
      <c r="B1229" s="1033"/>
      <c r="C1229" s="823"/>
      <c r="D1229" s="823"/>
      <c r="E1229" s="823"/>
      <c r="F1229" s="823"/>
      <c r="G1229" s="823"/>
      <c r="H1229" s="861">
        <v>13</v>
      </c>
      <c r="I1229" s="840" t="s">
        <v>2704</v>
      </c>
      <c r="J1229" s="858">
        <v>122166178</v>
      </c>
      <c r="K1229" s="858"/>
      <c r="L1229" s="858"/>
      <c r="M1229" s="855"/>
      <c r="N1229" s="862"/>
      <c r="O1229" s="862"/>
      <c r="P1229" s="862"/>
      <c r="Q1229" s="827">
        <v>122166178</v>
      </c>
      <c r="R1229" s="858"/>
      <c r="S1229" s="823"/>
      <c r="T1229" s="840"/>
      <c r="U1229" s="866">
        <v>63777781</v>
      </c>
      <c r="V1229" s="855">
        <v>43095</v>
      </c>
      <c r="W1229" s="842"/>
      <c r="X1229" s="827"/>
      <c r="Y1229" s="827"/>
      <c r="Z1229" s="827"/>
      <c r="AA1229" s="827"/>
      <c r="AB1229" s="858"/>
      <c r="AC1229" s="858"/>
      <c r="AD1229" s="858"/>
      <c r="AE1229" s="858"/>
      <c r="AF1229" s="863"/>
      <c r="AG1229" s="871"/>
      <c r="AH1229" s="864"/>
      <c r="AI1229" s="864"/>
    </row>
    <row r="1230" spans="1:35" ht="15" customHeight="1">
      <c r="A1230" s="1033"/>
      <c r="B1230" s="1033"/>
      <c r="C1230" s="823"/>
      <c r="D1230" s="823"/>
      <c r="E1230" s="823"/>
      <c r="F1230" s="823"/>
      <c r="G1230" s="823"/>
      <c r="H1230" s="861">
        <v>295</v>
      </c>
      <c r="I1230" s="840" t="s">
        <v>7</v>
      </c>
      <c r="J1230" s="858">
        <v>224417670</v>
      </c>
      <c r="K1230" s="858"/>
      <c r="L1230" s="858"/>
      <c r="M1230" s="855"/>
      <c r="N1230" s="862"/>
      <c r="O1230" s="862"/>
      <c r="P1230" s="862"/>
      <c r="Q1230" s="827">
        <v>221930257.38</v>
      </c>
      <c r="R1230" s="858"/>
      <c r="S1230" s="823"/>
      <c r="T1230" s="840" t="s">
        <v>2712</v>
      </c>
      <c r="U1230" s="866">
        <v>96633082.159999996</v>
      </c>
      <c r="V1230" s="855">
        <v>41940</v>
      </c>
      <c r="W1230" s="842"/>
      <c r="X1230" s="827"/>
      <c r="Y1230" s="827"/>
      <c r="Z1230" s="827"/>
      <c r="AA1230" s="827"/>
      <c r="AB1230" s="858"/>
      <c r="AC1230" s="858"/>
      <c r="AD1230" s="858"/>
      <c r="AE1230" s="858"/>
      <c r="AF1230" s="863"/>
      <c r="AG1230" s="871"/>
      <c r="AH1230" s="864"/>
      <c r="AI1230" s="864"/>
    </row>
    <row r="1231" spans="1:35" ht="15" customHeight="1">
      <c r="A1231" s="1033"/>
      <c r="B1231" s="1033"/>
      <c r="C1231" s="823"/>
      <c r="D1231" s="823"/>
      <c r="E1231" s="823"/>
      <c r="F1231" s="823"/>
      <c r="G1231" s="823"/>
      <c r="H1231" s="861"/>
      <c r="I1231" s="840"/>
      <c r="J1231" s="858"/>
      <c r="K1231" s="858"/>
      <c r="L1231" s="858"/>
      <c r="M1231" s="855"/>
      <c r="N1231" s="862"/>
      <c r="O1231" s="862"/>
      <c r="P1231" s="862"/>
      <c r="Q1231" s="827"/>
      <c r="R1231" s="858"/>
      <c r="S1231" s="823"/>
      <c r="T1231" s="840" t="s">
        <v>2713</v>
      </c>
      <c r="U1231" s="866">
        <v>99037078.260000005</v>
      </c>
      <c r="V1231" s="855">
        <v>42062</v>
      </c>
      <c r="W1231" s="842"/>
      <c r="X1231" s="827"/>
      <c r="Y1231" s="827"/>
      <c r="Z1231" s="827"/>
      <c r="AA1231" s="827"/>
      <c r="AB1231" s="858"/>
      <c r="AC1231" s="858"/>
      <c r="AD1231" s="858"/>
      <c r="AE1231" s="858"/>
      <c r="AF1231" s="863"/>
      <c r="AG1231" s="871"/>
      <c r="AH1231" s="864"/>
      <c r="AI1231" s="864"/>
    </row>
    <row r="1232" spans="1:35" ht="15" customHeight="1">
      <c r="A1232" s="1012"/>
      <c r="B1232" s="1012"/>
      <c r="C1232" s="823"/>
      <c r="D1232" s="823"/>
      <c r="E1232" s="823"/>
      <c r="F1232" s="823"/>
      <c r="G1232" s="823"/>
      <c r="H1232" s="861"/>
      <c r="I1232" s="840"/>
      <c r="J1232" s="858"/>
      <c r="K1232" s="858"/>
      <c r="L1232" s="858"/>
      <c r="M1232" s="855"/>
      <c r="N1232" s="862"/>
      <c r="O1232" s="862"/>
      <c r="P1232" s="862"/>
      <c r="Q1232" s="827"/>
      <c r="R1232" s="858"/>
      <c r="S1232" s="823"/>
      <c r="T1232" s="840" t="s">
        <v>2711</v>
      </c>
      <c r="U1232" s="866">
        <v>26260096.960000001</v>
      </c>
      <c r="V1232" s="855">
        <v>43095</v>
      </c>
      <c r="W1232" s="842"/>
      <c r="X1232" s="827"/>
      <c r="Y1232" s="827"/>
      <c r="Z1232" s="827"/>
      <c r="AA1232" s="827"/>
      <c r="AB1232" s="858"/>
      <c r="AC1232" s="858"/>
      <c r="AD1232" s="858"/>
      <c r="AE1232" s="858"/>
      <c r="AF1232" s="863"/>
      <c r="AG1232" s="871"/>
      <c r="AH1232" s="864"/>
      <c r="AI1232" s="864"/>
    </row>
    <row r="1233" spans="1:35" ht="15" customHeight="1">
      <c r="A1233" s="823" t="s">
        <v>1746</v>
      </c>
      <c r="B1233" s="823" t="s">
        <v>1748</v>
      </c>
      <c r="C1233" s="823" t="s">
        <v>70</v>
      </c>
      <c r="D1233" s="823" t="s">
        <v>206</v>
      </c>
      <c r="E1233" s="823" t="s">
        <v>66</v>
      </c>
      <c r="F1233" s="823" t="s">
        <v>183</v>
      </c>
      <c r="G1233" s="823" t="s">
        <v>954</v>
      </c>
      <c r="H1233" s="861">
        <v>297</v>
      </c>
      <c r="I1233" s="840" t="s">
        <v>7</v>
      </c>
      <c r="J1233" s="858">
        <v>9129176</v>
      </c>
      <c r="K1233" s="858">
        <v>9129176</v>
      </c>
      <c r="L1233" s="858">
        <v>9129176</v>
      </c>
      <c r="M1233" s="855">
        <v>41598</v>
      </c>
      <c r="N1233" s="862">
        <v>9129176</v>
      </c>
      <c r="O1233" s="862">
        <v>9129176</v>
      </c>
      <c r="P1233" s="862">
        <v>0</v>
      </c>
      <c r="Q1233" s="827">
        <v>8672717</v>
      </c>
      <c r="R1233" s="858">
        <v>8672717</v>
      </c>
      <c r="S1233" s="823"/>
      <c r="T1233" s="840" t="s">
        <v>1749</v>
      </c>
      <c r="U1233" s="866">
        <v>8672717</v>
      </c>
      <c r="V1233" s="855">
        <v>41990</v>
      </c>
      <c r="W1233" s="842" t="s">
        <v>7</v>
      </c>
      <c r="X1233" s="827">
        <v>8672717</v>
      </c>
      <c r="Y1233" s="827">
        <v>8672717</v>
      </c>
      <c r="Z1233" s="827">
        <v>0</v>
      </c>
      <c r="AA1233" s="827">
        <v>456459</v>
      </c>
      <c r="AB1233" s="858">
        <v>0</v>
      </c>
      <c r="AC1233" s="858">
        <v>456459</v>
      </c>
      <c r="AD1233" s="858">
        <v>0</v>
      </c>
      <c r="AE1233" s="858">
        <v>456459</v>
      </c>
      <c r="AF1233" s="863" t="s">
        <v>606</v>
      </c>
      <c r="AG1233" s="871" t="s">
        <v>1750</v>
      </c>
      <c r="AH1233" s="864" t="s">
        <v>194</v>
      </c>
      <c r="AI1233" s="864" t="s">
        <v>1619</v>
      </c>
    </row>
    <row r="1234" spans="1:35" ht="15" customHeight="1">
      <c r="A1234" s="1076" t="s">
        <v>1751</v>
      </c>
      <c r="B1234" s="1076" t="s">
        <v>1752</v>
      </c>
      <c r="C1234" s="1076" t="s">
        <v>70</v>
      </c>
      <c r="D1234" s="1076" t="s">
        <v>206</v>
      </c>
      <c r="E1234" s="1076" t="s">
        <v>66</v>
      </c>
      <c r="F1234" s="1076" t="s">
        <v>48</v>
      </c>
      <c r="G1234" s="1076" t="s">
        <v>1756</v>
      </c>
      <c r="H1234" s="1209">
        <v>292</v>
      </c>
      <c r="I1234" s="1123" t="s">
        <v>7</v>
      </c>
      <c r="J1234" s="1119">
        <v>28926142</v>
      </c>
      <c r="K1234" s="1119">
        <v>28926142</v>
      </c>
      <c r="L1234" s="1119">
        <v>38910589</v>
      </c>
      <c r="M1234" s="1171">
        <v>41533</v>
      </c>
      <c r="N1234" s="1196">
        <v>28926142</v>
      </c>
      <c r="O1234" s="1196">
        <v>28926142</v>
      </c>
      <c r="P1234" s="1196">
        <v>0</v>
      </c>
      <c r="Q1234" s="1084">
        <v>28926142</v>
      </c>
      <c r="R1234" s="1119">
        <v>38910589</v>
      </c>
      <c r="S1234" s="1076" t="s">
        <v>1754</v>
      </c>
      <c r="T1234" s="840"/>
      <c r="U1234" s="866"/>
      <c r="V1234" s="855"/>
      <c r="W1234" s="842"/>
      <c r="X1234" s="827"/>
      <c r="Y1234" s="827"/>
      <c r="Z1234" s="827">
        <v>0</v>
      </c>
      <c r="AA1234" s="1084">
        <v>28926142</v>
      </c>
      <c r="AB1234" s="1119">
        <v>0</v>
      </c>
      <c r="AC1234" s="1119">
        <v>0</v>
      </c>
      <c r="AD1234" s="1119">
        <v>28926142</v>
      </c>
      <c r="AE1234" s="1119"/>
      <c r="AF1234" s="1203"/>
      <c r="AG1234" s="1237" t="s">
        <v>1755</v>
      </c>
      <c r="AH1234" s="1204" t="s">
        <v>194</v>
      </c>
      <c r="AI1234" s="1204" t="s">
        <v>1619</v>
      </c>
    </row>
    <row r="1235" spans="1:35" ht="15" customHeight="1">
      <c r="A1235" s="1076"/>
      <c r="B1235" s="1076"/>
      <c r="C1235" s="1076"/>
      <c r="D1235" s="1076"/>
      <c r="E1235" s="1076"/>
      <c r="F1235" s="1076"/>
      <c r="G1235" s="1076"/>
      <c r="H1235" s="1209"/>
      <c r="I1235" s="1123"/>
      <c r="J1235" s="1119"/>
      <c r="K1235" s="1119"/>
      <c r="L1235" s="1119"/>
      <c r="M1235" s="1171"/>
      <c r="N1235" s="1196"/>
      <c r="O1235" s="1196"/>
      <c r="P1235" s="1196"/>
      <c r="Q1235" s="1084"/>
      <c r="R1235" s="1119"/>
      <c r="S1235" s="1076"/>
      <c r="T1235" s="840"/>
      <c r="U1235" s="866"/>
      <c r="V1235" s="855"/>
      <c r="W1235" s="842"/>
      <c r="X1235" s="827"/>
      <c r="Y1235" s="827"/>
      <c r="Z1235" s="827">
        <v>0</v>
      </c>
      <c r="AA1235" s="1084"/>
      <c r="AB1235" s="1119"/>
      <c r="AC1235" s="1119"/>
      <c r="AD1235" s="1119"/>
      <c r="AE1235" s="1119"/>
      <c r="AF1235" s="1203"/>
      <c r="AG1235" s="1204"/>
      <c r="AH1235" s="1204"/>
      <c r="AI1235" s="1204"/>
    </row>
    <row r="1236" spans="1:35" ht="15" customHeight="1">
      <c r="A1236" s="1076"/>
      <c r="B1236" s="1076"/>
      <c r="C1236" s="1076"/>
      <c r="D1236" s="1076"/>
      <c r="E1236" s="1076" t="s">
        <v>67</v>
      </c>
      <c r="F1236" s="1076"/>
      <c r="G1236" s="1076"/>
      <c r="H1236" s="1209">
        <v>2647</v>
      </c>
      <c r="I1236" s="1123" t="s">
        <v>159</v>
      </c>
      <c r="J1236" s="1119">
        <v>9984447</v>
      </c>
      <c r="K1236" s="1119">
        <v>9984447</v>
      </c>
      <c r="L1236" s="1119"/>
      <c r="M1236" s="1171">
        <v>42860</v>
      </c>
      <c r="N1236" s="1196">
        <v>9984447</v>
      </c>
      <c r="O1236" s="1119">
        <v>9984447</v>
      </c>
      <c r="P1236" s="1119">
        <v>0</v>
      </c>
      <c r="Q1236" s="1084">
        <v>9984447</v>
      </c>
      <c r="R1236" s="1119"/>
      <c r="S1236" s="1076"/>
      <c r="T1236" s="840"/>
      <c r="U1236" s="866"/>
      <c r="V1236" s="855"/>
      <c r="W1236" s="842"/>
      <c r="X1236" s="827"/>
      <c r="Y1236" s="827"/>
      <c r="Z1236" s="827">
        <v>0</v>
      </c>
      <c r="AA1236" s="1084">
        <v>9984447</v>
      </c>
      <c r="AB1236" s="1119"/>
      <c r="AC1236" s="1119">
        <v>0</v>
      </c>
      <c r="AD1236" s="1119">
        <v>9984447</v>
      </c>
      <c r="AE1236" s="1119"/>
      <c r="AF1236" s="1203"/>
      <c r="AG1236" s="1204"/>
      <c r="AH1236" s="1204"/>
      <c r="AI1236" s="1204"/>
    </row>
    <row r="1237" spans="1:35" ht="15" customHeight="1">
      <c r="A1237" s="1076"/>
      <c r="B1237" s="1076"/>
      <c r="C1237" s="1076"/>
      <c r="D1237" s="1076"/>
      <c r="E1237" s="1076"/>
      <c r="F1237" s="1076"/>
      <c r="G1237" s="1076"/>
      <c r="H1237" s="1209"/>
      <c r="I1237" s="1123"/>
      <c r="J1237" s="1119"/>
      <c r="K1237" s="1119"/>
      <c r="L1237" s="1119"/>
      <c r="M1237" s="1171"/>
      <c r="N1237" s="1196"/>
      <c r="O1237" s="1119"/>
      <c r="P1237" s="1119"/>
      <c r="Q1237" s="1084"/>
      <c r="R1237" s="1119"/>
      <c r="S1237" s="1076"/>
      <c r="T1237" s="840"/>
      <c r="U1237" s="866"/>
      <c r="V1237" s="855"/>
      <c r="W1237" s="842"/>
      <c r="X1237" s="827"/>
      <c r="Y1237" s="827"/>
      <c r="Z1237" s="827">
        <v>0</v>
      </c>
      <c r="AA1237" s="1084"/>
      <c r="AB1237" s="1119"/>
      <c r="AC1237" s="1119"/>
      <c r="AD1237" s="1119"/>
      <c r="AE1237" s="1119"/>
      <c r="AF1237" s="1203"/>
      <c r="AG1237" s="1204"/>
      <c r="AH1237" s="1204"/>
      <c r="AI1237" s="1204"/>
    </row>
    <row r="1238" spans="1:35" ht="15" customHeight="1">
      <c r="A1238" s="1076" t="s">
        <v>1737</v>
      </c>
      <c r="B1238" s="1076" t="s">
        <v>1738</v>
      </c>
      <c r="C1238" s="1076" t="s">
        <v>70</v>
      </c>
      <c r="D1238" s="1076" t="s">
        <v>206</v>
      </c>
      <c r="E1238" s="1076" t="s">
        <v>66</v>
      </c>
      <c r="F1238" s="1076" t="s">
        <v>49</v>
      </c>
      <c r="G1238" s="1076" t="s">
        <v>1740</v>
      </c>
      <c r="H1238" s="1209">
        <v>5</v>
      </c>
      <c r="I1238" s="1123" t="s">
        <v>166</v>
      </c>
      <c r="J1238" s="1119">
        <v>31888331</v>
      </c>
      <c r="K1238" s="1119">
        <v>31888331</v>
      </c>
      <c r="L1238" s="1119">
        <v>41661626</v>
      </c>
      <c r="M1238" s="1171">
        <v>41598</v>
      </c>
      <c r="N1238" s="1196">
        <v>31888331</v>
      </c>
      <c r="O1238" s="1196">
        <v>31888331</v>
      </c>
      <c r="P1238" s="1196">
        <v>0</v>
      </c>
      <c r="Q1238" s="1084">
        <v>31848682</v>
      </c>
      <c r="R1238" s="1119">
        <v>41621977</v>
      </c>
      <c r="S1238" s="1076" t="s">
        <v>1739</v>
      </c>
      <c r="T1238" s="840" t="s">
        <v>1741</v>
      </c>
      <c r="U1238" s="866">
        <v>3184868.2</v>
      </c>
      <c r="V1238" s="855">
        <v>41796</v>
      </c>
      <c r="W1238" s="1123" t="s">
        <v>166</v>
      </c>
      <c r="X1238" s="1084">
        <v>31848682</v>
      </c>
      <c r="Y1238" s="1084">
        <v>36735330</v>
      </c>
      <c r="Z1238" s="827">
        <v>0</v>
      </c>
      <c r="AA1238" s="1084">
        <v>-4846999</v>
      </c>
      <c r="AB1238" s="1119">
        <v>0</v>
      </c>
      <c r="AC1238" s="1119">
        <v>39649</v>
      </c>
      <c r="AD1238" s="1119">
        <v>0</v>
      </c>
      <c r="AE1238" s="1119"/>
      <c r="AF1238" s="1203" t="s">
        <v>1216</v>
      </c>
      <c r="AG1238" s="1204" t="s">
        <v>1745</v>
      </c>
      <c r="AH1238" s="1204" t="s">
        <v>194</v>
      </c>
      <c r="AI1238" s="1204" t="s">
        <v>1619</v>
      </c>
    </row>
    <row r="1239" spans="1:35" ht="15" customHeight="1">
      <c r="A1239" s="1076"/>
      <c r="B1239" s="1076"/>
      <c r="C1239" s="1076"/>
      <c r="D1239" s="1076"/>
      <c r="E1239" s="1076"/>
      <c r="F1239" s="1076"/>
      <c r="G1239" s="1076"/>
      <c r="H1239" s="1209"/>
      <c r="I1239" s="1123"/>
      <c r="J1239" s="1119"/>
      <c r="K1239" s="1119"/>
      <c r="L1239" s="1119"/>
      <c r="M1239" s="1171"/>
      <c r="N1239" s="1196"/>
      <c r="O1239" s="1196"/>
      <c r="P1239" s="1196"/>
      <c r="Q1239" s="1084"/>
      <c r="R1239" s="1119"/>
      <c r="S1239" s="1076"/>
      <c r="T1239" s="840" t="s">
        <v>1742</v>
      </c>
      <c r="U1239" s="866">
        <v>12325440</v>
      </c>
      <c r="V1239" s="855">
        <v>41934</v>
      </c>
      <c r="W1239" s="1123"/>
      <c r="X1239" s="1084"/>
      <c r="Y1239" s="1084"/>
      <c r="Z1239" s="827">
        <v>0</v>
      </c>
      <c r="AA1239" s="1084"/>
      <c r="AB1239" s="1119"/>
      <c r="AC1239" s="1119"/>
      <c r="AD1239" s="1119"/>
      <c r="AE1239" s="1119"/>
      <c r="AF1239" s="1203"/>
      <c r="AG1239" s="1204"/>
      <c r="AH1239" s="1204"/>
      <c r="AI1239" s="1204"/>
    </row>
    <row r="1240" spans="1:35" ht="15" customHeight="1">
      <c r="A1240" s="1076"/>
      <c r="B1240" s="1076"/>
      <c r="C1240" s="1076"/>
      <c r="D1240" s="1076"/>
      <c r="E1240" s="1076"/>
      <c r="F1240" s="1076"/>
      <c r="G1240" s="1076"/>
      <c r="H1240" s="1209"/>
      <c r="I1240" s="1123"/>
      <c r="J1240" s="1119"/>
      <c r="K1240" s="1119"/>
      <c r="L1240" s="1119"/>
      <c r="M1240" s="1171"/>
      <c r="N1240" s="1196"/>
      <c r="O1240" s="1196"/>
      <c r="P1240" s="1196"/>
      <c r="Q1240" s="1084"/>
      <c r="R1240" s="1119"/>
      <c r="S1240" s="1076"/>
      <c r="T1240" s="840" t="s">
        <v>1743</v>
      </c>
      <c r="U1240" s="866">
        <v>7452591</v>
      </c>
      <c r="V1240" s="855">
        <v>42038</v>
      </c>
      <c r="W1240" s="1123"/>
      <c r="X1240" s="1084"/>
      <c r="Y1240" s="1084"/>
      <c r="Z1240" s="827">
        <v>0</v>
      </c>
      <c r="AA1240" s="1084"/>
      <c r="AB1240" s="1119"/>
      <c r="AC1240" s="1119"/>
      <c r="AD1240" s="1119"/>
      <c r="AE1240" s="1119"/>
      <c r="AF1240" s="1203"/>
      <c r="AG1240" s="1204"/>
      <c r="AH1240" s="1204"/>
      <c r="AI1240" s="1204"/>
    </row>
    <row r="1241" spans="1:35" ht="15" customHeight="1">
      <c r="A1241" s="1076"/>
      <c r="B1241" s="1076"/>
      <c r="C1241" s="1076"/>
      <c r="D1241" s="1076"/>
      <c r="E1241" s="1076"/>
      <c r="F1241" s="1076"/>
      <c r="G1241" s="1076"/>
      <c r="H1241" s="1209"/>
      <c r="I1241" s="1123"/>
      <c r="J1241" s="1119"/>
      <c r="K1241" s="1119"/>
      <c r="L1241" s="1119"/>
      <c r="M1241" s="1171"/>
      <c r="N1241" s="1196"/>
      <c r="O1241" s="1196"/>
      <c r="P1241" s="1196"/>
      <c r="Q1241" s="1084"/>
      <c r="R1241" s="1119"/>
      <c r="S1241" s="1076"/>
      <c r="T1241" s="840" t="s">
        <v>1744</v>
      </c>
      <c r="U1241" s="866">
        <v>5446125</v>
      </c>
      <c r="V1241" s="855">
        <v>42157</v>
      </c>
      <c r="W1241" s="1123"/>
      <c r="X1241" s="1084"/>
      <c r="Y1241" s="1084"/>
      <c r="Z1241" s="827">
        <v>0</v>
      </c>
      <c r="AA1241" s="1084"/>
      <c r="AB1241" s="1119"/>
      <c r="AC1241" s="1119"/>
      <c r="AD1241" s="1119"/>
      <c r="AE1241" s="1119"/>
      <c r="AF1241" s="1203"/>
      <c r="AG1241" s="1204"/>
      <c r="AH1241" s="1204"/>
      <c r="AI1241" s="1204"/>
    </row>
    <row r="1242" spans="1:35" ht="15" customHeight="1">
      <c r="A1242" s="1076"/>
      <c r="B1242" s="1076"/>
      <c r="C1242" s="1076"/>
      <c r="D1242" s="1076"/>
      <c r="E1242" s="1076"/>
      <c r="F1242" s="1076"/>
      <c r="G1242" s="1076"/>
      <c r="H1242" s="1209"/>
      <c r="I1242" s="1123"/>
      <c r="J1242" s="1119"/>
      <c r="K1242" s="1119"/>
      <c r="L1242" s="1119"/>
      <c r="M1242" s="1171"/>
      <c r="N1242" s="1196"/>
      <c r="O1242" s="1196"/>
      <c r="P1242" s="1196"/>
      <c r="Q1242" s="1084"/>
      <c r="R1242" s="1119"/>
      <c r="S1242" s="1076"/>
      <c r="T1242" s="840" t="s">
        <v>2716</v>
      </c>
      <c r="U1242" s="866">
        <v>3439657.8</v>
      </c>
      <c r="V1242" s="855">
        <v>43096</v>
      </c>
      <c r="W1242" s="1123"/>
      <c r="X1242" s="1084"/>
      <c r="Y1242" s="1084"/>
      <c r="Z1242" s="827">
        <v>0</v>
      </c>
      <c r="AA1242" s="1084"/>
      <c r="AB1242" s="1119"/>
      <c r="AC1242" s="1119"/>
      <c r="AD1242" s="1119"/>
      <c r="AE1242" s="1119"/>
      <c r="AF1242" s="1203"/>
      <c r="AG1242" s="1204"/>
      <c r="AH1242" s="1204"/>
      <c r="AI1242" s="1204"/>
    </row>
    <row r="1243" spans="1:35" ht="15" customHeight="1">
      <c r="A1243" s="1076"/>
      <c r="B1243" s="1076"/>
      <c r="C1243" s="1076"/>
      <c r="D1243" s="1076"/>
      <c r="E1243" s="823" t="s">
        <v>67</v>
      </c>
      <c r="F1243" s="1076"/>
      <c r="G1243" s="1076"/>
      <c r="H1243" s="861">
        <v>14</v>
      </c>
      <c r="I1243" s="840" t="s">
        <v>166</v>
      </c>
      <c r="J1243" s="858">
        <v>9773295</v>
      </c>
      <c r="K1243" s="858">
        <v>9773295</v>
      </c>
      <c r="L1243" s="1119"/>
      <c r="M1243" s="855">
        <v>42325</v>
      </c>
      <c r="N1243" s="862">
        <v>9773295</v>
      </c>
      <c r="O1243" s="858">
        <v>9773295</v>
      </c>
      <c r="P1243" s="858">
        <v>0</v>
      </c>
      <c r="Q1243" s="827">
        <v>9773295</v>
      </c>
      <c r="R1243" s="1119"/>
      <c r="S1243" s="1076"/>
      <c r="T1243" s="840" t="s">
        <v>2716</v>
      </c>
      <c r="U1243" s="866">
        <v>4886648</v>
      </c>
      <c r="V1243" s="855">
        <v>43096</v>
      </c>
      <c r="W1243" s="840" t="s">
        <v>166</v>
      </c>
      <c r="X1243" s="827">
        <v>4886648</v>
      </c>
      <c r="Y1243" s="1084"/>
      <c r="Z1243" s="827">
        <v>0</v>
      </c>
      <c r="AA1243" s="827">
        <v>4886647</v>
      </c>
      <c r="AB1243" s="1119"/>
      <c r="AC1243" s="858">
        <v>0</v>
      </c>
      <c r="AD1243" s="858">
        <v>4886647</v>
      </c>
      <c r="AE1243" s="858"/>
      <c r="AF1243" s="1203"/>
      <c r="AG1243" s="1204"/>
      <c r="AH1243" s="1204"/>
      <c r="AI1243" s="1204"/>
    </row>
    <row r="1244" spans="1:35" ht="15" customHeight="1">
      <c r="A1244" s="1076" t="s">
        <v>1768</v>
      </c>
      <c r="B1244" s="1076" t="s">
        <v>1769</v>
      </c>
      <c r="C1244" s="1076" t="s">
        <v>70</v>
      </c>
      <c r="D1244" s="1076" t="s">
        <v>206</v>
      </c>
      <c r="E1244" s="1076" t="s">
        <v>66</v>
      </c>
      <c r="F1244" s="1076" t="s">
        <v>49</v>
      </c>
      <c r="G1244" s="1076" t="s">
        <v>1772</v>
      </c>
      <c r="H1244" s="1209">
        <v>294</v>
      </c>
      <c r="I1244" s="1123" t="s">
        <v>7</v>
      </c>
      <c r="J1244" s="1119">
        <v>200064922</v>
      </c>
      <c r="K1244" s="1119">
        <v>200064922</v>
      </c>
      <c r="L1244" s="1119">
        <v>200064922</v>
      </c>
      <c r="M1244" s="1171">
        <v>41546</v>
      </c>
      <c r="N1244" s="1196">
        <v>200064922</v>
      </c>
      <c r="O1244" s="1196">
        <v>200064922</v>
      </c>
      <c r="P1244" s="1196">
        <v>0</v>
      </c>
      <c r="Q1244" s="1084">
        <v>200061488</v>
      </c>
      <c r="R1244" s="1119">
        <v>200061488</v>
      </c>
      <c r="S1244" s="1076" t="s">
        <v>1771</v>
      </c>
      <c r="T1244" s="840" t="s">
        <v>1773</v>
      </c>
      <c r="U1244" s="866">
        <v>20006148.800000001</v>
      </c>
      <c r="V1244" s="855">
        <v>41901</v>
      </c>
      <c r="W1244" s="842" t="s">
        <v>7</v>
      </c>
      <c r="X1244" s="1084">
        <v>181515677.38000003</v>
      </c>
      <c r="Y1244" s="1084">
        <v>181515677.38000003</v>
      </c>
      <c r="Z1244" s="827">
        <v>-0.80000000074505806</v>
      </c>
      <c r="AA1244" s="1084">
        <v>18549244.619999975</v>
      </c>
      <c r="AB1244" s="1119">
        <v>-2460665.6200000048</v>
      </c>
      <c r="AC1244" s="1119">
        <v>3434</v>
      </c>
      <c r="AD1244" s="1119">
        <v>18545810.619999975</v>
      </c>
      <c r="AE1244" s="1119"/>
      <c r="AF1244" s="1203"/>
      <c r="AG1244" s="1204" t="s">
        <v>1767</v>
      </c>
      <c r="AH1244" s="1204" t="s">
        <v>194</v>
      </c>
      <c r="AI1244" s="1204" t="s">
        <v>1619</v>
      </c>
    </row>
    <row r="1245" spans="1:35" ht="15" customHeight="1">
      <c r="A1245" s="1076"/>
      <c r="B1245" s="1076"/>
      <c r="C1245" s="1076"/>
      <c r="D1245" s="1076"/>
      <c r="E1245" s="1076"/>
      <c r="F1245" s="1076"/>
      <c r="G1245" s="1076"/>
      <c r="H1245" s="1209"/>
      <c r="I1245" s="1123"/>
      <c r="J1245" s="1119"/>
      <c r="K1245" s="1119"/>
      <c r="L1245" s="1119"/>
      <c r="M1245" s="1171"/>
      <c r="N1245" s="1196"/>
      <c r="O1245" s="1196"/>
      <c r="P1245" s="1196"/>
      <c r="Q1245" s="1084"/>
      <c r="R1245" s="1119"/>
      <c r="S1245" s="1076"/>
      <c r="T1245" s="840" t="s">
        <v>1774</v>
      </c>
      <c r="U1245" s="866">
        <v>41412728.020000003</v>
      </c>
      <c r="V1245" s="855">
        <v>41984</v>
      </c>
      <c r="W1245" s="842" t="s">
        <v>7</v>
      </c>
      <c r="X1245" s="1084"/>
      <c r="Y1245" s="1084"/>
      <c r="Z1245" s="827">
        <v>0</v>
      </c>
      <c r="AA1245" s="1084"/>
      <c r="AB1245" s="1119"/>
      <c r="AC1245" s="1119"/>
      <c r="AD1245" s="1119"/>
      <c r="AE1245" s="1119"/>
      <c r="AF1245" s="1203"/>
      <c r="AG1245" s="1204"/>
      <c r="AH1245" s="1204"/>
      <c r="AI1245" s="1204"/>
    </row>
    <row r="1246" spans="1:35" ht="15" customHeight="1">
      <c r="A1246" s="1076"/>
      <c r="B1246" s="1076"/>
      <c r="C1246" s="1076"/>
      <c r="D1246" s="1076"/>
      <c r="E1246" s="1076"/>
      <c r="F1246" s="1076"/>
      <c r="G1246" s="1076"/>
      <c r="H1246" s="1209"/>
      <c r="I1246" s="1123"/>
      <c r="J1246" s="1119"/>
      <c r="K1246" s="1119"/>
      <c r="L1246" s="1119"/>
      <c r="M1246" s="1171"/>
      <c r="N1246" s="1196"/>
      <c r="O1246" s="1196"/>
      <c r="P1246" s="1196"/>
      <c r="Q1246" s="1084"/>
      <c r="R1246" s="1119"/>
      <c r="S1246" s="1076"/>
      <c r="T1246" s="840" t="s">
        <v>1775</v>
      </c>
      <c r="U1246" s="866">
        <v>47714664.890000001</v>
      </c>
      <c r="V1246" s="855">
        <v>42136</v>
      </c>
      <c r="W1246" s="842" t="s">
        <v>7</v>
      </c>
      <c r="X1246" s="1084"/>
      <c r="Y1246" s="1084"/>
      <c r="Z1246" s="827">
        <v>0</v>
      </c>
      <c r="AA1246" s="1084"/>
      <c r="AB1246" s="1119"/>
      <c r="AC1246" s="1119"/>
      <c r="AD1246" s="1119"/>
      <c r="AE1246" s="1119"/>
      <c r="AF1246" s="1203"/>
      <c r="AG1246" s="1204"/>
      <c r="AH1246" s="1204"/>
      <c r="AI1246" s="1204"/>
    </row>
    <row r="1247" spans="1:35" ht="15" customHeight="1">
      <c r="A1247" s="1076"/>
      <c r="B1247" s="1076"/>
      <c r="C1247" s="1076"/>
      <c r="D1247" s="1076"/>
      <c r="E1247" s="1076"/>
      <c r="F1247" s="1076"/>
      <c r="G1247" s="1076"/>
      <c r="H1247" s="1209"/>
      <c r="I1247" s="1123"/>
      <c r="J1247" s="1119"/>
      <c r="K1247" s="1119"/>
      <c r="L1247" s="1119"/>
      <c r="M1247" s="1171"/>
      <c r="N1247" s="1196"/>
      <c r="O1247" s="1196"/>
      <c r="P1247" s="1196"/>
      <c r="Q1247" s="1084"/>
      <c r="R1247" s="1119"/>
      <c r="S1247" s="1076"/>
      <c r="T1247" s="840" t="s">
        <v>1776</v>
      </c>
      <c r="U1247" s="866">
        <v>28808854.27</v>
      </c>
      <c r="V1247" s="855">
        <v>42282</v>
      </c>
      <c r="W1247" s="842" t="s">
        <v>7</v>
      </c>
      <c r="X1247" s="1084"/>
      <c r="Y1247" s="1084"/>
      <c r="Z1247" s="827">
        <v>0</v>
      </c>
      <c r="AA1247" s="1084"/>
      <c r="AB1247" s="1119"/>
      <c r="AC1247" s="1119"/>
      <c r="AD1247" s="1119"/>
      <c r="AE1247" s="1119"/>
      <c r="AF1247" s="1203"/>
      <c r="AG1247" s="1204"/>
      <c r="AH1247" s="1204"/>
      <c r="AI1247" s="1204"/>
    </row>
    <row r="1248" spans="1:35" ht="15" customHeight="1">
      <c r="A1248" s="1076"/>
      <c r="B1248" s="1076"/>
      <c r="C1248" s="1076"/>
      <c r="D1248" s="1076"/>
      <c r="E1248" s="1076"/>
      <c r="F1248" s="1076"/>
      <c r="G1248" s="1076"/>
      <c r="H1248" s="1209"/>
      <c r="I1248" s="1123"/>
      <c r="J1248" s="1119"/>
      <c r="K1248" s="1119"/>
      <c r="L1248" s="1119"/>
      <c r="M1248" s="1171"/>
      <c r="N1248" s="1196"/>
      <c r="O1248" s="1196"/>
      <c r="P1248" s="1196"/>
      <c r="Q1248" s="1084"/>
      <c r="R1248" s="1119"/>
      <c r="S1248" s="1076"/>
      <c r="T1248" s="840" t="s">
        <v>1777</v>
      </c>
      <c r="U1248" s="866">
        <v>12603873.74</v>
      </c>
      <c r="V1248" s="855">
        <v>42290</v>
      </c>
      <c r="W1248" s="842" t="s">
        <v>7</v>
      </c>
      <c r="X1248" s="1084"/>
      <c r="Y1248" s="1084"/>
      <c r="Z1248" s="827">
        <v>0</v>
      </c>
      <c r="AA1248" s="1084"/>
      <c r="AB1248" s="1119"/>
      <c r="AC1248" s="1119"/>
      <c r="AD1248" s="1119"/>
      <c r="AE1248" s="1119"/>
      <c r="AF1248" s="1203"/>
      <c r="AG1248" s="1204"/>
      <c r="AH1248" s="1204"/>
      <c r="AI1248" s="1204"/>
    </row>
    <row r="1249" spans="1:35" ht="15" customHeight="1">
      <c r="A1249" s="1076"/>
      <c r="B1249" s="1076"/>
      <c r="C1249" s="1076"/>
      <c r="D1249" s="1076"/>
      <c r="E1249" s="1076"/>
      <c r="F1249" s="1076"/>
      <c r="G1249" s="1076"/>
      <c r="H1249" s="1209"/>
      <c r="I1249" s="1123"/>
      <c r="J1249" s="1119"/>
      <c r="K1249" s="1119"/>
      <c r="L1249" s="1119"/>
      <c r="M1249" s="1171"/>
      <c r="N1249" s="1196"/>
      <c r="O1249" s="1196"/>
      <c r="P1249" s="1196"/>
      <c r="Q1249" s="1084"/>
      <c r="R1249" s="1119"/>
      <c r="S1249" s="1076"/>
      <c r="T1249" s="840" t="s">
        <v>1778</v>
      </c>
      <c r="U1249" s="866">
        <v>30969407.66</v>
      </c>
      <c r="V1249" s="855">
        <v>42439</v>
      </c>
      <c r="W1249" s="842" t="s">
        <v>7</v>
      </c>
      <c r="X1249" s="1084"/>
      <c r="Y1249" s="1084"/>
      <c r="Z1249" s="827">
        <v>0</v>
      </c>
      <c r="AA1249" s="1084"/>
      <c r="AB1249" s="1119"/>
      <c r="AC1249" s="1119"/>
      <c r="AD1249" s="1119"/>
      <c r="AE1249" s="1119"/>
      <c r="AF1249" s="1203"/>
      <c r="AG1249" s="1204"/>
      <c r="AH1249" s="1204"/>
      <c r="AI1249" s="1204"/>
    </row>
    <row r="1250" spans="1:35" ht="15" customHeight="1">
      <c r="A1250" s="1076"/>
      <c r="B1250" s="1076"/>
      <c r="C1250" s="1076"/>
      <c r="D1250" s="1076"/>
      <c r="E1250" s="1076"/>
      <c r="F1250" s="1076"/>
      <c r="G1250" s="1076"/>
      <c r="H1250" s="1209"/>
      <c r="I1250" s="1123"/>
      <c r="J1250" s="1119"/>
      <c r="K1250" s="1119"/>
      <c r="L1250" s="1119"/>
      <c r="M1250" s="1171"/>
      <c r="N1250" s="1196"/>
      <c r="O1250" s="1196"/>
      <c r="P1250" s="1196"/>
      <c r="Q1250" s="1084"/>
      <c r="R1250" s="1119"/>
      <c r="S1250" s="1076"/>
      <c r="T1250" s="840"/>
      <c r="U1250" s="866"/>
      <c r="V1250" s="855"/>
      <c r="W1250" s="842"/>
      <c r="X1250" s="1084"/>
      <c r="Y1250" s="1084"/>
      <c r="Z1250" s="827">
        <v>0</v>
      </c>
      <c r="AA1250" s="1084"/>
      <c r="AB1250" s="1119"/>
      <c r="AC1250" s="1119"/>
      <c r="AD1250" s="1119"/>
      <c r="AE1250" s="1119"/>
      <c r="AF1250" s="1203"/>
      <c r="AG1250" s="1204"/>
      <c r="AH1250" s="1204"/>
      <c r="AI1250" s="1204"/>
    </row>
    <row r="1251" spans="1:35" s="4" customFormat="1" ht="15" customHeight="1">
      <c r="A1251" s="853" t="s">
        <v>1781</v>
      </c>
      <c r="B1251" s="853" t="s">
        <v>1779</v>
      </c>
      <c r="C1251" s="853" t="s">
        <v>70</v>
      </c>
      <c r="D1251" s="853" t="s">
        <v>206</v>
      </c>
      <c r="E1251" s="853" t="s">
        <v>66</v>
      </c>
      <c r="F1251" s="853" t="s">
        <v>48</v>
      </c>
      <c r="G1251" s="853" t="s">
        <v>1783</v>
      </c>
      <c r="H1251" s="861">
        <v>301</v>
      </c>
      <c r="I1251" s="853" t="s">
        <v>137</v>
      </c>
      <c r="J1251" s="853">
        <v>172789634</v>
      </c>
      <c r="K1251" s="853">
        <v>172789634</v>
      </c>
      <c r="L1251" s="853">
        <v>172789634</v>
      </c>
      <c r="M1251" s="855">
        <v>41705</v>
      </c>
      <c r="N1251" s="874">
        <v>172789634</v>
      </c>
      <c r="O1251" s="875">
        <v>172789634</v>
      </c>
      <c r="P1251" s="875">
        <v>0</v>
      </c>
      <c r="Q1251" s="62">
        <v>172789621.19999999</v>
      </c>
      <c r="R1251" s="62">
        <v>172789621.19999999</v>
      </c>
      <c r="S1251" s="853"/>
      <c r="T1251" s="840"/>
      <c r="U1251" s="842">
        <v>0</v>
      </c>
      <c r="V1251" s="855"/>
      <c r="W1251" s="842"/>
      <c r="X1251" s="853"/>
      <c r="Y1251" s="853"/>
      <c r="Z1251" s="853"/>
      <c r="AA1251" s="853"/>
      <c r="AB1251" s="853"/>
      <c r="AC1251" s="853">
        <v>12.800000011920929</v>
      </c>
      <c r="AD1251" s="853"/>
      <c r="AE1251" s="853"/>
      <c r="AF1251" s="853"/>
      <c r="AG1251" s="853" t="s">
        <v>1782</v>
      </c>
      <c r="AH1251" s="864" t="s">
        <v>195</v>
      </c>
      <c r="AI1251" s="864" t="s">
        <v>1619</v>
      </c>
    </row>
    <row r="1252" spans="1:35" ht="15" customHeight="1">
      <c r="A1252" s="1076" t="s">
        <v>1784</v>
      </c>
      <c r="B1252" s="1076" t="s">
        <v>1785</v>
      </c>
      <c r="C1252" s="1076" t="s">
        <v>72</v>
      </c>
      <c r="D1252" s="1076" t="s">
        <v>206</v>
      </c>
      <c r="E1252" s="1076" t="s">
        <v>489</v>
      </c>
      <c r="F1252" s="1076" t="s">
        <v>49</v>
      </c>
      <c r="G1252" s="1076" t="s">
        <v>1788</v>
      </c>
      <c r="H1252" s="1209">
        <v>267</v>
      </c>
      <c r="I1252" s="1123" t="s">
        <v>7</v>
      </c>
      <c r="J1252" s="1119">
        <v>400000000</v>
      </c>
      <c r="K1252" s="1119">
        <v>400000000</v>
      </c>
      <c r="L1252" s="1119">
        <v>400000000</v>
      </c>
      <c r="M1252" s="1171">
        <v>41234</v>
      </c>
      <c r="N1252" s="1196">
        <v>400000000</v>
      </c>
      <c r="O1252" s="1196">
        <v>400000000</v>
      </c>
      <c r="P1252" s="1196">
        <v>0</v>
      </c>
      <c r="Q1252" s="1084">
        <v>399998961</v>
      </c>
      <c r="R1252" s="1119">
        <v>399998961</v>
      </c>
      <c r="S1252" s="1076" t="s">
        <v>1786</v>
      </c>
      <c r="T1252" s="840" t="s">
        <v>1789</v>
      </c>
      <c r="U1252" s="866">
        <v>39999896</v>
      </c>
      <c r="V1252" s="855">
        <v>41982</v>
      </c>
      <c r="W1252" s="842" t="s">
        <v>7</v>
      </c>
      <c r="X1252" s="1084">
        <v>115959699</v>
      </c>
      <c r="Y1252" s="1084">
        <v>115959699</v>
      </c>
      <c r="Z1252" s="827">
        <v>0.10000000149011612</v>
      </c>
      <c r="AA1252" s="1084">
        <v>284040301</v>
      </c>
      <c r="AB1252" s="1119">
        <v>-31559918</v>
      </c>
      <c r="AC1252" s="1119">
        <v>1039</v>
      </c>
      <c r="AD1252" s="1119">
        <v>284039262</v>
      </c>
      <c r="AE1252" s="1119"/>
      <c r="AF1252" s="1203" t="s">
        <v>1696</v>
      </c>
      <c r="AG1252" s="1204" t="s">
        <v>1666</v>
      </c>
      <c r="AH1252" s="1204" t="s">
        <v>194</v>
      </c>
      <c r="AI1252" s="1204" t="s">
        <v>1619</v>
      </c>
    </row>
    <row r="1253" spans="1:35" ht="15" customHeight="1">
      <c r="A1253" s="1076"/>
      <c r="B1253" s="1076"/>
      <c r="C1253" s="1076"/>
      <c r="D1253" s="1076"/>
      <c r="E1253" s="1076"/>
      <c r="F1253" s="1076"/>
      <c r="G1253" s="1076"/>
      <c r="H1253" s="1209"/>
      <c r="I1253" s="1123"/>
      <c r="J1253" s="1119"/>
      <c r="K1253" s="1119"/>
      <c r="L1253" s="1119"/>
      <c r="M1253" s="1171"/>
      <c r="N1253" s="1196"/>
      <c r="O1253" s="1196"/>
      <c r="P1253" s="1196"/>
      <c r="Q1253" s="1084"/>
      <c r="R1253" s="1119"/>
      <c r="S1253" s="1076"/>
      <c r="T1253" s="840" t="s">
        <v>1790</v>
      </c>
      <c r="U1253" s="866">
        <v>75959803</v>
      </c>
      <c r="V1253" s="855">
        <v>42173</v>
      </c>
      <c r="W1253" s="842" t="s">
        <v>7</v>
      </c>
      <c r="X1253" s="1084"/>
      <c r="Y1253" s="1084"/>
      <c r="Z1253" s="827">
        <v>0</v>
      </c>
      <c r="AA1253" s="1084"/>
      <c r="AB1253" s="1119"/>
      <c r="AC1253" s="1119"/>
      <c r="AD1253" s="1119"/>
      <c r="AE1253" s="1119"/>
      <c r="AF1253" s="1203"/>
      <c r="AG1253" s="1204"/>
      <c r="AH1253" s="1204"/>
      <c r="AI1253" s="1204"/>
    </row>
    <row r="1254" spans="1:35" ht="15" customHeight="1">
      <c r="A1254" s="1076"/>
      <c r="B1254" s="1076"/>
      <c r="C1254" s="1076"/>
      <c r="D1254" s="1076"/>
      <c r="E1254" s="1076"/>
      <c r="F1254" s="1076"/>
      <c r="G1254" s="1076"/>
      <c r="H1254" s="1209"/>
      <c r="I1254" s="1123"/>
      <c r="J1254" s="1119"/>
      <c r="K1254" s="1119"/>
      <c r="L1254" s="1119"/>
      <c r="M1254" s="1171"/>
      <c r="N1254" s="1196"/>
      <c r="O1254" s="1196"/>
      <c r="P1254" s="1196"/>
      <c r="Q1254" s="1084"/>
      <c r="R1254" s="1119"/>
      <c r="S1254" s="1076"/>
      <c r="T1254" s="840"/>
      <c r="U1254" s="866"/>
      <c r="V1254" s="855"/>
      <c r="W1254" s="842"/>
      <c r="X1254" s="1084"/>
      <c r="Y1254" s="1084"/>
      <c r="Z1254" s="827">
        <v>0</v>
      </c>
      <c r="AA1254" s="1084"/>
      <c r="AB1254" s="1119"/>
      <c r="AC1254" s="1119"/>
      <c r="AD1254" s="1119"/>
      <c r="AE1254" s="1119"/>
      <c r="AF1254" s="1203"/>
      <c r="AG1254" s="1204"/>
      <c r="AH1254" s="1204"/>
      <c r="AI1254" s="1204"/>
    </row>
    <row r="1255" spans="1:35" ht="15" customHeight="1">
      <c r="A1255" s="1076"/>
      <c r="B1255" s="1076"/>
      <c r="C1255" s="1076"/>
      <c r="D1255" s="1076"/>
      <c r="E1255" s="1076"/>
      <c r="F1255" s="1076"/>
      <c r="G1255" s="1076"/>
      <c r="H1255" s="1209"/>
      <c r="I1255" s="1123"/>
      <c r="J1255" s="1119"/>
      <c r="K1255" s="1119"/>
      <c r="L1255" s="1119"/>
      <c r="M1255" s="1171"/>
      <c r="N1255" s="1196"/>
      <c r="O1255" s="1196"/>
      <c r="P1255" s="1196"/>
      <c r="Q1255" s="1084"/>
      <c r="R1255" s="1119"/>
      <c r="S1255" s="1076"/>
      <c r="T1255" s="840"/>
      <c r="U1255" s="866"/>
      <c r="V1255" s="855"/>
      <c r="W1255" s="842"/>
      <c r="X1255" s="1084"/>
      <c r="Y1255" s="1084"/>
      <c r="Z1255" s="827">
        <v>0</v>
      </c>
      <c r="AA1255" s="1084"/>
      <c r="AB1255" s="1119"/>
      <c r="AC1255" s="1119"/>
      <c r="AD1255" s="1119"/>
      <c r="AE1255" s="1119"/>
      <c r="AF1255" s="1203"/>
      <c r="AG1255" s="1204"/>
      <c r="AH1255" s="1204"/>
      <c r="AI1255" s="1204"/>
    </row>
    <row r="1256" spans="1:35" s="4" customFormat="1" ht="15" customHeight="1">
      <c r="A1256" s="1011" t="s">
        <v>2172</v>
      </c>
      <c r="B1256" s="1011" t="s">
        <v>2169</v>
      </c>
      <c r="C1256" s="1011" t="s">
        <v>71</v>
      </c>
      <c r="D1256" s="1011" t="s">
        <v>1235</v>
      </c>
      <c r="E1256" s="1011" t="s">
        <v>66</v>
      </c>
      <c r="F1256" s="1011" t="s">
        <v>48</v>
      </c>
      <c r="G1256" s="1011"/>
      <c r="H1256" s="1009">
        <v>273</v>
      </c>
      <c r="I1256" s="1065" t="s">
        <v>137</v>
      </c>
      <c r="J1256" s="1062">
        <v>469824812</v>
      </c>
      <c r="K1256" s="1062">
        <v>5028116773</v>
      </c>
      <c r="L1256" s="1062">
        <v>6505975000</v>
      </c>
      <c r="M1256" s="1068">
        <v>41277</v>
      </c>
      <c r="N1256" s="1089">
        <v>5028116773</v>
      </c>
      <c r="O1256" s="1062">
        <v>469824812</v>
      </c>
      <c r="P1256" s="1062">
        <v>0</v>
      </c>
      <c r="Q1256" s="1062">
        <v>321044130</v>
      </c>
      <c r="R1256" s="1062">
        <v>4382858750</v>
      </c>
      <c r="S1256" s="1011" t="s">
        <v>2168</v>
      </c>
      <c r="T1256" s="1065" t="s">
        <v>2167</v>
      </c>
      <c r="U1256" s="866">
        <v>128417652</v>
      </c>
      <c r="V1256" s="1120">
        <v>41906</v>
      </c>
      <c r="W1256" s="840" t="s">
        <v>137</v>
      </c>
      <c r="X1256" s="1043">
        <v>3017505590</v>
      </c>
      <c r="Y1256" s="1043">
        <v>4371216292.1999998</v>
      </c>
      <c r="Z1256" s="827">
        <v>0</v>
      </c>
      <c r="AA1256" s="1043">
        <v>0</v>
      </c>
      <c r="AB1256" s="1062">
        <v>0</v>
      </c>
      <c r="AC1256" s="1062"/>
      <c r="AD1256" s="1062"/>
      <c r="AE1256" s="1062"/>
      <c r="AF1256" s="1103" t="s">
        <v>2166</v>
      </c>
      <c r="AG1256" s="1103" t="s">
        <v>2165</v>
      </c>
      <c r="AH1256" s="1103" t="s">
        <v>195</v>
      </c>
      <c r="AI1256" s="1103" t="s">
        <v>1911</v>
      </c>
    </row>
    <row r="1257" spans="1:35" s="4" customFormat="1" ht="15" customHeight="1">
      <c r="A1257" s="1033"/>
      <c r="B1257" s="1033"/>
      <c r="C1257" s="1033"/>
      <c r="D1257" s="1033"/>
      <c r="E1257" s="1033"/>
      <c r="F1257" s="1033"/>
      <c r="G1257" s="1033"/>
      <c r="H1257" s="1039"/>
      <c r="I1257" s="1066"/>
      <c r="J1257" s="1063"/>
      <c r="K1257" s="1063"/>
      <c r="L1257" s="1063"/>
      <c r="M1257" s="1069"/>
      <c r="N1257" s="1090"/>
      <c r="O1257" s="1063"/>
      <c r="P1257" s="1063"/>
      <c r="Q1257" s="1063"/>
      <c r="R1257" s="1063"/>
      <c r="S1257" s="1033"/>
      <c r="T1257" s="1067"/>
      <c r="U1257" s="866">
        <v>1078584584</v>
      </c>
      <c r="V1257" s="1160"/>
      <c r="W1257" s="840" t="s">
        <v>7</v>
      </c>
      <c r="X1257" s="1044"/>
      <c r="Y1257" s="1044"/>
      <c r="Z1257" s="827">
        <v>0</v>
      </c>
      <c r="AA1257" s="1044"/>
      <c r="AB1257" s="1063"/>
      <c r="AC1257" s="1063"/>
      <c r="AD1257" s="1063"/>
      <c r="AE1257" s="1063"/>
      <c r="AF1257" s="1104"/>
      <c r="AG1257" s="1104"/>
      <c r="AH1257" s="1104"/>
      <c r="AI1257" s="1104"/>
    </row>
    <row r="1258" spans="1:35" s="4" customFormat="1" ht="15" customHeight="1">
      <c r="A1258" s="1033"/>
      <c r="B1258" s="1033"/>
      <c r="C1258" s="1033"/>
      <c r="D1258" s="1033"/>
      <c r="E1258" s="1033"/>
      <c r="F1258" s="1033"/>
      <c r="G1258" s="1033"/>
      <c r="H1258" s="1039"/>
      <c r="I1258" s="1066"/>
      <c r="J1258" s="1063"/>
      <c r="K1258" s="1063"/>
      <c r="L1258" s="1063"/>
      <c r="M1258" s="1069"/>
      <c r="N1258" s="1090"/>
      <c r="O1258" s="1063"/>
      <c r="P1258" s="1063"/>
      <c r="Q1258" s="1063"/>
      <c r="R1258" s="1063"/>
      <c r="S1258" s="1033"/>
      <c r="T1258" s="1065" t="s">
        <v>2164</v>
      </c>
      <c r="U1258" s="866">
        <v>92994014.5</v>
      </c>
      <c r="V1258" s="1120">
        <v>42191</v>
      </c>
      <c r="W1258" s="840" t="s">
        <v>137</v>
      </c>
      <c r="X1258" s="1044"/>
      <c r="Y1258" s="1044"/>
      <c r="Z1258" s="827">
        <v>0</v>
      </c>
      <c r="AA1258" s="1044"/>
      <c r="AB1258" s="1063"/>
      <c r="AC1258" s="1063"/>
      <c r="AD1258" s="1063"/>
      <c r="AE1258" s="1063"/>
      <c r="AF1258" s="1104"/>
      <c r="AG1258" s="1104"/>
      <c r="AH1258" s="1104"/>
      <c r="AI1258" s="1104"/>
    </row>
    <row r="1259" spans="1:35" s="4" customFormat="1" ht="15" customHeight="1">
      <c r="A1259" s="1033"/>
      <c r="B1259" s="1033"/>
      <c r="C1259" s="1033"/>
      <c r="D1259" s="1033"/>
      <c r="E1259" s="1033"/>
      <c r="F1259" s="1033"/>
      <c r="G1259" s="1033"/>
      <c r="H1259" s="1039"/>
      <c r="I1259" s="1066"/>
      <c r="J1259" s="1063"/>
      <c r="K1259" s="1063"/>
      <c r="L1259" s="1063"/>
      <c r="M1259" s="1069"/>
      <c r="N1259" s="1090"/>
      <c r="O1259" s="1063"/>
      <c r="P1259" s="1063"/>
      <c r="Q1259" s="1063"/>
      <c r="R1259" s="1063"/>
      <c r="S1259" s="1033"/>
      <c r="T1259" s="1067"/>
      <c r="U1259" s="866">
        <v>781060150.5</v>
      </c>
      <c r="V1259" s="1160"/>
      <c r="W1259" s="840" t="s">
        <v>7</v>
      </c>
      <c r="X1259" s="1044"/>
      <c r="Y1259" s="1044"/>
      <c r="Z1259" s="827">
        <v>0</v>
      </c>
      <c r="AA1259" s="1044"/>
      <c r="AB1259" s="1063"/>
      <c r="AC1259" s="1063"/>
      <c r="AD1259" s="1063"/>
      <c r="AE1259" s="1063"/>
      <c r="AF1259" s="1104"/>
      <c r="AG1259" s="1104"/>
      <c r="AH1259" s="1104"/>
      <c r="AI1259" s="1104"/>
    </row>
    <row r="1260" spans="1:35" s="4" customFormat="1" ht="15" customHeight="1">
      <c r="A1260" s="1033"/>
      <c r="B1260" s="1033"/>
      <c r="C1260" s="1033"/>
      <c r="D1260" s="1033"/>
      <c r="E1260" s="1033"/>
      <c r="F1260" s="1033"/>
      <c r="G1260" s="1033"/>
      <c r="H1260" s="1039"/>
      <c r="I1260" s="1066"/>
      <c r="J1260" s="1063"/>
      <c r="K1260" s="1063"/>
      <c r="L1260" s="1063"/>
      <c r="M1260" s="1069"/>
      <c r="N1260" s="1090"/>
      <c r="O1260" s="1064"/>
      <c r="P1260" s="1064"/>
      <c r="Q1260" s="1063"/>
      <c r="R1260" s="1063"/>
      <c r="S1260" s="1033"/>
      <c r="T1260" s="1065" t="s">
        <v>2163</v>
      </c>
      <c r="U1260" s="866">
        <v>52305744.310000002</v>
      </c>
      <c r="V1260" s="1120">
        <v>42367</v>
      </c>
      <c r="W1260" s="840" t="s">
        <v>137</v>
      </c>
      <c r="X1260" s="1044"/>
      <c r="Y1260" s="1044"/>
      <c r="Z1260" s="827">
        <v>0</v>
      </c>
      <c r="AA1260" s="1045"/>
      <c r="AB1260" s="1063"/>
      <c r="AC1260" s="1064"/>
      <c r="AD1260" s="1063"/>
      <c r="AE1260" s="1063"/>
      <c r="AF1260" s="1104"/>
      <c r="AG1260" s="1104"/>
      <c r="AH1260" s="1104"/>
      <c r="AI1260" s="1104"/>
    </row>
    <row r="1261" spans="1:35" s="4" customFormat="1" ht="15" customHeight="1">
      <c r="A1261" s="1033"/>
      <c r="B1261" s="1033"/>
      <c r="C1261" s="1033"/>
      <c r="D1261" s="1033"/>
      <c r="E1261" s="1033"/>
      <c r="F1261" s="1033"/>
      <c r="G1261" s="1033"/>
      <c r="H1261" s="1039"/>
      <c r="I1261" s="1065" t="s">
        <v>7</v>
      </c>
      <c r="J1261" s="1062">
        <v>4558291961</v>
      </c>
      <c r="K1261" s="1063"/>
      <c r="L1261" s="1063"/>
      <c r="M1261" s="1069"/>
      <c r="N1261" s="1090"/>
      <c r="O1261" s="1062">
        <v>4558291961</v>
      </c>
      <c r="P1261" s="1062">
        <v>0</v>
      </c>
      <c r="Q1261" s="1062">
        <v>2696461460</v>
      </c>
      <c r="R1261" s="1063"/>
      <c r="S1261" s="1033"/>
      <c r="T1261" s="1067"/>
      <c r="U1261" s="866">
        <v>439317870.88999999</v>
      </c>
      <c r="V1261" s="1160"/>
      <c r="W1261" s="840" t="s">
        <v>7</v>
      </c>
      <c r="X1261" s="1044"/>
      <c r="Y1261" s="1044"/>
      <c r="Z1261" s="827">
        <v>0</v>
      </c>
      <c r="AA1261" s="1043">
        <v>0</v>
      </c>
      <c r="AB1261" s="1063"/>
      <c r="AC1261" s="1062"/>
      <c r="AD1261" s="1063"/>
      <c r="AE1261" s="1063"/>
      <c r="AF1261" s="1104"/>
      <c r="AG1261" s="1104"/>
      <c r="AH1261" s="1104"/>
      <c r="AI1261" s="1104"/>
    </row>
    <row r="1262" spans="1:35" s="4" customFormat="1" ht="15" customHeight="1">
      <c r="A1262" s="1033"/>
      <c r="B1262" s="1033"/>
      <c r="C1262" s="1033"/>
      <c r="D1262" s="1033"/>
      <c r="E1262" s="1033"/>
      <c r="F1262" s="1033"/>
      <c r="G1262" s="1033"/>
      <c r="H1262" s="1039"/>
      <c r="I1262" s="1066"/>
      <c r="J1262" s="1063"/>
      <c r="K1262" s="1063"/>
      <c r="L1262" s="1063"/>
      <c r="M1262" s="1069"/>
      <c r="N1262" s="1090"/>
      <c r="O1262" s="1063"/>
      <c r="P1262" s="1063"/>
      <c r="Q1262" s="1063"/>
      <c r="R1262" s="1063"/>
      <c r="S1262" s="1033"/>
      <c r="T1262" s="1065" t="s">
        <v>2162</v>
      </c>
      <c r="U1262" s="866">
        <v>28053048</v>
      </c>
      <c r="V1262" s="1120">
        <v>42793</v>
      </c>
      <c r="W1262" s="840" t="s">
        <v>137</v>
      </c>
      <c r="X1262" s="1044"/>
      <c r="Y1262" s="1044"/>
      <c r="Z1262" s="827">
        <v>0</v>
      </c>
      <c r="AA1262" s="1044"/>
      <c r="AB1262" s="1063"/>
      <c r="AC1262" s="1063"/>
      <c r="AD1262" s="1063"/>
      <c r="AE1262" s="1063"/>
      <c r="AF1262" s="1104"/>
      <c r="AG1262" s="1104"/>
      <c r="AH1262" s="1104"/>
      <c r="AI1262" s="1104"/>
    </row>
    <row r="1263" spans="1:35" s="4" customFormat="1" ht="15" customHeight="1">
      <c r="A1263" s="1033"/>
      <c r="B1263" s="1033"/>
      <c r="C1263" s="1033"/>
      <c r="D1263" s="1033"/>
      <c r="E1263" s="1033"/>
      <c r="F1263" s="1033"/>
      <c r="G1263" s="1033"/>
      <c r="H1263" s="1039"/>
      <c r="I1263" s="1066"/>
      <c r="J1263" s="1063"/>
      <c r="K1263" s="1063"/>
      <c r="L1263" s="1063"/>
      <c r="M1263" s="1069"/>
      <c r="N1263" s="1090"/>
      <c r="O1263" s="1063"/>
      <c r="P1263" s="1063"/>
      <c r="Q1263" s="1063"/>
      <c r="R1263" s="1063"/>
      <c r="S1263" s="1033"/>
      <c r="T1263" s="1067"/>
      <c r="U1263" s="866">
        <v>252477432</v>
      </c>
      <c r="V1263" s="1160"/>
      <c r="W1263" s="840" t="s">
        <v>7</v>
      </c>
      <c r="X1263" s="1044"/>
      <c r="Y1263" s="1044"/>
      <c r="Z1263" s="827">
        <v>0</v>
      </c>
      <c r="AA1263" s="1044"/>
      <c r="AB1263" s="1063"/>
      <c r="AC1263" s="1063"/>
      <c r="AD1263" s="1063"/>
      <c r="AE1263" s="1063"/>
      <c r="AF1263" s="1104"/>
      <c r="AG1263" s="1104"/>
      <c r="AH1263" s="1104"/>
      <c r="AI1263" s="1104"/>
    </row>
    <row r="1264" spans="1:35" s="4" customFormat="1" ht="15" customHeight="1">
      <c r="A1264" s="1033"/>
      <c r="B1264" s="1033"/>
      <c r="C1264" s="1033"/>
      <c r="D1264" s="1033"/>
      <c r="E1264" s="1033"/>
      <c r="F1264" s="1033"/>
      <c r="G1264" s="1033"/>
      <c r="H1264" s="1039"/>
      <c r="I1264" s="1066"/>
      <c r="J1264" s="1063"/>
      <c r="K1264" s="1063"/>
      <c r="L1264" s="1063"/>
      <c r="M1264" s="1069"/>
      <c r="N1264" s="1090"/>
      <c r="O1264" s="1063"/>
      <c r="P1264" s="1063"/>
      <c r="Q1264" s="1063"/>
      <c r="R1264" s="1063"/>
      <c r="S1264" s="1033"/>
      <c r="T1264" s="1065" t="s">
        <v>2161</v>
      </c>
      <c r="U1264" s="866">
        <v>19273671.190000001</v>
      </c>
      <c r="V1264" s="1120">
        <v>42842</v>
      </c>
      <c r="W1264" s="840" t="s">
        <v>137</v>
      </c>
      <c r="X1264" s="1044"/>
      <c r="Y1264" s="1044"/>
      <c r="Z1264" s="827">
        <v>0</v>
      </c>
      <c r="AA1264" s="1044"/>
      <c r="AB1264" s="1063"/>
      <c r="AC1264" s="1063"/>
      <c r="AD1264" s="1063"/>
      <c r="AE1264" s="1063"/>
      <c r="AF1264" s="1104"/>
      <c r="AG1264" s="1104"/>
      <c r="AH1264" s="1104"/>
      <c r="AI1264" s="1104"/>
    </row>
    <row r="1265" spans="1:35" s="4" customFormat="1" ht="15" customHeight="1">
      <c r="A1265" s="1033"/>
      <c r="B1265" s="1033"/>
      <c r="C1265" s="1033"/>
      <c r="D1265" s="1033"/>
      <c r="E1265" s="1033"/>
      <c r="F1265" s="1033"/>
      <c r="G1265" s="1033"/>
      <c r="H1265" s="1010"/>
      <c r="I1265" s="1067"/>
      <c r="J1265" s="1064"/>
      <c r="K1265" s="1064"/>
      <c r="L1265" s="1063"/>
      <c r="M1265" s="1070"/>
      <c r="N1265" s="1091"/>
      <c r="O1265" s="1064"/>
      <c r="P1265" s="1064"/>
      <c r="Q1265" s="1064"/>
      <c r="R1265" s="1063"/>
      <c r="S1265" s="1033"/>
      <c r="T1265" s="1067"/>
      <c r="U1265" s="827">
        <v>145021422.61000001</v>
      </c>
      <c r="V1265" s="1160"/>
      <c r="W1265" s="840" t="s">
        <v>7</v>
      </c>
      <c r="X1265" s="1045"/>
      <c r="Y1265" s="1044"/>
      <c r="Z1265" s="827">
        <v>0</v>
      </c>
      <c r="AA1265" s="1045"/>
      <c r="AB1265" s="1063"/>
      <c r="AC1265" s="1064"/>
      <c r="AD1265" s="1064"/>
      <c r="AE1265" s="1064"/>
      <c r="AF1265" s="1104"/>
      <c r="AG1265" s="1104"/>
      <c r="AH1265" s="1104"/>
      <c r="AI1265" s="1104"/>
    </row>
    <row r="1266" spans="1:35" s="4" customFormat="1" ht="15" customHeight="1">
      <c r="A1266" s="1033"/>
      <c r="B1266" s="1033"/>
      <c r="C1266" s="1033"/>
      <c r="D1266" s="1033"/>
      <c r="E1266" s="1033"/>
      <c r="F1266" s="1033"/>
      <c r="G1266" s="1033"/>
      <c r="H1266" s="1009">
        <v>6</v>
      </c>
      <c r="I1266" s="1065" t="s">
        <v>155</v>
      </c>
      <c r="J1266" s="1062">
        <v>1477858227</v>
      </c>
      <c r="K1266" s="1062">
        <v>1477858227</v>
      </c>
      <c r="L1266" s="1063"/>
      <c r="M1266" s="1068">
        <v>42366</v>
      </c>
      <c r="N1266" s="1089">
        <v>1477858227</v>
      </c>
      <c r="O1266" s="1089">
        <v>1477858227</v>
      </c>
      <c r="P1266" s="1089">
        <v>0</v>
      </c>
      <c r="Q1266" s="1062">
        <v>1365353160</v>
      </c>
      <c r="R1266" s="1063"/>
      <c r="S1266" s="1033"/>
      <c r="T1266" s="840" t="s">
        <v>2161</v>
      </c>
      <c r="U1266" s="866">
        <v>336377319.19999999</v>
      </c>
      <c r="V1266" s="855">
        <v>42842</v>
      </c>
      <c r="W1266" s="1065" t="s">
        <v>155</v>
      </c>
      <c r="X1266" s="1043">
        <v>1353710702.2</v>
      </c>
      <c r="Y1266" s="1044"/>
      <c r="Z1266" s="827">
        <v>0</v>
      </c>
      <c r="AA1266" s="1043">
        <v>11642457.799999952</v>
      </c>
      <c r="AB1266" s="1063"/>
      <c r="AC1266" s="1062"/>
      <c r="AD1266" s="1062"/>
      <c r="AE1266" s="1062"/>
      <c r="AF1266" s="1104"/>
      <c r="AG1266" s="1104"/>
      <c r="AH1266" s="1104"/>
      <c r="AI1266" s="1104"/>
    </row>
    <row r="1267" spans="1:35" s="4" customFormat="1" ht="15" customHeight="1">
      <c r="A1267" s="1033"/>
      <c r="B1267" s="1033"/>
      <c r="C1267" s="1033"/>
      <c r="D1267" s="1033"/>
      <c r="E1267" s="1033"/>
      <c r="F1267" s="1033"/>
      <c r="G1267" s="1033"/>
      <c r="H1267" s="1039"/>
      <c r="I1267" s="1066"/>
      <c r="J1267" s="1063"/>
      <c r="K1267" s="1063"/>
      <c r="L1267" s="1063"/>
      <c r="M1267" s="1069"/>
      <c r="N1267" s="1090"/>
      <c r="O1267" s="1090"/>
      <c r="P1267" s="1090"/>
      <c r="Q1267" s="1063"/>
      <c r="R1267" s="1063"/>
      <c r="S1267" s="1033"/>
      <c r="T1267" s="840" t="s">
        <v>2160</v>
      </c>
      <c r="U1267" s="866">
        <v>411691289</v>
      </c>
      <c r="V1267" s="855">
        <v>42978</v>
      </c>
      <c r="W1267" s="1066"/>
      <c r="X1267" s="1044"/>
      <c r="Y1267" s="1044"/>
      <c r="Z1267" s="827">
        <v>0</v>
      </c>
      <c r="AA1267" s="1044"/>
      <c r="AB1267" s="1063"/>
      <c r="AC1267" s="1063"/>
      <c r="AD1267" s="1063"/>
      <c r="AE1267" s="1063"/>
      <c r="AF1267" s="1104"/>
      <c r="AG1267" s="1104"/>
      <c r="AH1267" s="1104"/>
      <c r="AI1267" s="1104"/>
    </row>
    <row r="1268" spans="1:35" s="4" customFormat="1" ht="15" customHeight="1">
      <c r="A1268" s="1012"/>
      <c r="B1268" s="1012"/>
      <c r="C1268" s="1012"/>
      <c r="D1268" s="1012"/>
      <c r="E1268" s="1012"/>
      <c r="F1268" s="1012"/>
      <c r="G1268" s="1012"/>
      <c r="H1268" s="1039"/>
      <c r="I1268" s="1066"/>
      <c r="J1268" s="1064"/>
      <c r="K1268" s="1064"/>
      <c r="L1268" s="1064"/>
      <c r="M1268" s="1070"/>
      <c r="N1268" s="1091"/>
      <c r="O1268" s="1091"/>
      <c r="P1268" s="1091"/>
      <c r="Q1268" s="1063"/>
      <c r="R1268" s="1063"/>
      <c r="S1268" s="1033"/>
      <c r="T1268" s="840" t="s">
        <v>2159</v>
      </c>
      <c r="U1268" s="866">
        <v>605642094</v>
      </c>
      <c r="V1268" s="855">
        <v>43096</v>
      </c>
      <c r="W1268" s="1066"/>
      <c r="X1268" s="1045"/>
      <c r="Y1268" s="1045"/>
      <c r="Z1268" s="827">
        <v>0</v>
      </c>
      <c r="AA1268" s="1045"/>
      <c r="AB1268" s="1064"/>
      <c r="AC1268" s="1064"/>
      <c r="AD1268" s="1064"/>
      <c r="AE1268" s="1064"/>
      <c r="AF1268" s="1105"/>
      <c r="AG1268" s="1105"/>
      <c r="AH1268" s="1105"/>
      <c r="AI1268" s="1105"/>
    </row>
    <row r="1269" spans="1:35" ht="15" customHeight="1">
      <c r="A1269" s="1011" t="s">
        <v>2182</v>
      </c>
      <c r="B1269" s="1011" t="s">
        <v>2180</v>
      </c>
      <c r="C1269" s="1011" t="s">
        <v>70</v>
      </c>
      <c r="D1269" s="1011" t="s">
        <v>206</v>
      </c>
      <c r="E1269" s="1076" t="s">
        <v>66</v>
      </c>
      <c r="F1269" s="1011" t="s">
        <v>50</v>
      </c>
      <c r="G1269" s="1011"/>
      <c r="H1269" s="1009">
        <v>274</v>
      </c>
      <c r="I1269" s="1065" t="s">
        <v>7</v>
      </c>
      <c r="J1269" s="1062">
        <v>214195920</v>
      </c>
      <c r="K1269" s="1062">
        <v>214195920</v>
      </c>
      <c r="L1269" s="1062">
        <v>1813602565</v>
      </c>
      <c r="M1269" s="1068">
        <v>41277</v>
      </c>
      <c r="N1269" s="1092"/>
      <c r="O1269" s="1092"/>
      <c r="P1269" s="1092"/>
      <c r="Q1269" s="1043">
        <v>211071744</v>
      </c>
      <c r="R1269" s="1062">
        <v>299018304</v>
      </c>
      <c r="S1269" s="1011" t="s">
        <v>2179</v>
      </c>
      <c r="T1269" s="840" t="s">
        <v>2178</v>
      </c>
      <c r="U1269" s="866">
        <v>84428697.599999994</v>
      </c>
      <c r="V1269" s="855">
        <v>41992</v>
      </c>
      <c r="W1269" s="842" t="s">
        <v>7</v>
      </c>
      <c r="X1269" s="1043">
        <v>211071744</v>
      </c>
      <c r="Y1269" s="1043">
        <v>299018304</v>
      </c>
      <c r="Z1269" s="827">
        <v>0</v>
      </c>
      <c r="AA1269" s="1043">
        <v>3124176</v>
      </c>
      <c r="AB1269" s="1062">
        <v>0</v>
      </c>
      <c r="AC1269" s="1062">
        <v>3124176</v>
      </c>
      <c r="AD1269" s="1062">
        <v>0</v>
      </c>
      <c r="AE1269" s="1062">
        <v>3124176</v>
      </c>
      <c r="AF1269" s="1108" t="s">
        <v>2177</v>
      </c>
      <c r="AG1269" s="1103" t="s">
        <v>2176</v>
      </c>
      <c r="AH1269" s="1103" t="s">
        <v>194</v>
      </c>
      <c r="AI1269" s="1103" t="s">
        <v>1911</v>
      </c>
    </row>
    <row r="1270" spans="1:35" ht="15" customHeight="1">
      <c r="A1270" s="1033"/>
      <c r="B1270" s="1033"/>
      <c r="C1270" s="1033"/>
      <c r="D1270" s="1033"/>
      <c r="E1270" s="1076"/>
      <c r="F1270" s="1033"/>
      <c r="G1270" s="1033"/>
      <c r="H1270" s="1039"/>
      <c r="I1270" s="1066"/>
      <c r="J1270" s="1063"/>
      <c r="K1270" s="1063"/>
      <c r="L1270" s="1063"/>
      <c r="M1270" s="1069"/>
      <c r="N1270" s="1093"/>
      <c r="O1270" s="1093"/>
      <c r="P1270" s="1093"/>
      <c r="Q1270" s="1044"/>
      <c r="R1270" s="1063"/>
      <c r="S1270" s="1033"/>
      <c r="T1270" s="840" t="s">
        <v>2175</v>
      </c>
      <c r="U1270" s="866">
        <v>126643046.40000001</v>
      </c>
      <c r="V1270" s="855">
        <v>42349</v>
      </c>
      <c r="W1270" s="842" t="s">
        <v>7</v>
      </c>
      <c r="X1270" s="1044"/>
      <c r="Y1270" s="1044"/>
      <c r="Z1270" s="827">
        <v>0</v>
      </c>
      <c r="AA1270" s="1045"/>
      <c r="AB1270" s="1063"/>
      <c r="AC1270" s="1063"/>
      <c r="AD1270" s="1063"/>
      <c r="AE1270" s="1063"/>
      <c r="AF1270" s="1109"/>
      <c r="AG1270" s="1104"/>
      <c r="AH1270" s="1104"/>
      <c r="AI1270" s="1104"/>
    </row>
    <row r="1271" spans="1:35" ht="15" customHeight="1">
      <c r="A1271" s="1033"/>
      <c r="B1271" s="1033"/>
      <c r="C1271" s="1033"/>
      <c r="D1271" s="1033"/>
      <c r="E1271" s="823" t="s">
        <v>67</v>
      </c>
      <c r="F1271" s="1033"/>
      <c r="G1271" s="1033"/>
      <c r="H1271" s="795">
        <v>6</v>
      </c>
      <c r="I1271" s="792" t="s">
        <v>155</v>
      </c>
      <c r="J1271" s="797">
        <v>1477858227</v>
      </c>
      <c r="K1271" s="797">
        <v>1477858227</v>
      </c>
      <c r="L1271" s="1063"/>
      <c r="M1271" s="816">
        <v>42366</v>
      </c>
      <c r="N1271" s="862"/>
      <c r="O1271" s="858"/>
      <c r="P1271" s="858"/>
      <c r="Q1271" s="827">
        <v>841308</v>
      </c>
      <c r="R1271" s="1063"/>
      <c r="S1271" s="1033"/>
      <c r="T1271" s="840" t="s">
        <v>2174</v>
      </c>
      <c r="U1271" s="866">
        <v>841308</v>
      </c>
      <c r="V1271" s="855">
        <v>42886</v>
      </c>
      <c r="W1271" s="842" t="s">
        <v>155</v>
      </c>
      <c r="X1271" s="827">
        <v>841308</v>
      </c>
      <c r="Y1271" s="1044"/>
      <c r="Z1271" s="827">
        <v>0</v>
      </c>
      <c r="AA1271" s="827">
        <v>0</v>
      </c>
      <c r="AB1271" s="1063"/>
      <c r="AC1271" s="858">
        <v>0</v>
      </c>
      <c r="AD1271" s="858">
        <v>0</v>
      </c>
      <c r="AE1271" s="858">
        <v>0</v>
      </c>
      <c r="AF1271" s="1109"/>
      <c r="AG1271" s="1104"/>
      <c r="AH1271" s="1104"/>
      <c r="AI1271" s="1104"/>
    </row>
    <row r="1272" spans="1:35" ht="15" customHeight="1">
      <c r="A1272" s="1033"/>
      <c r="B1272" s="1033"/>
      <c r="C1272" s="1033"/>
      <c r="D1272" s="1033"/>
      <c r="E1272" s="1011" t="s">
        <v>171</v>
      </c>
      <c r="F1272" s="1033"/>
      <c r="G1272" s="1033"/>
      <c r="H1272" s="1167">
        <v>7</v>
      </c>
      <c r="I1272" s="1065" t="s">
        <v>155</v>
      </c>
      <c r="J1272" s="1062">
        <v>121548418</v>
      </c>
      <c r="K1272" s="1062">
        <v>121548418</v>
      </c>
      <c r="L1272" s="1063"/>
      <c r="M1272" s="1068">
        <v>42366</v>
      </c>
      <c r="N1272" s="1062"/>
      <c r="O1272" s="1062"/>
      <c r="P1272" s="1062"/>
      <c r="Q1272" s="1043">
        <v>87105252</v>
      </c>
      <c r="R1272" s="1063"/>
      <c r="S1272" s="1033"/>
      <c r="T1272" s="840" t="s">
        <v>2174</v>
      </c>
      <c r="U1272" s="866">
        <v>51926628</v>
      </c>
      <c r="V1272" s="1068">
        <v>42886</v>
      </c>
      <c r="W1272" s="842" t="s">
        <v>155</v>
      </c>
      <c r="X1272" s="1043">
        <v>87105252</v>
      </c>
      <c r="Y1272" s="1044"/>
      <c r="Z1272" s="827">
        <v>0</v>
      </c>
      <c r="AA1272" s="1043">
        <v>0</v>
      </c>
      <c r="AB1272" s="1063"/>
      <c r="AC1272" s="1062">
        <v>0</v>
      </c>
      <c r="AD1272" s="1062">
        <v>0</v>
      </c>
      <c r="AE1272" s="1062">
        <v>0</v>
      </c>
      <c r="AF1272" s="1109"/>
      <c r="AG1272" s="1104"/>
      <c r="AH1272" s="1104"/>
      <c r="AI1272" s="1104"/>
    </row>
    <row r="1273" spans="1:35" ht="15" customHeight="1">
      <c r="A1273" s="1012"/>
      <c r="B1273" s="1012"/>
      <c r="C1273" s="1012"/>
      <c r="D1273" s="1012"/>
      <c r="E1273" s="1012"/>
      <c r="F1273" s="1012"/>
      <c r="G1273" s="1012"/>
      <c r="H1273" s="1169"/>
      <c r="I1273" s="1067"/>
      <c r="J1273" s="1064"/>
      <c r="K1273" s="1064"/>
      <c r="L1273" s="1064"/>
      <c r="M1273" s="1070"/>
      <c r="N1273" s="1064"/>
      <c r="O1273" s="1064"/>
      <c r="P1273" s="1064"/>
      <c r="Q1273" s="1045"/>
      <c r="R1273" s="1064"/>
      <c r="S1273" s="1012"/>
      <c r="T1273" s="840" t="s">
        <v>2173</v>
      </c>
      <c r="U1273" s="866">
        <v>35178624</v>
      </c>
      <c r="V1273" s="1070"/>
      <c r="W1273" s="842" t="s">
        <v>155</v>
      </c>
      <c r="X1273" s="1045"/>
      <c r="Y1273" s="1045"/>
      <c r="Z1273" s="827">
        <v>0</v>
      </c>
      <c r="AA1273" s="1045"/>
      <c r="AB1273" s="1064"/>
      <c r="AC1273" s="1064"/>
      <c r="AD1273" s="1064"/>
      <c r="AE1273" s="1064"/>
      <c r="AF1273" s="1110"/>
      <c r="AG1273" s="1105"/>
      <c r="AH1273" s="1105"/>
      <c r="AI1273" s="1105"/>
    </row>
    <row r="1274" spans="1:35" ht="15" customHeight="1">
      <c r="A1274" s="1076" t="s">
        <v>1791</v>
      </c>
      <c r="B1274" s="1076" t="s">
        <v>1793</v>
      </c>
      <c r="C1274" s="1076" t="s">
        <v>71</v>
      </c>
      <c r="D1274" s="1076" t="s">
        <v>1221</v>
      </c>
      <c r="E1274" s="1076" t="s">
        <v>489</v>
      </c>
      <c r="F1274" s="1076" t="s">
        <v>49</v>
      </c>
      <c r="G1274" s="1076" t="s">
        <v>1772</v>
      </c>
      <c r="H1274" s="1209">
        <v>293</v>
      </c>
      <c r="I1274" s="1123" t="s">
        <v>137</v>
      </c>
      <c r="J1274" s="1119">
        <v>1100000000</v>
      </c>
      <c r="K1274" s="1119">
        <v>1999935078</v>
      </c>
      <c r="L1274" s="1119">
        <v>3076113020</v>
      </c>
      <c r="M1274" s="1171">
        <v>41543</v>
      </c>
      <c r="N1274" s="1196">
        <v>1999935078</v>
      </c>
      <c r="O1274" s="1196">
        <v>1100000000</v>
      </c>
      <c r="P1274" s="1196">
        <v>0</v>
      </c>
      <c r="Q1274" s="1084">
        <v>1087898038.3199999</v>
      </c>
      <c r="R1274" s="1119">
        <v>3042270291</v>
      </c>
      <c r="S1274" s="1076" t="s">
        <v>1794</v>
      </c>
      <c r="T1274" s="1123" t="s">
        <v>1795</v>
      </c>
      <c r="U1274" s="866">
        <v>267010256.09</v>
      </c>
      <c r="V1274" s="1171">
        <v>41976</v>
      </c>
      <c r="W1274" s="842" t="s">
        <v>7</v>
      </c>
      <c r="X1274" s="1084">
        <v>1833020464.4299996</v>
      </c>
      <c r="Y1274" s="1084">
        <v>2819380578.1899996</v>
      </c>
      <c r="Z1274" s="827">
        <v>0</v>
      </c>
      <c r="AA1274" s="1084">
        <v>91806017.580000028</v>
      </c>
      <c r="AB1274" s="1119"/>
      <c r="AC1274" s="1119">
        <v>12101961.680000067</v>
      </c>
      <c r="AD1274" s="1119">
        <v>207016800.45571423</v>
      </c>
      <c r="AE1274" s="1119"/>
      <c r="AF1274" s="1203" t="s">
        <v>1800</v>
      </c>
      <c r="AG1274" s="1204" t="s">
        <v>1767</v>
      </c>
      <c r="AH1274" s="1204" t="s">
        <v>194</v>
      </c>
      <c r="AI1274" s="1204" t="s">
        <v>1619</v>
      </c>
    </row>
    <row r="1275" spans="1:35" ht="15" customHeight="1">
      <c r="A1275" s="1076"/>
      <c r="B1275" s="1076"/>
      <c r="C1275" s="1076"/>
      <c r="D1275" s="1076"/>
      <c r="E1275" s="1076"/>
      <c r="F1275" s="1076"/>
      <c r="G1275" s="1076"/>
      <c r="H1275" s="1209"/>
      <c r="I1275" s="1123"/>
      <c r="J1275" s="1119"/>
      <c r="K1275" s="1119"/>
      <c r="L1275" s="1119"/>
      <c r="M1275" s="1171"/>
      <c r="N1275" s="1196"/>
      <c r="O1275" s="1196"/>
      <c r="P1275" s="1196"/>
      <c r="Q1275" s="1084"/>
      <c r="R1275" s="1119"/>
      <c r="S1275" s="1076"/>
      <c r="T1275" s="1123"/>
      <c r="U1275" s="866">
        <v>326369411.38999999</v>
      </c>
      <c r="V1275" s="1171"/>
      <c r="W1275" s="842" t="s">
        <v>137</v>
      </c>
      <c r="X1275" s="1084"/>
      <c r="Y1275" s="1084"/>
      <c r="Z1275" s="827">
        <v>0</v>
      </c>
      <c r="AA1275" s="1084"/>
      <c r="AB1275" s="1119"/>
      <c r="AC1275" s="1119"/>
      <c r="AD1275" s="1119"/>
      <c r="AE1275" s="1119"/>
      <c r="AF1275" s="1203"/>
      <c r="AG1275" s="1204"/>
      <c r="AH1275" s="1204"/>
      <c r="AI1275" s="1204"/>
    </row>
    <row r="1276" spans="1:35" ht="15" customHeight="1">
      <c r="A1276" s="1076"/>
      <c r="B1276" s="1076"/>
      <c r="C1276" s="1076"/>
      <c r="D1276" s="1076"/>
      <c r="E1276" s="1076"/>
      <c r="F1276" s="1076"/>
      <c r="G1276" s="1076"/>
      <c r="H1276" s="1209"/>
      <c r="I1276" s="1123"/>
      <c r="J1276" s="1119"/>
      <c r="K1276" s="1119"/>
      <c r="L1276" s="1119"/>
      <c r="M1276" s="1171"/>
      <c r="N1276" s="1196"/>
      <c r="O1276" s="1196"/>
      <c r="P1276" s="1196"/>
      <c r="Q1276" s="1084"/>
      <c r="R1276" s="1119"/>
      <c r="S1276" s="1076"/>
      <c r="T1276" s="1123" t="s">
        <v>1796</v>
      </c>
      <c r="U1276" s="866">
        <v>146010900.65000001</v>
      </c>
      <c r="V1276" s="1171">
        <v>42027</v>
      </c>
      <c r="W1276" s="842" t="s">
        <v>7</v>
      </c>
      <c r="X1276" s="1084"/>
      <c r="Y1276" s="1084"/>
      <c r="Z1276" s="827">
        <v>0</v>
      </c>
      <c r="AA1276" s="1084"/>
      <c r="AB1276" s="1119"/>
      <c r="AC1276" s="1119"/>
      <c r="AD1276" s="1119"/>
      <c r="AE1276" s="1119"/>
      <c r="AF1276" s="1203"/>
      <c r="AG1276" s="1204"/>
      <c r="AH1276" s="1204"/>
      <c r="AI1276" s="1204"/>
    </row>
    <row r="1277" spans="1:35" ht="15" customHeight="1">
      <c r="A1277" s="1076"/>
      <c r="B1277" s="1076"/>
      <c r="C1277" s="1076"/>
      <c r="D1277" s="1076"/>
      <c r="E1277" s="1076"/>
      <c r="F1277" s="1076"/>
      <c r="G1277" s="1076"/>
      <c r="H1277" s="1209"/>
      <c r="I1277" s="1123"/>
      <c r="J1277" s="1119"/>
      <c r="K1277" s="1119"/>
      <c r="L1277" s="1119"/>
      <c r="M1277" s="1171"/>
      <c r="N1277" s="1196"/>
      <c r="O1277" s="1196"/>
      <c r="P1277" s="1196"/>
      <c r="Q1277" s="1084"/>
      <c r="R1277" s="1119"/>
      <c r="S1277" s="1076"/>
      <c r="T1277" s="1123"/>
      <c r="U1277" s="866">
        <v>178470641.53999999</v>
      </c>
      <c r="V1277" s="1171"/>
      <c r="W1277" s="842" t="s">
        <v>137</v>
      </c>
      <c r="X1277" s="1084"/>
      <c r="Y1277" s="1084"/>
      <c r="Z1277" s="827">
        <v>0</v>
      </c>
      <c r="AA1277" s="1084"/>
      <c r="AB1277" s="1119"/>
      <c r="AC1277" s="1119"/>
      <c r="AD1277" s="1119"/>
      <c r="AE1277" s="1119"/>
      <c r="AF1277" s="1203"/>
      <c r="AG1277" s="1204"/>
      <c r="AH1277" s="1204"/>
      <c r="AI1277" s="1204"/>
    </row>
    <row r="1278" spans="1:35" ht="15" customHeight="1">
      <c r="A1278" s="1076"/>
      <c r="B1278" s="1076"/>
      <c r="C1278" s="1076"/>
      <c r="D1278" s="1076"/>
      <c r="E1278" s="1076"/>
      <c r="F1278" s="1076"/>
      <c r="G1278" s="1076"/>
      <c r="H1278" s="1209"/>
      <c r="I1278" s="1123"/>
      <c r="J1278" s="1119"/>
      <c r="K1278" s="1119"/>
      <c r="L1278" s="1119"/>
      <c r="M1278" s="1171"/>
      <c r="N1278" s="1196"/>
      <c r="O1278" s="1196"/>
      <c r="P1278" s="1196"/>
      <c r="Q1278" s="1084"/>
      <c r="R1278" s="1119"/>
      <c r="S1278" s="1076"/>
      <c r="T1278" s="1123" t="s">
        <v>1797</v>
      </c>
      <c r="U1278" s="866">
        <v>167934603.06999999</v>
      </c>
      <c r="V1278" s="1171">
        <v>42135</v>
      </c>
      <c r="W1278" s="842" t="s">
        <v>7</v>
      </c>
      <c r="X1278" s="1084"/>
      <c r="Y1278" s="1084"/>
      <c r="Z1278" s="827">
        <v>0</v>
      </c>
      <c r="AA1278" s="1084"/>
      <c r="AB1278" s="1119"/>
      <c r="AC1278" s="1119"/>
      <c r="AD1278" s="1119"/>
      <c r="AE1278" s="1119"/>
      <c r="AF1278" s="1203"/>
      <c r="AG1278" s="1204"/>
      <c r="AH1278" s="1204"/>
      <c r="AI1278" s="1204"/>
    </row>
    <row r="1279" spans="1:35" ht="15" customHeight="1">
      <c r="A1279" s="1076"/>
      <c r="B1279" s="1076"/>
      <c r="C1279" s="1076"/>
      <c r="D1279" s="1076"/>
      <c r="E1279" s="1076"/>
      <c r="F1279" s="1076"/>
      <c r="G1279" s="1076"/>
      <c r="H1279" s="1209"/>
      <c r="I1279" s="1123"/>
      <c r="J1279" s="1119"/>
      <c r="K1279" s="1119"/>
      <c r="L1279" s="1119"/>
      <c r="M1279" s="1171"/>
      <c r="N1279" s="1196"/>
      <c r="O1279" s="1196"/>
      <c r="P1279" s="1196"/>
      <c r="Q1279" s="1084"/>
      <c r="R1279" s="1119"/>
      <c r="S1279" s="1076"/>
      <c r="T1279" s="1123"/>
      <c r="U1279" s="866">
        <v>205268210.88</v>
      </c>
      <c r="V1279" s="1171"/>
      <c r="W1279" s="842" t="s">
        <v>137</v>
      </c>
      <c r="X1279" s="1084"/>
      <c r="Y1279" s="1084"/>
      <c r="Z1279" s="827">
        <v>0</v>
      </c>
      <c r="AA1279" s="1084"/>
      <c r="AB1279" s="1119"/>
      <c r="AC1279" s="1119"/>
      <c r="AD1279" s="1119"/>
      <c r="AE1279" s="1119"/>
      <c r="AF1279" s="1203"/>
      <c r="AG1279" s="1204"/>
      <c r="AH1279" s="1204"/>
      <c r="AI1279" s="1204"/>
    </row>
    <row r="1280" spans="1:35" ht="15" customHeight="1">
      <c r="A1280" s="1076"/>
      <c r="B1280" s="1076"/>
      <c r="C1280" s="1076"/>
      <c r="D1280" s="1076"/>
      <c r="E1280" s="1076"/>
      <c r="F1280" s="1076"/>
      <c r="G1280" s="1076"/>
      <c r="H1280" s="1209"/>
      <c r="I1280" s="1123"/>
      <c r="J1280" s="1119"/>
      <c r="K1280" s="1119"/>
      <c r="L1280" s="1119"/>
      <c r="M1280" s="1171"/>
      <c r="N1280" s="1196"/>
      <c r="O1280" s="1196"/>
      <c r="P1280" s="1196"/>
      <c r="Q1280" s="1084"/>
      <c r="R1280" s="1119"/>
      <c r="S1280" s="1076"/>
      <c r="T1280" s="1123" t="s">
        <v>1798</v>
      </c>
      <c r="U1280" s="866">
        <v>100317047.06999999</v>
      </c>
      <c r="V1280" s="1171">
        <v>42214</v>
      </c>
      <c r="W1280" s="842" t="s">
        <v>7</v>
      </c>
      <c r="X1280" s="1084"/>
      <c r="Y1280" s="1084"/>
      <c r="Z1280" s="827">
        <v>0</v>
      </c>
      <c r="AA1280" s="1084"/>
      <c r="AB1280" s="1119"/>
      <c r="AC1280" s="1119"/>
      <c r="AD1280" s="1119"/>
      <c r="AE1280" s="1119"/>
      <c r="AF1280" s="1203"/>
      <c r="AG1280" s="1204"/>
      <c r="AH1280" s="1204"/>
      <c r="AI1280" s="1204"/>
    </row>
    <row r="1281" spans="1:35" ht="15" customHeight="1">
      <c r="A1281" s="1076"/>
      <c r="B1281" s="1076"/>
      <c r="C1281" s="1076"/>
      <c r="D1281" s="1076"/>
      <c r="E1281" s="1076"/>
      <c r="F1281" s="1076"/>
      <c r="G1281" s="1076"/>
      <c r="H1281" s="1209"/>
      <c r="I1281" s="1123" t="s">
        <v>7</v>
      </c>
      <c r="J1281" s="1119">
        <v>899935078</v>
      </c>
      <c r="K1281" s="1119"/>
      <c r="L1281" s="1119"/>
      <c r="M1281" s="1171"/>
      <c r="N1281" s="1196"/>
      <c r="O1281" s="1196">
        <v>899935078</v>
      </c>
      <c r="P1281" s="1196">
        <v>0</v>
      </c>
      <c r="Q1281" s="1084">
        <v>890034187.24000001</v>
      </c>
      <c r="R1281" s="1119"/>
      <c r="S1281" s="1076"/>
      <c r="T1281" s="1123"/>
      <c r="U1281" s="866">
        <v>122618569.36</v>
      </c>
      <c r="V1281" s="1171"/>
      <c r="W1281" s="842" t="s">
        <v>137</v>
      </c>
      <c r="X1281" s="1084"/>
      <c r="Y1281" s="1084"/>
      <c r="Z1281" s="827">
        <v>0</v>
      </c>
      <c r="AA1281" s="1084">
        <v>75108595.989999995</v>
      </c>
      <c r="AB1281" s="1119"/>
      <c r="AC1281" s="1119">
        <v>9900890.7599999905</v>
      </c>
      <c r="AD1281" s="1119"/>
      <c r="AE1281" s="1119"/>
      <c r="AF1281" s="1203"/>
      <c r="AG1281" s="1204"/>
      <c r="AH1281" s="1204"/>
      <c r="AI1281" s="1204"/>
    </row>
    <row r="1282" spans="1:35" ht="15" customHeight="1">
      <c r="A1282" s="1076"/>
      <c r="B1282" s="1076"/>
      <c r="C1282" s="1076"/>
      <c r="D1282" s="1076"/>
      <c r="E1282" s="1076"/>
      <c r="F1282" s="1076"/>
      <c r="G1282" s="1076"/>
      <c r="H1282" s="1209"/>
      <c r="I1282" s="1123"/>
      <c r="J1282" s="1119"/>
      <c r="K1282" s="1119"/>
      <c r="L1282" s="1119"/>
      <c r="M1282" s="1171"/>
      <c r="N1282" s="1196"/>
      <c r="O1282" s="1196"/>
      <c r="P1282" s="1196"/>
      <c r="Q1282" s="1084"/>
      <c r="R1282" s="1119"/>
      <c r="S1282" s="1076"/>
      <c r="T1282" s="1123" t="s">
        <v>1799</v>
      </c>
      <c r="U1282" s="866">
        <v>44943643.590000004</v>
      </c>
      <c r="V1282" s="1171">
        <v>42293</v>
      </c>
      <c r="W1282" s="842" t="s">
        <v>7</v>
      </c>
      <c r="X1282" s="1084"/>
      <c r="Y1282" s="1084"/>
      <c r="Z1282" s="827">
        <v>0</v>
      </c>
      <c r="AA1282" s="1084"/>
      <c r="AB1282" s="1119"/>
      <c r="AC1282" s="1119"/>
      <c r="AD1282" s="1119"/>
      <c r="AE1282" s="1119"/>
      <c r="AF1282" s="1203"/>
      <c r="AG1282" s="1204"/>
      <c r="AH1282" s="1204"/>
      <c r="AI1282" s="1204"/>
    </row>
    <row r="1283" spans="1:35" ht="15" customHeight="1">
      <c r="A1283" s="1076"/>
      <c r="B1283" s="1076"/>
      <c r="C1283" s="1076"/>
      <c r="D1283" s="1076"/>
      <c r="E1283" s="1076"/>
      <c r="F1283" s="1076"/>
      <c r="G1283" s="1076"/>
      <c r="H1283" s="1209"/>
      <c r="I1283" s="1123"/>
      <c r="J1283" s="1119"/>
      <c r="K1283" s="1119"/>
      <c r="L1283" s="1119"/>
      <c r="M1283" s="1171"/>
      <c r="N1283" s="1196"/>
      <c r="O1283" s="1196"/>
      <c r="P1283" s="1196"/>
      <c r="Q1283" s="1084"/>
      <c r="R1283" s="1119"/>
      <c r="S1283" s="1076"/>
      <c r="T1283" s="1123"/>
      <c r="U1283" s="866">
        <v>54935082.710000001</v>
      </c>
      <c r="V1283" s="1171"/>
      <c r="W1283" s="842" t="s">
        <v>137</v>
      </c>
      <c r="X1283" s="1084"/>
      <c r="Y1283" s="1084"/>
      <c r="Z1283" s="827">
        <v>0</v>
      </c>
      <c r="AA1283" s="1084"/>
      <c r="AB1283" s="1119"/>
      <c r="AC1283" s="1119"/>
      <c r="AD1283" s="1119"/>
      <c r="AE1283" s="1119"/>
      <c r="AF1283" s="1203"/>
      <c r="AG1283" s="1204"/>
      <c r="AH1283" s="1204"/>
      <c r="AI1283" s="1204"/>
    </row>
    <row r="1284" spans="1:35" ht="15" customHeight="1">
      <c r="A1284" s="1076"/>
      <c r="B1284" s="1076"/>
      <c r="C1284" s="1076"/>
      <c r="D1284" s="1076"/>
      <c r="E1284" s="1076"/>
      <c r="F1284" s="1076"/>
      <c r="G1284" s="1076"/>
      <c r="H1284" s="1209"/>
      <c r="I1284" s="1123"/>
      <c r="J1284" s="1119"/>
      <c r="K1284" s="1119"/>
      <c r="L1284" s="1119"/>
      <c r="M1284" s="1171"/>
      <c r="N1284" s="1196"/>
      <c r="O1284" s="1196"/>
      <c r="P1284" s="1196"/>
      <c r="Q1284" s="1084"/>
      <c r="R1284" s="1119"/>
      <c r="S1284" s="1076"/>
      <c r="T1284" s="1123"/>
      <c r="U1284" s="866">
        <v>98610031.540000007</v>
      </c>
      <c r="V1284" s="1171">
        <v>42446</v>
      </c>
      <c r="W1284" s="842" t="s">
        <v>7</v>
      </c>
      <c r="X1284" s="1084"/>
      <c r="Y1284" s="1084"/>
      <c r="Z1284" s="827">
        <v>0</v>
      </c>
      <c r="AA1284" s="1084"/>
      <c r="AB1284" s="1119"/>
      <c r="AC1284" s="1119"/>
      <c r="AD1284" s="1119"/>
      <c r="AE1284" s="1119"/>
      <c r="AF1284" s="1203"/>
      <c r="AG1284" s="1204"/>
      <c r="AH1284" s="1204"/>
      <c r="AI1284" s="1204"/>
    </row>
    <row r="1285" spans="1:35" ht="15" customHeight="1">
      <c r="A1285" s="1076"/>
      <c r="B1285" s="1076"/>
      <c r="C1285" s="1076"/>
      <c r="D1285" s="1076"/>
      <c r="E1285" s="1076"/>
      <c r="F1285" s="1076"/>
      <c r="G1285" s="1076"/>
      <c r="H1285" s="1209"/>
      <c r="I1285" s="1123"/>
      <c r="J1285" s="1119"/>
      <c r="K1285" s="1119"/>
      <c r="L1285" s="1119"/>
      <c r="M1285" s="1171"/>
      <c r="N1285" s="1196"/>
      <c r="O1285" s="1196"/>
      <c r="P1285" s="1196"/>
      <c r="Q1285" s="1084"/>
      <c r="R1285" s="1119"/>
      <c r="S1285" s="1076"/>
      <c r="T1285" s="1123"/>
      <c r="U1285" s="866">
        <v>120532066.54000001</v>
      </c>
      <c r="V1285" s="1171"/>
      <c r="W1285" s="842" t="s">
        <v>137</v>
      </c>
      <c r="X1285" s="1084"/>
      <c r="Y1285" s="1084"/>
      <c r="Z1285" s="827">
        <v>0</v>
      </c>
      <c r="AA1285" s="1084"/>
      <c r="AB1285" s="1119"/>
      <c r="AC1285" s="1119"/>
      <c r="AD1285" s="1119"/>
      <c r="AE1285" s="1119"/>
      <c r="AF1285" s="1203"/>
      <c r="AG1285" s="1204"/>
      <c r="AH1285" s="1204"/>
      <c r="AI1285" s="1204"/>
    </row>
    <row r="1286" spans="1:35" ht="15" customHeight="1">
      <c r="A1286" s="1076"/>
      <c r="B1286" s="1076"/>
      <c r="C1286" s="1076"/>
      <c r="D1286" s="1076"/>
      <c r="E1286" s="1076"/>
      <c r="F1286" s="1076"/>
      <c r="G1286" s="1076"/>
      <c r="H1286" s="1209"/>
      <c r="I1286" s="1123"/>
      <c r="J1286" s="1119"/>
      <c r="K1286" s="1119"/>
      <c r="L1286" s="1119"/>
      <c r="M1286" s="1171"/>
      <c r="N1286" s="1196"/>
      <c r="O1286" s="1196"/>
      <c r="P1286" s="1196"/>
      <c r="Q1286" s="1084"/>
      <c r="R1286" s="1119"/>
      <c r="S1286" s="1076"/>
      <c r="T1286" s="1123"/>
      <c r="U1286" s="866"/>
      <c r="V1286" s="1171"/>
      <c r="W1286" s="842"/>
      <c r="X1286" s="1084"/>
      <c r="Y1286" s="1084"/>
      <c r="Z1286" s="827">
        <v>0</v>
      </c>
      <c r="AA1286" s="1084"/>
      <c r="AB1286" s="1119"/>
      <c r="AC1286" s="1119"/>
      <c r="AD1286" s="1119"/>
      <c r="AE1286" s="1119"/>
      <c r="AF1286" s="1203"/>
      <c r="AG1286" s="1204"/>
      <c r="AH1286" s="1204"/>
      <c r="AI1286" s="1204"/>
    </row>
    <row r="1287" spans="1:35" ht="15" customHeight="1">
      <c r="A1287" s="1076"/>
      <c r="B1287" s="1076"/>
      <c r="C1287" s="1076"/>
      <c r="D1287" s="1076"/>
      <c r="E1287" s="1076"/>
      <c r="F1287" s="1076"/>
      <c r="G1287" s="1076"/>
      <c r="H1287" s="1209"/>
      <c r="I1287" s="1123"/>
      <c r="J1287" s="1119"/>
      <c r="K1287" s="1119"/>
      <c r="L1287" s="1119"/>
      <c r="M1287" s="1171"/>
      <c r="N1287" s="1196"/>
      <c r="O1287" s="1196"/>
      <c r="P1287" s="1196"/>
      <c r="Q1287" s="1084"/>
      <c r="R1287" s="1119"/>
      <c r="S1287" s="1076"/>
      <c r="T1287" s="1123"/>
      <c r="U1287" s="866"/>
      <c r="V1287" s="1171"/>
      <c r="W1287" s="842"/>
      <c r="X1287" s="1084"/>
      <c r="Y1287" s="1084"/>
      <c r="Z1287" s="827">
        <v>0</v>
      </c>
      <c r="AA1287" s="1084"/>
      <c r="AB1287" s="1119"/>
      <c r="AC1287" s="1119"/>
      <c r="AD1287" s="1119"/>
      <c r="AE1287" s="1119"/>
      <c r="AF1287" s="1203"/>
      <c r="AG1287" s="1204"/>
      <c r="AH1287" s="1204"/>
      <c r="AI1287" s="1204"/>
    </row>
    <row r="1288" spans="1:35" ht="15" customHeight="1">
      <c r="A1288" s="1076"/>
      <c r="B1288" s="1076"/>
      <c r="C1288" s="1076"/>
      <c r="D1288" s="1076"/>
      <c r="E1288" s="1076"/>
      <c r="F1288" s="1076"/>
      <c r="G1288" s="1076"/>
      <c r="H1288" s="1209">
        <v>2</v>
      </c>
      <c r="I1288" s="1123" t="s">
        <v>130</v>
      </c>
      <c r="J1288" s="1119">
        <v>1076177942</v>
      </c>
      <c r="K1288" s="1119">
        <v>1076177942</v>
      </c>
      <c r="L1288" s="1119"/>
      <c r="M1288" s="1171">
        <v>41543</v>
      </c>
      <c r="N1288" s="1196">
        <v>1076177942</v>
      </c>
      <c r="O1288" s="1196">
        <v>1076177942</v>
      </c>
      <c r="P1288" s="1119">
        <v>0</v>
      </c>
      <c r="Q1288" s="1084">
        <v>1064338065.4400001</v>
      </c>
      <c r="R1288" s="1119"/>
      <c r="S1288" s="1076"/>
      <c r="T1288" s="840" t="s">
        <v>1795</v>
      </c>
      <c r="U1288" s="866">
        <v>319301419.51999998</v>
      </c>
      <c r="V1288" s="855">
        <v>41976</v>
      </c>
      <c r="W1288" s="842" t="s">
        <v>130</v>
      </c>
      <c r="X1288" s="1084">
        <v>986360113.75999987</v>
      </c>
      <c r="Y1288" s="1084"/>
      <c r="Z1288" s="827">
        <v>0</v>
      </c>
      <c r="AA1288" s="1084">
        <v>89817828.240000129</v>
      </c>
      <c r="AB1288" s="1119"/>
      <c r="AC1288" s="1119">
        <v>11839876.559999943</v>
      </c>
      <c r="AD1288" s="1119">
        <v>111397073.20000005</v>
      </c>
      <c r="AE1288" s="1119"/>
      <c r="AF1288" s="1203"/>
      <c r="AG1288" s="1204"/>
      <c r="AH1288" s="1204"/>
      <c r="AI1288" s="1204"/>
    </row>
    <row r="1289" spans="1:35" ht="15" customHeight="1">
      <c r="A1289" s="1076"/>
      <c r="B1289" s="1076"/>
      <c r="C1289" s="1076"/>
      <c r="D1289" s="1076"/>
      <c r="E1289" s="1076"/>
      <c r="F1289" s="1076"/>
      <c r="G1289" s="1076"/>
      <c r="H1289" s="1209"/>
      <c r="I1289" s="1123"/>
      <c r="J1289" s="1119"/>
      <c r="K1289" s="1119"/>
      <c r="L1289" s="1119"/>
      <c r="M1289" s="1171"/>
      <c r="N1289" s="1196"/>
      <c r="O1289" s="1196"/>
      <c r="P1289" s="1119"/>
      <c r="Q1289" s="1084"/>
      <c r="R1289" s="1119"/>
      <c r="S1289" s="1076"/>
      <c r="T1289" s="840" t="s">
        <v>1796</v>
      </c>
      <c r="U1289" s="866">
        <v>174605607.00999999</v>
      </c>
      <c r="V1289" s="855">
        <v>42027</v>
      </c>
      <c r="W1289" s="842" t="s">
        <v>130</v>
      </c>
      <c r="X1289" s="1084"/>
      <c r="Y1289" s="1084"/>
      <c r="Z1289" s="827">
        <v>0</v>
      </c>
      <c r="AA1289" s="1084"/>
      <c r="AB1289" s="1119"/>
      <c r="AC1289" s="1119"/>
      <c r="AD1289" s="1119"/>
      <c r="AE1289" s="1119"/>
      <c r="AF1289" s="1203"/>
      <c r="AG1289" s="1204"/>
      <c r="AH1289" s="1204"/>
      <c r="AI1289" s="1204"/>
    </row>
    <row r="1290" spans="1:35" ht="15" customHeight="1">
      <c r="A1290" s="1076"/>
      <c r="B1290" s="1076"/>
      <c r="C1290" s="1076"/>
      <c r="D1290" s="1076"/>
      <c r="E1290" s="1076"/>
      <c r="F1290" s="1076"/>
      <c r="G1290" s="1076"/>
      <c r="H1290" s="1209"/>
      <c r="I1290" s="1123"/>
      <c r="J1290" s="1119"/>
      <c r="K1290" s="1119"/>
      <c r="L1290" s="1119"/>
      <c r="M1290" s="1171"/>
      <c r="N1290" s="1196"/>
      <c r="O1290" s="1196"/>
      <c r="P1290" s="1119"/>
      <c r="Q1290" s="1084"/>
      <c r="R1290" s="1119"/>
      <c r="S1290" s="1076"/>
      <c r="T1290" s="840" t="s">
        <v>1797</v>
      </c>
      <c r="U1290" s="866">
        <v>200822837.05000001</v>
      </c>
      <c r="V1290" s="855">
        <v>42135</v>
      </c>
      <c r="W1290" s="842" t="s">
        <v>130</v>
      </c>
      <c r="X1290" s="1084"/>
      <c r="Y1290" s="1084"/>
      <c r="Z1290" s="827">
        <v>0</v>
      </c>
      <c r="AA1290" s="1084"/>
      <c r="AB1290" s="1119"/>
      <c r="AC1290" s="1119"/>
      <c r="AD1290" s="1119"/>
      <c r="AE1290" s="1119"/>
      <c r="AF1290" s="1203"/>
      <c r="AG1290" s="1204"/>
      <c r="AH1290" s="1204"/>
      <c r="AI1290" s="1204"/>
    </row>
    <row r="1291" spans="1:35" ht="15" customHeight="1">
      <c r="A1291" s="1076"/>
      <c r="B1291" s="1076"/>
      <c r="C1291" s="1076"/>
      <c r="D1291" s="1076"/>
      <c r="E1291" s="1076"/>
      <c r="F1291" s="1076"/>
      <c r="G1291" s="1076"/>
      <c r="H1291" s="1209"/>
      <c r="I1291" s="1123"/>
      <c r="J1291" s="1119"/>
      <c r="K1291" s="1119"/>
      <c r="L1291" s="1119"/>
      <c r="M1291" s="1171"/>
      <c r="N1291" s="1196"/>
      <c r="O1291" s="1196"/>
      <c r="P1291" s="1119"/>
      <c r="Q1291" s="1084"/>
      <c r="R1291" s="1119"/>
      <c r="S1291" s="1076"/>
      <c r="T1291" s="840" t="s">
        <v>1798</v>
      </c>
      <c r="U1291" s="866">
        <v>119963090.56999999</v>
      </c>
      <c r="V1291" s="855">
        <v>42214</v>
      </c>
      <c r="W1291" s="842" t="s">
        <v>130</v>
      </c>
      <c r="X1291" s="1084"/>
      <c r="Y1291" s="1084"/>
      <c r="Z1291" s="827">
        <v>0</v>
      </c>
      <c r="AA1291" s="1084"/>
      <c r="AB1291" s="1119"/>
      <c r="AC1291" s="1119"/>
      <c r="AD1291" s="1119"/>
      <c r="AE1291" s="1119"/>
      <c r="AF1291" s="1203"/>
      <c r="AG1291" s="1204"/>
      <c r="AH1291" s="1204"/>
      <c r="AI1291" s="1204"/>
    </row>
    <row r="1292" spans="1:35" ht="15" customHeight="1">
      <c r="A1292" s="1076"/>
      <c r="B1292" s="1076"/>
      <c r="C1292" s="1076"/>
      <c r="D1292" s="1076"/>
      <c r="E1292" s="1076"/>
      <c r="F1292" s="1076"/>
      <c r="G1292" s="1076"/>
      <c r="H1292" s="1209"/>
      <c r="I1292" s="1123"/>
      <c r="J1292" s="1119"/>
      <c r="K1292" s="1119"/>
      <c r="L1292" s="1119"/>
      <c r="M1292" s="1171"/>
      <c r="N1292" s="1196"/>
      <c r="O1292" s="1196"/>
      <c r="P1292" s="1119"/>
      <c r="Q1292" s="1084"/>
      <c r="R1292" s="1119"/>
      <c r="S1292" s="1076"/>
      <c r="T1292" s="840" t="s">
        <v>1799</v>
      </c>
      <c r="U1292" s="866">
        <v>53745385.689999998</v>
      </c>
      <c r="V1292" s="855">
        <v>42293</v>
      </c>
      <c r="W1292" s="842" t="s">
        <v>130</v>
      </c>
      <c r="X1292" s="1084"/>
      <c r="Y1292" s="1084"/>
      <c r="Z1292" s="827">
        <v>0</v>
      </c>
      <c r="AA1292" s="1084"/>
      <c r="AB1292" s="1119"/>
      <c r="AC1292" s="1119"/>
      <c r="AD1292" s="1119"/>
      <c r="AE1292" s="1119"/>
      <c r="AF1292" s="1203"/>
      <c r="AG1292" s="1204"/>
      <c r="AH1292" s="1204"/>
      <c r="AI1292" s="1204"/>
    </row>
    <row r="1293" spans="1:35" ht="15" customHeight="1">
      <c r="A1293" s="1076"/>
      <c r="B1293" s="1076"/>
      <c r="C1293" s="1076"/>
      <c r="D1293" s="1076"/>
      <c r="E1293" s="1076"/>
      <c r="F1293" s="1076"/>
      <c r="G1293" s="1076"/>
      <c r="H1293" s="1209"/>
      <c r="I1293" s="1123"/>
      <c r="J1293" s="1119"/>
      <c r="K1293" s="1119"/>
      <c r="L1293" s="1119"/>
      <c r="M1293" s="1171"/>
      <c r="N1293" s="1196"/>
      <c r="O1293" s="1196"/>
      <c r="P1293" s="1119"/>
      <c r="Q1293" s="1084"/>
      <c r="R1293" s="1119"/>
      <c r="S1293" s="1076"/>
      <c r="T1293" s="840"/>
      <c r="U1293" s="866">
        <v>117921773.92</v>
      </c>
      <c r="V1293" s="855">
        <v>42446</v>
      </c>
      <c r="W1293" s="842" t="s">
        <v>130</v>
      </c>
      <c r="X1293" s="1084"/>
      <c r="Y1293" s="1084"/>
      <c r="Z1293" s="827">
        <v>1.4285892248153687E-3</v>
      </c>
      <c r="AA1293" s="1084"/>
      <c r="AB1293" s="1119"/>
      <c r="AC1293" s="1119"/>
      <c r="AD1293" s="1119"/>
      <c r="AE1293" s="1119"/>
      <c r="AF1293" s="1203"/>
      <c r="AG1293" s="1204"/>
      <c r="AH1293" s="1204"/>
      <c r="AI1293" s="1204"/>
    </row>
    <row r="1294" spans="1:35" ht="15" customHeight="1">
      <c r="A1294" s="1076"/>
      <c r="B1294" s="1076"/>
      <c r="C1294" s="1076"/>
      <c r="D1294" s="1076"/>
      <c r="E1294" s="1076"/>
      <c r="F1294" s="1076"/>
      <c r="G1294" s="1076"/>
      <c r="H1294" s="1209"/>
      <c r="I1294" s="1123"/>
      <c r="J1294" s="1119"/>
      <c r="K1294" s="1119"/>
      <c r="L1294" s="1119"/>
      <c r="M1294" s="1171"/>
      <c r="N1294" s="1196"/>
      <c r="O1294" s="1196"/>
      <c r="P1294" s="1119"/>
      <c r="Q1294" s="1084"/>
      <c r="R1294" s="1119"/>
      <c r="S1294" s="1076"/>
      <c r="T1294" s="840"/>
      <c r="U1294" s="866"/>
      <c r="V1294" s="855"/>
      <c r="W1294" s="842"/>
      <c r="X1294" s="1084"/>
      <c r="Y1294" s="1084"/>
      <c r="Z1294" s="827">
        <v>0</v>
      </c>
      <c r="AA1294" s="1084"/>
      <c r="AB1294" s="1119"/>
      <c r="AC1294" s="1119"/>
      <c r="AD1294" s="1119"/>
      <c r="AE1294" s="1119"/>
      <c r="AF1294" s="1203"/>
      <c r="AG1294" s="1204"/>
      <c r="AH1294" s="1204"/>
      <c r="AI1294" s="1204"/>
    </row>
    <row r="1295" spans="1:35" s="4" customFormat="1" ht="15" customHeight="1">
      <c r="A1295" s="1149" t="s">
        <v>1808</v>
      </c>
      <c r="B1295" s="1149" t="s">
        <v>1802</v>
      </c>
      <c r="C1295" s="1149" t="s">
        <v>71</v>
      </c>
      <c r="D1295" s="1149" t="s">
        <v>1221</v>
      </c>
      <c r="E1295" s="1149" t="s">
        <v>66</v>
      </c>
      <c r="F1295" s="1149" t="s">
        <v>48</v>
      </c>
      <c r="G1295" s="1149"/>
      <c r="H1295" s="1156">
        <v>300</v>
      </c>
      <c r="I1295" s="1122" t="s">
        <v>7</v>
      </c>
      <c r="J1295" s="1149">
        <v>1626280611</v>
      </c>
      <c r="K1295" s="1149">
        <v>1626280611</v>
      </c>
      <c r="L1295" s="1149">
        <v>2589569935</v>
      </c>
      <c r="M1295" s="1171">
        <v>41705</v>
      </c>
      <c r="N1295" s="874"/>
      <c r="O1295" s="875"/>
      <c r="P1295" s="875"/>
      <c r="Q1295" s="1233">
        <v>1625961427.74</v>
      </c>
      <c r="R1295" s="1149">
        <v>2589061691</v>
      </c>
      <c r="S1295" s="1204" t="s">
        <v>1803</v>
      </c>
      <c r="T1295" s="840" t="s">
        <v>1804</v>
      </c>
      <c r="U1295" s="63">
        <v>487788428.13</v>
      </c>
      <c r="V1295" s="855">
        <v>41974</v>
      </c>
      <c r="W1295" s="1122" t="s">
        <v>7</v>
      </c>
      <c r="X1295" s="853"/>
      <c r="Y1295" s="853"/>
      <c r="Z1295" s="853"/>
      <c r="AA1295" s="853"/>
      <c r="AB1295" s="853"/>
      <c r="AC1295" s="853"/>
      <c r="AD1295" s="853" t="s">
        <v>1809</v>
      </c>
      <c r="AE1295" s="853"/>
      <c r="AF1295" s="1023"/>
      <c r="AG1295" s="1021" t="s">
        <v>1755</v>
      </c>
      <c r="AH1295" s="1103" t="s">
        <v>195</v>
      </c>
      <c r="AI1295" s="1103" t="s">
        <v>1619</v>
      </c>
    </row>
    <row r="1296" spans="1:35" s="4" customFormat="1" ht="15" customHeight="1">
      <c r="A1296" s="1149"/>
      <c r="B1296" s="1149"/>
      <c r="C1296" s="1149"/>
      <c r="D1296" s="1149"/>
      <c r="E1296" s="1149"/>
      <c r="F1296" s="1149"/>
      <c r="G1296" s="1149"/>
      <c r="H1296" s="1156"/>
      <c r="I1296" s="1122"/>
      <c r="J1296" s="1149"/>
      <c r="K1296" s="1149"/>
      <c r="L1296" s="1149"/>
      <c r="M1296" s="1171"/>
      <c r="N1296" s="874"/>
      <c r="O1296" s="875"/>
      <c r="P1296" s="875"/>
      <c r="Q1296" s="1233"/>
      <c r="R1296" s="1149"/>
      <c r="S1296" s="1204"/>
      <c r="T1296" s="840" t="s">
        <v>1805</v>
      </c>
      <c r="U1296" s="63">
        <v>612993191.38</v>
      </c>
      <c r="V1296" s="855">
        <v>42296</v>
      </c>
      <c r="W1296" s="1122"/>
      <c r="X1296" s="853"/>
      <c r="Y1296" s="853"/>
      <c r="Z1296" s="853"/>
      <c r="AA1296" s="853"/>
      <c r="AB1296" s="853"/>
      <c r="AC1296" s="853"/>
      <c r="AD1296" s="853"/>
      <c r="AE1296" s="853"/>
      <c r="AF1296" s="1124"/>
      <c r="AG1296" s="1124"/>
      <c r="AH1296" s="1104"/>
      <c r="AI1296" s="1104"/>
    </row>
    <row r="1297" spans="1:35" s="4" customFormat="1" ht="15" customHeight="1">
      <c r="A1297" s="1149"/>
      <c r="B1297" s="1149"/>
      <c r="C1297" s="1149"/>
      <c r="D1297" s="1149"/>
      <c r="E1297" s="1149"/>
      <c r="F1297" s="1149"/>
      <c r="G1297" s="1149"/>
      <c r="H1297" s="1156"/>
      <c r="I1297" s="1122"/>
      <c r="J1297" s="1149"/>
      <c r="K1297" s="1149"/>
      <c r="L1297" s="1149"/>
      <c r="M1297" s="1171"/>
      <c r="N1297" s="874"/>
      <c r="O1297" s="875"/>
      <c r="P1297" s="875"/>
      <c r="Q1297" s="1233"/>
      <c r="R1297" s="1149"/>
      <c r="S1297" s="1204"/>
      <c r="T1297" s="840" t="s">
        <v>1806</v>
      </c>
      <c r="U1297" s="63">
        <v>290082230.33999997</v>
      </c>
      <c r="V1297" s="855">
        <v>42671</v>
      </c>
      <c r="W1297" s="1122"/>
      <c r="X1297" s="853"/>
      <c r="Y1297" s="853"/>
      <c r="Z1297" s="853"/>
      <c r="AA1297" s="853"/>
      <c r="AB1297" s="853"/>
      <c r="AC1297" s="853"/>
      <c r="AD1297" s="853"/>
      <c r="AE1297" s="853"/>
      <c r="AF1297" s="1124"/>
      <c r="AG1297" s="1124"/>
      <c r="AH1297" s="1104"/>
      <c r="AI1297" s="1104"/>
    </row>
    <row r="1298" spans="1:35" s="4" customFormat="1" ht="15" customHeight="1">
      <c r="A1298" s="1149"/>
      <c r="B1298" s="1149"/>
      <c r="C1298" s="1149"/>
      <c r="D1298" s="1149"/>
      <c r="E1298" s="1149"/>
      <c r="F1298" s="1149"/>
      <c r="G1298" s="1149"/>
      <c r="H1298" s="1156">
        <v>2</v>
      </c>
      <c r="I1298" s="1122" t="s">
        <v>131</v>
      </c>
      <c r="J1298" s="1149">
        <v>963289324</v>
      </c>
      <c r="K1298" s="1149">
        <v>963289324</v>
      </c>
      <c r="L1298" s="1149"/>
      <c r="M1298" s="1171">
        <v>41705</v>
      </c>
      <c r="N1298" s="874"/>
      <c r="O1298" s="875"/>
      <c r="P1298" s="875"/>
      <c r="Q1298" s="1233">
        <v>963100263.25999999</v>
      </c>
      <c r="R1298" s="1149"/>
      <c r="S1298" s="1204"/>
      <c r="T1298" s="840" t="s">
        <v>1804</v>
      </c>
      <c r="U1298" s="63">
        <v>288930078.87</v>
      </c>
      <c r="V1298" s="855">
        <v>41974</v>
      </c>
      <c r="W1298" s="1122" t="s">
        <v>131</v>
      </c>
      <c r="X1298" s="853"/>
      <c r="Y1298" s="853"/>
      <c r="Z1298" s="853"/>
      <c r="AA1298" s="853"/>
      <c r="AB1298" s="853"/>
      <c r="AC1298" s="853"/>
      <c r="AD1298" s="853"/>
      <c r="AE1298" s="853"/>
      <c r="AF1298" s="1124"/>
      <c r="AG1298" s="1124"/>
      <c r="AH1298" s="1104"/>
      <c r="AI1298" s="1104"/>
    </row>
    <row r="1299" spans="1:35" s="4" customFormat="1" ht="15" customHeight="1">
      <c r="A1299" s="1149"/>
      <c r="B1299" s="1149"/>
      <c r="C1299" s="1149"/>
      <c r="D1299" s="1149"/>
      <c r="E1299" s="1149"/>
      <c r="F1299" s="1149"/>
      <c r="G1299" s="1149"/>
      <c r="H1299" s="1156"/>
      <c r="I1299" s="1122"/>
      <c r="J1299" s="1149"/>
      <c r="K1299" s="1149"/>
      <c r="L1299" s="1149"/>
      <c r="M1299" s="1171"/>
      <c r="N1299" s="874"/>
      <c r="O1299" s="875"/>
      <c r="P1299" s="875"/>
      <c r="Q1299" s="1233"/>
      <c r="R1299" s="1149"/>
      <c r="S1299" s="1204"/>
      <c r="T1299" s="840" t="s">
        <v>1805</v>
      </c>
      <c r="U1299" s="63">
        <v>363092195.12</v>
      </c>
      <c r="V1299" s="855">
        <v>42296</v>
      </c>
      <c r="W1299" s="1122"/>
      <c r="X1299" s="853"/>
      <c r="Y1299" s="853"/>
      <c r="Z1299" s="853"/>
      <c r="AA1299" s="853"/>
      <c r="AB1299" s="853"/>
      <c r="AC1299" s="853"/>
      <c r="AD1299" s="853"/>
      <c r="AE1299" s="853"/>
      <c r="AF1299" s="1124"/>
      <c r="AG1299" s="1124"/>
      <c r="AH1299" s="1104"/>
      <c r="AI1299" s="1104"/>
    </row>
    <row r="1300" spans="1:35" s="4" customFormat="1" ht="15" customHeight="1">
      <c r="A1300" s="1149"/>
      <c r="B1300" s="1149"/>
      <c r="C1300" s="1149"/>
      <c r="D1300" s="1149"/>
      <c r="E1300" s="1149"/>
      <c r="F1300" s="1149"/>
      <c r="G1300" s="1149"/>
      <c r="H1300" s="1156"/>
      <c r="I1300" s="1122"/>
      <c r="J1300" s="1149"/>
      <c r="K1300" s="1149"/>
      <c r="L1300" s="1149"/>
      <c r="M1300" s="1171"/>
      <c r="N1300" s="874"/>
      <c r="O1300" s="875"/>
      <c r="P1300" s="875"/>
      <c r="Q1300" s="1233"/>
      <c r="R1300" s="1149"/>
      <c r="S1300" s="1204"/>
      <c r="T1300" s="840" t="s">
        <v>1807</v>
      </c>
      <c r="U1300" s="63">
        <v>193388153.56</v>
      </c>
      <c r="V1300" s="855">
        <v>42671</v>
      </c>
      <c r="W1300" s="1122"/>
      <c r="X1300" s="853"/>
      <c r="Y1300" s="853"/>
      <c r="Z1300" s="853"/>
      <c r="AA1300" s="853"/>
      <c r="AB1300" s="853"/>
      <c r="AC1300" s="853"/>
      <c r="AD1300" s="853"/>
      <c r="AE1300" s="853"/>
      <c r="AF1300" s="1024"/>
      <c r="AG1300" s="1024"/>
      <c r="AH1300" s="1105"/>
      <c r="AI1300" s="1105"/>
    </row>
    <row r="1301" spans="1:35" ht="15" customHeight="1">
      <c r="A1301" s="1011" t="s">
        <v>2190</v>
      </c>
      <c r="B1301" s="1011" t="s">
        <v>2189</v>
      </c>
      <c r="C1301" s="1011" t="s">
        <v>70</v>
      </c>
      <c r="D1301" s="1011" t="s">
        <v>206</v>
      </c>
      <c r="E1301" s="1011" t="s">
        <v>66</v>
      </c>
      <c r="F1301" s="1011" t="s">
        <v>49</v>
      </c>
      <c r="G1301" s="1011" t="s">
        <v>1819</v>
      </c>
      <c r="H1301" s="1009">
        <v>9</v>
      </c>
      <c r="I1301" s="1065" t="s">
        <v>157</v>
      </c>
      <c r="J1301" s="1062">
        <v>166787899</v>
      </c>
      <c r="K1301" s="1062">
        <v>166787899</v>
      </c>
      <c r="L1301" s="1062">
        <v>166787899</v>
      </c>
      <c r="M1301" s="1068"/>
      <c r="N1301" s="1092">
        <v>166787899</v>
      </c>
      <c r="O1301" s="1092">
        <v>166787899</v>
      </c>
      <c r="P1301" s="1092">
        <v>0</v>
      </c>
      <c r="Q1301" s="1043">
        <v>166719260</v>
      </c>
      <c r="R1301" s="1043">
        <v>166719260</v>
      </c>
      <c r="S1301" s="1011" t="s">
        <v>2188</v>
      </c>
      <c r="T1301" s="840" t="s">
        <v>2187</v>
      </c>
      <c r="U1301" s="866">
        <v>16671926</v>
      </c>
      <c r="V1301" s="855">
        <v>41991</v>
      </c>
      <c r="W1301" s="842" t="s">
        <v>157</v>
      </c>
      <c r="X1301" s="1043">
        <v>149433807.13</v>
      </c>
      <c r="Y1301" s="1043">
        <v>149433807.13</v>
      </c>
      <c r="Z1301" s="827">
        <v>0</v>
      </c>
      <c r="AA1301" s="1043">
        <v>17354091.870000005</v>
      </c>
      <c r="AB1301" s="1062">
        <v>-1920605.8799999952</v>
      </c>
      <c r="AC1301" s="1062">
        <v>68639</v>
      </c>
      <c r="AD1301" s="1062">
        <v>17285452.870000005</v>
      </c>
      <c r="AE1301" s="1062"/>
      <c r="AF1301" s="1108" t="s">
        <v>2186</v>
      </c>
      <c r="AG1301" s="1103" t="s">
        <v>2185</v>
      </c>
      <c r="AH1301" s="1103" t="s">
        <v>194</v>
      </c>
      <c r="AI1301" s="1103" t="s">
        <v>1911</v>
      </c>
    </row>
    <row r="1302" spans="1:35" ht="15" customHeight="1">
      <c r="A1302" s="1033"/>
      <c r="B1302" s="1033"/>
      <c r="C1302" s="1033"/>
      <c r="D1302" s="1033"/>
      <c r="E1302" s="1033"/>
      <c r="F1302" s="1033"/>
      <c r="G1302" s="1033"/>
      <c r="H1302" s="1039"/>
      <c r="I1302" s="1066"/>
      <c r="J1302" s="1063"/>
      <c r="K1302" s="1063"/>
      <c r="L1302" s="1063"/>
      <c r="M1302" s="1069"/>
      <c r="N1302" s="1093"/>
      <c r="O1302" s="1093"/>
      <c r="P1302" s="1093"/>
      <c r="Q1302" s="1044"/>
      <c r="R1302" s="1044"/>
      <c r="S1302" s="1033"/>
      <c r="T1302" s="840" t="s">
        <v>2184</v>
      </c>
      <c r="U1302" s="866">
        <v>85481966.180000007</v>
      </c>
      <c r="V1302" s="855">
        <v>42180</v>
      </c>
      <c r="W1302" s="842" t="s">
        <v>157</v>
      </c>
      <c r="X1302" s="1044"/>
      <c r="Y1302" s="1044"/>
      <c r="Z1302" s="827">
        <v>0</v>
      </c>
      <c r="AA1302" s="1044"/>
      <c r="AB1302" s="1063"/>
      <c r="AC1302" s="1063"/>
      <c r="AD1302" s="1063"/>
      <c r="AE1302" s="1063"/>
      <c r="AF1302" s="1109"/>
      <c r="AG1302" s="1104"/>
      <c r="AH1302" s="1104"/>
      <c r="AI1302" s="1104"/>
    </row>
    <row r="1303" spans="1:35" ht="15" customHeight="1">
      <c r="A1303" s="1033"/>
      <c r="B1303" s="1033"/>
      <c r="C1303" s="1033"/>
      <c r="D1303" s="1033"/>
      <c r="E1303" s="1033"/>
      <c r="F1303" s="1033"/>
      <c r="G1303" s="1033"/>
      <c r="H1303" s="1039"/>
      <c r="I1303" s="1066"/>
      <c r="J1303" s="1063"/>
      <c r="K1303" s="1063"/>
      <c r="L1303" s="1063"/>
      <c r="M1303" s="1069"/>
      <c r="N1303" s="1093"/>
      <c r="O1303" s="1093"/>
      <c r="P1303" s="1093"/>
      <c r="Q1303" s="1044"/>
      <c r="R1303" s="1044"/>
      <c r="S1303" s="1033"/>
      <c r="T1303" s="840" t="s">
        <v>2183</v>
      </c>
      <c r="U1303" s="866">
        <v>47279914.950000003</v>
      </c>
      <c r="V1303" s="855">
        <v>42303</v>
      </c>
      <c r="W1303" s="842" t="s">
        <v>157</v>
      </c>
      <c r="X1303" s="1044"/>
      <c r="Y1303" s="1044"/>
      <c r="Z1303" s="827">
        <v>0</v>
      </c>
      <c r="AA1303" s="1044"/>
      <c r="AB1303" s="1063"/>
      <c r="AC1303" s="1063"/>
      <c r="AD1303" s="1063"/>
      <c r="AE1303" s="1063"/>
      <c r="AF1303" s="1109"/>
      <c r="AG1303" s="1104"/>
      <c r="AH1303" s="1104"/>
      <c r="AI1303" s="1104"/>
    </row>
    <row r="1304" spans="1:35" ht="15" customHeight="1">
      <c r="A1304" s="1033"/>
      <c r="B1304" s="1012"/>
      <c r="C1304" s="1012"/>
      <c r="D1304" s="1012"/>
      <c r="E1304" s="1012"/>
      <c r="F1304" s="1012"/>
      <c r="G1304" s="1012"/>
      <c r="H1304" s="1010"/>
      <c r="I1304" s="1067"/>
      <c r="J1304" s="1064"/>
      <c r="K1304" s="1064"/>
      <c r="L1304" s="1064"/>
      <c r="M1304" s="1070"/>
      <c r="N1304" s="1094"/>
      <c r="O1304" s="1094"/>
      <c r="P1304" s="1094"/>
      <c r="Q1304" s="1045"/>
      <c r="R1304" s="1045"/>
      <c r="S1304" s="1012"/>
      <c r="T1304" s="840"/>
      <c r="U1304" s="866"/>
      <c r="V1304" s="855"/>
      <c r="W1304" s="842"/>
      <c r="X1304" s="1045"/>
      <c r="Y1304" s="1045"/>
      <c r="Z1304" s="827">
        <v>0</v>
      </c>
      <c r="AA1304" s="1045"/>
      <c r="AB1304" s="1064"/>
      <c r="AC1304" s="1064"/>
      <c r="AD1304" s="1064"/>
      <c r="AE1304" s="1064"/>
      <c r="AF1304" s="1110"/>
      <c r="AG1304" s="1105"/>
      <c r="AH1304" s="1105"/>
      <c r="AI1304" s="1105"/>
    </row>
    <row r="1305" spans="1:35" ht="15" customHeight="1">
      <c r="A1305" s="1033"/>
      <c r="B1305" s="791"/>
      <c r="C1305" s="791"/>
      <c r="D1305" s="791"/>
      <c r="E1305" s="791"/>
      <c r="F1305" s="791"/>
      <c r="G1305" s="791"/>
      <c r="H1305" s="1009">
        <v>4464</v>
      </c>
      <c r="I1305" s="1065" t="s">
        <v>137</v>
      </c>
      <c r="J1305" s="799">
        <v>57782021</v>
      </c>
      <c r="K1305" s="799"/>
      <c r="L1305" s="799"/>
      <c r="M1305" s="818">
        <v>43082</v>
      </c>
      <c r="N1305" s="821"/>
      <c r="O1305" s="821"/>
      <c r="P1305" s="821"/>
      <c r="Q1305" s="807">
        <v>57782021</v>
      </c>
      <c r="R1305" s="807"/>
      <c r="S1305" s="791"/>
      <c r="T1305" s="916" t="s">
        <v>2731</v>
      </c>
      <c r="U1305" s="866">
        <v>5785066</v>
      </c>
      <c r="V1305" s="855">
        <v>43217</v>
      </c>
      <c r="W1305" s="842"/>
      <c r="X1305" s="807"/>
      <c r="Y1305" s="807"/>
      <c r="Z1305" s="827">
        <v>0</v>
      </c>
      <c r="AA1305" s="807"/>
      <c r="AB1305" s="799"/>
      <c r="AC1305" s="799"/>
      <c r="AD1305" s="799"/>
      <c r="AE1305" s="799"/>
      <c r="AF1305" s="839"/>
      <c r="AG1305" s="836"/>
      <c r="AH1305" s="836"/>
      <c r="AI1305" s="836"/>
    </row>
    <row r="1306" spans="1:35" ht="15" customHeight="1">
      <c r="A1306" s="1033"/>
      <c r="B1306" s="791"/>
      <c r="C1306" s="791"/>
      <c r="D1306" s="791"/>
      <c r="E1306" s="791"/>
      <c r="F1306" s="791"/>
      <c r="G1306" s="791"/>
      <c r="H1306" s="1039"/>
      <c r="I1306" s="1066"/>
      <c r="J1306" s="799"/>
      <c r="K1306" s="799"/>
      <c r="L1306" s="799"/>
      <c r="M1306" s="818"/>
      <c r="N1306" s="821"/>
      <c r="O1306" s="821"/>
      <c r="P1306" s="821"/>
      <c r="Q1306" s="807"/>
      <c r="R1306" s="807"/>
      <c r="S1306" s="791"/>
      <c r="T1306" s="840"/>
      <c r="U1306" s="866"/>
      <c r="V1306" s="855"/>
      <c r="W1306" s="842"/>
      <c r="X1306" s="807"/>
      <c r="Y1306" s="807"/>
      <c r="Z1306" s="827"/>
      <c r="AA1306" s="807"/>
      <c r="AB1306" s="799"/>
      <c r="AC1306" s="799"/>
      <c r="AD1306" s="799"/>
      <c r="AE1306" s="799"/>
      <c r="AF1306" s="839"/>
      <c r="AG1306" s="836"/>
      <c r="AH1306" s="836"/>
      <c r="AI1306" s="836"/>
    </row>
    <row r="1307" spans="1:35" ht="15" customHeight="1">
      <c r="A1307" s="1033"/>
      <c r="B1307" s="791"/>
      <c r="C1307" s="791"/>
      <c r="D1307" s="791"/>
      <c r="E1307" s="791"/>
      <c r="F1307" s="791"/>
      <c r="G1307" s="791"/>
      <c r="H1307" s="1039"/>
      <c r="I1307" s="1066"/>
      <c r="J1307" s="799"/>
      <c r="K1307" s="799"/>
      <c r="L1307" s="799"/>
      <c r="M1307" s="818"/>
      <c r="N1307" s="821"/>
      <c r="O1307" s="821"/>
      <c r="P1307" s="821"/>
      <c r="Q1307" s="807"/>
      <c r="R1307" s="807"/>
      <c r="S1307" s="791"/>
      <c r="T1307" s="840"/>
      <c r="U1307" s="866"/>
      <c r="V1307" s="855"/>
      <c r="W1307" s="842"/>
      <c r="X1307" s="807"/>
      <c r="Y1307" s="807"/>
      <c r="Z1307" s="827"/>
      <c r="AA1307" s="807"/>
      <c r="AB1307" s="799"/>
      <c r="AC1307" s="799"/>
      <c r="AD1307" s="799"/>
      <c r="AE1307" s="799"/>
      <c r="AF1307" s="839"/>
      <c r="AG1307" s="836"/>
      <c r="AH1307" s="836"/>
      <c r="AI1307" s="836"/>
    </row>
    <row r="1308" spans="1:35" ht="15" customHeight="1">
      <c r="A1308" s="1012"/>
      <c r="B1308" s="791"/>
      <c r="C1308" s="791"/>
      <c r="D1308" s="791"/>
      <c r="E1308" s="791"/>
      <c r="F1308" s="791"/>
      <c r="G1308" s="791"/>
      <c r="H1308" s="1010"/>
      <c r="I1308" s="1067"/>
      <c r="J1308" s="799"/>
      <c r="K1308" s="799"/>
      <c r="L1308" s="799"/>
      <c r="M1308" s="818"/>
      <c r="N1308" s="821"/>
      <c r="O1308" s="821"/>
      <c r="P1308" s="821"/>
      <c r="Q1308" s="807"/>
      <c r="R1308" s="807"/>
      <c r="S1308" s="791"/>
      <c r="T1308" s="840"/>
      <c r="U1308" s="866"/>
      <c r="V1308" s="855"/>
      <c r="W1308" s="842"/>
      <c r="X1308" s="807"/>
      <c r="Y1308" s="807"/>
      <c r="Z1308" s="827"/>
      <c r="AA1308" s="807"/>
      <c r="AB1308" s="799"/>
      <c r="AC1308" s="799"/>
      <c r="AD1308" s="799"/>
      <c r="AE1308" s="799"/>
      <c r="AF1308" s="839"/>
      <c r="AG1308" s="836"/>
      <c r="AH1308" s="836"/>
      <c r="AI1308" s="836"/>
    </row>
    <row r="1309" spans="1:35" ht="15" customHeight="1">
      <c r="A1309" s="823" t="s">
        <v>1811</v>
      </c>
      <c r="B1309" s="823" t="s">
        <v>1813</v>
      </c>
      <c r="C1309" s="823" t="s">
        <v>70</v>
      </c>
      <c r="D1309" s="823" t="s">
        <v>206</v>
      </c>
      <c r="E1309" s="823" t="s">
        <v>66</v>
      </c>
      <c r="F1309" s="823" t="s">
        <v>49</v>
      </c>
      <c r="G1309" s="823" t="s">
        <v>1788</v>
      </c>
      <c r="H1309" s="861">
        <v>268</v>
      </c>
      <c r="I1309" s="840" t="s">
        <v>7</v>
      </c>
      <c r="J1309" s="858">
        <v>40000000</v>
      </c>
      <c r="K1309" s="858">
        <v>40000000</v>
      </c>
      <c r="L1309" s="858">
        <v>40000000</v>
      </c>
      <c r="M1309" s="855">
        <v>41234</v>
      </c>
      <c r="N1309" s="862">
        <v>40000000</v>
      </c>
      <c r="O1309" s="858">
        <v>40000000</v>
      </c>
      <c r="P1309" s="858">
        <v>0</v>
      </c>
      <c r="Q1309" s="827">
        <v>39767700</v>
      </c>
      <c r="R1309" s="858">
        <v>39767700</v>
      </c>
      <c r="S1309" s="823" t="s">
        <v>1771</v>
      </c>
      <c r="T1309" s="840"/>
      <c r="U1309" s="866"/>
      <c r="V1309" s="855"/>
      <c r="W1309" s="842"/>
      <c r="X1309" s="827"/>
      <c r="Y1309" s="827"/>
      <c r="Z1309" s="827"/>
      <c r="AA1309" s="827"/>
      <c r="AB1309" s="858">
        <v>0</v>
      </c>
      <c r="AC1309" s="858">
        <v>232300</v>
      </c>
      <c r="AD1309" s="858">
        <v>39767700</v>
      </c>
      <c r="AE1309" s="858"/>
      <c r="AF1309" s="863"/>
      <c r="AG1309" s="864" t="s">
        <v>1814</v>
      </c>
      <c r="AH1309" s="864" t="s">
        <v>194</v>
      </c>
      <c r="AI1309" s="864" t="s">
        <v>1619</v>
      </c>
    </row>
    <row r="1310" spans="1:35" ht="15" customHeight="1">
      <c r="A1310" s="1011" t="s">
        <v>1815</v>
      </c>
      <c r="B1310" s="1011" t="s">
        <v>1817</v>
      </c>
      <c r="C1310" s="1011" t="s">
        <v>71</v>
      </c>
      <c r="D1310" s="1011" t="s">
        <v>1221</v>
      </c>
      <c r="E1310" s="1011" t="s">
        <v>66</v>
      </c>
      <c r="F1310" s="1011" t="s">
        <v>49</v>
      </c>
      <c r="G1310" s="1011" t="s">
        <v>1819</v>
      </c>
      <c r="H1310" s="1009">
        <v>304</v>
      </c>
      <c r="I1310" s="1065" t="s">
        <v>137</v>
      </c>
      <c r="J1310" s="1062">
        <v>240346167</v>
      </c>
      <c r="K1310" s="1062">
        <v>1880113881</v>
      </c>
      <c r="L1310" s="1062">
        <v>2289583598</v>
      </c>
      <c r="M1310" s="1068">
        <v>41759</v>
      </c>
      <c r="N1310" s="1092">
        <v>1880113881</v>
      </c>
      <c r="O1310" s="1062">
        <v>240346167</v>
      </c>
      <c r="P1310" s="1062">
        <v>0</v>
      </c>
      <c r="Q1310" s="1043">
        <v>235664483.11000001</v>
      </c>
      <c r="R1310" s="1062">
        <v>2244984981</v>
      </c>
      <c r="S1310" s="1011" t="s">
        <v>1818</v>
      </c>
      <c r="T1310" s="1065" t="s">
        <v>1820</v>
      </c>
      <c r="U1310" s="866">
        <v>47132896.619999997</v>
      </c>
      <c r="V1310" s="1068">
        <v>42031</v>
      </c>
      <c r="W1310" s="842" t="s">
        <v>137</v>
      </c>
      <c r="X1310" s="1043">
        <v>1673589260</v>
      </c>
      <c r="Y1310" s="827"/>
      <c r="Z1310" s="827"/>
      <c r="AA1310" s="1043"/>
      <c r="AB1310" s="858"/>
      <c r="AC1310" s="1062"/>
      <c r="AD1310" s="1062"/>
      <c r="AE1310" s="1062"/>
      <c r="AF1310" s="1108"/>
      <c r="AG1310" s="1103" t="s">
        <v>1666</v>
      </c>
      <c r="AH1310" s="1103" t="s">
        <v>194</v>
      </c>
      <c r="AI1310" s="1103" t="s">
        <v>1619</v>
      </c>
    </row>
    <row r="1311" spans="1:35" ht="15" customHeight="1">
      <c r="A1311" s="1033"/>
      <c r="B1311" s="1033"/>
      <c r="C1311" s="1033"/>
      <c r="D1311" s="1033"/>
      <c r="E1311" s="1033"/>
      <c r="F1311" s="1033"/>
      <c r="G1311" s="1033"/>
      <c r="H1311" s="1039"/>
      <c r="I1311" s="1066"/>
      <c r="J1311" s="1063"/>
      <c r="K1311" s="1063"/>
      <c r="L1311" s="1063"/>
      <c r="M1311" s="1069"/>
      <c r="N1311" s="1093"/>
      <c r="O1311" s="1063"/>
      <c r="P1311" s="1063"/>
      <c r="Q1311" s="1044"/>
      <c r="R1311" s="1063"/>
      <c r="S1311" s="1033"/>
      <c r="T1311" s="1067"/>
      <c r="U1311" s="866">
        <v>321565361.80000001</v>
      </c>
      <c r="V1311" s="1070"/>
      <c r="W1311" s="842" t="s">
        <v>7</v>
      </c>
      <c r="X1311" s="1044"/>
      <c r="Y1311" s="827"/>
      <c r="Z1311" s="827"/>
      <c r="AA1311" s="1044"/>
      <c r="AB1311" s="858"/>
      <c r="AC1311" s="1063"/>
      <c r="AD1311" s="1063"/>
      <c r="AE1311" s="1063"/>
      <c r="AF1311" s="1109"/>
      <c r="AG1311" s="1104"/>
      <c r="AH1311" s="1104"/>
      <c r="AI1311" s="1104"/>
    </row>
    <row r="1312" spans="1:35" ht="15" customHeight="1">
      <c r="A1312" s="1033"/>
      <c r="B1312" s="1033"/>
      <c r="C1312" s="1033"/>
      <c r="D1312" s="1033"/>
      <c r="E1312" s="1033"/>
      <c r="F1312" s="1033"/>
      <c r="G1312" s="1033"/>
      <c r="H1312" s="1039"/>
      <c r="I1312" s="1066"/>
      <c r="J1312" s="1063"/>
      <c r="K1312" s="1063"/>
      <c r="L1312" s="1063"/>
      <c r="M1312" s="1069"/>
      <c r="N1312" s="1093"/>
      <c r="O1312" s="1063"/>
      <c r="P1312" s="1063"/>
      <c r="Q1312" s="1044"/>
      <c r="R1312" s="1063"/>
      <c r="S1312" s="1033"/>
      <c r="T1312" s="1065" t="s">
        <v>1821</v>
      </c>
      <c r="U1312" s="866">
        <v>107406113.7</v>
      </c>
      <c r="V1312" s="1068">
        <v>42164</v>
      </c>
      <c r="W1312" s="842" t="s">
        <v>137</v>
      </c>
      <c r="X1312" s="1044"/>
      <c r="Y1312" s="827"/>
      <c r="Z1312" s="827"/>
      <c r="AA1312" s="1044"/>
      <c r="AB1312" s="858"/>
      <c r="AC1312" s="1063"/>
      <c r="AD1312" s="1063"/>
      <c r="AE1312" s="1063"/>
      <c r="AF1312" s="1109"/>
      <c r="AG1312" s="1104"/>
      <c r="AH1312" s="1104"/>
      <c r="AI1312" s="1104"/>
    </row>
    <row r="1313" spans="1:35" ht="15" customHeight="1">
      <c r="A1313" s="1033"/>
      <c r="B1313" s="1033"/>
      <c r="C1313" s="1033"/>
      <c r="D1313" s="1033"/>
      <c r="E1313" s="1033"/>
      <c r="F1313" s="1033"/>
      <c r="G1313" s="1033"/>
      <c r="H1313" s="1039"/>
      <c r="I1313" s="1067"/>
      <c r="J1313" s="1064"/>
      <c r="K1313" s="1063"/>
      <c r="L1313" s="1063"/>
      <c r="M1313" s="1069"/>
      <c r="N1313" s="1093"/>
      <c r="O1313" s="1064"/>
      <c r="P1313" s="1064"/>
      <c r="Q1313" s="1045"/>
      <c r="R1313" s="1063"/>
      <c r="S1313" s="1033"/>
      <c r="T1313" s="1067"/>
      <c r="U1313" s="866">
        <v>732780883.98000002</v>
      </c>
      <c r="V1313" s="1070"/>
      <c r="W1313" s="842" t="s">
        <v>7</v>
      </c>
      <c r="X1313" s="1044"/>
      <c r="Y1313" s="827"/>
      <c r="Z1313" s="827"/>
      <c r="AA1313" s="1045"/>
      <c r="AB1313" s="858"/>
      <c r="AC1313" s="1063"/>
      <c r="AD1313" s="1063"/>
      <c r="AE1313" s="1063"/>
      <c r="AF1313" s="1109"/>
      <c r="AG1313" s="1104"/>
      <c r="AH1313" s="1104"/>
      <c r="AI1313" s="1104"/>
    </row>
    <row r="1314" spans="1:35" ht="15" customHeight="1">
      <c r="A1314" s="1033"/>
      <c r="B1314" s="1033"/>
      <c r="C1314" s="1033"/>
      <c r="D1314" s="1033"/>
      <c r="E1314" s="1033"/>
      <c r="F1314" s="1033"/>
      <c r="G1314" s="1033"/>
      <c r="H1314" s="1039"/>
      <c r="I1314" s="1065" t="s">
        <v>7</v>
      </c>
      <c r="J1314" s="1062">
        <v>1639767714</v>
      </c>
      <c r="K1314" s="1063"/>
      <c r="L1314" s="1063"/>
      <c r="M1314" s="1069"/>
      <c r="N1314" s="1093"/>
      <c r="O1314" s="1062">
        <v>1639767714</v>
      </c>
      <c r="P1314" s="1062">
        <v>0</v>
      </c>
      <c r="Q1314" s="1043">
        <v>1607826808.98</v>
      </c>
      <c r="R1314" s="1063"/>
      <c r="S1314" s="1033"/>
      <c r="T1314" s="1065" t="s">
        <v>1822</v>
      </c>
      <c r="U1314" s="866">
        <v>59405883.399999999</v>
      </c>
      <c r="V1314" s="1068">
        <v>42261</v>
      </c>
      <c r="W1314" s="842" t="s">
        <v>137</v>
      </c>
      <c r="X1314" s="1044"/>
      <c r="Y1314" s="827"/>
      <c r="Z1314" s="827"/>
      <c r="AA1314" s="1043"/>
      <c r="AB1314" s="858"/>
      <c r="AC1314" s="1063"/>
      <c r="AD1314" s="1063"/>
      <c r="AE1314" s="1063"/>
      <c r="AF1314" s="1109"/>
      <c r="AG1314" s="1104"/>
      <c r="AH1314" s="1104"/>
      <c r="AI1314" s="1104"/>
    </row>
    <row r="1315" spans="1:35" ht="15" customHeight="1">
      <c r="A1315" s="1033"/>
      <c r="B1315" s="1033"/>
      <c r="C1315" s="1033"/>
      <c r="D1315" s="1033"/>
      <c r="E1315" s="1033"/>
      <c r="F1315" s="1033"/>
      <c r="G1315" s="1033"/>
      <c r="H1315" s="1039"/>
      <c r="I1315" s="1066"/>
      <c r="J1315" s="1063"/>
      <c r="K1315" s="1063"/>
      <c r="L1315" s="1063"/>
      <c r="M1315" s="1069"/>
      <c r="N1315" s="1093"/>
      <c r="O1315" s="1063"/>
      <c r="P1315" s="1063"/>
      <c r="Q1315" s="1044"/>
      <c r="R1315" s="1063"/>
      <c r="S1315" s="1033"/>
      <c r="T1315" s="1067"/>
      <c r="U1315" s="866">
        <v>405298120.5</v>
      </c>
      <c r="V1315" s="1070"/>
      <c r="W1315" s="842" t="s">
        <v>7</v>
      </c>
      <c r="X1315" s="1044"/>
      <c r="Y1315" s="827"/>
      <c r="Z1315" s="827"/>
      <c r="AA1315" s="1044"/>
      <c r="AB1315" s="858"/>
      <c r="AC1315" s="1063"/>
      <c r="AD1315" s="1063"/>
      <c r="AE1315" s="1063"/>
      <c r="AF1315" s="1109"/>
      <c r="AG1315" s="1104"/>
      <c r="AH1315" s="1104"/>
      <c r="AI1315" s="1104"/>
    </row>
    <row r="1316" spans="1:35" ht="15" customHeight="1">
      <c r="A1316" s="1033"/>
      <c r="B1316" s="1033"/>
      <c r="C1316" s="1033"/>
      <c r="D1316" s="1033"/>
      <c r="E1316" s="1033"/>
      <c r="F1316" s="1033"/>
      <c r="G1316" s="1033"/>
      <c r="H1316" s="1039"/>
      <c r="I1316" s="1066"/>
      <c r="J1316" s="1063"/>
      <c r="K1316" s="1063"/>
      <c r="L1316" s="1063"/>
      <c r="M1316" s="1069"/>
      <c r="N1316" s="1093"/>
      <c r="O1316" s="1063"/>
      <c r="P1316" s="1063"/>
      <c r="Q1316" s="1044"/>
      <c r="R1316" s="1063"/>
      <c r="S1316" s="1033"/>
      <c r="T1316" s="1065"/>
      <c r="U1316" s="866"/>
      <c r="V1316" s="855"/>
      <c r="W1316" s="842"/>
      <c r="X1316" s="1044"/>
      <c r="Y1316" s="827"/>
      <c r="Z1316" s="827"/>
      <c r="AA1316" s="1044"/>
      <c r="AB1316" s="858"/>
      <c r="AC1316" s="1063"/>
      <c r="AD1316" s="1063"/>
      <c r="AE1316" s="1063"/>
      <c r="AF1316" s="1109"/>
      <c r="AG1316" s="1104"/>
      <c r="AH1316" s="1104"/>
      <c r="AI1316" s="1104"/>
    </row>
    <row r="1317" spans="1:35" ht="15" customHeight="1">
      <c r="A1317" s="1033"/>
      <c r="B1317" s="1033"/>
      <c r="C1317" s="1033"/>
      <c r="D1317" s="1033"/>
      <c r="E1317" s="1033"/>
      <c r="F1317" s="1033"/>
      <c r="G1317" s="1033"/>
      <c r="H1317" s="1010"/>
      <c r="I1317" s="1067"/>
      <c r="J1317" s="1064"/>
      <c r="K1317" s="1064"/>
      <c r="L1317" s="1063"/>
      <c r="M1317" s="1070"/>
      <c r="N1317" s="1094"/>
      <c r="O1317" s="1064"/>
      <c r="P1317" s="1064"/>
      <c r="Q1317" s="1045"/>
      <c r="R1317" s="1063"/>
      <c r="S1317" s="1033"/>
      <c r="T1317" s="1067"/>
      <c r="U1317" s="866"/>
      <c r="V1317" s="855"/>
      <c r="W1317" s="842"/>
      <c r="X1317" s="1045"/>
      <c r="Y1317" s="827"/>
      <c r="Z1317" s="827"/>
      <c r="AA1317" s="1045"/>
      <c r="AB1317" s="858"/>
      <c r="AC1317" s="1064"/>
      <c r="AD1317" s="1064"/>
      <c r="AE1317" s="1064"/>
      <c r="AF1317" s="1109"/>
      <c r="AG1317" s="1104"/>
      <c r="AH1317" s="1104"/>
      <c r="AI1317" s="1104"/>
    </row>
    <row r="1318" spans="1:35" ht="15" customHeight="1">
      <c r="A1318" s="1033"/>
      <c r="B1318" s="1033"/>
      <c r="C1318" s="1033"/>
      <c r="D1318" s="1033"/>
      <c r="E1318" s="1033"/>
      <c r="F1318" s="1033"/>
      <c r="G1318" s="1033"/>
      <c r="H1318" s="1009">
        <v>8</v>
      </c>
      <c r="I1318" s="1065" t="s">
        <v>157</v>
      </c>
      <c r="J1318" s="1062">
        <v>409469717</v>
      </c>
      <c r="K1318" s="1062">
        <v>409469717</v>
      </c>
      <c r="L1318" s="1063"/>
      <c r="M1318" s="1068">
        <v>41759</v>
      </c>
      <c r="N1318" s="1092">
        <v>409469717</v>
      </c>
      <c r="O1318" s="1092">
        <v>409469717</v>
      </c>
      <c r="P1318" s="1092">
        <v>0</v>
      </c>
      <c r="Q1318" s="1043">
        <v>401493688.91000003</v>
      </c>
      <c r="R1318" s="1063"/>
      <c r="S1318" s="1033"/>
      <c r="T1318" s="840" t="s">
        <v>1820</v>
      </c>
      <c r="U1318" s="866">
        <v>80298737.780000001</v>
      </c>
      <c r="V1318" s="855">
        <v>42031</v>
      </c>
      <c r="W1318" s="842" t="s">
        <v>157</v>
      </c>
      <c r="X1318" s="1043">
        <v>364490750.80000001</v>
      </c>
      <c r="Y1318" s="827"/>
      <c r="Z1318" s="827"/>
      <c r="AA1318" s="1043"/>
      <c r="AB1318" s="858"/>
      <c r="AC1318" s="1062"/>
      <c r="AD1318" s="1062"/>
      <c r="AE1318" s="1062"/>
      <c r="AF1318" s="1109"/>
      <c r="AG1318" s="1104"/>
      <c r="AH1318" s="1104"/>
      <c r="AI1318" s="1104"/>
    </row>
    <row r="1319" spans="1:35" ht="15" customHeight="1">
      <c r="A1319" s="1033"/>
      <c r="B1319" s="1033"/>
      <c r="C1319" s="1033"/>
      <c r="D1319" s="1033"/>
      <c r="E1319" s="1033"/>
      <c r="F1319" s="1033"/>
      <c r="G1319" s="1033"/>
      <c r="H1319" s="1039"/>
      <c r="I1319" s="1066"/>
      <c r="J1319" s="1063"/>
      <c r="K1319" s="1063"/>
      <c r="L1319" s="1063"/>
      <c r="M1319" s="1069"/>
      <c r="N1319" s="1093"/>
      <c r="O1319" s="1093"/>
      <c r="P1319" s="1093"/>
      <c r="Q1319" s="1044"/>
      <c r="R1319" s="1063"/>
      <c r="S1319" s="1033"/>
      <c r="T1319" s="840" t="s">
        <v>1821</v>
      </c>
      <c r="U1319" s="866">
        <v>182984198.31999999</v>
      </c>
      <c r="V1319" s="855">
        <v>42164</v>
      </c>
      <c r="W1319" s="842" t="s">
        <v>157</v>
      </c>
      <c r="X1319" s="1044"/>
      <c r="Y1319" s="827"/>
      <c r="Z1319" s="827"/>
      <c r="AA1319" s="1044"/>
      <c r="AB1319" s="858"/>
      <c r="AC1319" s="1063"/>
      <c r="AD1319" s="1063"/>
      <c r="AE1319" s="1063"/>
      <c r="AF1319" s="1109"/>
      <c r="AG1319" s="1104"/>
      <c r="AH1319" s="1104"/>
      <c r="AI1319" s="1104"/>
    </row>
    <row r="1320" spans="1:35" ht="15" customHeight="1">
      <c r="A1320" s="1033"/>
      <c r="B1320" s="1033"/>
      <c r="C1320" s="1033"/>
      <c r="D1320" s="1033"/>
      <c r="E1320" s="1033"/>
      <c r="F1320" s="1033"/>
      <c r="G1320" s="1033"/>
      <c r="H1320" s="1039"/>
      <c r="I1320" s="1066"/>
      <c r="J1320" s="1063"/>
      <c r="K1320" s="1063"/>
      <c r="L1320" s="1063"/>
      <c r="M1320" s="1069"/>
      <c r="N1320" s="1093"/>
      <c r="O1320" s="1093"/>
      <c r="P1320" s="1093"/>
      <c r="Q1320" s="1044"/>
      <c r="R1320" s="1063"/>
      <c r="S1320" s="1033"/>
      <c r="T1320" s="840" t="s">
        <v>1822</v>
      </c>
      <c r="U1320" s="866">
        <v>101207814.7</v>
      </c>
      <c r="V1320" s="855">
        <v>42261</v>
      </c>
      <c r="W1320" s="842" t="s">
        <v>157</v>
      </c>
      <c r="X1320" s="1044"/>
      <c r="Y1320" s="827"/>
      <c r="Z1320" s="827"/>
      <c r="AA1320" s="1044"/>
      <c r="AB1320" s="858"/>
      <c r="AC1320" s="1063"/>
      <c r="AD1320" s="1063"/>
      <c r="AE1320" s="1063"/>
      <c r="AF1320" s="1109"/>
      <c r="AG1320" s="1104"/>
      <c r="AH1320" s="1104"/>
      <c r="AI1320" s="1104"/>
    </row>
    <row r="1321" spans="1:35" ht="15" customHeight="1">
      <c r="A1321" s="1033"/>
      <c r="B1321" s="1012"/>
      <c r="C1321" s="1012"/>
      <c r="D1321" s="1012"/>
      <c r="E1321" s="1012"/>
      <c r="F1321" s="1012"/>
      <c r="G1321" s="1012"/>
      <c r="H1321" s="1010"/>
      <c r="I1321" s="1067"/>
      <c r="J1321" s="1064"/>
      <c r="K1321" s="1064"/>
      <c r="L1321" s="1064"/>
      <c r="M1321" s="1070"/>
      <c r="N1321" s="1094"/>
      <c r="O1321" s="1094"/>
      <c r="P1321" s="1094"/>
      <c r="Q1321" s="1045"/>
      <c r="R1321" s="1064"/>
      <c r="S1321" s="1012"/>
      <c r="T1321" s="840"/>
      <c r="U1321" s="866"/>
      <c r="V1321" s="855"/>
      <c r="W1321" s="842"/>
      <c r="X1321" s="1045"/>
      <c r="Y1321" s="827"/>
      <c r="Z1321" s="827"/>
      <c r="AA1321" s="1045"/>
      <c r="AB1321" s="858"/>
      <c r="AC1321" s="1064"/>
      <c r="AD1321" s="1064"/>
      <c r="AE1321" s="1064"/>
      <c r="AF1321" s="1110"/>
      <c r="AG1321" s="1105"/>
      <c r="AH1321" s="1105"/>
      <c r="AI1321" s="1105"/>
    </row>
    <row r="1322" spans="1:35" ht="15" customHeight="1">
      <c r="A1322" s="1033"/>
      <c r="B1322" s="790"/>
      <c r="C1322" s="790"/>
      <c r="D1322" s="790"/>
      <c r="E1322" s="790"/>
      <c r="F1322" s="790"/>
      <c r="G1322" s="790"/>
      <c r="H1322" s="1009">
        <v>4463</v>
      </c>
      <c r="I1322" s="1065" t="s">
        <v>137</v>
      </c>
      <c r="J1322" s="798">
        <v>1373391990</v>
      </c>
      <c r="K1322" s="798"/>
      <c r="L1322" s="798"/>
      <c r="M1322" s="1068">
        <v>43082</v>
      </c>
      <c r="N1322" s="820"/>
      <c r="O1322" s="820"/>
      <c r="P1322" s="820"/>
      <c r="Q1322" s="806">
        <v>1373391990</v>
      </c>
      <c r="R1322" s="798"/>
      <c r="S1322" s="790"/>
      <c r="T1322" s="916" t="s">
        <v>2731</v>
      </c>
      <c r="U1322" s="866">
        <v>274678398</v>
      </c>
      <c r="V1322" s="855">
        <v>43210</v>
      </c>
      <c r="W1322" s="1065" t="s">
        <v>137</v>
      </c>
      <c r="X1322" s="1043">
        <v>274678398</v>
      </c>
      <c r="Y1322" s="827"/>
      <c r="Z1322" s="827"/>
      <c r="AA1322" s="807"/>
      <c r="AB1322" s="797"/>
      <c r="AC1322" s="798"/>
      <c r="AD1322" s="798"/>
      <c r="AE1322" s="798"/>
      <c r="AF1322" s="838"/>
      <c r="AG1322" s="835"/>
      <c r="AH1322" s="835"/>
      <c r="AI1322" s="835"/>
    </row>
    <row r="1323" spans="1:35" ht="15" customHeight="1">
      <c r="A1323" s="1033"/>
      <c r="B1323" s="790"/>
      <c r="C1323" s="790"/>
      <c r="D1323" s="790"/>
      <c r="E1323" s="790"/>
      <c r="F1323" s="790"/>
      <c r="G1323" s="790"/>
      <c r="H1323" s="1039"/>
      <c r="I1323" s="1066"/>
      <c r="J1323" s="798"/>
      <c r="K1323" s="798"/>
      <c r="L1323" s="798"/>
      <c r="M1323" s="1069"/>
      <c r="N1323" s="820"/>
      <c r="O1323" s="820"/>
      <c r="P1323" s="820"/>
      <c r="Q1323" s="806"/>
      <c r="R1323" s="798"/>
      <c r="S1323" s="790"/>
      <c r="T1323" s="840"/>
      <c r="U1323" s="866"/>
      <c r="V1323" s="855"/>
      <c r="W1323" s="1066"/>
      <c r="X1323" s="1044"/>
      <c r="Y1323" s="827"/>
      <c r="Z1323" s="827"/>
      <c r="AA1323" s="807"/>
      <c r="AB1323" s="797"/>
      <c r="AC1323" s="798"/>
      <c r="AD1323" s="798"/>
      <c r="AE1323" s="798"/>
      <c r="AF1323" s="838"/>
      <c r="AG1323" s="835"/>
      <c r="AH1323" s="835"/>
      <c r="AI1323" s="835"/>
    </row>
    <row r="1324" spans="1:35" ht="15" customHeight="1">
      <c r="A1324" s="1012"/>
      <c r="B1324" s="790"/>
      <c r="C1324" s="790"/>
      <c r="D1324" s="790"/>
      <c r="E1324" s="790"/>
      <c r="F1324" s="790"/>
      <c r="G1324" s="790"/>
      <c r="H1324" s="1010"/>
      <c r="I1324" s="1067"/>
      <c r="J1324" s="798"/>
      <c r="K1324" s="798"/>
      <c r="L1324" s="798"/>
      <c r="M1324" s="1069"/>
      <c r="N1324" s="820"/>
      <c r="O1324" s="820"/>
      <c r="P1324" s="820"/>
      <c r="Q1324" s="806"/>
      <c r="R1324" s="798"/>
      <c r="S1324" s="790"/>
      <c r="T1324" s="840"/>
      <c r="U1324" s="866"/>
      <c r="V1324" s="855"/>
      <c r="W1324" s="1067"/>
      <c r="X1324" s="1045"/>
      <c r="Y1324" s="827"/>
      <c r="Z1324" s="827"/>
      <c r="AA1324" s="807"/>
      <c r="AB1324" s="797"/>
      <c r="AC1324" s="798"/>
      <c r="AD1324" s="798"/>
      <c r="AE1324" s="798"/>
      <c r="AF1324" s="838"/>
      <c r="AG1324" s="835"/>
      <c r="AH1324" s="835"/>
      <c r="AI1324" s="835"/>
    </row>
    <row r="1325" spans="1:35" ht="15" customHeight="1">
      <c r="A1325" s="1011" t="s">
        <v>2662</v>
      </c>
      <c r="B1325" s="790"/>
      <c r="C1325" s="790"/>
      <c r="D1325" s="790"/>
      <c r="E1325" s="790"/>
      <c r="F1325" s="790"/>
      <c r="G1325" s="790"/>
      <c r="H1325" s="1209">
        <v>13</v>
      </c>
      <c r="I1325" s="1123" t="s">
        <v>157</v>
      </c>
      <c r="J1325" s="798">
        <v>122490000</v>
      </c>
      <c r="K1325" s="798"/>
      <c r="L1325" s="798"/>
      <c r="M1325" s="817">
        <v>41934</v>
      </c>
      <c r="N1325" s="820"/>
      <c r="O1325" s="820"/>
      <c r="P1325" s="820"/>
      <c r="Q1325" s="806">
        <v>122489999.98</v>
      </c>
      <c r="R1325" s="798"/>
      <c r="S1325" s="790"/>
      <c r="T1325" s="840" t="s">
        <v>2664</v>
      </c>
      <c r="U1325" s="866">
        <v>36746999.93</v>
      </c>
      <c r="V1325" s="855">
        <v>42100</v>
      </c>
      <c r="W1325" s="842"/>
      <c r="X1325" s="807"/>
      <c r="Y1325" s="827"/>
      <c r="Z1325" s="827"/>
      <c r="AA1325" s="807"/>
      <c r="AB1325" s="797"/>
      <c r="AC1325" s="798"/>
      <c r="AD1325" s="798"/>
      <c r="AE1325" s="798"/>
      <c r="AF1325" s="838"/>
      <c r="AG1325" s="835"/>
      <c r="AH1325" s="835"/>
      <c r="AI1325" s="835"/>
    </row>
    <row r="1326" spans="1:35" ht="15" customHeight="1">
      <c r="A1326" s="1033"/>
      <c r="B1326" s="790"/>
      <c r="C1326" s="790"/>
      <c r="D1326" s="790"/>
      <c r="E1326" s="790"/>
      <c r="F1326" s="790"/>
      <c r="G1326" s="790"/>
      <c r="H1326" s="1209"/>
      <c r="I1326" s="1123"/>
      <c r="J1326" s="798"/>
      <c r="K1326" s="798"/>
      <c r="L1326" s="798"/>
      <c r="M1326" s="817"/>
      <c r="N1326" s="820"/>
      <c r="O1326" s="820"/>
      <c r="P1326" s="820"/>
      <c r="Q1326" s="806"/>
      <c r="R1326" s="798"/>
      <c r="S1326" s="790"/>
      <c r="T1326" s="840" t="s">
        <v>2665</v>
      </c>
      <c r="U1326" s="866">
        <v>43876900</v>
      </c>
      <c r="V1326" s="855">
        <v>42885</v>
      </c>
      <c r="W1326" s="842"/>
      <c r="X1326" s="807"/>
      <c r="Y1326" s="827"/>
      <c r="Z1326" s="827"/>
      <c r="AA1326" s="807"/>
      <c r="AB1326" s="797"/>
      <c r="AC1326" s="798"/>
      <c r="AD1326" s="798"/>
      <c r="AE1326" s="798"/>
      <c r="AF1326" s="838"/>
      <c r="AG1326" s="835"/>
      <c r="AH1326" s="835"/>
      <c r="AI1326" s="835"/>
    </row>
    <row r="1327" spans="1:35" ht="15" customHeight="1">
      <c r="A1327" s="1033"/>
      <c r="B1327" s="790"/>
      <c r="C1327" s="790"/>
      <c r="D1327" s="790"/>
      <c r="E1327" s="790"/>
      <c r="F1327" s="790"/>
      <c r="G1327" s="790"/>
      <c r="H1327" s="1209"/>
      <c r="I1327" s="1123"/>
      <c r="J1327" s="798"/>
      <c r="K1327" s="798"/>
      <c r="L1327" s="798"/>
      <c r="M1327" s="817"/>
      <c r="N1327" s="820"/>
      <c r="O1327" s="820"/>
      <c r="P1327" s="820"/>
      <c r="Q1327" s="806"/>
      <c r="R1327" s="798"/>
      <c r="S1327" s="790"/>
      <c r="T1327" s="840" t="s">
        <v>2666</v>
      </c>
      <c r="U1327" s="866">
        <v>0.01</v>
      </c>
      <c r="V1327" s="855">
        <v>42886</v>
      </c>
      <c r="W1327" s="842"/>
      <c r="X1327" s="807"/>
      <c r="Y1327" s="827"/>
      <c r="Z1327" s="827"/>
      <c r="AA1327" s="807"/>
      <c r="AB1327" s="797"/>
      <c r="AC1327" s="798"/>
      <c r="AD1327" s="798"/>
      <c r="AE1327" s="798"/>
      <c r="AF1327" s="838"/>
      <c r="AG1327" s="835"/>
      <c r="AH1327" s="835"/>
      <c r="AI1327" s="835"/>
    </row>
    <row r="1328" spans="1:35" ht="15" customHeight="1">
      <c r="A1328" s="1033"/>
      <c r="B1328" s="790"/>
      <c r="C1328" s="790"/>
      <c r="D1328" s="790"/>
      <c r="E1328" s="790"/>
      <c r="F1328" s="790"/>
      <c r="G1328" s="790"/>
      <c r="H1328" s="1209">
        <v>6</v>
      </c>
      <c r="I1328" s="1123" t="s">
        <v>162</v>
      </c>
      <c r="J1328" s="798">
        <v>158485274.06999999</v>
      </c>
      <c r="K1328" s="798"/>
      <c r="L1328" s="798"/>
      <c r="M1328" s="817">
        <v>41934</v>
      </c>
      <c r="N1328" s="820"/>
      <c r="O1328" s="820"/>
      <c r="P1328" s="820"/>
      <c r="Q1328" s="806">
        <v>158485274.06999999</v>
      </c>
      <c r="R1328" s="798"/>
      <c r="S1328" s="790"/>
      <c r="T1328" s="840" t="s">
        <v>2667</v>
      </c>
      <c r="U1328" s="866">
        <v>47545582.140000001</v>
      </c>
      <c r="V1328" s="855">
        <v>42100</v>
      </c>
      <c r="W1328" s="842"/>
      <c r="X1328" s="807"/>
      <c r="Y1328" s="827"/>
      <c r="Z1328" s="827"/>
      <c r="AA1328" s="807"/>
      <c r="AB1328" s="797"/>
      <c r="AC1328" s="798"/>
      <c r="AD1328" s="798"/>
      <c r="AE1328" s="798"/>
      <c r="AF1328" s="838"/>
      <c r="AG1328" s="835"/>
      <c r="AH1328" s="835"/>
      <c r="AI1328" s="835"/>
    </row>
    <row r="1329" spans="1:35" ht="15" customHeight="1">
      <c r="A1329" s="1033"/>
      <c r="B1329" s="790"/>
      <c r="C1329" s="790"/>
      <c r="D1329" s="790"/>
      <c r="E1329" s="790"/>
      <c r="F1329" s="790"/>
      <c r="G1329" s="790"/>
      <c r="H1329" s="1209"/>
      <c r="I1329" s="1123"/>
      <c r="J1329" s="798"/>
      <c r="K1329" s="798"/>
      <c r="L1329" s="798"/>
      <c r="M1329" s="817"/>
      <c r="N1329" s="820"/>
      <c r="O1329" s="820"/>
      <c r="P1329" s="820"/>
      <c r="Q1329" s="806"/>
      <c r="R1329" s="798"/>
      <c r="S1329" s="790"/>
      <c r="T1329" s="840" t="s">
        <v>2668</v>
      </c>
      <c r="U1329" s="866">
        <v>45244400</v>
      </c>
      <c r="V1329" s="855">
        <v>42885</v>
      </c>
      <c r="W1329" s="842"/>
      <c r="X1329" s="807"/>
      <c r="Y1329" s="827"/>
      <c r="Z1329" s="827"/>
      <c r="AA1329" s="807"/>
      <c r="AB1329" s="797"/>
      <c r="AC1329" s="798"/>
      <c r="AD1329" s="798"/>
      <c r="AE1329" s="798"/>
      <c r="AF1329" s="838"/>
      <c r="AG1329" s="835"/>
      <c r="AH1329" s="835"/>
      <c r="AI1329" s="835"/>
    </row>
    <row r="1330" spans="1:35" ht="15" customHeight="1">
      <c r="A1330" s="1033"/>
      <c r="B1330" s="790"/>
      <c r="C1330" s="790"/>
      <c r="D1330" s="790"/>
      <c r="E1330" s="790"/>
      <c r="F1330" s="790"/>
      <c r="G1330" s="790"/>
      <c r="H1330" s="1209"/>
      <c r="I1330" s="1123"/>
      <c r="J1330" s="798"/>
      <c r="K1330" s="798"/>
      <c r="L1330" s="798"/>
      <c r="M1330" s="817"/>
      <c r="N1330" s="820"/>
      <c r="O1330" s="820"/>
      <c r="P1330" s="820"/>
      <c r="Q1330" s="806"/>
      <c r="R1330" s="798"/>
      <c r="S1330" s="790"/>
      <c r="T1330" s="840" t="s">
        <v>2669</v>
      </c>
      <c r="U1330" s="866">
        <v>0.01</v>
      </c>
      <c r="V1330" s="855">
        <v>42886</v>
      </c>
      <c r="W1330" s="842"/>
      <c r="X1330" s="807"/>
      <c r="Y1330" s="827"/>
      <c r="Z1330" s="827"/>
      <c r="AA1330" s="807"/>
      <c r="AB1330" s="797"/>
      <c r="AC1330" s="798"/>
      <c r="AD1330" s="798"/>
      <c r="AE1330" s="798"/>
      <c r="AF1330" s="838"/>
      <c r="AG1330" s="835"/>
      <c r="AH1330" s="835"/>
      <c r="AI1330" s="835"/>
    </row>
    <row r="1331" spans="1:35" ht="15" customHeight="1">
      <c r="A1331" s="1033"/>
      <c r="B1331" s="790"/>
      <c r="C1331" s="790"/>
      <c r="D1331" s="790"/>
      <c r="E1331" s="790"/>
      <c r="F1331" s="790"/>
      <c r="G1331" s="790"/>
      <c r="H1331" s="1209">
        <v>8</v>
      </c>
      <c r="I1331" s="1123" t="s">
        <v>169</v>
      </c>
      <c r="J1331" s="798">
        <v>138000000</v>
      </c>
      <c r="K1331" s="798"/>
      <c r="L1331" s="798"/>
      <c r="M1331" s="817">
        <v>41934</v>
      </c>
      <c r="N1331" s="820"/>
      <c r="O1331" s="820"/>
      <c r="P1331" s="820"/>
      <c r="Q1331" s="806">
        <v>137999999.97999999</v>
      </c>
      <c r="R1331" s="798"/>
      <c r="S1331" s="790"/>
      <c r="T1331" s="840" t="s">
        <v>2664</v>
      </c>
      <c r="U1331" s="866">
        <v>41399999.93</v>
      </c>
      <c r="V1331" s="855">
        <v>42100</v>
      </c>
      <c r="W1331" s="842"/>
      <c r="X1331" s="807"/>
      <c r="Y1331" s="827"/>
      <c r="Z1331" s="827"/>
      <c r="AA1331" s="807"/>
      <c r="AB1331" s="797"/>
      <c r="AC1331" s="798"/>
      <c r="AD1331" s="798"/>
      <c r="AE1331" s="798"/>
      <c r="AF1331" s="838"/>
      <c r="AG1331" s="835"/>
      <c r="AH1331" s="835"/>
      <c r="AI1331" s="835"/>
    </row>
    <row r="1332" spans="1:35" ht="15" customHeight="1">
      <c r="A1332" s="1033"/>
      <c r="B1332" s="790"/>
      <c r="C1332" s="790"/>
      <c r="D1332" s="790"/>
      <c r="E1332" s="790"/>
      <c r="F1332" s="790"/>
      <c r="G1332" s="790"/>
      <c r="H1332" s="1209"/>
      <c r="I1332" s="1123"/>
      <c r="J1332" s="798"/>
      <c r="K1332" s="798"/>
      <c r="L1332" s="798"/>
      <c r="M1332" s="817"/>
      <c r="N1332" s="820"/>
      <c r="O1332" s="820"/>
      <c r="P1332" s="820"/>
      <c r="Q1332" s="806"/>
      <c r="R1332" s="798"/>
      <c r="S1332" s="790"/>
      <c r="T1332" s="840" t="s">
        <v>2670</v>
      </c>
      <c r="U1332" s="866">
        <v>77462000</v>
      </c>
      <c r="V1332" s="855">
        <v>42885</v>
      </c>
      <c r="W1332" s="842"/>
      <c r="X1332" s="807"/>
      <c r="Y1332" s="827"/>
      <c r="Z1332" s="827"/>
      <c r="AA1332" s="807"/>
      <c r="AB1332" s="797"/>
      <c r="AC1332" s="798"/>
      <c r="AD1332" s="798"/>
      <c r="AE1332" s="798"/>
      <c r="AF1332" s="838"/>
      <c r="AG1332" s="835"/>
      <c r="AH1332" s="835"/>
      <c r="AI1332" s="835"/>
    </row>
    <row r="1333" spans="1:35" ht="15" customHeight="1">
      <c r="A1333" s="1033"/>
      <c r="B1333" s="790"/>
      <c r="C1333" s="790"/>
      <c r="D1333" s="790"/>
      <c r="E1333" s="790"/>
      <c r="F1333" s="790"/>
      <c r="G1333" s="790"/>
      <c r="H1333" s="1209"/>
      <c r="I1333" s="1123"/>
      <c r="J1333" s="798"/>
      <c r="K1333" s="798"/>
      <c r="L1333" s="798"/>
      <c r="M1333" s="817"/>
      <c r="N1333" s="820"/>
      <c r="O1333" s="820"/>
      <c r="P1333" s="820"/>
      <c r="Q1333" s="806"/>
      <c r="R1333" s="798"/>
      <c r="S1333" s="790"/>
      <c r="T1333" s="840" t="s">
        <v>2671</v>
      </c>
      <c r="U1333" s="866">
        <v>0.01</v>
      </c>
      <c r="V1333" s="855">
        <v>42886</v>
      </c>
      <c r="W1333" s="842"/>
      <c r="X1333" s="807"/>
      <c r="Y1333" s="827"/>
      <c r="Z1333" s="827"/>
      <c r="AA1333" s="807"/>
      <c r="AB1333" s="797"/>
      <c r="AC1333" s="798"/>
      <c r="AD1333" s="798"/>
      <c r="AE1333" s="798"/>
      <c r="AF1333" s="838"/>
      <c r="AG1333" s="835"/>
      <c r="AH1333" s="835"/>
      <c r="AI1333" s="835"/>
    </row>
    <row r="1334" spans="1:35" ht="15" customHeight="1">
      <c r="A1334" s="1033"/>
      <c r="B1334" s="790"/>
      <c r="C1334" s="790"/>
      <c r="D1334" s="790"/>
      <c r="E1334" s="790"/>
      <c r="F1334" s="790"/>
      <c r="G1334" s="790"/>
      <c r="H1334" s="796"/>
      <c r="I1334" s="793"/>
      <c r="J1334" s="798"/>
      <c r="K1334" s="798"/>
      <c r="L1334" s="798"/>
      <c r="M1334" s="817"/>
      <c r="N1334" s="820"/>
      <c r="O1334" s="820"/>
      <c r="P1334" s="820"/>
      <c r="Q1334" s="806"/>
      <c r="R1334" s="798"/>
      <c r="S1334" s="790"/>
      <c r="T1334" s="840"/>
      <c r="U1334" s="866"/>
      <c r="V1334" s="855"/>
      <c r="W1334" s="842"/>
      <c r="X1334" s="807"/>
      <c r="Y1334" s="827"/>
      <c r="Z1334" s="827"/>
      <c r="AA1334" s="807"/>
      <c r="AB1334" s="797"/>
      <c r="AC1334" s="798"/>
      <c r="AD1334" s="798"/>
      <c r="AE1334" s="798"/>
      <c r="AF1334" s="838"/>
      <c r="AG1334" s="835"/>
      <c r="AH1334" s="835"/>
      <c r="AI1334" s="835"/>
    </row>
    <row r="1335" spans="1:35" ht="15" customHeight="1">
      <c r="A1335" s="1033"/>
      <c r="B1335" s="790"/>
      <c r="C1335" s="790"/>
      <c r="D1335" s="790"/>
      <c r="E1335" s="790"/>
      <c r="F1335" s="790"/>
      <c r="G1335" s="790"/>
      <c r="H1335" s="796"/>
      <c r="I1335" s="793"/>
      <c r="J1335" s="798"/>
      <c r="K1335" s="798"/>
      <c r="L1335" s="798"/>
      <c r="M1335" s="817"/>
      <c r="N1335" s="820"/>
      <c r="O1335" s="820"/>
      <c r="P1335" s="820"/>
      <c r="Q1335" s="806"/>
      <c r="R1335" s="798"/>
      <c r="S1335" s="790"/>
      <c r="T1335" s="840"/>
      <c r="U1335" s="866"/>
      <c r="V1335" s="855"/>
      <c r="W1335" s="842"/>
      <c r="X1335" s="807"/>
      <c r="Y1335" s="827"/>
      <c r="Z1335" s="827"/>
      <c r="AA1335" s="807"/>
      <c r="AB1335" s="797"/>
      <c r="AC1335" s="798"/>
      <c r="AD1335" s="798"/>
      <c r="AE1335" s="798"/>
      <c r="AF1335" s="838"/>
      <c r="AG1335" s="835"/>
      <c r="AH1335" s="835"/>
      <c r="AI1335" s="835"/>
    </row>
    <row r="1336" spans="1:35" ht="15" customHeight="1">
      <c r="A1336" s="1012"/>
      <c r="B1336" s="790"/>
      <c r="C1336" s="790"/>
      <c r="D1336" s="790"/>
      <c r="E1336" s="790"/>
      <c r="F1336" s="790"/>
      <c r="G1336" s="790"/>
      <c r="H1336" s="796"/>
      <c r="I1336" s="793"/>
      <c r="J1336" s="798"/>
      <c r="K1336" s="798"/>
      <c r="L1336" s="798"/>
      <c r="M1336" s="817"/>
      <c r="N1336" s="820"/>
      <c r="O1336" s="820"/>
      <c r="P1336" s="820"/>
      <c r="Q1336" s="806"/>
      <c r="R1336" s="798"/>
      <c r="S1336" s="790"/>
      <c r="T1336" s="840"/>
      <c r="U1336" s="866"/>
      <c r="V1336" s="855"/>
      <c r="W1336" s="842"/>
      <c r="X1336" s="807"/>
      <c r="Y1336" s="827"/>
      <c r="Z1336" s="827"/>
      <c r="AA1336" s="807"/>
      <c r="AB1336" s="797"/>
      <c r="AC1336" s="798"/>
      <c r="AD1336" s="798"/>
      <c r="AE1336" s="798"/>
      <c r="AF1336" s="838"/>
      <c r="AG1336" s="835"/>
      <c r="AH1336" s="835"/>
      <c r="AI1336" s="835"/>
    </row>
    <row r="1337" spans="1:35" ht="15" customHeight="1">
      <c r="A1337" s="1011" t="s">
        <v>2017</v>
      </c>
      <c r="B1337" s="1011" t="s">
        <v>2018</v>
      </c>
      <c r="C1337" s="1011" t="s">
        <v>71</v>
      </c>
      <c r="D1337" s="1011" t="s">
        <v>1235</v>
      </c>
      <c r="E1337" s="1011" t="s">
        <v>66</v>
      </c>
      <c r="F1337" s="1011" t="s">
        <v>183</v>
      </c>
      <c r="G1337" s="1011" t="s">
        <v>2020</v>
      </c>
      <c r="H1337" s="1065"/>
      <c r="I1337" s="1065"/>
      <c r="J1337" s="1062"/>
      <c r="K1337" s="1062"/>
      <c r="L1337" s="1062"/>
      <c r="M1337" s="1068"/>
      <c r="N1337" s="1092"/>
      <c r="O1337" s="1062"/>
      <c r="P1337" s="1062"/>
      <c r="Q1337" s="1043">
        <v>32741520</v>
      </c>
      <c r="R1337" s="1043">
        <v>32741520</v>
      </c>
      <c r="S1337" s="1011" t="s">
        <v>2019</v>
      </c>
      <c r="T1337" s="840" t="s">
        <v>2021</v>
      </c>
      <c r="U1337" s="866"/>
      <c r="V1337" s="855"/>
      <c r="W1337" s="842"/>
      <c r="X1337" s="827"/>
      <c r="Y1337" s="827"/>
      <c r="Z1337" s="827"/>
      <c r="AA1337" s="827"/>
      <c r="AB1337" s="1062">
        <v>0</v>
      </c>
      <c r="AC1337" s="1062">
        <v>0</v>
      </c>
      <c r="AD1337" s="1062">
        <v>0</v>
      </c>
      <c r="AE1337" s="1062">
        <v>0</v>
      </c>
      <c r="AF1337" s="1108"/>
      <c r="AG1337" s="1103" t="s">
        <v>2023</v>
      </c>
      <c r="AH1337" s="1103" t="s">
        <v>194</v>
      </c>
      <c r="AI1337" s="1103" t="s">
        <v>1911</v>
      </c>
    </row>
    <row r="1338" spans="1:35" ht="15" customHeight="1">
      <c r="A1338" s="1012"/>
      <c r="B1338" s="1012"/>
      <c r="C1338" s="1012"/>
      <c r="D1338" s="1012"/>
      <c r="E1338" s="1012"/>
      <c r="F1338" s="1012"/>
      <c r="G1338" s="1012"/>
      <c r="H1338" s="1067"/>
      <c r="I1338" s="1067"/>
      <c r="J1338" s="1064"/>
      <c r="K1338" s="1064"/>
      <c r="L1338" s="1064"/>
      <c r="M1338" s="1070"/>
      <c r="N1338" s="1094"/>
      <c r="O1338" s="1064"/>
      <c r="P1338" s="1064"/>
      <c r="Q1338" s="1045"/>
      <c r="R1338" s="1045"/>
      <c r="S1338" s="1012"/>
      <c r="T1338" s="840" t="s">
        <v>2022</v>
      </c>
      <c r="U1338" s="866"/>
      <c r="V1338" s="855"/>
      <c r="W1338" s="842"/>
      <c r="X1338" s="827"/>
      <c r="Y1338" s="827"/>
      <c r="Z1338" s="827"/>
      <c r="AA1338" s="827"/>
      <c r="AB1338" s="1064"/>
      <c r="AC1338" s="1064"/>
      <c r="AD1338" s="1064"/>
      <c r="AE1338" s="1064"/>
      <c r="AF1338" s="1110"/>
      <c r="AG1338" s="1105"/>
      <c r="AH1338" s="1105"/>
      <c r="AI1338" s="1105"/>
    </row>
    <row r="1339" spans="1:35" s="4" customFormat="1" ht="15" customHeight="1">
      <c r="A1339" s="1228" t="s">
        <v>1878</v>
      </c>
      <c r="B1339" s="1228" t="s">
        <v>1876</v>
      </c>
      <c r="C1339" s="1228" t="s">
        <v>71</v>
      </c>
      <c r="D1339" s="1228" t="s">
        <v>1221</v>
      </c>
      <c r="E1339" s="1228" t="s">
        <v>66</v>
      </c>
      <c r="F1339" s="1149" t="s">
        <v>48</v>
      </c>
      <c r="G1339" s="1149" t="s">
        <v>1880</v>
      </c>
      <c r="H1339" s="1009">
        <v>308</v>
      </c>
      <c r="I1339" s="1021" t="s">
        <v>137</v>
      </c>
      <c r="J1339" s="1149">
        <v>100486125</v>
      </c>
      <c r="K1339" s="1149">
        <v>495503165</v>
      </c>
      <c r="L1339" s="1149">
        <v>1092744712</v>
      </c>
      <c r="M1339" s="1068">
        <v>41879</v>
      </c>
      <c r="N1339" s="1234"/>
      <c r="O1339" s="1100"/>
      <c r="P1339" s="1100"/>
      <c r="Q1339" s="1149">
        <v>1092267713</v>
      </c>
      <c r="R1339" s="1149">
        <v>1092267713</v>
      </c>
      <c r="S1339" s="1023"/>
      <c r="T1339" s="840" t="s">
        <v>1875</v>
      </c>
      <c r="U1339" s="842">
        <v>40169128.770000003</v>
      </c>
      <c r="V1339" s="855">
        <v>42209</v>
      </c>
      <c r="W1339" s="1021" t="s">
        <v>137</v>
      </c>
      <c r="X1339" s="1040">
        <v>495191013.69</v>
      </c>
      <c r="Y1339" s="1149">
        <v>703891074.86000001</v>
      </c>
      <c r="Z1339" s="1149">
        <v>0</v>
      </c>
      <c r="AA1339" s="1149">
        <v>0</v>
      </c>
      <c r="AB1339" s="1149">
        <v>0</v>
      </c>
      <c r="AC1339" s="1149">
        <v>476999</v>
      </c>
      <c r="AD1339" s="1149"/>
      <c r="AE1339" s="1149"/>
      <c r="AF1339" s="1149"/>
      <c r="AG1339" s="1149" t="s">
        <v>1881</v>
      </c>
      <c r="AH1339" s="1103" t="s">
        <v>195</v>
      </c>
      <c r="AI1339" s="1103" t="s">
        <v>1619</v>
      </c>
    </row>
    <row r="1340" spans="1:35" s="4" customFormat="1" ht="15" customHeight="1">
      <c r="A1340" s="1228"/>
      <c r="B1340" s="1228"/>
      <c r="C1340" s="1228"/>
      <c r="D1340" s="1228"/>
      <c r="E1340" s="1228"/>
      <c r="F1340" s="1149"/>
      <c r="G1340" s="1149"/>
      <c r="H1340" s="1039"/>
      <c r="I1340" s="1022"/>
      <c r="J1340" s="1149"/>
      <c r="K1340" s="1149"/>
      <c r="L1340" s="1149"/>
      <c r="M1340" s="1069"/>
      <c r="N1340" s="1235"/>
      <c r="O1340" s="1101"/>
      <c r="P1340" s="1101"/>
      <c r="Q1340" s="1149"/>
      <c r="R1340" s="1149"/>
      <c r="S1340" s="1124"/>
      <c r="T1340" s="840" t="s">
        <v>1874</v>
      </c>
      <c r="U1340" s="842">
        <v>29158391.329999998</v>
      </c>
      <c r="V1340" s="855">
        <v>42366</v>
      </c>
      <c r="W1340" s="1022"/>
      <c r="X1340" s="1041"/>
      <c r="Y1340" s="1149"/>
      <c r="Z1340" s="1149"/>
      <c r="AA1340" s="1149"/>
      <c r="AB1340" s="1149"/>
      <c r="AC1340" s="1149"/>
      <c r="AD1340" s="1149"/>
      <c r="AE1340" s="1149"/>
      <c r="AF1340" s="1149"/>
      <c r="AG1340" s="1149"/>
      <c r="AH1340" s="1104"/>
      <c r="AI1340" s="1104"/>
    </row>
    <row r="1341" spans="1:35" s="4" customFormat="1" ht="15" customHeight="1">
      <c r="A1341" s="1228"/>
      <c r="B1341" s="1228"/>
      <c r="C1341" s="1228"/>
      <c r="D1341" s="1228"/>
      <c r="E1341" s="1228"/>
      <c r="F1341" s="1149"/>
      <c r="G1341" s="1149"/>
      <c r="H1341" s="1039"/>
      <c r="I1341" s="1022"/>
      <c r="J1341" s="1149"/>
      <c r="K1341" s="1149"/>
      <c r="L1341" s="1149"/>
      <c r="M1341" s="1069"/>
      <c r="N1341" s="1235"/>
      <c r="O1341" s="1102"/>
      <c r="P1341" s="1102"/>
      <c r="Q1341" s="1149"/>
      <c r="R1341" s="1149"/>
      <c r="S1341" s="1124"/>
      <c r="T1341" s="840" t="s">
        <v>1873</v>
      </c>
      <c r="U1341" s="842">
        <v>24835484.890000001</v>
      </c>
      <c r="V1341" s="855">
        <v>42612</v>
      </c>
      <c r="W1341" s="1022"/>
      <c r="X1341" s="1041"/>
      <c r="Y1341" s="1149"/>
      <c r="Z1341" s="1149"/>
      <c r="AA1341" s="1149"/>
      <c r="AB1341" s="1149"/>
      <c r="AC1341" s="1149"/>
      <c r="AD1341" s="1149"/>
      <c r="AE1341" s="1149"/>
      <c r="AF1341" s="1149"/>
      <c r="AG1341" s="1149"/>
      <c r="AH1341" s="1104"/>
      <c r="AI1341" s="1104"/>
    </row>
    <row r="1342" spans="1:35" s="4" customFormat="1" ht="15" customHeight="1">
      <c r="A1342" s="1228"/>
      <c r="B1342" s="1228"/>
      <c r="C1342" s="1228"/>
      <c r="D1342" s="1228"/>
      <c r="E1342" s="1228"/>
      <c r="F1342" s="1149"/>
      <c r="G1342" s="1149"/>
      <c r="H1342" s="1039"/>
      <c r="I1342" s="1038"/>
      <c r="J1342" s="853"/>
      <c r="K1342" s="1149"/>
      <c r="L1342" s="1149"/>
      <c r="M1342" s="1069"/>
      <c r="N1342" s="1235"/>
      <c r="O1342" s="845"/>
      <c r="P1342" s="845"/>
      <c r="Q1342" s="1149"/>
      <c r="R1342" s="1149"/>
      <c r="S1342" s="1124"/>
      <c r="T1342" s="840"/>
      <c r="U1342" s="83">
        <v>6259816.9299999997</v>
      </c>
      <c r="V1342" s="855">
        <v>43096</v>
      </c>
      <c r="W1342" s="1038"/>
      <c r="X1342" s="1041"/>
      <c r="Y1342" s="1149"/>
      <c r="Z1342" s="1149"/>
      <c r="AA1342" s="1149"/>
      <c r="AB1342" s="1149"/>
      <c r="AC1342" s="1149"/>
      <c r="AD1342" s="1149"/>
      <c r="AE1342" s="1149"/>
      <c r="AF1342" s="1149"/>
      <c r="AG1342" s="1149"/>
      <c r="AH1342" s="1104"/>
      <c r="AI1342" s="1104"/>
    </row>
    <row r="1343" spans="1:35" s="4" customFormat="1" ht="15" customHeight="1">
      <c r="A1343" s="1228"/>
      <c r="B1343" s="1228"/>
      <c r="C1343" s="1228"/>
      <c r="D1343" s="1228"/>
      <c r="E1343" s="1228"/>
      <c r="F1343" s="1149"/>
      <c r="G1343" s="1149"/>
      <c r="H1343" s="1039"/>
      <c r="I1343" s="1021" t="s">
        <v>7</v>
      </c>
      <c r="J1343" s="1149">
        <v>395017040</v>
      </c>
      <c r="K1343" s="1149"/>
      <c r="L1343" s="1149"/>
      <c r="M1343" s="1069"/>
      <c r="N1343" s="1235"/>
      <c r="O1343" s="1100"/>
      <c r="P1343" s="1100"/>
      <c r="Q1343" s="1149"/>
      <c r="R1343" s="1149"/>
      <c r="S1343" s="1124"/>
      <c r="T1343" s="840" t="s">
        <v>1872</v>
      </c>
      <c r="U1343" s="842">
        <v>157907276.71000001</v>
      </c>
      <c r="V1343" s="855">
        <v>42209</v>
      </c>
      <c r="W1343" s="1021" t="s">
        <v>7</v>
      </c>
      <c r="X1343" s="1041"/>
      <c r="Y1343" s="1149"/>
      <c r="Z1343" s="1149"/>
      <c r="AA1343" s="1149"/>
      <c r="AB1343" s="1149"/>
      <c r="AC1343" s="1149"/>
      <c r="AD1343" s="1149"/>
      <c r="AE1343" s="1149"/>
      <c r="AF1343" s="1149"/>
      <c r="AG1343" s="1149"/>
      <c r="AH1343" s="1104"/>
      <c r="AI1343" s="1104"/>
    </row>
    <row r="1344" spans="1:35" s="4" customFormat="1" ht="15" customHeight="1">
      <c r="A1344" s="1228"/>
      <c r="B1344" s="1228"/>
      <c r="C1344" s="1228"/>
      <c r="D1344" s="1228"/>
      <c r="E1344" s="1228"/>
      <c r="F1344" s="1149"/>
      <c r="G1344" s="1149"/>
      <c r="H1344" s="1039"/>
      <c r="I1344" s="1022"/>
      <c r="J1344" s="1149"/>
      <c r="K1344" s="1149"/>
      <c r="L1344" s="1149"/>
      <c r="M1344" s="1069"/>
      <c r="N1344" s="1235"/>
      <c r="O1344" s="1101"/>
      <c r="P1344" s="1101"/>
      <c r="Q1344" s="1149"/>
      <c r="R1344" s="1149"/>
      <c r="S1344" s="1124"/>
      <c r="T1344" s="840" t="s">
        <v>1871</v>
      </c>
      <c r="U1344" s="842">
        <v>114623401.34999999</v>
      </c>
      <c r="V1344" s="855">
        <v>42366</v>
      </c>
      <c r="W1344" s="1022"/>
      <c r="X1344" s="1041"/>
      <c r="Y1344" s="1149"/>
      <c r="Z1344" s="1149"/>
      <c r="AA1344" s="1149"/>
      <c r="AB1344" s="1149"/>
      <c r="AC1344" s="1149"/>
      <c r="AD1344" s="1149"/>
      <c r="AE1344" s="1149"/>
      <c r="AF1344" s="1149"/>
      <c r="AG1344" s="1149"/>
      <c r="AH1344" s="1104"/>
      <c r="AI1344" s="1104"/>
    </row>
    <row r="1345" spans="1:35" s="4" customFormat="1" ht="15" customHeight="1">
      <c r="A1345" s="1228"/>
      <c r="B1345" s="1228"/>
      <c r="C1345" s="1228"/>
      <c r="D1345" s="1228"/>
      <c r="E1345" s="1228"/>
      <c r="F1345" s="1149"/>
      <c r="G1345" s="1149"/>
      <c r="H1345" s="1039"/>
      <c r="I1345" s="1022"/>
      <c r="J1345" s="1149"/>
      <c r="K1345" s="1149"/>
      <c r="L1345" s="1149"/>
      <c r="M1345" s="1070"/>
      <c r="N1345" s="1236"/>
      <c r="O1345" s="1102"/>
      <c r="P1345" s="1102"/>
      <c r="Q1345" s="1149"/>
      <c r="R1345" s="1149"/>
      <c r="S1345" s="1124"/>
      <c r="T1345" s="840" t="s">
        <v>1870</v>
      </c>
      <c r="U1345" s="842">
        <v>59327341.780000001</v>
      </c>
      <c r="V1345" s="855">
        <v>42612</v>
      </c>
      <c r="W1345" s="1022"/>
      <c r="X1345" s="1041"/>
      <c r="Y1345" s="1149"/>
      <c r="Z1345" s="1149"/>
      <c r="AA1345" s="1149"/>
      <c r="AB1345" s="1149"/>
      <c r="AC1345" s="1149"/>
      <c r="AD1345" s="1149"/>
      <c r="AE1345" s="1149"/>
      <c r="AF1345" s="1149"/>
      <c r="AG1345" s="1149"/>
      <c r="AH1345" s="1104"/>
      <c r="AI1345" s="1104"/>
    </row>
    <row r="1346" spans="1:35" s="4" customFormat="1" ht="15" customHeight="1">
      <c r="A1346" s="1228"/>
      <c r="B1346" s="1228"/>
      <c r="C1346" s="1228"/>
      <c r="D1346" s="1228"/>
      <c r="E1346" s="1228"/>
      <c r="F1346" s="1149"/>
      <c r="G1346" s="1149"/>
      <c r="H1346" s="1010"/>
      <c r="I1346" s="1038"/>
      <c r="J1346" s="853"/>
      <c r="K1346" s="802"/>
      <c r="L1346" s="1149"/>
      <c r="M1346" s="817"/>
      <c r="N1346" s="869"/>
      <c r="O1346" s="845"/>
      <c r="P1346" s="845"/>
      <c r="Q1346" s="1149"/>
      <c r="R1346" s="1149"/>
      <c r="S1346" s="1124"/>
      <c r="T1346" s="840"/>
      <c r="U1346" s="83">
        <v>62910171.93</v>
      </c>
      <c r="V1346" s="855">
        <v>43096</v>
      </c>
      <c r="W1346" s="1038"/>
      <c r="X1346" s="1042"/>
      <c r="Y1346" s="1149"/>
      <c r="Z1346" s="1149"/>
      <c r="AA1346" s="1149"/>
      <c r="AB1346" s="1149"/>
      <c r="AC1346" s="1149"/>
      <c r="AD1346" s="1149"/>
      <c r="AE1346" s="1149"/>
      <c r="AF1346" s="1149"/>
      <c r="AG1346" s="1149"/>
      <c r="AH1346" s="1104"/>
      <c r="AI1346" s="1104"/>
    </row>
    <row r="1347" spans="1:35" s="4" customFormat="1" ht="15" customHeight="1">
      <c r="A1347" s="1228"/>
      <c r="B1347" s="1228"/>
      <c r="C1347" s="1228"/>
      <c r="D1347" s="1228"/>
      <c r="E1347" s="1228"/>
      <c r="F1347" s="1149"/>
      <c r="G1347" s="1149"/>
      <c r="H1347" s="1009">
        <v>7</v>
      </c>
      <c r="I1347" s="1021" t="s">
        <v>166</v>
      </c>
      <c r="J1347" s="1149">
        <v>261676154</v>
      </c>
      <c r="K1347" s="1023">
        <v>261676154</v>
      </c>
      <c r="L1347" s="1149"/>
      <c r="M1347" s="1068">
        <v>41879</v>
      </c>
      <c r="N1347" s="1234"/>
      <c r="O1347" s="1234"/>
      <c r="P1347" s="1234"/>
      <c r="Q1347" s="1149"/>
      <c r="R1347" s="1149"/>
      <c r="S1347" s="1124"/>
      <c r="T1347" s="840" t="s">
        <v>1869</v>
      </c>
      <c r="U1347" s="842">
        <v>104604522.52</v>
      </c>
      <c r="V1347" s="855">
        <v>42209</v>
      </c>
      <c r="W1347" s="1021" t="s">
        <v>166</v>
      </c>
      <c r="X1347" s="1043">
        <v>261511303.30999994</v>
      </c>
      <c r="Y1347" s="1149"/>
      <c r="Z1347" s="1149"/>
      <c r="AA1347" s="1149"/>
      <c r="AB1347" s="1149"/>
      <c r="AC1347" s="1149"/>
      <c r="AD1347" s="1149"/>
      <c r="AE1347" s="1149"/>
      <c r="AF1347" s="1149"/>
      <c r="AG1347" s="1149"/>
      <c r="AH1347" s="1104"/>
      <c r="AI1347" s="1104"/>
    </row>
    <row r="1348" spans="1:35" s="4" customFormat="1" ht="15" customHeight="1">
      <c r="A1348" s="1228"/>
      <c r="B1348" s="1228"/>
      <c r="C1348" s="1228"/>
      <c r="D1348" s="1228"/>
      <c r="E1348" s="1228"/>
      <c r="F1348" s="1149"/>
      <c r="G1348" s="1149"/>
      <c r="H1348" s="1039"/>
      <c r="I1348" s="1022"/>
      <c r="J1348" s="1149"/>
      <c r="K1348" s="1124"/>
      <c r="L1348" s="1149"/>
      <c r="M1348" s="1069"/>
      <c r="N1348" s="1235"/>
      <c r="O1348" s="1235"/>
      <c r="P1348" s="1235"/>
      <c r="Q1348" s="1149"/>
      <c r="R1348" s="1149"/>
      <c r="S1348" s="1124"/>
      <c r="T1348" s="840" t="s">
        <v>1868</v>
      </c>
      <c r="U1348" s="842">
        <v>75931435.319999993</v>
      </c>
      <c r="V1348" s="855">
        <v>42366</v>
      </c>
      <c r="W1348" s="1022"/>
      <c r="X1348" s="1044"/>
      <c r="Y1348" s="1149"/>
      <c r="Z1348" s="1149"/>
      <c r="AA1348" s="1149"/>
      <c r="AB1348" s="1149"/>
      <c r="AC1348" s="1149"/>
      <c r="AD1348" s="1149"/>
      <c r="AE1348" s="1149"/>
      <c r="AF1348" s="1149"/>
      <c r="AG1348" s="1149"/>
      <c r="AH1348" s="1104"/>
      <c r="AI1348" s="1104"/>
    </row>
    <row r="1349" spans="1:35" s="4" customFormat="1" ht="15" customHeight="1">
      <c r="A1349" s="1228"/>
      <c r="B1349" s="1228"/>
      <c r="C1349" s="1228"/>
      <c r="D1349" s="1228"/>
      <c r="E1349" s="1228"/>
      <c r="F1349" s="1149"/>
      <c r="G1349" s="1149"/>
      <c r="H1349" s="1039"/>
      <c r="I1349" s="1022"/>
      <c r="J1349" s="1149"/>
      <c r="K1349" s="1024"/>
      <c r="L1349" s="1149"/>
      <c r="M1349" s="1070"/>
      <c r="N1349" s="1236"/>
      <c r="O1349" s="1236"/>
      <c r="P1349" s="1236"/>
      <c r="Q1349" s="1149"/>
      <c r="R1349" s="1149"/>
      <c r="S1349" s="1124"/>
      <c r="T1349" s="840" t="s">
        <v>1867</v>
      </c>
      <c r="U1349" s="842">
        <v>28164103.329999998</v>
      </c>
      <c r="V1349" s="855">
        <v>42612</v>
      </c>
      <c r="W1349" s="1022"/>
      <c r="X1349" s="1044"/>
      <c r="Y1349" s="1149"/>
      <c r="Z1349" s="1149"/>
      <c r="AA1349" s="1149"/>
      <c r="AB1349" s="1149"/>
      <c r="AC1349" s="1149"/>
      <c r="AD1349" s="1149"/>
      <c r="AE1349" s="1149"/>
      <c r="AF1349" s="1149"/>
      <c r="AG1349" s="1149"/>
      <c r="AH1349" s="1104"/>
      <c r="AI1349" s="1104"/>
    </row>
    <row r="1350" spans="1:35" s="4" customFormat="1" ht="15" customHeight="1">
      <c r="A1350" s="1228"/>
      <c r="B1350" s="1228"/>
      <c r="C1350" s="1228"/>
      <c r="D1350" s="1228"/>
      <c r="E1350" s="1228"/>
      <c r="F1350" s="1149"/>
      <c r="G1350" s="1149"/>
      <c r="H1350" s="1010"/>
      <c r="I1350" s="1038"/>
      <c r="J1350" s="853"/>
      <c r="K1350" s="803"/>
      <c r="L1350" s="1149"/>
      <c r="M1350" s="818"/>
      <c r="N1350" s="870"/>
      <c r="O1350" s="870"/>
      <c r="P1350" s="870"/>
      <c r="Q1350" s="1149"/>
      <c r="R1350" s="1149"/>
      <c r="S1350" s="1124"/>
      <c r="T1350" s="840"/>
      <c r="U1350" s="842">
        <v>52811242.139999993</v>
      </c>
      <c r="V1350" s="855">
        <v>43096</v>
      </c>
      <c r="W1350" s="1038"/>
      <c r="X1350" s="1045"/>
      <c r="Y1350" s="1149"/>
      <c r="Z1350" s="1149"/>
      <c r="AA1350" s="1149"/>
      <c r="AB1350" s="1149"/>
      <c r="AC1350" s="1149"/>
      <c r="AD1350" s="1149"/>
      <c r="AE1350" s="1149"/>
      <c r="AF1350" s="1149"/>
      <c r="AG1350" s="1149"/>
      <c r="AH1350" s="1104"/>
      <c r="AI1350" s="1104"/>
    </row>
    <row r="1351" spans="1:35" s="4" customFormat="1" ht="15" customHeight="1">
      <c r="A1351" s="1228"/>
      <c r="B1351" s="1228"/>
      <c r="C1351" s="1228"/>
      <c r="D1351" s="1228"/>
      <c r="E1351" s="1228"/>
      <c r="F1351" s="1149"/>
      <c r="G1351" s="1149"/>
      <c r="H1351" s="861">
        <v>3562</v>
      </c>
      <c r="I1351" s="842" t="s">
        <v>166</v>
      </c>
      <c r="J1351" s="853">
        <v>335565393</v>
      </c>
      <c r="K1351" s="853">
        <v>335565393</v>
      </c>
      <c r="L1351" s="1149"/>
      <c r="M1351" s="855">
        <v>42971</v>
      </c>
      <c r="N1351" s="874"/>
      <c r="O1351" s="875"/>
      <c r="P1351" s="875"/>
      <c r="Q1351" s="1149"/>
      <c r="R1351" s="1149"/>
      <c r="S1351" s="1024"/>
      <c r="T1351" s="840"/>
      <c r="U1351" s="842">
        <v>132473949</v>
      </c>
      <c r="V1351" s="855">
        <v>43096</v>
      </c>
      <c r="W1351" s="842" t="s">
        <v>166</v>
      </c>
      <c r="X1351" s="827">
        <v>132473949</v>
      </c>
      <c r="Y1351" s="1149"/>
      <c r="Z1351" s="1149"/>
      <c r="AA1351" s="1149"/>
      <c r="AB1351" s="1149"/>
      <c r="AC1351" s="1149"/>
      <c r="AD1351" s="1149"/>
      <c r="AE1351" s="1149"/>
      <c r="AF1351" s="1149"/>
      <c r="AG1351" s="1149"/>
      <c r="AH1351" s="1105"/>
      <c r="AI1351" s="1105"/>
    </row>
    <row r="1352" spans="1:35" ht="15" customHeight="1">
      <c r="A1352" s="1011" t="s">
        <v>1823</v>
      </c>
      <c r="B1352" s="1011" t="s">
        <v>1825</v>
      </c>
      <c r="C1352" s="1011" t="s">
        <v>72</v>
      </c>
      <c r="D1352" s="1011" t="s">
        <v>206</v>
      </c>
      <c r="E1352" s="1011" t="s">
        <v>66</v>
      </c>
      <c r="F1352" s="1011" t="s">
        <v>50</v>
      </c>
      <c r="G1352" s="1011" t="s">
        <v>1827</v>
      </c>
      <c r="H1352" s="1009">
        <v>4</v>
      </c>
      <c r="I1352" s="1065" t="s">
        <v>146</v>
      </c>
      <c r="J1352" s="1062">
        <v>270307840</v>
      </c>
      <c r="K1352" s="1062">
        <v>270307840</v>
      </c>
      <c r="L1352" s="1062">
        <v>338554524</v>
      </c>
      <c r="M1352" s="1068">
        <v>41936</v>
      </c>
      <c r="N1352" s="1092">
        <v>270307840</v>
      </c>
      <c r="O1352" s="1092">
        <v>270307840</v>
      </c>
      <c r="P1352" s="1092">
        <v>0</v>
      </c>
      <c r="Q1352" s="1043">
        <v>270270270</v>
      </c>
      <c r="R1352" s="1062">
        <v>338516954</v>
      </c>
      <c r="S1352" s="1011" t="s">
        <v>1826</v>
      </c>
      <c r="T1352" s="840" t="s">
        <v>1828</v>
      </c>
      <c r="U1352" s="866">
        <v>27027027</v>
      </c>
      <c r="V1352" s="855">
        <v>42230</v>
      </c>
      <c r="W1352" s="842" t="s">
        <v>146</v>
      </c>
      <c r="X1352" s="1043">
        <v>227235328.53999999</v>
      </c>
      <c r="Y1352" s="1043">
        <v>227235328.53999999</v>
      </c>
      <c r="Z1352" s="827">
        <v>0</v>
      </c>
      <c r="AA1352" s="1043">
        <v>43072511.460000008</v>
      </c>
      <c r="AB1352" s="1062">
        <v>108828200.46000001</v>
      </c>
      <c r="AC1352" s="1062">
        <v>37570</v>
      </c>
      <c r="AD1352" s="1062">
        <v>2453425</v>
      </c>
      <c r="AE1352" s="1062"/>
      <c r="AF1352" s="1108"/>
      <c r="AG1352" s="1103" t="s">
        <v>1831</v>
      </c>
      <c r="AH1352" s="1103" t="s">
        <v>194</v>
      </c>
      <c r="AI1352" s="1103" t="s">
        <v>1619</v>
      </c>
    </row>
    <row r="1353" spans="1:35" ht="15" customHeight="1">
      <c r="A1353" s="1033"/>
      <c r="B1353" s="1033"/>
      <c r="C1353" s="1033"/>
      <c r="D1353" s="1033"/>
      <c r="E1353" s="1033"/>
      <c r="F1353" s="1033"/>
      <c r="G1353" s="1033"/>
      <c r="H1353" s="1039"/>
      <c r="I1353" s="1066"/>
      <c r="J1353" s="1063"/>
      <c r="K1353" s="1063"/>
      <c r="L1353" s="1063"/>
      <c r="M1353" s="1069"/>
      <c r="N1353" s="1093"/>
      <c r="O1353" s="1093"/>
      <c r="P1353" s="1093"/>
      <c r="Q1353" s="1044"/>
      <c r="R1353" s="1063"/>
      <c r="S1353" s="1033"/>
      <c r="T1353" s="840" t="s">
        <v>1829</v>
      </c>
      <c r="U1353" s="866">
        <v>153243243.09999999</v>
      </c>
      <c r="V1353" s="855">
        <v>42619</v>
      </c>
      <c r="W1353" s="842" t="s">
        <v>146</v>
      </c>
      <c r="X1353" s="1044"/>
      <c r="Y1353" s="1044"/>
      <c r="Z1353" s="827">
        <v>0</v>
      </c>
      <c r="AA1353" s="1044"/>
      <c r="AB1353" s="1063"/>
      <c r="AC1353" s="1063"/>
      <c r="AD1353" s="1063"/>
      <c r="AE1353" s="1063"/>
      <c r="AF1353" s="1109"/>
      <c r="AG1353" s="1104"/>
      <c r="AH1353" s="1104"/>
      <c r="AI1353" s="1104"/>
    </row>
    <row r="1354" spans="1:35" ht="15" customHeight="1">
      <c r="A1354" s="1033"/>
      <c r="B1354" s="1033"/>
      <c r="C1354" s="1033"/>
      <c r="D1354" s="1033"/>
      <c r="E1354" s="1033"/>
      <c r="F1354" s="1033"/>
      <c r="G1354" s="1033"/>
      <c r="H1354" s="1039"/>
      <c r="I1354" s="1066"/>
      <c r="J1354" s="1063"/>
      <c r="K1354" s="1063"/>
      <c r="L1354" s="1063"/>
      <c r="M1354" s="1069"/>
      <c r="N1354" s="1093"/>
      <c r="O1354" s="1093"/>
      <c r="P1354" s="1093"/>
      <c r="Q1354" s="1044"/>
      <c r="R1354" s="1063"/>
      <c r="S1354" s="1033"/>
      <c r="T1354" s="840" t="s">
        <v>1830</v>
      </c>
      <c r="U1354" s="866">
        <v>46965058.439999998</v>
      </c>
      <c r="V1354" s="855">
        <v>42909</v>
      </c>
      <c r="W1354" s="842" t="s">
        <v>146</v>
      </c>
      <c r="X1354" s="1044"/>
      <c r="Y1354" s="1044"/>
      <c r="Z1354" s="827">
        <v>0</v>
      </c>
      <c r="AA1354" s="1044"/>
      <c r="AB1354" s="1063"/>
      <c r="AC1354" s="1063"/>
      <c r="AD1354" s="1063"/>
      <c r="AE1354" s="1063"/>
      <c r="AF1354" s="1109"/>
      <c r="AG1354" s="1104"/>
      <c r="AH1354" s="1104"/>
      <c r="AI1354" s="1104"/>
    </row>
    <row r="1355" spans="1:35" ht="15" customHeight="1">
      <c r="A1355" s="1033"/>
      <c r="B1355" s="1033"/>
      <c r="C1355" s="1033"/>
      <c r="D1355" s="1033"/>
      <c r="E1355" s="1012"/>
      <c r="F1355" s="1033"/>
      <c r="G1355" s="1033"/>
      <c r="H1355" s="1010"/>
      <c r="I1355" s="1067"/>
      <c r="J1355" s="1064"/>
      <c r="K1355" s="1064"/>
      <c r="L1355" s="1063"/>
      <c r="M1355" s="1070"/>
      <c r="N1355" s="1094"/>
      <c r="O1355" s="1094"/>
      <c r="P1355" s="1094"/>
      <c r="Q1355" s="1045"/>
      <c r="R1355" s="1063"/>
      <c r="S1355" s="1033"/>
      <c r="T1355" s="840" t="s">
        <v>809</v>
      </c>
      <c r="U1355" s="866">
        <v>0</v>
      </c>
      <c r="V1355" s="855"/>
      <c r="W1355" s="842"/>
      <c r="X1355" s="1045"/>
      <c r="Y1355" s="1044"/>
      <c r="Z1355" s="827">
        <v>40581516.460000008</v>
      </c>
      <c r="AA1355" s="1045"/>
      <c r="AB1355" s="1063"/>
      <c r="AC1355" s="1064"/>
      <c r="AD1355" s="1064"/>
      <c r="AE1355" s="1064"/>
      <c r="AF1355" s="1109"/>
      <c r="AG1355" s="1104"/>
      <c r="AH1355" s="1104"/>
      <c r="AI1355" s="1104"/>
    </row>
    <row r="1356" spans="1:35" ht="15" customHeight="1">
      <c r="A1356" s="1012"/>
      <c r="B1356" s="1012"/>
      <c r="C1356" s="1012"/>
      <c r="D1356" s="1012"/>
      <c r="E1356" s="823" t="s">
        <v>67</v>
      </c>
      <c r="F1356" s="1012"/>
      <c r="G1356" s="1012"/>
      <c r="H1356" s="861">
        <v>174</v>
      </c>
      <c r="I1356" s="840" t="s">
        <v>7</v>
      </c>
      <c r="J1356" s="858">
        <v>68246684</v>
      </c>
      <c r="K1356" s="858">
        <v>68246684</v>
      </c>
      <c r="L1356" s="1064"/>
      <c r="M1356" s="855">
        <v>40745</v>
      </c>
      <c r="N1356" s="862"/>
      <c r="O1356" s="858"/>
      <c r="P1356" s="858"/>
      <c r="Q1356" s="827">
        <v>68246684</v>
      </c>
      <c r="R1356" s="1064"/>
      <c r="S1356" s="1012"/>
      <c r="T1356" s="840" t="s">
        <v>809</v>
      </c>
      <c r="U1356" s="866">
        <v>0</v>
      </c>
      <c r="V1356" s="855"/>
      <c r="W1356" s="842"/>
      <c r="X1356" s="827">
        <v>0</v>
      </c>
      <c r="Y1356" s="1045"/>
      <c r="Z1356" s="827">
        <v>68246684</v>
      </c>
      <c r="AA1356" s="827">
        <v>68246684</v>
      </c>
      <c r="AB1356" s="1064"/>
      <c r="AC1356" s="858">
        <v>0</v>
      </c>
      <c r="AD1356" s="858">
        <v>0</v>
      </c>
      <c r="AE1356" s="858"/>
      <c r="AF1356" s="1110"/>
      <c r="AG1356" s="1105"/>
      <c r="AH1356" s="1105"/>
      <c r="AI1356" s="1105"/>
    </row>
    <row r="1357" spans="1:35" ht="15" customHeight="1">
      <c r="A1357" s="1011" t="s">
        <v>1832</v>
      </c>
      <c r="B1357" s="1011" t="s">
        <v>1834</v>
      </c>
      <c r="C1357" s="1011" t="s">
        <v>72</v>
      </c>
      <c r="D1357" s="1011" t="s">
        <v>206</v>
      </c>
      <c r="E1357" s="1011" t="s">
        <v>66</v>
      </c>
      <c r="F1357" s="1011" t="s">
        <v>1844</v>
      </c>
      <c r="G1357" s="1011" t="s">
        <v>1836</v>
      </c>
      <c r="H1357" s="1009">
        <v>5</v>
      </c>
      <c r="I1357" s="1065" t="s">
        <v>141</v>
      </c>
      <c r="J1357" s="1062">
        <v>457820970</v>
      </c>
      <c r="K1357" s="1062">
        <v>457820970</v>
      </c>
      <c r="L1357" s="1062">
        <v>686270210</v>
      </c>
      <c r="M1357" s="1068">
        <v>41914</v>
      </c>
      <c r="N1357" s="1092">
        <v>457820970</v>
      </c>
      <c r="O1357" s="1092">
        <v>457820970</v>
      </c>
      <c r="P1357" s="1092">
        <v>0</v>
      </c>
      <c r="Q1357" s="1043">
        <v>457816392</v>
      </c>
      <c r="R1357" s="1062">
        <v>686265632</v>
      </c>
      <c r="S1357" s="1011" t="s">
        <v>1835</v>
      </c>
      <c r="T1357" s="840" t="s">
        <v>1837</v>
      </c>
      <c r="U1357" s="866">
        <v>45781639.200000003</v>
      </c>
      <c r="V1357" s="855">
        <v>42366</v>
      </c>
      <c r="W1357" s="842" t="s">
        <v>141</v>
      </c>
      <c r="X1357" s="1043">
        <v>457816392</v>
      </c>
      <c r="Y1357" s="1043">
        <v>474180441</v>
      </c>
      <c r="Z1357" s="827">
        <v>0</v>
      </c>
      <c r="AA1357" s="1043">
        <v>4578</v>
      </c>
      <c r="AB1357" s="1062">
        <v>-16364049</v>
      </c>
      <c r="AC1357" s="1062">
        <v>4578</v>
      </c>
      <c r="AD1357" s="1062">
        <v>-16364049</v>
      </c>
      <c r="AE1357" s="1062"/>
      <c r="AF1357" s="1108"/>
      <c r="AG1357" s="1195" t="s">
        <v>1839</v>
      </c>
      <c r="AH1357" s="1103" t="s">
        <v>194</v>
      </c>
      <c r="AI1357" s="1103" t="s">
        <v>1619</v>
      </c>
    </row>
    <row r="1358" spans="1:35" ht="15" customHeight="1">
      <c r="A1358" s="1033"/>
      <c r="B1358" s="1033"/>
      <c r="C1358" s="1033"/>
      <c r="D1358" s="1033"/>
      <c r="E1358" s="1033"/>
      <c r="F1358" s="1033"/>
      <c r="G1358" s="1033"/>
      <c r="H1358" s="1039"/>
      <c r="I1358" s="1066"/>
      <c r="J1358" s="1063"/>
      <c r="K1358" s="1063"/>
      <c r="L1358" s="1063"/>
      <c r="M1358" s="1069"/>
      <c r="N1358" s="1093"/>
      <c r="O1358" s="1093"/>
      <c r="P1358" s="1093"/>
      <c r="Q1358" s="1044"/>
      <c r="R1358" s="1063"/>
      <c r="S1358" s="1033"/>
      <c r="T1358" s="840" t="s">
        <v>1838</v>
      </c>
      <c r="U1358" s="866">
        <v>70661966.400000006</v>
      </c>
      <c r="V1358" s="855">
        <v>42859</v>
      </c>
      <c r="W1358" s="842" t="s">
        <v>141</v>
      </c>
      <c r="X1358" s="1044"/>
      <c r="Y1358" s="1044"/>
      <c r="Z1358" s="827">
        <v>0</v>
      </c>
      <c r="AA1358" s="1044"/>
      <c r="AB1358" s="1063"/>
      <c r="AC1358" s="1063"/>
      <c r="AD1358" s="1063"/>
      <c r="AE1358" s="1063"/>
      <c r="AF1358" s="1109"/>
      <c r="AG1358" s="1104"/>
      <c r="AH1358" s="1104"/>
      <c r="AI1358" s="1104"/>
    </row>
    <row r="1359" spans="1:35" ht="15" customHeight="1">
      <c r="A1359" s="1033"/>
      <c r="B1359" s="1033"/>
      <c r="C1359" s="1033"/>
      <c r="D1359" s="1033"/>
      <c r="E1359" s="1033"/>
      <c r="F1359" s="1033"/>
      <c r="G1359" s="1033"/>
      <c r="H1359" s="1039"/>
      <c r="I1359" s="1066"/>
      <c r="J1359" s="1063"/>
      <c r="K1359" s="1063"/>
      <c r="L1359" s="1063"/>
      <c r="M1359" s="1069"/>
      <c r="N1359" s="1093"/>
      <c r="O1359" s="1093"/>
      <c r="P1359" s="1093"/>
      <c r="Q1359" s="1044"/>
      <c r="R1359" s="1063"/>
      <c r="S1359" s="1033"/>
      <c r="T1359" s="889" t="s">
        <v>2720</v>
      </c>
      <c r="U1359" s="866">
        <v>341372786.39999998</v>
      </c>
      <c r="V1359" s="855">
        <v>43196</v>
      </c>
      <c r="W1359" s="842"/>
      <c r="X1359" s="1044"/>
      <c r="Y1359" s="1044"/>
      <c r="Z1359" s="827">
        <v>0</v>
      </c>
      <c r="AA1359" s="1044"/>
      <c r="AB1359" s="1063"/>
      <c r="AC1359" s="1063"/>
      <c r="AD1359" s="1063"/>
      <c r="AE1359" s="1063"/>
      <c r="AF1359" s="1109"/>
      <c r="AG1359" s="1104"/>
      <c r="AH1359" s="1104"/>
      <c r="AI1359" s="1104"/>
    </row>
    <row r="1360" spans="1:35" ht="15" customHeight="1">
      <c r="A1360" s="1033"/>
      <c r="B1360" s="1033"/>
      <c r="C1360" s="1033"/>
      <c r="D1360" s="1033"/>
      <c r="E1360" s="1012"/>
      <c r="F1360" s="1033"/>
      <c r="G1360" s="1033"/>
      <c r="H1360" s="1010"/>
      <c r="I1360" s="1067"/>
      <c r="J1360" s="1064"/>
      <c r="K1360" s="1064"/>
      <c r="L1360" s="1063"/>
      <c r="M1360" s="1070"/>
      <c r="N1360" s="1094"/>
      <c r="O1360" s="1094"/>
      <c r="P1360" s="1094"/>
      <c r="Q1360" s="1045"/>
      <c r="R1360" s="1063"/>
      <c r="S1360" s="1033"/>
      <c r="T1360" s="840"/>
      <c r="U1360" s="866"/>
      <c r="V1360" s="855"/>
      <c r="W1360" s="842"/>
      <c r="X1360" s="1045"/>
      <c r="Y1360" s="1044"/>
      <c r="Z1360" s="827">
        <v>0</v>
      </c>
      <c r="AA1360" s="1045"/>
      <c r="AB1360" s="1063"/>
      <c r="AC1360" s="1064"/>
      <c r="AD1360" s="1064"/>
      <c r="AE1360" s="1064"/>
      <c r="AF1360" s="1109"/>
      <c r="AG1360" s="1104"/>
      <c r="AH1360" s="1104"/>
      <c r="AI1360" s="1104"/>
    </row>
    <row r="1361" spans="1:35" ht="15" customHeight="1">
      <c r="A1361" s="1033"/>
      <c r="B1361" s="1033"/>
      <c r="C1361" s="1033"/>
      <c r="D1361" s="1033"/>
      <c r="E1361" s="1011" t="s">
        <v>67</v>
      </c>
      <c r="F1361" s="1033"/>
      <c r="G1361" s="1033"/>
      <c r="H1361" s="1009">
        <v>2295</v>
      </c>
      <c r="I1361" s="1065" t="s">
        <v>141</v>
      </c>
      <c r="J1361" s="1062">
        <v>228449240</v>
      </c>
      <c r="K1361" s="1062">
        <v>228449240</v>
      </c>
      <c r="L1361" s="1063"/>
      <c r="M1361" s="1068">
        <v>42779</v>
      </c>
      <c r="N1361" s="1092">
        <v>228449240</v>
      </c>
      <c r="O1361" s="1092">
        <v>228449240</v>
      </c>
      <c r="P1361" s="1092">
        <v>0</v>
      </c>
      <c r="Q1361" s="1043">
        <v>228449240</v>
      </c>
      <c r="R1361" s="1063"/>
      <c r="S1361" s="1033"/>
      <c r="T1361" s="840" t="s">
        <v>2661</v>
      </c>
      <c r="U1361" s="866">
        <v>16364049</v>
      </c>
      <c r="V1361" s="855">
        <v>43196</v>
      </c>
      <c r="W1361" s="842" t="s">
        <v>141</v>
      </c>
      <c r="X1361" s="1043">
        <v>16364049</v>
      </c>
      <c r="Y1361" s="1044"/>
      <c r="Z1361" s="827">
        <v>0</v>
      </c>
      <c r="AA1361" s="1043"/>
      <c r="AB1361" s="1063"/>
      <c r="AC1361" s="1062">
        <v>0</v>
      </c>
      <c r="AD1361" s="1062">
        <v>228449240</v>
      </c>
      <c r="AE1361" s="1062"/>
      <c r="AF1361" s="1109"/>
      <c r="AG1361" s="1104"/>
      <c r="AH1361" s="1104"/>
      <c r="AI1361" s="1104"/>
    </row>
    <row r="1362" spans="1:35" ht="15" customHeight="1">
      <c r="A1362" s="1012"/>
      <c r="B1362" s="1012"/>
      <c r="C1362" s="1012"/>
      <c r="D1362" s="1012"/>
      <c r="E1362" s="1012"/>
      <c r="F1362" s="1012"/>
      <c r="G1362" s="1012"/>
      <c r="H1362" s="1010"/>
      <c r="I1362" s="1067"/>
      <c r="J1362" s="1064"/>
      <c r="K1362" s="1064"/>
      <c r="L1362" s="1064"/>
      <c r="M1362" s="1070"/>
      <c r="N1362" s="1094"/>
      <c r="O1362" s="1094"/>
      <c r="P1362" s="1094"/>
      <c r="Q1362" s="1045"/>
      <c r="R1362" s="1064"/>
      <c r="S1362" s="1012"/>
      <c r="T1362" s="912"/>
      <c r="U1362" s="866"/>
      <c r="V1362" s="855"/>
      <c r="W1362" s="842"/>
      <c r="X1362" s="1045"/>
      <c r="Y1362" s="1045"/>
      <c r="Z1362" s="827">
        <v>0</v>
      </c>
      <c r="AA1362" s="1045"/>
      <c r="AB1362" s="1064"/>
      <c r="AC1362" s="1064"/>
      <c r="AD1362" s="1064"/>
      <c r="AE1362" s="1064"/>
      <c r="AF1362" s="1110"/>
      <c r="AG1362" s="1105"/>
      <c r="AH1362" s="1105"/>
      <c r="AI1362" s="1105"/>
    </row>
    <row r="1363" spans="1:35" s="4" customFormat="1" ht="15" customHeight="1">
      <c r="A1363" s="1023" t="s">
        <v>1879</v>
      </c>
      <c r="B1363" s="853" t="s">
        <v>1864</v>
      </c>
      <c r="C1363" s="853" t="s">
        <v>70</v>
      </c>
      <c r="D1363" s="853" t="s">
        <v>206</v>
      </c>
      <c r="E1363" s="853" t="s">
        <v>66</v>
      </c>
      <c r="F1363" s="853" t="s">
        <v>48</v>
      </c>
      <c r="G1363" s="853" t="s">
        <v>1863</v>
      </c>
      <c r="H1363" s="1009">
        <v>309</v>
      </c>
      <c r="I1363" s="1021" t="s">
        <v>137</v>
      </c>
      <c r="J1363" s="1023">
        <v>60574346</v>
      </c>
      <c r="K1363" s="1023">
        <v>60574346</v>
      </c>
      <c r="L1363" s="853"/>
      <c r="M1363" s="855"/>
      <c r="N1363" s="874"/>
      <c r="O1363" s="875"/>
      <c r="P1363" s="875"/>
      <c r="Q1363" s="853">
        <v>60473700</v>
      </c>
      <c r="R1363" s="853">
        <v>60473700</v>
      </c>
      <c r="S1363" s="853"/>
      <c r="T1363" s="890" t="s">
        <v>1862</v>
      </c>
      <c r="U1363" s="842">
        <v>43195500</v>
      </c>
      <c r="V1363" s="855">
        <v>42685</v>
      </c>
      <c r="W1363" s="1021" t="s">
        <v>137</v>
      </c>
      <c r="X1363" s="853">
        <v>43195500</v>
      </c>
      <c r="Y1363" s="853">
        <v>43195500</v>
      </c>
      <c r="Z1363" s="853">
        <v>0</v>
      </c>
      <c r="AA1363" s="853">
        <v>0</v>
      </c>
      <c r="AB1363" s="853"/>
      <c r="AC1363" s="853">
        <v>100646</v>
      </c>
      <c r="AD1363" s="853"/>
      <c r="AE1363" s="853"/>
      <c r="AF1363" s="853"/>
      <c r="AG1363" s="853" t="s">
        <v>1882</v>
      </c>
      <c r="AH1363" s="864" t="s">
        <v>195</v>
      </c>
      <c r="AI1363" s="864" t="s">
        <v>1619</v>
      </c>
    </row>
    <row r="1364" spans="1:35" s="4" customFormat="1" ht="15" customHeight="1">
      <c r="A1364" s="1124"/>
      <c r="B1364" s="802"/>
      <c r="C1364" s="804"/>
      <c r="D1364" s="804"/>
      <c r="E1364" s="804"/>
      <c r="F1364" s="804"/>
      <c r="G1364" s="802"/>
      <c r="H1364" s="1010"/>
      <c r="I1364" s="1022"/>
      <c r="J1364" s="1024"/>
      <c r="K1364" s="1024"/>
      <c r="L1364" s="802"/>
      <c r="M1364" s="816"/>
      <c r="N1364" s="868"/>
      <c r="O1364" s="844"/>
      <c r="P1364" s="844"/>
      <c r="Q1364" s="802"/>
      <c r="R1364" s="802"/>
      <c r="S1364" s="802"/>
      <c r="T1364" s="890" t="s">
        <v>2700</v>
      </c>
      <c r="U1364" s="842">
        <v>17278200</v>
      </c>
      <c r="V1364" s="855">
        <v>43088</v>
      </c>
      <c r="W1364" s="1022"/>
      <c r="X1364" s="802"/>
      <c r="Y1364" s="802"/>
      <c r="Z1364" s="853"/>
      <c r="AA1364" s="802"/>
      <c r="AB1364" s="802"/>
      <c r="AC1364" s="802"/>
      <c r="AD1364" s="802"/>
      <c r="AE1364" s="802"/>
      <c r="AF1364" s="802"/>
      <c r="AG1364" s="802"/>
      <c r="AH1364" s="834"/>
      <c r="AI1364" s="834"/>
    </row>
    <row r="1365" spans="1:35" s="4" customFormat="1" ht="15" customHeight="1">
      <c r="A1365" s="1124"/>
      <c r="B1365" s="802"/>
      <c r="C1365" s="804"/>
      <c r="D1365" s="804"/>
      <c r="E1365" s="804"/>
      <c r="F1365" s="804"/>
      <c r="G1365" s="802"/>
      <c r="H1365" s="1028">
        <v>3563</v>
      </c>
      <c r="I1365" s="1021" t="s">
        <v>166</v>
      </c>
      <c r="J1365" s="804"/>
      <c r="K1365" s="804"/>
      <c r="L1365" s="802"/>
      <c r="M1365" s="816"/>
      <c r="N1365" s="868"/>
      <c r="O1365" s="844"/>
      <c r="P1365" s="844"/>
      <c r="Q1365" s="802"/>
      <c r="R1365" s="802"/>
      <c r="S1365" s="802"/>
      <c r="T1365" s="890" t="s">
        <v>2701</v>
      </c>
      <c r="U1365" s="842">
        <v>8360700</v>
      </c>
      <c r="V1365" s="855">
        <v>43088</v>
      </c>
      <c r="W1365" s="842" t="s">
        <v>166</v>
      </c>
      <c r="X1365" s="802"/>
      <c r="Y1365" s="802"/>
      <c r="Z1365" s="853"/>
      <c r="AA1365" s="802"/>
      <c r="AB1365" s="802"/>
      <c r="AC1365" s="802"/>
      <c r="AD1365" s="802"/>
      <c r="AE1365" s="802"/>
      <c r="AF1365" s="802"/>
      <c r="AG1365" s="802"/>
      <c r="AH1365" s="834"/>
      <c r="AI1365" s="834"/>
    </row>
    <row r="1366" spans="1:35" s="4" customFormat="1" ht="15" customHeight="1">
      <c r="A1366" s="1024"/>
      <c r="B1366" s="802"/>
      <c r="C1366" s="804"/>
      <c r="D1366" s="804"/>
      <c r="E1366" s="804"/>
      <c r="F1366" s="804"/>
      <c r="G1366" s="802"/>
      <c r="H1366" s="1029"/>
      <c r="I1366" s="1022"/>
      <c r="J1366" s="804"/>
      <c r="K1366" s="804"/>
      <c r="L1366" s="802"/>
      <c r="M1366" s="816"/>
      <c r="N1366" s="868"/>
      <c r="O1366" s="844"/>
      <c r="P1366" s="844"/>
      <c r="Q1366" s="802"/>
      <c r="R1366" s="802"/>
      <c r="S1366" s="802"/>
      <c r="T1366" s="890"/>
      <c r="U1366" s="842"/>
      <c r="V1366" s="855"/>
      <c r="W1366" s="842"/>
      <c r="X1366" s="802"/>
      <c r="Y1366" s="802"/>
      <c r="Z1366" s="853"/>
      <c r="AA1366" s="802"/>
      <c r="AB1366" s="802"/>
      <c r="AC1366" s="802"/>
      <c r="AD1366" s="802"/>
      <c r="AE1366" s="802"/>
      <c r="AF1366" s="802"/>
      <c r="AG1366" s="802"/>
      <c r="AH1366" s="834"/>
      <c r="AI1366" s="834"/>
    </row>
    <row r="1367" spans="1:35" s="4" customFormat="1" ht="15" customHeight="1">
      <c r="A1367" s="1100" t="s">
        <v>2051</v>
      </c>
      <c r="B1367" s="1100" t="s">
        <v>2052</v>
      </c>
      <c r="C1367" s="1124" t="s">
        <v>70</v>
      </c>
      <c r="D1367" s="1124" t="s">
        <v>206</v>
      </c>
      <c r="E1367" s="1124" t="s">
        <v>66</v>
      </c>
      <c r="F1367" s="1124" t="s">
        <v>49</v>
      </c>
      <c r="G1367" s="1100" t="s">
        <v>2054</v>
      </c>
      <c r="H1367" s="1145">
        <v>313</v>
      </c>
      <c r="I1367" s="1124" t="s">
        <v>137</v>
      </c>
      <c r="J1367" s="1062">
        <v>417660037</v>
      </c>
      <c r="K1367" s="1062">
        <v>417660037</v>
      </c>
      <c r="L1367" s="1062">
        <v>417660037</v>
      </c>
      <c r="M1367" s="1068"/>
      <c r="N1367" s="1089">
        <v>417660037</v>
      </c>
      <c r="O1367" s="1089">
        <v>417660037</v>
      </c>
      <c r="P1367" s="1089">
        <v>0</v>
      </c>
      <c r="Q1367" s="1062">
        <v>417600000</v>
      </c>
      <c r="R1367" s="1062">
        <v>417600000</v>
      </c>
      <c r="S1367" s="1011" t="s">
        <v>1843</v>
      </c>
      <c r="T1367" s="840" t="s">
        <v>2055</v>
      </c>
      <c r="U1367" s="866">
        <v>41760000</v>
      </c>
      <c r="V1367" s="855">
        <v>42261</v>
      </c>
      <c r="W1367" s="842" t="s">
        <v>137</v>
      </c>
      <c r="X1367" s="1043">
        <v>372499200</v>
      </c>
      <c r="Y1367" s="1043">
        <v>372499200</v>
      </c>
      <c r="Z1367" s="827">
        <v>0</v>
      </c>
      <c r="AA1367" s="1043">
        <v>45160837</v>
      </c>
      <c r="AB1367" s="1043">
        <v>-5011200</v>
      </c>
      <c r="AC1367" s="1043">
        <v>60037</v>
      </c>
      <c r="AD1367" s="1043">
        <v>45100800</v>
      </c>
      <c r="AE1367" s="1043"/>
      <c r="AF1367" s="1108" t="s">
        <v>2033</v>
      </c>
      <c r="AG1367" s="1108" t="s">
        <v>2053</v>
      </c>
      <c r="AH1367" s="1103" t="s">
        <v>195</v>
      </c>
      <c r="AI1367" s="1103" t="s">
        <v>1911</v>
      </c>
    </row>
    <row r="1368" spans="1:35" s="4" customFormat="1" ht="15" customHeight="1">
      <c r="A1368" s="1101"/>
      <c r="B1368" s="1101"/>
      <c r="C1368" s="1124"/>
      <c r="D1368" s="1124"/>
      <c r="E1368" s="1124"/>
      <c r="F1368" s="1124"/>
      <c r="G1368" s="1101"/>
      <c r="H1368" s="1146"/>
      <c r="I1368" s="1124"/>
      <c r="J1368" s="1063"/>
      <c r="K1368" s="1063"/>
      <c r="L1368" s="1063"/>
      <c r="M1368" s="1069"/>
      <c r="N1368" s="1090"/>
      <c r="O1368" s="1090"/>
      <c r="P1368" s="1090"/>
      <c r="Q1368" s="1063"/>
      <c r="R1368" s="1063"/>
      <c r="S1368" s="1033"/>
      <c r="T1368" s="840" t="s">
        <v>2056</v>
      </c>
      <c r="U1368" s="866">
        <v>90201600</v>
      </c>
      <c r="V1368" s="855">
        <v>42342</v>
      </c>
      <c r="W1368" s="842" t="s">
        <v>137</v>
      </c>
      <c r="X1368" s="1044"/>
      <c r="Y1368" s="1044"/>
      <c r="Z1368" s="827">
        <v>0</v>
      </c>
      <c r="AA1368" s="1044"/>
      <c r="AB1368" s="1044"/>
      <c r="AC1368" s="1044"/>
      <c r="AD1368" s="1044"/>
      <c r="AE1368" s="1044"/>
      <c r="AF1368" s="1109"/>
      <c r="AG1368" s="1109"/>
      <c r="AH1368" s="1104"/>
      <c r="AI1368" s="1104"/>
    </row>
    <row r="1369" spans="1:35" s="4" customFormat="1" ht="15" customHeight="1">
      <c r="A1369" s="1101"/>
      <c r="B1369" s="1101"/>
      <c r="C1369" s="1124"/>
      <c r="D1369" s="1124"/>
      <c r="E1369" s="1124"/>
      <c r="F1369" s="1124"/>
      <c r="G1369" s="1101"/>
      <c r="H1369" s="1146"/>
      <c r="I1369" s="1124"/>
      <c r="J1369" s="1063"/>
      <c r="K1369" s="1063"/>
      <c r="L1369" s="1063"/>
      <c r="M1369" s="1069"/>
      <c r="N1369" s="1090"/>
      <c r="O1369" s="1090"/>
      <c r="P1369" s="1090"/>
      <c r="Q1369" s="1063"/>
      <c r="R1369" s="1063"/>
      <c r="S1369" s="1033"/>
      <c r="T1369" s="840" t="s">
        <v>2057</v>
      </c>
      <c r="U1369" s="866">
        <v>97718400</v>
      </c>
      <c r="V1369" s="855">
        <v>42366</v>
      </c>
      <c r="W1369" s="842" t="s">
        <v>137</v>
      </c>
      <c r="X1369" s="1044"/>
      <c r="Y1369" s="1044"/>
      <c r="Z1369" s="827">
        <v>0</v>
      </c>
      <c r="AA1369" s="1044"/>
      <c r="AB1369" s="1044"/>
      <c r="AC1369" s="1044"/>
      <c r="AD1369" s="1044"/>
      <c r="AE1369" s="1044"/>
      <c r="AF1369" s="1109"/>
      <c r="AG1369" s="1109"/>
      <c r="AH1369" s="1104"/>
      <c r="AI1369" s="1104"/>
    </row>
    <row r="1370" spans="1:35" s="4" customFormat="1" ht="15" customHeight="1">
      <c r="A1370" s="1101"/>
      <c r="B1370" s="1101"/>
      <c r="C1370" s="1124"/>
      <c r="D1370" s="1124"/>
      <c r="E1370" s="1124"/>
      <c r="F1370" s="1124"/>
      <c r="G1370" s="1101"/>
      <c r="H1370" s="1146"/>
      <c r="I1370" s="1124"/>
      <c r="J1370" s="1063"/>
      <c r="K1370" s="1063"/>
      <c r="L1370" s="1063"/>
      <c r="M1370" s="1069"/>
      <c r="N1370" s="1090"/>
      <c r="O1370" s="1090"/>
      <c r="P1370" s="1090"/>
      <c r="Q1370" s="1063"/>
      <c r="R1370" s="1063"/>
      <c r="S1370" s="1033"/>
      <c r="T1370" s="840" t="s">
        <v>2058</v>
      </c>
      <c r="U1370" s="866">
        <v>82684800</v>
      </c>
      <c r="V1370" s="855">
        <v>42650</v>
      </c>
      <c r="W1370" s="842" t="s">
        <v>137</v>
      </c>
      <c r="X1370" s="1044"/>
      <c r="Y1370" s="1044"/>
      <c r="Z1370" s="827">
        <v>0</v>
      </c>
      <c r="AA1370" s="1044"/>
      <c r="AB1370" s="1044"/>
      <c r="AC1370" s="1044"/>
      <c r="AD1370" s="1044"/>
      <c r="AE1370" s="1044"/>
      <c r="AF1370" s="1109"/>
      <c r="AG1370" s="1109"/>
      <c r="AH1370" s="1104"/>
      <c r="AI1370" s="1104"/>
    </row>
    <row r="1371" spans="1:35" s="4" customFormat="1" ht="15" customHeight="1">
      <c r="A1371" s="1102"/>
      <c r="B1371" s="1102"/>
      <c r="C1371" s="1024"/>
      <c r="D1371" s="1024"/>
      <c r="E1371" s="1024"/>
      <c r="F1371" s="1024"/>
      <c r="G1371" s="1102"/>
      <c r="H1371" s="1147"/>
      <c r="I1371" s="1024"/>
      <c r="J1371" s="1064"/>
      <c r="K1371" s="1064"/>
      <c r="L1371" s="1064"/>
      <c r="M1371" s="1070"/>
      <c r="N1371" s="1091"/>
      <c r="O1371" s="1091"/>
      <c r="P1371" s="1091"/>
      <c r="Q1371" s="1064"/>
      <c r="R1371" s="1064"/>
      <c r="S1371" s="1012"/>
      <c r="T1371" s="840" t="s">
        <v>2059</v>
      </c>
      <c r="U1371" s="866">
        <v>60134400</v>
      </c>
      <c r="V1371" s="855">
        <v>42731</v>
      </c>
      <c r="W1371" s="842" t="s">
        <v>137</v>
      </c>
      <c r="X1371" s="1045"/>
      <c r="Y1371" s="1045"/>
      <c r="Z1371" s="827">
        <v>0</v>
      </c>
      <c r="AA1371" s="1045"/>
      <c r="AB1371" s="1045"/>
      <c r="AC1371" s="1045"/>
      <c r="AD1371" s="1045"/>
      <c r="AE1371" s="1045"/>
      <c r="AF1371" s="1110"/>
      <c r="AG1371" s="1110"/>
      <c r="AH1371" s="1105"/>
      <c r="AI1371" s="1105"/>
    </row>
    <row r="1372" spans="1:35" ht="15" customHeight="1">
      <c r="A1372" s="1011" t="s">
        <v>1840</v>
      </c>
      <c r="B1372" s="1011" t="s">
        <v>1842</v>
      </c>
      <c r="C1372" s="1011" t="s">
        <v>70</v>
      </c>
      <c r="D1372" s="1011" t="s">
        <v>206</v>
      </c>
      <c r="E1372" s="1011" t="s">
        <v>66</v>
      </c>
      <c r="F1372" s="1011" t="s">
        <v>49</v>
      </c>
      <c r="G1372" s="1011" t="s">
        <v>1845</v>
      </c>
      <c r="H1372" s="1009">
        <v>5</v>
      </c>
      <c r="I1372" s="1065" t="s">
        <v>146</v>
      </c>
      <c r="J1372" s="1062">
        <v>27030784</v>
      </c>
      <c r="K1372" s="1062">
        <v>27030784</v>
      </c>
      <c r="L1372" s="1062">
        <v>32490519</v>
      </c>
      <c r="M1372" s="1068">
        <v>41936</v>
      </c>
      <c r="N1372" s="1092">
        <v>27030784</v>
      </c>
      <c r="O1372" s="1092">
        <v>27030784</v>
      </c>
      <c r="P1372" s="1092">
        <v>0</v>
      </c>
      <c r="Q1372" s="1043">
        <v>27000000</v>
      </c>
      <c r="R1372" s="1062">
        <v>32459735</v>
      </c>
      <c r="S1372" s="1011" t="s">
        <v>1843</v>
      </c>
      <c r="T1372" s="840" t="s">
        <v>1846</v>
      </c>
      <c r="U1372" s="866">
        <v>17010000</v>
      </c>
      <c r="V1372" s="855">
        <v>42692</v>
      </c>
      <c r="W1372" s="842" t="s">
        <v>146</v>
      </c>
      <c r="X1372" s="1043">
        <v>17010000</v>
      </c>
      <c r="Y1372" s="1043">
        <v>17010000</v>
      </c>
      <c r="Z1372" s="827">
        <v>0</v>
      </c>
      <c r="AA1372" s="1043">
        <v>10020784</v>
      </c>
      <c r="AB1372" s="1062">
        <v>0</v>
      </c>
      <c r="AC1372" s="1062">
        <v>30784</v>
      </c>
      <c r="AD1372" s="1062">
        <v>9990000</v>
      </c>
      <c r="AE1372" s="1062"/>
      <c r="AF1372" s="1108"/>
      <c r="AG1372" s="1103" t="s">
        <v>1767</v>
      </c>
      <c r="AH1372" s="1103" t="s">
        <v>194</v>
      </c>
      <c r="AI1372" s="1103" t="s">
        <v>1619</v>
      </c>
    </row>
    <row r="1373" spans="1:35" ht="15" customHeight="1">
      <c r="A1373" s="1033"/>
      <c r="B1373" s="1033"/>
      <c r="C1373" s="1033"/>
      <c r="D1373" s="1033"/>
      <c r="E1373" s="1033"/>
      <c r="F1373" s="1033"/>
      <c r="G1373" s="1033"/>
      <c r="H1373" s="1010"/>
      <c r="I1373" s="1067"/>
      <c r="J1373" s="1064"/>
      <c r="K1373" s="1064"/>
      <c r="L1373" s="1063"/>
      <c r="M1373" s="1070"/>
      <c r="N1373" s="1094"/>
      <c r="O1373" s="1094"/>
      <c r="P1373" s="1094"/>
      <c r="Q1373" s="1045"/>
      <c r="R1373" s="1063"/>
      <c r="S1373" s="1033"/>
      <c r="T1373" s="840"/>
      <c r="U1373" s="866"/>
      <c r="V1373" s="855"/>
      <c r="W1373" s="842"/>
      <c r="X1373" s="1045"/>
      <c r="Y1373" s="1044"/>
      <c r="Z1373" s="827">
        <v>0</v>
      </c>
      <c r="AA1373" s="1045"/>
      <c r="AB1373" s="1063"/>
      <c r="AC1373" s="1064"/>
      <c r="AD1373" s="1064"/>
      <c r="AE1373" s="1064"/>
      <c r="AF1373" s="1109"/>
      <c r="AG1373" s="1104"/>
      <c r="AH1373" s="1104"/>
      <c r="AI1373" s="1104"/>
    </row>
    <row r="1374" spans="1:35" ht="15" customHeight="1">
      <c r="A1374" s="1012"/>
      <c r="B1374" s="1012"/>
      <c r="C1374" s="1012"/>
      <c r="D1374" s="1012"/>
      <c r="E1374" s="823" t="s">
        <v>67</v>
      </c>
      <c r="F1374" s="1012"/>
      <c r="G1374" s="1012"/>
      <c r="H1374" s="861">
        <v>174</v>
      </c>
      <c r="I1374" s="840" t="s">
        <v>7</v>
      </c>
      <c r="J1374" s="858">
        <v>5459735</v>
      </c>
      <c r="K1374" s="858">
        <v>5459735</v>
      </c>
      <c r="L1374" s="1064"/>
      <c r="M1374" s="855">
        <v>40745</v>
      </c>
      <c r="N1374" s="862"/>
      <c r="O1374" s="858"/>
      <c r="P1374" s="858"/>
      <c r="Q1374" s="827">
        <v>5459735</v>
      </c>
      <c r="R1374" s="1064"/>
      <c r="S1374" s="1012"/>
      <c r="T1374" s="840"/>
      <c r="U1374" s="866"/>
      <c r="V1374" s="855"/>
      <c r="W1374" s="842"/>
      <c r="X1374" s="827"/>
      <c r="Y1374" s="1045"/>
      <c r="Z1374" s="827">
        <v>0</v>
      </c>
      <c r="AA1374" s="827"/>
      <c r="AB1374" s="1064"/>
      <c r="AC1374" s="858">
        <v>0</v>
      </c>
      <c r="AD1374" s="858">
        <v>5459735</v>
      </c>
      <c r="AE1374" s="858"/>
      <c r="AF1374" s="1110"/>
      <c r="AG1374" s="1105"/>
      <c r="AH1374" s="1105"/>
      <c r="AI1374" s="1105"/>
    </row>
    <row r="1375" spans="1:35" s="203" customFormat="1" ht="15" customHeight="1">
      <c r="A1375" s="1015" t="s">
        <v>2723</v>
      </c>
      <c r="B1375" s="846" t="s">
        <v>2622</v>
      </c>
      <c r="C1375" s="846"/>
      <c r="D1375" s="846"/>
      <c r="E1375" s="843"/>
      <c r="F1375" s="846"/>
      <c r="G1375" s="846"/>
      <c r="H1375" s="1138">
        <v>312</v>
      </c>
      <c r="I1375" s="1056" t="s">
        <v>137</v>
      </c>
      <c r="J1375" s="1087">
        <v>2543520874</v>
      </c>
      <c r="K1375" s="829"/>
      <c r="L1375" s="830"/>
      <c r="M1375" s="873">
        <v>41997</v>
      </c>
      <c r="N1375" s="833"/>
      <c r="O1375" s="829"/>
      <c r="P1375" s="829"/>
      <c r="Q1375" s="814"/>
      <c r="R1375" s="830"/>
      <c r="S1375" s="846"/>
      <c r="T1375" s="872" t="s">
        <v>2614</v>
      </c>
      <c r="U1375" s="814">
        <v>1017346264.6799999</v>
      </c>
      <c r="V1375" s="873">
        <v>42192</v>
      </c>
      <c r="W1375" s="1056" t="s">
        <v>137</v>
      </c>
      <c r="X1375" s="1059">
        <v>4458285144.0899992</v>
      </c>
      <c r="Y1375" s="815"/>
      <c r="Z1375" s="859"/>
      <c r="AA1375" s="814"/>
      <c r="AB1375" s="830"/>
      <c r="AC1375" s="829"/>
      <c r="AD1375" s="829"/>
      <c r="AE1375" s="829"/>
      <c r="AF1375" s="532"/>
      <c r="AG1375" s="841"/>
      <c r="AH1375" s="841"/>
      <c r="AI1375" s="841"/>
    </row>
    <row r="1376" spans="1:35" s="203" customFormat="1" ht="15" customHeight="1">
      <c r="A1376" s="1050"/>
      <c r="B1376" s="846"/>
      <c r="C1376" s="846"/>
      <c r="D1376" s="846"/>
      <c r="E1376" s="843"/>
      <c r="F1376" s="846"/>
      <c r="G1376" s="846"/>
      <c r="H1376" s="1139"/>
      <c r="I1376" s="1057"/>
      <c r="J1376" s="1088"/>
      <c r="K1376" s="829"/>
      <c r="L1376" s="830"/>
      <c r="M1376" s="873"/>
      <c r="N1376" s="833"/>
      <c r="O1376" s="829"/>
      <c r="P1376" s="829"/>
      <c r="Q1376" s="814"/>
      <c r="R1376" s="830"/>
      <c r="S1376" s="846"/>
      <c r="T1376" s="872" t="s">
        <v>2619</v>
      </c>
      <c r="U1376" s="814">
        <v>238288600.50999999</v>
      </c>
      <c r="V1376" s="873">
        <v>42285</v>
      </c>
      <c r="W1376" s="1057"/>
      <c r="X1376" s="1060"/>
      <c r="Y1376" s="815"/>
      <c r="Z1376" s="859"/>
      <c r="AA1376" s="814"/>
      <c r="AB1376" s="830"/>
      <c r="AC1376" s="829"/>
      <c r="AD1376" s="829"/>
      <c r="AE1376" s="829"/>
      <c r="AF1376" s="532"/>
      <c r="AG1376" s="841"/>
      <c r="AH1376" s="841"/>
      <c r="AI1376" s="841"/>
    </row>
    <row r="1377" spans="1:35" s="203" customFormat="1" ht="15" customHeight="1">
      <c r="A1377" s="1050"/>
      <c r="B1377" s="846"/>
      <c r="C1377" s="846"/>
      <c r="D1377" s="846"/>
      <c r="E1377" s="843"/>
      <c r="F1377" s="846"/>
      <c r="G1377" s="846"/>
      <c r="H1377" s="1139"/>
      <c r="I1377" s="1057"/>
      <c r="J1377" s="1088"/>
      <c r="K1377" s="829"/>
      <c r="L1377" s="830"/>
      <c r="M1377" s="873"/>
      <c r="N1377" s="833"/>
      <c r="O1377" s="829"/>
      <c r="P1377" s="829"/>
      <c r="Q1377" s="814"/>
      <c r="R1377" s="830"/>
      <c r="S1377" s="846"/>
      <c r="T1377" s="872" t="s">
        <v>2620</v>
      </c>
      <c r="U1377" s="814">
        <v>137380949.21000001</v>
      </c>
      <c r="V1377" s="873">
        <v>42325</v>
      </c>
      <c r="W1377" s="1057"/>
      <c r="X1377" s="1060"/>
      <c r="Y1377" s="815"/>
      <c r="Z1377" s="859"/>
      <c r="AA1377" s="814"/>
      <c r="AB1377" s="830"/>
      <c r="AC1377" s="829"/>
      <c r="AD1377" s="829"/>
      <c r="AE1377" s="829"/>
      <c r="AF1377" s="532"/>
      <c r="AG1377" s="841"/>
      <c r="AH1377" s="841"/>
      <c r="AI1377" s="841"/>
    </row>
    <row r="1378" spans="1:35" s="203" customFormat="1" ht="15" customHeight="1">
      <c r="A1378" s="1050"/>
      <c r="B1378" s="846"/>
      <c r="C1378" s="846"/>
      <c r="D1378" s="846"/>
      <c r="E1378" s="843"/>
      <c r="F1378" s="846"/>
      <c r="G1378" s="846"/>
      <c r="H1378" s="1139"/>
      <c r="I1378" s="1057"/>
      <c r="J1378" s="1088"/>
      <c r="K1378" s="829"/>
      <c r="L1378" s="830"/>
      <c r="M1378" s="873"/>
      <c r="N1378" s="833"/>
      <c r="O1378" s="829"/>
      <c r="P1378" s="829"/>
      <c r="Q1378" s="814"/>
      <c r="R1378" s="830"/>
      <c r="S1378" s="846"/>
      <c r="T1378" s="872" t="s">
        <v>2617</v>
      </c>
      <c r="U1378" s="814">
        <v>397784011.82999998</v>
      </c>
      <c r="V1378" s="873">
        <v>42367</v>
      </c>
      <c r="W1378" s="1057"/>
      <c r="X1378" s="1060"/>
      <c r="Y1378" s="815"/>
      <c r="Z1378" s="859"/>
      <c r="AA1378" s="814"/>
      <c r="AB1378" s="830"/>
      <c r="AC1378" s="829"/>
      <c r="AD1378" s="829"/>
      <c r="AE1378" s="829"/>
      <c r="AF1378" s="532"/>
      <c r="AG1378" s="841"/>
      <c r="AH1378" s="841"/>
      <c r="AI1378" s="841"/>
    </row>
    <row r="1379" spans="1:35" s="203" customFormat="1" ht="15" customHeight="1">
      <c r="A1379" s="1050"/>
      <c r="B1379" s="846"/>
      <c r="C1379" s="846"/>
      <c r="D1379" s="846"/>
      <c r="E1379" s="843"/>
      <c r="F1379" s="846"/>
      <c r="G1379" s="846"/>
      <c r="H1379" s="1139"/>
      <c r="I1379" s="1057"/>
      <c r="J1379" s="1088"/>
      <c r="K1379" s="829"/>
      <c r="L1379" s="830"/>
      <c r="M1379" s="873"/>
      <c r="N1379" s="833"/>
      <c r="O1379" s="829"/>
      <c r="P1379" s="829"/>
      <c r="Q1379" s="814"/>
      <c r="R1379" s="830"/>
      <c r="S1379" s="846"/>
      <c r="T1379" s="872" t="s">
        <v>2616</v>
      </c>
      <c r="U1379" s="814">
        <v>430281928.57999998</v>
      </c>
      <c r="V1379" s="873">
        <v>42621</v>
      </c>
      <c r="W1379" s="1057"/>
      <c r="X1379" s="1060"/>
      <c r="Y1379" s="815"/>
      <c r="Z1379" s="859"/>
      <c r="AA1379" s="814"/>
      <c r="AB1379" s="830"/>
      <c r="AC1379" s="829"/>
      <c r="AD1379" s="829"/>
      <c r="AE1379" s="829"/>
      <c r="AF1379" s="532"/>
      <c r="AG1379" s="841"/>
      <c r="AH1379" s="841"/>
      <c r="AI1379" s="841"/>
    </row>
    <row r="1380" spans="1:35" s="203" customFormat="1" ht="15" customHeight="1">
      <c r="A1380" s="1050"/>
      <c r="B1380" s="846"/>
      <c r="C1380" s="846"/>
      <c r="D1380" s="846"/>
      <c r="E1380" s="843"/>
      <c r="F1380" s="846"/>
      <c r="G1380" s="846"/>
      <c r="H1380" s="1139"/>
      <c r="I1380" s="1057"/>
      <c r="J1380" s="1111"/>
      <c r="K1380" s="829"/>
      <c r="L1380" s="830"/>
      <c r="M1380" s="873"/>
      <c r="N1380" s="833"/>
      <c r="O1380" s="829"/>
      <c r="P1380" s="829"/>
      <c r="Q1380" s="814"/>
      <c r="R1380" s="830"/>
      <c r="S1380" s="846"/>
      <c r="T1380" s="872" t="s">
        <v>2630</v>
      </c>
      <c r="U1380" s="814">
        <v>87069491</v>
      </c>
      <c r="V1380" s="873">
        <v>42817</v>
      </c>
      <c r="W1380" s="1058"/>
      <c r="X1380" s="1060"/>
      <c r="Y1380" s="815"/>
      <c r="Z1380" s="859"/>
      <c r="AA1380" s="814"/>
      <c r="AB1380" s="830"/>
      <c r="AC1380" s="829"/>
      <c r="AD1380" s="829"/>
      <c r="AE1380" s="829"/>
      <c r="AF1380" s="532"/>
      <c r="AG1380" s="841"/>
      <c r="AH1380" s="841"/>
      <c r="AI1380" s="841"/>
    </row>
    <row r="1381" spans="1:35" s="203" customFormat="1" ht="15" customHeight="1">
      <c r="A1381" s="1050"/>
      <c r="B1381" s="846"/>
      <c r="C1381" s="846"/>
      <c r="D1381" s="846"/>
      <c r="E1381" s="843"/>
      <c r="F1381" s="846"/>
      <c r="G1381" s="846"/>
      <c r="H1381" s="1139"/>
      <c r="I1381" s="1057"/>
      <c r="J1381" s="830"/>
      <c r="K1381" s="829"/>
      <c r="L1381" s="830"/>
      <c r="M1381" s="873"/>
      <c r="N1381" s="833"/>
      <c r="O1381" s="829"/>
      <c r="P1381" s="829"/>
      <c r="Q1381" s="814"/>
      <c r="R1381" s="830"/>
      <c r="S1381" s="846"/>
      <c r="T1381" s="872" t="s">
        <v>2742</v>
      </c>
      <c r="U1381" s="814">
        <v>212993301.47000003</v>
      </c>
      <c r="V1381" s="917">
        <v>43230</v>
      </c>
      <c r="W1381" s="812"/>
      <c r="X1381" s="1060"/>
      <c r="Y1381" s="815"/>
      <c r="Z1381" s="859"/>
      <c r="AA1381" s="814"/>
      <c r="AB1381" s="830"/>
      <c r="AC1381" s="829"/>
      <c r="AD1381" s="829"/>
      <c r="AE1381" s="829"/>
      <c r="AF1381" s="532"/>
      <c r="AG1381" s="841"/>
      <c r="AH1381" s="841"/>
      <c r="AI1381" s="841"/>
    </row>
    <row r="1382" spans="1:35" s="203" customFormat="1" ht="15" customHeight="1">
      <c r="A1382" s="1050"/>
      <c r="B1382" s="846"/>
      <c r="C1382" s="846"/>
      <c r="D1382" s="846"/>
      <c r="E1382" s="843"/>
      <c r="F1382" s="846"/>
      <c r="G1382" s="846"/>
      <c r="H1382" s="1139"/>
      <c r="I1382" s="1058"/>
      <c r="J1382" s="830"/>
      <c r="K1382" s="829"/>
      <c r="L1382" s="830"/>
      <c r="M1382" s="873"/>
      <c r="N1382" s="833"/>
      <c r="O1382" s="829"/>
      <c r="P1382" s="829"/>
      <c r="Q1382" s="814"/>
      <c r="R1382" s="830"/>
      <c r="S1382" s="846"/>
      <c r="T1382" s="872"/>
      <c r="U1382" s="814"/>
      <c r="V1382" s="873"/>
      <c r="W1382" s="812"/>
      <c r="X1382" s="1060"/>
      <c r="Y1382" s="815"/>
      <c r="Z1382" s="859"/>
      <c r="AA1382" s="814"/>
      <c r="AB1382" s="830"/>
      <c r="AC1382" s="829"/>
      <c r="AD1382" s="829"/>
      <c r="AE1382" s="829"/>
      <c r="AF1382" s="532"/>
      <c r="AG1382" s="841"/>
      <c r="AH1382" s="841"/>
      <c r="AI1382" s="841"/>
    </row>
    <row r="1383" spans="1:35" s="203" customFormat="1" ht="15" customHeight="1">
      <c r="A1383" s="1050"/>
      <c r="B1383" s="846"/>
      <c r="C1383" s="846"/>
      <c r="D1383" s="846"/>
      <c r="E1383" s="843"/>
      <c r="F1383" s="846"/>
      <c r="G1383" s="846"/>
      <c r="H1383" s="1139"/>
      <c r="I1383" s="1056" t="s">
        <v>7</v>
      </c>
      <c r="J1383" s="1087">
        <v>1980000000</v>
      </c>
      <c r="K1383" s="829"/>
      <c r="L1383" s="830"/>
      <c r="M1383" s="873"/>
      <c r="N1383" s="833"/>
      <c r="O1383" s="829"/>
      <c r="P1383" s="829"/>
      <c r="Q1383" s="814"/>
      <c r="R1383" s="830"/>
      <c r="S1383" s="846"/>
      <c r="T1383" s="872" t="s">
        <v>2615</v>
      </c>
      <c r="U1383" s="200">
        <v>791951670.08000004</v>
      </c>
      <c r="V1383" s="873">
        <v>42192</v>
      </c>
      <c r="W1383" s="1056" t="s">
        <v>7</v>
      </c>
      <c r="X1383" s="1060"/>
      <c r="Y1383" s="815"/>
      <c r="Z1383" s="859"/>
      <c r="AA1383" s="814"/>
      <c r="AB1383" s="830"/>
      <c r="AC1383" s="829"/>
      <c r="AD1383" s="829"/>
      <c r="AE1383" s="829"/>
      <c r="AF1383" s="532"/>
      <c r="AG1383" s="841"/>
      <c r="AH1383" s="841"/>
      <c r="AI1383" s="841"/>
    </row>
    <row r="1384" spans="1:35" s="203" customFormat="1" ht="15" customHeight="1">
      <c r="A1384" s="1050"/>
      <c r="B1384" s="846"/>
      <c r="C1384" s="846"/>
      <c r="D1384" s="846"/>
      <c r="E1384" s="843"/>
      <c r="F1384" s="846"/>
      <c r="G1384" s="846"/>
      <c r="H1384" s="1139"/>
      <c r="I1384" s="1057"/>
      <c r="J1384" s="1088"/>
      <c r="K1384" s="829"/>
      <c r="L1384" s="830"/>
      <c r="M1384" s="873"/>
      <c r="N1384" s="833"/>
      <c r="O1384" s="829"/>
      <c r="P1384" s="829"/>
      <c r="Q1384" s="814"/>
      <c r="R1384" s="830"/>
      <c r="S1384" s="846"/>
      <c r="T1384" s="872" t="s">
        <v>2621</v>
      </c>
      <c r="U1384" s="200">
        <v>185495402.77000001</v>
      </c>
      <c r="V1384" s="873">
        <v>42285</v>
      </c>
      <c r="W1384" s="1057"/>
      <c r="X1384" s="1060"/>
      <c r="Y1384" s="815"/>
      <c r="Z1384" s="859"/>
      <c r="AA1384" s="814"/>
      <c r="AB1384" s="830"/>
      <c r="AC1384" s="829"/>
      <c r="AD1384" s="829"/>
      <c r="AE1384" s="829"/>
      <c r="AF1384" s="532"/>
      <c r="AG1384" s="841"/>
      <c r="AH1384" s="841"/>
      <c r="AI1384" s="841"/>
    </row>
    <row r="1385" spans="1:35" s="203" customFormat="1" ht="15" customHeight="1">
      <c r="A1385" s="1050"/>
      <c r="B1385" s="846"/>
      <c r="C1385" s="846"/>
      <c r="D1385" s="846"/>
      <c r="E1385" s="843"/>
      <c r="F1385" s="846"/>
      <c r="G1385" s="846"/>
      <c r="H1385" s="1139"/>
      <c r="I1385" s="1057"/>
      <c r="J1385" s="1088"/>
      <c r="K1385" s="829"/>
      <c r="L1385" s="830"/>
      <c r="M1385" s="873"/>
      <c r="N1385" s="833"/>
      <c r="O1385" s="829"/>
      <c r="P1385" s="829"/>
      <c r="Q1385" s="814"/>
      <c r="R1385" s="830"/>
      <c r="S1385" s="846"/>
      <c r="T1385" s="872" t="s">
        <v>2631</v>
      </c>
      <c r="U1385" s="200">
        <v>106943993.37</v>
      </c>
      <c r="V1385" s="873">
        <v>42325</v>
      </c>
      <c r="W1385" s="1057"/>
      <c r="X1385" s="1060"/>
      <c r="Y1385" s="815"/>
      <c r="Z1385" s="859"/>
      <c r="AA1385" s="814"/>
      <c r="AB1385" s="830"/>
      <c r="AC1385" s="829"/>
      <c r="AD1385" s="829"/>
      <c r="AE1385" s="829"/>
      <c r="AF1385" s="532"/>
      <c r="AG1385" s="841"/>
      <c r="AH1385" s="841"/>
      <c r="AI1385" s="841"/>
    </row>
    <row r="1386" spans="1:35" s="203" customFormat="1" ht="15" customHeight="1">
      <c r="A1386" s="1050"/>
      <c r="B1386" s="846"/>
      <c r="C1386" s="846"/>
      <c r="D1386" s="846"/>
      <c r="E1386" s="843"/>
      <c r="F1386" s="846"/>
      <c r="G1386" s="846"/>
      <c r="H1386" s="1139"/>
      <c r="I1386" s="1057"/>
      <c r="J1386" s="1088"/>
      <c r="K1386" s="829"/>
      <c r="L1386" s="830"/>
      <c r="M1386" s="873"/>
      <c r="N1386" s="833"/>
      <c r="O1386" s="829"/>
      <c r="P1386" s="829"/>
      <c r="Q1386" s="814"/>
      <c r="R1386" s="830"/>
      <c r="S1386" s="846"/>
      <c r="T1386" s="872" t="s">
        <v>2617</v>
      </c>
      <c r="U1386" s="200">
        <v>309654365.91000003</v>
      </c>
      <c r="V1386" s="873">
        <v>42367</v>
      </c>
      <c r="W1386" s="1057"/>
      <c r="X1386" s="1060"/>
      <c r="Y1386" s="815"/>
      <c r="Z1386" s="859"/>
      <c r="AA1386" s="814"/>
      <c r="AB1386" s="830"/>
      <c r="AC1386" s="829"/>
      <c r="AD1386" s="829"/>
      <c r="AE1386" s="829"/>
      <c r="AF1386" s="532"/>
      <c r="AG1386" s="841"/>
      <c r="AH1386" s="841"/>
      <c r="AI1386" s="841"/>
    </row>
    <row r="1387" spans="1:35" s="203" customFormat="1" ht="15" customHeight="1">
      <c r="A1387" s="1050"/>
      <c r="B1387" s="846"/>
      <c r="C1387" s="846"/>
      <c r="D1387" s="846"/>
      <c r="E1387" s="843"/>
      <c r="F1387" s="846"/>
      <c r="G1387" s="846"/>
      <c r="H1387" s="1139"/>
      <c r="I1387" s="1057"/>
      <c r="J1387" s="1088"/>
      <c r="K1387" s="829"/>
      <c r="L1387" s="830"/>
      <c r="M1387" s="873"/>
      <c r="N1387" s="833"/>
      <c r="O1387" s="829"/>
      <c r="P1387" s="829"/>
      <c r="Q1387" s="814"/>
      <c r="R1387" s="830"/>
      <c r="S1387" s="846"/>
      <c r="T1387" s="872" t="s">
        <v>2616</v>
      </c>
      <c r="U1387" s="200">
        <v>157107470.71000001</v>
      </c>
      <c r="V1387" s="873">
        <v>42621</v>
      </c>
      <c r="W1387" s="1057"/>
      <c r="X1387" s="1060"/>
      <c r="Y1387" s="815"/>
      <c r="Z1387" s="859"/>
      <c r="AA1387" s="814"/>
      <c r="AB1387" s="830"/>
      <c r="AC1387" s="829"/>
      <c r="AD1387" s="829"/>
      <c r="AE1387" s="829"/>
      <c r="AF1387" s="532"/>
      <c r="AG1387" s="841"/>
      <c r="AH1387" s="841"/>
      <c r="AI1387" s="841"/>
    </row>
    <row r="1388" spans="1:35" s="203" customFormat="1" ht="15" customHeight="1">
      <c r="A1388" s="1050"/>
      <c r="B1388" s="846"/>
      <c r="C1388" s="846"/>
      <c r="D1388" s="846"/>
      <c r="E1388" s="843"/>
      <c r="F1388" s="846"/>
      <c r="G1388" s="846"/>
      <c r="H1388" s="1139"/>
      <c r="I1388" s="1057"/>
      <c r="J1388" s="1088"/>
      <c r="K1388" s="829"/>
      <c r="L1388" s="830"/>
      <c r="M1388" s="873"/>
      <c r="N1388" s="833"/>
      <c r="O1388" s="829"/>
      <c r="P1388" s="829"/>
      <c r="Q1388" s="814"/>
      <c r="R1388" s="830"/>
      <c r="S1388" s="846"/>
      <c r="T1388" s="872" t="s">
        <v>2618</v>
      </c>
      <c r="U1388" s="200">
        <v>273260092</v>
      </c>
      <c r="V1388" s="873">
        <v>42817</v>
      </c>
      <c r="W1388" s="1057"/>
      <c r="X1388" s="1060"/>
      <c r="Y1388" s="815"/>
      <c r="Z1388" s="859"/>
      <c r="AA1388" s="814"/>
      <c r="AB1388" s="830"/>
      <c r="AC1388" s="829"/>
      <c r="AD1388" s="829"/>
      <c r="AE1388" s="829"/>
      <c r="AF1388" s="532"/>
      <c r="AG1388" s="841"/>
      <c r="AH1388" s="841"/>
      <c r="AI1388" s="841"/>
    </row>
    <row r="1389" spans="1:35" s="203" customFormat="1" ht="15" customHeight="1">
      <c r="A1389" s="1050"/>
      <c r="B1389" s="846"/>
      <c r="C1389" s="846"/>
      <c r="D1389" s="846"/>
      <c r="E1389" s="843"/>
      <c r="F1389" s="846"/>
      <c r="G1389" s="846"/>
      <c r="H1389" s="1139"/>
      <c r="I1389" s="1057"/>
      <c r="J1389" s="1088"/>
      <c r="K1389" s="829"/>
      <c r="L1389" s="830"/>
      <c r="M1389" s="873"/>
      <c r="N1389" s="833"/>
      <c r="O1389" s="829"/>
      <c r="P1389" s="829"/>
      <c r="Q1389" s="814"/>
      <c r="R1389" s="830"/>
      <c r="S1389" s="846"/>
      <c r="T1389" s="872" t="s">
        <v>2742</v>
      </c>
      <c r="U1389" s="200">
        <v>112727601.97000001</v>
      </c>
      <c r="V1389" s="917">
        <v>43230</v>
      </c>
      <c r="W1389" s="1057"/>
      <c r="X1389" s="1060"/>
      <c r="Y1389" s="815"/>
      <c r="Z1389" s="859"/>
      <c r="AA1389" s="814"/>
      <c r="AB1389" s="830"/>
      <c r="AC1389" s="829"/>
      <c r="AD1389" s="829"/>
      <c r="AE1389" s="829"/>
      <c r="AF1389" s="532"/>
      <c r="AG1389" s="841"/>
      <c r="AH1389" s="841"/>
      <c r="AI1389" s="841"/>
    </row>
    <row r="1390" spans="1:35" s="203" customFormat="1" ht="15" customHeight="1">
      <c r="A1390" s="1050"/>
      <c r="B1390" s="846"/>
      <c r="C1390" s="846"/>
      <c r="D1390" s="846"/>
      <c r="E1390" s="843"/>
      <c r="F1390" s="846"/>
      <c r="G1390" s="846"/>
      <c r="H1390" s="1369"/>
      <c r="I1390" s="1058"/>
      <c r="J1390" s="1111"/>
      <c r="K1390" s="829"/>
      <c r="L1390" s="830"/>
      <c r="M1390" s="873"/>
      <c r="N1390" s="833"/>
      <c r="O1390" s="829"/>
      <c r="P1390" s="829"/>
      <c r="Q1390" s="814"/>
      <c r="R1390" s="830"/>
      <c r="S1390" s="846"/>
      <c r="T1390" s="872"/>
      <c r="U1390" s="200"/>
      <c r="V1390" s="873"/>
      <c r="W1390" s="1058"/>
      <c r="X1390" s="1061"/>
      <c r="Y1390" s="815"/>
      <c r="Z1390" s="859"/>
      <c r="AA1390" s="814"/>
      <c r="AB1390" s="830"/>
      <c r="AC1390" s="829"/>
      <c r="AD1390" s="829"/>
      <c r="AE1390" s="829"/>
      <c r="AF1390" s="532"/>
      <c r="AG1390" s="841"/>
      <c r="AH1390" s="841"/>
      <c r="AI1390" s="841"/>
    </row>
    <row r="1391" spans="1:35" s="203" customFormat="1" ht="15" customHeight="1" thickBot="1">
      <c r="A1391" s="1050"/>
      <c r="B1391" s="846"/>
      <c r="C1391" s="846"/>
      <c r="D1391" s="846"/>
      <c r="E1391" s="843"/>
      <c r="F1391" s="846"/>
      <c r="G1391" s="846"/>
      <c r="H1391" s="1138">
        <v>326</v>
      </c>
      <c r="I1391" s="1206" t="s">
        <v>2611</v>
      </c>
      <c r="J1391" s="1087">
        <v>1300000000</v>
      </c>
      <c r="K1391" s="829"/>
      <c r="L1391" s="830"/>
      <c r="M1391" s="873"/>
      <c r="N1391" s="833"/>
      <c r="O1391" s="829"/>
      <c r="P1391" s="829"/>
      <c r="Q1391" s="1059">
        <v>1299920670.71</v>
      </c>
      <c r="R1391" s="830"/>
      <c r="S1391" s="846"/>
      <c r="T1391" s="546" t="s">
        <v>1869</v>
      </c>
      <c r="U1391" s="200">
        <v>519968268.24000001</v>
      </c>
      <c r="V1391" s="873">
        <v>42192</v>
      </c>
      <c r="W1391" s="1056" t="s">
        <v>2611</v>
      </c>
      <c r="X1391" s="1059">
        <v>1294090289.75</v>
      </c>
      <c r="Y1391" s="815"/>
      <c r="Z1391" s="859"/>
      <c r="AA1391" s="814"/>
      <c r="AB1391" s="830"/>
      <c r="AC1391" s="829"/>
      <c r="AD1391" s="829"/>
      <c r="AE1391" s="829"/>
      <c r="AF1391" s="532"/>
      <c r="AG1391" s="841"/>
      <c r="AH1391" s="841"/>
      <c r="AI1391" s="841"/>
    </row>
    <row r="1392" spans="1:35" s="203" customFormat="1" ht="15" customHeight="1" thickBot="1">
      <c r="A1392" s="1050"/>
      <c r="B1392" s="846"/>
      <c r="C1392" s="846"/>
      <c r="D1392" s="846"/>
      <c r="E1392" s="843"/>
      <c r="F1392" s="846"/>
      <c r="G1392" s="846"/>
      <c r="H1392" s="1139"/>
      <c r="I1392" s="1206"/>
      <c r="J1392" s="1088"/>
      <c r="K1392" s="829"/>
      <c r="L1392" s="830"/>
      <c r="M1392" s="873"/>
      <c r="N1392" s="833"/>
      <c r="O1392" s="829"/>
      <c r="P1392" s="829"/>
      <c r="Q1392" s="1060"/>
      <c r="R1392" s="830"/>
      <c r="S1392" s="846"/>
      <c r="T1392" s="558" t="s">
        <v>2626</v>
      </c>
      <c r="U1392" s="200">
        <v>121789910.92</v>
      </c>
      <c r="V1392" s="873">
        <v>42285</v>
      </c>
      <c r="W1392" s="1057"/>
      <c r="X1392" s="1060"/>
      <c r="Y1392" s="815"/>
      <c r="Z1392" s="859"/>
      <c r="AA1392" s="814"/>
      <c r="AB1392" s="830"/>
      <c r="AC1392" s="829"/>
      <c r="AD1392" s="829"/>
      <c r="AE1392" s="829"/>
      <c r="AF1392" s="532"/>
      <c r="AG1392" s="841"/>
      <c r="AH1392" s="841"/>
      <c r="AI1392" s="841"/>
    </row>
    <row r="1393" spans="1:35" s="203" customFormat="1" ht="15" customHeight="1" thickBot="1">
      <c r="A1393" s="1050"/>
      <c r="B1393" s="846"/>
      <c r="C1393" s="846"/>
      <c r="D1393" s="846"/>
      <c r="E1393" s="843"/>
      <c r="F1393" s="846"/>
      <c r="G1393" s="846"/>
      <c r="H1393" s="1139"/>
      <c r="I1393" s="1206"/>
      <c r="J1393" s="1088"/>
      <c r="K1393" s="829"/>
      <c r="L1393" s="830"/>
      <c r="M1393" s="873"/>
      <c r="N1393" s="833"/>
      <c r="O1393" s="829"/>
      <c r="P1393" s="829"/>
      <c r="Q1393" s="1060"/>
      <c r="R1393" s="830"/>
      <c r="S1393" s="846"/>
      <c r="T1393" s="550" t="s">
        <v>2627</v>
      </c>
      <c r="U1393" s="200">
        <v>70215753.219999999</v>
      </c>
      <c r="V1393" s="873">
        <v>42325</v>
      </c>
      <c r="W1393" s="1057"/>
      <c r="X1393" s="1060"/>
      <c r="Y1393" s="815"/>
      <c r="Z1393" s="859"/>
      <c r="AA1393" s="814"/>
      <c r="AB1393" s="830"/>
      <c r="AC1393" s="829"/>
      <c r="AD1393" s="829"/>
      <c r="AE1393" s="829"/>
      <c r="AF1393" s="532"/>
      <c r="AG1393" s="841"/>
      <c r="AH1393" s="841"/>
      <c r="AI1393" s="841"/>
    </row>
    <row r="1394" spans="1:35" s="203" customFormat="1" ht="15" customHeight="1" thickBot="1">
      <c r="A1394" s="1050"/>
      <c r="B1394" s="846"/>
      <c r="C1394" s="846"/>
      <c r="D1394" s="846"/>
      <c r="E1394" s="843"/>
      <c r="F1394" s="846"/>
      <c r="G1394" s="846"/>
      <c r="H1394" s="1139"/>
      <c r="I1394" s="1206"/>
      <c r="J1394" s="1088"/>
      <c r="K1394" s="829"/>
      <c r="L1394" s="830"/>
      <c r="M1394" s="873"/>
      <c r="N1394" s="833"/>
      <c r="O1394" s="829"/>
      <c r="P1394" s="829"/>
      <c r="Q1394" s="1060"/>
      <c r="R1394" s="830"/>
      <c r="S1394" s="846"/>
      <c r="T1394" s="554" t="s">
        <v>2625</v>
      </c>
      <c r="U1394" s="200">
        <v>203308422.06</v>
      </c>
      <c r="V1394" s="873">
        <v>42367</v>
      </c>
      <c r="W1394" s="1057"/>
      <c r="X1394" s="1060"/>
      <c r="Y1394" s="815"/>
      <c r="Z1394" s="859"/>
      <c r="AA1394" s="814"/>
      <c r="AB1394" s="830"/>
      <c r="AC1394" s="829"/>
      <c r="AD1394" s="829"/>
      <c r="AE1394" s="829"/>
      <c r="AF1394" s="532"/>
      <c r="AG1394" s="841"/>
      <c r="AH1394" s="841"/>
      <c r="AI1394" s="841"/>
    </row>
    <row r="1395" spans="1:35" s="203" customFormat="1" ht="15" customHeight="1" thickBot="1">
      <c r="A1395" s="1050"/>
      <c r="B1395" s="846"/>
      <c r="C1395" s="846"/>
      <c r="D1395" s="846"/>
      <c r="E1395" s="843"/>
      <c r="F1395" s="846"/>
      <c r="G1395" s="846"/>
      <c r="H1395" s="1139"/>
      <c r="I1395" s="1206"/>
      <c r="J1395" s="1088"/>
      <c r="K1395" s="829"/>
      <c r="L1395" s="830"/>
      <c r="M1395" s="873"/>
      <c r="N1395" s="833"/>
      <c r="O1395" s="829"/>
      <c r="P1395" s="829"/>
      <c r="Q1395" s="1060"/>
      <c r="R1395" s="830"/>
      <c r="S1395" s="846"/>
      <c r="T1395" s="550" t="s">
        <v>2616</v>
      </c>
      <c r="U1395" s="200">
        <v>168807935.31</v>
      </c>
      <c r="V1395" s="873">
        <v>42621</v>
      </c>
      <c r="W1395" s="1057"/>
      <c r="X1395" s="1060"/>
      <c r="Y1395" s="815"/>
      <c r="Z1395" s="859"/>
      <c r="AA1395" s="814"/>
      <c r="AB1395" s="830"/>
      <c r="AC1395" s="829"/>
      <c r="AD1395" s="829"/>
      <c r="AE1395" s="829"/>
      <c r="AF1395" s="532"/>
      <c r="AG1395" s="841"/>
      <c r="AH1395" s="841"/>
      <c r="AI1395" s="841"/>
    </row>
    <row r="1396" spans="1:35" s="203" customFormat="1" ht="15" customHeight="1">
      <c r="A1396" s="1050"/>
      <c r="B1396" s="846"/>
      <c r="C1396" s="846"/>
      <c r="D1396" s="846"/>
      <c r="E1396" s="843"/>
      <c r="F1396" s="846"/>
      <c r="G1396" s="846"/>
      <c r="H1396" s="1139"/>
      <c r="I1396" s="1206"/>
      <c r="J1396" s="1111"/>
      <c r="K1396" s="829"/>
      <c r="L1396" s="830"/>
      <c r="M1396" s="873"/>
      <c r="N1396" s="833"/>
      <c r="O1396" s="829"/>
      <c r="P1396" s="829"/>
      <c r="Q1396" s="1061"/>
      <c r="R1396" s="830"/>
      <c r="S1396" s="846"/>
      <c r="T1396" s="550" t="s">
        <v>2624</v>
      </c>
      <c r="U1396" s="200">
        <v>210000000</v>
      </c>
      <c r="V1396" s="873">
        <v>42817</v>
      </c>
      <c r="W1396" s="1058"/>
      <c r="X1396" s="1061"/>
      <c r="Y1396" s="815"/>
      <c r="Z1396" s="859"/>
      <c r="AA1396" s="814"/>
      <c r="AB1396" s="830"/>
      <c r="AC1396" s="829"/>
      <c r="AD1396" s="829"/>
      <c r="AE1396" s="829"/>
      <c r="AF1396" s="532"/>
      <c r="AG1396" s="841"/>
      <c r="AH1396" s="841"/>
      <c r="AI1396" s="841"/>
    </row>
    <row r="1397" spans="1:35" s="203" customFormat="1" ht="15" customHeight="1">
      <c r="A1397" s="1050"/>
      <c r="B1397" s="846"/>
      <c r="C1397" s="846"/>
      <c r="D1397" s="846"/>
      <c r="E1397" s="843"/>
      <c r="F1397" s="846"/>
      <c r="G1397" s="846"/>
      <c r="H1397" s="1139"/>
      <c r="I1397" s="1206"/>
      <c r="J1397" s="830"/>
      <c r="K1397" s="829"/>
      <c r="L1397" s="830"/>
      <c r="M1397" s="873"/>
      <c r="N1397" s="833"/>
      <c r="O1397" s="829"/>
      <c r="P1397" s="829"/>
      <c r="Q1397" s="815"/>
      <c r="R1397" s="830"/>
      <c r="S1397" s="846"/>
      <c r="T1397" s="915" t="s">
        <v>2742</v>
      </c>
      <c r="U1397" s="200">
        <v>5830380.9600000009</v>
      </c>
      <c r="V1397" s="917">
        <v>43230</v>
      </c>
      <c r="W1397" s="813"/>
      <c r="X1397" s="815"/>
      <c r="Y1397" s="815"/>
      <c r="Z1397" s="859"/>
      <c r="AA1397" s="814"/>
      <c r="AB1397" s="830"/>
      <c r="AC1397" s="829"/>
      <c r="AD1397" s="829"/>
      <c r="AE1397" s="829"/>
      <c r="AF1397" s="532"/>
      <c r="AG1397" s="841"/>
      <c r="AH1397" s="841"/>
      <c r="AI1397" s="841"/>
    </row>
    <row r="1398" spans="1:35" s="203" customFormat="1" ht="15" customHeight="1">
      <c r="A1398" s="1050"/>
      <c r="B1398" s="846"/>
      <c r="C1398" s="846"/>
      <c r="D1398" s="846"/>
      <c r="E1398" s="843"/>
      <c r="F1398" s="846"/>
      <c r="G1398" s="846"/>
      <c r="H1398" s="1369"/>
      <c r="I1398" s="1206"/>
      <c r="J1398" s="830"/>
      <c r="K1398" s="829"/>
      <c r="L1398" s="830"/>
      <c r="M1398" s="873"/>
      <c r="N1398" s="833"/>
      <c r="O1398" s="829"/>
      <c r="P1398" s="829"/>
      <c r="Q1398" s="815"/>
      <c r="R1398" s="830"/>
      <c r="S1398" s="846"/>
      <c r="T1398" s="915"/>
      <c r="U1398" s="200"/>
      <c r="V1398" s="873"/>
      <c r="W1398" s="813"/>
      <c r="X1398" s="815"/>
      <c r="Y1398" s="815"/>
      <c r="Z1398" s="859"/>
      <c r="AA1398" s="814"/>
      <c r="AB1398" s="830"/>
      <c r="AC1398" s="829"/>
      <c r="AD1398" s="829"/>
      <c r="AE1398" s="829"/>
      <c r="AF1398" s="532"/>
      <c r="AG1398" s="841"/>
      <c r="AH1398" s="841"/>
      <c r="AI1398" s="841"/>
    </row>
    <row r="1399" spans="1:35" s="203" customFormat="1" ht="15" customHeight="1">
      <c r="A1399" s="1050"/>
      <c r="B1399" s="846"/>
      <c r="C1399" s="846"/>
      <c r="D1399" s="846"/>
      <c r="E1399" s="843"/>
      <c r="F1399" s="846"/>
      <c r="G1399" s="846"/>
      <c r="H1399" s="847">
        <v>3811</v>
      </c>
      <c r="I1399" s="812" t="s">
        <v>150</v>
      </c>
      <c r="J1399" s="830">
        <v>200000000</v>
      </c>
      <c r="K1399" s="829"/>
      <c r="L1399" s="830"/>
      <c r="M1399" s="873">
        <v>43004</v>
      </c>
      <c r="N1399" s="833"/>
      <c r="O1399" s="829"/>
      <c r="P1399" s="829"/>
      <c r="Q1399" s="815">
        <v>200000000</v>
      </c>
      <c r="R1399" s="830"/>
      <c r="S1399" s="846"/>
      <c r="T1399" s="916" t="s">
        <v>2655</v>
      </c>
      <c r="U1399" s="200">
        <v>80000000</v>
      </c>
      <c r="V1399" s="873">
        <v>43206</v>
      </c>
      <c r="W1399" s="813"/>
      <c r="X1399" s="815"/>
      <c r="Y1399" s="815"/>
      <c r="Z1399" s="859"/>
      <c r="AA1399" s="814"/>
      <c r="AB1399" s="830"/>
      <c r="AC1399" s="829"/>
      <c r="AD1399" s="829"/>
      <c r="AE1399" s="829"/>
      <c r="AF1399" s="532"/>
      <c r="AG1399" s="841"/>
      <c r="AH1399" s="841"/>
      <c r="AI1399" s="841"/>
    </row>
    <row r="1400" spans="1:35" s="203" customFormat="1" ht="15" customHeight="1">
      <c r="A1400" s="1050"/>
      <c r="B1400" s="846"/>
      <c r="C1400" s="846"/>
      <c r="D1400" s="846"/>
      <c r="E1400" s="843"/>
      <c r="F1400" s="846"/>
      <c r="G1400" s="846"/>
      <c r="H1400" s="847"/>
      <c r="I1400" s="812"/>
      <c r="J1400" s="830"/>
      <c r="K1400" s="829"/>
      <c r="L1400" s="830"/>
      <c r="M1400" s="873"/>
      <c r="N1400" s="833"/>
      <c r="O1400" s="829"/>
      <c r="P1400" s="829"/>
      <c r="Q1400" s="815"/>
      <c r="R1400" s="830"/>
      <c r="S1400" s="846"/>
      <c r="T1400" s="915"/>
      <c r="U1400" s="200"/>
      <c r="V1400" s="873"/>
      <c r="W1400" s="813"/>
      <c r="X1400" s="815"/>
      <c r="Y1400" s="815"/>
      <c r="Z1400" s="859"/>
      <c r="AA1400" s="814"/>
      <c r="AB1400" s="830"/>
      <c r="AC1400" s="829"/>
      <c r="AD1400" s="829"/>
      <c r="AE1400" s="829"/>
      <c r="AF1400" s="532"/>
      <c r="AG1400" s="841"/>
      <c r="AH1400" s="841"/>
      <c r="AI1400" s="841"/>
    </row>
    <row r="1401" spans="1:35" s="203" customFormat="1" ht="15" customHeight="1">
      <c r="A1401" s="1050"/>
      <c r="B1401" s="846"/>
      <c r="C1401" s="846"/>
      <c r="D1401" s="846"/>
      <c r="E1401" s="843"/>
      <c r="F1401" s="846"/>
      <c r="G1401" s="846"/>
      <c r="H1401" s="847">
        <v>3812</v>
      </c>
      <c r="I1401" s="812" t="s">
        <v>137</v>
      </c>
      <c r="J1401" s="830">
        <v>823132621</v>
      </c>
      <c r="K1401" s="829"/>
      <c r="L1401" s="830"/>
      <c r="M1401" s="873">
        <v>43004</v>
      </c>
      <c r="N1401" s="833"/>
      <c r="O1401" s="829"/>
      <c r="P1401" s="829"/>
      <c r="Q1401" s="815">
        <v>823132621</v>
      </c>
      <c r="R1401" s="830"/>
      <c r="S1401" s="846"/>
      <c r="T1401" s="916" t="s">
        <v>2655</v>
      </c>
      <c r="U1401" s="200">
        <v>329253048</v>
      </c>
      <c r="V1401" s="873">
        <v>43206</v>
      </c>
      <c r="W1401" s="813"/>
      <c r="X1401" s="815"/>
      <c r="Y1401" s="815"/>
      <c r="Z1401" s="859"/>
      <c r="AA1401" s="814"/>
      <c r="AB1401" s="830"/>
      <c r="AC1401" s="829"/>
      <c r="AD1401" s="829"/>
      <c r="AE1401" s="829"/>
      <c r="AF1401" s="532"/>
      <c r="AG1401" s="841"/>
      <c r="AH1401" s="841"/>
      <c r="AI1401" s="841"/>
    </row>
    <row r="1402" spans="1:35" s="203" customFormat="1" ht="15" customHeight="1">
      <c r="A1402" s="1016"/>
      <c r="B1402" s="846"/>
      <c r="C1402" s="846"/>
      <c r="D1402" s="846"/>
      <c r="E1402" s="843"/>
      <c r="F1402" s="846"/>
      <c r="G1402" s="846"/>
      <c r="H1402" s="847"/>
      <c r="I1402" s="812"/>
      <c r="J1402" s="830"/>
      <c r="K1402" s="829"/>
      <c r="L1402" s="830"/>
      <c r="M1402" s="873"/>
      <c r="N1402" s="833"/>
      <c r="O1402" s="829"/>
      <c r="P1402" s="829"/>
      <c r="Q1402" s="815"/>
      <c r="R1402" s="830"/>
      <c r="S1402" s="846"/>
      <c r="T1402" s="915"/>
      <c r="U1402" s="200"/>
      <c r="V1402" s="873"/>
      <c r="W1402" s="813"/>
      <c r="X1402" s="815"/>
      <c r="Y1402" s="815"/>
      <c r="Z1402" s="859"/>
      <c r="AA1402" s="814"/>
      <c r="AB1402" s="830"/>
      <c r="AC1402" s="829"/>
      <c r="AD1402" s="829"/>
      <c r="AE1402" s="829"/>
      <c r="AF1402" s="532"/>
      <c r="AG1402" s="841"/>
      <c r="AH1402" s="841"/>
      <c r="AI1402" s="841"/>
    </row>
    <row r="1403" spans="1:35" ht="15" customHeight="1">
      <c r="A1403" s="1011" t="s">
        <v>1995</v>
      </c>
      <c r="B1403" s="1011" t="s">
        <v>1997</v>
      </c>
      <c r="C1403" s="1011" t="s">
        <v>72</v>
      </c>
      <c r="D1403" s="1011" t="s">
        <v>206</v>
      </c>
      <c r="E1403" s="1011" t="s">
        <v>66</v>
      </c>
      <c r="F1403" s="1011" t="s">
        <v>48</v>
      </c>
      <c r="G1403" s="1011" t="s">
        <v>2002</v>
      </c>
      <c r="H1403" s="1145">
        <v>6</v>
      </c>
      <c r="I1403" s="1065" t="s">
        <v>149</v>
      </c>
      <c r="J1403" s="1062">
        <v>879570000</v>
      </c>
      <c r="K1403" s="1062">
        <v>879570000</v>
      </c>
      <c r="L1403" s="1062">
        <v>1249940371</v>
      </c>
      <c r="M1403" s="1171">
        <v>42178</v>
      </c>
      <c r="N1403" s="1092">
        <v>879570000</v>
      </c>
      <c r="O1403" s="1092">
        <v>879570000</v>
      </c>
      <c r="P1403" s="1092">
        <v>0</v>
      </c>
      <c r="Q1403" s="1043">
        <v>821157870</v>
      </c>
      <c r="R1403" s="1043">
        <v>1191528241</v>
      </c>
      <c r="S1403" s="1011" t="s">
        <v>1998</v>
      </c>
      <c r="T1403" s="840" t="s">
        <v>1999</v>
      </c>
      <c r="U1403" s="866">
        <v>410578935</v>
      </c>
      <c r="V1403" s="855">
        <v>42599</v>
      </c>
      <c r="W1403" s="842" t="s">
        <v>149</v>
      </c>
      <c r="X1403" s="1043">
        <v>691660043</v>
      </c>
      <c r="Y1403" s="1043">
        <v>876845228</v>
      </c>
      <c r="Z1403" s="827">
        <v>0</v>
      </c>
      <c r="AA1403" s="1043">
        <v>187909957</v>
      </c>
      <c r="AB1403" s="1062">
        <v>-129497827</v>
      </c>
      <c r="AC1403" s="1062">
        <v>58412130</v>
      </c>
      <c r="AD1403" s="1062">
        <v>129497827</v>
      </c>
      <c r="AE1403" s="1062"/>
      <c r="AF1403" s="1108"/>
      <c r="AG1403" s="1103" t="s">
        <v>2003</v>
      </c>
      <c r="AH1403" s="1103" t="s">
        <v>194</v>
      </c>
      <c r="AI1403" s="1103" t="s">
        <v>1911</v>
      </c>
    </row>
    <row r="1404" spans="1:35" ht="15" customHeight="1">
      <c r="A1404" s="1033"/>
      <c r="B1404" s="1033"/>
      <c r="C1404" s="1033"/>
      <c r="D1404" s="1033"/>
      <c r="E1404" s="1033"/>
      <c r="F1404" s="1033"/>
      <c r="G1404" s="1033"/>
      <c r="H1404" s="1146"/>
      <c r="I1404" s="1066"/>
      <c r="J1404" s="1063"/>
      <c r="K1404" s="1063"/>
      <c r="L1404" s="1063"/>
      <c r="M1404" s="1171"/>
      <c r="N1404" s="1093"/>
      <c r="O1404" s="1093"/>
      <c r="P1404" s="1093"/>
      <c r="Q1404" s="1044"/>
      <c r="R1404" s="1044"/>
      <c r="S1404" s="1033"/>
      <c r="T1404" s="840" t="s">
        <v>2001</v>
      </c>
      <c r="U1404" s="866">
        <v>281081108</v>
      </c>
      <c r="V1404" s="855">
        <v>43053</v>
      </c>
      <c r="W1404" s="842" t="s">
        <v>149</v>
      </c>
      <c r="X1404" s="1044"/>
      <c r="Y1404" s="1044"/>
      <c r="Z1404" s="827">
        <v>0</v>
      </c>
      <c r="AA1404" s="1044"/>
      <c r="AB1404" s="1063"/>
      <c r="AC1404" s="1063"/>
      <c r="AD1404" s="1063"/>
      <c r="AE1404" s="1063"/>
      <c r="AF1404" s="1109"/>
      <c r="AG1404" s="1104"/>
      <c r="AH1404" s="1104"/>
      <c r="AI1404" s="1104"/>
    </row>
    <row r="1405" spans="1:35" ht="15" customHeight="1">
      <c r="A1405" s="1033"/>
      <c r="B1405" s="1033"/>
      <c r="C1405" s="1033"/>
      <c r="D1405" s="1033"/>
      <c r="E1405" s="1012"/>
      <c r="F1405" s="1033"/>
      <c r="G1405" s="1033"/>
      <c r="H1405" s="1147"/>
      <c r="I1405" s="1067"/>
      <c r="J1405" s="1064"/>
      <c r="K1405" s="1064"/>
      <c r="L1405" s="1063"/>
      <c r="M1405" s="1171"/>
      <c r="N1405" s="1094"/>
      <c r="O1405" s="1094"/>
      <c r="P1405" s="1094"/>
      <c r="Q1405" s="1045"/>
      <c r="R1405" s="1044"/>
      <c r="S1405" s="1033"/>
      <c r="T1405" s="840"/>
      <c r="U1405" s="866"/>
      <c r="V1405" s="855"/>
      <c r="W1405" s="842"/>
      <c r="X1405" s="1045"/>
      <c r="Y1405" s="1044"/>
      <c r="Z1405" s="827">
        <v>0</v>
      </c>
      <c r="AA1405" s="1045"/>
      <c r="AB1405" s="1064"/>
      <c r="AC1405" s="1064"/>
      <c r="AD1405" s="1064"/>
      <c r="AE1405" s="1064"/>
      <c r="AF1405" s="1109"/>
      <c r="AG1405" s="1104"/>
      <c r="AH1405" s="1104"/>
      <c r="AI1405" s="1104"/>
    </row>
    <row r="1406" spans="1:35" ht="15" customHeight="1">
      <c r="A1406" s="1033"/>
      <c r="B1406" s="1033"/>
      <c r="C1406" s="1033"/>
      <c r="D1406" s="1033"/>
      <c r="E1406" s="1011" t="s">
        <v>67</v>
      </c>
      <c r="F1406" s="1033"/>
      <c r="G1406" s="1033"/>
      <c r="H1406" s="1145">
        <v>8</v>
      </c>
      <c r="I1406" s="1065" t="s">
        <v>154</v>
      </c>
      <c r="J1406" s="1062">
        <v>240740741</v>
      </c>
      <c r="K1406" s="1062">
        <v>240740741</v>
      </c>
      <c r="L1406" s="1063"/>
      <c r="M1406" s="1068">
        <v>42702</v>
      </c>
      <c r="N1406" s="1092">
        <v>240740741</v>
      </c>
      <c r="O1406" s="1092">
        <v>240740741</v>
      </c>
      <c r="P1406" s="1092">
        <v>0</v>
      </c>
      <c r="Q1406" s="1043">
        <v>240740741</v>
      </c>
      <c r="R1406" s="1044"/>
      <c r="S1406" s="1033"/>
      <c r="T1406" s="840" t="s">
        <v>2000</v>
      </c>
      <c r="U1406" s="866">
        <v>120370370</v>
      </c>
      <c r="V1406" s="855">
        <v>43049</v>
      </c>
      <c r="W1406" s="842" t="s">
        <v>154</v>
      </c>
      <c r="X1406" s="1043">
        <v>120370370</v>
      </c>
      <c r="Y1406" s="1044"/>
      <c r="Z1406" s="827">
        <v>0</v>
      </c>
      <c r="AA1406" s="1043">
        <v>120370371</v>
      </c>
      <c r="AB1406" s="1062">
        <v>-120370370</v>
      </c>
      <c r="AC1406" s="1062">
        <v>0</v>
      </c>
      <c r="AD1406" s="1062">
        <v>120370371</v>
      </c>
      <c r="AE1406" s="1062"/>
      <c r="AF1406" s="1109"/>
      <c r="AG1406" s="1104"/>
      <c r="AH1406" s="1104"/>
      <c r="AI1406" s="1104"/>
    </row>
    <row r="1407" spans="1:35" ht="15" customHeight="1">
      <c r="A1407" s="1033"/>
      <c r="B1407" s="1033"/>
      <c r="C1407" s="1033"/>
      <c r="D1407" s="1033"/>
      <c r="E1407" s="1033"/>
      <c r="F1407" s="1033"/>
      <c r="G1407" s="1033"/>
      <c r="H1407" s="1147"/>
      <c r="I1407" s="1067"/>
      <c r="J1407" s="1064"/>
      <c r="K1407" s="1064"/>
      <c r="L1407" s="1063"/>
      <c r="M1407" s="1070"/>
      <c r="N1407" s="1094"/>
      <c r="O1407" s="1094"/>
      <c r="P1407" s="1094"/>
      <c r="Q1407" s="1045"/>
      <c r="R1407" s="1044"/>
      <c r="S1407" s="1033"/>
      <c r="T1407" s="840"/>
      <c r="U1407" s="866"/>
      <c r="V1407" s="855"/>
      <c r="W1407" s="842"/>
      <c r="X1407" s="1045"/>
      <c r="Y1407" s="1044"/>
      <c r="Z1407" s="827">
        <v>0</v>
      </c>
      <c r="AA1407" s="1045"/>
      <c r="AB1407" s="1064"/>
      <c r="AC1407" s="1064"/>
      <c r="AD1407" s="1064"/>
      <c r="AE1407" s="1064"/>
      <c r="AF1407" s="1109"/>
      <c r="AG1407" s="1104"/>
      <c r="AH1407" s="1104"/>
      <c r="AI1407" s="1104"/>
    </row>
    <row r="1408" spans="1:35" ht="15" customHeight="1">
      <c r="A1408" s="1033"/>
      <c r="B1408" s="1033"/>
      <c r="C1408" s="1033"/>
      <c r="D1408" s="1033"/>
      <c r="E1408" s="1033"/>
      <c r="F1408" s="1033"/>
      <c r="G1408" s="1033"/>
      <c r="H1408" s="1145">
        <v>13</v>
      </c>
      <c r="I1408" s="1065" t="s">
        <v>164</v>
      </c>
      <c r="J1408" s="1062">
        <v>129629630</v>
      </c>
      <c r="K1408" s="1062">
        <v>129629630</v>
      </c>
      <c r="L1408" s="1063"/>
      <c r="M1408" s="1068">
        <v>42692</v>
      </c>
      <c r="N1408" s="1092">
        <v>129629630</v>
      </c>
      <c r="O1408" s="1092">
        <v>129629630</v>
      </c>
      <c r="P1408" s="1092">
        <v>0</v>
      </c>
      <c r="Q1408" s="1043">
        <v>129629630</v>
      </c>
      <c r="R1408" s="1044"/>
      <c r="S1408" s="1033"/>
      <c r="T1408" s="840" t="s">
        <v>2000</v>
      </c>
      <c r="U1408" s="866">
        <v>64814815</v>
      </c>
      <c r="V1408" s="855">
        <v>43049</v>
      </c>
      <c r="W1408" s="842" t="s">
        <v>164</v>
      </c>
      <c r="X1408" s="1043">
        <v>64814815</v>
      </c>
      <c r="Y1408" s="1044"/>
      <c r="Z1408" s="827">
        <v>0</v>
      </c>
      <c r="AA1408" s="1043">
        <v>64814815</v>
      </c>
      <c r="AB1408" s="1062">
        <v>-64814815</v>
      </c>
      <c r="AC1408" s="1062">
        <v>0</v>
      </c>
      <c r="AD1408" s="1062">
        <v>64814815</v>
      </c>
      <c r="AE1408" s="1062"/>
      <c r="AF1408" s="1109"/>
      <c r="AG1408" s="1104"/>
      <c r="AH1408" s="1104"/>
      <c r="AI1408" s="1104"/>
    </row>
    <row r="1409" spans="1:35" ht="15" customHeight="1">
      <c r="A1409" s="1012"/>
      <c r="B1409" s="1012"/>
      <c r="C1409" s="1012"/>
      <c r="D1409" s="1012"/>
      <c r="E1409" s="1012"/>
      <c r="F1409" s="1012"/>
      <c r="G1409" s="1012"/>
      <c r="H1409" s="1147"/>
      <c r="I1409" s="1067"/>
      <c r="J1409" s="1064"/>
      <c r="K1409" s="1064"/>
      <c r="L1409" s="1064"/>
      <c r="M1409" s="1070"/>
      <c r="N1409" s="1094"/>
      <c r="O1409" s="1094"/>
      <c r="P1409" s="1094"/>
      <c r="Q1409" s="1045"/>
      <c r="R1409" s="1045"/>
      <c r="S1409" s="1012"/>
      <c r="T1409" s="840"/>
      <c r="U1409" s="866"/>
      <c r="V1409" s="855"/>
      <c r="W1409" s="842"/>
      <c r="X1409" s="1045"/>
      <c r="Y1409" s="1045"/>
      <c r="Z1409" s="827">
        <v>0</v>
      </c>
      <c r="AA1409" s="1045"/>
      <c r="AB1409" s="1064"/>
      <c r="AC1409" s="1064"/>
      <c r="AD1409" s="1064"/>
      <c r="AE1409" s="1064"/>
      <c r="AF1409" s="1110"/>
      <c r="AG1409" s="1105"/>
      <c r="AH1409" s="1105"/>
      <c r="AI1409" s="1105"/>
    </row>
    <row r="1410" spans="1:35" ht="15" customHeight="1">
      <c r="A1410" s="1011" t="s">
        <v>1847</v>
      </c>
      <c r="B1410" s="1011" t="s">
        <v>1849</v>
      </c>
      <c r="C1410" s="1011" t="s">
        <v>71</v>
      </c>
      <c r="D1410" s="1011" t="s">
        <v>1221</v>
      </c>
      <c r="E1410" s="1011" t="s">
        <v>66</v>
      </c>
      <c r="F1410" s="1011" t="s">
        <v>48</v>
      </c>
      <c r="G1410" s="1011" t="s">
        <v>1852</v>
      </c>
      <c r="H1410" s="1009">
        <v>9</v>
      </c>
      <c r="I1410" s="1065" t="s">
        <v>161</v>
      </c>
      <c r="J1410" s="1062">
        <v>1563158721</v>
      </c>
      <c r="K1410" s="1062">
        <v>1563158721</v>
      </c>
      <c r="L1410" s="1062">
        <v>1563158721</v>
      </c>
      <c r="M1410" s="1068">
        <v>41948</v>
      </c>
      <c r="N1410" s="1092">
        <v>1563158721</v>
      </c>
      <c r="O1410" s="1092">
        <v>1563158721</v>
      </c>
      <c r="P1410" s="1092">
        <v>0</v>
      </c>
      <c r="Q1410" s="1043">
        <v>1563158721</v>
      </c>
      <c r="R1410" s="1062">
        <v>1563158721</v>
      </c>
      <c r="S1410" s="1011" t="s">
        <v>1850</v>
      </c>
      <c r="T1410" s="840" t="s">
        <v>1851</v>
      </c>
      <c r="U1410" s="866">
        <v>780727451.5</v>
      </c>
      <c r="V1410" s="855">
        <v>42451</v>
      </c>
      <c r="W1410" s="842" t="s">
        <v>161</v>
      </c>
      <c r="X1410" s="1043">
        <v>1369864276.5</v>
      </c>
      <c r="Y1410" s="1043">
        <v>1369864276.5</v>
      </c>
      <c r="Z1410" s="827">
        <v>0</v>
      </c>
      <c r="AA1410" s="1043">
        <v>193294444.5</v>
      </c>
      <c r="AB1410" s="1062"/>
      <c r="AC1410" s="1062"/>
      <c r="AD1410" s="1062"/>
      <c r="AE1410" s="1062"/>
      <c r="AF1410" s="1108" t="s">
        <v>1853</v>
      </c>
      <c r="AG1410" s="1103" t="s">
        <v>1854</v>
      </c>
      <c r="AH1410" s="1103" t="s">
        <v>194</v>
      </c>
      <c r="AI1410" s="1103" t="s">
        <v>1619</v>
      </c>
    </row>
    <row r="1411" spans="1:35" ht="15" customHeight="1">
      <c r="A1411" s="1033"/>
      <c r="B1411" s="1033"/>
      <c r="C1411" s="1033"/>
      <c r="D1411" s="1033"/>
      <c r="E1411" s="1033"/>
      <c r="F1411" s="1033"/>
      <c r="G1411" s="1033"/>
      <c r="H1411" s="1039"/>
      <c r="I1411" s="1066"/>
      <c r="J1411" s="1063"/>
      <c r="K1411" s="1063"/>
      <c r="L1411" s="1063"/>
      <c r="M1411" s="1069"/>
      <c r="N1411" s="1093"/>
      <c r="O1411" s="1093"/>
      <c r="P1411" s="1093"/>
      <c r="Q1411" s="1044"/>
      <c r="R1411" s="1063"/>
      <c r="S1411" s="1033"/>
      <c r="T1411" s="840"/>
      <c r="U1411" s="866">
        <v>223521371.5</v>
      </c>
      <c r="V1411" s="855">
        <v>42886</v>
      </c>
      <c r="W1411" s="842" t="s">
        <v>161</v>
      </c>
      <c r="X1411" s="1044"/>
      <c r="Y1411" s="1044"/>
      <c r="Z1411" s="827">
        <v>-223521371.5</v>
      </c>
      <c r="AA1411" s="1044"/>
      <c r="AB1411" s="1063"/>
      <c r="AC1411" s="1063"/>
      <c r="AD1411" s="1063"/>
      <c r="AE1411" s="1063"/>
      <c r="AF1411" s="1109"/>
      <c r="AG1411" s="1104"/>
      <c r="AH1411" s="1104"/>
      <c r="AI1411" s="1104"/>
    </row>
    <row r="1412" spans="1:35" ht="15" customHeight="1">
      <c r="A1412" s="1033"/>
      <c r="B1412" s="1033"/>
      <c r="C1412" s="1033"/>
      <c r="D1412" s="1033"/>
      <c r="E1412" s="1033"/>
      <c r="F1412" s="1033"/>
      <c r="G1412" s="1033"/>
      <c r="H1412" s="1039"/>
      <c r="I1412" s="1066"/>
      <c r="J1412" s="1063"/>
      <c r="K1412" s="1063"/>
      <c r="L1412" s="1063"/>
      <c r="M1412" s="1069"/>
      <c r="N1412" s="1093"/>
      <c r="O1412" s="1093"/>
      <c r="P1412" s="1093"/>
      <c r="Q1412" s="1044"/>
      <c r="R1412" s="1063"/>
      <c r="S1412" s="1033"/>
      <c r="T1412" s="840"/>
      <c r="U1412" s="866">
        <v>365615453.5</v>
      </c>
      <c r="V1412" s="855">
        <v>42989</v>
      </c>
      <c r="W1412" s="842" t="s">
        <v>161</v>
      </c>
      <c r="X1412" s="1044"/>
      <c r="Y1412" s="1044"/>
      <c r="Z1412" s="827">
        <v>-365615453.5</v>
      </c>
      <c r="AA1412" s="1044"/>
      <c r="AB1412" s="1063"/>
      <c r="AC1412" s="1063"/>
      <c r="AD1412" s="1063"/>
      <c r="AE1412" s="1063"/>
      <c r="AF1412" s="1109"/>
      <c r="AG1412" s="1104"/>
      <c r="AH1412" s="1104"/>
      <c r="AI1412" s="1104"/>
    </row>
    <row r="1413" spans="1:35" ht="15" customHeight="1">
      <c r="A1413" s="1012"/>
      <c r="B1413" s="1012"/>
      <c r="C1413" s="1012"/>
      <c r="D1413" s="1012"/>
      <c r="E1413" s="1012"/>
      <c r="F1413" s="1012"/>
      <c r="G1413" s="1012"/>
      <c r="H1413" s="1010"/>
      <c r="I1413" s="1067"/>
      <c r="J1413" s="1064"/>
      <c r="K1413" s="1064"/>
      <c r="L1413" s="1064"/>
      <c r="M1413" s="1070"/>
      <c r="N1413" s="1094"/>
      <c r="O1413" s="1094"/>
      <c r="P1413" s="1094"/>
      <c r="Q1413" s="1045"/>
      <c r="R1413" s="1064"/>
      <c r="S1413" s="1012"/>
      <c r="T1413" s="840"/>
      <c r="U1413" s="866"/>
      <c r="V1413" s="855"/>
      <c r="W1413" s="842"/>
      <c r="X1413" s="1045"/>
      <c r="Y1413" s="1045"/>
      <c r="Z1413" s="827">
        <v>0</v>
      </c>
      <c r="AA1413" s="1045"/>
      <c r="AB1413" s="1064"/>
      <c r="AC1413" s="1064"/>
      <c r="AD1413" s="1064"/>
      <c r="AE1413" s="1064"/>
      <c r="AF1413" s="1110"/>
      <c r="AG1413" s="1105"/>
      <c r="AH1413" s="1105"/>
      <c r="AI1413" s="1105"/>
    </row>
    <row r="1414" spans="1:35" s="4" customFormat="1" ht="15" customHeight="1">
      <c r="A1414" s="1149" t="s">
        <v>1980</v>
      </c>
      <c r="B1414" s="1149" t="s">
        <v>1978</v>
      </c>
      <c r="C1414" s="1023" t="s">
        <v>72</v>
      </c>
      <c r="D1414" s="1023" t="s">
        <v>206</v>
      </c>
      <c r="E1414" s="1186" t="s">
        <v>66</v>
      </c>
      <c r="F1414" s="1149" t="s">
        <v>49</v>
      </c>
      <c r="G1414" s="1149" t="s">
        <v>1904</v>
      </c>
      <c r="H1414" s="1156">
        <v>16</v>
      </c>
      <c r="I1414" s="1122" t="s">
        <v>129</v>
      </c>
      <c r="J1414" s="1084">
        <v>51220000</v>
      </c>
      <c r="K1414" s="1084">
        <v>51220000</v>
      </c>
      <c r="L1414" s="1084">
        <v>511485000</v>
      </c>
      <c r="M1414" s="1171">
        <v>42150</v>
      </c>
      <c r="N1414" s="1089"/>
      <c r="O1414" s="1089"/>
      <c r="P1414" s="1089"/>
      <c r="Q1414" s="1084">
        <v>51124427.460000001</v>
      </c>
      <c r="R1414" s="1189">
        <v>493417600</v>
      </c>
      <c r="S1414" s="1023"/>
      <c r="T1414" s="840" t="s">
        <v>1983</v>
      </c>
      <c r="U1414" s="866">
        <v>5112442.74</v>
      </c>
      <c r="V1414" s="855">
        <v>42320</v>
      </c>
      <c r="W1414" s="1122" t="s">
        <v>129</v>
      </c>
      <c r="X1414" s="1084">
        <v>25817835.859999999</v>
      </c>
      <c r="Y1414" s="1084">
        <v>249175888.00000003</v>
      </c>
      <c r="Z1414" s="1084">
        <v>0</v>
      </c>
      <c r="AA1414" s="1084">
        <v>0</v>
      </c>
      <c r="AB1414" s="1084">
        <v>0</v>
      </c>
      <c r="AC1414" s="1084">
        <v>95572.539999999106</v>
      </c>
      <c r="AD1414" s="1084"/>
      <c r="AE1414" s="1084"/>
      <c r="AF1414" s="1149"/>
      <c r="AG1414" s="1149" t="s">
        <v>1981</v>
      </c>
      <c r="AH1414" s="1103" t="s">
        <v>195</v>
      </c>
      <c r="AI1414" s="1103" t="s">
        <v>1911</v>
      </c>
    </row>
    <row r="1415" spans="1:35" s="4" customFormat="1" ht="15" customHeight="1">
      <c r="A1415" s="1149"/>
      <c r="B1415" s="1149"/>
      <c r="C1415" s="1124"/>
      <c r="D1415" s="1124"/>
      <c r="E1415" s="1187"/>
      <c r="F1415" s="1149"/>
      <c r="G1415" s="1149"/>
      <c r="H1415" s="1156"/>
      <c r="I1415" s="1122"/>
      <c r="J1415" s="1084"/>
      <c r="K1415" s="1084"/>
      <c r="L1415" s="1084"/>
      <c r="M1415" s="1171"/>
      <c r="N1415" s="1091"/>
      <c r="O1415" s="1091"/>
      <c r="P1415" s="1091"/>
      <c r="Q1415" s="1084"/>
      <c r="R1415" s="1189"/>
      <c r="S1415" s="1124"/>
      <c r="T1415" s="840" t="s">
        <v>1984</v>
      </c>
      <c r="U1415" s="866">
        <v>20705393.120000001</v>
      </c>
      <c r="V1415" s="855">
        <v>42436</v>
      </c>
      <c r="W1415" s="1122"/>
      <c r="X1415" s="1084"/>
      <c r="Y1415" s="1084"/>
      <c r="Z1415" s="1084"/>
      <c r="AA1415" s="1084"/>
      <c r="AB1415" s="1084"/>
      <c r="AC1415" s="1084"/>
      <c r="AD1415" s="1084"/>
      <c r="AE1415" s="1084"/>
      <c r="AF1415" s="1149"/>
      <c r="AG1415" s="1149"/>
      <c r="AH1415" s="1104"/>
      <c r="AI1415" s="1104"/>
    </row>
    <row r="1416" spans="1:35" s="4" customFormat="1" ht="15" customHeight="1">
      <c r="A1416" s="1149"/>
      <c r="B1416" s="1149"/>
      <c r="C1416" s="1124"/>
      <c r="D1416" s="1124"/>
      <c r="E1416" s="1187"/>
      <c r="F1416" s="1149"/>
      <c r="G1416" s="1149"/>
      <c r="H1416" s="1156">
        <v>5</v>
      </c>
      <c r="I1416" s="1122" t="s">
        <v>143</v>
      </c>
      <c r="J1416" s="1084">
        <v>51220000</v>
      </c>
      <c r="K1416" s="1084">
        <v>51220000</v>
      </c>
      <c r="L1416" s="1084"/>
      <c r="M1416" s="1171">
        <v>42150</v>
      </c>
      <c r="N1416" s="1089"/>
      <c r="O1416" s="1089"/>
      <c r="P1416" s="1089"/>
      <c r="Q1416" s="1084">
        <v>51124427.460000001</v>
      </c>
      <c r="R1416" s="1189"/>
      <c r="S1416" s="1124"/>
      <c r="T1416" s="840" t="s">
        <v>1983</v>
      </c>
      <c r="U1416" s="866">
        <v>5112442.75</v>
      </c>
      <c r="V1416" s="855">
        <v>42320</v>
      </c>
      <c r="W1416" s="1122" t="s">
        <v>143</v>
      </c>
      <c r="X1416" s="1084">
        <v>25817835.870000001</v>
      </c>
      <c r="Y1416" s="1084"/>
      <c r="Z1416" s="1084"/>
      <c r="AA1416" s="1084"/>
      <c r="AB1416" s="1084"/>
      <c r="AC1416" s="1084">
        <v>95572.539999999106</v>
      </c>
      <c r="AD1416" s="1084"/>
      <c r="AE1416" s="1084"/>
      <c r="AF1416" s="1149"/>
      <c r="AG1416" s="1149"/>
      <c r="AH1416" s="1104"/>
      <c r="AI1416" s="1104"/>
    </row>
    <row r="1417" spans="1:35" s="4" customFormat="1" ht="15" customHeight="1">
      <c r="A1417" s="1149"/>
      <c r="B1417" s="1149"/>
      <c r="C1417" s="1124"/>
      <c r="D1417" s="1124"/>
      <c r="E1417" s="1187"/>
      <c r="F1417" s="1149"/>
      <c r="G1417" s="1149"/>
      <c r="H1417" s="1156"/>
      <c r="I1417" s="1122"/>
      <c r="J1417" s="1084"/>
      <c r="K1417" s="1084"/>
      <c r="L1417" s="1084"/>
      <c r="M1417" s="1171"/>
      <c r="N1417" s="1091"/>
      <c r="O1417" s="1091"/>
      <c r="P1417" s="1091"/>
      <c r="Q1417" s="1084"/>
      <c r="R1417" s="1189"/>
      <c r="S1417" s="1124"/>
      <c r="T1417" s="840" t="s">
        <v>1985</v>
      </c>
      <c r="U1417" s="866">
        <v>20705393.120000001</v>
      </c>
      <c r="V1417" s="855">
        <v>42436</v>
      </c>
      <c r="W1417" s="1122"/>
      <c r="X1417" s="1084"/>
      <c r="Y1417" s="1084"/>
      <c r="Z1417" s="1084"/>
      <c r="AA1417" s="1084"/>
      <c r="AB1417" s="1084"/>
      <c r="AC1417" s="1084"/>
      <c r="AD1417" s="1084"/>
      <c r="AE1417" s="1084"/>
      <c r="AF1417" s="1149"/>
      <c r="AG1417" s="1149"/>
      <c r="AH1417" s="1104"/>
      <c r="AI1417" s="1104"/>
    </row>
    <row r="1418" spans="1:35" s="4" customFormat="1" ht="15" customHeight="1">
      <c r="A1418" s="1149"/>
      <c r="B1418" s="1149"/>
      <c r="C1418" s="1124"/>
      <c r="D1418" s="1124"/>
      <c r="E1418" s="1187"/>
      <c r="F1418" s="1149"/>
      <c r="G1418" s="1149"/>
      <c r="H1418" s="1156">
        <v>14</v>
      </c>
      <c r="I1418" s="1122" t="s">
        <v>147</v>
      </c>
      <c r="J1418" s="1084">
        <v>51220000</v>
      </c>
      <c r="K1418" s="1084">
        <v>51220000</v>
      </c>
      <c r="L1418" s="1084"/>
      <c r="M1418" s="1171">
        <v>42150</v>
      </c>
      <c r="N1418" s="1089"/>
      <c r="O1418" s="1089"/>
      <c r="P1418" s="1089"/>
      <c r="Q1418" s="1084">
        <v>51124427.460000001</v>
      </c>
      <c r="R1418" s="1189"/>
      <c r="S1418" s="1124"/>
      <c r="T1418" s="840" t="s">
        <v>1983</v>
      </c>
      <c r="U1418" s="866">
        <v>5112442.75</v>
      </c>
      <c r="V1418" s="855">
        <v>42320</v>
      </c>
      <c r="W1418" s="1122" t="s">
        <v>147</v>
      </c>
      <c r="X1418" s="1084">
        <v>25817835.870000001</v>
      </c>
      <c r="Y1418" s="1084"/>
      <c r="Z1418" s="1084"/>
      <c r="AA1418" s="1084"/>
      <c r="AB1418" s="1084"/>
      <c r="AC1418" s="1084">
        <v>95572.539999999106</v>
      </c>
      <c r="AD1418" s="1084"/>
      <c r="AE1418" s="1084"/>
      <c r="AF1418" s="1149"/>
      <c r="AG1418" s="1149"/>
      <c r="AH1418" s="1104"/>
      <c r="AI1418" s="1104"/>
    </row>
    <row r="1419" spans="1:35" s="4" customFormat="1" ht="15" customHeight="1">
      <c r="A1419" s="1149"/>
      <c r="B1419" s="1149"/>
      <c r="C1419" s="1124"/>
      <c r="D1419" s="1124"/>
      <c r="E1419" s="1187"/>
      <c r="F1419" s="1149"/>
      <c r="G1419" s="1149"/>
      <c r="H1419" s="1156"/>
      <c r="I1419" s="1122"/>
      <c r="J1419" s="1084"/>
      <c r="K1419" s="1084"/>
      <c r="L1419" s="1084"/>
      <c r="M1419" s="1171"/>
      <c r="N1419" s="1091"/>
      <c r="O1419" s="1091"/>
      <c r="P1419" s="1091"/>
      <c r="Q1419" s="1084"/>
      <c r="R1419" s="1189"/>
      <c r="S1419" s="1124"/>
      <c r="T1419" s="840" t="s">
        <v>1986</v>
      </c>
      <c r="U1419" s="866">
        <v>20705393.120000001</v>
      </c>
      <c r="V1419" s="855">
        <v>42436</v>
      </c>
      <c r="W1419" s="1122"/>
      <c r="X1419" s="1084"/>
      <c r="Y1419" s="1084"/>
      <c r="Z1419" s="1084"/>
      <c r="AA1419" s="1084"/>
      <c r="AB1419" s="1084"/>
      <c r="AC1419" s="1084"/>
      <c r="AD1419" s="1084"/>
      <c r="AE1419" s="1084"/>
      <c r="AF1419" s="1149"/>
      <c r="AG1419" s="1149"/>
      <c r="AH1419" s="1104"/>
      <c r="AI1419" s="1104"/>
    </row>
    <row r="1420" spans="1:35" s="4" customFormat="1" ht="15" customHeight="1">
      <c r="A1420" s="1149"/>
      <c r="B1420" s="1149"/>
      <c r="C1420" s="1124"/>
      <c r="D1420" s="1124"/>
      <c r="E1420" s="1187"/>
      <c r="F1420" s="1149"/>
      <c r="G1420" s="1149"/>
      <c r="H1420" s="1156">
        <v>12</v>
      </c>
      <c r="I1420" s="1122" t="s">
        <v>147</v>
      </c>
      <c r="J1420" s="1084">
        <v>33825000</v>
      </c>
      <c r="K1420" s="1084">
        <v>33825000</v>
      </c>
      <c r="L1420" s="1084"/>
      <c r="M1420" s="1171">
        <v>42150</v>
      </c>
      <c r="N1420" s="1089"/>
      <c r="O1420" s="1089"/>
      <c r="P1420" s="1089"/>
      <c r="Q1420" s="1084">
        <v>33761885.18</v>
      </c>
      <c r="R1420" s="1189"/>
      <c r="S1420" s="1124"/>
      <c r="T1420" s="840" t="s">
        <v>1983</v>
      </c>
      <c r="U1420" s="866">
        <v>3376188.51</v>
      </c>
      <c r="V1420" s="855">
        <v>42320</v>
      </c>
      <c r="W1420" s="1122" t="s">
        <v>147</v>
      </c>
      <c r="X1420" s="1084">
        <v>17049751.990000002</v>
      </c>
      <c r="Y1420" s="1084"/>
      <c r="Z1420" s="1084"/>
      <c r="AA1420" s="1084"/>
      <c r="AB1420" s="1084"/>
      <c r="AC1420" s="1084">
        <v>63114.820000000298</v>
      </c>
      <c r="AD1420" s="1084"/>
      <c r="AE1420" s="1084"/>
      <c r="AF1420" s="1149"/>
      <c r="AG1420" s="1149"/>
      <c r="AH1420" s="1104"/>
      <c r="AI1420" s="1104"/>
    </row>
    <row r="1421" spans="1:35" s="4" customFormat="1" ht="15" customHeight="1">
      <c r="A1421" s="1149"/>
      <c r="B1421" s="1149"/>
      <c r="C1421" s="1124"/>
      <c r="D1421" s="1124"/>
      <c r="E1421" s="1187"/>
      <c r="F1421" s="1149"/>
      <c r="G1421" s="1149"/>
      <c r="H1421" s="1156"/>
      <c r="I1421" s="1122"/>
      <c r="J1421" s="1084"/>
      <c r="K1421" s="1084"/>
      <c r="L1421" s="1084"/>
      <c r="M1421" s="1171"/>
      <c r="N1421" s="1091"/>
      <c r="O1421" s="1091"/>
      <c r="P1421" s="1091"/>
      <c r="Q1421" s="1084"/>
      <c r="R1421" s="1189"/>
      <c r="S1421" s="1124"/>
      <c r="T1421" s="840" t="s">
        <v>1987</v>
      </c>
      <c r="U1421" s="866">
        <v>13673563.48</v>
      </c>
      <c r="V1421" s="855">
        <v>42436</v>
      </c>
      <c r="W1421" s="1122"/>
      <c r="X1421" s="1084"/>
      <c r="Y1421" s="1084"/>
      <c r="Z1421" s="1084"/>
      <c r="AA1421" s="1084"/>
      <c r="AB1421" s="1084"/>
      <c r="AC1421" s="1084"/>
      <c r="AD1421" s="1084"/>
      <c r="AE1421" s="1084"/>
      <c r="AF1421" s="1149"/>
      <c r="AG1421" s="1149"/>
      <c r="AH1421" s="1104"/>
      <c r="AI1421" s="1104"/>
    </row>
    <row r="1422" spans="1:35" s="4" customFormat="1" ht="15" customHeight="1">
      <c r="A1422" s="1149"/>
      <c r="B1422" s="1149"/>
      <c r="C1422" s="1124"/>
      <c r="D1422" s="1124"/>
      <c r="E1422" s="1187"/>
      <c r="F1422" s="1149"/>
      <c r="G1422" s="1149"/>
      <c r="H1422" s="1156">
        <v>15</v>
      </c>
      <c r="I1422" s="1122" t="s">
        <v>157</v>
      </c>
      <c r="J1422" s="1084">
        <v>34075000</v>
      </c>
      <c r="K1422" s="1084">
        <v>34075000</v>
      </c>
      <c r="L1422" s="1084"/>
      <c r="M1422" s="1171">
        <v>42150</v>
      </c>
      <c r="N1422" s="1089"/>
      <c r="O1422" s="1089"/>
      <c r="P1422" s="1089"/>
      <c r="Q1422" s="1084">
        <v>34011418.700000003</v>
      </c>
      <c r="R1422" s="1189"/>
      <c r="S1422" s="1124"/>
      <c r="T1422" s="840" t="s">
        <v>1983</v>
      </c>
      <c r="U1422" s="866">
        <v>3401141.87</v>
      </c>
      <c r="V1422" s="855">
        <v>42320</v>
      </c>
      <c r="W1422" s="1122" t="s">
        <v>157</v>
      </c>
      <c r="X1422" s="1084">
        <v>17175766.469999999</v>
      </c>
      <c r="Y1422" s="1084"/>
      <c r="Z1422" s="1084"/>
      <c r="AA1422" s="1084"/>
      <c r="AB1422" s="1084"/>
      <c r="AC1422" s="1084">
        <v>63581.29999999702</v>
      </c>
      <c r="AD1422" s="1084"/>
      <c r="AE1422" s="1084"/>
      <c r="AF1422" s="1149"/>
      <c r="AG1422" s="1149"/>
      <c r="AH1422" s="1104"/>
      <c r="AI1422" s="1104"/>
    </row>
    <row r="1423" spans="1:35" s="4" customFormat="1" ht="15" customHeight="1">
      <c r="A1423" s="1149"/>
      <c r="B1423" s="1149"/>
      <c r="C1423" s="1124"/>
      <c r="D1423" s="1124"/>
      <c r="E1423" s="1187"/>
      <c r="F1423" s="1149"/>
      <c r="G1423" s="1149"/>
      <c r="H1423" s="1156"/>
      <c r="I1423" s="1122"/>
      <c r="J1423" s="1084"/>
      <c r="K1423" s="1084"/>
      <c r="L1423" s="1084"/>
      <c r="M1423" s="1171"/>
      <c r="N1423" s="1091"/>
      <c r="O1423" s="1091"/>
      <c r="P1423" s="1091"/>
      <c r="Q1423" s="1084"/>
      <c r="R1423" s="1189"/>
      <c r="S1423" s="1124"/>
      <c r="T1423" s="840" t="s">
        <v>1988</v>
      </c>
      <c r="U1423" s="866">
        <v>13774624.6</v>
      </c>
      <c r="V1423" s="855">
        <v>42436</v>
      </c>
      <c r="W1423" s="1122"/>
      <c r="X1423" s="1084"/>
      <c r="Y1423" s="1084"/>
      <c r="Z1423" s="1084"/>
      <c r="AA1423" s="1084"/>
      <c r="AB1423" s="1084"/>
      <c r="AC1423" s="1084"/>
      <c r="AD1423" s="1084"/>
      <c r="AE1423" s="1084"/>
      <c r="AF1423" s="1149"/>
      <c r="AG1423" s="1149"/>
      <c r="AH1423" s="1104"/>
      <c r="AI1423" s="1104"/>
    </row>
    <row r="1424" spans="1:35" s="4" customFormat="1" ht="15" customHeight="1">
      <c r="A1424" s="1149"/>
      <c r="B1424" s="1149"/>
      <c r="C1424" s="1124"/>
      <c r="D1424" s="1124"/>
      <c r="E1424" s="1187"/>
      <c r="F1424" s="1149"/>
      <c r="G1424" s="1149"/>
      <c r="H1424" s="1156">
        <v>5</v>
      </c>
      <c r="I1424" s="1122" t="s">
        <v>163</v>
      </c>
      <c r="J1424" s="1084">
        <v>33825000</v>
      </c>
      <c r="K1424" s="1084">
        <v>33825000</v>
      </c>
      <c r="L1424" s="1084"/>
      <c r="M1424" s="1171">
        <v>42150</v>
      </c>
      <c r="N1424" s="1089"/>
      <c r="O1424" s="1089"/>
      <c r="P1424" s="1089"/>
      <c r="Q1424" s="1084">
        <v>33761885.18</v>
      </c>
      <c r="R1424" s="1189"/>
      <c r="S1424" s="1124"/>
      <c r="T1424" s="840" t="s">
        <v>1983</v>
      </c>
      <c r="U1424" s="866">
        <v>3376188.51</v>
      </c>
      <c r="V1424" s="855">
        <v>42320</v>
      </c>
      <c r="W1424" s="1122" t="s">
        <v>163</v>
      </c>
      <c r="X1424" s="1084">
        <v>17049751.990000002</v>
      </c>
      <c r="Y1424" s="1084"/>
      <c r="Z1424" s="1084"/>
      <c r="AA1424" s="1084"/>
      <c r="AB1424" s="1084"/>
      <c r="AC1424" s="1084">
        <v>63114.820000000298</v>
      </c>
      <c r="AD1424" s="1084"/>
      <c r="AE1424" s="1084"/>
      <c r="AF1424" s="1149"/>
      <c r="AG1424" s="1149"/>
      <c r="AH1424" s="1104"/>
      <c r="AI1424" s="1104"/>
    </row>
    <row r="1425" spans="1:35" s="4" customFormat="1" ht="15" customHeight="1">
      <c r="A1425" s="1149"/>
      <c r="B1425" s="1149"/>
      <c r="C1425" s="1124"/>
      <c r="D1425" s="1124"/>
      <c r="E1425" s="1187"/>
      <c r="F1425" s="1149"/>
      <c r="G1425" s="1149"/>
      <c r="H1425" s="1156"/>
      <c r="I1425" s="1122"/>
      <c r="J1425" s="1084"/>
      <c r="K1425" s="1084"/>
      <c r="L1425" s="1084"/>
      <c r="M1425" s="1171"/>
      <c r="N1425" s="1091"/>
      <c r="O1425" s="1091"/>
      <c r="P1425" s="1091"/>
      <c r="Q1425" s="1084"/>
      <c r="R1425" s="1189"/>
      <c r="S1425" s="1124"/>
      <c r="T1425" s="840" t="s">
        <v>1989</v>
      </c>
      <c r="U1425" s="866">
        <v>13673563.48</v>
      </c>
      <c r="V1425" s="855">
        <v>42436</v>
      </c>
      <c r="W1425" s="1122"/>
      <c r="X1425" s="1084"/>
      <c r="Y1425" s="1084"/>
      <c r="Z1425" s="1084"/>
      <c r="AA1425" s="1084"/>
      <c r="AB1425" s="1084"/>
      <c r="AC1425" s="1084"/>
      <c r="AD1425" s="1084"/>
      <c r="AE1425" s="1084"/>
      <c r="AF1425" s="1149"/>
      <c r="AG1425" s="1149"/>
      <c r="AH1425" s="1104"/>
      <c r="AI1425" s="1104"/>
    </row>
    <row r="1426" spans="1:35" s="4" customFormat="1" ht="15" customHeight="1">
      <c r="A1426" s="1149"/>
      <c r="B1426" s="1149"/>
      <c r="C1426" s="1124"/>
      <c r="D1426" s="1124"/>
      <c r="E1426" s="1187"/>
      <c r="F1426" s="1149"/>
      <c r="G1426" s="1149"/>
      <c r="H1426" s="1156">
        <v>6</v>
      </c>
      <c r="I1426" s="1122" t="s">
        <v>142</v>
      </c>
      <c r="J1426" s="1084">
        <v>51220000</v>
      </c>
      <c r="K1426" s="1084">
        <v>51220000</v>
      </c>
      <c r="L1426" s="1084"/>
      <c r="M1426" s="1171">
        <v>42150</v>
      </c>
      <c r="N1426" s="1089"/>
      <c r="O1426" s="1089"/>
      <c r="P1426" s="1089"/>
      <c r="Q1426" s="1084">
        <v>34011418.75</v>
      </c>
      <c r="R1426" s="1189"/>
      <c r="S1426" s="1124"/>
      <c r="T1426" s="840" t="s">
        <v>1983</v>
      </c>
      <c r="U1426" s="866">
        <v>3401141.87</v>
      </c>
      <c r="V1426" s="855">
        <v>42320</v>
      </c>
      <c r="W1426" s="1122" t="s">
        <v>142</v>
      </c>
      <c r="X1426" s="1084">
        <v>17175766.469999999</v>
      </c>
      <c r="Y1426" s="1084"/>
      <c r="Z1426" s="1084"/>
      <c r="AA1426" s="1084"/>
      <c r="AB1426" s="1084"/>
      <c r="AC1426" s="1084">
        <v>17208581.25</v>
      </c>
      <c r="AD1426" s="1084"/>
      <c r="AE1426" s="1084"/>
      <c r="AF1426" s="1149"/>
      <c r="AG1426" s="1149"/>
      <c r="AH1426" s="1104"/>
      <c r="AI1426" s="1104"/>
    </row>
    <row r="1427" spans="1:35" s="4" customFormat="1" ht="15" customHeight="1">
      <c r="A1427" s="1149"/>
      <c r="B1427" s="1149"/>
      <c r="C1427" s="1124"/>
      <c r="D1427" s="1124"/>
      <c r="E1427" s="1187"/>
      <c r="F1427" s="1149"/>
      <c r="G1427" s="1149"/>
      <c r="H1427" s="1156"/>
      <c r="I1427" s="1122"/>
      <c r="J1427" s="1084"/>
      <c r="K1427" s="1084"/>
      <c r="L1427" s="1084"/>
      <c r="M1427" s="1171"/>
      <c r="N1427" s="1091"/>
      <c r="O1427" s="1091"/>
      <c r="P1427" s="1091"/>
      <c r="Q1427" s="1084"/>
      <c r="R1427" s="1189"/>
      <c r="S1427" s="1124"/>
      <c r="T1427" s="840" t="s">
        <v>1990</v>
      </c>
      <c r="U1427" s="866">
        <v>13774624.6</v>
      </c>
      <c r="V1427" s="855">
        <v>42436</v>
      </c>
      <c r="W1427" s="1122"/>
      <c r="X1427" s="1084"/>
      <c r="Y1427" s="1084"/>
      <c r="Z1427" s="1084"/>
      <c r="AA1427" s="1084"/>
      <c r="AB1427" s="1084"/>
      <c r="AC1427" s="1084"/>
      <c r="AD1427" s="1084"/>
      <c r="AE1427" s="1084"/>
      <c r="AF1427" s="1149"/>
      <c r="AG1427" s="1149"/>
      <c r="AH1427" s="1104"/>
      <c r="AI1427" s="1104"/>
    </row>
    <row r="1428" spans="1:35" s="4" customFormat="1" ht="15" customHeight="1">
      <c r="A1428" s="1149"/>
      <c r="B1428" s="1149"/>
      <c r="C1428" s="1124"/>
      <c r="D1428" s="1124"/>
      <c r="E1428" s="1187"/>
      <c r="F1428" s="1149"/>
      <c r="G1428" s="1149"/>
      <c r="H1428" s="1156">
        <v>4</v>
      </c>
      <c r="I1428" s="1122" t="s">
        <v>135</v>
      </c>
      <c r="J1428" s="1084">
        <v>51220000</v>
      </c>
      <c r="K1428" s="1084">
        <v>51220000</v>
      </c>
      <c r="L1428" s="1084"/>
      <c r="M1428" s="1171">
        <v>42150</v>
      </c>
      <c r="N1428" s="1089"/>
      <c r="O1428" s="1089"/>
      <c r="P1428" s="1089"/>
      <c r="Q1428" s="1084">
        <v>51124427.460000001</v>
      </c>
      <c r="R1428" s="1189"/>
      <c r="S1428" s="1124"/>
      <c r="T1428" s="840" t="s">
        <v>1983</v>
      </c>
      <c r="U1428" s="866">
        <v>5112442.75</v>
      </c>
      <c r="V1428" s="855">
        <v>42320</v>
      </c>
      <c r="W1428" s="1122" t="s">
        <v>135</v>
      </c>
      <c r="X1428" s="1084">
        <v>25817835.870000001</v>
      </c>
      <c r="Y1428" s="1084"/>
      <c r="Z1428" s="1084"/>
      <c r="AA1428" s="1084"/>
      <c r="AB1428" s="1084"/>
      <c r="AC1428" s="1084">
        <v>95572.539999999106</v>
      </c>
      <c r="AD1428" s="1084"/>
      <c r="AE1428" s="1084"/>
      <c r="AF1428" s="1149"/>
      <c r="AG1428" s="1149"/>
      <c r="AH1428" s="1104"/>
      <c r="AI1428" s="1104"/>
    </row>
    <row r="1429" spans="1:35" s="4" customFormat="1" ht="15" customHeight="1">
      <c r="A1429" s="1149"/>
      <c r="B1429" s="1149"/>
      <c r="C1429" s="1124"/>
      <c r="D1429" s="1124"/>
      <c r="E1429" s="1187"/>
      <c r="F1429" s="1149"/>
      <c r="G1429" s="1149"/>
      <c r="H1429" s="1156"/>
      <c r="I1429" s="1122"/>
      <c r="J1429" s="1084"/>
      <c r="K1429" s="1084"/>
      <c r="L1429" s="1084"/>
      <c r="M1429" s="1171"/>
      <c r="N1429" s="1091"/>
      <c r="O1429" s="1091"/>
      <c r="P1429" s="1091"/>
      <c r="Q1429" s="1084"/>
      <c r="R1429" s="1189"/>
      <c r="S1429" s="1124"/>
      <c r="T1429" s="840" t="s">
        <v>1991</v>
      </c>
      <c r="U1429" s="866">
        <v>20705393.120000001</v>
      </c>
      <c r="V1429" s="855">
        <v>42436</v>
      </c>
      <c r="W1429" s="1122"/>
      <c r="X1429" s="1084"/>
      <c r="Y1429" s="1084"/>
      <c r="Z1429" s="1084"/>
      <c r="AA1429" s="1084"/>
      <c r="AB1429" s="1084"/>
      <c r="AC1429" s="1084"/>
      <c r="AD1429" s="1084"/>
      <c r="AE1429" s="1084"/>
      <c r="AF1429" s="1149"/>
      <c r="AG1429" s="1149"/>
      <c r="AH1429" s="1104"/>
      <c r="AI1429" s="1104"/>
    </row>
    <row r="1430" spans="1:35" s="4" customFormat="1" ht="15" customHeight="1">
      <c r="A1430" s="1149"/>
      <c r="B1430" s="1149"/>
      <c r="C1430" s="1124"/>
      <c r="D1430" s="1124"/>
      <c r="E1430" s="1187"/>
      <c r="F1430" s="1149"/>
      <c r="G1430" s="1149"/>
      <c r="H1430" s="1156">
        <v>14</v>
      </c>
      <c r="I1430" s="1122" t="s">
        <v>152</v>
      </c>
      <c r="J1430" s="1084">
        <v>51220000</v>
      </c>
      <c r="K1430" s="1084">
        <v>51220000</v>
      </c>
      <c r="L1430" s="1084"/>
      <c r="M1430" s="1171">
        <v>42150</v>
      </c>
      <c r="N1430" s="1089"/>
      <c r="O1430" s="1089"/>
      <c r="P1430" s="1089"/>
      <c r="Q1430" s="1084">
        <v>51124427.460000001</v>
      </c>
      <c r="R1430" s="1189"/>
      <c r="S1430" s="1124"/>
      <c r="T1430" s="840" t="s">
        <v>1983</v>
      </c>
      <c r="U1430" s="866">
        <v>5112442.75</v>
      </c>
      <c r="V1430" s="855">
        <v>42320</v>
      </c>
      <c r="W1430" s="1122" t="s">
        <v>152</v>
      </c>
      <c r="X1430" s="1084">
        <v>25817835.870000001</v>
      </c>
      <c r="Y1430" s="1084"/>
      <c r="Z1430" s="1084"/>
      <c r="AA1430" s="1084"/>
      <c r="AB1430" s="1084"/>
      <c r="AC1430" s="1084">
        <v>95572.539999999106</v>
      </c>
      <c r="AD1430" s="1084"/>
      <c r="AE1430" s="1084"/>
      <c r="AF1430" s="1149"/>
      <c r="AG1430" s="1149"/>
      <c r="AH1430" s="1104"/>
      <c r="AI1430" s="1104"/>
    </row>
    <row r="1431" spans="1:35" s="4" customFormat="1" ht="15" customHeight="1">
      <c r="A1431" s="1149"/>
      <c r="B1431" s="1149"/>
      <c r="C1431" s="1124"/>
      <c r="D1431" s="1124"/>
      <c r="E1431" s="1187"/>
      <c r="F1431" s="1149"/>
      <c r="G1431" s="1149"/>
      <c r="H1431" s="1156"/>
      <c r="I1431" s="1122"/>
      <c r="J1431" s="1084"/>
      <c r="K1431" s="1084"/>
      <c r="L1431" s="1084"/>
      <c r="M1431" s="1171"/>
      <c r="N1431" s="1091"/>
      <c r="O1431" s="1091"/>
      <c r="P1431" s="1091"/>
      <c r="Q1431" s="1084"/>
      <c r="R1431" s="1189"/>
      <c r="S1431" s="1124"/>
      <c r="T1431" s="840" t="s">
        <v>1992</v>
      </c>
      <c r="U1431" s="866">
        <v>20705393.120000001</v>
      </c>
      <c r="V1431" s="855">
        <v>42436</v>
      </c>
      <c r="W1431" s="1122"/>
      <c r="X1431" s="1084"/>
      <c r="Y1431" s="1084"/>
      <c r="Z1431" s="1084"/>
      <c r="AA1431" s="1084"/>
      <c r="AB1431" s="1084"/>
      <c r="AC1431" s="1084"/>
      <c r="AD1431" s="1084"/>
      <c r="AE1431" s="1084"/>
      <c r="AF1431" s="1149"/>
      <c r="AG1431" s="1149"/>
      <c r="AH1431" s="1104"/>
      <c r="AI1431" s="1104"/>
    </row>
    <row r="1432" spans="1:35" s="4" customFormat="1" ht="15" customHeight="1">
      <c r="A1432" s="1149"/>
      <c r="B1432" s="1149"/>
      <c r="C1432" s="1124"/>
      <c r="D1432" s="1124"/>
      <c r="E1432" s="1187"/>
      <c r="F1432" s="1149"/>
      <c r="G1432" s="1149"/>
      <c r="H1432" s="1156">
        <v>4</v>
      </c>
      <c r="I1432" s="1122" t="s">
        <v>156</v>
      </c>
      <c r="J1432" s="1084">
        <v>51220000</v>
      </c>
      <c r="K1432" s="1084">
        <v>51220000</v>
      </c>
      <c r="L1432" s="1084"/>
      <c r="M1432" s="1171">
        <v>42150</v>
      </c>
      <c r="N1432" s="1089"/>
      <c r="O1432" s="1089"/>
      <c r="P1432" s="1089"/>
      <c r="Q1432" s="1084">
        <v>51124427.460000001</v>
      </c>
      <c r="R1432" s="1189"/>
      <c r="S1432" s="1124"/>
      <c r="T1432" s="840" t="s">
        <v>1983</v>
      </c>
      <c r="U1432" s="866">
        <v>5112442.75</v>
      </c>
      <c r="V1432" s="855">
        <v>42320</v>
      </c>
      <c r="W1432" s="1122" t="s">
        <v>156</v>
      </c>
      <c r="X1432" s="1084">
        <v>25817835.870000001</v>
      </c>
      <c r="Y1432" s="1084"/>
      <c r="Z1432" s="1084"/>
      <c r="AA1432" s="1084"/>
      <c r="AB1432" s="1084"/>
      <c r="AC1432" s="1084">
        <v>95572.539999999106</v>
      </c>
      <c r="AD1432" s="1084"/>
      <c r="AE1432" s="1084"/>
      <c r="AF1432" s="1149"/>
      <c r="AG1432" s="1149"/>
      <c r="AH1432" s="1104"/>
      <c r="AI1432" s="1104"/>
    </row>
    <row r="1433" spans="1:35" s="4" customFormat="1" ht="15" customHeight="1">
      <c r="A1433" s="1149"/>
      <c r="B1433" s="1149"/>
      <c r="C1433" s="1124"/>
      <c r="D1433" s="1124"/>
      <c r="E1433" s="1187"/>
      <c r="F1433" s="1149"/>
      <c r="G1433" s="1149"/>
      <c r="H1433" s="1156"/>
      <c r="I1433" s="1122"/>
      <c r="J1433" s="1084"/>
      <c r="K1433" s="1084"/>
      <c r="L1433" s="1084"/>
      <c r="M1433" s="1171"/>
      <c r="N1433" s="1091"/>
      <c r="O1433" s="1091"/>
      <c r="P1433" s="1091"/>
      <c r="Q1433" s="1084"/>
      <c r="R1433" s="1189"/>
      <c r="S1433" s="1124"/>
      <c r="T1433" s="840" t="s">
        <v>1993</v>
      </c>
      <c r="U1433" s="866">
        <v>20705393.120000001</v>
      </c>
      <c r="V1433" s="855">
        <v>42436</v>
      </c>
      <c r="W1433" s="1122"/>
      <c r="X1433" s="1084"/>
      <c r="Y1433" s="1084"/>
      <c r="Z1433" s="1084"/>
      <c r="AA1433" s="1084"/>
      <c r="AB1433" s="1084"/>
      <c r="AC1433" s="1084"/>
      <c r="AD1433" s="1084"/>
      <c r="AE1433" s="1084"/>
      <c r="AF1433" s="1149"/>
      <c r="AG1433" s="1149"/>
      <c r="AH1433" s="1104"/>
      <c r="AI1433" s="1104"/>
    </row>
    <row r="1434" spans="1:35" s="4" customFormat="1" ht="15" customHeight="1">
      <c r="A1434" s="1149"/>
      <c r="B1434" s="1149"/>
      <c r="C1434" s="1124"/>
      <c r="D1434" s="1124"/>
      <c r="E1434" s="1187"/>
      <c r="F1434" s="1149"/>
      <c r="G1434" s="1149"/>
      <c r="H1434" s="1156">
        <v>7</v>
      </c>
      <c r="I1434" s="1122" t="s">
        <v>145</v>
      </c>
      <c r="J1434" s="1084">
        <v>51220000</v>
      </c>
      <c r="K1434" s="1084">
        <v>51220000</v>
      </c>
      <c r="L1434" s="1084"/>
      <c r="M1434" s="1171">
        <v>42150</v>
      </c>
      <c r="N1434" s="1089"/>
      <c r="O1434" s="1089"/>
      <c r="P1434" s="1089"/>
      <c r="Q1434" s="1084">
        <v>51124427.460000001</v>
      </c>
      <c r="R1434" s="1189"/>
      <c r="S1434" s="1124"/>
      <c r="T1434" s="840" t="s">
        <v>1983</v>
      </c>
      <c r="U1434" s="866">
        <v>5112442.75</v>
      </c>
      <c r="V1434" s="855">
        <v>42320</v>
      </c>
      <c r="W1434" s="1122" t="s">
        <v>145</v>
      </c>
      <c r="X1434" s="1084">
        <v>25817835.870000001</v>
      </c>
      <c r="Y1434" s="1084"/>
      <c r="Z1434" s="1084"/>
      <c r="AA1434" s="1084"/>
      <c r="AB1434" s="1084"/>
      <c r="AC1434" s="1084">
        <v>95572.539999999106</v>
      </c>
      <c r="AD1434" s="1084"/>
      <c r="AE1434" s="1084"/>
      <c r="AF1434" s="1149"/>
      <c r="AG1434" s="1149"/>
      <c r="AH1434" s="1104"/>
      <c r="AI1434" s="1104"/>
    </row>
    <row r="1435" spans="1:35" s="4" customFormat="1" ht="15" customHeight="1">
      <c r="A1435" s="1149"/>
      <c r="B1435" s="1149"/>
      <c r="C1435" s="1024"/>
      <c r="D1435" s="1024"/>
      <c r="E1435" s="1188"/>
      <c r="F1435" s="1149"/>
      <c r="G1435" s="1149"/>
      <c r="H1435" s="1156"/>
      <c r="I1435" s="1122"/>
      <c r="J1435" s="1084"/>
      <c r="K1435" s="1084"/>
      <c r="L1435" s="1084"/>
      <c r="M1435" s="1171"/>
      <c r="N1435" s="1091"/>
      <c r="O1435" s="1091"/>
      <c r="P1435" s="1091"/>
      <c r="Q1435" s="1084"/>
      <c r="R1435" s="1189"/>
      <c r="S1435" s="1024"/>
      <c r="T1435" s="840" t="s">
        <v>1994</v>
      </c>
      <c r="U1435" s="866">
        <v>20705393.120000001</v>
      </c>
      <c r="V1435" s="855">
        <v>42436</v>
      </c>
      <c r="W1435" s="1122"/>
      <c r="X1435" s="1084"/>
      <c r="Y1435" s="1084"/>
      <c r="Z1435" s="1084"/>
      <c r="AA1435" s="1084"/>
      <c r="AB1435" s="1084"/>
      <c r="AC1435" s="1084"/>
      <c r="AD1435" s="1084"/>
      <c r="AE1435" s="1084"/>
      <c r="AF1435" s="1149"/>
      <c r="AG1435" s="1149"/>
      <c r="AH1435" s="1105"/>
      <c r="AI1435" s="1105"/>
    </row>
    <row r="1436" spans="1:35" s="4" customFormat="1" ht="15" customHeight="1">
      <c r="A1436" s="1149" t="s">
        <v>1908</v>
      </c>
      <c r="B1436" s="1149" t="s">
        <v>1905</v>
      </c>
      <c r="C1436" s="1149" t="s">
        <v>70</v>
      </c>
      <c r="D1436" s="1149" t="s">
        <v>206</v>
      </c>
      <c r="E1436" s="1149" t="s">
        <v>66</v>
      </c>
      <c r="F1436" s="1149" t="s">
        <v>49</v>
      </c>
      <c r="G1436" s="1149" t="s">
        <v>1904</v>
      </c>
      <c r="H1436" s="1009">
        <v>17</v>
      </c>
      <c r="I1436" s="1021" t="s">
        <v>129</v>
      </c>
      <c r="J1436" s="1023">
        <v>3585400</v>
      </c>
      <c r="K1436" s="1023">
        <v>3585400</v>
      </c>
      <c r="L1436" s="1149">
        <v>35803950</v>
      </c>
      <c r="M1436" s="1068">
        <v>42150</v>
      </c>
      <c r="N1436" s="874"/>
      <c r="O1436" s="875"/>
      <c r="P1436" s="875"/>
      <c r="Q1436" s="1184">
        <v>3575264.17</v>
      </c>
      <c r="R1436" s="1122">
        <v>34505975.99000001</v>
      </c>
      <c r="S1436" s="1122"/>
      <c r="T1436" s="64" t="s">
        <v>1903</v>
      </c>
      <c r="U1436" s="842" t="s">
        <v>1885</v>
      </c>
      <c r="V1436" s="855">
        <v>42327</v>
      </c>
      <c r="W1436" s="842" t="s">
        <v>129</v>
      </c>
      <c r="X1436" s="853"/>
      <c r="Y1436" s="853"/>
      <c r="Z1436" s="853"/>
      <c r="AA1436" s="853"/>
      <c r="AB1436" s="853"/>
      <c r="AC1436" s="853">
        <v>10135.830000000075</v>
      </c>
      <c r="AD1436" s="853"/>
      <c r="AE1436" s="853"/>
      <c r="AF1436" s="853"/>
      <c r="AG1436" s="1149" t="s">
        <v>1909</v>
      </c>
      <c r="AH1436" s="1149" t="s">
        <v>195</v>
      </c>
      <c r="AI1436" s="1149" t="s">
        <v>1619</v>
      </c>
    </row>
    <row r="1437" spans="1:35" s="4" customFormat="1" ht="15" customHeight="1">
      <c r="A1437" s="1149"/>
      <c r="B1437" s="1149"/>
      <c r="C1437" s="1149"/>
      <c r="D1437" s="1149"/>
      <c r="E1437" s="1149"/>
      <c r="F1437" s="1149"/>
      <c r="G1437" s="1149"/>
      <c r="H1437" s="1010"/>
      <c r="I1437" s="1038"/>
      <c r="J1437" s="1024"/>
      <c r="K1437" s="1024"/>
      <c r="L1437" s="1149"/>
      <c r="M1437" s="1069"/>
      <c r="N1437" s="874"/>
      <c r="O1437" s="875"/>
      <c r="P1437" s="875"/>
      <c r="Q1437" s="1185"/>
      <c r="R1437" s="1122"/>
      <c r="S1437" s="1122"/>
      <c r="T1437" s="64" t="s">
        <v>1902</v>
      </c>
      <c r="U1437" s="842" t="s">
        <v>1901</v>
      </c>
      <c r="V1437" s="855">
        <v>42732</v>
      </c>
      <c r="W1437" s="842"/>
      <c r="X1437" s="853"/>
      <c r="Y1437" s="853"/>
      <c r="Z1437" s="853"/>
      <c r="AA1437" s="853"/>
      <c r="AB1437" s="853"/>
      <c r="AC1437" s="853"/>
      <c r="AD1437" s="853"/>
      <c r="AE1437" s="853"/>
      <c r="AF1437" s="853"/>
      <c r="AG1437" s="1149"/>
      <c r="AH1437" s="1149"/>
      <c r="AI1437" s="1149"/>
    </row>
    <row r="1438" spans="1:35" s="4" customFormat="1" ht="15" customHeight="1">
      <c r="A1438" s="1149"/>
      <c r="B1438" s="1149"/>
      <c r="C1438" s="1149"/>
      <c r="D1438" s="1149"/>
      <c r="E1438" s="1149"/>
      <c r="F1438" s="1149"/>
      <c r="G1438" s="1149"/>
      <c r="H1438" s="1009">
        <v>7</v>
      </c>
      <c r="I1438" s="1021" t="s">
        <v>142</v>
      </c>
      <c r="J1438" s="1023">
        <v>3585400</v>
      </c>
      <c r="K1438" s="1023">
        <v>3585400</v>
      </c>
      <c r="L1438" s="1149"/>
      <c r="M1438" s="1069"/>
      <c r="N1438" s="874"/>
      <c r="O1438" s="875"/>
      <c r="P1438" s="875"/>
      <c r="Q1438" s="1184">
        <v>2378506.96</v>
      </c>
      <c r="R1438" s="1122"/>
      <c r="S1438" s="1122"/>
      <c r="T1438" s="840" t="s">
        <v>1886</v>
      </c>
      <c r="U1438" s="842" t="s">
        <v>1896</v>
      </c>
      <c r="V1438" s="855">
        <v>42327</v>
      </c>
      <c r="W1438" s="842" t="s">
        <v>142</v>
      </c>
      <c r="X1438" s="853"/>
      <c r="Y1438" s="853"/>
      <c r="Z1438" s="853"/>
      <c r="AA1438" s="853"/>
      <c r="AB1438" s="853"/>
      <c r="AC1438" s="853">
        <v>1206893.04</v>
      </c>
      <c r="AD1438" s="853"/>
      <c r="AE1438" s="853"/>
      <c r="AF1438" s="853"/>
      <c r="AG1438" s="1149"/>
      <c r="AH1438" s="1149"/>
      <c r="AI1438" s="1149"/>
    </row>
    <row r="1439" spans="1:35" s="4" customFormat="1" ht="15" customHeight="1">
      <c r="A1439" s="1149"/>
      <c r="B1439" s="1149"/>
      <c r="C1439" s="1149"/>
      <c r="D1439" s="1149"/>
      <c r="E1439" s="1149"/>
      <c r="F1439" s="1149"/>
      <c r="G1439" s="1149"/>
      <c r="H1439" s="1010"/>
      <c r="I1439" s="1038"/>
      <c r="J1439" s="1024"/>
      <c r="K1439" s="1024"/>
      <c r="L1439" s="1149"/>
      <c r="M1439" s="1069"/>
      <c r="N1439" s="874"/>
      <c r="O1439" s="875"/>
      <c r="P1439" s="875"/>
      <c r="Q1439" s="1185"/>
      <c r="R1439" s="1122"/>
      <c r="S1439" s="1122"/>
      <c r="T1439" s="840" t="s">
        <v>1900</v>
      </c>
      <c r="U1439" s="842" t="s">
        <v>1899</v>
      </c>
      <c r="V1439" s="855">
        <v>42732</v>
      </c>
      <c r="W1439" s="842"/>
      <c r="X1439" s="853"/>
      <c r="Y1439" s="853"/>
      <c r="Z1439" s="853"/>
      <c r="AA1439" s="853"/>
      <c r="AB1439" s="853"/>
      <c r="AC1439" s="853"/>
      <c r="AD1439" s="853"/>
      <c r="AE1439" s="853"/>
      <c r="AF1439" s="853"/>
      <c r="AG1439" s="1149"/>
      <c r="AH1439" s="1149"/>
      <c r="AI1439" s="1149"/>
    </row>
    <row r="1440" spans="1:35" s="4" customFormat="1" ht="15" customHeight="1">
      <c r="A1440" s="1149"/>
      <c r="B1440" s="1149"/>
      <c r="C1440" s="1149"/>
      <c r="D1440" s="1149"/>
      <c r="E1440" s="1149"/>
      <c r="F1440" s="1149"/>
      <c r="G1440" s="1149"/>
      <c r="H1440" s="1009">
        <v>6</v>
      </c>
      <c r="I1440" s="1021" t="s">
        <v>163</v>
      </c>
      <c r="J1440" s="1023">
        <v>2367750</v>
      </c>
      <c r="K1440" s="1023">
        <v>2367750</v>
      </c>
      <c r="L1440" s="1149"/>
      <c r="M1440" s="1069"/>
      <c r="N1440" s="874"/>
      <c r="O1440" s="875"/>
      <c r="P1440" s="875"/>
      <c r="Q1440" s="1184">
        <v>2361056.44</v>
      </c>
      <c r="R1440" s="1122"/>
      <c r="S1440" s="1122"/>
      <c r="T1440" s="64" t="s">
        <v>1886</v>
      </c>
      <c r="U1440" s="842" t="s">
        <v>1895</v>
      </c>
      <c r="V1440" s="855">
        <v>42327</v>
      </c>
      <c r="W1440" s="842" t="s">
        <v>163</v>
      </c>
      <c r="X1440" s="853"/>
      <c r="Y1440" s="853"/>
      <c r="Z1440" s="853"/>
      <c r="AA1440" s="853"/>
      <c r="AB1440" s="853"/>
      <c r="AC1440" s="853">
        <v>6693.5600000000559</v>
      </c>
      <c r="AD1440" s="853"/>
      <c r="AE1440" s="853"/>
      <c r="AF1440" s="853"/>
      <c r="AG1440" s="1149"/>
      <c r="AH1440" s="1149"/>
      <c r="AI1440" s="1149"/>
    </row>
    <row r="1441" spans="1:35" s="4" customFormat="1" ht="15" customHeight="1">
      <c r="A1441" s="1149"/>
      <c r="B1441" s="1149"/>
      <c r="C1441" s="1149"/>
      <c r="D1441" s="1149"/>
      <c r="E1441" s="1149"/>
      <c r="F1441" s="1149"/>
      <c r="G1441" s="1149"/>
      <c r="H1441" s="1010"/>
      <c r="I1441" s="1038"/>
      <c r="J1441" s="1024"/>
      <c r="K1441" s="1024"/>
      <c r="L1441" s="1149"/>
      <c r="M1441" s="1069"/>
      <c r="N1441" s="874"/>
      <c r="O1441" s="875"/>
      <c r="P1441" s="875"/>
      <c r="Q1441" s="1185"/>
      <c r="R1441" s="1122"/>
      <c r="S1441" s="1122"/>
      <c r="T1441" s="64" t="s">
        <v>1898</v>
      </c>
      <c r="U1441" s="842" t="s">
        <v>1897</v>
      </c>
      <c r="V1441" s="855">
        <v>42732</v>
      </c>
      <c r="W1441" s="842"/>
      <c r="X1441" s="853"/>
      <c r="Y1441" s="853"/>
      <c r="Z1441" s="853"/>
      <c r="AA1441" s="853"/>
      <c r="AB1441" s="853"/>
      <c r="AC1441" s="853"/>
      <c r="AD1441" s="853"/>
      <c r="AE1441" s="853"/>
      <c r="AF1441" s="853"/>
      <c r="AG1441" s="1149"/>
      <c r="AH1441" s="1149"/>
      <c r="AI1441" s="1149"/>
    </row>
    <row r="1442" spans="1:35" s="4" customFormat="1" ht="15" customHeight="1">
      <c r="A1442" s="1149"/>
      <c r="B1442" s="1149"/>
      <c r="C1442" s="1149"/>
      <c r="D1442" s="1149"/>
      <c r="E1442" s="1149"/>
      <c r="F1442" s="1149"/>
      <c r="G1442" s="1149"/>
      <c r="H1442" s="1009">
        <v>16</v>
      </c>
      <c r="I1442" s="1021" t="s">
        <v>157</v>
      </c>
      <c r="J1442" s="1023">
        <v>2385250</v>
      </c>
      <c r="K1442" s="1023">
        <v>2385250</v>
      </c>
      <c r="L1442" s="1149"/>
      <c r="M1442" s="1069"/>
      <c r="N1442" s="874"/>
      <c r="O1442" s="875"/>
      <c r="P1442" s="875"/>
      <c r="Q1442" s="1184">
        <v>2378506.96</v>
      </c>
      <c r="R1442" s="1122"/>
      <c r="S1442" s="1122"/>
      <c r="T1442" s="840" t="s">
        <v>1886</v>
      </c>
      <c r="U1442" s="842" t="s">
        <v>1896</v>
      </c>
      <c r="V1442" s="855">
        <v>42327</v>
      </c>
      <c r="W1442" s="842" t="s">
        <v>157</v>
      </c>
      <c r="X1442" s="853"/>
      <c r="Y1442" s="853"/>
      <c r="Z1442" s="853"/>
      <c r="AA1442" s="853"/>
      <c r="AB1442" s="853"/>
      <c r="AC1442" s="853">
        <v>6743.0400000000373</v>
      </c>
      <c r="AD1442" s="853"/>
      <c r="AE1442" s="853"/>
      <c r="AF1442" s="853"/>
      <c r="AG1442" s="1149"/>
      <c r="AH1442" s="1149"/>
      <c r="AI1442" s="1149"/>
    </row>
    <row r="1443" spans="1:35" s="4" customFormat="1" ht="15" customHeight="1">
      <c r="A1443" s="1149"/>
      <c r="B1443" s="1149"/>
      <c r="C1443" s="1149"/>
      <c r="D1443" s="1149"/>
      <c r="E1443" s="1149"/>
      <c r="F1443" s="1149"/>
      <c r="G1443" s="1149"/>
      <c r="H1443" s="1010"/>
      <c r="I1443" s="1038"/>
      <c r="J1443" s="1024"/>
      <c r="K1443" s="1024"/>
      <c r="L1443" s="1149"/>
      <c r="M1443" s="1069"/>
      <c r="N1443" s="874"/>
      <c r="O1443" s="875"/>
      <c r="P1443" s="875"/>
      <c r="Q1443" s="1185"/>
      <c r="R1443" s="1122"/>
      <c r="S1443" s="1122"/>
      <c r="T1443" s="840"/>
      <c r="U1443" s="842"/>
      <c r="V1443" s="855"/>
      <c r="W1443" s="842"/>
      <c r="X1443" s="853"/>
      <c r="Y1443" s="853"/>
      <c r="Z1443" s="853"/>
      <c r="AA1443" s="853"/>
      <c r="AB1443" s="853"/>
      <c r="AC1443" s="853"/>
      <c r="AD1443" s="853"/>
      <c r="AE1443" s="853"/>
      <c r="AF1443" s="853"/>
      <c r="AG1443" s="1149"/>
      <c r="AH1443" s="1149"/>
      <c r="AI1443" s="1149"/>
    </row>
    <row r="1444" spans="1:35" s="4" customFormat="1" ht="15" customHeight="1">
      <c r="A1444" s="1149"/>
      <c r="B1444" s="1149"/>
      <c r="C1444" s="1149"/>
      <c r="D1444" s="1149"/>
      <c r="E1444" s="1149"/>
      <c r="F1444" s="1149"/>
      <c r="G1444" s="1149"/>
      <c r="H1444" s="1009">
        <v>13</v>
      </c>
      <c r="I1444" s="1021" t="s">
        <v>147</v>
      </c>
      <c r="J1444" s="1023">
        <v>2367750</v>
      </c>
      <c r="K1444" s="1023">
        <v>2367750</v>
      </c>
      <c r="L1444" s="1149"/>
      <c r="M1444" s="1069"/>
      <c r="N1444" s="874"/>
      <c r="O1444" s="875"/>
      <c r="P1444" s="875"/>
      <c r="Q1444" s="1184">
        <v>2361056.44</v>
      </c>
      <c r="R1444" s="1122"/>
      <c r="S1444" s="1122"/>
      <c r="T1444" s="840" t="s">
        <v>1886</v>
      </c>
      <c r="U1444" s="842" t="s">
        <v>1895</v>
      </c>
      <c r="V1444" s="855">
        <v>42327</v>
      </c>
      <c r="W1444" s="842" t="s">
        <v>147</v>
      </c>
      <c r="X1444" s="853"/>
      <c r="Y1444" s="853"/>
      <c r="Z1444" s="853"/>
      <c r="AA1444" s="853"/>
      <c r="AB1444" s="853"/>
      <c r="AC1444" s="853">
        <v>6693.5600000000559</v>
      </c>
      <c r="AD1444" s="853"/>
      <c r="AE1444" s="853"/>
      <c r="AF1444" s="853"/>
      <c r="AG1444" s="1149"/>
      <c r="AH1444" s="1149"/>
      <c r="AI1444" s="1149"/>
    </row>
    <row r="1445" spans="1:35" s="4" customFormat="1" ht="15" customHeight="1">
      <c r="A1445" s="1149"/>
      <c r="B1445" s="1149"/>
      <c r="C1445" s="1149"/>
      <c r="D1445" s="1149"/>
      <c r="E1445" s="1149"/>
      <c r="F1445" s="1149"/>
      <c r="G1445" s="1149"/>
      <c r="H1445" s="1010"/>
      <c r="I1445" s="1038"/>
      <c r="J1445" s="1024"/>
      <c r="K1445" s="1024"/>
      <c r="L1445" s="1149"/>
      <c r="M1445" s="1069"/>
      <c r="N1445" s="874"/>
      <c r="O1445" s="875"/>
      <c r="P1445" s="875"/>
      <c r="Q1445" s="1185"/>
      <c r="R1445" s="1122"/>
      <c r="S1445" s="1122"/>
      <c r="T1445" s="840"/>
      <c r="U1445" s="842"/>
      <c r="V1445" s="855"/>
      <c r="W1445" s="842"/>
      <c r="X1445" s="853"/>
      <c r="Y1445" s="853"/>
      <c r="Z1445" s="853"/>
      <c r="AA1445" s="853"/>
      <c r="AB1445" s="853"/>
      <c r="AC1445" s="853"/>
      <c r="AD1445" s="853"/>
      <c r="AE1445" s="853"/>
      <c r="AF1445" s="853"/>
      <c r="AG1445" s="1149"/>
      <c r="AH1445" s="1149"/>
      <c r="AI1445" s="1149"/>
    </row>
    <row r="1446" spans="1:35" s="4" customFormat="1" ht="15" customHeight="1">
      <c r="A1446" s="1149"/>
      <c r="B1446" s="1149"/>
      <c r="C1446" s="1149"/>
      <c r="D1446" s="1149"/>
      <c r="E1446" s="1149"/>
      <c r="F1446" s="1149"/>
      <c r="G1446" s="1149"/>
      <c r="H1446" s="1009">
        <v>8</v>
      </c>
      <c r="I1446" s="1021" t="s">
        <v>145</v>
      </c>
      <c r="J1446" s="1023">
        <v>3585400</v>
      </c>
      <c r="K1446" s="1023">
        <v>3585400</v>
      </c>
      <c r="L1446" s="1149"/>
      <c r="M1446" s="1069"/>
      <c r="N1446" s="874"/>
      <c r="O1446" s="875"/>
      <c r="P1446" s="875"/>
      <c r="Q1446" s="1184">
        <v>3575264.17</v>
      </c>
      <c r="R1446" s="1122"/>
      <c r="S1446" s="1122"/>
      <c r="T1446" s="840" t="s">
        <v>1886</v>
      </c>
      <c r="U1446" s="842" t="s">
        <v>1885</v>
      </c>
      <c r="V1446" s="855">
        <v>42327</v>
      </c>
      <c r="W1446" s="842" t="s">
        <v>145</v>
      </c>
      <c r="X1446" s="853"/>
      <c r="Y1446" s="853"/>
      <c r="Z1446" s="853"/>
      <c r="AA1446" s="853"/>
      <c r="AB1446" s="853"/>
      <c r="AC1446" s="853">
        <v>10135.830000000075</v>
      </c>
      <c r="AD1446" s="853"/>
      <c r="AE1446" s="853"/>
      <c r="AF1446" s="853"/>
      <c r="AG1446" s="1149"/>
      <c r="AH1446" s="1149"/>
      <c r="AI1446" s="1149"/>
    </row>
    <row r="1447" spans="1:35" s="4" customFormat="1" ht="15" customHeight="1">
      <c r="A1447" s="1149"/>
      <c r="B1447" s="1149"/>
      <c r="C1447" s="1149"/>
      <c r="D1447" s="1149"/>
      <c r="E1447" s="1149"/>
      <c r="F1447" s="1149"/>
      <c r="G1447" s="1149"/>
      <c r="H1447" s="1010"/>
      <c r="I1447" s="1038"/>
      <c r="J1447" s="1024"/>
      <c r="K1447" s="1024"/>
      <c r="L1447" s="1149"/>
      <c r="M1447" s="1069"/>
      <c r="N1447" s="874"/>
      <c r="O1447" s="875"/>
      <c r="P1447" s="875"/>
      <c r="Q1447" s="1185"/>
      <c r="R1447" s="1122"/>
      <c r="S1447" s="1122"/>
      <c r="T1447" s="840" t="s">
        <v>1894</v>
      </c>
      <c r="U1447" s="842" t="s">
        <v>1893</v>
      </c>
      <c r="V1447" s="855">
        <v>42732</v>
      </c>
      <c r="W1447" s="842"/>
      <c r="X1447" s="853"/>
      <c r="Y1447" s="853"/>
      <c r="Z1447" s="853"/>
      <c r="AA1447" s="853"/>
      <c r="AB1447" s="853"/>
      <c r="AC1447" s="853"/>
      <c r="AD1447" s="853"/>
      <c r="AE1447" s="853"/>
      <c r="AF1447" s="853"/>
      <c r="AG1447" s="1149"/>
      <c r="AH1447" s="1149"/>
      <c r="AI1447" s="1149"/>
    </row>
    <row r="1448" spans="1:35" s="4" customFormat="1" ht="15" customHeight="1">
      <c r="A1448" s="1149"/>
      <c r="B1448" s="1149"/>
      <c r="C1448" s="1149"/>
      <c r="D1448" s="1149"/>
      <c r="E1448" s="1149"/>
      <c r="F1448" s="1149"/>
      <c r="G1448" s="1149"/>
      <c r="H1448" s="1009">
        <v>5</v>
      </c>
      <c r="I1448" s="1021" t="s">
        <v>135</v>
      </c>
      <c r="J1448" s="1023">
        <v>3585400</v>
      </c>
      <c r="K1448" s="1023">
        <v>3585400</v>
      </c>
      <c r="L1448" s="1149"/>
      <c r="M1448" s="1069"/>
      <c r="N1448" s="874"/>
      <c r="O1448" s="875"/>
      <c r="P1448" s="875"/>
      <c r="Q1448" s="1184">
        <v>3575264.17</v>
      </c>
      <c r="R1448" s="1122"/>
      <c r="S1448" s="1122"/>
      <c r="T1448" s="64" t="s">
        <v>1886</v>
      </c>
      <c r="U1448" s="842" t="s">
        <v>1885</v>
      </c>
      <c r="V1448" s="855">
        <v>42327</v>
      </c>
      <c r="W1448" s="842" t="s">
        <v>135</v>
      </c>
      <c r="X1448" s="853"/>
      <c r="Y1448" s="853"/>
      <c r="Z1448" s="853"/>
      <c r="AA1448" s="853"/>
      <c r="AB1448" s="853"/>
      <c r="AC1448" s="853">
        <v>10135.830000000075</v>
      </c>
      <c r="AD1448" s="853"/>
      <c r="AE1448" s="853"/>
      <c r="AF1448" s="853"/>
      <c r="AG1448" s="1149"/>
      <c r="AH1448" s="1149"/>
      <c r="AI1448" s="1149"/>
    </row>
    <row r="1449" spans="1:35" s="4" customFormat="1" ht="15" customHeight="1">
      <c r="A1449" s="1149"/>
      <c r="B1449" s="1149"/>
      <c r="C1449" s="1149"/>
      <c r="D1449" s="1149"/>
      <c r="E1449" s="1149"/>
      <c r="F1449" s="1149"/>
      <c r="G1449" s="1149"/>
      <c r="H1449" s="1010"/>
      <c r="I1449" s="1038"/>
      <c r="J1449" s="1024"/>
      <c r="K1449" s="1024"/>
      <c r="L1449" s="1149"/>
      <c r="M1449" s="1069"/>
      <c r="N1449" s="874"/>
      <c r="O1449" s="875"/>
      <c r="P1449" s="875"/>
      <c r="Q1449" s="1185"/>
      <c r="R1449" s="1122"/>
      <c r="S1449" s="1122"/>
      <c r="T1449" s="64" t="s">
        <v>1892</v>
      </c>
      <c r="U1449" s="842" t="s">
        <v>1891</v>
      </c>
      <c r="V1449" s="855">
        <v>42732</v>
      </c>
      <c r="W1449" s="842"/>
      <c r="X1449" s="853"/>
      <c r="Y1449" s="853"/>
      <c r="Z1449" s="853"/>
      <c r="AA1449" s="853"/>
      <c r="AB1449" s="853"/>
      <c r="AC1449" s="853"/>
      <c r="AD1449" s="853"/>
      <c r="AE1449" s="853"/>
      <c r="AF1449" s="853"/>
      <c r="AG1449" s="1149"/>
      <c r="AH1449" s="1149"/>
      <c r="AI1449" s="1149"/>
    </row>
    <row r="1450" spans="1:35" s="4" customFormat="1" ht="15" customHeight="1">
      <c r="A1450" s="1149"/>
      <c r="B1450" s="1149"/>
      <c r="C1450" s="1149"/>
      <c r="D1450" s="1149"/>
      <c r="E1450" s="1149"/>
      <c r="F1450" s="1149"/>
      <c r="G1450" s="1149"/>
      <c r="H1450" s="1009">
        <v>5</v>
      </c>
      <c r="I1450" s="1021" t="s">
        <v>156</v>
      </c>
      <c r="J1450" s="1023">
        <v>3585400</v>
      </c>
      <c r="K1450" s="1023">
        <v>3585400</v>
      </c>
      <c r="L1450" s="1149"/>
      <c r="M1450" s="1069"/>
      <c r="N1450" s="874"/>
      <c r="O1450" s="875"/>
      <c r="P1450" s="875"/>
      <c r="Q1450" s="1184">
        <v>3575264.17</v>
      </c>
      <c r="R1450" s="1122"/>
      <c r="S1450" s="1122"/>
      <c r="T1450" s="840" t="s">
        <v>1886</v>
      </c>
      <c r="U1450" s="842" t="s">
        <v>1885</v>
      </c>
      <c r="V1450" s="855">
        <v>42327</v>
      </c>
      <c r="W1450" s="842" t="s">
        <v>156</v>
      </c>
      <c r="X1450" s="853"/>
      <c r="Y1450" s="853"/>
      <c r="Z1450" s="853"/>
      <c r="AA1450" s="853"/>
      <c r="AB1450" s="853"/>
      <c r="AC1450" s="853">
        <v>10135.830000000075</v>
      </c>
      <c r="AD1450" s="853"/>
      <c r="AE1450" s="853"/>
      <c r="AF1450" s="853"/>
      <c r="AG1450" s="1149"/>
      <c r="AH1450" s="1149"/>
      <c r="AI1450" s="1149"/>
    </row>
    <row r="1451" spans="1:35" s="4" customFormat="1" ht="15" customHeight="1">
      <c r="A1451" s="1149"/>
      <c r="B1451" s="1149"/>
      <c r="C1451" s="1149"/>
      <c r="D1451" s="1149"/>
      <c r="E1451" s="1149"/>
      <c r="F1451" s="1149"/>
      <c r="G1451" s="1149"/>
      <c r="H1451" s="1010"/>
      <c r="I1451" s="1038"/>
      <c r="J1451" s="1024"/>
      <c r="K1451" s="1024"/>
      <c r="L1451" s="1149"/>
      <c r="M1451" s="1069"/>
      <c r="N1451" s="874"/>
      <c r="O1451" s="875"/>
      <c r="P1451" s="875"/>
      <c r="Q1451" s="1185"/>
      <c r="R1451" s="1122"/>
      <c r="S1451" s="1122"/>
      <c r="T1451" s="840" t="s">
        <v>1890</v>
      </c>
      <c r="U1451" s="842" t="s">
        <v>1889</v>
      </c>
      <c r="V1451" s="855">
        <v>42732</v>
      </c>
      <c r="W1451" s="842"/>
      <c r="X1451" s="853"/>
      <c r="Y1451" s="853"/>
      <c r="Z1451" s="853"/>
      <c r="AA1451" s="853"/>
      <c r="AB1451" s="853"/>
      <c r="AC1451" s="853"/>
      <c r="AD1451" s="853"/>
      <c r="AE1451" s="853"/>
      <c r="AF1451" s="853"/>
      <c r="AG1451" s="1149"/>
      <c r="AH1451" s="1149"/>
      <c r="AI1451" s="1149"/>
    </row>
    <row r="1452" spans="1:35" s="4" customFormat="1" ht="15" customHeight="1">
      <c r="A1452" s="1149"/>
      <c r="B1452" s="1149"/>
      <c r="C1452" s="1149"/>
      <c r="D1452" s="1149"/>
      <c r="E1452" s="1149"/>
      <c r="F1452" s="1149"/>
      <c r="G1452" s="1149"/>
      <c r="H1452" s="1009">
        <v>6</v>
      </c>
      <c r="I1452" s="1021" t="s">
        <v>143</v>
      </c>
      <c r="J1452" s="1023">
        <v>3585400</v>
      </c>
      <c r="K1452" s="1023">
        <v>3585400</v>
      </c>
      <c r="L1452" s="1149"/>
      <c r="M1452" s="1069"/>
      <c r="N1452" s="874"/>
      <c r="O1452" s="875"/>
      <c r="P1452" s="875"/>
      <c r="Q1452" s="1184">
        <v>3575264.17</v>
      </c>
      <c r="R1452" s="1122"/>
      <c r="S1452" s="1122"/>
      <c r="T1452" s="840" t="s">
        <v>1886</v>
      </c>
      <c r="U1452" s="842" t="s">
        <v>1885</v>
      </c>
      <c r="V1452" s="65">
        <v>42327</v>
      </c>
      <c r="W1452" s="842" t="s">
        <v>143</v>
      </c>
      <c r="X1452" s="853"/>
      <c r="Y1452" s="853"/>
      <c r="Z1452" s="853"/>
      <c r="AA1452" s="853"/>
      <c r="AB1452" s="853"/>
      <c r="AC1452" s="853">
        <v>10135.830000000075</v>
      </c>
      <c r="AD1452" s="853"/>
      <c r="AE1452" s="853"/>
      <c r="AF1452" s="853"/>
      <c r="AG1452" s="1149"/>
      <c r="AH1452" s="1149"/>
      <c r="AI1452" s="1149"/>
    </row>
    <row r="1453" spans="1:35" s="4" customFormat="1" ht="15" customHeight="1">
      <c r="A1453" s="1149"/>
      <c r="B1453" s="1149"/>
      <c r="C1453" s="1149"/>
      <c r="D1453" s="1149"/>
      <c r="E1453" s="1149"/>
      <c r="F1453" s="1149"/>
      <c r="G1453" s="1149"/>
      <c r="H1453" s="1010"/>
      <c r="I1453" s="1038"/>
      <c r="J1453" s="1024"/>
      <c r="K1453" s="1024"/>
      <c r="L1453" s="1149"/>
      <c r="M1453" s="1069"/>
      <c r="N1453" s="874"/>
      <c r="O1453" s="875"/>
      <c r="P1453" s="875"/>
      <c r="Q1453" s="1185"/>
      <c r="R1453" s="1122"/>
      <c r="S1453" s="1122"/>
      <c r="T1453" s="840"/>
      <c r="U1453" s="842"/>
      <c r="V1453" s="855"/>
      <c r="W1453" s="842"/>
      <c r="X1453" s="853"/>
      <c r="Y1453" s="853"/>
      <c r="Z1453" s="853"/>
      <c r="AA1453" s="853"/>
      <c r="AB1453" s="853"/>
      <c r="AC1453" s="853"/>
      <c r="AD1453" s="853"/>
      <c r="AE1453" s="853"/>
      <c r="AF1453" s="853"/>
      <c r="AG1453" s="1149"/>
      <c r="AH1453" s="1149"/>
      <c r="AI1453" s="1149"/>
    </row>
    <row r="1454" spans="1:35" s="4" customFormat="1" ht="15" customHeight="1">
      <c r="A1454" s="1149"/>
      <c r="B1454" s="1149"/>
      <c r="C1454" s="1149"/>
      <c r="D1454" s="1149"/>
      <c r="E1454" s="1149"/>
      <c r="F1454" s="1149"/>
      <c r="G1454" s="1149"/>
      <c r="H1454" s="1009">
        <v>15</v>
      </c>
      <c r="I1454" s="1021" t="s">
        <v>152</v>
      </c>
      <c r="J1454" s="1023">
        <v>3585400</v>
      </c>
      <c r="K1454" s="1023">
        <v>3585400</v>
      </c>
      <c r="L1454" s="1149"/>
      <c r="M1454" s="1069"/>
      <c r="N1454" s="874"/>
      <c r="O1454" s="875"/>
      <c r="P1454" s="875"/>
      <c r="Q1454" s="1184">
        <v>3575264.17</v>
      </c>
      <c r="R1454" s="1122"/>
      <c r="S1454" s="1122"/>
      <c r="T1454" s="840" t="s">
        <v>1886</v>
      </c>
      <c r="U1454" s="66" t="s">
        <v>1885</v>
      </c>
      <c r="V1454" s="855">
        <v>42327</v>
      </c>
      <c r="W1454" s="842" t="s">
        <v>152</v>
      </c>
      <c r="X1454" s="853"/>
      <c r="Y1454" s="853"/>
      <c r="Z1454" s="853"/>
      <c r="AA1454" s="853"/>
      <c r="AB1454" s="853"/>
      <c r="AC1454" s="853">
        <v>10135.830000000075</v>
      </c>
      <c r="AD1454" s="853"/>
      <c r="AE1454" s="853"/>
      <c r="AF1454" s="853"/>
      <c r="AG1454" s="1149"/>
      <c r="AH1454" s="1149"/>
      <c r="AI1454" s="1149"/>
    </row>
    <row r="1455" spans="1:35" s="4" customFormat="1" ht="15" customHeight="1">
      <c r="A1455" s="1149"/>
      <c r="B1455" s="1149"/>
      <c r="C1455" s="1149"/>
      <c r="D1455" s="1149"/>
      <c r="E1455" s="1149"/>
      <c r="F1455" s="1149"/>
      <c r="G1455" s="1149"/>
      <c r="H1455" s="1010"/>
      <c r="I1455" s="1038"/>
      <c r="J1455" s="1024"/>
      <c r="K1455" s="1024"/>
      <c r="L1455" s="1149"/>
      <c r="M1455" s="1069"/>
      <c r="N1455" s="874"/>
      <c r="O1455" s="875"/>
      <c r="P1455" s="875"/>
      <c r="Q1455" s="1185"/>
      <c r="R1455" s="1122"/>
      <c r="S1455" s="1122"/>
      <c r="T1455" s="840" t="s">
        <v>1888</v>
      </c>
      <c r="U1455" s="66" t="s">
        <v>1887</v>
      </c>
      <c r="V1455" s="855">
        <v>42732</v>
      </c>
      <c r="W1455" s="842"/>
      <c r="X1455" s="853"/>
      <c r="Y1455" s="853"/>
      <c r="Z1455" s="853"/>
      <c r="AA1455" s="853"/>
      <c r="AB1455" s="853"/>
      <c r="AC1455" s="853"/>
      <c r="AD1455" s="853"/>
      <c r="AE1455" s="853"/>
      <c r="AF1455" s="853"/>
      <c r="AG1455" s="1149"/>
      <c r="AH1455" s="1149"/>
      <c r="AI1455" s="1149"/>
    </row>
    <row r="1456" spans="1:35" s="4" customFormat="1" ht="15" customHeight="1">
      <c r="A1456" s="1149"/>
      <c r="B1456" s="1149"/>
      <c r="C1456" s="1149"/>
      <c r="D1456" s="1149"/>
      <c r="E1456" s="1149"/>
      <c r="F1456" s="1149"/>
      <c r="G1456" s="1149"/>
      <c r="H1456" s="1009">
        <v>15</v>
      </c>
      <c r="I1456" s="1021" t="s">
        <v>147</v>
      </c>
      <c r="J1456" s="1023">
        <v>3585400</v>
      </c>
      <c r="K1456" s="1023">
        <v>3585400</v>
      </c>
      <c r="L1456" s="1149"/>
      <c r="M1456" s="1069"/>
      <c r="N1456" s="874"/>
      <c r="O1456" s="875"/>
      <c r="P1456" s="875"/>
      <c r="Q1456" s="1184">
        <v>3575264.17</v>
      </c>
      <c r="R1456" s="1122"/>
      <c r="S1456" s="1122"/>
      <c r="T1456" s="64" t="s">
        <v>1886</v>
      </c>
      <c r="U1456" s="842" t="s">
        <v>1885</v>
      </c>
      <c r="V1456" s="65">
        <v>42327</v>
      </c>
      <c r="W1456" s="842" t="s">
        <v>147</v>
      </c>
      <c r="X1456" s="853"/>
      <c r="Y1456" s="853"/>
      <c r="Z1456" s="853"/>
      <c r="AA1456" s="853"/>
      <c r="AB1456" s="853"/>
      <c r="AC1456" s="853">
        <v>10135.830000000075</v>
      </c>
      <c r="AD1456" s="853"/>
      <c r="AE1456" s="853"/>
      <c r="AF1456" s="853"/>
      <c r="AG1456" s="1149"/>
      <c r="AH1456" s="1149"/>
      <c r="AI1456" s="1149"/>
    </row>
    <row r="1457" spans="1:35" s="4" customFormat="1" ht="15" customHeight="1">
      <c r="A1457" s="1149"/>
      <c r="B1457" s="1149"/>
      <c r="C1457" s="1149"/>
      <c r="D1457" s="1149"/>
      <c r="E1457" s="1149"/>
      <c r="F1457" s="1149"/>
      <c r="G1457" s="1149"/>
      <c r="H1457" s="1010"/>
      <c r="I1457" s="1038"/>
      <c r="J1457" s="1024"/>
      <c r="K1457" s="1024"/>
      <c r="L1457" s="1149"/>
      <c r="M1457" s="1070"/>
      <c r="N1457" s="874"/>
      <c r="O1457" s="875"/>
      <c r="P1457" s="875"/>
      <c r="Q1457" s="1185"/>
      <c r="R1457" s="1122"/>
      <c r="S1457" s="1122"/>
      <c r="T1457" s="64" t="s">
        <v>1884</v>
      </c>
      <c r="U1457" s="842" t="s">
        <v>1883</v>
      </c>
      <c r="V1457" s="65">
        <v>42732</v>
      </c>
      <c r="W1457" s="842"/>
      <c r="X1457" s="853"/>
      <c r="Y1457" s="853"/>
      <c r="Z1457" s="853"/>
      <c r="AA1457" s="853"/>
      <c r="AB1457" s="853"/>
      <c r="AC1457" s="853"/>
      <c r="AD1457" s="853"/>
      <c r="AE1457" s="853"/>
      <c r="AF1457" s="853"/>
      <c r="AG1457" s="1149"/>
      <c r="AH1457" s="1149"/>
      <c r="AI1457" s="1149"/>
    </row>
    <row r="1458" spans="1:35" ht="15" customHeight="1">
      <c r="A1458" s="823" t="s">
        <v>2024</v>
      </c>
      <c r="B1458" s="823" t="s">
        <v>2025</v>
      </c>
      <c r="C1458" s="823" t="s">
        <v>72</v>
      </c>
      <c r="D1458" s="823" t="s">
        <v>206</v>
      </c>
      <c r="E1458" s="823" t="s">
        <v>66</v>
      </c>
      <c r="F1458" s="823" t="s">
        <v>183</v>
      </c>
      <c r="G1458" s="823" t="s">
        <v>2030</v>
      </c>
      <c r="H1458" s="840">
        <v>174</v>
      </c>
      <c r="I1458" s="840" t="s">
        <v>7</v>
      </c>
      <c r="J1458" s="858">
        <v>28790000</v>
      </c>
      <c r="K1458" s="858">
        <v>28790000</v>
      </c>
      <c r="L1458" s="858">
        <v>28790000</v>
      </c>
      <c r="M1458" s="855">
        <v>40745</v>
      </c>
      <c r="N1458" s="862"/>
      <c r="O1458" s="858"/>
      <c r="P1458" s="858"/>
      <c r="Q1458" s="827">
        <v>28790000</v>
      </c>
      <c r="R1458" s="827">
        <v>28790000</v>
      </c>
      <c r="S1458" s="823"/>
      <c r="T1458" s="840" t="s">
        <v>2032</v>
      </c>
      <c r="U1458" s="866">
        <v>28790000</v>
      </c>
      <c r="V1458" s="855">
        <v>43007</v>
      </c>
      <c r="W1458" s="842" t="s">
        <v>7</v>
      </c>
      <c r="X1458" s="827">
        <v>28790000</v>
      </c>
      <c r="Y1458" s="827">
        <v>28790000</v>
      </c>
      <c r="Z1458" s="827">
        <v>0</v>
      </c>
      <c r="AA1458" s="827">
        <v>0</v>
      </c>
      <c r="AB1458" s="858">
        <v>0</v>
      </c>
      <c r="AC1458" s="858">
        <v>0</v>
      </c>
      <c r="AD1458" s="858">
        <v>0</v>
      </c>
      <c r="AE1458" s="858">
        <v>0</v>
      </c>
      <c r="AF1458" s="863"/>
      <c r="AG1458" s="864" t="s">
        <v>2031</v>
      </c>
      <c r="AH1458" s="864" t="s">
        <v>194</v>
      </c>
      <c r="AI1458" s="864" t="s">
        <v>1911</v>
      </c>
    </row>
    <row r="1459" spans="1:35" ht="15" customHeight="1">
      <c r="A1459" s="1011" t="s">
        <v>1945</v>
      </c>
      <c r="B1459" s="1011" t="s">
        <v>1947</v>
      </c>
      <c r="C1459" s="1011" t="s">
        <v>72</v>
      </c>
      <c r="D1459" s="1011" t="s">
        <v>206</v>
      </c>
      <c r="E1459" s="1011" t="s">
        <v>66</v>
      </c>
      <c r="F1459" s="1011" t="s">
        <v>49</v>
      </c>
      <c r="G1459" s="1011" t="s">
        <v>1948</v>
      </c>
      <c r="H1459" s="1145">
        <v>9</v>
      </c>
      <c r="I1459" s="1065" t="s">
        <v>164</v>
      </c>
      <c r="J1459" s="1062">
        <v>53000000</v>
      </c>
      <c r="K1459" s="1062">
        <v>53000000</v>
      </c>
      <c r="L1459" s="1062">
        <v>459000000</v>
      </c>
      <c r="M1459" s="1068">
        <v>42164</v>
      </c>
      <c r="N1459" s="1092">
        <v>53000000</v>
      </c>
      <c r="O1459" s="1092">
        <v>53000000</v>
      </c>
      <c r="P1459" s="1092">
        <v>0</v>
      </c>
      <c r="Q1459" s="1043">
        <v>52920836.25</v>
      </c>
      <c r="R1459" s="1062">
        <v>458314412</v>
      </c>
      <c r="S1459" s="1011" t="s">
        <v>1934</v>
      </c>
      <c r="T1459" s="840" t="s">
        <v>1949</v>
      </c>
      <c r="U1459" s="866">
        <v>5292083.5999999996</v>
      </c>
      <c r="V1459" s="855">
        <v>42366</v>
      </c>
      <c r="W1459" s="842" t="s">
        <v>164</v>
      </c>
      <c r="X1459" s="1043">
        <v>44370544.800000004</v>
      </c>
      <c r="Y1459" s="1043">
        <v>398504382.01000005</v>
      </c>
      <c r="Z1459" s="827">
        <v>0</v>
      </c>
      <c r="AA1459" s="1043">
        <v>8629455.1999999955</v>
      </c>
      <c r="AB1459" s="1062">
        <v>-6645559.0099999905</v>
      </c>
      <c r="AC1459" s="1062">
        <v>79163.75</v>
      </c>
      <c r="AD1459" s="1062">
        <v>9879403.25</v>
      </c>
      <c r="AE1459" s="1062"/>
      <c r="AF1459" s="1108"/>
      <c r="AG1459" s="1103" t="s">
        <v>1968</v>
      </c>
      <c r="AH1459" s="1103" t="s">
        <v>194</v>
      </c>
      <c r="AI1459" s="1103" t="s">
        <v>1911</v>
      </c>
    </row>
    <row r="1460" spans="1:35" ht="15" customHeight="1">
      <c r="A1460" s="1033"/>
      <c r="B1460" s="1033"/>
      <c r="C1460" s="1033"/>
      <c r="D1460" s="1033"/>
      <c r="E1460" s="1033"/>
      <c r="F1460" s="1033"/>
      <c r="G1460" s="1033"/>
      <c r="H1460" s="1146"/>
      <c r="I1460" s="1066"/>
      <c r="J1460" s="1063"/>
      <c r="K1460" s="1063"/>
      <c r="L1460" s="1063"/>
      <c r="M1460" s="1069"/>
      <c r="N1460" s="1093"/>
      <c r="O1460" s="1093"/>
      <c r="P1460" s="1093"/>
      <c r="Q1460" s="1044"/>
      <c r="R1460" s="1063"/>
      <c r="S1460" s="1033"/>
      <c r="T1460" s="840" t="s">
        <v>1950</v>
      </c>
      <c r="U1460" s="866">
        <v>1477422.89</v>
      </c>
      <c r="V1460" s="855">
        <v>42726</v>
      </c>
      <c r="W1460" s="842" t="s">
        <v>164</v>
      </c>
      <c r="X1460" s="1044"/>
      <c r="Y1460" s="1044"/>
      <c r="Z1460" s="827">
        <v>0</v>
      </c>
      <c r="AA1460" s="1044"/>
      <c r="AB1460" s="1063"/>
      <c r="AC1460" s="1063"/>
      <c r="AD1460" s="1063"/>
      <c r="AE1460" s="1063"/>
      <c r="AF1460" s="1109"/>
      <c r="AG1460" s="1104"/>
      <c r="AH1460" s="1104"/>
      <c r="AI1460" s="1104"/>
    </row>
    <row r="1461" spans="1:35" ht="15" customHeight="1">
      <c r="A1461" s="1033"/>
      <c r="B1461" s="1033"/>
      <c r="C1461" s="1033"/>
      <c r="D1461" s="1033"/>
      <c r="E1461" s="1033"/>
      <c r="F1461" s="1033"/>
      <c r="G1461" s="1033"/>
      <c r="H1461" s="1146"/>
      <c r="I1461" s="1066"/>
      <c r="J1461" s="1063"/>
      <c r="K1461" s="1063"/>
      <c r="L1461" s="1063"/>
      <c r="M1461" s="1069"/>
      <c r="N1461" s="1093"/>
      <c r="O1461" s="1093"/>
      <c r="P1461" s="1093"/>
      <c r="Q1461" s="1044"/>
      <c r="R1461" s="1063"/>
      <c r="S1461" s="1033"/>
      <c r="T1461" s="840" t="s">
        <v>1959</v>
      </c>
      <c r="U1461" s="866">
        <v>37601038.310000002</v>
      </c>
      <c r="V1461" s="855">
        <v>42730</v>
      </c>
      <c r="W1461" s="842" t="s">
        <v>164</v>
      </c>
      <c r="X1461" s="1044"/>
      <c r="Y1461" s="1044"/>
      <c r="Z1461" s="827">
        <v>0</v>
      </c>
      <c r="AA1461" s="1044"/>
      <c r="AB1461" s="1063"/>
      <c r="AC1461" s="1063"/>
      <c r="AD1461" s="1063"/>
      <c r="AE1461" s="1063"/>
      <c r="AF1461" s="1109"/>
      <c r="AG1461" s="1104"/>
      <c r="AH1461" s="1104"/>
      <c r="AI1461" s="1104"/>
    </row>
    <row r="1462" spans="1:35" ht="15" customHeight="1">
      <c r="A1462" s="1033"/>
      <c r="B1462" s="1033"/>
      <c r="C1462" s="1033"/>
      <c r="D1462" s="1033"/>
      <c r="E1462" s="1033"/>
      <c r="F1462" s="1033"/>
      <c r="G1462" s="1033"/>
      <c r="H1462" s="1147"/>
      <c r="I1462" s="1067"/>
      <c r="J1462" s="1064"/>
      <c r="K1462" s="1064"/>
      <c r="L1462" s="1063"/>
      <c r="M1462" s="1070"/>
      <c r="N1462" s="1094"/>
      <c r="O1462" s="1094"/>
      <c r="P1462" s="1094"/>
      <c r="Q1462" s="1045"/>
      <c r="R1462" s="1063"/>
      <c r="S1462" s="1033"/>
      <c r="T1462" s="840"/>
      <c r="U1462" s="866"/>
      <c r="V1462" s="855"/>
      <c r="W1462" s="842"/>
      <c r="X1462" s="1045"/>
      <c r="Y1462" s="1044"/>
      <c r="Z1462" s="827">
        <v>0</v>
      </c>
      <c r="AA1462" s="1045"/>
      <c r="AB1462" s="1063"/>
      <c r="AC1462" s="1064"/>
      <c r="AD1462" s="1064"/>
      <c r="AE1462" s="1064"/>
      <c r="AF1462" s="1109"/>
      <c r="AG1462" s="1104"/>
      <c r="AH1462" s="1104"/>
      <c r="AI1462" s="1104"/>
    </row>
    <row r="1463" spans="1:35" ht="15" customHeight="1">
      <c r="A1463" s="1033"/>
      <c r="B1463" s="1033"/>
      <c r="C1463" s="1033"/>
      <c r="D1463" s="1033"/>
      <c r="E1463" s="1033"/>
      <c r="F1463" s="1033"/>
      <c r="G1463" s="1033"/>
      <c r="H1463" s="1145">
        <v>8</v>
      </c>
      <c r="I1463" s="1065" t="s">
        <v>146</v>
      </c>
      <c r="J1463" s="1062">
        <v>53000000</v>
      </c>
      <c r="K1463" s="1062">
        <v>53000000</v>
      </c>
      <c r="L1463" s="1063"/>
      <c r="M1463" s="1068">
        <v>42164</v>
      </c>
      <c r="N1463" s="1092">
        <v>53000000</v>
      </c>
      <c r="O1463" s="1092">
        <v>53000000</v>
      </c>
      <c r="P1463" s="1092">
        <v>0</v>
      </c>
      <c r="Q1463" s="1043">
        <v>52920836.25</v>
      </c>
      <c r="R1463" s="1063"/>
      <c r="S1463" s="1033"/>
      <c r="T1463" s="840" t="s">
        <v>1949</v>
      </c>
      <c r="U1463" s="866">
        <v>5292083.5999999996</v>
      </c>
      <c r="V1463" s="855">
        <v>42366</v>
      </c>
      <c r="W1463" s="842" t="s">
        <v>146</v>
      </c>
      <c r="X1463" s="1043">
        <v>46050679.799999997</v>
      </c>
      <c r="Y1463" s="1044"/>
      <c r="Z1463" s="827">
        <v>0</v>
      </c>
      <c r="AA1463" s="1043">
        <v>6949320.200000003</v>
      </c>
      <c r="AB1463" s="1063"/>
      <c r="AC1463" s="1062">
        <v>79163.75</v>
      </c>
      <c r="AD1463" s="1062">
        <v>8199268.25</v>
      </c>
      <c r="AE1463" s="1062"/>
      <c r="AF1463" s="1109"/>
      <c r="AG1463" s="1104"/>
      <c r="AH1463" s="1104"/>
      <c r="AI1463" s="1104"/>
    </row>
    <row r="1464" spans="1:35" ht="15" customHeight="1">
      <c r="A1464" s="1033"/>
      <c r="B1464" s="1033"/>
      <c r="C1464" s="1033"/>
      <c r="D1464" s="1033"/>
      <c r="E1464" s="1033"/>
      <c r="F1464" s="1033"/>
      <c r="G1464" s="1033"/>
      <c r="H1464" s="1146"/>
      <c r="I1464" s="1066"/>
      <c r="J1464" s="1063"/>
      <c r="K1464" s="1063"/>
      <c r="L1464" s="1063"/>
      <c r="M1464" s="1069"/>
      <c r="N1464" s="1093"/>
      <c r="O1464" s="1093"/>
      <c r="P1464" s="1093"/>
      <c r="Q1464" s="1044"/>
      <c r="R1464" s="1063"/>
      <c r="S1464" s="1033"/>
      <c r="T1464" s="840" t="s">
        <v>1951</v>
      </c>
      <c r="U1464" s="866">
        <v>20269256.890000001</v>
      </c>
      <c r="V1464" s="855">
        <v>42726</v>
      </c>
      <c r="W1464" s="842" t="s">
        <v>146</v>
      </c>
      <c r="X1464" s="1044"/>
      <c r="Y1464" s="1044"/>
      <c r="Z1464" s="827">
        <v>0</v>
      </c>
      <c r="AA1464" s="1044"/>
      <c r="AB1464" s="1063"/>
      <c r="AC1464" s="1063"/>
      <c r="AD1464" s="1063"/>
      <c r="AE1464" s="1063"/>
      <c r="AF1464" s="1109"/>
      <c r="AG1464" s="1104"/>
      <c r="AH1464" s="1104"/>
      <c r="AI1464" s="1104"/>
    </row>
    <row r="1465" spans="1:35" ht="15" customHeight="1">
      <c r="A1465" s="1033"/>
      <c r="B1465" s="1033"/>
      <c r="C1465" s="1033"/>
      <c r="D1465" s="1033"/>
      <c r="E1465" s="1033"/>
      <c r="F1465" s="1033"/>
      <c r="G1465" s="1033"/>
      <c r="H1465" s="1146"/>
      <c r="I1465" s="1066"/>
      <c r="J1465" s="1063"/>
      <c r="K1465" s="1063"/>
      <c r="L1465" s="1063"/>
      <c r="M1465" s="1069"/>
      <c r="N1465" s="1093"/>
      <c r="O1465" s="1093"/>
      <c r="P1465" s="1093"/>
      <c r="Q1465" s="1044"/>
      <c r="R1465" s="1063"/>
      <c r="S1465" s="1033"/>
      <c r="T1465" s="840" t="s">
        <v>1960</v>
      </c>
      <c r="U1465" s="866">
        <v>20489339.309999999</v>
      </c>
      <c r="V1465" s="855">
        <v>42730</v>
      </c>
      <c r="W1465" s="842" t="s">
        <v>146</v>
      </c>
      <c r="X1465" s="1044"/>
      <c r="Y1465" s="1044"/>
      <c r="Z1465" s="827">
        <v>0</v>
      </c>
      <c r="AA1465" s="1044"/>
      <c r="AB1465" s="1063"/>
      <c r="AC1465" s="1063"/>
      <c r="AD1465" s="1063"/>
      <c r="AE1465" s="1063"/>
      <c r="AF1465" s="1109"/>
      <c r="AG1465" s="1104"/>
      <c r="AH1465" s="1104"/>
      <c r="AI1465" s="1104"/>
    </row>
    <row r="1466" spans="1:35" ht="15" customHeight="1">
      <c r="A1466" s="1033"/>
      <c r="B1466" s="1033"/>
      <c r="C1466" s="1033"/>
      <c r="D1466" s="1033"/>
      <c r="E1466" s="1033"/>
      <c r="F1466" s="1033"/>
      <c r="G1466" s="1033"/>
      <c r="H1466" s="1147"/>
      <c r="I1466" s="1067"/>
      <c r="J1466" s="1064"/>
      <c r="K1466" s="1064"/>
      <c r="L1466" s="1063"/>
      <c r="M1466" s="1070"/>
      <c r="N1466" s="1094"/>
      <c r="O1466" s="1094"/>
      <c r="P1466" s="1094"/>
      <c r="Q1466" s="1045"/>
      <c r="R1466" s="1063"/>
      <c r="S1466" s="1033"/>
      <c r="T1466" s="840"/>
      <c r="U1466" s="866"/>
      <c r="V1466" s="855"/>
      <c r="W1466" s="842"/>
      <c r="X1466" s="1045"/>
      <c r="Y1466" s="1044"/>
      <c r="Z1466" s="827">
        <v>0</v>
      </c>
      <c r="AA1466" s="1045"/>
      <c r="AB1466" s="1063"/>
      <c r="AC1466" s="1064"/>
      <c r="AD1466" s="1064"/>
      <c r="AE1466" s="1064"/>
      <c r="AF1466" s="1109"/>
      <c r="AG1466" s="1104"/>
      <c r="AH1466" s="1104"/>
      <c r="AI1466" s="1104"/>
    </row>
    <row r="1467" spans="1:35" ht="15" customHeight="1">
      <c r="A1467" s="1033"/>
      <c r="B1467" s="1033"/>
      <c r="C1467" s="1033"/>
      <c r="D1467" s="1033"/>
      <c r="E1467" s="1033"/>
      <c r="F1467" s="1033"/>
      <c r="G1467" s="1033"/>
      <c r="H1467" s="1145">
        <v>10</v>
      </c>
      <c r="I1467" s="1065" t="s">
        <v>132</v>
      </c>
      <c r="J1467" s="1062">
        <v>53000000</v>
      </c>
      <c r="K1467" s="1062">
        <v>53000000</v>
      </c>
      <c r="L1467" s="1063"/>
      <c r="M1467" s="1068">
        <v>42164</v>
      </c>
      <c r="N1467" s="1092">
        <v>53000000</v>
      </c>
      <c r="O1467" s="1092">
        <v>53000000</v>
      </c>
      <c r="P1467" s="1092">
        <v>0</v>
      </c>
      <c r="Q1467" s="1043">
        <v>52920836.240000002</v>
      </c>
      <c r="R1467" s="1063"/>
      <c r="S1467" s="1033"/>
      <c r="T1467" s="840" t="s">
        <v>1949</v>
      </c>
      <c r="U1467" s="866">
        <v>5292083.5999999996</v>
      </c>
      <c r="V1467" s="855">
        <v>42366</v>
      </c>
      <c r="W1467" s="842" t="s">
        <v>132</v>
      </c>
      <c r="X1467" s="1043">
        <v>47628752.640000001</v>
      </c>
      <c r="Y1467" s="1044"/>
      <c r="Z1467" s="827">
        <v>0</v>
      </c>
      <c r="AA1467" s="1043">
        <v>5371247.3599999994</v>
      </c>
      <c r="AB1467" s="1063"/>
      <c r="AC1467" s="1062">
        <v>79163.759999997914</v>
      </c>
      <c r="AD1467" s="1062">
        <v>5292083.6000000015</v>
      </c>
      <c r="AE1467" s="1062"/>
      <c r="AF1467" s="1109"/>
      <c r="AG1467" s="1104"/>
      <c r="AH1467" s="1104"/>
      <c r="AI1467" s="1104"/>
    </row>
    <row r="1468" spans="1:35" ht="15" customHeight="1">
      <c r="A1468" s="1033"/>
      <c r="B1468" s="1033"/>
      <c r="C1468" s="1033"/>
      <c r="D1468" s="1033"/>
      <c r="E1468" s="1033"/>
      <c r="F1468" s="1033"/>
      <c r="G1468" s="1033"/>
      <c r="H1468" s="1146"/>
      <c r="I1468" s="1066"/>
      <c r="J1468" s="1063"/>
      <c r="K1468" s="1063"/>
      <c r="L1468" s="1063"/>
      <c r="M1468" s="1069"/>
      <c r="N1468" s="1093"/>
      <c r="O1468" s="1093"/>
      <c r="P1468" s="1093"/>
      <c r="Q1468" s="1044"/>
      <c r="R1468" s="1063"/>
      <c r="S1468" s="1033"/>
      <c r="T1468" s="840" t="s">
        <v>1952</v>
      </c>
      <c r="U1468" s="866">
        <v>32383354.890000001</v>
      </c>
      <c r="V1468" s="855">
        <v>42726</v>
      </c>
      <c r="W1468" s="842" t="s">
        <v>132</v>
      </c>
      <c r="X1468" s="1044"/>
      <c r="Y1468" s="1044"/>
      <c r="Z1468" s="827">
        <v>0</v>
      </c>
      <c r="AA1468" s="1044"/>
      <c r="AB1468" s="1063"/>
      <c r="AC1468" s="1063"/>
      <c r="AD1468" s="1063"/>
      <c r="AE1468" s="1063"/>
      <c r="AF1468" s="1109"/>
      <c r="AG1468" s="1104"/>
      <c r="AH1468" s="1104"/>
      <c r="AI1468" s="1104"/>
    </row>
    <row r="1469" spans="1:35" ht="15" customHeight="1">
      <c r="A1469" s="1033"/>
      <c r="B1469" s="1033"/>
      <c r="C1469" s="1033"/>
      <c r="D1469" s="1033"/>
      <c r="E1469" s="1033"/>
      <c r="F1469" s="1033"/>
      <c r="G1469" s="1033"/>
      <c r="H1469" s="1146"/>
      <c r="I1469" s="1066"/>
      <c r="J1469" s="1063"/>
      <c r="K1469" s="1063"/>
      <c r="L1469" s="1063"/>
      <c r="M1469" s="1069"/>
      <c r="N1469" s="1093"/>
      <c r="O1469" s="1093"/>
      <c r="P1469" s="1093"/>
      <c r="Q1469" s="1044"/>
      <c r="R1469" s="1063"/>
      <c r="S1469" s="1033"/>
      <c r="T1469" s="840" t="s">
        <v>1961</v>
      </c>
      <c r="U1469" s="866">
        <v>9953314.1500000004</v>
      </c>
      <c r="V1469" s="855">
        <v>42730</v>
      </c>
      <c r="W1469" s="842" t="s">
        <v>132</v>
      </c>
      <c r="X1469" s="1044"/>
      <c r="Y1469" s="1044"/>
      <c r="Z1469" s="827">
        <v>0</v>
      </c>
      <c r="AA1469" s="1044"/>
      <c r="AB1469" s="1063"/>
      <c r="AC1469" s="1063"/>
      <c r="AD1469" s="1063"/>
      <c r="AE1469" s="1063"/>
      <c r="AF1469" s="1109"/>
      <c r="AG1469" s="1104"/>
      <c r="AH1469" s="1104"/>
      <c r="AI1469" s="1104"/>
    </row>
    <row r="1470" spans="1:35" ht="15" customHeight="1">
      <c r="A1470" s="1033"/>
      <c r="B1470" s="1033"/>
      <c r="C1470" s="1033"/>
      <c r="D1470" s="1033"/>
      <c r="E1470" s="1033"/>
      <c r="F1470" s="1033"/>
      <c r="G1470" s="1033"/>
      <c r="H1470" s="1147"/>
      <c r="I1470" s="1067"/>
      <c r="J1470" s="1064"/>
      <c r="K1470" s="1064"/>
      <c r="L1470" s="1063"/>
      <c r="M1470" s="1070"/>
      <c r="N1470" s="1094"/>
      <c r="O1470" s="1094"/>
      <c r="P1470" s="1094"/>
      <c r="Q1470" s="1045"/>
      <c r="R1470" s="1063"/>
      <c r="S1470" s="1033"/>
      <c r="T1470" s="840"/>
      <c r="U1470" s="866"/>
      <c r="V1470" s="855"/>
      <c r="W1470" s="842"/>
      <c r="X1470" s="1045"/>
      <c r="Y1470" s="1044"/>
      <c r="Z1470" s="827">
        <v>0</v>
      </c>
      <c r="AA1470" s="1045"/>
      <c r="AB1470" s="1063"/>
      <c r="AC1470" s="1064"/>
      <c r="AD1470" s="1064"/>
      <c r="AE1470" s="1064"/>
      <c r="AF1470" s="1109"/>
      <c r="AG1470" s="1104"/>
      <c r="AH1470" s="1104"/>
      <c r="AI1470" s="1104"/>
    </row>
    <row r="1471" spans="1:35" ht="15" customHeight="1">
      <c r="A1471" s="1033"/>
      <c r="B1471" s="1033"/>
      <c r="C1471" s="1033"/>
      <c r="D1471" s="1033"/>
      <c r="E1471" s="1033"/>
      <c r="F1471" s="1033"/>
      <c r="G1471" s="1033"/>
      <c r="H1471" s="1145">
        <v>7</v>
      </c>
      <c r="I1471" s="1065" t="s">
        <v>133</v>
      </c>
      <c r="J1471" s="1062">
        <v>53000000</v>
      </c>
      <c r="K1471" s="1062">
        <v>53000000</v>
      </c>
      <c r="L1471" s="1063"/>
      <c r="M1471" s="1068">
        <v>42164</v>
      </c>
      <c r="N1471" s="1092">
        <v>53000000</v>
      </c>
      <c r="O1471" s="1092">
        <v>53000000</v>
      </c>
      <c r="P1471" s="1092">
        <v>0</v>
      </c>
      <c r="Q1471" s="1043">
        <v>52920836.240000002</v>
      </c>
      <c r="R1471" s="1063"/>
      <c r="S1471" s="1033"/>
      <c r="T1471" s="840" t="s">
        <v>1949</v>
      </c>
      <c r="U1471" s="866">
        <v>5292083.5999999996</v>
      </c>
      <c r="V1471" s="855">
        <v>42366</v>
      </c>
      <c r="W1471" s="842" t="s">
        <v>133</v>
      </c>
      <c r="X1471" s="1043">
        <v>49426064.040000007</v>
      </c>
      <c r="Y1471" s="1044"/>
      <c r="Z1471" s="827">
        <v>0</v>
      </c>
      <c r="AA1471" s="1043">
        <v>3573935.9599999934</v>
      </c>
      <c r="AB1471" s="1063"/>
      <c r="AC1471" s="1062">
        <v>79163.759999997914</v>
      </c>
      <c r="AD1471" s="1062">
        <v>5292083.6000000015</v>
      </c>
      <c r="AE1471" s="1062"/>
      <c r="AF1471" s="1109"/>
      <c r="AG1471" s="1104"/>
      <c r="AH1471" s="1104"/>
      <c r="AI1471" s="1104"/>
    </row>
    <row r="1472" spans="1:35" ht="15" customHeight="1">
      <c r="A1472" s="1033"/>
      <c r="B1472" s="1033"/>
      <c r="C1472" s="1033"/>
      <c r="D1472" s="1033"/>
      <c r="E1472" s="1033"/>
      <c r="F1472" s="1033"/>
      <c r="G1472" s="1033"/>
      <c r="H1472" s="1146"/>
      <c r="I1472" s="1066"/>
      <c r="J1472" s="1063"/>
      <c r="K1472" s="1063"/>
      <c r="L1472" s="1063"/>
      <c r="M1472" s="1069"/>
      <c r="N1472" s="1093"/>
      <c r="O1472" s="1093"/>
      <c r="P1472" s="1093"/>
      <c r="Q1472" s="1044"/>
      <c r="R1472" s="1063"/>
      <c r="S1472" s="1033"/>
      <c r="T1472" s="840" t="s">
        <v>1953</v>
      </c>
      <c r="U1472" s="866">
        <v>35188772.890000001</v>
      </c>
      <c r="V1472" s="855">
        <v>42726</v>
      </c>
      <c r="W1472" s="842" t="s">
        <v>133</v>
      </c>
      <c r="X1472" s="1044"/>
      <c r="Y1472" s="1044"/>
      <c r="Z1472" s="827">
        <v>0</v>
      </c>
      <c r="AA1472" s="1044"/>
      <c r="AB1472" s="1063"/>
      <c r="AC1472" s="1063"/>
      <c r="AD1472" s="1063"/>
      <c r="AE1472" s="1063"/>
      <c r="AF1472" s="1109"/>
      <c r="AG1472" s="1104"/>
      <c r="AH1472" s="1104"/>
      <c r="AI1472" s="1104"/>
    </row>
    <row r="1473" spans="1:35" ht="15" customHeight="1">
      <c r="A1473" s="1033"/>
      <c r="B1473" s="1033"/>
      <c r="C1473" s="1033"/>
      <c r="D1473" s="1033"/>
      <c r="E1473" s="1033"/>
      <c r="F1473" s="1033"/>
      <c r="G1473" s="1033"/>
      <c r="H1473" s="1146"/>
      <c r="I1473" s="1066"/>
      <c r="J1473" s="1063"/>
      <c r="K1473" s="1063"/>
      <c r="L1473" s="1063"/>
      <c r="M1473" s="1069"/>
      <c r="N1473" s="1093"/>
      <c r="O1473" s="1093"/>
      <c r="P1473" s="1093"/>
      <c r="Q1473" s="1044"/>
      <c r="R1473" s="1063"/>
      <c r="S1473" s="1033"/>
      <c r="T1473" s="840" t="s">
        <v>1962</v>
      </c>
      <c r="U1473" s="866">
        <v>8945207.5500000007</v>
      </c>
      <c r="V1473" s="855">
        <v>42730</v>
      </c>
      <c r="W1473" s="842" t="s">
        <v>133</v>
      </c>
      <c r="X1473" s="1044"/>
      <c r="Y1473" s="1044"/>
      <c r="Z1473" s="827">
        <v>-1797311.4000000004</v>
      </c>
      <c r="AA1473" s="1044"/>
      <c r="AB1473" s="1063"/>
      <c r="AC1473" s="1063"/>
      <c r="AD1473" s="1063"/>
      <c r="AE1473" s="1063"/>
      <c r="AF1473" s="1109"/>
      <c r="AG1473" s="1104"/>
      <c r="AH1473" s="1104"/>
      <c r="AI1473" s="1104"/>
    </row>
    <row r="1474" spans="1:35" ht="15" customHeight="1">
      <c r="A1474" s="1033"/>
      <c r="B1474" s="1033"/>
      <c r="C1474" s="1033"/>
      <c r="D1474" s="1033"/>
      <c r="E1474" s="1033"/>
      <c r="F1474" s="1033"/>
      <c r="G1474" s="1033"/>
      <c r="H1474" s="1147"/>
      <c r="I1474" s="1067"/>
      <c r="J1474" s="1064"/>
      <c r="K1474" s="1064"/>
      <c r="L1474" s="1063"/>
      <c r="M1474" s="1070"/>
      <c r="N1474" s="1094"/>
      <c r="O1474" s="1094"/>
      <c r="P1474" s="1094"/>
      <c r="Q1474" s="1045"/>
      <c r="R1474" s="1063"/>
      <c r="S1474" s="1033"/>
      <c r="T1474" s="840"/>
      <c r="U1474" s="866"/>
      <c r="V1474" s="855"/>
      <c r="W1474" s="842"/>
      <c r="X1474" s="1045"/>
      <c r="Y1474" s="1044"/>
      <c r="Z1474" s="827">
        <v>0</v>
      </c>
      <c r="AA1474" s="1045"/>
      <c r="AB1474" s="1063"/>
      <c r="AC1474" s="1064"/>
      <c r="AD1474" s="1064"/>
      <c r="AE1474" s="1064"/>
      <c r="AF1474" s="1109"/>
      <c r="AG1474" s="1104"/>
      <c r="AH1474" s="1104"/>
      <c r="AI1474" s="1104"/>
    </row>
    <row r="1475" spans="1:35" ht="15" customHeight="1">
      <c r="A1475" s="1033"/>
      <c r="B1475" s="1033"/>
      <c r="C1475" s="1033"/>
      <c r="D1475" s="1033"/>
      <c r="E1475" s="1033"/>
      <c r="F1475" s="1033"/>
      <c r="G1475" s="1033"/>
      <c r="H1475" s="1145">
        <v>2</v>
      </c>
      <c r="I1475" s="1065" t="s">
        <v>154</v>
      </c>
      <c r="J1475" s="1062">
        <v>53000000</v>
      </c>
      <c r="K1475" s="1062">
        <v>53000000</v>
      </c>
      <c r="L1475" s="1063"/>
      <c r="M1475" s="1068">
        <v>42164</v>
      </c>
      <c r="N1475" s="1092">
        <v>53000000</v>
      </c>
      <c r="O1475" s="1092">
        <v>53000000</v>
      </c>
      <c r="P1475" s="1092">
        <v>0</v>
      </c>
      <c r="Q1475" s="1043">
        <v>52920836.25</v>
      </c>
      <c r="R1475" s="1063"/>
      <c r="S1475" s="1033"/>
      <c r="T1475" s="840" t="s">
        <v>1949</v>
      </c>
      <c r="U1475" s="866">
        <v>5292083.5999999996</v>
      </c>
      <c r="V1475" s="855">
        <v>42366</v>
      </c>
      <c r="W1475" s="842" t="s">
        <v>154</v>
      </c>
      <c r="X1475" s="1043">
        <v>43865847.170000002</v>
      </c>
      <c r="Y1475" s="1044"/>
      <c r="Z1475" s="827">
        <v>0</v>
      </c>
      <c r="AA1475" s="1043">
        <v>9134152.8299999982</v>
      </c>
      <c r="AB1475" s="1063"/>
      <c r="AC1475" s="1062">
        <v>79163.75</v>
      </c>
      <c r="AD1475" s="1062">
        <v>10384100.890000001</v>
      </c>
      <c r="AE1475" s="1062"/>
      <c r="AF1475" s="1109"/>
      <c r="AG1475" s="1104"/>
      <c r="AH1475" s="1104"/>
      <c r="AI1475" s="1104"/>
    </row>
    <row r="1476" spans="1:35" ht="15" customHeight="1">
      <c r="A1476" s="1033"/>
      <c r="B1476" s="1033"/>
      <c r="C1476" s="1033"/>
      <c r="D1476" s="1033"/>
      <c r="E1476" s="1033"/>
      <c r="F1476" s="1033"/>
      <c r="G1476" s="1033"/>
      <c r="H1476" s="1146"/>
      <c r="I1476" s="1066"/>
      <c r="J1476" s="1063"/>
      <c r="K1476" s="1063"/>
      <c r="L1476" s="1063"/>
      <c r="M1476" s="1069"/>
      <c r="N1476" s="1093"/>
      <c r="O1476" s="1093"/>
      <c r="P1476" s="1093"/>
      <c r="Q1476" s="1044"/>
      <c r="R1476" s="1063"/>
      <c r="S1476" s="1033"/>
      <c r="T1476" s="840" t="s">
        <v>1954</v>
      </c>
      <c r="U1476" s="866">
        <v>5543992.8899999997</v>
      </c>
      <c r="V1476" s="855">
        <v>42726</v>
      </c>
      <c r="W1476" s="842" t="s">
        <v>154</v>
      </c>
      <c r="X1476" s="1044"/>
      <c r="Y1476" s="1044"/>
      <c r="Z1476" s="827">
        <v>0</v>
      </c>
      <c r="AA1476" s="1044"/>
      <c r="AB1476" s="1063"/>
      <c r="AC1476" s="1063"/>
      <c r="AD1476" s="1063"/>
      <c r="AE1476" s="1063"/>
      <c r="AF1476" s="1109"/>
      <c r="AG1476" s="1104"/>
      <c r="AH1476" s="1104"/>
      <c r="AI1476" s="1104"/>
    </row>
    <row r="1477" spans="1:35" ht="15" customHeight="1">
      <c r="A1477" s="1033"/>
      <c r="B1477" s="1033"/>
      <c r="C1477" s="1033"/>
      <c r="D1477" s="1033"/>
      <c r="E1477" s="1033"/>
      <c r="F1477" s="1033"/>
      <c r="G1477" s="1033"/>
      <c r="H1477" s="1146"/>
      <c r="I1477" s="1066"/>
      <c r="J1477" s="1063"/>
      <c r="K1477" s="1063"/>
      <c r="L1477" s="1063"/>
      <c r="M1477" s="1069"/>
      <c r="N1477" s="1093"/>
      <c r="O1477" s="1093"/>
      <c r="P1477" s="1093"/>
      <c r="Q1477" s="1044"/>
      <c r="R1477" s="1063"/>
      <c r="S1477" s="1033"/>
      <c r="T1477" s="840" t="s">
        <v>1963</v>
      </c>
      <c r="U1477" s="866">
        <v>33029770.68</v>
      </c>
      <c r="V1477" s="855">
        <v>42730</v>
      </c>
      <c r="W1477" s="842" t="s">
        <v>154</v>
      </c>
      <c r="X1477" s="1044"/>
      <c r="Y1477" s="1044"/>
      <c r="Z1477" s="827">
        <v>-1.0000001639127731E-2</v>
      </c>
      <c r="AA1477" s="1044"/>
      <c r="AB1477" s="1063"/>
      <c r="AC1477" s="1063"/>
      <c r="AD1477" s="1063"/>
      <c r="AE1477" s="1063"/>
      <c r="AF1477" s="1109"/>
      <c r="AG1477" s="1104"/>
      <c r="AH1477" s="1104"/>
      <c r="AI1477" s="1104"/>
    </row>
    <row r="1478" spans="1:35" ht="15" customHeight="1">
      <c r="A1478" s="1033"/>
      <c r="B1478" s="1033"/>
      <c r="C1478" s="1033"/>
      <c r="D1478" s="1033"/>
      <c r="E1478" s="1033"/>
      <c r="F1478" s="1033"/>
      <c r="G1478" s="1033"/>
      <c r="H1478" s="1147"/>
      <c r="I1478" s="1067"/>
      <c r="J1478" s="1064"/>
      <c r="K1478" s="1064"/>
      <c r="L1478" s="1063"/>
      <c r="M1478" s="1070"/>
      <c r="N1478" s="1094"/>
      <c r="O1478" s="1094"/>
      <c r="P1478" s="1094"/>
      <c r="Q1478" s="1045"/>
      <c r="R1478" s="1063"/>
      <c r="S1478" s="1033"/>
      <c r="T1478" s="840"/>
      <c r="U1478" s="866"/>
      <c r="V1478" s="855"/>
      <c r="W1478" s="842"/>
      <c r="X1478" s="1045"/>
      <c r="Y1478" s="1044"/>
      <c r="Z1478" s="827">
        <v>0</v>
      </c>
      <c r="AA1478" s="1045"/>
      <c r="AB1478" s="1063"/>
      <c r="AC1478" s="1064"/>
      <c r="AD1478" s="1064"/>
      <c r="AE1478" s="1064"/>
      <c r="AF1478" s="1109"/>
      <c r="AG1478" s="1104"/>
      <c r="AH1478" s="1104"/>
      <c r="AI1478" s="1104"/>
    </row>
    <row r="1479" spans="1:35" ht="15" customHeight="1">
      <c r="A1479" s="1033"/>
      <c r="B1479" s="1033"/>
      <c r="C1479" s="1033"/>
      <c r="D1479" s="1033"/>
      <c r="E1479" s="1033"/>
      <c r="F1479" s="1033"/>
      <c r="G1479" s="1033"/>
      <c r="H1479" s="1145">
        <v>10</v>
      </c>
      <c r="I1479" s="1065" t="s">
        <v>142</v>
      </c>
      <c r="J1479" s="1062">
        <v>53000000</v>
      </c>
      <c r="K1479" s="1062">
        <v>53000000</v>
      </c>
      <c r="L1479" s="1063"/>
      <c r="M1479" s="1068">
        <v>42164</v>
      </c>
      <c r="N1479" s="1062">
        <v>53000000</v>
      </c>
      <c r="O1479" s="1062">
        <v>53000000</v>
      </c>
      <c r="P1479" s="1062">
        <v>0</v>
      </c>
      <c r="Q1479" s="1043">
        <v>52920836.240000002</v>
      </c>
      <c r="R1479" s="1063"/>
      <c r="S1479" s="1033"/>
      <c r="T1479" s="840" t="s">
        <v>1949</v>
      </c>
      <c r="U1479" s="866">
        <v>5292083.5999999996</v>
      </c>
      <c r="V1479" s="855">
        <v>42366</v>
      </c>
      <c r="W1479" s="842" t="s">
        <v>142</v>
      </c>
      <c r="X1479" s="1043">
        <v>48528077.800000004</v>
      </c>
      <c r="Y1479" s="1044"/>
      <c r="Z1479" s="827">
        <v>0</v>
      </c>
      <c r="AA1479" s="1043">
        <v>4471922.1999999955</v>
      </c>
      <c r="AB1479" s="1063"/>
      <c r="AC1479" s="1062">
        <v>79163.759999997914</v>
      </c>
      <c r="AD1479" s="1062">
        <v>5721870.2400000021</v>
      </c>
      <c r="AE1479" s="1062"/>
      <c r="AF1479" s="1109"/>
      <c r="AG1479" s="1104"/>
      <c r="AH1479" s="1104"/>
      <c r="AI1479" s="1104"/>
    </row>
    <row r="1480" spans="1:35" ht="15" customHeight="1">
      <c r="A1480" s="1033"/>
      <c r="B1480" s="1033"/>
      <c r="C1480" s="1033"/>
      <c r="D1480" s="1033"/>
      <c r="E1480" s="1033"/>
      <c r="F1480" s="1033"/>
      <c r="G1480" s="1033"/>
      <c r="H1480" s="1146"/>
      <c r="I1480" s="1066"/>
      <c r="J1480" s="1063"/>
      <c r="K1480" s="1063"/>
      <c r="L1480" s="1063"/>
      <c r="M1480" s="1069"/>
      <c r="N1480" s="1063"/>
      <c r="O1480" s="1063"/>
      <c r="P1480" s="1063"/>
      <c r="Q1480" s="1044"/>
      <c r="R1480" s="1063"/>
      <c r="S1480" s="1033"/>
      <c r="T1480" s="840" t="s">
        <v>1955</v>
      </c>
      <c r="U1480" s="866">
        <v>36535536.890000001</v>
      </c>
      <c r="V1480" s="855">
        <v>42726</v>
      </c>
      <c r="W1480" s="842" t="s">
        <v>142</v>
      </c>
      <c r="X1480" s="1044"/>
      <c r="Y1480" s="1044"/>
      <c r="Z1480" s="827">
        <v>0</v>
      </c>
      <c r="AA1480" s="1044"/>
      <c r="AB1480" s="1063"/>
      <c r="AC1480" s="1063"/>
      <c r="AD1480" s="1063"/>
      <c r="AE1480" s="1063"/>
      <c r="AF1480" s="1109"/>
      <c r="AG1480" s="1104"/>
      <c r="AH1480" s="1104"/>
      <c r="AI1480" s="1104"/>
    </row>
    <row r="1481" spans="1:35" ht="15" customHeight="1">
      <c r="A1481" s="1033"/>
      <c r="B1481" s="1033"/>
      <c r="C1481" s="1033"/>
      <c r="D1481" s="1033"/>
      <c r="E1481" s="1033"/>
      <c r="F1481" s="1033"/>
      <c r="G1481" s="1033"/>
      <c r="H1481" s="1146"/>
      <c r="I1481" s="1066"/>
      <c r="J1481" s="1063"/>
      <c r="K1481" s="1063"/>
      <c r="L1481" s="1063"/>
      <c r="M1481" s="1069"/>
      <c r="N1481" s="1063"/>
      <c r="O1481" s="1063"/>
      <c r="P1481" s="1063"/>
      <c r="Q1481" s="1044"/>
      <c r="R1481" s="1063"/>
      <c r="S1481" s="1033"/>
      <c r="T1481" s="840" t="s">
        <v>1964</v>
      </c>
      <c r="U1481" s="866">
        <v>6700457.3099999996</v>
      </c>
      <c r="V1481" s="855">
        <v>42730</v>
      </c>
      <c r="W1481" s="842" t="s">
        <v>142</v>
      </c>
      <c r="X1481" s="1044"/>
      <c r="Y1481" s="1044"/>
      <c r="Z1481" s="827">
        <v>0</v>
      </c>
      <c r="AA1481" s="1044"/>
      <c r="AB1481" s="1063"/>
      <c r="AC1481" s="1063"/>
      <c r="AD1481" s="1063"/>
      <c r="AE1481" s="1063"/>
      <c r="AF1481" s="1109"/>
      <c r="AG1481" s="1104"/>
      <c r="AH1481" s="1104"/>
      <c r="AI1481" s="1104"/>
    </row>
    <row r="1482" spans="1:35" ht="15" customHeight="1">
      <c r="A1482" s="1033"/>
      <c r="B1482" s="1033"/>
      <c r="C1482" s="1033"/>
      <c r="D1482" s="1033"/>
      <c r="E1482" s="1033"/>
      <c r="F1482" s="1033"/>
      <c r="G1482" s="1033"/>
      <c r="H1482" s="1147"/>
      <c r="I1482" s="1067"/>
      <c r="J1482" s="1064"/>
      <c r="K1482" s="1064"/>
      <c r="L1482" s="1063"/>
      <c r="M1482" s="1070"/>
      <c r="N1482" s="1064"/>
      <c r="O1482" s="1064"/>
      <c r="P1482" s="1064"/>
      <c r="Q1482" s="1045"/>
      <c r="R1482" s="1063"/>
      <c r="S1482" s="1033"/>
      <c r="T1482" s="840"/>
      <c r="U1482" s="866"/>
      <c r="V1482" s="855"/>
      <c r="W1482" s="842"/>
      <c r="X1482" s="1045"/>
      <c r="Y1482" s="1044"/>
      <c r="Z1482" s="827">
        <v>0</v>
      </c>
      <c r="AA1482" s="1045"/>
      <c r="AB1482" s="1063"/>
      <c r="AC1482" s="1064"/>
      <c r="AD1482" s="1064"/>
      <c r="AE1482" s="1064"/>
      <c r="AF1482" s="1109"/>
      <c r="AG1482" s="1104"/>
      <c r="AH1482" s="1104"/>
      <c r="AI1482" s="1104"/>
    </row>
    <row r="1483" spans="1:35" ht="15" customHeight="1">
      <c r="A1483" s="1033"/>
      <c r="B1483" s="1033"/>
      <c r="C1483" s="1033"/>
      <c r="D1483" s="1033"/>
      <c r="E1483" s="1033"/>
      <c r="F1483" s="1033"/>
      <c r="G1483" s="1033"/>
      <c r="H1483" s="1145">
        <v>6</v>
      </c>
      <c r="I1483" s="1065" t="s">
        <v>153</v>
      </c>
      <c r="J1483" s="1062">
        <v>53000000</v>
      </c>
      <c r="K1483" s="1062">
        <v>53000000</v>
      </c>
      <c r="L1483" s="1063"/>
      <c r="M1483" s="1068">
        <v>42164</v>
      </c>
      <c r="N1483" s="1092">
        <v>53000000</v>
      </c>
      <c r="O1483" s="1092">
        <v>53000000</v>
      </c>
      <c r="P1483" s="1092">
        <v>0</v>
      </c>
      <c r="Q1483" s="1043">
        <v>52920836.240000002</v>
      </c>
      <c r="R1483" s="1063"/>
      <c r="S1483" s="1033"/>
      <c r="T1483" s="840" t="s">
        <v>1949</v>
      </c>
      <c r="U1483" s="866">
        <v>5292083.5999999996</v>
      </c>
      <c r="V1483" s="855">
        <v>42366</v>
      </c>
      <c r="W1483" s="842" t="s">
        <v>153</v>
      </c>
      <c r="X1483" s="1043">
        <v>47628752.640000001</v>
      </c>
      <c r="Y1483" s="1044"/>
      <c r="Z1483" s="827">
        <v>0</v>
      </c>
      <c r="AA1483" s="1043">
        <v>5371247.3599999994</v>
      </c>
      <c r="AB1483" s="1063"/>
      <c r="AC1483" s="1062">
        <v>79163.759999997914</v>
      </c>
      <c r="AD1483" s="1062">
        <v>5292083.6000000015</v>
      </c>
      <c r="AE1483" s="1062"/>
      <c r="AF1483" s="1109"/>
      <c r="AG1483" s="1104"/>
      <c r="AH1483" s="1104"/>
      <c r="AI1483" s="1104"/>
    </row>
    <row r="1484" spans="1:35" ht="15" customHeight="1">
      <c r="A1484" s="1033"/>
      <c r="B1484" s="1033"/>
      <c r="C1484" s="1033"/>
      <c r="D1484" s="1033"/>
      <c r="E1484" s="1033"/>
      <c r="F1484" s="1033"/>
      <c r="G1484" s="1033"/>
      <c r="H1484" s="1146"/>
      <c r="I1484" s="1066"/>
      <c r="J1484" s="1063"/>
      <c r="K1484" s="1063"/>
      <c r="L1484" s="1063"/>
      <c r="M1484" s="1069"/>
      <c r="N1484" s="1093"/>
      <c r="O1484" s="1093"/>
      <c r="P1484" s="1093"/>
      <c r="Q1484" s="1044"/>
      <c r="R1484" s="1063"/>
      <c r="S1484" s="1033"/>
      <c r="T1484" s="840" t="s">
        <v>1956</v>
      </c>
      <c r="U1484" s="866">
        <v>18856658.890000001</v>
      </c>
      <c r="V1484" s="855">
        <v>42726</v>
      </c>
      <c r="W1484" s="842" t="s">
        <v>153</v>
      </c>
      <c r="X1484" s="1044"/>
      <c r="Y1484" s="1044"/>
      <c r="Z1484" s="827">
        <v>0</v>
      </c>
      <c r="AA1484" s="1044"/>
      <c r="AB1484" s="1063"/>
      <c r="AC1484" s="1063"/>
      <c r="AD1484" s="1063"/>
      <c r="AE1484" s="1063"/>
      <c r="AF1484" s="1109"/>
      <c r="AG1484" s="1104"/>
      <c r="AH1484" s="1104"/>
      <c r="AI1484" s="1104"/>
    </row>
    <row r="1485" spans="1:35" ht="15" customHeight="1">
      <c r="A1485" s="1033"/>
      <c r="B1485" s="1033"/>
      <c r="C1485" s="1033"/>
      <c r="D1485" s="1033"/>
      <c r="E1485" s="1033"/>
      <c r="F1485" s="1033"/>
      <c r="G1485" s="1033"/>
      <c r="H1485" s="1146"/>
      <c r="I1485" s="1066"/>
      <c r="J1485" s="1063"/>
      <c r="K1485" s="1063"/>
      <c r="L1485" s="1063"/>
      <c r="M1485" s="1069"/>
      <c r="N1485" s="1093"/>
      <c r="O1485" s="1093"/>
      <c r="P1485" s="1093"/>
      <c r="Q1485" s="1044"/>
      <c r="R1485" s="1063"/>
      <c r="S1485" s="1033"/>
      <c r="T1485" s="840" t="s">
        <v>1965</v>
      </c>
      <c r="U1485" s="866">
        <v>23480010.149999999</v>
      </c>
      <c r="V1485" s="855">
        <v>42730</v>
      </c>
      <c r="W1485" s="842" t="s">
        <v>153</v>
      </c>
      <c r="X1485" s="1044"/>
      <c r="Y1485" s="1044"/>
      <c r="Z1485" s="827">
        <v>0</v>
      </c>
      <c r="AA1485" s="1044"/>
      <c r="AB1485" s="1063"/>
      <c r="AC1485" s="1063"/>
      <c r="AD1485" s="1063"/>
      <c r="AE1485" s="1063"/>
      <c r="AF1485" s="1109"/>
      <c r="AG1485" s="1104"/>
      <c r="AH1485" s="1104"/>
      <c r="AI1485" s="1104"/>
    </row>
    <row r="1486" spans="1:35" ht="15" customHeight="1">
      <c r="A1486" s="1033"/>
      <c r="B1486" s="1033"/>
      <c r="C1486" s="1033"/>
      <c r="D1486" s="1033"/>
      <c r="E1486" s="1033"/>
      <c r="F1486" s="1033"/>
      <c r="G1486" s="1033"/>
      <c r="H1486" s="1147"/>
      <c r="I1486" s="1067"/>
      <c r="J1486" s="1064"/>
      <c r="K1486" s="1064"/>
      <c r="L1486" s="1063"/>
      <c r="M1486" s="1070"/>
      <c r="N1486" s="1094"/>
      <c r="O1486" s="1094"/>
      <c r="P1486" s="1094"/>
      <c r="Q1486" s="1045"/>
      <c r="R1486" s="1063"/>
      <c r="S1486" s="1033"/>
      <c r="T1486" s="840"/>
      <c r="U1486" s="866"/>
      <c r="V1486" s="855"/>
      <c r="W1486" s="842"/>
      <c r="X1486" s="1045"/>
      <c r="Y1486" s="1044"/>
      <c r="Z1486" s="827">
        <v>0</v>
      </c>
      <c r="AA1486" s="1045"/>
      <c r="AB1486" s="1063"/>
      <c r="AC1486" s="1064"/>
      <c r="AD1486" s="1064"/>
      <c r="AE1486" s="1064"/>
      <c r="AF1486" s="1109"/>
      <c r="AG1486" s="1104"/>
      <c r="AH1486" s="1104"/>
      <c r="AI1486" s="1104"/>
    </row>
    <row r="1487" spans="1:35" ht="15" customHeight="1">
      <c r="A1487" s="1033"/>
      <c r="B1487" s="1033"/>
      <c r="C1487" s="1033"/>
      <c r="D1487" s="1033"/>
      <c r="E1487" s="1033"/>
      <c r="F1487" s="1033"/>
      <c r="G1487" s="1033"/>
      <c r="H1487" s="1145">
        <v>9</v>
      </c>
      <c r="I1487" s="1065" t="s">
        <v>133</v>
      </c>
      <c r="J1487" s="1062">
        <v>35000000</v>
      </c>
      <c r="K1487" s="1062">
        <v>35000000</v>
      </c>
      <c r="L1487" s="1063"/>
      <c r="M1487" s="1068">
        <v>42164</v>
      </c>
      <c r="N1487" s="1062">
        <v>35000000</v>
      </c>
      <c r="O1487" s="1062">
        <v>35000000</v>
      </c>
      <c r="P1487" s="1062">
        <v>0</v>
      </c>
      <c r="Q1487" s="1043">
        <v>34947722.049999997</v>
      </c>
      <c r="R1487" s="1063"/>
      <c r="S1487" s="1033"/>
      <c r="T1487" s="840" t="s">
        <v>1949</v>
      </c>
      <c r="U1487" s="866">
        <v>3494772.2</v>
      </c>
      <c r="V1487" s="855">
        <v>42366</v>
      </c>
      <c r="W1487" s="842" t="s">
        <v>133</v>
      </c>
      <c r="X1487" s="1043">
        <v>29655638.449999999</v>
      </c>
      <c r="Y1487" s="1044"/>
      <c r="Z1487" s="827">
        <v>0</v>
      </c>
      <c r="AA1487" s="1043">
        <v>5344361.5500000007</v>
      </c>
      <c r="AB1487" s="1063"/>
      <c r="AC1487" s="1062">
        <v>52277.95000000298</v>
      </c>
      <c r="AD1487" s="1062">
        <v>3494772.1999999955</v>
      </c>
      <c r="AE1487" s="1062"/>
      <c r="AF1487" s="1109"/>
      <c r="AG1487" s="1104"/>
      <c r="AH1487" s="1104"/>
      <c r="AI1487" s="1104"/>
    </row>
    <row r="1488" spans="1:35" ht="15" customHeight="1">
      <c r="A1488" s="1033"/>
      <c r="B1488" s="1033"/>
      <c r="C1488" s="1033"/>
      <c r="D1488" s="1033"/>
      <c r="E1488" s="1033"/>
      <c r="F1488" s="1033"/>
      <c r="G1488" s="1033"/>
      <c r="H1488" s="1146"/>
      <c r="I1488" s="1066"/>
      <c r="J1488" s="1063"/>
      <c r="K1488" s="1063"/>
      <c r="L1488" s="1063"/>
      <c r="M1488" s="1069"/>
      <c r="N1488" s="1063"/>
      <c r="O1488" s="1063"/>
      <c r="P1488" s="1063"/>
      <c r="Q1488" s="1044"/>
      <c r="R1488" s="1063"/>
      <c r="S1488" s="1033"/>
      <c r="T1488" s="840" t="s">
        <v>1957</v>
      </c>
      <c r="U1488" s="866">
        <v>3667683.89</v>
      </c>
      <c r="V1488" s="855">
        <v>42726</v>
      </c>
      <c r="W1488" s="842" t="s">
        <v>133</v>
      </c>
      <c r="X1488" s="1044"/>
      <c r="Y1488" s="1044"/>
      <c r="Z1488" s="827">
        <v>0</v>
      </c>
      <c r="AA1488" s="1044"/>
      <c r="AB1488" s="1063"/>
      <c r="AC1488" s="1063"/>
      <c r="AD1488" s="1063"/>
      <c r="AE1488" s="1063"/>
      <c r="AF1488" s="1109"/>
      <c r="AG1488" s="1104"/>
      <c r="AH1488" s="1104"/>
      <c r="AI1488" s="1104"/>
    </row>
    <row r="1489" spans="1:35" ht="15" customHeight="1">
      <c r="A1489" s="1033"/>
      <c r="B1489" s="1033"/>
      <c r="C1489" s="1033"/>
      <c r="D1489" s="1033"/>
      <c r="E1489" s="1033"/>
      <c r="F1489" s="1033"/>
      <c r="G1489" s="1033"/>
      <c r="H1489" s="1146"/>
      <c r="I1489" s="1066"/>
      <c r="J1489" s="1063"/>
      <c r="K1489" s="1063"/>
      <c r="L1489" s="1063"/>
      <c r="M1489" s="1069"/>
      <c r="N1489" s="1063"/>
      <c r="O1489" s="1063"/>
      <c r="P1489" s="1063"/>
      <c r="Q1489" s="1044"/>
      <c r="R1489" s="1063"/>
      <c r="S1489" s="1033"/>
      <c r="T1489" s="840" t="s">
        <v>1966</v>
      </c>
      <c r="U1489" s="866">
        <v>22493182.359999999</v>
      </c>
      <c r="V1489" s="855">
        <v>42730</v>
      </c>
      <c r="W1489" s="842" t="s">
        <v>133</v>
      </c>
      <c r="X1489" s="1044"/>
      <c r="Y1489" s="1044"/>
      <c r="Z1489" s="827">
        <v>1797311.4000000022</v>
      </c>
      <c r="AA1489" s="1044"/>
      <c r="AB1489" s="1063"/>
      <c r="AC1489" s="1063"/>
      <c r="AD1489" s="1063"/>
      <c r="AE1489" s="1063"/>
      <c r="AF1489" s="1109"/>
      <c r="AG1489" s="1104"/>
      <c r="AH1489" s="1104"/>
      <c r="AI1489" s="1104"/>
    </row>
    <row r="1490" spans="1:35" ht="15" customHeight="1">
      <c r="A1490" s="1033"/>
      <c r="B1490" s="1033"/>
      <c r="C1490" s="1033"/>
      <c r="D1490" s="1033"/>
      <c r="E1490" s="1033"/>
      <c r="F1490" s="1033"/>
      <c r="G1490" s="1033"/>
      <c r="H1490" s="1147"/>
      <c r="I1490" s="1067"/>
      <c r="J1490" s="1064"/>
      <c r="K1490" s="1064"/>
      <c r="L1490" s="1063"/>
      <c r="M1490" s="1070"/>
      <c r="N1490" s="1064"/>
      <c r="O1490" s="1064"/>
      <c r="P1490" s="1064"/>
      <c r="Q1490" s="1045"/>
      <c r="R1490" s="1063"/>
      <c r="S1490" s="1033"/>
      <c r="T1490" s="840"/>
      <c r="U1490" s="866"/>
      <c r="V1490" s="855"/>
      <c r="W1490" s="842"/>
      <c r="X1490" s="1045"/>
      <c r="Y1490" s="1044"/>
      <c r="Z1490" s="827">
        <v>0</v>
      </c>
      <c r="AA1490" s="1045"/>
      <c r="AB1490" s="1063"/>
      <c r="AC1490" s="1064"/>
      <c r="AD1490" s="1064"/>
      <c r="AE1490" s="1064"/>
      <c r="AF1490" s="1109"/>
      <c r="AG1490" s="1104"/>
      <c r="AH1490" s="1104"/>
      <c r="AI1490" s="1104"/>
    </row>
    <row r="1491" spans="1:35" ht="15" customHeight="1">
      <c r="A1491" s="1033"/>
      <c r="B1491" s="1033"/>
      <c r="C1491" s="1033"/>
      <c r="D1491" s="1033"/>
      <c r="E1491" s="1033"/>
      <c r="F1491" s="1033"/>
      <c r="G1491" s="1033"/>
      <c r="H1491" s="1145">
        <v>9</v>
      </c>
      <c r="I1491" s="1065" t="s">
        <v>141</v>
      </c>
      <c r="J1491" s="1062">
        <v>53000000</v>
      </c>
      <c r="K1491" s="1062">
        <v>53000000</v>
      </c>
      <c r="L1491" s="1063"/>
      <c r="M1491" s="1068">
        <v>42171</v>
      </c>
      <c r="N1491" s="1092">
        <v>53000000</v>
      </c>
      <c r="O1491" s="1092">
        <v>53000000</v>
      </c>
      <c r="P1491" s="1092">
        <v>0</v>
      </c>
      <c r="Q1491" s="1043">
        <v>52920836.240000002</v>
      </c>
      <c r="R1491" s="1063"/>
      <c r="S1491" s="1033"/>
      <c r="T1491" s="840" t="s">
        <v>1949</v>
      </c>
      <c r="U1491" s="866">
        <v>5292083.5999999996</v>
      </c>
      <c r="V1491" s="855">
        <v>42366</v>
      </c>
      <c r="W1491" s="842" t="s">
        <v>141</v>
      </c>
      <c r="X1491" s="1043">
        <v>41350024.670000002</v>
      </c>
      <c r="Y1491" s="1044"/>
      <c r="Z1491" s="827">
        <v>0</v>
      </c>
      <c r="AA1491" s="1043">
        <v>11649975.329999998</v>
      </c>
      <c r="AB1491" s="1063"/>
      <c r="AC1491" s="1062">
        <v>79163.759999997914</v>
      </c>
      <c r="AD1491" s="1062">
        <v>12899923.370000005</v>
      </c>
      <c r="AE1491" s="1062"/>
      <c r="AF1491" s="1109"/>
      <c r="AG1491" s="1104"/>
      <c r="AH1491" s="1104"/>
      <c r="AI1491" s="1104"/>
    </row>
    <row r="1492" spans="1:35" ht="15" customHeight="1">
      <c r="A1492" s="1033"/>
      <c r="B1492" s="1033"/>
      <c r="C1492" s="1033"/>
      <c r="D1492" s="1033"/>
      <c r="E1492" s="1033"/>
      <c r="F1492" s="1033"/>
      <c r="G1492" s="1033"/>
      <c r="H1492" s="1146"/>
      <c r="I1492" s="1066"/>
      <c r="J1492" s="1063"/>
      <c r="K1492" s="1063"/>
      <c r="L1492" s="1063"/>
      <c r="M1492" s="1069"/>
      <c r="N1492" s="1093"/>
      <c r="O1492" s="1093"/>
      <c r="P1492" s="1093"/>
      <c r="Q1492" s="1044"/>
      <c r="R1492" s="1063"/>
      <c r="S1492" s="1033"/>
      <c r="T1492" s="840" t="s">
        <v>1958</v>
      </c>
      <c r="U1492" s="866">
        <v>34994520.890000001</v>
      </c>
      <c r="V1492" s="855">
        <v>42726</v>
      </c>
      <c r="W1492" s="842" t="s">
        <v>141</v>
      </c>
      <c r="X1492" s="1044"/>
      <c r="Y1492" s="1044"/>
      <c r="Z1492" s="827">
        <v>0</v>
      </c>
      <c r="AA1492" s="1044"/>
      <c r="AB1492" s="1063"/>
      <c r="AC1492" s="1063"/>
      <c r="AD1492" s="1063"/>
      <c r="AE1492" s="1063"/>
      <c r="AF1492" s="1109"/>
      <c r="AG1492" s="1104"/>
      <c r="AH1492" s="1104"/>
      <c r="AI1492" s="1104"/>
    </row>
    <row r="1493" spans="1:35" ht="15" customHeight="1">
      <c r="A1493" s="1033"/>
      <c r="B1493" s="1033"/>
      <c r="C1493" s="1033"/>
      <c r="D1493" s="1033"/>
      <c r="E1493" s="1033"/>
      <c r="F1493" s="1033"/>
      <c r="G1493" s="1033"/>
      <c r="H1493" s="1146"/>
      <c r="I1493" s="1066"/>
      <c r="J1493" s="1063"/>
      <c r="K1493" s="1063"/>
      <c r="L1493" s="1063"/>
      <c r="M1493" s="1069"/>
      <c r="N1493" s="1093"/>
      <c r="O1493" s="1093"/>
      <c r="P1493" s="1093"/>
      <c r="Q1493" s="1044"/>
      <c r="R1493" s="1063"/>
      <c r="S1493" s="1033"/>
      <c r="T1493" s="840" t="s">
        <v>1967</v>
      </c>
      <c r="U1493" s="866">
        <v>1063420.18</v>
      </c>
      <c r="V1493" s="855">
        <v>42730</v>
      </c>
      <c r="W1493" s="842" t="s">
        <v>141</v>
      </c>
      <c r="X1493" s="1044"/>
      <c r="Y1493" s="1044"/>
      <c r="Z1493" s="827">
        <v>0</v>
      </c>
      <c r="AA1493" s="1044"/>
      <c r="AB1493" s="1063"/>
      <c r="AC1493" s="1063"/>
      <c r="AD1493" s="1063"/>
      <c r="AE1493" s="1063"/>
      <c r="AF1493" s="1109"/>
      <c r="AG1493" s="1104"/>
      <c r="AH1493" s="1104"/>
      <c r="AI1493" s="1104"/>
    </row>
    <row r="1494" spans="1:35" ht="15" customHeight="1">
      <c r="A1494" s="1012"/>
      <c r="B1494" s="1012"/>
      <c r="C1494" s="1012"/>
      <c r="D1494" s="1012"/>
      <c r="E1494" s="1012"/>
      <c r="F1494" s="1012"/>
      <c r="G1494" s="1012"/>
      <c r="H1494" s="1147"/>
      <c r="I1494" s="1067"/>
      <c r="J1494" s="1064"/>
      <c r="K1494" s="1064"/>
      <c r="L1494" s="1064"/>
      <c r="M1494" s="1070"/>
      <c r="N1494" s="1094"/>
      <c r="O1494" s="1094"/>
      <c r="P1494" s="1094"/>
      <c r="Q1494" s="1045"/>
      <c r="R1494" s="1064"/>
      <c r="S1494" s="1012"/>
      <c r="T1494" s="840"/>
      <c r="U1494" s="866"/>
      <c r="V1494" s="855"/>
      <c r="W1494" s="842"/>
      <c r="X1494" s="1045"/>
      <c r="Y1494" s="1045"/>
      <c r="Z1494" s="827">
        <v>0</v>
      </c>
      <c r="AA1494" s="1045"/>
      <c r="AB1494" s="1064"/>
      <c r="AC1494" s="1064"/>
      <c r="AD1494" s="1064"/>
      <c r="AE1494" s="1064"/>
      <c r="AF1494" s="1110"/>
      <c r="AG1494" s="1105"/>
      <c r="AH1494" s="1105"/>
      <c r="AI1494" s="1105"/>
    </row>
    <row r="1495" spans="1:35" ht="15" customHeight="1">
      <c r="A1495" s="1011" t="s">
        <v>1931</v>
      </c>
      <c r="B1495" s="1011" t="s">
        <v>1933</v>
      </c>
      <c r="C1495" s="1011" t="s">
        <v>70</v>
      </c>
      <c r="D1495" s="1011" t="s">
        <v>206</v>
      </c>
      <c r="E1495" s="1011" t="s">
        <v>66</v>
      </c>
      <c r="F1495" s="1011" t="s">
        <v>49</v>
      </c>
      <c r="G1495" s="1011" t="s">
        <v>1935</v>
      </c>
      <c r="H1495" s="1145">
        <v>6</v>
      </c>
      <c r="I1495" s="1065" t="s">
        <v>168</v>
      </c>
      <c r="J1495" s="1062">
        <v>418389780</v>
      </c>
      <c r="K1495" s="1062">
        <v>418389780</v>
      </c>
      <c r="L1495" s="1062">
        <v>418389780</v>
      </c>
      <c r="M1495" s="1068">
        <v>42130</v>
      </c>
      <c r="N1495" s="1092">
        <v>418389780</v>
      </c>
      <c r="O1495" s="1092">
        <v>418389780</v>
      </c>
      <c r="P1495" s="1092">
        <v>0</v>
      </c>
      <c r="Q1495" s="1092">
        <v>418000000</v>
      </c>
      <c r="R1495" s="1092">
        <v>418000000</v>
      </c>
      <c r="S1495" s="1011" t="s">
        <v>1934</v>
      </c>
      <c r="T1495" s="840" t="s">
        <v>1937</v>
      </c>
      <c r="U1495" s="866">
        <v>41800000</v>
      </c>
      <c r="V1495" s="855">
        <v>42430</v>
      </c>
      <c r="W1495" s="842" t="s">
        <v>168</v>
      </c>
      <c r="X1495" s="1043">
        <v>247455999.40000001</v>
      </c>
      <c r="Y1495" s="1043">
        <v>247455999.40000001</v>
      </c>
      <c r="Z1495" s="827">
        <v>0</v>
      </c>
      <c r="AA1495" s="1043">
        <v>170933780.59999999</v>
      </c>
      <c r="AB1495" s="1062">
        <v>-18949333.400000006</v>
      </c>
      <c r="AC1495" s="1062">
        <v>389780</v>
      </c>
      <c r="AD1495" s="1062">
        <v>189493334</v>
      </c>
      <c r="AE1495" s="1062"/>
      <c r="AF1495" s="1108" t="s">
        <v>1696</v>
      </c>
      <c r="AG1495" s="1103" t="s">
        <v>1936</v>
      </c>
      <c r="AH1495" s="1103" t="s">
        <v>194</v>
      </c>
      <c r="AI1495" s="1103" t="s">
        <v>1911</v>
      </c>
    </row>
    <row r="1496" spans="1:35" ht="15" customHeight="1">
      <c r="A1496" s="1033"/>
      <c r="B1496" s="1033"/>
      <c r="C1496" s="1033"/>
      <c r="D1496" s="1033"/>
      <c r="E1496" s="1033"/>
      <c r="F1496" s="1033"/>
      <c r="G1496" s="1033"/>
      <c r="H1496" s="1146"/>
      <c r="I1496" s="1066"/>
      <c r="J1496" s="1063"/>
      <c r="K1496" s="1063"/>
      <c r="L1496" s="1063"/>
      <c r="M1496" s="1069"/>
      <c r="N1496" s="1093"/>
      <c r="O1496" s="1093"/>
      <c r="P1496" s="1093"/>
      <c r="Q1496" s="1093"/>
      <c r="R1496" s="1093"/>
      <c r="S1496" s="1033"/>
      <c r="T1496" s="840" t="s">
        <v>1938</v>
      </c>
      <c r="U1496" s="866">
        <v>75240000</v>
      </c>
      <c r="V1496" s="855">
        <v>42650</v>
      </c>
      <c r="W1496" s="842" t="s">
        <v>168</v>
      </c>
      <c r="X1496" s="1044"/>
      <c r="Y1496" s="1044"/>
      <c r="Z1496" s="827">
        <v>0</v>
      </c>
      <c r="AA1496" s="1044"/>
      <c r="AB1496" s="1063"/>
      <c r="AC1496" s="1063"/>
      <c r="AD1496" s="1063"/>
      <c r="AE1496" s="1063"/>
      <c r="AF1496" s="1109"/>
      <c r="AG1496" s="1104"/>
      <c r="AH1496" s="1104"/>
      <c r="AI1496" s="1104"/>
    </row>
    <row r="1497" spans="1:35" ht="15" customHeight="1">
      <c r="A1497" s="1033"/>
      <c r="B1497" s="1033"/>
      <c r="C1497" s="1033"/>
      <c r="D1497" s="1033"/>
      <c r="E1497" s="1033"/>
      <c r="F1497" s="1033"/>
      <c r="G1497" s="1033"/>
      <c r="H1497" s="1146"/>
      <c r="I1497" s="1066"/>
      <c r="J1497" s="1063"/>
      <c r="K1497" s="1063"/>
      <c r="L1497" s="1063"/>
      <c r="M1497" s="1069"/>
      <c r="N1497" s="1093"/>
      <c r="O1497" s="1093"/>
      <c r="P1497" s="1093"/>
      <c r="Q1497" s="1093"/>
      <c r="R1497" s="1093"/>
      <c r="S1497" s="1033"/>
      <c r="T1497" s="840" t="s">
        <v>1939</v>
      </c>
      <c r="U1497" s="866">
        <v>130415999.40000001</v>
      </c>
      <c r="V1497" s="855">
        <v>42732</v>
      </c>
      <c r="W1497" s="842" t="s">
        <v>168</v>
      </c>
      <c r="X1497" s="1044"/>
      <c r="Y1497" s="1044"/>
      <c r="Z1497" s="827">
        <v>0</v>
      </c>
      <c r="AA1497" s="1044"/>
      <c r="AB1497" s="1063"/>
      <c r="AC1497" s="1063"/>
      <c r="AD1497" s="1063"/>
      <c r="AE1497" s="1063"/>
      <c r="AF1497" s="1109"/>
      <c r="AG1497" s="1104"/>
      <c r="AH1497" s="1104"/>
      <c r="AI1497" s="1104"/>
    </row>
    <row r="1498" spans="1:35" ht="15" customHeight="1">
      <c r="A1498" s="1012"/>
      <c r="B1498" s="1012"/>
      <c r="C1498" s="1012"/>
      <c r="D1498" s="1012"/>
      <c r="E1498" s="1012"/>
      <c r="F1498" s="1012"/>
      <c r="G1498" s="1012"/>
      <c r="H1498" s="1147"/>
      <c r="I1498" s="1067"/>
      <c r="J1498" s="1064"/>
      <c r="K1498" s="1064"/>
      <c r="L1498" s="1064"/>
      <c r="M1498" s="1070"/>
      <c r="N1498" s="1094"/>
      <c r="O1498" s="1094"/>
      <c r="P1498" s="1094"/>
      <c r="Q1498" s="1094"/>
      <c r="R1498" s="1094"/>
      <c r="S1498" s="1012"/>
      <c r="T1498" s="840"/>
      <c r="U1498" s="866"/>
      <c r="V1498" s="855"/>
      <c r="W1498" s="842"/>
      <c r="X1498" s="1045"/>
      <c r="Y1498" s="1045"/>
      <c r="Z1498" s="827">
        <v>0</v>
      </c>
      <c r="AA1498" s="1045"/>
      <c r="AB1498" s="1064"/>
      <c r="AC1498" s="1064"/>
      <c r="AD1498" s="1064"/>
      <c r="AE1498" s="1064"/>
      <c r="AF1498" s="1110"/>
      <c r="AG1498" s="1105"/>
      <c r="AH1498" s="1105"/>
      <c r="AI1498" s="1105"/>
    </row>
    <row r="1499" spans="1:35" s="4" customFormat="1" ht="15" customHeight="1">
      <c r="A1499" s="1011" t="s">
        <v>2046</v>
      </c>
      <c r="B1499" s="1011" t="s">
        <v>2044</v>
      </c>
      <c r="C1499" s="1011" t="s">
        <v>71</v>
      </c>
      <c r="D1499" s="1011" t="s">
        <v>70</v>
      </c>
      <c r="E1499" s="1011" t="s">
        <v>66</v>
      </c>
      <c r="F1499" s="1011"/>
      <c r="G1499" s="1011"/>
      <c r="H1499" s="1145">
        <v>325</v>
      </c>
      <c r="I1499" s="1100" t="s">
        <v>7</v>
      </c>
      <c r="J1499" s="1062">
        <v>32116311</v>
      </c>
      <c r="K1499" s="1062">
        <v>32116311</v>
      </c>
      <c r="L1499" s="1062">
        <v>187629652</v>
      </c>
      <c r="M1499" s="1068">
        <v>42153</v>
      </c>
      <c r="N1499" s="1089">
        <v>32116311</v>
      </c>
      <c r="O1499" s="1089">
        <v>32116311</v>
      </c>
      <c r="P1499" s="1089">
        <v>0</v>
      </c>
      <c r="Q1499" s="1062">
        <v>32108924.700000003</v>
      </c>
      <c r="R1499" s="1181">
        <v>187586500</v>
      </c>
      <c r="S1499" s="1011" t="s">
        <v>2067</v>
      </c>
      <c r="T1499" s="840"/>
      <c r="U1499" s="866">
        <v>3210892.47</v>
      </c>
      <c r="V1499" s="855">
        <v>42366</v>
      </c>
      <c r="W1499" s="875" t="s">
        <v>7</v>
      </c>
      <c r="X1499" s="1062">
        <v>15944852.5</v>
      </c>
      <c r="Y1499" s="1043">
        <v>93793250</v>
      </c>
      <c r="Z1499" s="858">
        <v>0</v>
      </c>
      <c r="AA1499" s="1062">
        <v>16171458.5</v>
      </c>
      <c r="AB1499" s="1062">
        <v>-10421472.222222224</v>
      </c>
      <c r="AC1499" s="1062">
        <v>7386.2999999970198</v>
      </c>
      <c r="AD1499" s="1062">
        <v>17960080.222222224</v>
      </c>
      <c r="AE1499" s="1062"/>
      <c r="AF1499" s="1108" t="s">
        <v>2043</v>
      </c>
      <c r="AG1499" s="1103" t="s">
        <v>2068</v>
      </c>
      <c r="AH1499" s="1103" t="s">
        <v>195</v>
      </c>
      <c r="AI1499" s="1103" t="s">
        <v>1911</v>
      </c>
    </row>
    <row r="1500" spans="1:35" s="4" customFormat="1" ht="15" customHeight="1">
      <c r="A1500" s="1033"/>
      <c r="B1500" s="1033"/>
      <c r="C1500" s="1033"/>
      <c r="D1500" s="1033"/>
      <c r="E1500" s="1033"/>
      <c r="F1500" s="1033"/>
      <c r="G1500" s="1033"/>
      <c r="H1500" s="1147"/>
      <c r="I1500" s="1102"/>
      <c r="J1500" s="1064"/>
      <c r="K1500" s="1064"/>
      <c r="L1500" s="1063"/>
      <c r="M1500" s="1070"/>
      <c r="N1500" s="1091"/>
      <c r="O1500" s="1091"/>
      <c r="P1500" s="1091"/>
      <c r="Q1500" s="1064"/>
      <c r="R1500" s="1182"/>
      <c r="S1500" s="1033"/>
      <c r="T1500" s="840"/>
      <c r="U1500" s="866">
        <v>12733960.029999999</v>
      </c>
      <c r="V1500" s="855">
        <v>42881</v>
      </c>
      <c r="W1500" s="875" t="s">
        <v>7</v>
      </c>
      <c r="X1500" s="1064"/>
      <c r="Y1500" s="1044"/>
      <c r="Z1500" s="858">
        <v>0</v>
      </c>
      <c r="AA1500" s="1064"/>
      <c r="AB1500" s="1063"/>
      <c r="AC1500" s="1064"/>
      <c r="AD1500" s="1064"/>
      <c r="AE1500" s="1064"/>
      <c r="AF1500" s="1109"/>
      <c r="AG1500" s="1104"/>
      <c r="AH1500" s="1104"/>
      <c r="AI1500" s="1104"/>
    </row>
    <row r="1501" spans="1:35" s="4" customFormat="1" ht="15" customHeight="1">
      <c r="A1501" s="1033"/>
      <c r="B1501" s="1033"/>
      <c r="C1501" s="1033"/>
      <c r="D1501" s="1033"/>
      <c r="E1501" s="1033"/>
      <c r="F1501" s="1033"/>
      <c r="G1501" s="1033"/>
      <c r="H1501" s="1145">
        <v>8</v>
      </c>
      <c r="I1501" s="1100" t="s">
        <v>143</v>
      </c>
      <c r="J1501" s="1062">
        <v>155513341</v>
      </c>
      <c r="K1501" s="1062">
        <v>155513341</v>
      </c>
      <c r="L1501" s="1063"/>
      <c r="M1501" s="1068">
        <v>42153</v>
      </c>
      <c r="N1501" s="1089">
        <v>155513341</v>
      </c>
      <c r="O1501" s="1089">
        <v>155513341</v>
      </c>
      <c r="P1501" s="1089">
        <v>0</v>
      </c>
      <c r="Q1501" s="1062">
        <v>155477575.29999998</v>
      </c>
      <c r="R1501" s="1182"/>
      <c r="S1501" s="1033"/>
      <c r="T1501" s="840"/>
      <c r="U1501" s="866">
        <v>15547757.529999999</v>
      </c>
      <c r="V1501" s="855">
        <v>42366</v>
      </c>
      <c r="W1501" s="875" t="s">
        <v>143</v>
      </c>
      <c r="X1501" s="1062">
        <v>77848397.5</v>
      </c>
      <c r="Y1501" s="1044"/>
      <c r="Z1501" s="858">
        <v>0</v>
      </c>
      <c r="AA1501" s="1062">
        <v>77664943.5</v>
      </c>
      <c r="AB1501" s="1063"/>
      <c r="AC1501" s="1062">
        <v>35765.700000017881</v>
      </c>
      <c r="AD1501" s="1062">
        <v>86254641.999999985</v>
      </c>
      <c r="AE1501" s="1062"/>
      <c r="AF1501" s="1109"/>
      <c r="AG1501" s="1104"/>
      <c r="AH1501" s="1104"/>
      <c r="AI1501" s="1104"/>
    </row>
    <row r="1502" spans="1:35" s="4" customFormat="1" ht="15" customHeight="1">
      <c r="A1502" s="1012"/>
      <c r="B1502" s="1012"/>
      <c r="C1502" s="1012"/>
      <c r="D1502" s="1012"/>
      <c r="E1502" s="1012"/>
      <c r="F1502" s="1012"/>
      <c r="G1502" s="1012"/>
      <c r="H1502" s="1147"/>
      <c r="I1502" s="1102"/>
      <c r="J1502" s="1064"/>
      <c r="K1502" s="1064"/>
      <c r="L1502" s="1064"/>
      <c r="M1502" s="1070"/>
      <c r="N1502" s="1091"/>
      <c r="O1502" s="1091"/>
      <c r="P1502" s="1091"/>
      <c r="Q1502" s="1064"/>
      <c r="R1502" s="1183"/>
      <c r="S1502" s="1012"/>
      <c r="T1502" s="840"/>
      <c r="U1502" s="866">
        <v>62300639.969999999</v>
      </c>
      <c r="V1502" s="855">
        <v>42881</v>
      </c>
      <c r="W1502" s="875" t="s">
        <v>143</v>
      </c>
      <c r="X1502" s="1064"/>
      <c r="Y1502" s="1045"/>
      <c r="Z1502" s="858">
        <v>0</v>
      </c>
      <c r="AA1502" s="1064"/>
      <c r="AB1502" s="1064"/>
      <c r="AC1502" s="1064"/>
      <c r="AD1502" s="1064"/>
      <c r="AE1502" s="1064"/>
      <c r="AF1502" s="1110"/>
      <c r="AG1502" s="1105"/>
      <c r="AH1502" s="1105"/>
      <c r="AI1502" s="1105"/>
    </row>
    <row r="1503" spans="1:35" s="4" customFormat="1" ht="15" customHeight="1">
      <c r="A1503" s="1011" t="s">
        <v>2042</v>
      </c>
      <c r="B1503" s="1011" t="s">
        <v>2040</v>
      </c>
      <c r="C1503" s="1011" t="s">
        <v>71</v>
      </c>
      <c r="D1503" s="1011" t="s">
        <v>70</v>
      </c>
      <c r="E1503" s="1011" t="s">
        <v>66</v>
      </c>
      <c r="F1503" s="1011" t="s">
        <v>49</v>
      </c>
      <c r="G1503" s="1011" t="s">
        <v>2047</v>
      </c>
      <c r="H1503" s="1164">
        <v>13</v>
      </c>
      <c r="I1503" s="1100" t="s">
        <v>141</v>
      </c>
      <c r="J1503" s="1062">
        <v>45782097</v>
      </c>
      <c r="K1503" s="1062">
        <v>45782097</v>
      </c>
      <c r="L1503" s="1062">
        <v>64058037</v>
      </c>
      <c r="M1503" s="1068">
        <v>42173</v>
      </c>
      <c r="N1503" s="1089">
        <v>45782097</v>
      </c>
      <c r="O1503" s="1089">
        <v>45782097</v>
      </c>
      <c r="P1503" s="1089">
        <v>0</v>
      </c>
      <c r="Q1503" s="1062">
        <v>45642800</v>
      </c>
      <c r="R1503" s="1062">
        <v>63918740</v>
      </c>
      <c r="S1503" s="1011"/>
      <c r="T1503" s="840" t="s">
        <v>2049</v>
      </c>
      <c r="U1503" s="866">
        <v>4564280</v>
      </c>
      <c r="V1503" s="855">
        <v>42327</v>
      </c>
      <c r="W1503" s="1100" t="s">
        <v>141</v>
      </c>
      <c r="X1503" s="1043">
        <v>11609047.41</v>
      </c>
      <c r="Y1503" s="1043">
        <v>11609047.41</v>
      </c>
      <c r="Z1503" s="827">
        <v>0</v>
      </c>
      <c r="AA1503" s="1043">
        <v>34173049.590000004</v>
      </c>
      <c r="AB1503" s="1043">
        <v>-3781528.0600000005</v>
      </c>
      <c r="AC1503" s="1043">
        <v>139297</v>
      </c>
      <c r="AD1503" s="1043">
        <v>34033752.589999996</v>
      </c>
      <c r="AE1503" s="1062"/>
      <c r="AF1503" s="1108"/>
      <c r="AG1503" s="1103" t="s">
        <v>2048</v>
      </c>
      <c r="AH1503" s="1103" t="s">
        <v>195</v>
      </c>
      <c r="AI1503" s="1103" t="s">
        <v>1911</v>
      </c>
    </row>
    <row r="1504" spans="1:35" s="4" customFormat="1" ht="15" customHeight="1">
      <c r="A1504" s="1033"/>
      <c r="B1504" s="1033"/>
      <c r="C1504" s="1033"/>
      <c r="D1504" s="1033"/>
      <c r="E1504" s="1033"/>
      <c r="F1504" s="1033"/>
      <c r="G1504" s="1033"/>
      <c r="H1504" s="1166"/>
      <c r="I1504" s="1102"/>
      <c r="J1504" s="1064"/>
      <c r="K1504" s="1064"/>
      <c r="L1504" s="1063"/>
      <c r="M1504" s="1070"/>
      <c r="N1504" s="1091"/>
      <c r="O1504" s="1091"/>
      <c r="P1504" s="1091"/>
      <c r="Q1504" s="1064"/>
      <c r="R1504" s="1063"/>
      <c r="S1504" s="1033"/>
      <c r="T1504" s="840" t="s">
        <v>2050</v>
      </c>
      <c r="U1504" s="866">
        <v>7044767.4100000001</v>
      </c>
      <c r="V1504" s="855">
        <v>42991</v>
      </c>
      <c r="W1504" s="1102"/>
      <c r="X1504" s="1045"/>
      <c r="Y1504" s="1044"/>
      <c r="Z1504" s="827">
        <v>0</v>
      </c>
      <c r="AA1504" s="1045"/>
      <c r="AB1504" s="1044"/>
      <c r="AC1504" s="1045"/>
      <c r="AD1504" s="1045"/>
      <c r="AE1504" s="1064"/>
      <c r="AF1504" s="1109"/>
      <c r="AG1504" s="1104"/>
      <c r="AH1504" s="1104"/>
      <c r="AI1504" s="1104"/>
    </row>
    <row r="1505" spans="1:35" s="4" customFormat="1" ht="15" customHeight="1">
      <c r="A1505" s="1012"/>
      <c r="B1505" s="1012"/>
      <c r="C1505" s="1012"/>
      <c r="D1505" s="1012"/>
      <c r="E1505" s="789" t="s">
        <v>67</v>
      </c>
      <c r="F1505" s="1012"/>
      <c r="G1505" s="1012"/>
      <c r="H1505" s="854">
        <v>2296</v>
      </c>
      <c r="I1505" s="844" t="s">
        <v>141</v>
      </c>
      <c r="J1505" s="858">
        <v>18275940</v>
      </c>
      <c r="K1505" s="858">
        <v>18275940</v>
      </c>
      <c r="L1505" s="1064"/>
      <c r="M1505" s="855">
        <v>42779</v>
      </c>
      <c r="N1505" s="908">
        <v>18275940</v>
      </c>
      <c r="O1505" s="858">
        <v>18275940</v>
      </c>
      <c r="P1505" s="858">
        <v>0</v>
      </c>
      <c r="Q1505" s="858">
        <v>18275940</v>
      </c>
      <c r="R1505" s="1064"/>
      <c r="S1505" s="1012"/>
      <c r="T1505" s="840"/>
      <c r="U1505" s="866">
        <v>0</v>
      </c>
      <c r="V1505" s="855"/>
      <c r="W1505" s="844" t="s">
        <v>141</v>
      </c>
      <c r="X1505" s="827">
        <v>0</v>
      </c>
      <c r="Y1505" s="1044"/>
      <c r="Z1505" s="827">
        <v>0</v>
      </c>
      <c r="AA1505" s="827">
        <v>18275940</v>
      </c>
      <c r="AB1505" s="1044"/>
      <c r="AC1505" s="805">
        <v>0</v>
      </c>
      <c r="AD1505" s="827">
        <v>18275940</v>
      </c>
      <c r="AE1505" s="858"/>
      <c r="AF1505" s="1110"/>
      <c r="AG1505" s="1104"/>
      <c r="AH1505" s="1105"/>
      <c r="AI1505" s="1105"/>
    </row>
    <row r="1506" spans="1:35" s="4" customFormat="1" ht="15" customHeight="1">
      <c r="A1506" s="1011" t="s">
        <v>2039</v>
      </c>
      <c r="B1506" s="1100" t="s">
        <v>2037</v>
      </c>
      <c r="C1506" s="1100" t="s">
        <v>71</v>
      </c>
      <c r="D1506" s="1100" t="s">
        <v>2036</v>
      </c>
      <c r="E1506" s="1100" t="s">
        <v>66</v>
      </c>
      <c r="F1506" s="1023" t="s">
        <v>49</v>
      </c>
      <c r="G1506" s="1100" t="s">
        <v>2060</v>
      </c>
      <c r="H1506" s="1145">
        <v>5</v>
      </c>
      <c r="I1506" s="1124" t="s">
        <v>168</v>
      </c>
      <c r="J1506" s="1062">
        <v>657834859</v>
      </c>
      <c r="K1506" s="1062">
        <v>657834859</v>
      </c>
      <c r="L1506" s="1062">
        <v>5558789684</v>
      </c>
      <c r="M1506" s="1132">
        <v>42130</v>
      </c>
      <c r="N1506" s="1089">
        <v>657834859</v>
      </c>
      <c r="O1506" s="1089">
        <v>657834859</v>
      </c>
      <c r="P1506" s="1089">
        <v>0</v>
      </c>
      <c r="Q1506" s="1062">
        <v>657360067.34000003</v>
      </c>
      <c r="R1506" s="1062">
        <v>5554777633</v>
      </c>
      <c r="S1506" s="1011" t="s">
        <v>2035</v>
      </c>
      <c r="T1506" s="840" t="s">
        <v>2061</v>
      </c>
      <c r="U1506" s="866">
        <v>262944026.91</v>
      </c>
      <c r="V1506" s="855">
        <v>42367</v>
      </c>
      <c r="W1506" s="853" t="s">
        <v>168</v>
      </c>
      <c r="X1506" s="1043">
        <v>551958868.14999998</v>
      </c>
      <c r="Y1506" s="1043">
        <v>4045351111.0699997</v>
      </c>
      <c r="Z1506" s="827">
        <v>0</v>
      </c>
      <c r="AA1506" s="1043">
        <v>105875990.85000002</v>
      </c>
      <c r="AB1506" s="1043">
        <v>39311928.99000001</v>
      </c>
      <c r="AC1506" s="1043">
        <v>474791.65999996662</v>
      </c>
      <c r="AD1506" s="1043">
        <v>105401199.19000006</v>
      </c>
      <c r="AE1506" s="1043"/>
      <c r="AF1506" s="1023" t="s">
        <v>2065</v>
      </c>
      <c r="AG1506" s="1023" t="s">
        <v>2064</v>
      </c>
      <c r="AH1506" s="1023" t="s">
        <v>195</v>
      </c>
      <c r="AI1506" s="1023" t="s">
        <v>1911</v>
      </c>
    </row>
    <row r="1507" spans="1:35" s="4" customFormat="1" ht="15" customHeight="1">
      <c r="A1507" s="1033"/>
      <c r="B1507" s="1101"/>
      <c r="C1507" s="1101"/>
      <c r="D1507" s="1101"/>
      <c r="E1507" s="1101"/>
      <c r="F1507" s="1124"/>
      <c r="G1507" s="1101"/>
      <c r="H1507" s="1146"/>
      <c r="I1507" s="1124"/>
      <c r="J1507" s="1063"/>
      <c r="K1507" s="1063"/>
      <c r="L1507" s="1063"/>
      <c r="M1507" s="1063"/>
      <c r="N1507" s="1090"/>
      <c r="O1507" s="1090"/>
      <c r="P1507" s="1090"/>
      <c r="Q1507" s="1063"/>
      <c r="R1507" s="1063"/>
      <c r="S1507" s="1033"/>
      <c r="T1507" s="840" t="s">
        <v>2062</v>
      </c>
      <c r="U1507" s="866">
        <v>59165164.240000002</v>
      </c>
      <c r="V1507" s="855">
        <v>42634</v>
      </c>
      <c r="W1507" s="853" t="s">
        <v>168</v>
      </c>
      <c r="X1507" s="1044"/>
      <c r="Y1507" s="1044"/>
      <c r="Z1507" s="827">
        <v>0</v>
      </c>
      <c r="AA1507" s="1044"/>
      <c r="AB1507" s="1044"/>
      <c r="AC1507" s="1044"/>
      <c r="AD1507" s="1044"/>
      <c r="AE1507" s="1044"/>
      <c r="AF1507" s="1124"/>
      <c r="AG1507" s="1124"/>
      <c r="AH1507" s="1124"/>
      <c r="AI1507" s="1124"/>
    </row>
    <row r="1508" spans="1:35" s="4" customFormat="1" ht="15" customHeight="1">
      <c r="A1508" s="1033"/>
      <c r="B1508" s="1101"/>
      <c r="C1508" s="1101"/>
      <c r="D1508" s="1101"/>
      <c r="E1508" s="1101"/>
      <c r="F1508" s="1124"/>
      <c r="G1508" s="1101"/>
      <c r="H1508" s="1146"/>
      <c r="I1508" s="1124"/>
      <c r="J1508" s="1064"/>
      <c r="K1508" s="1064"/>
      <c r="L1508" s="1063"/>
      <c r="M1508" s="1064"/>
      <c r="N1508" s="1091"/>
      <c r="O1508" s="1091"/>
      <c r="P1508" s="1091"/>
      <c r="Q1508" s="1064"/>
      <c r="R1508" s="1063"/>
      <c r="S1508" s="1033"/>
      <c r="T1508" s="840" t="s">
        <v>2063</v>
      </c>
      <c r="U1508" s="866">
        <v>229849677</v>
      </c>
      <c r="V1508" s="855">
        <v>42691</v>
      </c>
      <c r="W1508" s="853" t="s">
        <v>168</v>
      </c>
      <c r="X1508" s="1045"/>
      <c r="Y1508" s="1044"/>
      <c r="Z1508" s="827">
        <v>0</v>
      </c>
      <c r="AA1508" s="1045"/>
      <c r="AB1508" s="1045"/>
      <c r="AC1508" s="1045"/>
      <c r="AD1508" s="1045"/>
      <c r="AE1508" s="1045"/>
      <c r="AF1508" s="1124"/>
      <c r="AG1508" s="1124"/>
      <c r="AH1508" s="1124"/>
      <c r="AI1508" s="1124"/>
    </row>
    <row r="1509" spans="1:35" s="4" customFormat="1" ht="15" customHeight="1">
      <c r="A1509" s="1033"/>
      <c r="B1509" s="1101"/>
      <c r="C1509" s="1101"/>
      <c r="D1509" s="1101"/>
      <c r="E1509" s="1101"/>
      <c r="F1509" s="1124"/>
      <c r="G1509" s="1101"/>
      <c r="H1509" s="1145">
        <v>316</v>
      </c>
      <c r="I1509" s="1149" t="s">
        <v>7</v>
      </c>
      <c r="J1509" s="1062">
        <v>1971055973</v>
      </c>
      <c r="K1509" s="1062">
        <v>4900954825</v>
      </c>
      <c r="L1509" s="1063"/>
      <c r="M1509" s="1068">
        <v>42130</v>
      </c>
      <c r="N1509" s="1089">
        <v>4900954825</v>
      </c>
      <c r="O1509" s="1062">
        <v>1971055973</v>
      </c>
      <c r="P1509" s="1062">
        <v>0</v>
      </c>
      <c r="Q1509" s="1062">
        <v>1969633365.29</v>
      </c>
      <c r="R1509" s="1063"/>
      <c r="S1509" s="1033"/>
      <c r="T1509" s="1065" t="s">
        <v>2061</v>
      </c>
      <c r="U1509" s="866">
        <v>787853346.03999996</v>
      </c>
      <c r="V1509" s="855">
        <v>42367</v>
      </c>
      <c r="W1509" s="853" t="s">
        <v>7</v>
      </c>
      <c r="X1509" s="1043">
        <v>3493392242.9199996</v>
      </c>
      <c r="Y1509" s="1044"/>
      <c r="Z1509" s="827">
        <v>0</v>
      </c>
      <c r="AA1509" s="1043">
        <v>605265169.86000001</v>
      </c>
      <c r="AB1509" s="1043">
        <v>-1045596277.0599999</v>
      </c>
      <c r="AC1509" s="1043">
        <v>1422607.7100000381</v>
      </c>
      <c r="AD1509" s="1043">
        <v>1404025322.7400002</v>
      </c>
      <c r="AE1509" s="1062"/>
      <c r="AF1509" s="1124"/>
      <c r="AG1509" s="1124"/>
      <c r="AH1509" s="1124"/>
      <c r="AI1509" s="1124"/>
    </row>
    <row r="1510" spans="1:35" s="4" customFormat="1" ht="15" customHeight="1">
      <c r="A1510" s="1033"/>
      <c r="B1510" s="1101"/>
      <c r="C1510" s="1101"/>
      <c r="D1510" s="1101"/>
      <c r="E1510" s="1101"/>
      <c r="F1510" s="1124"/>
      <c r="G1510" s="1101"/>
      <c r="H1510" s="1146"/>
      <c r="I1510" s="1149"/>
      <c r="J1510" s="1063"/>
      <c r="K1510" s="1063"/>
      <c r="L1510" s="1063"/>
      <c r="M1510" s="1069"/>
      <c r="N1510" s="1090"/>
      <c r="O1510" s="1063"/>
      <c r="P1510" s="1063"/>
      <c r="Q1510" s="1063"/>
      <c r="R1510" s="1063"/>
      <c r="S1510" s="1033"/>
      <c r="T1510" s="1067"/>
      <c r="U1510" s="866">
        <v>1171113680.05</v>
      </c>
      <c r="V1510" s="855">
        <v>42634</v>
      </c>
      <c r="W1510" s="853" t="s">
        <v>137</v>
      </c>
      <c r="X1510" s="1044"/>
      <c r="Y1510" s="1044"/>
      <c r="Z1510" s="827">
        <v>0</v>
      </c>
      <c r="AA1510" s="1044"/>
      <c r="AB1510" s="1044"/>
      <c r="AC1510" s="1044"/>
      <c r="AD1510" s="1044"/>
      <c r="AE1510" s="1063"/>
      <c r="AF1510" s="1124"/>
      <c r="AG1510" s="1124"/>
      <c r="AH1510" s="1124"/>
      <c r="AI1510" s="1124"/>
    </row>
    <row r="1511" spans="1:35" s="4" customFormat="1" ht="15" customHeight="1">
      <c r="A1511" s="1033"/>
      <c r="B1511" s="1101"/>
      <c r="C1511" s="1101"/>
      <c r="D1511" s="1101"/>
      <c r="E1511" s="1101"/>
      <c r="F1511" s="1124"/>
      <c r="G1511" s="1101"/>
      <c r="H1511" s="1146"/>
      <c r="I1511" s="1149"/>
      <c r="J1511" s="1064"/>
      <c r="K1511" s="1063"/>
      <c r="L1511" s="1063"/>
      <c r="M1511" s="1069"/>
      <c r="N1511" s="1090"/>
      <c r="O1511" s="1064"/>
      <c r="P1511" s="1064"/>
      <c r="Q1511" s="1064"/>
      <c r="R1511" s="1063"/>
      <c r="S1511" s="1033"/>
      <c r="T1511" s="1065" t="s">
        <v>2062</v>
      </c>
      <c r="U1511" s="866">
        <v>234103063.72999999</v>
      </c>
      <c r="V1511" s="855">
        <v>42691</v>
      </c>
      <c r="W1511" s="853" t="s">
        <v>137</v>
      </c>
      <c r="X1511" s="1044"/>
      <c r="Y1511" s="1044"/>
      <c r="Z1511" s="827">
        <v>0</v>
      </c>
      <c r="AA1511" s="1045"/>
      <c r="AB1511" s="1044"/>
      <c r="AC1511" s="1045"/>
      <c r="AD1511" s="1044"/>
      <c r="AE1511" s="1063"/>
      <c r="AF1511" s="1124"/>
      <c r="AG1511" s="1124"/>
      <c r="AH1511" s="1124"/>
      <c r="AI1511" s="1124"/>
    </row>
    <row r="1512" spans="1:35" s="4" customFormat="1" ht="15" customHeight="1">
      <c r="A1512" s="1033"/>
      <c r="B1512" s="1101"/>
      <c r="C1512" s="1101"/>
      <c r="D1512" s="1101"/>
      <c r="E1512" s="1101"/>
      <c r="F1512" s="1124"/>
      <c r="G1512" s="1101"/>
      <c r="H1512" s="1146"/>
      <c r="I1512" s="1149" t="s">
        <v>137</v>
      </c>
      <c r="J1512" s="1062">
        <v>2929898852</v>
      </c>
      <c r="K1512" s="1063"/>
      <c r="L1512" s="1063"/>
      <c r="M1512" s="1069"/>
      <c r="N1512" s="1090"/>
      <c r="O1512" s="1062">
        <v>2929898852</v>
      </c>
      <c r="P1512" s="1062">
        <v>0</v>
      </c>
      <c r="Q1512" s="1062">
        <v>2927784200.3699999</v>
      </c>
      <c r="R1512" s="1063"/>
      <c r="S1512" s="1033"/>
      <c r="T1512" s="1067"/>
      <c r="U1512" s="866">
        <v>348087781.10000002</v>
      </c>
      <c r="V1512" s="855">
        <v>42367</v>
      </c>
      <c r="W1512" s="853" t="s">
        <v>7</v>
      </c>
      <c r="X1512" s="1044"/>
      <c r="Y1512" s="1044"/>
      <c r="Z1512" s="827">
        <v>-7.0000052452087402E-2</v>
      </c>
      <c r="AA1512" s="1043">
        <v>802297412.22000003</v>
      </c>
      <c r="AB1512" s="1044"/>
      <c r="AC1512" s="1043">
        <v>2114651.6300001144</v>
      </c>
      <c r="AD1512" s="1044"/>
      <c r="AE1512" s="1063"/>
      <c r="AF1512" s="1124"/>
      <c r="AG1512" s="1124"/>
      <c r="AH1512" s="1124"/>
      <c r="AI1512" s="1124"/>
    </row>
    <row r="1513" spans="1:35" s="4" customFormat="1" ht="15" customHeight="1">
      <c r="A1513" s="1033"/>
      <c r="B1513" s="1101"/>
      <c r="C1513" s="1101"/>
      <c r="D1513" s="1101"/>
      <c r="E1513" s="1101"/>
      <c r="F1513" s="1124"/>
      <c r="G1513" s="1101"/>
      <c r="H1513" s="1146"/>
      <c r="I1513" s="1149"/>
      <c r="J1513" s="1063"/>
      <c r="K1513" s="1063"/>
      <c r="L1513" s="1063"/>
      <c r="M1513" s="1069"/>
      <c r="N1513" s="1090"/>
      <c r="O1513" s="1063"/>
      <c r="P1513" s="1063"/>
      <c r="Q1513" s="1063"/>
      <c r="R1513" s="1063"/>
      <c r="S1513" s="1033"/>
      <c r="T1513" s="1065" t="s">
        <v>2063</v>
      </c>
      <c r="U1513" s="866">
        <v>229849676</v>
      </c>
      <c r="V1513" s="855">
        <v>42634</v>
      </c>
      <c r="W1513" s="853" t="s">
        <v>7</v>
      </c>
      <c r="X1513" s="1044"/>
      <c r="Y1513" s="1044"/>
      <c r="Z1513" s="827">
        <v>0</v>
      </c>
      <c r="AA1513" s="1044"/>
      <c r="AB1513" s="1044"/>
      <c r="AC1513" s="1044"/>
      <c r="AD1513" s="1044"/>
      <c r="AE1513" s="1063"/>
      <c r="AF1513" s="1124"/>
      <c r="AG1513" s="1124"/>
      <c r="AH1513" s="1124"/>
      <c r="AI1513" s="1124"/>
    </row>
    <row r="1514" spans="1:35" s="4" customFormat="1" ht="15" customHeight="1">
      <c r="A1514" s="1012"/>
      <c r="B1514" s="1102"/>
      <c r="C1514" s="1102"/>
      <c r="D1514" s="1102"/>
      <c r="E1514" s="1102"/>
      <c r="F1514" s="1024"/>
      <c r="G1514" s="1102"/>
      <c r="H1514" s="1147"/>
      <c r="I1514" s="1149"/>
      <c r="J1514" s="1064"/>
      <c r="K1514" s="1064"/>
      <c r="L1514" s="1064"/>
      <c r="M1514" s="1070"/>
      <c r="N1514" s="1091"/>
      <c r="O1514" s="1064"/>
      <c r="P1514" s="1064"/>
      <c r="Q1514" s="1064"/>
      <c r="R1514" s="1064"/>
      <c r="S1514" s="1012"/>
      <c r="T1514" s="1067"/>
      <c r="U1514" s="866">
        <v>722384696</v>
      </c>
      <c r="V1514" s="855">
        <v>42691</v>
      </c>
      <c r="W1514" s="853" t="s">
        <v>137</v>
      </c>
      <c r="X1514" s="1045"/>
      <c r="Y1514" s="1045"/>
      <c r="Z1514" s="827">
        <v>0</v>
      </c>
      <c r="AA1514" s="1045"/>
      <c r="AB1514" s="1045"/>
      <c r="AC1514" s="1045"/>
      <c r="AD1514" s="1045"/>
      <c r="AE1514" s="1064"/>
      <c r="AF1514" s="1024"/>
      <c r="AG1514" s="1024"/>
      <c r="AH1514" s="1024"/>
      <c r="AI1514" s="1024"/>
    </row>
    <row r="1515" spans="1:35" ht="15" customHeight="1">
      <c r="A1515" s="1011" t="s">
        <v>2004</v>
      </c>
      <c r="B1515" s="1011" t="s">
        <v>2005</v>
      </c>
      <c r="C1515" s="1011" t="s">
        <v>70</v>
      </c>
      <c r="D1515" s="1011" t="s">
        <v>206</v>
      </c>
      <c r="E1515" s="1011" t="s">
        <v>66</v>
      </c>
      <c r="F1515" s="1011" t="s">
        <v>48</v>
      </c>
      <c r="G1515" s="1011" t="s">
        <v>2009</v>
      </c>
      <c r="H1515" s="1145">
        <v>12</v>
      </c>
      <c r="I1515" s="1065" t="s">
        <v>141</v>
      </c>
      <c r="J1515" s="1062">
        <v>15272725</v>
      </c>
      <c r="K1515" s="1062">
        <v>15272725</v>
      </c>
      <c r="L1515" s="1062">
        <v>21448725</v>
      </c>
      <c r="M1515" s="1068">
        <v>42173</v>
      </c>
      <c r="N1515" s="1092">
        <v>15272725</v>
      </c>
      <c r="O1515" s="1092">
        <v>15272725</v>
      </c>
      <c r="P1515" s="1092">
        <v>0</v>
      </c>
      <c r="Q1515" s="1043">
        <v>15200000</v>
      </c>
      <c r="R1515" s="1043">
        <v>21376000</v>
      </c>
      <c r="S1515" s="1011" t="s">
        <v>2007</v>
      </c>
      <c r="T1515" s="840" t="s">
        <v>2008</v>
      </c>
      <c r="U1515" s="866">
        <v>11856000</v>
      </c>
      <c r="V1515" s="855">
        <v>42902</v>
      </c>
      <c r="W1515" s="842" t="s">
        <v>141</v>
      </c>
      <c r="X1515" s="1043">
        <v>11856000</v>
      </c>
      <c r="Y1515" s="1043">
        <v>11856000</v>
      </c>
      <c r="Z1515" s="827">
        <v>0</v>
      </c>
      <c r="AA1515" s="1043">
        <v>3416725</v>
      </c>
      <c r="AB1515" s="1062">
        <v>0</v>
      </c>
      <c r="AC1515" s="1062">
        <v>72725</v>
      </c>
      <c r="AD1515" s="1062">
        <v>3344000</v>
      </c>
      <c r="AE1515" s="1062"/>
      <c r="AF1515" s="1108"/>
      <c r="AG1515" s="1103" t="s">
        <v>2010</v>
      </c>
      <c r="AH1515" s="1103" t="s">
        <v>194</v>
      </c>
      <c r="AI1515" s="1103" t="s">
        <v>1911</v>
      </c>
    </row>
    <row r="1516" spans="1:35" ht="15" customHeight="1">
      <c r="A1516" s="1033"/>
      <c r="B1516" s="1033"/>
      <c r="C1516" s="1033"/>
      <c r="D1516" s="1033"/>
      <c r="E1516" s="1012"/>
      <c r="F1516" s="1033"/>
      <c r="G1516" s="1033"/>
      <c r="H1516" s="1147"/>
      <c r="I1516" s="1067"/>
      <c r="J1516" s="1064"/>
      <c r="K1516" s="1064"/>
      <c r="L1516" s="1063"/>
      <c r="M1516" s="1070"/>
      <c r="N1516" s="1094"/>
      <c r="O1516" s="1094"/>
      <c r="P1516" s="1094"/>
      <c r="Q1516" s="1045"/>
      <c r="R1516" s="1044"/>
      <c r="S1516" s="1033"/>
      <c r="T1516" s="840"/>
      <c r="U1516" s="866"/>
      <c r="V1516" s="855"/>
      <c r="W1516" s="842"/>
      <c r="X1516" s="1045"/>
      <c r="Y1516" s="1044"/>
      <c r="Z1516" s="827">
        <v>0</v>
      </c>
      <c r="AA1516" s="1045"/>
      <c r="AB1516" s="1063"/>
      <c r="AC1516" s="1064"/>
      <c r="AD1516" s="1064"/>
      <c r="AE1516" s="1064"/>
      <c r="AF1516" s="1109"/>
      <c r="AG1516" s="1104"/>
      <c r="AH1516" s="1104"/>
      <c r="AI1516" s="1104"/>
    </row>
    <row r="1517" spans="1:35" ht="15" customHeight="1">
      <c r="A1517" s="1012"/>
      <c r="B1517" s="1012"/>
      <c r="C1517" s="1012"/>
      <c r="D1517" s="1012"/>
      <c r="E1517" s="823" t="s">
        <v>67</v>
      </c>
      <c r="F1517" s="1012"/>
      <c r="G1517" s="1012"/>
      <c r="H1517" s="854">
        <v>15</v>
      </c>
      <c r="I1517" s="840" t="s">
        <v>141</v>
      </c>
      <c r="J1517" s="858">
        <v>6176000</v>
      </c>
      <c r="K1517" s="858">
        <v>6176000</v>
      </c>
      <c r="L1517" s="1064"/>
      <c r="M1517" s="855">
        <v>42689</v>
      </c>
      <c r="N1517" s="862">
        <v>6176000</v>
      </c>
      <c r="O1517" s="858">
        <v>6176000</v>
      </c>
      <c r="P1517" s="858">
        <v>0</v>
      </c>
      <c r="Q1517" s="827">
        <v>6176000</v>
      </c>
      <c r="R1517" s="1045"/>
      <c r="S1517" s="1012"/>
      <c r="T1517" s="840"/>
      <c r="U1517" s="866">
        <v>0</v>
      </c>
      <c r="V1517" s="855"/>
      <c r="W1517" s="842"/>
      <c r="X1517" s="827">
        <v>0</v>
      </c>
      <c r="Y1517" s="1045"/>
      <c r="Z1517" s="827">
        <v>0</v>
      </c>
      <c r="AA1517" s="827">
        <v>6176000</v>
      </c>
      <c r="AB1517" s="1064"/>
      <c r="AC1517" s="858">
        <v>0</v>
      </c>
      <c r="AD1517" s="858">
        <v>6176000</v>
      </c>
      <c r="AE1517" s="858"/>
      <c r="AF1517" s="1110"/>
      <c r="AG1517" s="1105"/>
      <c r="AH1517" s="1105"/>
      <c r="AI1517" s="1105"/>
    </row>
    <row r="1518" spans="1:35" s="29" customFormat="1" ht="15" customHeight="1">
      <c r="A1518" s="1142" t="s">
        <v>2200</v>
      </c>
      <c r="B1518" s="1142" t="s">
        <v>2198</v>
      </c>
      <c r="C1518" s="1142" t="s">
        <v>71</v>
      </c>
      <c r="D1518" s="1142" t="s">
        <v>1235</v>
      </c>
      <c r="E1518" s="1142" t="s">
        <v>66</v>
      </c>
      <c r="F1518" s="1142" t="s">
        <v>49</v>
      </c>
      <c r="G1518" s="1142" t="s">
        <v>1859</v>
      </c>
      <c r="H1518" s="1167">
        <v>322</v>
      </c>
      <c r="I1518" s="1157" t="s">
        <v>7</v>
      </c>
      <c r="J1518" s="1043">
        <v>934907364</v>
      </c>
      <c r="K1518" s="1043">
        <v>2365868067</v>
      </c>
      <c r="L1518" s="1043">
        <v>2572981347</v>
      </c>
      <c r="M1518" s="1120">
        <v>42150</v>
      </c>
      <c r="N1518" s="1150">
        <v>2365868067</v>
      </c>
      <c r="O1518" s="1043">
        <v>934907364</v>
      </c>
      <c r="P1518" s="1043">
        <v>0</v>
      </c>
      <c r="Q1518" s="1043">
        <v>932500678.44000006</v>
      </c>
      <c r="R1518" s="1043">
        <v>2566357849</v>
      </c>
      <c r="S1518" s="1142" t="s">
        <v>2197</v>
      </c>
      <c r="T1518" s="916" t="s">
        <v>2734</v>
      </c>
      <c r="U1518" s="866">
        <v>279750203.52999997</v>
      </c>
      <c r="V1518" s="855">
        <v>42342</v>
      </c>
      <c r="W1518" s="1157" t="s">
        <v>7</v>
      </c>
      <c r="X1518" s="1043">
        <v>2365868067.0200005</v>
      </c>
      <c r="Y1518" s="1043">
        <v>2562412333.0800004</v>
      </c>
      <c r="Z1518" s="827">
        <v>0</v>
      </c>
      <c r="AA1518" s="1043">
        <v>167818432.54000002</v>
      </c>
      <c r="AB1518" s="1043">
        <v>-186505140.14000034</v>
      </c>
      <c r="AC1518" s="1043">
        <v>2406685.5599999428</v>
      </c>
      <c r="AD1518" s="1043">
        <v>-6623498.0300006866</v>
      </c>
      <c r="AE1518" s="1043"/>
      <c r="AF1518" s="1172" t="s">
        <v>2196</v>
      </c>
      <c r="AG1518" s="1175" t="s">
        <v>2195</v>
      </c>
      <c r="AH1518" s="1175" t="s">
        <v>194</v>
      </c>
      <c r="AI1518" s="1175" t="s">
        <v>1911</v>
      </c>
    </row>
    <row r="1519" spans="1:35" s="29" customFormat="1" ht="15" customHeight="1">
      <c r="A1519" s="1143"/>
      <c r="B1519" s="1143"/>
      <c r="C1519" s="1143"/>
      <c r="D1519" s="1143"/>
      <c r="E1519" s="1143"/>
      <c r="F1519" s="1143"/>
      <c r="G1519" s="1143"/>
      <c r="H1519" s="1168"/>
      <c r="I1519" s="1158"/>
      <c r="J1519" s="1044"/>
      <c r="K1519" s="1044"/>
      <c r="L1519" s="1044"/>
      <c r="M1519" s="1121"/>
      <c r="N1519" s="1151"/>
      <c r="O1519" s="1044"/>
      <c r="P1519" s="1044"/>
      <c r="Q1519" s="1044"/>
      <c r="R1519" s="1044"/>
      <c r="S1519" s="1143"/>
      <c r="T1519" s="916" t="s">
        <v>2735</v>
      </c>
      <c r="U1519" s="866">
        <v>364128591.5</v>
      </c>
      <c r="V1519" s="855">
        <v>42706</v>
      </c>
      <c r="W1519" s="1158"/>
      <c r="X1519" s="1044"/>
      <c r="Y1519" s="1044"/>
      <c r="Z1519" s="827">
        <v>64054524.100000024</v>
      </c>
      <c r="AA1519" s="1044"/>
      <c r="AB1519" s="1044"/>
      <c r="AC1519" s="1044"/>
      <c r="AD1519" s="1044"/>
      <c r="AE1519" s="1044"/>
      <c r="AF1519" s="1173"/>
      <c r="AG1519" s="1176"/>
      <c r="AH1519" s="1176"/>
      <c r="AI1519" s="1176"/>
    </row>
    <row r="1520" spans="1:35" s="29" customFormat="1" ht="15" customHeight="1">
      <c r="A1520" s="1143"/>
      <c r="B1520" s="1143"/>
      <c r="C1520" s="1143"/>
      <c r="D1520" s="1143"/>
      <c r="E1520" s="1143"/>
      <c r="F1520" s="1143"/>
      <c r="G1520" s="1143"/>
      <c r="H1520" s="1168"/>
      <c r="I1520" s="1158"/>
      <c r="J1520" s="1044"/>
      <c r="K1520" s="1044"/>
      <c r="L1520" s="1044"/>
      <c r="M1520" s="1121"/>
      <c r="N1520" s="1151"/>
      <c r="O1520" s="1044"/>
      <c r="P1520" s="1044"/>
      <c r="Q1520" s="1044"/>
      <c r="R1520" s="1044"/>
      <c r="S1520" s="1143"/>
      <c r="T1520" s="916" t="s">
        <v>2737</v>
      </c>
      <c r="U1520" s="866">
        <v>167818432.53999999</v>
      </c>
      <c r="V1520" s="855">
        <v>42751</v>
      </c>
      <c r="W1520" s="1158"/>
      <c r="X1520" s="1044"/>
      <c r="Y1520" s="1044"/>
      <c r="Z1520" s="827">
        <v>196310158.96000001</v>
      </c>
      <c r="AA1520" s="1044"/>
      <c r="AB1520" s="1044"/>
      <c r="AC1520" s="1044"/>
      <c r="AD1520" s="1044"/>
      <c r="AE1520" s="1044"/>
      <c r="AF1520" s="1173"/>
      <c r="AG1520" s="1176"/>
      <c r="AH1520" s="1176"/>
      <c r="AI1520" s="1176"/>
    </row>
    <row r="1521" spans="1:35" s="29" customFormat="1" ht="15" customHeight="1">
      <c r="A1521" s="1143"/>
      <c r="B1521" s="1143"/>
      <c r="C1521" s="1143"/>
      <c r="D1521" s="1143"/>
      <c r="E1521" s="1143"/>
      <c r="F1521" s="1143"/>
      <c r="G1521" s="1143"/>
      <c r="H1521" s="1168"/>
      <c r="I1521" s="1158"/>
      <c r="J1521" s="1044"/>
      <c r="K1521" s="1044"/>
      <c r="L1521" s="1044"/>
      <c r="M1521" s="1121"/>
      <c r="N1521" s="1151"/>
      <c r="O1521" s="1044"/>
      <c r="P1521" s="1044"/>
      <c r="Q1521" s="1044"/>
      <c r="R1521" s="1044"/>
      <c r="S1521" s="1143"/>
      <c r="T1521" s="916" t="s">
        <v>2739</v>
      </c>
      <c r="U1521" s="866">
        <v>120803450.87</v>
      </c>
      <c r="V1521" s="855">
        <v>42881</v>
      </c>
      <c r="W1521" s="1158"/>
      <c r="X1521" s="1044"/>
      <c r="Y1521" s="1044"/>
      <c r="Z1521" s="827">
        <v>243325140.63</v>
      </c>
      <c r="AA1521" s="1044"/>
      <c r="AB1521" s="1044"/>
      <c r="AC1521" s="1044"/>
      <c r="AD1521" s="1044"/>
      <c r="AE1521" s="1044"/>
      <c r="AF1521" s="1173"/>
      <c r="AG1521" s="1176"/>
      <c r="AH1521" s="1176"/>
      <c r="AI1521" s="1176"/>
    </row>
    <row r="1522" spans="1:35" s="29" customFormat="1" ht="15" customHeight="1">
      <c r="A1522" s="1143"/>
      <c r="B1522" s="1143"/>
      <c r="C1522" s="1143"/>
      <c r="D1522" s="1143"/>
      <c r="E1522" s="1143"/>
      <c r="F1522" s="1143"/>
      <c r="G1522" s="1143"/>
      <c r="H1522" s="1168"/>
      <c r="I1522" s="1158"/>
      <c r="J1522" s="1045"/>
      <c r="K1522" s="1044"/>
      <c r="L1522" s="1044"/>
      <c r="M1522" s="1121"/>
      <c r="N1522" s="1151"/>
      <c r="O1522" s="1045"/>
      <c r="P1522" s="1045"/>
      <c r="Q1522" s="1045"/>
      <c r="R1522" s="1044"/>
      <c r="S1522" s="1143"/>
      <c r="T1522" s="916" t="s">
        <v>2740</v>
      </c>
      <c r="U1522" s="866">
        <v>2406685.56</v>
      </c>
      <c r="V1522" s="855">
        <v>43227</v>
      </c>
      <c r="W1522" s="1158"/>
      <c r="X1522" s="1044"/>
      <c r="Y1522" s="1044"/>
      <c r="Z1522" s="827">
        <v>165411768.91999999</v>
      </c>
      <c r="AA1522" s="1045"/>
      <c r="AB1522" s="1044"/>
      <c r="AC1522" s="1045"/>
      <c r="AD1522" s="1044"/>
      <c r="AE1522" s="1044"/>
      <c r="AF1522" s="1173"/>
      <c r="AG1522" s="1176"/>
      <c r="AH1522" s="1176"/>
      <c r="AI1522" s="1176"/>
    </row>
    <row r="1523" spans="1:35" s="29" customFormat="1" ht="15" customHeight="1">
      <c r="A1523" s="1143"/>
      <c r="B1523" s="1143"/>
      <c r="C1523" s="1143"/>
      <c r="D1523" s="1143"/>
      <c r="E1523" s="1143"/>
      <c r="F1523" s="1143"/>
      <c r="G1523" s="1143"/>
      <c r="H1523" s="1168"/>
      <c r="I1523" s="1159"/>
      <c r="J1523" s="806"/>
      <c r="K1523" s="1044"/>
      <c r="L1523" s="1044"/>
      <c r="M1523" s="1121"/>
      <c r="N1523" s="1151"/>
      <c r="O1523" s="806"/>
      <c r="P1523" s="806"/>
      <c r="Q1523" s="806"/>
      <c r="R1523" s="1044"/>
      <c r="S1523" s="1143"/>
      <c r="T1523" s="916" t="s">
        <v>2741</v>
      </c>
      <c r="U1523" s="866">
        <v>0.01</v>
      </c>
      <c r="V1523" s="855">
        <v>43251</v>
      </c>
      <c r="W1523" s="1159"/>
      <c r="X1523" s="1044"/>
      <c r="Y1523" s="1044"/>
      <c r="Z1523" s="827"/>
      <c r="AA1523" s="806"/>
      <c r="AB1523" s="1044"/>
      <c r="AC1523" s="806"/>
      <c r="AD1523" s="1044"/>
      <c r="AE1523" s="1044"/>
      <c r="AF1523" s="1173"/>
      <c r="AG1523" s="1176"/>
      <c r="AH1523" s="1176"/>
      <c r="AI1523" s="1176"/>
    </row>
    <row r="1524" spans="1:35" s="29" customFormat="1" ht="15" customHeight="1">
      <c r="A1524" s="1143"/>
      <c r="B1524" s="1143"/>
      <c r="C1524" s="1143"/>
      <c r="D1524" s="1143"/>
      <c r="E1524" s="1143"/>
      <c r="F1524" s="1143"/>
      <c r="G1524" s="1143"/>
      <c r="H1524" s="1168"/>
      <c r="I1524" s="1157" t="s">
        <v>137</v>
      </c>
      <c r="J1524" s="1043">
        <v>1430960703</v>
      </c>
      <c r="K1524" s="1044"/>
      <c r="L1524" s="1044"/>
      <c r="M1524" s="1121"/>
      <c r="N1524" s="1151"/>
      <c r="O1524" s="1043">
        <v>1430960703</v>
      </c>
      <c r="P1524" s="1043">
        <v>0</v>
      </c>
      <c r="Q1524" s="1043">
        <v>1427277051.98</v>
      </c>
      <c r="R1524" s="1044"/>
      <c r="S1524" s="1143"/>
      <c r="T1524" s="916" t="s">
        <v>2733</v>
      </c>
      <c r="U1524" s="866">
        <v>428183115.60000002</v>
      </c>
      <c r="V1524" s="855">
        <v>42342</v>
      </c>
      <c r="W1524" s="1157" t="s">
        <v>137</v>
      </c>
      <c r="X1524" s="1044"/>
      <c r="Y1524" s="1044"/>
      <c r="Z1524" s="827">
        <v>-79489737.379999995</v>
      </c>
      <c r="AA1524" s="1043">
        <v>122137185.13999999</v>
      </c>
      <c r="AB1524" s="1044"/>
      <c r="AC1524" s="1043">
        <v>3683651.0199999809</v>
      </c>
      <c r="AD1524" s="1044"/>
      <c r="AE1524" s="1044"/>
      <c r="AF1524" s="1173"/>
      <c r="AG1524" s="1176"/>
      <c r="AH1524" s="1176"/>
      <c r="AI1524" s="1176"/>
    </row>
    <row r="1525" spans="1:35" s="29" customFormat="1" ht="15" customHeight="1">
      <c r="A1525" s="1143"/>
      <c r="B1525" s="1143"/>
      <c r="C1525" s="1143"/>
      <c r="D1525" s="1143"/>
      <c r="E1525" s="1143"/>
      <c r="F1525" s="1143"/>
      <c r="G1525" s="1143"/>
      <c r="H1525" s="1168"/>
      <c r="I1525" s="1158"/>
      <c r="J1525" s="1044"/>
      <c r="K1525" s="1044"/>
      <c r="L1525" s="1044"/>
      <c r="M1525" s="1121"/>
      <c r="N1525" s="1151"/>
      <c r="O1525" s="1044"/>
      <c r="P1525" s="1044"/>
      <c r="Q1525" s="1044"/>
      <c r="R1525" s="1044"/>
      <c r="S1525" s="1143"/>
      <c r="T1525" s="916" t="s">
        <v>2735</v>
      </c>
      <c r="U1525" s="866">
        <v>364128591.5</v>
      </c>
      <c r="V1525" s="855">
        <v>42706</v>
      </c>
      <c r="W1525" s="1158"/>
      <c r="X1525" s="1044"/>
      <c r="Y1525" s="1044"/>
      <c r="Z1525" s="827">
        <v>-243325140.63</v>
      </c>
      <c r="AA1525" s="1044"/>
      <c r="AB1525" s="1044"/>
      <c r="AC1525" s="1044"/>
      <c r="AD1525" s="1044"/>
      <c r="AE1525" s="1044"/>
      <c r="AF1525" s="1173"/>
      <c r="AG1525" s="1176"/>
      <c r="AH1525" s="1176"/>
      <c r="AI1525" s="1176"/>
    </row>
    <row r="1526" spans="1:35" s="29" customFormat="1" ht="15" customHeight="1">
      <c r="A1526" s="1143"/>
      <c r="B1526" s="1143"/>
      <c r="C1526" s="1143"/>
      <c r="D1526" s="1143"/>
      <c r="E1526" s="1143"/>
      <c r="F1526" s="1143"/>
      <c r="G1526" s="1143"/>
      <c r="H1526" s="1168"/>
      <c r="I1526" s="1158"/>
      <c r="J1526" s="1044"/>
      <c r="K1526" s="1044"/>
      <c r="L1526" s="1044"/>
      <c r="M1526" s="1121"/>
      <c r="N1526" s="1151"/>
      <c r="O1526" s="1044"/>
      <c r="P1526" s="1044"/>
      <c r="Q1526" s="1044"/>
      <c r="R1526" s="1044"/>
      <c r="S1526" s="1143"/>
      <c r="T1526" s="916" t="s">
        <v>2736</v>
      </c>
      <c r="U1526" s="866">
        <v>348693378.22000003</v>
      </c>
      <c r="V1526" s="855">
        <v>42751</v>
      </c>
      <c r="W1526" s="1158"/>
      <c r="X1526" s="1044"/>
      <c r="Y1526" s="1044"/>
      <c r="Z1526" s="827">
        <v>-185167892.71000004</v>
      </c>
      <c r="AA1526" s="1044"/>
      <c r="AB1526" s="1044"/>
      <c r="AC1526" s="1044"/>
      <c r="AD1526" s="1044"/>
      <c r="AE1526" s="1044"/>
      <c r="AF1526" s="1173"/>
      <c r="AG1526" s="1176"/>
      <c r="AH1526" s="1176"/>
      <c r="AI1526" s="1176"/>
    </row>
    <row r="1527" spans="1:35" s="29" customFormat="1" ht="15" customHeight="1">
      <c r="A1527" s="1143"/>
      <c r="B1527" s="1143"/>
      <c r="C1527" s="1143"/>
      <c r="D1527" s="1143"/>
      <c r="E1527" s="1143"/>
      <c r="F1527" s="1143"/>
      <c r="G1527" s="1143"/>
      <c r="H1527" s="1168"/>
      <c r="I1527" s="1158"/>
      <c r="J1527" s="1044"/>
      <c r="K1527" s="1044"/>
      <c r="L1527" s="1044"/>
      <c r="M1527" s="1121"/>
      <c r="N1527" s="1151"/>
      <c r="O1527" s="1044"/>
      <c r="P1527" s="1044"/>
      <c r="Q1527" s="1044"/>
      <c r="R1527" s="1044"/>
      <c r="S1527" s="1143"/>
      <c r="T1527" s="916" t="s">
        <v>2738</v>
      </c>
      <c r="U1527" s="866">
        <v>163525505.50999999</v>
      </c>
      <c r="V1527" s="855">
        <v>42881</v>
      </c>
      <c r="W1527" s="1158"/>
      <c r="X1527" s="1044"/>
      <c r="Y1527" s="1044"/>
      <c r="Z1527" s="827"/>
      <c r="AA1527" s="1044"/>
      <c r="AB1527" s="1044"/>
      <c r="AC1527" s="1044"/>
      <c r="AD1527" s="1044"/>
      <c r="AE1527" s="1044"/>
      <c r="AF1527" s="1173"/>
      <c r="AG1527" s="1176"/>
      <c r="AH1527" s="1176"/>
      <c r="AI1527" s="1176"/>
    </row>
    <row r="1528" spans="1:35" s="29" customFormat="1" ht="15" customHeight="1">
      <c r="A1528" s="1143"/>
      <c r="B1528" s="1143"/>
      <c r="C1528" s="1143"/>
      <c r="D1528" s="1143"/>
      <c r="E1528" s="1143"/>
      <c r="F1528" s="1143"/>
      <c r="G1528" s="1143"/>
      <c r="H1528" s="1168"/>
      <c r="I1528" s="1158"/>
      <c r="J1528" s="1044"/>
      <c r="K1528" s="1044"/>
      <c r="L1528" s="1044"/>
      <c r="M1528" s="1121"/>
      <c r="N1528" s="1151"/>
      <c r="O1528" s="1044"/>
      <c r="P1528" s="1044"/>
      <c r="Q1528" s="1044"/>
      <c r="R1528" s="1044"/>
      <c r="S1528" s="1143"/>
      <c r="T1528" s="916" t="s">
        <v>2740</v>
      </c>
      <c r="U1528" s="866">
        <v>3683651.02</v>
      </c>
      <c r="V1528" s="855">
        <v>43227</v>
      </c>
      <c r="W1528" s="1158"/>
      <c r="X1528" s="1044"/>
      <c r="Y1528" s="1044"/>
      <c r="Z1528" s="827"/>
      <c r="AA1528" s="1044"/>
      <c r="AB1528" s="1044"/>
      <c r="AC1528" s="1044"/>
      <c r="AD1528" s="1044"/>
      <c r="AE1528" s="1044"/>
      <c r="AF1528" s="1173"/>
      <c r="AG1528" s="1176"/>
      <c r="AH1528" s="1176"/>
      <c r="AI1528" s="1176"/>
    </row>
    <row r="1529" spans="1:35" s="29" customFormat="1" ht="15" customHeight="1">
      <c r="A1529" s="1143"/>
      <c r="B1529" s="1143"/>
      <c r="C1529" s="1143"/>
      <c r="D1529" s="1143"/>
      <c r="E1529" s="1143"/>
      <c r="F1529" s="1143"/>
      <c r="G1529" s="1143"/>
      <c r="H1529" s="1168"/>
      <c r="I1529" s="1158"/>
      <c r="J1529" s="1044"/>
      <c r="K1529" s="1044"/>
      <c r="L1529" s="1044"/>
      <c r="M1529" s="1121"/>
      <c r="N1529" s="1151"/>
      <c r="O1529" s="1044"/>
      <c r="P1529" s="1044"/>
      <c r="Q1529" s="1044"/>
      <c r="R1529" s="1044"/>
      <c r="S1529" s="1143"/>
      <c r="T1529" s="916" t="s">
        <v>2741</v>
      </c>
      <c r="U1529" s="866">
        <v>122746461.15000001</v>
      </c>
      <c r="V1529" s="855">
        <v>43250</v>
      </c>
      <c r="W1529" s="1158"/>
      <c r="X1529" s="1044"/>
      <c r="Y1529" s="1044"/>
      <c r="Z1529" s="827">
        <v>-119062810.13000001</v>
      </c>
      <c r="AA1529" s="1044"/>
      <c r="AB1529" s="1044"/>
      <c r="AC1529" s="1044"/>
      <c r="AD1529" s="1044"/>
      <c r="AE1529" s="1044"/>
      <c r="AF1529" s="1173"/>
      <c r="AG1529" s="1176"/>
      <c r="AH1529" s="1176"/>
      <c r="AI1529" s="1176"/>
    </row>
    <row r="1530" spans="1:35" s="29" customFormat="1" ht="15" customHeight="1">
      <c r="A1530" s="1143"/>
      <c r="B1530" s="1143"/>
      <c r="C1530" s="1143"/>
      <c r="D1530" s="1143"/>
      <c r="E1530" s="1143"/>
      <c r="F1530" s="1143"/>
      <c r="G1530" s="1143"/>
      <c r="H1530" s="1169"/>
      <c r="I1530" s="1159"/>
      <c r="J1530" s="1045"/>
      <c r="K1530" s="1045"/>
      <c r="L1530" s="1044"/>
      <c r="M1530" s="1160"/>
      <c r="N1530" s="1152"/>
      <c r="O1530" s="1045"/>
      <c r="P1530" s="1045"/>
      <c r="Q1530" s="1045"/>
      <c r="R1530" s="1044"/>
      <c r="S1530" s="1143"/>
      <c r="T1530" s="916" t="s">
        <v>2741</v>
      </c>
      <c r="U1530" s="866">
        <v>0.01</v>
      </c>
      <c r="V1530" s="855">
        <v>43251</v>
      </c>
      <c r="W1530" s="1159"/>
      <c r="X1530" s="1045"/>
      <c r="Y1530" s="1044"/>
      <c r="Z1530" s="827">
        <v>-0.01</v>
      </c>
      <c r="AA1530" s="1045"/>
      <c r="AB1530" s="1044"/>
      <c r="AC1530" s="1045"/>
      <c r="AD1530" s="1045"/>
      <c r="AE1530" s="1045"/>
      <c r="AF1530" s="1173"/>
      <c r="AG1530" s="1176"/>
      <c r="AH1530" s="1176"/>
      <c r="AI1530" s="1176"/>
    </row>
    <row r="1531" spans="1:35" ht="15" customHeight="1">
      <c r="A1531" s="1143"/>
      <c r="B1531" s="1143"/>
      <c r="C1531" s="1143"/>
      <c r="D1531" s="1143"/>
      <c r="E1531" s="1143"/>
      <c r="F1531" s="1143"/>
      <c r="G1531" s="1143"/>
      <c r="H1531" s="1209">
        <v>6</v>
      </c>
      <c r="I1531" s="1119" t="s">
        <v>131</v>
      </c>
      <c r="J1531" s="1062">
        <v>207113280</v>
      </c>
      <c r="K1531" s="1062">
        <v>207113280</v>
      </c>
      <c r="L1531" s="1044"/>
      <c r="M1531" s="1068">
        <v>42150</v>
      </c>
      <c r="N1531" s="1092">
        <v>207113280</v>
      </c>
      <c r="O1531" s="1092">
        <v>207113280</v>
      </c>
      <c r="P1531" s="1092">
        <v>0</v>
      </c>
      <c r="Q1531" s="1092">
        <v>206580118.58000001</v>
      </c>
      <c r="R1531" s="1044"/>
      <c r="S1531" s="1143"/>
      <c r="T1531" s="840" t="s">
        <v>2194</v>
      </c>
      <c r="U1531" s="866">
        <v>61974035.57</v>
      </c>
      <c r="V1531" s="855">
        <v>42342</v>
      </c>
      <c r="W1531" s="842" t="s">
        <v>131</v>
      </c>
      <c r="X1531" s="1043">
        <v>196544266.05999997</v>
      </c>
      <c r="Y1531" s="1044"/>
      <c r="Z1531" s="827">
        <v>0</v>
      </c>
      <c r="AA1531" s="1043">
        <v>10569013.940000027</v>
      </c>
      <c r="AB1531" s="1044"/>
      <c r="AC1531" s="1062">
        <v>533161.41999998689</v>
      </c>
      <c r="AD1531" s="1062">
        <v>10569013.950000018</v>
      </c>
      <c r="AE1531" s="1062"/>
      <c r="AF1531" s="1173"/>
      <c r="AG1531" s="1176"/>
      <c r="AH1531" s="1176"/>
      <c r="AI1531" s="1176"/>
    </row>
    <row r="1532" spans="1:35" ht="15" customHeight="1">
      <c r="A1532" s="1143"/>
      <c r="B1532" s="1143"/>
      <c r="C1532" s="1143"/>
      <c r="D1532" s="1143"/>
      <c r="E1532" s="1143"/>
      <c r="F1532" s="1143"/>
      <c r="G1532" s="1143"/>
      <c r="H1532" s="1209"/>
      <c r="I1532" s="1119"/>
      <c r="J1532" s="1063"/>
      <c r="K1532" s="1063"/>
      <c r="L1532" s="1044"/>
      <c r="M1532" s="1069"/>
      <c r="N1532" s="1093"/>
      <c r="O1532" s="1093"/>
      <c r="P1532" s="1093"/>
      <c r="Q1532" s="1093"/>
      <c r="R1532" s="1044"/>
      <c r="S1532" s="1143"/>
      <c r="T1532" s="840" t="s">
        <v>2193</v>
      </c>
      <c r="U1532" s="866">
        <v>0.01</v>
      </c>
      <c r="V1532" s="855">
        <v>42718</v>
      </c>
      <c r="W1532" s="842" t="s">
        <v>131</v>
      </c>
      <c r="X1532" s="1044"/>
      <c r="Y1532" s="1044"/>
      <c r="Z1532" s="827">
        <v>-0.01</v>
      </c>
      <c r="AA1532" s="1044"/>
      <c r="AB1532" s="1044"/>
      <c r="AC1532" s="1063"/>
      <c r="AD1532" s="1063"/>
      <c r="AE1532" s="1063"/>
      <c r="AF1532" s="1173"/>
      <c r="AG1532" s="1176"/>
      <c r="AH1532" s="1176"/>
      <c r="AI1532" s="1176"/>
    </row>
    <row r="1533" spans="1:35" ht="15" customHeight="1">
      <c r="A1533" s="1143"/>
      <c r="B1533" s="1143"/>
      <c r="C1533" s="1143"/>
      <c r="D1533" s="1143"/>
      <c r="E1533" s="1143"/>
      <c r="F1533" s="1143"/>
      <c r="G1533" s="1143"/>
      <c r="H1533" s="1209"/>
      <c r="I1533" s="1119"/>
      <c r="J1533" s="1063"/>
      <c r="K1533" s="1063"/>
      <c r="L1533" s="1044"/>
      <c r="M1533" s="1069"/>
      <c r="N1533" s="1093"/>
      <c r="O1533" s="1093"/>
      <c r="P1533" s="1093"/>
      <c r="Q1533" s="1093"/>
      <c r="R1533" s="1044"/>
      <c r="S1533" s="1143"/>
      <c r="T1533" s="840" t="s">
        <v>2192</v>
      </c>
      <c r="U1533" s="866">
        <v>97092730.439999998</v>
      </c>
      <c r="V1533" s="855">
        <v>42751</v>
      </c>
      <c r="W1533" s="842" t="s">
        <v>131</v>
      </c>
      <c r="X1533" s="1044"/>
      <c r="Y1533" s="1044"/>
      <c r="Z1533" s="827">
        <v>0</v>
      </c>
      <c r="AA1533" s="1044"/>
      <c r="AB1533" s="1044"/>
      <c r="AC1533" s="1063"/>
      <c r="AD1533" s="1063"/>
      <c r="AE1533" s="1063"/>
      <c r="AF1533" s="1173"/>
      <c r="AG1533" s="1176"/>
      <c r="AH1533" s="1176"/>
      <c r="AI1533" s="1176"/>
    </row>
    <row r="1534" spans="1:35" ht="15" customHeight="1">
      <c r="A1534" s="1143"/>
      <c r="B1534" s="1143"/>
      <c r="C1534" s="1143"/>
      <c r="D1534" s="1143"/>
      <c r="E1534" s="1143"/>
      <c r="F1534" s="1143"/>
      <c r="G1534" s="1143"/>
      <c r="H1534" s="1209"/>
      <c r="I1534" s="1119"/>
      <c r="J1534" s="1063"/>
      <c r="K1534" s="1063"/>
      <c r="L1534" s="1044"/>
      <c r="M1534" s="1069"/>
      <c r="N1534" s="1093"/>
      <c r="O1534" s="1093"/>
      <c r="P1534" s="1093"/>
      <c r="Q1534" s="1093"/>
      <c r="R1534" s="1044"/>
      <c r="S1534" s="1143"/>
      <c r="T1534" s="840" t="s">
        <v>2191</v>
      </c>
      <c r="U1534" s="866">
        <v>36944338.619999997</v>
      </c>
      <c r="V1534" s="855">
        <v>42881</v>
      </c>
      <c r="W1534" s="842" t="s">
        <v>131</v>
      </c>
      <c r="X1534" s="1044"/>
      <c r="Y1534" s="1044"/>
      <c r="Z1534" s="827">
        <v>0</v>
      </c>
      <c r="AA1534" s="1044"/>
      <c r="AB1534" s="1044"/>
      <c r="AC1534" s="1063"/>
      <c r="AD1534" s="1063"/>
      <c r="AE1534" s="1063"/>
      <c r="AF1534" s="1173"/>
      <c r="AG1534" s="1176"/>
      <c r="AH1534" s="1176"/>
      <c r="AI1534" s="1176"/>
    </row>
    <row r="1535" spans="1:35" ht="15" customHeight="1">
      <c r="A1535" s="1143"/>
      <c r="B1535" s="1144"/>
      <c r="C1535" s="1144"/>
      <c r="D1535" s="1144"/>
      <c r="E1535" s="1144"/>
      <c r="F1535" s="1144"/>
      <c r="G1535" s="1144"/>
      <c r="H1535" s="1209"/>
      <c r="I1535" s="1119"/>
      <c r="J1535" s="1063"/>
      <c r="K1535" s="1064"/>
      <c r="L1535" s="1045"/>
      <c r="M1535" s="1070"/>
      <c r="N1535" s="1094"/>
      <c r="O1535" s="1094"/>
      <c r="P1535" s="1094"/>
      <c r="Q1535" s="1094"/>
      <c r="R1535" s="1045"/>
      <c r="S1535" s="1144"/>
      <c r="T1535" s="916" t="s">
        <v>2731</v>
      </c>
      <c r="U1535" s="866">
        <v>533161.42000000004</v>
      </c>
      <c r="V1535" s="855">
        <v>43227</v>
      </c>
      <c r="W1535" s="842" t="s">
        <v>131</v>
      </c>
      <c r="X1535" s="1045"/>
      <c r="Y1535" s="1045"/>
      <c r="Z1535" s="827">
        <v>0</v>
      </c>
      <c r="AA1535" s="1045"/>
      <c r="AB1535" s="1045"/>
      <c r="AC1535" s="1064"/>
      <c r="AD1535" s="1064"/>
      <c r="AE1535" s="1064"/>
      <c r="AF1535" s="1174"/>
      <c r="AG1535" s="1177"/>
      <c r="AH1535" s="1177"/>
      <c r="AI1535" s="1177"/>
    </row>
    <row r="1536" spans="1:35" ht="15" customHeight="1">
      <c r="A1536" s="1143"/>
      <c r="B1536" s="850"/>
      <c r="C1536" s="850"/>
      <c r="D1536" s="850"/>
      <c r="E1536" s="850"/>
      <c r="F1536" s="850"/>
      <c r="G1536" s="850"/>
      <c r="H1536" s="1209"/>
      <c r="I1536" s="1119"/>
      <c r="J1536" s="1063"/>
      <c r="K1536" s="798"/>
      <c r="L1536" s="806"/>
      <c r="M1536" s="817"/>
      <c r="N1536" s="820"/>
      <c r="O1536" s="820"/>
      <c r="P1536" s="820"/>
      <c r="Q1536" s="820"/>
      <c r="R1536" s="806"/>
      <c r="S1536" s="850"/>
      <c r="T1536" s="916" t="s">
        <v>2716</v>
      </c>
      <c r="U1536" s="866">
        <v>10569013.949999999</v>
      </c>
      <c r="V1536" s="855">
        <v>43250</v>
      </c>
      <c r="W1536" s="842" t="s">
        <v>131</v>
      </c>
      <c r="X1536" s="806"/>
      <c r="Y1536" s="806"/>
      <c r="Z1536" s="827"/>
      <c r="AA1536" s="806"/>
      <c r="AB1536" s="806"/>
      <c r="AC1536" s="798"/>
      <c r="AD1536" s="798"/>
      <c r="AE1536" s="798"/>
      <c r="AF1536" s="857"/>
      <c r="AG1536" s="856"/>
      <c r="AH1536" s="856"/>
      <c r="AI1536" s="856"/>
    </row>
    <row r="1537" spans="1:35" ht="15" customHeight="1">
      <c r="A1537" s="1143"/>
      <c r="B1537" s="850"/>
      <c r="C1537" s="850"/>
      <c r="D1537" s="850"/>
      <c r="E1537" s="850"/>
      <c r="F1537" s="850"/>
      <c r="G1537" s="850"/>
      <c r="H1537" s="1209"/>
      <c r="I1537" s="1119"/>
      <c r="J1537" s="1063"/>
      <c r="K1537" s="798"/>
      <c r="L1537" s="806"/>
      <c r="M1537" s="817"/>
      <c r="N1537" s="820"/>
      <c r="O1537" s="820"/>
      <c r="P1537" s="820"/>
      <c r="Q1537" s="820"/>
      <c r="R1537" s="806"/>
      <c r="S1537" s="850"/>
      <c r="T1537" s="916"/>
      <c r="U1537" s="866"/>
      <c r="V1537" s="855"/>
      <c r="W1537" s="842"/>
      <c r="X1537" s="806"/>
      <c r="Y1537" s="806"/>
      <c r="Z1537" s="827"/>
      <c r="AA1537" s="806"/>
      <c r="AB1537" s="806"/>
      <c r="AC1537" s="798"/>
      <c r="AD1537" s="798"/>
      <c r="AE1537" s="798"/>
      <c r="AF1537" s="857"/>
      <c r="AG1537" s="856"/>
      <c r="AH1537" s="856"/>
      <c r="AI1537" s="856"/>
    </row>
    <row r="1538" spans="1:35" ht="15" customHeight="1">
      <c r="A1538" s="1143"/>
      <c r="B1538" s="850"/>
      <c r="C1538" s="850"/>
      <c r="D1538" s="850"/>
      <c r="E1538" s="850"/>
      <c r="F1538" s="850"/>
      <c r="G1538" s="850"/>
      <c r="H1538" s="861">
        <v>4762</v>
      </c>
      <c r="I1538" s="798" t="s">
        <v>131</v>
      </c>
      <c r="J1538" s="798">
        <v>657902106</v>
      </c>
      <c r="K1538" s="798"/>
      <c r="L1538" s="806"/>
      <c r="M1538" s="817">
        <v>43129</v>
      </c>
      <c r="N1538" s="820"/>
      <c r="O1538" s="820"/>
      <c r="P1538" s="820"/>
      <c r="Q1538" s="820">
        <v>657902106</v>
      </c>
      <c r="R1538" s="806"/>
      <c r="S1538" s="850"/>
      <c r="T1538" s="916" t="s">
        <v>2731</v>
      </c>
      <c r="U1538" s="866">
        <v>192734183</v>
      </c>
      <c r="V1538" s="855">
        <v>43227</v>
      </c>
      <c r="W1538" s="842" t="s">
        <v>131</v>
      </c>
      <c r="X1538" s="806"/>
      <c r="Y1538" s="806"/>
      <c r="Z1538" s="827"/>
      <c r="AA1538" s="806"/>
      <c r="AB1538" s="806"/>
      <c r="AC1538" s="798"/>
      <c r="AD1538" s="798"/>
      <c r="AE1538" s="798"/>
      <c r="AF1538" s="857"/>
      <c r="AG1538" s="856"/>
      <c r="AH1538" s="856"/>
      <c r="AI1538" s="856"/>
    </row>
    <row r="1539" spans="1:35" ht="15" customHeight="1">
      <c r="A1539" s="1143"/>
      <c r="B1539" s="850"/>
      <c r="C1539" s="850"/>
      <c r="D1539" s="850"/>
      <c r="E1539" s="850"/>
      <c r="F1539" s="850"/>
      <c r="G1539" s="850"/>
      <c r="H1539" s="798"/>
      <c r="I1539" s="798"/>
      <c r="J1539" s="798"/>
      <c r="K1539" s="798"/>
      <c r="L1539" s="806"/>
      <c r="M1539" s="817"/>
      <c r="N1539" s="820"/>
      <c r="O1539" s="820"/>
      <c r="P1539" s="820"/>
      <c r="Q1539" s="820"/>
      <c r="R1539" s="806"/>
      <c r="S1539" s="850"/>
      <c r="T1539" s="916" t="s">
        <v>2716</v>
      </c>
      <c r="U1539" s="866">
        <v>68731470.900000006</v>
      </c>
      <c r="V1539" s="855">
        <v>43250</v>
      </c>
      <c r="W1539" s="842" t="s">
        <v>131</v>
      </c>
      <c r="X1539" s="806"/>
      <c r="Y1539" s="806"/>
      <c r="Z1539" s="827"/>
      <c r="AA1539" s="806"/>
      <c r="AB1539" s="806"/>
      <c r="AC1539" s="798"/>
      <c r="AD1539" s="798"/>
      <c r="AE1539" s="798"/>
      <c r="AF1539" s="857"/>
      <c r="AG1539" s="856"/>
      <c r="AH1539" s="856"/>
      <c r="AI1539" s="856"/>
    </row>
    <row r="1540" spans="1:35" ht="15" customHeight="1">
      <c r="A1540" s="1144"/>
      <c r="B1540" s="850"/>
      <c r="C1540" s="850"/>
      <c r="D1540" s="850"/>
      <c r="E1540" s="850"/>
      <c r="F1540" s="850"/>
      <c r="G1540" s="850"/>
      <c r="H1540" s="798"/>
      <c r="I1540" s="798"/>
      <c r="J1540" s="798"/>
      <c r="K1540" s="798"/>
      <c r="L1540" s="806"/>
      <c r="M1540" s="817"/>
      <c r="N1540" s="820"/>
      <c r="O1540" s="820"/>
      <c r="P1540" s="820"/>
      <c r="Q1540" s="820"/>
      <c r="R1540" s="806"/>
      <c r="S1540" s="850"/>
      <c r="T1540" s="916"/>
      <c r="U1540" s="866"/>
      <c r="V1540" s="855"/>
      <c r="W1540" s="842"/>
      <c r="X1540" s="806"/>
      <c r="Y1540" s="806"/>
      <c r="Z1540" s="827"/>
      <c r="AA1540" s="806"/>
      <c r="AB1540" s="806"/>
      <c r="AC1540" s="798"/>
      <c r="AD1540" s="798"/>
      <c r="AE1540" s="798"/>
      <c r="AF1540" s="857"/>
      <c r="AG1540" s="856"/>
      <c r="AH1540" s="856"/>
      <c r="AI1540" s="856"/>
    </row>
    <row r="1541" spans="1:35" ht="15" customHeight="1">
      <c r="A1541" s="1011" t="s">
        <v>2205</v>
      </c>
      <c r="B1541" s="1011" t="s">
        <v>2204</v>
      </c>
      <c r="C1541" s="1011" t="s">
        <v>72</v>
      </c>
      <c r="D1541" s="1011" t="s">
        <v>206</v>
      </c>
      <c r="E1541" s="1011" t="s">
        <v>489</v>
      </c>
      <c r="F1541" s="1011" t="s">
        <v>48</v>
      </c>
      <c r="G1541" s="1011"/>
      <c r="H1541" s="1009">
        <v>11</v>
      </c>
      <c r="I1541" s="1065" t="s">
        <v>141</v>
      </c>
      <c r="J1541" s="1062">
        <v>152727250</v>
      </c>
      <c r="K1541" s="1062">
        <v>152727250</v>
      </c>
      <c r="L1541" s="1062">
        <v>214490731</v>
      </c>
      <c r="M1541" s="1068">
        <v>42173</v>
      </c>
      <c r="N1541" s="1092">
        <v>152727250</v>
      </c>
      <c r="O1541" s="1062">
        <v>152727250</v>
      </c>
      <c r="P1541" s="1092">
        <v>0</v>
      </c>
      <c r="Q1541" s="1043">
        <v>150846850</v>
      </c>
      <c r="R1541" s="1043">
        <v>212610331</v>
      </c>
      <c r="S1541" s="1011" t="s">
        <v>2203</v>
      </c>
      <c r="T1541" s="840" t="s">
        <v>2202</v>
      </c>
      <c r="U1541" s="866">
        <v>15084685</v>
      </c>
      <c r="V1541" s="855">
        <v>42366</v>
      </c>
      <c r="W1541" s="842" t="s">
        <v>141</v>
      </c>
      <c r="X1541" s="1043">
        <v>122246235.56</v>
      </c>
      <c r="Y1541" s="1043">
        <v>122246235.56</v>
      </c>
      <c r="Z1541" s="827">
        <v>0</v>
      </c>
      <c r="AA1541" s="1043">
        <v>30481014.439999998</v>
      </c>
      <c r="AB1541" s="1062">
        <v>-3177846.049999997</v>
      </c>
      <c r="AC1541" s="1062">
        <v>1880400</v>
      </c>
      <c r="AD1541" s="1062">
        <v>28600614.439999998</v>
      </c>
      <c r="AE1541" s="1062"/>
      <c r="AF1541" s="1108"/>
      <c r="AG1541" s="1103" t="s">
        <v>2315</v>
      </c>
      <c r="AH1541" s="1103" t="s">
        <v>194</v>
      </c>
      <c r="AI1541" s="1103" t="s">
        <v>1911</v>
      </c>
    </row>
    <row r="1542" spans="1:35" ht="15" customHeight="1">
      <c r="A1542" s="1033"/>
      <c r="B1542" s="1033"/>
      <c r="C1542" s="1033"/>
      <c r="D1542" s="1033"/>
      <c r="E1542" s="1033"/>
      <c r="F1542" s="1033"/>
      <c r="G1542" s="1033"/>
      <c r="H1542" s="1039"/>
      <c r="I1542" s="1066"/>
      <c r="J1542" s="1063"/>
      <c r="K1542" s="1063"/>
      <c r="L1542" s="1063"/>
      <c r="M1542" s="1069"/>
      <c r="N1542" s="1093"/>
      <c r="O1542" s="1063"/>
      <c r="P1542" s="1093"/>
      <c r="Q1542" s="1044"/>
      <c r="R1542" s="1044"/>
      <c r="S1542" s="1033"/>
      <c r="T1542" s="840" t="s">
        <v>2201</v>
      </c>
      <c r="U1542" s="866">
        <v>107161550.56</v>
      </c>
      <c r="V1542" s="855">
        <v>42731</v>
      </c>
      <c r="W1542" s="842" t="s">
        <v>141</v>
      </c>
      <c r="X1542" s="1044"/>
      <c r="Y1542" s="1044"/>
      <c r="Z1542" s="827">
        <v>0</v>
      </c>
      <c r="AA1542" s="1044"/>
      <c r="AB1542" s="1063"/>
      <c r="AC1542" s="1063"/>
      <c r="AD1542" s="1063"/>
      <c r="AE1542" s="1063"/>
      <c r="AF1542" s="1109"/>
      <c r="AG1542" s="1104"/>
      <c r="AH1542" s="1104"/>
      <c r="AI1542" s="1104"/>
    </row>
    <row r="1543" spans="1:35" ht="15" customHeight="1">
      <c r="A1543" s="1033"/>
      <c r="B1543" s="1033"/>
      <c r="C1543" s="1033"/>
      <c r="D1543" s="1033"/>
      <c r="E1543" s="1012"/>
      <c r="F1543" s="1033"/>
      <c r="G1543" s="1033"/>
      <c r="H1543" s="1010"/>
      <c r="I1543" s="1067"/>
      <c r="J1543" s="1064"/>
      <c r="K1543" s="1064"/>
      <c r="L1543" s="1063"/>
      <c r="M1543" s="1070"/>
      <c r="N1543" s="1094"/>
      <c r="O1543" s="1064"/>
      <c r="P1543" s="1094"/>
      <c r="Q1543" s="1045"/>
      <c r="R1543" s="1044"/>
      <c r="S1543" s="1033"/>
      <c r="T1543" s="840"/>
      <c r="U1543" s="866"/>
      <c r="V1543" s="855"/>
      <c r="W1543" s="842"/>
      <c r="X1543" s="1045"/>
      <c r="Y1543" s="1044"/>
      <c r="Z1543" s="827">
        <v>0</v>
      </c>
      <c r="AA1543" s="1045"/>
      <c r="AB1543" s="1063"/>
      <c r="AC1543" s="1064"/>
      <c r="AD1543" s="1064"/>
      <c r="AE1543" s="1064"/>
      <c r="AF1543" s="1109"/>
      <c r="AG1543" s="1104"/>
      <c r="AH1543" s="1104"/>
      <c r="AI1543" s="1104"/>
    </row>
    <row r="1544" spans="1:35" ht="15" customHeight="1">
      <c r="A1544" s="1012"/>
      <c r="B1544" s="1012"/>
      <c r="C1544" s="1012"/>
      <c r="D1544" s="1012"/>
      <c r="E1544" s="823" t="s">
        <v>67</v>
      </c>
      <c r="F1544" s="1012"/>
      <c r="G1544" s="1012"/>
      <c r="H1544" s="861">
        <v>14</v>
      </c>
      <c r="I1544" s="840" t="s">
        <v>141</v>
      </c>
      <c r="J1544" s="858">
        <v>61763481</v>
      </c>
      <c r="K1544" s="858">
        <v>61763481</v>
      </c>
      <c r="L1544" s="1064"/>
      <c r="M1544" s="855">
        <v>42689</v>
      </c>
      <c r="N1544" s="862">
        <v>61763481</v>
      </c>
      <c r="O1544" s="858">
        <v>61763481</v>
      </c>
      <c r="P1544" s="858">
        <v>0</v>
      </c>
      <c r="Q1544" s="827">
        <v>61763481</v>
      </c>
      <c r="R1544" s="1045"/>
      <c r="S1544" s="1012"/>
      <c r="T1544" s="840"/>
      <c r="U1544" s="866"/>
      <c r="V1544" s="855"/>
      <c r="W1544" s="842"/>
      <c r="X1544" s="827">
        <v>0</v>
      </c>
      <c r="Y1544" s="1045"/>
      <c r="Z1544" s="827">
        <v>0</v>
      </c>
      <c r="AA1544" s="827">
        <v>61763481</v>
      </c>
      <c r="AB1544" s="1064"/>
      <c r="AC1544" s="858">
        <v>0</v>
      </c>
      <c r="AD1544" s="858">
        <v>61763481</v>
      </c>
      <c r="AE1544" s="858"/>
      <c r="AF1544" s="1110"/>
      <c r="AG1544" s="1105"/>
      <c r="AH1544" s="1105"/>
      <c r="AI1544" s="1105"/>
    </row>
    <row r="1545" spans="1:35" ht="15" customHeight="1">
      <c r="A1545" s="1011" t="s">
        <v>1857</v>
      </c>
      <c r="B1545" s="1011" t="s">
        <v>1856</v>
      </c>
      <c r="C1545" s="1011" t="s">
        <v>70</v>
      </c>
      <c r="D1545" s="1011" t="s">
        <v>206</v>
      </c>
      <c r="E1545" s="1011" t="s">
        <v>66</v>
      </c>
      <c r="F1545" s="1011" t="s">
        <v>49</v>
      </c>
      <c r="G1545" s="1011" t="s">
        <v>1859</v>
      </c>
      <c r="H1545" s="1167">
        <v>9</v>
      </c>
      <c r="I1545" s="1065" t="s">
        <v>131</v>
      </c>
      <c r="J1545" s="1062">
        <v>161453051</v>
      </c>
      <c r="K1545" s="1062">
        <v>161453051</v>
      </c>
      <c r="L1545" s="1062">
        <v>161453051</v>
      </c>
      <c r="M1545" s="1068">
        <v>42219</v>
      </c>
      <c r="N1545" s="1092">
        <v>161453051</v>
      </c>
      <c r="O1545" s="1062">
        <v>161453051</v>
      </c>
      <c r="P1545" s="1062">
        <v>0</v>
      </c>
      <c r="Q1545" s="1043">
        <v>161430240</v>
      </c>
      <c r="R1545" s="1062">
        <v>161430240</v>
      </c>
      <c r="S1545" s="1011" t="s">
        <v>1858</v>
      </c>
      <c r="T1545" s="840" t="s">
        <v>1860</v>
      </c>
      <c r="U1545" s="866">
        <v>16143024</v>
      </c>
      <c r="V1545" s="855">
        <v>42366</v>
      </c>
      <c r="W1545" s="842" t="s">
        <v>131</v>
      </c>
      <c r="X1545" s="1043">
        <v>113001168</v>
      </c>
      <c r="Y1545" s="1043">
        <v>113001168</v>
      </c>
      <c r="Z1545" s="827">
        <v>0</v>
      </c>
      <c r="AA1545" s="1043">
        <v>48451883</v>
      </c>
      <c r="AB1545" s="1062">
        <v>0</v>
      </c>
      <c r="AC1545" s="1062">
        <v>22811</v>
      </c>
      <c r="AD1545" s="1062">
        <v>48429072</v>
      </c>
      <c r="AE1545" s="1062"/>
      <c r="AF1545" s="1108"/>
      <c r="AG1545" s="1103" t="s">
        <v>1767</v>
      </c>
      <c r="AH1545" s="1103" t="s">
        <v>194</v>
      </c>
      <c r="AI1545" s="1103" t="s">
        <v>1619</v>
      </c>
    </row>
    <row r="1546" spans="1:35" ht="15" customHeight="1">
      <c r="A1546" s="1033"/>
      <c r="B1546" s="1033"/>
      <c r="C1546" s="1033"/>
      <c r="D1546" s="1033"/>
      <c r="E1546" s="1033"/>
      <c r="F1546" s="1033"/>
      <c r="G1546" s="1033"/>
      <c r="H1546" s="1168"/>
      <c r="I1546" s="1066"/>
      <c r="J1546" s="1063"/>
      <c r="K1546" s="1063"/>
      <c r="L1546" s="1063"/>
      <c r="M1546" s="1069"/>
      <c r="N1546" s="1093"/>
      <c r="O1546" s="1063"/>
      <c r="P1546" s="1063"/>
      <c r="Q1546" s="1044"/>
      <c r="R1546" s="1063"/>
      <c r="S1546" s="1033"/>
      <c r="T1546" s="840" t="s">
        <v>1861</v>
      </c>
      <c r="U1546" s="866">
        <v>96858144</v>
      </c>
      <c r="V1546" s="855">
        <v>42895</v>
      </c>
      <c r="W1546" s="842" t="s">
        <v>131</v>
      </c>
      <c r="X1546" s="1044"/>
      <c r="Y1546" s="1044"/>
      <c r="Z1546" s="827">
        <v>0</v>
      </c>
      <c r="AA1546" s="1044"/>
      <c r="AB1546" s="1063"/>
      <c r="AC1546" s="1063"/>
      <c r="AD1546" s="1063"/>
      <c r="AE1546" s="1063"/>
      <c r="AF1546" s="1109"/>
      <c r="AG1546" s="1104"/>
      <c r="AH1546" s="1104"/>
      <c r="AI1546" s="1104"/>
    </row>
    <row r="1547" spans="1:35" ht="15" customHeight="1">
      <c r="A1547" s="1012"/>
      <c r="B1547" s="1012"/>
      <c r="C1547" s="1012"/>
      <c r="D1547" s="1012"/>
      <c r="E1547" s="1012"/>
      <c r="F1547" s="1012"/>
      <c r="G1547" s="1012"/>
      <c r="H1547" s="1169"/>
      <c r="I1547" s="1067"/>
      <c r="J1547" s="1064"/>
      <c r="K1547" s="1064"/>
      <c r="L1547" s="1064"/>
      <c r="M1547" s="1070"/>
      <c r="N1547" s="1094"/>
      <c r="O1547" s="1064"/>
      <c r="P1547" s="1064"/>
      <c r="Q1547" s="1045"/>
      <c r="R1547" s="1064"/>
      <c r="S1547" s="1012"/>
      <c r="T1547" s="840"/>
      <c r="U1547" s="866"/>
      <c r="V1547" s="855"/>
      <c r="W1547" s="842"/>
      <c r="X1547" s="1045"/>
      <c r="Y1547" s="1045"/>
      <c r="Z1547" s="827">
        <v>0</v>
      </c>
      <c r="AA1547" s="1045"/>
      <c r="AB1547" s="1064"/>
      <c r="AC1547" s="1064"/>
      <c r="AD1547" s="1064"/>
      <c r="AE1547" s="1064"/>
      <c r="AF1547" s="1110"/>
      <c r="AG1547" s="1105"/>
      <c r="AH1547" s="1105"/>
      <c r="AI1547" s="1105"/>
    </row>
    <row r="1548" spans="1:35" ht="15" customHeight="1">
      <c r="A1548" s="1011" t="s">
        <v>2011</v>
      </c>
      <c r="B1548" s="1011" t="s">
        <v>2012</v>
      </c>
      <c r="C1548" s="1011" t="s">
        <v>70</v>
      </c>
      <c r="D1548" s="1011" t="s">
        <v>206</v>
      </c>
      <c r="E1548" s="1011" t="s">
        <v>66</v>
      </c>
      <c r="F1548" s="1011" t="s">
        <v>49</v>
      </c>
      <c r="G1548" s="1011" t="s">
        <v>2014</v>
      </c>
      <c r="H1548" s="1145">
        <v>11</v>
      </c>
      <c r="I1548" s="1065" t="s">
        <v>161</v>
      </c>
      <c r="J1548" s="1062">
        <v>118192388</v>
      </c>
      <c r="K1548" s="1062">
        <v>118192388</v>
      </c>
      <c r="L1548" s="1062">
        <v>118192388</v>
      </c>
      <c r="M1548" s="1068">
        <v>42208</v>
      </c>
      <c r="N1548" s="1092">
        <v>118192388</v>
      </c>
      <c r="O1548" s="1092">
        <v>118192388</v>
      </c>
      <c r="P1548" s="1092">
        <v>0</v>
      </c>
      <c r="Q1548" s="1043">
        <v>118192388</v>
      </c>
      <c r="R1548" s="1043">
        <v>118192388</v>
      </c>
      <c r="S1548" s="1011" t="s">
        <v>1934</v>
      </c>
      <c r="T1548" s="840" t="s">
        <v>2015</v>
      </c>
      <c r="U1548" s="866">
        <v>88644291</v>
      </c>
      <c r="V1548" s="855">
        <v>43055</v>
      </c>
      <c r="W1548" s="842" t="s">
        <v>161</v>
      </c>
      <c r="X1548" s="1043">
        <v>88644291</v>
      </c>
      <c r="Y1548" s="1043">
        <v>88644291</v>
      </c>
      <c r="Z1548" s="827">
        <v>0</v>
      </c>
      <c r="AA1548" s="1043">
        <v>29548097</v>
      </c>
      <c r="AB1548" s="1062">
        <v>0</v>
      </c>
      <c r="AC1548" s="1062">
        <v>0</v>
      </c>
      <c r="AD1548" s="1062">
        <v>29548097</v>
      </c>
      <c r="AE1548" s="1062"/>
      <c r="AF1548" s="1103"/>
      <c r="AG1548" s="1103" t="s">
        <v>2016</v>
      </c>
      <c r="AH1548" s="1103" t="s">
        <v>194</v>
      </c>
      <c r="AI1548" s="1103" t="s">
        <v>1911</v>
      </c>
    </row>
    <row r="1549" spans="1:35" ht="15" customHeight="1">
      <c r="A1549" s="1012"/>
      <c r="B1549" s="1012"/>
      <c r="C1549" s="1012"/>
      <c r="D1549" s="1012"/>
      <c r="E1549" s="1012"/>
      <c r="F1549" s="1012"/>
      <c r="G1549" s="1012"/>
      <c r="H1549" s="1147"/>
      <c r="I1549" s="1067"/>
      <c r="J1549" s="1064"/>
      <c r="K1549" s="1064"/>
      <c r="L1549" s="1064"/>
      <c r="M1549" s="1070"/>
      <c r="N1549" s="1094"/>
      <c r="O1549" s="1094"/>
      <c r="P1549" s="1094"/>
      <c r="Q1549" s="1045"/>
      <c r="R1549" s="1045"/>
      <c r="S1549" s="1012"/>
      <c r="T1549" s="840"/>
      <c r="U1549" s="866"/>
      <c r="V1549" s="855"/>
      <c r="W1549" s="842"/>
      <c r="X1549" s="1045"/>
      <c r="Y1549" s="1045"/>
      <c r="Z1549" s="827">
        <v>0</v>
      </c>
      <c r="AA1549" s="1045"/>
      <c r="AB1549" s="1064"/>
      <c r="AC1549" s="1064"/>
      <c r="AD1549" s="1064"/>
      <c r="AE1549" s="1064"/>
      <c r="AF1549" s="1105"/>
      <c r="AG1549" s="1105"/>
      <c r="AH1549" s="1105"/>
      <c r="AI1549" s="1105"/>
    </row>
    <row r="1550" spans="1:35" ht="15" customHeight="1">
      <c r="A1550" s="1011" t="s">
        <v>1910</v>
      </c>
      <c r="B1550" s="1011" t="s">
        <v>1912</v>
      </c>
      <c r="C1550" s="1011" t="s">
        <v>70</v>
      </c>
      <c r="D1550" s="1011" t="s">
        <v>206</v>
      </c>
      <c r="E1550" s="1011" t="s">
        <v>66</v>
      </c>
      <c r="F1550" s="1011" t="s">
        <v>49</v>
      </c>
      <c r="G1550" s="1011" t="s">
        <v>1915</v>
      </c>
      <c r="H1550" s="1145">
        <v>10</v>
      </c>
      <c r="I1550" s="1065" t="s">
        <v>164</v>
      </c>
      <c r="J1550" s="1062">
        <v>4240000</v>
      </c>
      <c r="K1550" s="1062">
        <v>4240000</v>
      </c>
      <c r="L1550" s="1062">
        <v>36720000</v>
      </c>
      <c r="M1550" s="1068">
        <v>42164</v>
      </c>
      <c r="N1550" s="1092">
        <v>4240000</v>
      </c>
      <c r="O1550" s="1092">
        <v>4240000</v>
      </c>
      <c r="P1550" s="1092">
        <v>0</v>
      </c>
      <c r="Q1550" s="1043">
        <v>4238626</v>
      </c>
      <c r="R1550" s="1043">
        <v>36708100</v>
      </c>
      <c r="S1550" s="1011" t="s">
        <v>1914</v>
      </c>
      <c r="T1550" s="840" t="s">
        <v>1917</v>
      </c>
      <c r="U1550" s="866">
        <v>423862.6</v>
      </c>
      <c r="V1550" s="855">
        <v>42366</v>
      </c>
      <c r="W1550" s="842" t="s">
        <v>164</v>
      </c>
      <c r="X1550" s="1043">
        <v>3509182.58</v>
      </c>
      <c r="Y1550" s="1043">
        <v>31917693.060000002</v>
      </c>
      <c r="Z1550" s="827"/>
      <c r="AA1550" s="1043">
        <v>730817.41999999993</v>
      </c>
      <c r="AB1550" s="1062"/>
      <c r="AC1550" s="1062">
        <v>1374</v>
      </c>
      <c r="AD1550" s="1062"/>
      <c r="AE1550" s="1062"/>
      <c r="AF1550" s="1108"/>
      <c r="AG1550" s="1103" t="s">
        <v>1916</v>
      </c>
      <c r="AH1550" s="1103" t="s">
        <v>194</v>
      </c>
      <c r="AI1550" s="1103" t="s">
        <v>1911</v>
      </c>
    </row>
    <row r="1551" spans="1:35" ht="15" customHeight="1">
      <c r="A1551" s="1033"/>
      <c r="B1551" s="1033"/>
      <c r="C1551" s="1033"/>
      <c r="D1551" s="1033"/>
      <c r="E1551" s="1033"/>
      <c r="F1551" s="1033"/>
      <c r="G1551" s="1033"/>
      <c r="H1551" s="1146"/>
      <c r="I1551" s="1066"/>
      <c r="J1551" s="1063"/>
      <c r="K1551" s="1063"/>
      <c r="L1551" s="1063"/>
      <c r="M1551" s="1069"/>
      <c r="N1551" s="1093"/>
      <c r="O1551" s="1093"/>
      <c r="P1551" s="1093"/>
      <c r="Q1551" s="1044"/>
      <c r="R1551" s="1044"/>
      <c r="S1551" s="1033"/>
      <c r="T1551" s="840" t="s">
        <v>1918</v>
      </c>
      <c r="U1551" s="866">
        <v>118332.56</v>
      </c>
      <c r="V1551" s="1068">
        <v>42822</v>
      </c>
      <c r="W1551" s="842" t="s">
        <v>164</v>
      </c>
      <c r="X1551" s="1044"/>
      <c r="Y1551" s="1044"/>
      <c r="Z1551" s="827"/>
      <c r="AA1551" s="1044"/>
      <c r="AB1551" s="1063"/>
      <c r="AC1551" s="1063"/>
      <c r="AD1551" s="1063"/>
      <c r="AE1551" s="1063"/>
      <c r="AF1551" s="1109"/>
      <c r="AG1551" s="1104"/>
      <c r="AH1551" s="1104"/>
      <c r="AI1551" s="1104"/>
    </row>
    <row r="1552" spans="1:35" ht="15" customHeight="1">
      <c r="A1552" s="1033"/>
      <c r="B1552" s="1033"/>
      <c r="C1552" s="1033"/>
      <c r="D1552" s="1033"/>
      <c r="E1552" s="1033"/>
      <c r="F1552" s="1033"/>
      <c r="G1552" s="1033"/>
      <c r="H1552" s="1146"/>
      <c r="I1552" s="1066"/>
      <c r="J1552" s="1063"/>
      <c r="K1552" s="1063"/>
      <c r="L1552" s="1063"/>
      <c r="M1552" s="1069"/>
      <c r="N1552" s="1093"/>
      <c r="O1552" s="1093"/>
      <c r="P1552" s="1093"/>
      <c r="Q1552" s="1044"/>
      <c r="R1552" s="1044"/>
      <c r="S1552" s="1033"/>
      <c r="T1552" s="840" t="s">
        <v>1919</v>
      </c>
      <c r="U1552" s="866">
        <v>2966987.42</v>
      </c>
      <c r="V1552" s="1070"/>
      <c r="W1552" s="842" t="s">
        <v>164</v>
      </c>
      <c r="X1552" s="1044"/>
      <c r="Y1552" s="1044"/>
      <c r="Z1552" s="827"/>
      <c r="AA1552" s="1044"/>
      <c r="AB1552" s="1063"/>
      <c r="AC1552" s="1063"/>
      <c r="AD1552" s="1063"/>
      <c r="AE1552" s="1063"/>
      <c r="AF1552" s="1109"/>
      <c r="AG1552" s="1104"/>
      <c r="AH1552" s="1104"/>
      <c r="AI1552" s="1104"/>
    </row>
    <row r="1553" spans="1:35" ht="15" customHeight="1">
      <c r="A1553" s="1033"/>
      <c r="B1553" s="1033"/>
      <c r="C1553" s="1033"/>
      <c r="D1553" s="1033"/>
      <c r="E1553" s="1033"/>
      <c r="F1553" s="1033"/>
      <c r="G1553" s="1033"/>
      <c r="H1553" s="1147"/>
      <c r="I1553" s="1067"/>
      <c r="J1553" s="1064"/>
      <c r="K1553" s="1064"/>
      <c r="L1553" s="1063"/>
      <c r="M1553" s="1070"/>
      <c r="N1553" s="1094"/>
      <c r="O1553" s="1094"/>
      <c r="P1553" s="1094"/>
      <c r="Q1553" s="1045"/>
      <c r="R1553" s="1044"/>
      <c r="S1553" s="1033"/>
      <c r="T1553" s="840"/>
      <c r="U1553" s="866"/>
      <c r="V1553" s="855"/>
      <c r="W1553" s="842"/>
      <c r="X1553" s="1045"/>
      <c r="Y1553" s="1044"/>
      <c r="Z1553" s="827"/>
      <c r="AA1553" s="1045"/>
      <c r="AB1553" s="1063"/>
      <c r="AC1553" s="1064"/>
      <c r="AD1553" s="1064"/>
      <c r="AE1553" s="1064"/>
      <c r="AF1553" s="1109"/>
      <c r="AG1553" s="1104"/>
      <c r="AH1553" s="1104"/>
      <c r="AI1553" s="1104"/>
    </row>
    <row r="1554" spans="1:35" s="29" customFormat="1" ht="15" customHeight="1">
      <c r="A1554" s="1033"/>
      <c r="B1554" s="1033"/>
      <c r="C1554" s="1033"/>
      <c r="D1554" s="1033"/>
      <c r="E1554" s="1033"/>
      <c r="F1554" s="1033"/>
      <c r="G1554" s="1033"/>
      <c r="H1554" s="1161">
        <v>9</v>
      </c>
      <c r="I1554" s="1157" t="s">
        <v>146</v>
      </c>
      <c r="J1554" s="1043">
        <v>4240000</v>
      </c>
      <c r="K1554" s="1043">
        <v>4240000</v>
      </c>
      <c r="L1554" s="1063"/>
      <c r="M1554" s="1120">
        <v>42164</v>
      </c>
      <c r="N1554" s="1150">
        <v>4240000</v>
      </c>
      <c r="O1554" s="1150">
        <v>4240000</v>
      </c>
      <c r="P1554" s="1150">
        <v>0</v>
      </c>
      <c r="Q1554" s="1043">
        <v>4238626</v>
      </c>
      <c r="R1554" s="1044"/>
      <c r="S1554" s="1033"/>
      <c r="T1554" s="878" t="s">
        <v>1917</v>
      </c>
      <c r="U1554" s="866">
        <v>423862.6</v>
      </c>
      <c r="V1554" s="855">
        <v>42366</v>
      </c>
      <c r="W1554" s="842" t="s">
        <v>146</v>
      </c>
      <c r="X1554" s="1043">
        <v>3643750.54</v>
      </c>
      <c r="Y1554" s="1044"/>
      <c r="Z1554" s="827"/>
      <c r="AA1554" s="1043">
        <v>596249.46</v>
      </c>
      <c r="AB1554" s="1063"/>
      <c r="AC1554" s="1043">
        <v>1374</v>
      </c>
      <c r="AD1554" s="1043"/>
      <c r="AE1554" s="1043"/>
      <c r="AF1554" s="1109"/>
      <c r="AG1554" s="1104"/>
      <c r="AH1554" s="1104"/>
      <c r="AI1554" s="1104"/>
    </row>
    <row r="1555" spans="1:35" s="29" customFormat="1" ht="15" customHeight="1">
      <c r="A1555" s="1033"/>
      <c r="B1555" s="1033"/>
      <c r="C1555" s="1033"/>
      <c r="D1555" s="1033"/>
      <c r="E1555" s="1033"/>
      <c r="F1555" s="1033"/>
      <c r="G1555" s="1033"/>
      <c r="H1555" s="1162"/>
      <c r="I1555" s="1158"/>
      <c r="J1555" s="1044"/>
      <c r="K1555" s="1044"/>
      <c r="L1555" s="1063"/>
      <c r="M1555" s="1121"/>
      <c r="N1555" s="1151"/>
      <c r="O1555" s="1151"/>
      <c r="P1555" s="1151"/>
      <c r="Q1555" s="1044"/>
      <c r="R1555" s="1044"/>
      <c r="S1555" s="1033"/>
      <c r="T1555" s="840" t="s">
        <v>1918</v>
      </c>
      <c r="U1555" s="866">
        <v>1623439.52</v>
      </c>
      <c r="V1555" s="1068">
        <v>42822</v>
      </c>
      <c r="W1555" s="842" t="s">
        <v>146</v>
      </c>
      <c r="X1555" s="1044"/>
      <c r="Y1555" s="1044"/>
      <c r="Z1555" s="827"/>
      <c r="AA1555" s="1044"/>
      <c r="AB1555" s="1063"/>
      <c r="AC1555" s="1044"/>
      <c r="AD1555" s="1044"/>
      <c r="AE1555" s="1044"/>
      <c r="AF1555" s="1109"/>
      <c r="AG1555" s="1104"/>
      <c r="AH1555" s="1104"/>
      <c r="AI1555" s="1104"/>
    </row>
    <row r="1556" spans="1:35" s="29" customFormat="1" ht="15" customHeight="1">
      <c r="A1556" s="1033"/>
      <c r="B1556" s="1033"/>
      <c r="C1556" s="1033"/>
      <c r="D1556" s="1033"/>
      <c r="E1556" s="1033"/>
      <c r="F1556" s="1033"/>
      <c r="G1556" s="1033"/>
      <c r="H1556" s="1162"/>
      <c r="I1556" s="1158"/>
      <c r="J1556" s="1044"/>
      <c r="K1556" s="1044"/>
      <c r="L1556" s="1063"/>
      <c r="M1556" s="1121"/>
      <c r="N1556" s="1151"/>
      <c r="O1556" s="1151"/>
      <c r="P1556" s="1151"/>
      <c r="Q1556" s="1044"/>
      <c r="R1556" s="1044"/>
      <c r="S1556" s="1033"/>
      <c r="T1556" s="840" t="s">
        <v>1919</v>
      </c>
      <c r="U1556" s="866">
        <v>1596448.42</v>
      </c>
      <c r="V1556" s="1070"/>
      <c r="W1556" s="842" t="s">
        <v>146</v>
      </c>
      <c r="X1556" s="1044"/>
      <c r="Y1556" s="1044"/>
      <c r="Z1556" s="827"/>
      <c r="AA1556" s="1044"/>
      <c r="AB1556" s="1063"/>
      <c r="AC1556" s="1044"/>
      <c r="AD1556" s="1044"/>
      <c r="AE1556" s="1044"/>
      <c r="AF1556" s="1109"/>
      <c r="AG1556" s="1104"/>
      <c r="AH1556" s="1104"/>
      <c r="AI1556" s="1104"/>
    </row>
    <row r="1557" spans="1:35" s="29" customFormat="1" ht="15" customHeight="1">
      <c r="A1557" s="1033"/>
      <c r="B1557" s="1033"/>
      <c r="C1557" s="1033"/>
      <c r="D1557" s="1033"/>
      <c r="E1557" s="1033"/>
      <c r="F1557" s="1033"/>
      <c r="G1557" s="1033"/>
      <c r="H1557" s="1163"/>
      <c r="I1557" s="1159"/>
      <c r="J1557" s="1045"/>
      <c r="K1557" s="1045"/>
      <c r="L1557" s="1063"/>
      <c r="M1557" s="1160"/>
      <c r="N1557" s="1152"/>
      <c r="O1557" s="1152"/>
      <c r="P1557" s="1152"/>
      <c r="Q1557" s="1045"/>
      <c r="R1557" s="1044"/>
      <c r="S1557" s="1033"/>
      <c r="T1557" s="878"/>
      <c r="U1557" s="866"/>
      <c r="V1557" s="881"/>
      <c r="W1557" s="842"/>
      <c r="X1557" s="1045"/>
      <c r="Y1557" s="1044"/>
      <c r="Z1557" s="827"/>
      <c r="AA1557" s="1045"/>
      <c r="AB1557" s="1063"/>
      <c r="AC1557" s="1045"/>
      <c r="AD1557" s="1045"/>
      <c r="AE1557" s="1045"/>
      <c r="AF1557" s="1109"/>
      <c r="AG1557" s="1104"/>
      <c r="AH1557" s="1104"/>
      <c r="AI1557" s="1104"/>
    </row>
    <row r="1558" spans="1:35" ht="15" customHeight="1">
      <c r="A1558" s="1033"/>
      <c r="B1558" s="1033"/>
      <c r="C1558" s="1033"/>
      <c r="D1558" s="1033"/>
      <c r="E1558" s="1033"/>
      <c r="F1558" s="1033"/>
      <c r="G1558" s="1033"/>
      <c r="H1558" s="1145">
        <v>11</v>
      </c>
      <c r="I1558" s="1065" t="s">
        <v>132</v>
      </c>
      <c r="J1558" s="1062">
        <v>4240000</v>
      </c>
      <c r="K1558" s="1062">
        <v>4240000</v>
      </c>
      <c r="L1558" s="1063"/>
      <c r="M1558" s="1068">
        <v>42164</v>
      </c>
      <c r="N1558" s="1092">
        <v>4240000</v>
      </c>
      <c r="O1558" s="1092">
        <v>4240000</v>
      </c>
      <c r="P1558" s="1092">
        <v>0</v>
      </c>
      <c r="Q1558" s="1043">
        <v>4238626</v>
      </c>
      <c r="R1558" s="1044"/>
      <c r="S1558" s="1033"/>
      <c r="T1558" s="840" t="s">
        <v>1917</v>
      </c>
      <c r="U1558" s="866">
        <v>423862.6</v>
      </c>
      <c r="V1558" s="855">
        <v>42366</v>
      </c>
      <c r="W1558" s="842" t="s">
        <v>132</v>
      </c>
      <c r="X1558" s="1043">
        <v>3918887.18</v>
      </c>
      <c r="Y1558" s="1044"/>
      <c r="Z1558" s="827"/>
      <c r="AA1558" s="1043">
        <v>321112.81999999983</v>
      </c>
      <c r="AB1558" s="1063"/>
      <c r="AC1558" s="1062">
        <v>1374</v>
      </c>
      <c r="AD1558" s="1062"/>
      <c r="AE1558" s="1062"/>
      <c r="AF1558" s="1109"/>
      <c r="AG1558" s="1104"/>
      <c r="AH1558" s="1104"/>
      <c r="AI1558" s="1104"/>
    </row>
    <row r="1559" spans="1:35" ht="15" customHeight="1">
      <c r="A1559" s="1033"/>
      <c r="B1559" s="1033"/>
      <c r="C1559" s="1033"/>
      <c r="D1559" s="1033"/>
      <c r="E1559" s="1033"/>
      <c r="F1559" s="1033"/>
      <c r="G1559" s="1033"/>
      <c r="H1559" s="1146"/>
      <c r="I1559" s="1066"/>
      <c r="J1559" s="1063"/>
      <c r="K1559" s="1063"/>
      <c r="L1559" s="1063"/>
      <c r="M1559" s="1069"/>
      <c r="N1559" s="1093"/>
      <c r="O1559" s="1093"/>
      <c r="P1559" s="1093"/>
      <c r="Q1559" s="1044"/>
      <c r="R1559" s="1044"/>
      <c r="S1559" s="1033"/>
      <c r="T1559" s="840" t="s">
        <v>1918</v>
      </c>
      <c r="U1559" s="866">
        <v>2593702.56</v>
      </c>
      <c r="V1559" s="1068">
        <v>42822</v>
      </c>
      <c r="W1559" s="842" t="s">
        <v>132</v>
      </c>
      <c r="X1559" s="1044"/>
      <c r="Y1559" s="1044"/>
      <c r="Z1559" s="827"/>
      <c r="AA1559" s="1044"/>
      <c r="AB1559" s="1063"/>
      <c r="AC1559" s="1063"/>
      <c r="AD1559" s="1063"/>
      <c r="AE1559" s="1063"/>
      <c r="AF1559" s="1109"/>
      <c r="AG1559" s="1104"/>
      <c r="AH1559" s="1104"/>
      <c r="AI1559" s="1104"/>
    </row>
    <row r="1560" spans="1:35" ht="15" customHeight="1">
      <c r="A1560" s="1033"/>
      <c r="B1560" s="1033"/>
      <c r="C1560" s="1033"/>
      <c r="D1560" s="1033"/>
      <c r="E1560" s="1033"/>
      <c r="F1560" s="1033"/>
      <c r="G1560" s="1033"/>
      <c r="H1560" s="1146"/>
      <c r="I1560" s="1066"/>
      <c r="J1560" s="1063"/>
      <c r="K1560" s="1063"/>
      <c r="L1560" s="1063"/>
      <c r="M1560" s="1069"/>
      <c r="N1560" s="1093"/>
      <c r="O1560" s="1093"/>
      <c r="P1560" s="1093"/>
      <c r="Q1560" s="1044"/>
      <c r="R1560" s="1044"/>
      <c r="S1560" s="1033"/>
      <c r="T1560" s="840" t="s">
        <v>1919</v>
      </c>
      <c r="U1560" s="866">
        <v>901322.02</v>
      </c>
      <c r="V1560" s="1070"/>
      <c r="W1560" s="842" t="s">
        <v>132</v>
      </c>
      <c r="X1560" s="1044"/>
      <c r="Y1560" s="1044"/>
      <c r="Z1560" s="827"/>
      <c r="AA1560" s="1044"/>
      <c r="AB1560" s="1063"/>
      <c r="AC1560" s="1063"/>
      <c r="AD1560" s="1063"/>
      <c r="AE1560" s="1063"/>
      <c r="AF1560" s="1109"/>
      <c r="AG1560" s="1104"/>
      <c r="AH1560" s="1104"/>
      <c r="AI1560" s="1104"/>
    </row>
    <row r="1561" spans="1:35" ht="15" customHeight="1">
      <c r="A1561" s="1033"/>
      <c r="B1561" s="1033"/>
      <c r="C1561" s="1033"/>
      <c r="D1561" s="1033"/>
      <c r="E1561" s="1033"/>
      <c r="F1561" s="1033"/>
      <c r="G1561" s="1033"/>
      <c r="H1561" s="1147"/>
      <c r="I1561" s="1067"/>
      <c r="J1561" s="1064"/>
      <c r="K1561" s="1064"/>
      <c r="L1561" s="1063"/>
      <c r="M1561" s="1070"/>
      <c r="N1561" s="1094"/>
      <c r="O1561" s="1094"/>
      <c r="P1561" s="1094"/>
      <c r="Q1561" s="1045"/>
      <c r="R1561" s="1044"/>
      <c r="S1561" s="1033"/>
      <c r="T1561" s="840"/>
      <c r="U1561" s="866"/>
      <c r="V1561" s="855"/>
      <c r="W1561" s="842"/>
      <c r="X1561" s="1045"/>
      <c r="Y1561" s="1044"/>
      <c r="Z1561" s="827"/>
      <c r="AA1561" s="1045"/>
      <c r="AB1561" s="1063"/>
      <c r="AC1561" s="1064"/>
      <c r="AD1561" s="1064"/>
      <c r="AE1561" s="1064"/>
      <c r="AF1561" s="1109"/>
      <c r="AG1561" s="1104"/>
      <c r="AH1561" s="1104"/>
      <c r="AI1561" s="1104"/>
    </row>
    <row r="1562" spans="1:35" ht="15" customHeight="1">
      <c r="A1562" s="1033"/>
      <c r="B1562" s="1033"/>
      <c r="C1562" s="1033"/>
      <c r="D1562" s="1033"/>
      <c r="E1562" s="1033"/>
      <c r="F1562" s="1033"/>
      <c r="G1562" s="1033"/>
      <c r="H1562" s="1145">
        <v>8</v>
      </c>
      <c r="I1562" s="1065" t="s">
        <v>133</v>
      </c>
      <c r="J1562" s="1062">
        <v>4240000</v>
      </c>
      <c r="K1562" s="1062">
        <v>4240000</v>
      </c>
      <c r="L1562" s="1063"/>
      <c r="M1562" s="1068">
        <v>42164</v>
      </c>
      <c r="N1562" s="1092">
        <v>4240000</v>
      </c>
      <c r="O1562" s="1092">
        <v>4240000</v>
      </c>
      <c r="P1562" s="1092">
        <v>0</v>
      </c>
      <c r="Q1562" s="1043">
        <v>4238626</v>
      </c>
      <c r="R1562" s="1044"/>
      <c r="S1562" s="1033"/>
      <c r="T1562" s="840" t="s">
        <v>1917</v>
      </c>
      <c r="U1562" s="866">
        <v>423862.6</v>
      </c>
      <c r="V1562" s="855">
        <v>42366</v>
      </c>
      <c r="W1562" s="842" t="s">
        <v>133</v>
      </c>
      <c r="X1562" s="1043">
        <v>3918888.18</v>
      </c>
      <c r="Y1562" s="1044"/>
      <c r="Z1562" s="827"/>
      <c r="AA1562" s="1043">
        <v>321111.81999999983</v>
      </c>
      <c r="AB1562" s="1063"/>
      <c r="AC1562" s="1062">
        <v>1374</v>
      </c>
      <c r="AD1562" s="1062"/>
      <c r="AE1562" s="1062"/>
      <c r="AF1562" s="1109"/>
      <c r="AG1562" s="1104"/>
      <c r="AH1562" s="1104"/>
      <c r="AI1562" s="1104"/>
    </row>
    <row r="1563" spans="1:35" ht="15" customHeight="1">
      <c r="A1563" s="1033"/>
      <c r="B1563" s="1033"/>
      <c r="C1563" s="1033"/>
      <c r="D1563" s="1033"/>
      <c r="E1563" s="1033"/>
      <c r="F1563" s="1033"/>
      <c r="G1563" s="1033"/>
      <c r="H1563" s="1146"/>
      <c r="I1563" s="1066"/>
      <c r="J1563" s="1063"/>
      <c r="K1563" s="1063"/>
      <c r="L1563" s="1063"/>
      <c r="M1563" s="1069"/>
      <c r="N1563" s="1093"/>
      <c r="O1563" s="1093"/>
      <c r="P1563" s="1093"/>
      <c r="Q1563" s="1044"/>
      <c r="R1563" s="1044"/>
      <c r="S1563" s="1033"/>
      <c r="T1563" s="840" t="s">
        <v>1918</v>
      </c>
      <c r="U1563" s="866">
        <v>2818400.56</v>
      </c>
      <c r="V1563" s="1068">
        <v>42822</v>
      </c>
      <c r="W1563" s="842" t="s">
        <v>133</v>
      </c>
      <c r="X1563" s="1044"/>
      <c r="Y1563" s="1044"/>
      <c r="Z1563" s="827"/>
      <c r="AA1563" s="1044"/>
      <c r="AB1563" s="1063"/>
      <c r="AC1563" s="1063"/>
      <c r="AD1563" s="1063"/>
      <c r="AE1563" s="1063"/>
      <c r="AF1563" s="1109"/>
      <c r="AG1563" s="1104"/>
      <c r="AH1563" s="1104"/>
      <c r="AI1563" s="1104"/>
    </row>
    <row r="1564" spans="1:35" ht="15" customHeight="1">
      <c r="A1564" s="1033"/>
      <c r="B1564" s="1033"/>
      <c r="C1564" s="1033"/>
      <c r="D1564" s="1033"/>
      <c r="E1564" s="1033"/>
      <c r="F1564" s="1033"/>
      <c r="G1564" s="1033"/>
      <c r="H1564" s="1146"/>
      <c r="I1564" s="1066"/>
      <c r="J1564" s="1063"/>
      <c r="K1564" s="1063"/>
      <c r="L1564" s="1063"/>
      <c r="M1564" s="1069"/>
      <c r="N1564" s="1093"/>
      <c r="O1564" s="1093"/>
      <c r="P1564" s="1093"/>
      <c r="Q1564" s="1044"/>
      <c r="R1564" s="1044"/>
      <c r="S1564" s="1033"/>
      <c r="T1564" s="840" t="s">
        <v>1919</v>
      </c>
      <c r="U1564" s="866">
        <v>676625.02</v>
      </c>
      <c r="V1564" s="1070"/>
      <c r="W1564" s="842" t="s">
        <v>133</v>
      </c>
      <c r="X1564" s="1044"/>
      <c r="Y1564" s="1044"/>
      <c r="Z1564" s="827"/>
      <c r="AA1564" s="1044"/>
      <c r="AB1564" s="1063"/>
      <c r="AC1564" s="1063"/>
      <c r="AD1564" s="1063"/>
      <c r="AE1564" s="1063"/>
      <c r="AF1564" s="1109"/>
      <c r="AG1564" s="1104"/>
      <c r="AH1564" s="1104"/>
      <c r="AI1564" s="1104"/>
    </row>
    <row r="1565" spans="1:35" ht="15" customHeight="1">
      <c r="A1565" s="1033"/>
      <c r="B1565" s="1033"/>
      <c r="C1565" s="1033"/>
      <c r="D1565" s="1033"/>
      <c r="E1565" s="1033"/>
      <c r="F1565" s="1033"/>
      <c r="G1565" s="1033"/>
      <c r="H1565" s="1147"/>
      <c r="I1565" s="1067"/>
      <c r="J1565" s="1064"/>
      <c r="K1565" s="1064"/>
      <c r="L1565" s="1063"/>
      <c r="M1565" s="1070"/>
      <c r="N1565" s="1094"/>
      <c r="O1565" s="1094"/>
      <c r="P1565" s="1094"/>
      <c r="Q1565" s="1045"/>
      <c r="R1565" s="1044"/>
      <c r="S1565" s="1033"/>
      <c r="T1565" s="840"/>
      <c r="U1565" s="866"/>
      <c r="V1565" s="855"/>
      <c r="W1565" s="842"/>
      <c r="X1565" s="1045"/>
      <c r="Y1565" s="1044"/>
      <c r="Z1565" s="827"/>
      <c r="AA1565" s="1045"/>
      <c r="AB1565" s="1063"/>
      <c r="AC1565" s="1064"/>
      <c r="AD1565" s="1064"/>
      <c r="AE1565" s="1064"/>
      <c r="AF1565" s="1109"/>
      <c r="AG1565" s="1104"/>
      <c r="AH1565" s="1104"/>
      <c r="AI1565" s="1104"/>
    </row>
    <row r="1566" spans="1:35" ht="15" customHeight="1">
      <c r="A1566" s="1033"/>
      <c r="B1566" s="1033"/>
      <c r="C1566" s="1033"/>
      <c r="D1566" s="1033"/>
      <c r="E1566" s="1033"/>
      <c r="F1566" s="1033"/>
      <c r="G1566" s="1033"/>
      <c r="H1566" s="1145">
        <v>3</v>
      </c>
      <c r="I1566" s="1065" t="s">
        <v>154</v>
      </c>
      <c r="J1566" s="1062">
        <v>4240000</v>
      </c>
      <c r="K1566" s="1062">
        <v>4240000</v>
      </c>
      <c r="L1566" s="1063"/>
      <c r="M1566" s="1068">
        <v>42164</v>
      </c>
      <c r="N1566" s="1092">
        <v>4240000</v>
      </c>
      <c r="O1566" s="1092">
        <v>4240000</v>
      </c>
      <c r="P1566" s="1092">
        <v>0</v>
      </c>
      <c r="Q1566" s="1043">
        <v>4238626</v>
      </c>
      <c r="R1566" s="1044"/>
      <c r="S1566" s="1033"/>
      <c r="T1566" s="840" t="s">
        <v>1917</v>
      </c>
      <c r="U1566" s="866">
        <v>423862.6</v>
      </c>
      <c r="V1566" s="855">
        <v>42366</v>
      </c>
      <c r="W1566" s="842" t="s">
        <v>154</v>
      </c>
      <c r="X1566" s="1043">
        <v>3326614.58</v>
      </c>
      <c r="Y1566" s="1044"/>
      <c r="Z1566" s="827"/>
      <c r="AA1566" s="1043">
        <v>913385.41999999993</v>
      </c>
      <c r="AB1566" s="1063"/>
      <c r="AC1566" s="1062">
        <v>1374</v>
      </c>
      <c r="AD1566" s="1062"/>
      <c r="AE1566" s="1062"/>
      <c r="AF1566" s="1109"/>
      <c r="AG1566" s="1104"/>
      <c r="AH1566" s="1104"/>
      <c r="AI1566" s="1104"/>
    </row>
    <row r="1567" spans="1:35" ht="15" customHeight="1">
      <c r="A1567" s="1033"/>
      <c r="B1567" s="1033"/>
      <c r="C1567" s="1033"/>
      <c r="D1567" s="1033"/>
      <c r="E1567" s="1033"/>
      <c r="F1567" s="1033"/>
      <c r="G1567" s="1033"/>
      <c r="H1567" s="1146"/>
      <c r="I1567" s="1066"/>
      <c r="J1567" s="1063"/>
      <c r="K1567" s="1063"/>
      <c r="L1567" s="1063"/>
      <c r="M1567" s="1069"/>
      <c r="N1567" s="1093"/>
      <c r="O1567" s="1093"/>
      <c r="P1567" s="1093"/>
      <c r="Q1567" s="1044"/>
      <c r="R1567" s="1044"/>
      <c r="S1567" s="1033"/>
      <c r="T1567" s="840" t="s">
        <v>1918</v>
      </c>
      <c r="U1567" s="866">
        <v>444038.56</v>
      </c>
      <c r="V1567" s="1068">
        <v>42822</v>
      </c>
      <c r="W1567" s="842" t="s">
        <v>154</v>
      </c>
      <c r="X1567" s="1044"/>
      <c r="Y1567" s="1044"/>
      <c r="Z1567" s="827"/>
      <c r="AA1567" s="1044"/>
      <c r="AB1567" s="1063"/>
      <c r="AC1567" s="1063"/>
      <c r="AD1567" s="1063"/>
      <c r="AE1567" s="1063"/>
      <c r="AF1567" s="1109"/>
      <c r="AG1567" s="1104"/>
      <c r="AH1567" s="1104"/>
      <c r="AI1567" s="1104"/>
    </row>
    <row r="1568" spans="1:35" ht="15" customHeight="1">
      <c r="A1568" s="1033"/>
      <c r="B1568" s="1033"/>
      <c r="C1568" s="1033"/>
      <c r="D1568" s="1033"/>
      <c r="E1568" s="1033"/>
      <c r="F1568" s="1033"/>
      <c r="G1568" s="1033"/>
      <c r="H1568" s="1146"/>
      <c r="I1568" s="1066"/>
      <c r="J1568" s="1063"/>
      <c r="K1568" s="1063"/>
      <c r="L1568" s="1063"/>
      <c r="M1568" s="1069"/>
      <c r="N1568" s="1093"/>
      <c r="O1568" s="1093"/>
      <c r="P1568" s="1093"/>
      <c r="Q1568" s="1044"/>
      <c r="R1568" s="1044"/>
      <c r="S1568" s="1033"/>
      <c r="T1568" s="840" t="s">
        <v>1919</v>
      </c>
      <c r="U1568" s="866">
        <v>2458713.42</v>
      </c>
      <c r="V1568" s="1070"/>
      <c r="W1568" s="842" t="s">
        <v>154</v>
      </c>
      <c r="X1568" s="1044"/>
      <c r="Y1568" s="1044"/>
      <c r="Z1568" s="827"/>
      <c r="AA1568" s="1044"/>
      <c r="AB1568" s="1063"/>
      <c r="AC1568" s="1063"/>
      <c r="AD1568" s="1063"/>
      <c r="AE1568" s="1063"/>
      <c r="AF1568" s="1109"/>
      <c r="AG1568" s="1104"/>
      <c r="AH1568" s="1104"/>
      <c r="AI1568" s="1104"/>
    </row>
    <row r="1569" spans="1:35" ht="15" customHeight="1">
      <c r="A1569" s="1033"/>
      <c r="B1569" s="1033"/>
      <c r="C1569" s="1033"/>
      <c r="D1569" s="1033"/>
      <c r="E1569" s="1033"/>
      <c r="F1569" s="1033"/>
      <c r="G1569" s="1033"/>
      <c r="H1569" s="1147"/>
      <c r="I1569" s="1067"/>
      <c r="J1569" s="1064"/>
      <c r="K1569" s="1064"/>
      <c r="L1569" s="1063"/>
      <c r="M1569" s="1070"/>
      <c r="N1569" s="1094"/>
      <c r="O1569" s="1094"/>
      <c r="P1569" s="1094"/>
      <c r="Q1569" s="1045"/>
      <c r="R1569" s="1044"/>
      <c r="S1569" s="1033"/>
      <c r="T1569" s="840"/>
      <c r="U1569" s="866"/>
      <c r="V1569" s="855"/>
      <c r="W1569" s="842"/>
      <c r="X1569" s="1045"/>
      <c r="Y1569" s="1044"/>
      <c r="Z1569" s="827"/>
      <c r="AA1569" s="1045"/>
      <c r="AB1569" s="1063"/>
      <c r="AC1569" s="1064"/>
      <c r="AD1569" s="1064"/>
      <c r="AE1569" s="1064"/>
      <c r="AF1569" s="1109"/>
      <c r="AG1569" s="1104"/>
      <c r="AH1569" s="1104"/>
      <c r="AI1569" s="1104"/>
    </row>
    <row r="1570" spans="1:35" ht="15" customHeight="1">
      <c r="A1570" s="1033"/>
      <c r="B1570" s="1033"/>
      <c r="C1570" s="1033"/>
      <c r="D1570" s="1033"/>
      <c r="E1570" s="1033"/>
      <c r="F1570" s="1033"/>
      <c r="G1570" s="1033"/>
      <c r="H1570" s="1164">
        <v>11</v>
      </c>
      <c r="I1570" s="1065" t="s">
        <v>142</v>
      </c>
      <c r="J1570" s="1062">
        <v>4240000</v>
      </c>
      <c r="K1570" s="1062">
        <v>4240000</v>
      </c>
      <c r="L1570" s="1063"/>
      <c r="M1570" s="1068">
        <v>42164</v>
      </c>
      <c r="N1570" s="1092">
        <v>4240000</v>
      </c>
      <c r="O1570" s="1092">
        <v>4240000</v>
      </c>
      <c r="P1570" s="1092">
        <v>0</v>
      </c>
      <c r="Q1570" s="1043">
        <v>4238626</v>
      </c>
      <c r="R1570" s="1044"/>
      <c r="S1570" s="1033"/>
      <c r="T1570" s="840" t="s">
        <v>1917</v>
      </c>
      <c r="U1570" s="866">
        <v>423862.6</v>
      </c>
      <c r="V1570" s="855">
        <v>42366</v>
      </c>
      <c r="W1570" s="842" t="s">
        <v>142</v>
      </c>
      <c r="X1570" s="1043">
        <v>3842174.58</v>
      </c>
      <c r="Y1570" s="1044"/>
      <c r="Z1570" s="827"/>
      <c r="AA1570" s="1043">
        <v>397825.41999999993</v>
      </c>
      <c r="AB1570" s="1063"/>
      <c r="AC1570" s="1062">
        <v>1374</v>
      </c>
      <c r="AD1570" s="1062"/>
      <c r="AE1570" s="1062"/>
      <c r="AF1570" s="1109"/>
      <c r="AG1570" s="1104"/>
      <c r="AH1570" s="1104"/>
      <c r="AI1570" s="1104"/>
    </row>
    <row r="1571" spans="1:35" ht="15" customHeight="1">
      <c r="A1571" s="1033"/>
      <c r="B1571" s="1033"/>
      <c r="C1571" s="1033"/>
      <c r="D1571" s="1033"/>
      <c r="E1571" s="1033"/>
      <c r="F1571" s="1033"/>
      <c r="G1571" s="1033"/>
      <c r="H1571" s="1165"/>
      <c r="I1571" s="1066"/>
      <c r="J1571" s="1063"/>
      <c r="K1571" s="1063"/>
      <c r="L1571" s="1063"/>
      <c r="M1571" s="1069"/>
      <c r="N1571" s="1093"/>
      <c r="O1571" s="1093"/>
      <c r="P1571" s="1093"/>
      <c r="Q1571" s="1044"/>
      <c r="R1571" s="1044"/>
      <c r="S1571" s="1033"/>
      <c r="T1571" s="840" t="s">
        <v>1918</v>
      </c>
      <c r="U1571" s="866">
        <v>2926266.56</v>
      </c>
      <c r="V1571" s="1068">
        <v>42822</v>
      </c>
      <c r="W1571" s="842" t="s">
        <v>142</v>
      </c>
      <c r="X1571" s="1044"/>
      <c r="Y1571" s="1044"/>
      <c r="Z1571" s="827"/>
      <c r="AA1571" s="1044"/>
      <c r="AB1571" s="1063"/>
      <c r="AC1571" s="1063"/>
      <c r="AD1571" s="1063"/>
      <c r="AE1571" s="1063"/>
      <c r="AF1571" s="1109"/>
      <c r="AG1571" s="1104"/>
      <c r="AH1571" s="1104"/>
      <c r="AI1571" s="1104"/>
    </row>
    <row r="1572" spans="1:35" ht="15" customHeight="1">
      <c r="A1572" s="1033"/>
      <c r="B1572" s="1033"/>
      <c r="C1572" s="1033"/>
      <c r="D1572" s="1033"/>
      <c r="E1572" s="1033"/>
      <c r="F1572" s="1033"/>
      <c r="G1572" s="1033"/>
      <c r="H1572" s="1165"/>
      <c r="I1572" s="1066"/>
      <c r="J1572" s="1063"/>
      <c r="K1572" s="1063"/>
      <c r="L1572" s="1063"/>
      <c r="M1572" s="1069"/>
      <c r="N1572" s="1093"/>
      <c r="O1572" s="1093"/>
      <c r="P1572" s="1093"/>
      <c r="Q1572" s="1044"/>
      <c r="R1572" s="1044"/>
      <c r="S1572" s="1033"/>
      <c r="T1572" s="840" t="s">
        <v>1919</v>
      </c>
      <c r="U1572" s="866">
        <v>492045.42</v>
      </c>
      <c r="V1572" s="1070"/>
      <c r="W1572" s="842" t="s">
        <v>142</v>
      </c>
      <c r="X1572" s="1044"/>
      <c r="Y1572" s="1044"/>
      <c r="Z1572" s="827"/>
      <c r="AA1572" s="1044"/>
      <c r="AB1572" s="1063"/>
      <c r="AC1572" s="1063"/>
      <c r="AD1572" s="1063"/>
      <c r="AE1572" s="1063"/>
      <c r="AF1572" s="1109"/>
      <c r="AG1572" s="1104"/>
      <c r="AH1572" s="1104"/>
      <c r="AI1572" s="1104"/>
    </row>
    <row r="1573" spans="1:35" ht="15" customHeight="1">
      <c r="A1573" s="1033"/>
      <c r="B1573" s="1033"/>
      <c r="C1573" s="1033"/>
      <c r="D1573" s="1033"/>
      <c r="E1573" s="1033"/>
      <c r="F1573" s="1033"/>
      <c r="G1573" s="1033"/>
      <c r="H1573" s="1166"/>
      <c r="I1573" s="1067"/>
      <c r="J1573" s="1064"/>
      <c r="K1573" s="1064"/>
      <c r="L1573" s="1063"/>
      <c r="M1573" s="1070"/>
      <c r="N1573" s="1094"/>
      <c r="O1573" s="1094"/>
      <c r="P1573" s="1094"/>
      <c r="Q1573" s="1045"/>
      <c r="R1573" s="1044"/>
      <c r="S1573" s="1033"/>
      <c r="T1573" s="840"/>
      <c r="U1573" s="866"/>
      <c r="V1573" s="855"/>
      <c r="W1573" s="842"/>
      <c r="X1573" s="1045"/>
      <c r="Y1573" s="1044"/>
      <c r="Z1573" s="827"/>
      <c r="AA1573" s="1045"/>
      <c r="AB1573" s="1063"/>
      <c r="AC1573" s="1064"/>
      <c r="AD1573" s="1064"/>
      <c r="AE1573" s="1064"/>
      <c r="AF1573" s="1109"/>
      <c r="AG1573" s="1104"/>
      <c r="AH1573" s="1104"/>
      <c r="AI1573" s="1104"/>
    </row>
    <row r="1574" spans="1:35" ht="15" customHeight="1">
      <c r="A1574" s="1033"/>
      <c r="B1574" s="1033"/>
      <c r="C1574" s="1033"/>
      <c r="D1574" s="1033"/>
      <c r="E1574" s="1033"/>
      <c r="F1574" s="1033"/>
      <c r="G1574" s="1033"/>
      <c r="H1574" s="1145">
        <v>7</v>
      </c>
      <c r="I1574" s="1065" t="s">
        <v>153</v>
      </c>
      <c r="J1574" s="1062">
        <v>4240000</v>
      </c>
      <c r="K1574" s="1062">
        <v>4240000</v>
      </c>
      <c r="L1574" s="1063"/>
      <c r="M1574" s="1068">
        <v>42164</v>
      </c>
      <c r="N1574" s="1092">
        <v>4240000</v>
      </c>
      <c r="O1574" s="1092">
        <v>4240000</v>
      </c>
      <c r="P1574" s="1092">
        <v>0</v>
      </c>
      <c r="Q1574" s="1043">
        <v>4238626</v>
      </c>
      <c r="R1574" s="1044"/>
      <c r="S1574" s="1033"/>
      <c r="T1574" s="840" t="s">
        <v>1917</v>
      </c>
      <c r="U1574" s="866">
        <v>423862.6</v>
      </c>
      <c r="V1574" s="855">
        <v>42366</v>
      </c>
      <c r="W1574" s="842" t="s">
        <v>153</v>
      </c>
      <c r="X1574" s="1043">
        <v>3918887.18</v>
      </c>
      <c r="Y1574" s="1044"/>
      <c r="Z1574" s="827"/>
      <c r="AA1574" s="1043">
        <v>321112.81999999983</v>
      </c>
      <c r="AB1574" s="1063"/>
      <c r="AC1574" s="1062">
        <v>1374</v>
      </c>
      <c r="AD1574" s="1062"/>
      <c r="AE1574" s="1062"/>
      <c r="AF1574" s="1109"/>
      <c r="AG1574" s="1104"/>
      <c r="AH1574" s="1104"/>
      <c r="AI1574" s="1104"/>
    </row>
    <row r="1575" spans="1:35" ht="15" customHeight="1">
      <c r="A1575" s="1033"/>
      <c r="B1575" s="1033"/>
      <c r="C1575" s="1033"/>
      <c r="D1575" s="1033"/>
      <c r="E1575" s="1033"/>
      <c r="F1575" s="1033"/>
      <c r="G1575" s="1033"/>
      <c r="H1575" s="1146"/>
      <c r="I1575" s="1066"/>
      <c r="J1575" s="1063"/>
      <c r="K1575" s="1063"/>
      <c r="L1575" s="1063"/>
      <c r="M1575" s="1069"/>
      <c r="N1575" s="1093"/>
      <c r="O1575" s="1093"/>
      <c r="P1575" s="1093"/>
      <c r="Q1575" s="1044"/>
      <c r="R1575" s="1044"/>
      <c r="S1575" s="1033"/>
      <c r="T1575" s="840" t="s">
        <v>1918</v>
      </c>
      <c r="U1575" s="866">
        <v>1510299.56</v>
      </c>
      <c r="V1575" s="1068">
        <v>42822</v>
      </c>
      <c r="W1575" s="842" t="s">
        <v>153</v>
      </c>
      <c r="X1575" s="1044"/>
      <c r="Y1575" s="1044"/>
      <c r="Z1575" s="827"/>
      <c r="AA1575" s="1044"/>
      <c r="AB1575" s="1063"/>
      <c r="AC1575" s="1063"/>
      <c r="AD1575" s="1063"/>
      <c r="AE1575" s="1063"/>
      <c r="AF1575" s="1109"/>
      <c r="AG1575" s="1104"/>
      <c r="AH1575" s="1104"/>
      <c r="AI1575" s="1104"/>
    </row>
    <row r="1576" spans="1:35" ht="15" customHeight="1">
      <c r="A1576" s="1033"/>
      <c r="B1576" s="1033"/>
      <c r="C1576" s="1033"/>
      <c r="D1576" s="1033"/>
      <c r="E1576" s="1033"/>
      <c r="F1576" s="1033"/>
      <c r="G1576" s="1033"/>
      <c r="H1576" s="1146"/>
      <c r="I1576" s="1066"/>
      <c r="J1576" s="1063"/>
      <c r="K1576" s="1063"/>
      <c r="L1576" s="1063"/>
      <c r="M1576" s="1069"/>
      <c r="N1576" s="1093"/>
      <c r="O1576" s="1093"/>
      <c r="P1576" s="1093"/>
      <c r="Q1576" s="1044"/>
      <c r="R1576" s="1044"/>
      <c r="S1576" s="1033"/>
      <c r="T1576" s="840" t="s">
        <v>1919</v>
      </c>
      <c r="U1576" s="866">
        <v>1984725.02</v>
      </c>
      <c r="V1576" s="1070"/>
      <c r="W1576" s="842" t="s">
        <v>153</v>
      </c>
      <c r="X1576" s="1044"/>
      <c r="Y1576" s="1044"/>
      <c r="Z1576" s="827"/>
      <c r="AA1576" s="1044"/>
      <c r="AB1576" s="1063"/>
      <c r="AC1576" s="1063"/>
      <c r="AD1576" s="1063"/>
      <c r="AE1576" s="1063"/>
      <c r="AF1576" s="1109"/>
      <c r="AG1576" s="1104"/>
      <c r="AH1576" s="1104"/>
      <c r="AI1576" s="1104"/>
    </row>
    <row r="1577" spans="1:35" ht="15" customHeight="1">
      <c r="A1577" s="1033"/>
      <c r="B1577" s="1033"/>
      <c r="C1577" s="1033"/>
      <c r="D1577" s="1033"/>
      <c r="E1577" s="1033"/>
      <c r="F1577" s="1033"/>
      <c r="G1577" s="1033"/>
      <c r="H1577" s="1147"/>
      <c r="I1577" s="1067"/>
      <c r="J1577" s="1064"/>
      <c r="K1577" s="1064"/>
      <c r="L1577" s="1063"/>
      <c r="M1577" s="1070"/>
      <c r="N1577" s="1094"/>
      <c r="O1577" s="1094"/>
      <c r="P1577" s="1094"/>
      <c r="Q1577" s="1045"/>
      <c r="R1577" s="1044"/>
      <c r="S1577" s="1033"/>
      <c r="T1577" s="840"/>
      <c r="U1577" s="866"/>
      <c r="V1577" s="855"/>
      <c r="W1577" s="842"/>
      <c r="X1577" s="1045"/>
      <c r="Y1577" s="1044"/>
      <c r="Z1577" s="827"/>
      <c r="AA1577" s="1045"/>
      <c r="AB1577" s="1063"/>
      <c r="AC1577" s="1064"/>
      <c r="AD1577" s="1064"/>
      <c r="AE1577" s="1064"/>
      <c r="AF1577" s="1109"/>
      <c r="AG1577" s="1104"/>
      <c r="AH1577" s="1104"/>
      <c r="AI1577" s="1104"/>
    </row>
    <row r="1578" spans="1:35" ht="15" customHeight="1">
      <c r="A1578" s="1033"/>
      <c r="B1578" s="1033"/>
      <c r="C1578" s="1033"/>
      <c r="D1578" s="1033"/>
      <c r="E1578" s="1033"/>
      <c r="F1578" s="1033"/>
      <c r="G1578" s="1033"/>
      <c r="H1578" s="1145">
        <v>10</v>
      </c>
      <c r="I1578" s="1065" t="s">
        <v>133</v>
      </c>
      <c r="J1578" s="1062">
        <v>2800000</v>
      </c>
      <c r="K1578" s="1062">
        <v>2800000</v>
      </c>
      <c r="L1578" s="1063"/>
      <c r="M1578" s="1068">
        <v>42164</v>
      </c>
      <c r="N1578" s="1092">
        <v>2800000</v>
      </c>
      <c r="O1578" s="1092">
        <v>2800000</v>
      </c>
      <c r="P1578" s="1092">
        <v>0</v>
      </c>
      <c r="Q1578" s="1043">
        <v>2799092</v>
      </c>
      <c r="R1578" s="1044"/>
      <c r="S1578" s="1033"/>
      <c r="T1578" s="840" t="s">
        <v>1917</v>
      </c>
      <c r="U1578" s="866">
        <v>279909.2</v>
      </c>
      <c r="V1578" s="855">
        <v>42366</v>
      </c>
      <c r="W1578" s="842" t="s">
        <v>133</v>
      </c>
      <c r="X1578" s="1043">
        <v>2218459.66</v>
      </c>
      <c r="Y1578" s="1044"/>
      <c r="Z1578" s="827"/>
      <c r="AA1578" s="1043">
        <v>581540.33999999985</v>
      </c>
      <c r="AB1578" s="1063"/>
      <c r="AC1578" s="1062">
        <v>908</v>
      </c>
      <c r="AD1578" s="1062"/>
      <c r="AE1578" s="1062"/>
      <c r="AF1578" s="1109"/>
      <c r="AG1578" s="1104"/>
      <c r="AH1578" s="1104"/>
      <c r="AI1578" s="1104"/>
    </row>
    <row r="1579" spans="1:35" ht="15" customHeight="1">
      <c r="A1579" s="1033"/>
      <c r="B1579" s="1033"/>
      <c r="C1579" s="1033"/>
      <c r="D1579" s="1033"/>
      <c r="E1579" s="1033"/>
      <c r="F1579" s="1033"/>
      <c r="G1579" s="1033"/>
      <c r="H1579" s="1146"/>
      <c r="I1579" s="1066"/>
      <c r="J1579" s="1063"/>
      <c r="K1579" s="1063"/>
      <c r="L1579" s="1063"/>
      <c r="M1579" s="1069"/>
      <c r="N1579" s="1093"/>
      <c r="O1579" s="1093"/>
      <c r="P1579" s="1093"/>
      <c r="Q1579" s="1044"/>
      <c r="R1579" s="1044"/>
      <c r="S1579" s="1033"/>
      <c r="T1579" s="840" t="s">
        <v>1918</v>
      </c>
      <c r="U1579" s="866">
        <v>293758.56</v>
      </c>
      <c r="V1579" s="1068">
        <v>42822</v>
      </c>
      <c r="W1579" s="842" t="s">
        <v>133</v>
      </c>
      <c r="X1579" s="1044"/>
      <c r="Y1579" s="1044"/>
      <c r="Z1579" s="827"/>
      <c r="AA1579" s="1044"/>
      <c r="AB1579" s="1063"/>
      <c r="AC1579" s="1063"/>
      <c r="AD1579" s="1063"/>
      <c r="AE1579" s="1063"/>
      <c r="AF1579" s="1109"/>
      <c r="AG1579" s="1104"/>
      <c r="AH1579" s="1104"/>
      <c r="AI1579" s="1104"/>
    </row>
    <row r="1580" spans="1:35" ht="15" customHeight="1">
      <c r="A1580" s="1033"/>
      <c r="B1580" s="1033"/>
      <c r="C1580" s="1033"/>
      <c r="D1580" s="1033"/>
      <c r="E1580" s="1033"/>
      <c r="F1580" s="1033"/>
      <c r="G1580" s="1033"/>
      <c r="H1580" s="1146"/>
      <c r="I1580" s="1066"/>
      <c r="J1580" s="1063"/>
      <c r="K1580" s="1063"/>
      <c r="L1580" s="1063"/>
      <c r="M1580" s="1069"/>
      <c r="N1580" s="1093"/>
      <c r="O1580" s="1093"/>
      <c r="P1580" s="1093"/>
      <c r="Q1580" s="1044"/>
      <c r="R1580" s="1044"/>
      <c r="S1580" s="1033"/>
      <c r="T1580" s="840" t="s">
        <v>1919</v>
      </c>
      <c r="U1580" s="866">
        <v>1644791.9</v>
      </c>
      <c r="V1580" s="1070"/>
      <c r="W1580" s="842" t="s">
        <v>133</v>
      </c>
      <c r="X1580" s="1044"/>
      <c r="Y1580" s="1044"/>
      <c r="Z1580" s="827"/>
      <c r="AA1580" s="1044"/>
      <c r="AB1580" s="1063"/>
      <c r="AC1580" s="1063"/>
      <c r="AD1580" s="1063"/>
      <c r="AE1580" s="1063"/>
      <c r="AF1580" s="1109"/>
      <c r="AG1580" s="1104"/>
      <c r="AH1580" s="1104"/>
      <c r="AI1580" s="1104"/>
    </row>
    <row r="1581" spans="1:35" ht="15" customHeight="1">
      <c r="A1581" s="1033"/>
      <c r="B1581" s="1033"/>
      <c r="C1581" s="1033"/>
      <c r="D1581" s="1033"/>
      <c r="E1581" s="1033"/>
      <c r="F1581" s="1033"/>
      <c r="G1581" s="1033"/>
      <c r="H1581" s="1147"/>
      <c r="I1581" s="1067"/>
      <c r="J1581" s="1064"/>
      <c r="K1581" s="1064"/>
      <c r="L1581" s="1063"/>
      <c r="M1581" s="1070"/>
      <c r="N1581" s="1094"/>
      <c r="O1581" s="1094"/>
      <c r="P1581" s="1094"/>
      <c r="Q1581" s="1045"/>
      <c r="R1581" s="1044"/>
      <c r="S1581" s="1033"/>
      <c r="T1581" s="840"/>
      <c r="U1581" s="866"/>
      <c r="V1581" s="855"/>
      <c r="W1581" s="842"/>
      <c r="X1581" s="1045"/>
      <c r="Y1581" s="1044"/>
      <c r="Z1581" s="827"/>
      <c r="AA1581" s="1045"/>
      <c r="AB1581" s="1063"/>
      <c r="AC1581" s="1064"/>
      <c r="AD1581" s="1064"/>
      <c r="AE1581" s="1064"/>
      <c r="AF1581" s="1109"/>
      <c r="AG1581" s="1104"/>
      <c r="AH1581" s="1104"/>
      <c r="AI1581" s="1104"/>
    </row>
    <row r="1582" spans="1:35" ht="15" customHeight="1">
      <c r="A1582" s="1033"/>
      <c r="B1582" s="1033"/>
      <c r="C1582" s="1033"/>
      <c r="D1582" s="1033"/>
      <c r="E1582" s="1033"/>
      <c r="F1582" s="1033"/>
      <c r="G1582" s="1033"/>
      <c r="H1582" s="1145">
        <v>10</v>
      </c>
      <c r="I1582" s="1065" t="s">
        <v>141</v>
      </c>
      <c r="J1582" s="1062">
        <v>4240000</v>
      </c>
      <c r="K1582" s="1062">
        <v>4240000</v>
      </c>
      <c r="L1582" s="1063"/>
      <c r="M1582" s="1068">
        <v>42171</v>
      </c>
      <c r="N1582" s="1092">
        <v>4240000</v>
      </c>
      <c r="O1582" s="1092">
        <v>4240000</v>
      </c>
      <c r="P1582" s="1092">
        <v>0</v>
      </c>
      <c r="Q1582" s="1043">
        <v>4238626</v>
      </c>
      <c r="R1582" s="1044"/>
      <c r="S1582" s="1033"/>
      <c r="T1582" s="840" t="s">
        <v>1917</v>
      </c>
      <c r="U1582" s="866">
        <v>423862.6</v>
      </c>
      <c r="V1582" s="855">
        <v>42366</v>
      </c>
      <c r="W1582" s="842" t="s">
        <v>141</v>
      </c>
      <c r="X1582" s="1043">
        <v>3620848.58</v>
      </c>
      <c r="Y1582" s="1044"/>
      <c r="Z1582" s="827"/>
      <c r="AA1582" s="1043">
        <v>619151.41999999993</v>
      </c>
      <c r="AB1582" s="1063"/>
      <c r="AC1582" s="1062">
        <v>1374</v>
      </c>
      <c r="AD1582" s="1062"/>
      <c r="AE1582" s="1062"/>
      <c r="AF1582" s="1109"/>
      <c r="AG1582" s="1104"/>
      <c r="AH1582" s="1104"/>
      <c r="AI1582" s="1104"/>
    </row>
    <row r="1583" spans="1:35" ht="15" customHeight="1">
      <c r="A1583" s="1033"/>
      <c r="B1583" s="1033"/>
      <c r="C1583" s="1033"/>
      <c r="D1583" s="1033"/>
      <c r="E1583" s="1033"/>
      <c r="F1583" s="1033"/>
      <c r="G1583" s="1033"/>
      <c r="H1583" s="1146"/>
      <c r="I1583" s="1066"/>
      <c r="J1583" s="1063"/>
      <c r="K1583" s="1063"/>
      <c r="L1583" s="1063"/>
      <c r="M1583" s="1069"/>
      <c r="N1583" s="1093"/>
      <c r="O1583" s="1093"/>
      <c r="P1583" s="1093"/>
      <c r="Q1583" s="1044"/>
      <c r="R1583" s="1044"/>
      <c r="S1583" s="1033"/>
      <c r="T1583" s="840" t="s">
        <v>1918</v>
      </c>
      <c r="U1583" s="866">
        <v>2802840.56</v>
      </c>
      <c r="V1583" s="1068">
        <v>42822</v>
      </c>
      <c r="W1583" s="842" t="s">
        <v>141</v>
      </c>
      <c r="X1583" s="1044"/>
      <c r="Y1583" s="1044"/>
      <c r="Z1583" s="827"/>
      <c r="AA1583" s="1044"/>
      <c r="AB1583" s="1063"/>
      <c r="AC1583" s="1063"/>
      <c r="AD1583" s="1063"/>
      <c r="AE1583" s="1063"/>
      <c r="AF1583" s="1109"/>
      <c r="AG1583" s="1104"/>
      <c r="AH1583" s="1104"/>
      <c r="AI1583" s="1104"/>
    </row>
    <row r="1584" spans="1:35" ht="15" customHeight="1">
      <c r="A1584" s="1033"/>
      <c r="B1584" s="1033"/>
      <c r="C1584" s="1033"/>
      <c r="D1584" s="1033"/>
      <c r="E1584" s="1033"/>
      <c r="F1584" s="1033"/>
      <c r="G1584" s="1033"/>
      <c r="H1584" s="1146"/>
      <c r="I1584" s="1066"/>
      <c r="J1584" s="1063"/>
      <c r="K1584" s="1063"/>
      <c r="L1584" s="1063"/>
      <c r="M1584" s="1069"/>
      <c r="N1584" s="1093"/>
      <c r="O1584" s="1093"/>
      <c r="P1584" s="1093"/>
      <c r="Q1584" s="1044"/>
      <c r="R1584" s="1044"/>
      <c r="S1584" s="1033"/>
      <c r="T1584" s="840" t="s">
        <v>1919</v>
      </c>
      <c r="U1584" s="866">
        <v>394145.42</v>
      </c>
      <c r="V1584" s="1070"/>
      <c r="W1584" s="842" t="s">
        <v>141</v>
      </c>
      <c r="X1584" s="1044"/>
      <c r="Y1584" s="1044"/>
      <c r="Z1584" s="827"/>
      <c r="AA1584" s="1044"/>
      <c r="AB1584" s="1063"/>
      <c r="AC1584" s="1063"/>
      <c r="AD1584" s="1063"/>
      <c r="AE1584" s="1063"/>
      <c r="AF1584" s="1109"/>
      <c r="AG1584" s="1104"/>
      <c r="AH1584" s="1104"/>
      <c r="AI1584" s="1104"/>
    </row>
    <row r="1585" spans="1:35" ht="15" customHeight="1">
      <c r="A1585" s="1012"/>
      <c r="B1585" s="1012"/>
      <c r="C1585" s="1012"/>
      <c r="D1585" s="1012"/>
      <c r="E1585" s="1012"/>
      <c r="F1585" s="1012"/>
      <c r="G1585" s="1012"/>
      <c r="H1585" s="1147"/>
      <c r="I1585" s="1067"/>
      <c r="J1585" s="1064"/>
      <c r="K1585" s="1064"/>
      <c r="L1585" s="1064"/>
      <c r="M1585" s="1070"/>
      <c r="N1585" s="1094"/>
      <c r="O1585" s="1094"/>
      <c r="P1585" s="1094"/>
      <c r="Q1585" s="1045"/>
      <c r="R1585" s="1045"/>
      <c r="S1585" s="1012"/>
      <c r="T1585" s="840"/>
      <c r="U1585" s="866"/>
      <c r="V1585" s="855"/>
      <c r="W1585" s="842"/>
      <c r="X1585" s="1045"/>
      <c r="Y1585" s="1045"/>
      <c r="Z1585" s="827"/>
      <c r="AA1585" s="1045"/>
      <c r="AB1585" s="1064"/>
      <c r="AC1585" s="1064"/>
      <c r="AD1585" s="1064"/>
      <c r="AE1585" s="1064"/>
      <c r="AF1585" s="1110"/>
      <c r="AG1585" s="1105"/>
      <c r="AH1585" s="1105"/>
      <c r="AI1585" s="1105"/>
    </row>
    <row r="1586" spans="1:35" s="4" customFormat="1" ht="15" customHeight="1">
      <c r="A1586" s="1149" t="s">
        <v>1920</v>
      </c>
      <c r="B1586" s="1149" t="s">
        <v>1921</v>
      </c>
      <c r="C1586" s="1149" t="s">
        <v>71</v>
      </c>
      <c r="D1586" s="1149" t="s">
        <v>1235</v>
      </c>
      <c r="E1586" s="1149" t="s">
        <v>66</v>
      </c>
      <c r="F1586" s="1149" t="s">
        <v>183</v>
      </c>
      <c r="G1586" s="1149" t="s">
        <v>1930</v>
      </c>
      <c r="H1586" s="1156">
        <v>4</v>
      </c>
      <c r="I1586" s="1122" t="s">
        <v>160</v>
      </c>
      <c r="J1586" s="1084">
        <v>191866160</v>
      </c>
      <c r="K1586" s="1084">
        <v>191866160</v>
      </c>
      <c r="L1586" s="1084">
        <v>191866160</v>
      </c>
      <c r="M1586" s="1068">
        <v>42151</v>
      </c>
      <c r="N1586" s="1089">
        <v>191866160</v>
      </c>
      <c r="O1586" s="1089">
        <v>191866160</v>
      </c>
      <c r="P1586" s="1089">
        <v>0</v>
      </c>
      <c r="Q1586" s="1084">
        <v>189575641</v>
      </c>
      <c r="R1586" s="1084">
        <v>189575641</v>
      </c>
      <c r="S1586" s="1149" t="s">
        <v>1922</v>
      </c>
      <c r="T1586" s="885" t="s">
        <v>1928</v>
      </c>
      <c r="U1586" s="895">
        <v>94787820.5</v>
      </c>
      <c r="V1586" s="855">
        <v>42599</v>
      </c>
      <c r="W1586" s="842" t="s">
        <v>160</v>
      </c>
      <c r="X1586" s="1043">
        <v>181456081</v>
      </c>
      <c r="Y1586" s="1084">
        <v>181456081</v>
      </c>
      <c r="Z1586" s="827">
        <v>0</v>
      </c>
      <c r="AA1586" s="1084">
        <v>10410079</v>
      </c>
      <c r="AB1586" s="1084">
        <v>0</v>
      </c>
      <c r="AC1586" s="1084">
        <v>2290519</v>
      </c>
      <c r="AD1586" s="1084">
        <v>8119560</v>
      </c>
      <c r="AE1586" s="1084">
        <v>10410079</v>
      </c>
      <c r="AF1586" s="1149"/>
      <c r="AG1586" s="1149" t="s">
        <v>1927</v>
      </c>
      <c r="AH1586" s="1103" t="s">
        <v>195</v>
      </c>
      <c r="AI1586" s="1103" t="s">
        <v>1911</v>
      </c>
    </row>
    <row r="1587" spans="1:35" s="4" customFormat="1" ht="15" customHeight="1">
      <c r="A1587" s="1149"/>
      <c r="B1587" s="1149"/>
      <c r="C1587" s="1149"/>
      <c r="D1587" s="1149"/>
      <c r="E1587" s="1149"/>
      <c r="F1587" s="1149"/>
      <c r="G1587" s="1149"/>
      <c r="H1587" s="1156"/>
      <c r="I1587" s="1122"/>
      <c r="J1587" s="1084"/>
      <c r="K1587" s="1084"/>
      <c r="L1587" s="1084"/>
      <c r="M1587" s="1070"/>
      <c r="N1587" s="1091"/>
      <c r="O1587" s="1091"/>
      <c r="P1587" s="1091"/>
      <c r="Q1587" s="1084"/>
      <c r="R1587" s="1084"/>
      <c r="S1587" s="1149"/>
      <c r="T1587" s="885" t="s">
        <v>1929</v>
      </c>
      <c r="U1587" s="866">
        <v>86668260.5</v>
      </c>
      <c r="V1587" s="855">
        <v>42976</v>
      </c>
      <c r="W1587" s="842" t="s">
        <v>160</v>
      </c>
      <c r="X1587" s="1045"/>
      <c r="Y1587" s="1084"/>
      <c r="Z1587" s="827">
        <v>0</v>
      </c>
      <c r="AA1587" s="1084"/>
      <c r="AB1587" s="1084"/>
      <c r="AC1587" s="1084"/>
      <c r="AD1587" s="1084"/>
      <c r="AE1587" s="1084"/>
      <c r="AF1587" s="1149"/>
      <c r="AG1587" s="1149"/>
      <c r="AH1587" s="1105"/>
      <c r="AI1587" s="1105"/>
    </row>
    <row r="1588" spans="1:35" s="4" customFormat="1" ht="15" customHeight="1">
      <c r="A1588" s="1023" t="s">
        <v>1923</v>
      </c>
      <c r="B1588" s="1023" t="s">
        <v>1925</v>
      </c>
      <c r="C1588" s="1023" t="s">
        <v>71</v>
      </c>
      <c r="D1588" s="1023" t="s">
        <v>1235</v>
      </c>
      <c r="E1588" s="1023" t="s">
        <v>66</v>
      </c>
      <c r="F1588" s="1023" t="s">
        <v>48</v>
      </c>
      <c r="G1588" s="1023"/>
      <c r="H1588" s="1145">
        <v>7</v>
      </c>
      <c r="I1588" s="1021" t="s">
        <v>143</v>
      </c>
      <c r="J1588" s="1043">
        <v>486507732</v>
      </c>
      <c r="K1588" s="1043">
        <v>486507732</v>
      </c>
      <c r="L1588" s="1043">
        <v>2746824526</v>
      </c>
      <c r="M1588" s="1068">
        <v>42153</v>
      </c>
      <c r="N1588" s="1089">
        <v>486507732</v>
      </c>
      <c r="O1588" s="1089">
        <v>486507732</v>
      </c>
      <c r="P1588" s="1089">
        <v>0</v>
      </c>
      <c r="Q1588" s="1084">
        <v>475092213.74000001</v>
      </c>
      <c r="R1588" s="1043">
        <v>2682372466</v>
      </c>
      <c r="S1588" s="1023" t="s">
        <v>1926</v>
      </c>
      <c r="T1588" s="840" t="s">
        <v>1940</v>
      </c>
      <c r="U1588" s="866">
        <v>95018442.709999993</v>
      </c>
      <c r="V1588" s="855">
        <v>42473</v>
      </c>
      <c r="W1588" s="842" t="s">
        <v>143</v>
      </c>
      <c r="X1588" s="1043">
        <v>471124573.37</v>
      </c>
      <c r="Y1588" s="1043">
        <v>2290256098.9900002</v>
      </c>
      <c r="Z1588" s="827">
        <v>0</v>
      </c>
      <c r="AA1588" s="1043">
        <v>15383158.629999995</v>
      </c>
      <c r="AB1588" s="1043">
        <v>-53870507.989999771</v>
      </c>
      <c r="AC1588" s="1043">
        <v>11415518.25999999</v>
      </c>
      <c r="AD1588" s="1043">
        <v>10260648.069999993</v>
      </c>
      <c r="AE1588" s="1043"/>
      <c r="AF1588" s="1023"/>
      <c r="AG1588" s="1023" t="s">
        <v>1944</v>
      </c>
      <c r="AH1588" s="1103" t="s">
        <v>195</v>
      </c>
      <c r="AI1588" s="1103" t="s">
        <v>1911</v>
      </c>
    </row>
    <row r="1589" spans="1:35" s="4" customFormat="1" ht="15" customHeight="1">
      <c r="A1589" s="1124"/>
      <c r="B1589" s="1124"/>
      <c r="C1589" s="1124"/>
      <c r="D1589" s="1124"/>
      <c r="E1589" s="1124"/>
      <c r="F1589" s="1124"/>
      <c r="G1589" s="1124"/>
      <c r="H1589" s="1146"/>
      <c r="I1589" s="1022"/>
      <c r="J1589" s="1044"/>
      <c r="K1589" s="1044"/>
      <c r="L1589" s="1044"/>
      <c r="M1589" s="1069"/>
      <c r="N1589" s="1090"/>
      <c r="O1589" s="1090"/>
      <c r="P1589" s="1090"/>
      <c r="Q1589" s="1084"/>
      <c r="R1589" s="1044"/>
      <c r="S1589" s="1124"/>
      <c r="T1589" s="840" t="s">
        <v>1941</v>
      </c>
      <c r="U1589" s="866">
        <v>283626528.66000003</v>
      </c>
      <c r="V1589" s="855">
        <v>42790</v>
      </c>
      <c r="W1589" s="842" t="s">
        <v>143</v>
      </c>
      <c r="X1589" s="1044"/>
      <c r="Y1589" s="1044"/>
      <c r="Z1589" s="827">
        <v>0</v>
      </c>
      <c r="AA1589" s="1044"/>
      <c r="AB1589" s="1044"/>
      <c r="AC1589" s="1044"/>
      <c r="AD1589" s="1044"/>
      <c r="AE1589" s="1044"/>
      <c r="AF1589" s="1124"/>
      <c r="AG1589" s="1124"/>
      <c r="AH1589" s="1104"/>
      <c r="AI1589" s="1104"/>
    </row>
    <row r="1590" spans="1:35" s="4" customFormat="1" ht="15" customHeight="1">
      <c r="A1590" s="1124"/>
      <c r="B1590" s="1124"/>
      <c r="C1590" s="1124"/>
      <c r="D1590" s="1124"/>
      <c r="E1590" s="1124"/>
      <c r="F1590" s="1124"/>
      <c r="G1590" s="1124"/>
      <c r="H1590" s="1146"/>
      <c r="I1590" s="1022"/>
      <c r="J1590" s="1044"/>
      <c r="K1590" s="1044"/>
      <c r="L1590" s="1044"/>
      <c r="M1590" s="1069"/>
      <c r="N1590" s="1090"/>
      <c r="O1590" s="1090"/>
      <c r="P1590" s="1090"/>
      <c r="Q1590" s="1084"/>
      <c r="R1590" s="1044"/>
      <c r="S1590" s="1124"/>
      <c r="T1590" s="840" t="s">
        <v>1942</v>
      </c>
      <c r="U1590" s="866">
        <v>71275211</v>
      </c>
      <c r="V1590" s="855">
        <v>42873</v>
      </c>
      <c r="W1590" s="842" t="s">
        <v>143</v>
      </c>
      <c r="X1590" s="1044"/>
      <c r="Y1590" s="1044"/>
      <c r="Z1590" s="827">
        <v>0</v>
      </c>
      <c r="AA1590" s="1044"/>
      <c r="AB1590" s="1044"/>
      <c r="AC1590" s="1044"/>
      <c r="AD1590" s="1044"/>
      <c r="AE1590" s="1044"/>
      <c r="AF1590" s="1124"/>
      <c r="AG1590" s="1124"/>
      <c r="AH1590" s="1104"/>
      <c r="AI1590" s="1104"/>
    </row>
    <row r="1591" spans="1:35" s="4" customFormat="1" ht="15" customHeight="1">
      <c r="A1591" s="1124"/>
      <c r="B1591" s="1124"/>
      <c r="C1591" s="1124"/>
      <c r="D1591" s="1124"/>
      <c r="E1591" s="1124"/>
      <c r="F1591" s="1124"/>
      <c r="G1591" s="1124"/>
      <c r="H1591" s="1146"/>
      <c r="I1591" s="1022"/>
      <c r="J1591" s="1044"/>
      <c r="K1591" s="1044"/>
      <c r="L1591" s="1044"/>
      <c r="M1591" s="1069"/>
      <c r="N1591" s="1091"/>
      <c r="O1591" s="1091"/>
      <c r="P1591" s="1091"/>
      <c r="Q1591" s="1084"/>
      <c r="R1591" s="1044"/>
      <c r="S1591" s="1124"/>
      <c r="T1591" s="840" t="s">
        <v>1943</v>
      </c>
      <c r="U1591" s="866">
        <v>21204391</v>
      </c>
      <c r="V1591" s="855">
        <v>42955</v>
      </c>
      <c r="W1591" s="842" t="s">
        <v>143</v>
      </c>
      <c r="X1591" s="1045"/>
      <c r="Y1591" s="1044"/>
      <c r="Z1591" s="827">
        <v>0</v>
      </c>
      <c r="AA1591" s="1045"/>
      <c r="AB1591" s="1044"/>
      <c r="AC1591" s="1044"/>
      <c r="AD1591" s="1044"/>
      <c r="AE1591" s="1044"/>
      <c r="AF1591" s="1124"/>
      <c r="AG1591" s="1124"/>
      <c r="AH1591" s="1104"/>
      <c r="AI1591" s="1104"/>
    </row>
    <row r="1592" spans="1:35" s="4" customFormat="1" ht="15" customHeight="1">
      <c r="A1592" s="1124"/>
      <c r="B1592" s="1124"/>
      <c r="C1592" s="1124"/>
      <c r="D1592" s="1124"/>
      <c r="E1592" s="1124"/>
      <c r="F1592" s="1124"/>
      <c r="G1592" s="1124"/>
      <c r="H1592" s="1145">
        <v>324</v>
      </c>
      <c r="I1592" s="1122" t="s">
        <v>137</v>
      </c>
      <c r="J1592" s="1084">
        <v>1108241990</v>
      </c>
      <c r="K1592" s="1043">
        <v>2260316794</v>
      </c>
      <c r="L1592" s="1044"/>
      <c r="M1592" s="1068">
        <v>42153</v>
      </c>
      <c r="N1592" s="1089">
        <v>2260316794</v>
      </c>
      <c r="O1592" s="1062">
        <v>1108241990</v>
      </c>
      <c r="P1592" s="1062">
        <v>0</v>
      </c>
      <c r="Q1592" s="1084">
        <v>1082237970.25</v>
      </c>
      <c r="R1592" s="1044"/>
      <c r="S1592" s="1124"/>
      <c r="T1592" s="1065" t="s">
        <v>1940</v>
      </c>
      <c r="U1592" s="866">
        <v>216447593.97</v>
      </c>
      <c r="V1592" s="855">
        <v>42473</v>
      </c>
      <c r="W1592" s="1122" t="s">
        <v>137</v>
      </c>
      <c r="X1592" s="1043">
        <v>1819131525.6200001</v>
      </c>
      <c r="Y1592" s="1044"/>
      <c r="Z1592" s="827">
        <v>0</v>
      </c>
      <c r="AA1592" s="1043">
        <v>25309040.709999979</v>
      </c>
      <c r="AB1592" s="1044"/>
      <c r="AC1592" s="1043">
        <v>26004019.75</v>
      </c>
      <c r="AD1592" s="1043">
        <v>259091893.93000031</v>
      </c>
      <c r="AE1592" s="1043"/>
      <c r="AF1592" s="1124"/>
      <c r="AG1592" s="1124"/>
      <c r="AH1592" s="1104"/>
      <c r="AI1592" s="1104"/>
    </row>
    <row r="1593" spans="1:35" s="4" customFormat="1" ht="15" customHeight="1">
      <c r="A1593" s="1124"/>
      <c r="B1593" s="1124"/>
      <c r="C1593" s="1124"/>
      <c r="D1593" s="1124"/>
      <c r="E1593" s="1124"/>
      <c r="F1593" s="1124"/>
      <c r="G1593" s="1124"/>
      <c r="H1593" s="1146"/>
      <c r="I1593" s="1122"/>
      <c r="J1593" s="1084"/>
      <c r="K1593" s="1044"/>
      <c r="L1593" s="1044"/>
      <c r="M1593" s="1069"/>
      <c r="N1593" s="1090"/>
      <c r="O1593" s="1063"/>
      <c r="P1593" s="1063"/>
      <c r="Q1593" s="1084"/>
      <c r="R1593" s="1044"/>
      <c r="S1593" s="1124"/>
      <c r="T1593" s="1067"/>
      <c r="U1593" s="866">
        <v>283626528.66000003</v>
      </c>
      <c r="V1593" s="855">
        <v>42790</v>
      </c>
      <c r="W1593" s="1122"/>
      <c r="X1593" s="1044"/>
      <c r="Y1593" s="1044"/>
      <c r="Z1593" s="827">
        <v>-58618072.340000033</v>
      </c>
      <c r="AA1593" s="1044"/>
      <c r="AB1593" s="1044"/>
      <c r="AC1593" s="1044"/>
      <c r="AD1593" s="1044"/>
      <c r="AE1593" s="1044"/>
      <c r="AF1593" s="1124"/>
      <c r="AG1593" s="1124"/>
      <c r="AH1593" s="1104"/>
      <c r="AI1593" s="1104"/>
    </row>
    <row r="1594" spans="1:35" s="4" customFormat="1" ht="15" customHeight="1">
      <c r="A1594" s="1124"/>
      <c r="B1594" s="1124"/>
      <c r="C1594" s="1124"/>
      <c r="D1594" s="1124"/>
      <c r="E1594" s="1124"/>
      <c r="F1594" s="1124"/>
      <c r="G1594" s="1124"/>
      <c r="H1594" s="1146"/>
      <c r="I1594" s="1122"/>
      <c r="J1594" s="1084"/>
      <c r="K1594" s="1044"/>
      <c r="L1594" s="1044"/>
      <c r="M1594" s="1069"/>
      <c r="N1594" s="1090"/>
      <c r="O1594" s="1063"/>
      <c r="P1594" s="1063"/>
      <c r="Q1594" s="1084"/>
      <c r="R1594" s="1044"/>
      <c r="S1594" s="1124"/>
      <c r="T1594" s="1065" t="s">
        <v>1941</v>
      </c>
      <c r="U1594" s="866">
        <v>285100844</v>
      </c>
      <c r="V1594" s="855">
        <v>42873</v>
      </c>
      <c r="W1594" s="1122"/>
      <c r="X1594" s="1044"/>
      <c r="Y1594" s="1044"/>
      <c r="Z1594" s="827">
        <v>-1474315.3399999738</v>
      </c>
      <c r="AA1594" s="1044"/>
      <c r="AB1594" s="1044"/>
      <c r="AC1594" s="1044"/>
      <c r="AD1594" s="1044"/>
      <c r="AE1594" s="1044"/>
      <c r="AF1594" s="1124"/>
      <c r="AG1594" s="1124"/>
      <c r="AH1594" s="1104"/>
      <c r="AI1594" s="1104"/>
    </row>
    <row r="1595" spans="1:35" s="4" customFormat="1" ht="15" customHeight="1">
      <c r="A1595" s="1124"/>
      <c r="B1595" s="1124"/>
      <c r="C1595" s="1124"/>
      <c r="D1595" s="1124"/>
      <c r="E1595" s="1124"/>
      <c r="F1595" s="1124"/>
      <c r="G1595" s="1124"/>
      <c r="H1595" s="1146"/>
      <c r="I1595" s="1122"/>
      <c r="J1595" s="1084"/>
      <c r="K1595" s="1044"/>
      <c r="L1595" s="1044"/>
      <c r="M1595" s="1069"/>
      <c r="N1595" s="1090"/>
      <c r="O1595" s="1064"/>
      <c r="P1595" s="1064"/>
      <c r="Q1595" s="1084"/>
      <c r="R1595" s="1044"/>
      <c r="S1595" s="1124"/>
      <c r="T1595" s="1067"/>
      <c r="U1595" s="866">
        <v>168945519</v>
      </c>
      <c r="V1595" s="855">
        <v>42955</v>
      </c>
      <c r="W1595" s="1122"/>
      <c r="X1595" s="1044"/>
      <c r="Y1595" s="1044"/>
      <c r="Z1595" s="827">
        <v>114681009.67000002</v>
      </c>
      <c r="AA1595" s="1045"/>
      <c r="AB1595" s="1044"/>
      <c r="AC1595" s="1045"/>
      <c r="AD1595" s="1044"/>
      <c r="AE1595" s="1044"/>
      <c r="AF1595" s="1124"/>
      <c r="AG1595" s="1124"/>
      <c r="AH1595" s="1104"/>
      <c r="AI1595" s="1104"/>
    </row>
    <row r="1596" spans="1:35" s="4" customFormat="1" ht="15" customHeight="1">
      <c r="A1596" s="1124"/>
      <c r="B1596" s="1124"/>
      <c r="C1596" s="1124"/>
      <c r="D1596" s="1124"/>
      <c r="E1596" s="1124"/>
      <c r="F1596" s="1124"/>
      <c r="G1596" s="1124"/>
      <c r="H1596" s="1146"/>
      <c r="I1596" s="1021" t="s">
        <v>7</v>
      </c>
      <c r="J1596" s="1043">
        <v>1152074804</v>
      </c>
      <c r="K1596" s="1044"/>
      <c r="L1596" s="1044"/>
      <c r="M1596" s="1069"/>
      <c r="N1596" s="1090"/>
      <c r="O1596" s="1062">
        <v>1152074804</v>
      </c>
      <c r="P1596" s="1062">
        <v>0</v>
      </c>
      <c r="Q1596" s="1043">
        <v>1125042282.01</v>
      </c>
      <c r="R1596" s="1044"/>
      <c r="S1596" s="1124"/>
      <c r="T1596" s="1065" t="s">
        <v>1942</v>
      </c>
      <c r="U1596" s="866">
        <v>225008456.31999999</v>
      </c>
      <c r="V1596" s="855">
        <v>42473</v>
      </c>
      <c r="W1596" s="1021" t="s">
        <v>7</v>
      </c>
      <c r="X1596" s="1044"/>
      <c r="Y1596" s="1044"/>
      <c r="Z1596" s="827">
        <v>60092387.680000007</v>
      </c>
      <c r="AA1596" s="1043">
        <v>415876227.6699999</v>
      </c>
      <c r="AB1596" s="1044"/>
      <c r="AC1596" s="1043">
        <v>27032521.99000001</v>
      </c>
      <c r="AD1596" s="1044"/>
      <c r="AE1596" s="1044"/>
      <c r="AF1596" s="1124"/>
      <c r="AG1596" s="1124"/>
      <c r="AH1596" s="1104"/>
      <c r="AI1596" s="1104"/>
    </row>
    <row r="1597" spans="1:35" s="4" customFormat="1" ht="15" customHeight="1">
      <c r="A1597" s="1124"/>
      <c r="B1597" s="1124"/>
      <c r="C1597" s="1124"/>
      <c r="D1597" s="1124"/>
      <c r="E1597" s="1124"/>
      <c r="F1597" s="1124"/>
      <c r="G1597" s="1124"/>
      <c r="H1597" s="1146"/>
      <c r="I1597" s="1022"/>
      <c r="J1597" s="1044"/>
      <c r="K1597" s="1044"/>
      <c r="L1597" s="1044"/>
      <c r="M1597" s="1069"/>
      <c r="N1597" s="1090"/>
      <c r="O1597" s="1063"/>
      <c r="P1597" s="1063"/>
      <c r="Q1597" s="1044"/>
      <c r="R1597" s="1044"/>
      <c r="S1597" s="1124"/>
      <c r="T1597" s="1067"/>
      <c r="U1597" s="866">
        <v>283626528.67000002</v>
      </c>
      <c r="V1597" s="855">
        <v>42790</v>
      </c>
      <c r="W1597" s="1022"/>
      <c r="X1597" s="1044"/>
      <c r="Y1597" s="1044"/>
      <c r="Z1597" s="827">
        <v>72749526.329999983</v>
      </c>
      <c r="AA1597" s="1044"/>
      <c r="AB1597" s="1044"/>
      <c r="AC1597" s="1044"/>
      <c r="AD1597" s="1044"/>
      <c r="AE1597" s="1044"/>
      <c r="AF1597" s="1124"/>
      <c r="AG1597" s="1124"/>
      <c r="AH1597" s="1104"/>
      <c r="AI1597" s="1104"/>
    </row>
    <row r="1598" spans="1:35" s="4" customFormat="1" ht="15" customHeight="1">
      <c r="A1598" s="1124"/>
      <c r="B1598" s="1124"/>
      <c r="C1598" s="1124"/>
      <c r="D1598" s="1124"/>
      <c r="E1598" s="1124"/>
      <c r="F1598" s="1124"/>
      <c r="G1598" s="1124"/>
      <c r="H1598" s="1146"/>
      <c r="I1598" s="1022"/>
      <c r="J1598" s="1044"/>
      <c r="K1598" s="1044"/>
      <c r="L1598" s="1044"/>
      <c r="M1598" s="1069"/>
      <c r="N1598" s="1090"/>
      <c r="O1598" s="1063"/>
      <c r="P1598" s="1063"/>
      <c r="Q1598" s="1044"/>
      <c r="R1598" s="1044"/>
      <c r="S1598" s="1124"/>
      <c r="T1598" s="1065" t="s">
        <v>1943</v>
      </c>
      <c r="U1598" s="866">
        <v>356376055</v>
      </c>
      <c r="V1598" s="855">
        <v>42873</v>
      </c>
      <c r="W1598" s="1022"/>
      <c r="X1598" s="1044"/>
      <c r="Y1598" s="1044"/>
      <c r="Z1598" s="827">
        <v>-187430536</v>
      </c>
      <c r="AA1598" s="1044"/>
      <c r="AB1598" s="1044"/>
      <c r="AC1598" s="1044"/>
      <c r="AD1598" s="1044"/>
      <c r="AE1598" s="1044"/>
      <c r="AF1598" s="1124"/>
      <c r="AG1598" s="1124"/>
      <c r="AH1598" s="1104"/>
      <c r="AI1598" s="1104"/>
    </row>
    <row r="1599" spans="1:35" ht="15" customHeight="1">
      <c r="A1599" s="1024"/>
      <c r="B1599" s="1024"/>
      <c r="C1599" s="1024"/>
      <c r="D1599" s="1024"/>
      <c r="E1599" s="1024"/>
      <c r="F1599" s="1024"/>
      <c r="G1599" s="1024"/>
      <c r="H1599" s="1147"/>
      <c r="I1599" s="1038"/>
      <c r="J1599" s="1045"/>
      <c r="K1599" s="1045"/>
      <c r="L1599" s="1045"/>
      <c r="M1599" s="1070"/>
      <c r="N1599" s="1091"/>
      <c r="O1599" s="1064"/>
      <c r="P1599" s="1064"/>
      <c r="Q1599" s="1045"/>
      <c r="R1599" s="1045"/>
      <c r="S1599" s="1024"/>
      <c r="T1599" s="1067"/>
      <c r="U1599" s="866">
        <v>176634333</v>
      </c>
      <c r="V1599" s="855"/>
      <c r="W1599" s="1038"/>
      <c r="X1599" s="1045"/>
      <c r="Y1599" s="1045"/>
      <c r="Z1599" s="827">
        <v>0</v>
      </c>
      <c r="AA1599" s="1045"/>
      <c r="AB1599" s="1045"/>
      <c r="AC1599" s="1045"/>
      <c r="AD1599" s="1045"/>
      <c r="AE1599" s="1045"/>
      <c r="AF1599" s="1024"/>
      <c r="AG1599" s="1024"/>
      <c r="AH1599" s="1105"/>
      <c r="AI1599" s="1105"/>
    </row>
    <row r="1600" spans="1:35" ht="15" customHeight="1">
      <c r="A1600" s="804" t="s">
        <v>2678</v>
      </c>
      <c r="B1600" s="804" t="s">
        <v>2680</v>
      </c>
      <c r="C1600" s="804"/>
      <c r="D1600" s="804"/>
      <c r="E1600" s="804"/>
      <c r="F1600" s="804"/>
      <c r="G1600" s="803"/>
      <c r="H1600" s="848">
        <v>9</v>
      </c>
      <c r="I1600" s="1065" t="s">
        <v>161</v>
      </c>
      <c r="J1600" s="1084">
        <v>1563158721</v>
      </c>
      <c r="K1600" s="806"/>
      <c r="L1600" s="806"/>
      <c r="M1600" s="817"/>
      <c r="N1600" s="832"/>
      <c r="O1600" s="799"/>
      <c r="P1600" s="799"/>
      <c r="Q1600" s="807"/>
      <c r="R1600" s="806"/>
      <c r="S1600" s="803"/>
      <c r="T1600" s="794" t="s">
        <v>2681</v>
      </c>
      <c r="U1600" s="866">
        <v>780727451.5</v>
      </c>
      <c r="V1600" s="855">
        <v>42451</v>
      </c>
      <c r="W1600" s="801"/>
      <c r="X1600" s="806"/>
      <c r="Y1600" s="806"/>
      <c r="Z1600" s="805"/>
      <c r="AA1600" s="806"/>
      <c r="AB1600" s="806"/>
      <c r="AC1600" s="806"/>
      <c r="AD1600" s="807"/>
      <c r="AE1600" s="807"/>
      <c r="AF1600" s="803"/>
      <c r="AG1600" s="804"/>
      <c r="AH1600" s="835"/>
      <c r="AI1600" s="835"/>
    </row>
    <row r="1601" spans="1:35" ht="15" customHeight="1">
      <c r="A1601" s="804"/>
      <c r="B1601" s="804"/>
      <c r="C1601" s="804"/>
      <c r="D1601" s="804"/>
      <c r="E1601" s="804"/>
      <c r="F1601" s="804"/>
      <c r="G1601" s="803"/>
      <c r="H1601" s="848"/>
      <c r="I1601" s="1067"/>
      <c r="J1601" s="1084"/>
      <c r="K1601" s="806"/>
      <c r="L1601" s="806"/>
      <c r="M1601" s="817"/>
      <c r="N1601" s="832"/>
      <c r="O1601" s="799"/>
      <c r="P1601" s="799"/>
      <c r="Q1601" s="807"/>
      <c r="R1601" s="806"/>
      <c r="S1601" s="803"/>
      <c r="T1601" s="794" t="s">
        <v>2682</v>
      </c>
      <c r="U1601" s="866">
        <v>223521371.5</v>
      </c>
      <c r="V1601" s="855">
        <v>42886</v>
      </c>
      <c r="W1601" s="801"/>
      <c r="X1601" s="806"/>
      <c r="Y1601" s="806"/>
      <c r="Z1601" s="805"/>
      <c r="AA1601" s="806"/>
      <c r="AB1601" s="806"/>
      <c r="AC1601" s="806"/>
      <c r="AD1601" s="807"/>
      <c r="AE1601" s="807"/>
      <c r="AF1601" s="803"/>
      <c r="AG1601" s="804"/>
      <c r="AH1601" s="835"/>
      <c r="AI1601" s="835"/>
    </row>
    <row r="1602" spans="1:35" ht="15" customHeight="1">
      <c r="A1602" s="804"/>
      <c r="B1602" s="804"/>
      <c r="C1602" s="804"/>
      <c r="D1602" s="804"/>
      <c r="E1602" s="804"/>
      <c r="F1602" s="804"/>
      <c r="G1602" s="803"/>
      <c r="H1602" s="848"/>
      <c r="I1602" s="801"/>
      <c r="J1602" s="806"/>
      <c r="K1602" s="806"/>
      <c r="L1602" s="806"/>
      <c r="M1602" s="817"/>
      <c r="N1602" s="832"/>
      <c r="O1602" s="799"/>
      <c r="P1602" s="799"/>
      <c r="Q1602" s="807"/>
      <c r="R1602" s="806"/>
      <c r="S1602" s="803"/>
      <c r="T1602" s="794" t="s">
        <v>2683</v>
      </c>
      <c r="U1602" s="866">
        <v>365615453.5</v>
      </c>
      <c r="V1602" s="855">
        <v>42989</v>
      </c>
      <c r="W1602" s="801"/>
      <c r="X1602" s="806"/>
      <c r="Y1602" s="806"/>
      <c r="Z1602" s="805"/>
      <c r="AA1602" s="806"/>
      <c r="AB1602" s="806"/>
      <c r="AC1602" s="806"/>
      <c r="AD1602" s="807"/>
      <c r="AE1602" s="807"/>
      <c r="AF1602" s="803"/>
      <c r="AG1602" s="804"/>
      <c r="AH1602" s="835"/>
      <c r="AI1602" s="835"/>
    </row>
    <row r="1603" spans="1:35" ht="15" customHeight="1">
      <c r="A1603" s="804"/>
      <c r="B1603" s="804"/>
      <c r="C1603" s="804"/>
      <c r="D1603" s="804"/>
      <c r="E1603" s="804"/>
      <c r="F1603" s="804"/>
      <c r="G1603" s="803"/>
      <c r="H1603" s="848"/>
      <c r="I1603" s="801"/>
      <c r="J1603" s="806"/>
      <c r="K1603" s="806"/>
      <c r="L1603" s="806"/>
      <c r="M1603" s="817"/>
      <c r="N1603" s="832"/>
      <c r="O1603" s="799"/>
      <c r="P1603" s="799"/>
      <c r="Q1603" s="807"/>
      <c r="R1603" s="806"/>
      <c r="S1603" s="803"/>
      <c r="T1603" s="794"/>
      <c r="U1603" s="866"/>
      <c r="V1603" s="855"/>
      <c r="W1603" s="801"/>
      <c r="X1603" s="806"/>
      <c r="Y1603" s="806"/>
      <c r="Z1603" s="805"/>
      <c r="AA1603" s="806"/>
      <c r="AB1603" s="806"/>
      <c r="AC1603" s="806"/>
      <c r="AD1603" s="807"/>
      <c r="AE1603" s="807"/>
      <c r="AF1603" s="803"/>
      <c r="AG1603" s="804"/>
      <c r="AH1603" s="835"/>
      <c r="AI1603" s="835"/>
    </row>
    <row r="1604" spans="1:35" ht="15" customHeight="1">
      <c r="A1604" s="804"/>
      <c r="B1604" s="804"/>
      <c r="C1604" s="804"/>
      <c r="D1604" s="804"/>
      <c r="E1604" s="804"/>
      <c r="F1604" s="804"/>
      <c r="G1604" s="803"/>
      <c r="H1604" s="848"/>
      <c r="I1604" s="801"/>
      <c r="J1604" s="806"/>
      <c r="K1604" s="806"/>
      <c r="L1604" s="806"/>
      <c r="M1604" s="817"/>
      <c r="N1604" s="832"/>
      <c r="O1604" s="799"/>
      <c r="P1604" s="799"/>
      <c r="Q1604" s="807"/>
      <c r="R1604" s="806"/>
      <c r="S1604" s="803"/>
      <c r="T1604" s="794"/>
      <c r="U1604" s="866"/>
      <c r="V1604" s="855"/>
      <c r="W1604" s="801"/>
      <c r="X1604" s="806"/>
      <c r="Y1604" s="806"/>
      <c r="Z1604" s="805"/>
      <c r="AA1604" s="806"/>
      <c r="AB1604" s="806"/>
      <c r="AC1604" s="806"/>
      <c r="AD1604" s="807"/>
      <c r="AE1604" s="807"/>
      <c r="AF1604" s="803"/>
      <c r="AG1604" s="804"/>
      <c r="AH1604" s="835"/>
      <c r="AI1604" s="835"/>
    </row>
    <row r="1605" spans="1:35" ht="15" customHeight="1">
      <c r="A1605" s="804"/>
      <c r="B1605" s="804"/>
      <c r="C1605" s="804"/>
      <c r="D1605" s="804"/>
      <c r="E1605" s="804"/>
      <c r="F1605" s="804"/>
      <c r="G1605" s="803"/>
      <c r="H1605" s="848"/>
      <c r="I1605" s="801"/>
      <c r="J1605" s="806"/>
      <c r="K1605" s="806"/>
      <c r="L1605" s="806"/>
      <c r="M1605" s="817"/>
      <c r="N1605" s="832"/>
      <c r="O1605" s="799"/>
      <c r="P1605" s="799"/>
      <c r="Q1605" s="807"/>
      <c r="R1605" s="806"/>
      <c r="S1605" s="803"/>
      <c r="T1605" s="794"/>
      <c r="U1605" s="866"/>
      <c r="V1605" s="855"/>
      <c r="W1605" s="801"/>
      <c r="X1605" s="806"/>
      <c r="Y1605" s="806"/>
      <c r="Z1605" s="805"/>
      <c r="AA1605" s="806"/>
      <c r="AB1605" s="806"/>
      <c r="AC1605" s="806"/>
      <c r="AD1605" s="807"/>
      <c r="AE1605" s="807"/>
      <c r="AF1605" s="803"/>
      <c r="AG1605" s="804"/>
      <c r="AH1605" s="835"/>
      <c r="AI1605" s="835"/>
    </row>
    <row r="1606" spans="1:35" ht="15" customHeight="1">
      <c r="A1606" s="804"/>
      <c r="B1606" s="804"/>
      <c r="C1606" s="804"/>
      <c r="D1606" s="804"/>
      <c r="E1606" s="804"/>
      <c r="F1606" s="804"/>
      <c r="G1606" s="803"/>
      <c r="H1606" s="848"/>
      <c r="I1606" s="801"/>
      <c r="J1606" s="806"/>
      <c r="K1606" s="806"/>
      <c r="L1606" s="806"/>
      <c r="M1606" s="817"/>
      <c r="N1606" s="832"/>
      <c r="O1606" s="799"/>
      <c r="P1606" s="799"/>
      <c r="Q1606" s="807"/>
      <c r="R1606" s="806"/>
      <c r="S1606" s="803"/>
      <c r="T1606" s="794"/>
      <c r="U1606" s="866"/>
      <c r="V1606" s="855"/>
      <c r="W1606" s="801"/>
      <c r="X1606" s="806"/>
      <c r="Y1606" s="806"/>
      <c r="Z1606" s="805"/>
      <c r="AA1606" s="806"/>
      <c r="AB1606" s="806"/>
      <c r="AC1606" s="806"/>
      <c r="AD1606" s="807"/>
      <c r="AE1606" s="807"/>
      <c r="AF1606" s="803"/>
      <c r="AG1606" s="804"/>
      <c r="AH1606" s="835"/>
      <c r="AI1606" s="835"/>
    </row>
    <row r="1607" spans="1:35" ht="15" customHeight="1">
      <c r="A1607" s="804"/>
      <c r="B1607" s="804"/>
      <c r="C1607" s="804"/>
      <c r="D1607" s="804"/>
      <c r="E1607" s="804"/>
      <c r="F1607" s="804"/>
      <c r="G1607" s="803"/>
      <c r="H1607" s="848"/>
      <c r="I1607" s="801"/>
      <c r="J1607" s="806"/>
      <c r="K1607" s="806"/>
      <c r="L1607" s="806"/>
      <c r="M1607" s="817"/>
      <c r="N1607" s="832"/>
      <c r="O1607" s="799"/>
      <c r="P1607" s="799"/>
      <c r="Q1607" s="807"/>
      <c r="R1607" s="806"/>
      <c r="S1607" s="803"/>
      <c r="T1607" s="794"/>
      <c r="U1607" s="866"/>
      <c r="V1607" s="855"/>
      <c r="W1607" s="801"/>
      <c r="X1607" s="806"/>
      <c r="Y1607" s="806"/>
      <c r="Z1607" s="805"/>
      <c r="AA1607" s="806"/>
      <c r="AB1607" s="806"/>
      <c r="AC1607" s="806"/>
      <c r="AD1607" s="807"/>
      <c r="AE1607" s="807"/>
      <c r="AF1607" s="803"/>
      <c r="AG1607" s="804"/>
      <c r="AH1607" s="835"/>
      <c r="AI1607" s="835"/>
    </row>
    <row r="1608" spans="1:35" ht="15" customHeight="1">
      <c r="A1608" s="804"/>
      <c r="B1608" s="804"/>
      <c r="C1608" s="804"/>
      <c r="D1608" s="804"/>
      <c r="E1608" s="804"/>
      <c r="F1608" s="804"/>
      <c r="G1608" s="803"/>
      <c r="H1608" s="848"/>
      <c r="I1608" s="801"/>
      <c r="J1608" s="806"/>
      <c r="K1608" s="806"/>
      <c r="L1608" s="806"/>
      <c r="M1608" s="817"/>
      <c r="N1608" s="832"/>
      <c r="O1608" s="799"/>
      <c r="P1608" s="799"/>
      <c r="Q1608" s="807"/>
      <c r="R1608" s="806"/>
      <c r="S1608" s="803"/>
      <c r="T1608" s="794"/>
      <c r="U1608" s="866"/>
      <c r="V1608" s="855"/>
      <c r="W1608" s="801"/>
      <c r="X1608" s="806"/>
      <c r="Y1608" s="806"/>
      <c r="Z1608" s="805"/>
      <c r="AA1608" s="806"/>
      <c r="AB1608" s="806"/>
      <c r="AC1608" s="806"/>
      <c r="AD1608" s="807"/>
      <c r="AE1608" s="807"/>
      <c r="AF1608" s="803"/>
      <c r="AG1608" s="804"/>
      <c r="AH1608" s="835"/>
      <c r="AI1608" s="835"/>
    </row>
    <row r="1609" spans="1:35" s="4" customFormat="1" ht="15" customHeight="1">
      <c r="A1609" s="1011" t="s">
        <v>2103</v>
      </c>
      <c r="B1609" s="1011" t="s">
        <v>2095</v>
      </c>
      <c r="C1609" s="1011" t="s">
        <v>71</v>
      </c>
      <c r="D1609" s="1011" t="s">
        <v>2036</v>
      </c>
      <c r="E1609" s="1011" t="s">
        <v>66</v>
      </c>
      <c r="F1609" s="1011" t="s">
        <v>48</v>
      </c>
      <c r="G1609" s="823"/>
      <c r="H1609" s="1009">
        <v>333</v>
      </c>
      <c r="I1609" s="1021" t="s">
        <v>137</v>
      </c>
      <c r="J1609" s="1100">
        <v>136554982</v>
      </c>
      <c r="K1609" s="1100">
        <v>1089646832</v>
      </c>
      <c r="L1609" s="1100">
        <v>1239026039</v>
      </c>
      <c r="M1609" s="1068">
        <v>42278</v>
      </c>
      <c r="N1609" s="874"/>
      <c r="O1609" s="875"/>
      <c r="P1609" s="875"/>
      <c r="Q1609" s="875">
        <v>136554892</v>
      </c>
      <c r="R1609" s="1100">
        <v>1232829319</v>
      </c>
      <c r="S1609" s="823"/>
      <c r="T1609" s="840" t="s">
        <v>2094</v>
      </c>
      <c r="U1609" s="83">
        <v>28450415.100000001</v>
      </c>
      <c r="V1609" s="855">
        <v>42615</v>
      </c>
      <c r="W1609" s="1021" t="s">
        <v>137</v>
      </c>
      <c r="X1609" s="1023">
        <v>104987475.21000001</v>
      </c>
      <c r="Y1609" s="1023">
        <v>1064282456.2</v>
      </c>
      <c r="Z1609" s="1023">
        <v>0</v>
      </c>
      <c r="AA1609" s="1023">
        <v>0</v>
      </c>
      <c r="AB1609" s="1023">
        <v>0</v>
      </c>
      <c r="AC1609" s="1023">
        <v>90</v>
      </c>
      <c r="AD1609" s="885"/>
      <c r="AE1609" s="885"/>
      <c r="AF1609" s="863"/>
      <c r="AG1609" s="1103" t="s">
        <v>2093</v>
      </c>
      <c r="AH1609" s="1103" t="s">
        <v>195</v>
      </c>
      <c r="AI1609" s="1103" t="s">
        <v>1911</v>
      </c>
    </row>
    <row r="1610" spans="1:35" s="4" customFormat="1" ht="15" customHeight="1">
      <c r="A1610" s="1033"/>
      <c r="B1610" s="1033"/>
      <c r="C1610" s="1033"/>
      <c r="D1610" s="1033"/>
      <c r="E1610" s="1033"/>
      <c r="F1610" s="1033"/>
      <c r="G1610" s="823"/>
      <c r="H1610" s="1039"/>
      <c r="I1610" s="1022"/>
      <c r="J1610" s="1101"/>
      <c r="K1610" s="1101"/>
      <c r="L1610" s="1101"/>
      <c r="M1610" s="1069"/>
      <c r="N1610" s="874"/>
      <c r="O1610" s="875"/>
      <c r="P1610" s="875"/>
      <c r="Q1610" s="875"/>
      <c r="R1610" s="1101"/>
      <c r="S1610" s="823"/>
      <c r="T1610" s="840" t="s">
        <v>2092</v>
      </c>
      <c r="U1610" s="83">
        <v>39121498.799999997</v>
      </c>
      <c r="V1610" s="855">
        <v>42823</v>
      </c>
      <c r="W1610" s="1022"/>
      <c r="X1610" s="1124"/>
      <c r="Y1610" s="1124"/>
      <c r="Z1610" s="1124"/>
      <c r="AA1610" s="1124"/>
      <c r="AB1610" s="1124"/>
      <c r="AC1610" s="1124"/>
      <c r="AD1610" s="885"/>
      <c r="AE1610" s="885"/>
      <c r="AF1610" s="863"/>
      <c r="AG1610" s="1104"/>
      <c r="AH1610" s="1104"/>
      <c r="AI1610" s="1104"/>
    </row>
    <row r="1611" spans="1:35" s="4" customFormat="1" ht="15" customHeight="1">
      <c r="A1611" s="1033"/>
      <c r="B1611" s="1033"/>
      <c r="C1611" s="1033"/>
      <c r="D1611" s="1033"/>
      <c r="E1611" s="1033"/>
      <c r="F1611" s="1033"/>
      <c r="G1611" s="823"/>
      <c r="H1611" s="1039"/>
      <c r="I1611" s="1022"/>
      <c r="J1611" s="1102"/>
      <c r="K1611" s="1101"/>
      <c r="L1611" s="1101"/>
      <c r="M1611" s="1069"/>
      <c r="N1611" s="874"/>
      <c r="O1611" s="875"/>
      <c r="P1611" s="875"/>
      <c r="Q1611" s="875"/>
      <c r="R1611" s="1101"/>
      <c r="S1611" s="823"/>
      <c r="T1611" s="840" t="s">
        <v>2091</v>
      </c>
      <c r="U1611" s="83">
        <v>37415561.310000002</v>
      </c>
      <c r="V1611" s="855">
        <v>43039</v>
      </c>
      <c r="W1611" s="1022"/>
      <c r="X1611" s="1024"/>
      <c r="Y1611" s="1124"/>
      <c r="Z1611" s="1124"/>
      <c r="AA1611" s="1124"/>
      <c r="AB1611" s="1124"/>
      <c r="AC1611" s="1024"/>
      <c r="AD1611" s="885"/>
      <c r="AE1611" s="885"/>
      <c r="AF1611" s="863"/>
      <c r="AG1611" s="1104"/>
      <c r="AH1611" s="1104"/>
      <c r="AI1611" s="1104"/>
    </row>
    <row r="1612" spans="1:35" s="4" customFormat="1" ht="15" customHeight="1">
      <c r="A1612" s="1033"/>
      <c r="B1612" s="1033"/>
      <c r="C1612" s="1033"/>
      <c r="D1612" s="1033"/>
      <c r="E1612" s="1033"/>
      <c r="F1612" s="1033"/>
      <c r="G1612" s="823"/>
      <c r="H1612" s="1039"/>
      <c r="I1612" s="1022"/>
      <c r="J1612" s="845"/>
      <c r="K1612" s="1101"/>
      <c r="L1612" s="1101"/>
      <c r="M1612" s="1069"/>
      <c r="N1612" s="874"/>
      <c r="O1612" s="875"/>
      <c r="P1612" s="875"/>
      <c r="Q1612" s="875"/>
      <c r="R1612" s="1101"/>
      <c r="S1612" s="823"/>
      <c r="T1612" s="840"/>
      <c r="U1612" s="83">
        <v>9221780.1500000004</v>
      </c>
      <c r="V1612" s="855">
        <v>43160</v>
      </c>
      <c r="W1612" s="1022"/>
      <c r="X1612" s="804"/>
      <c r="Y1612" s="1124"/>
      <c r="Z1612" s="1124"/>
      <c r="AA1612" s="1124"/>
      <c r="AB1612" s="1124"/>
      <c r="AC1612" s="804"/>
      <c r="AD1612" s="885"/>
      <c r="AE1612" s="885"/>
      <c r="AF1612" s="863"/>
      <c r="AG1612" s="1104"/>
      <c r="AH1612" s="1104"/>
      <c r="AI1612" s="1104"/>
    </row>
    <row r="1613" spans="1:35" s="4" customFormat="1" ht="15" customHeight="1">
      <c r="A1613" s="1033"/>
      <c r="B1613" s="1033"/>
      <c r="C1613" s="1033"/>
      <c r="D1613" s="1033"/>
      <c r="E1613" s="1033"/>
      <c r="F1613" s="1033"/>
      <c r="G1613" s="823"/>
      <c r="H1613" s="1039"/>
      <c r="I1613" s="1038"/>
      <c r="J1613" s="845"/>
      <c r="K1613" s="1101"/>
      <c r="L1613" s="1101"/>
      <c r="M1613" s="1069"/>
      <c r="N1613" s="874"/>
      <c r="O1613" s="875"/>
      <c r="P1613" s="875"/>
      <c r="Q1613" s="875"/>
      <c r="R1613" s="1101"/>
      <c r="S1613" s="823"/>
      <c r="T1613" s="840"/>
      <c r="U1613" s="83"/>
      <c r="V1613" s="855"/>
      <c r="W1613" s="1038"/>
      <c r="X1613" s="804"/>
      <c r="Y1613" s="1124"/>
      <c r="Z1613" s="1124"/>
      <c r="AA1613" s="1124"/>
      <c r="AB1613" s="1124"/>
      <c r="AC1613" s="804"/>
      <c r="AD1613" s="885"/>
      <c r="AE1613" s="885"/>
      <c r="AF1613" s="863"/>
      <c r="AG1613" s="1104"/>
      <c r="AH1613" s="1104"/>
      <c r="AI1613" s="1104"/>
    </row>
    <row r="1614" spans="1:35" s="4" customFormat="1" ht="15" customHeight="1">
      <c r="A1614" s="1033"/>
      <c r="B1614" s="1033"/>
      <c r="C1614" s="1033"/>
      <c r="D1614" s="1033"/>
      <c r="E1614" s="1033"/>
      <c r="F1614" s="1033"/>
      <c r="G1614" s="823"/>
      <c r="H1614" s="1039"/>
      <c r="I1614" s="1021" t="s">
        <v>7</v>
      </c>
      <c r="J1614" s="1100">
        <v>953091850</v>
      </c>
      <c r="K1614" s="1101"/>
      <c r="L1614" s="1101"/>
      <c r="M1614" s="1069"/>
      <c r="N1614" s="874"/>
      <c r="O1614" s="875"/>
      <c r="P1614" s="875"/>
      <c r="Q1614" s="875">
        <v>946895220</v>
      </c>
      <c r="R1614" s="1101"/>
      <c r="S1614" s="823"/>
      <c r="T1614" s="840" t="s">
        <v>2090</v>
      </c>
      <c r="U1614" s="83">
        <v>436230897.39999998</v>
      </c>
      <c r="V1614" s="855">
        <v>42615</v>
      </c>
      <c r="W1614" s="1021" t="s">
        <v>7</v>
      </c>
      <c r="X1614" s="1023">
        <v>844646986.01999998</v>
      </c>
      <c r="Y1614" s="1124"/>
      <c r="Z1614" s="1124"/>
      <c r="AA1614" s="1124"/>
      <c r="AB1614" s="1124"/>
      <c r="AC1614" s="1023">
        <v>6196630</v>
      </c>
      <c r="AD1614" s="885"/>
      <c r="AE1614" s="885"/>
      <c r="AF1614" s="863"/>
      <c r="AG1614" s="1104"/>
      <c r="AH1614" s="1104"/>
      <c r="AI1614" s="1104"/>
    </row>
    <row r="1615" spans="1:35" s="4" customFormat="1" ht="15" customHeight="1">
      <c r="A1615" s="1033"/>
      <c r="B1615" s="1033"/>
      <c r="C1615" s="1033"/>
      <c r="D1615" s="1033"/>
      <c r="E1615" s="1033"/>
      <c r="F1615" s="1033"/>
      <c r="G1615" s="823"/>
      <c r="H1615" s="1039"/>
      <c r="I1615" s="1022"/>
      <c r="J1615" s="1101"/>
      <c r="K1615" s="1101"/>
      <c r="L1615" s="1101"/>
      <c r="M1615" s="1069"/>
      <c r="N1615" s="874"/>
      <c r="O1615" s="875"/>
      <c r="P1615" s="875"/>
      <c r="Q1615" s="875"/>
      <c r="R1615" s="1101"/>
      <c r="S1615" s="823"/>
      <c r="T1615" s="840" t="s">
        <v>2089</v>
      </c>
      <c r="U1615" s="83">
        <v>273850491</v>
      </c>
      <c r="V1615" s="855">
        <v>42823</v>
      </c>
      <c r="W1615" s="1022"/>
      <c r="X1615" s="1124"/>
      <c r="Y1615" s="1124"/>
      <c r="Z1615" s="1124"/>
      <c r="AA1615" s="1124"/>
      <c r="AB1615" s="1124"/>
      <c r="AC1615" s="1124"/>
      <c r="AD1615" s="885"/>
      <c r="AE1615" s="885"/>
      <c r="AF1615" s="863"/>
      <c r="AG1615" s="1104"/>
      <c r="AH1615" s="1104"/>
      <c r="AI1615" s="1104"/>
    </row>
    <row r="1616" spans="1:35" s="4" customFormat="1" ht="15" customHeight="1">
      <c r="A1616" s="1033"/>
      <c r="B1616" s="1033"/>
      <c r="C1616" s="1033"/>
      <c r="D1616" s="1033"/>
      <c r="E1616" s="1033"/>
      <c r="F1616" s="1033"/>
      <c r="G1616" s="823"/>
      <c r="H1616" s="1039"/>
      <c r="I1616" s="1022"/>
      <c r="J1616" s="1102"/>
      <c r="K1616" s="1102"/>
      <c r="L1616" s="1101"/>
      <c r="M1616" s="1070"/>
      <c r="N1616" s="874"/>
      <c r="O1616" s="875"/>
      <c r="P1616" s="875"/>
      <c r="Q1616" s="875"/>
      <c r="R1616" s="1101"/>
      <c r="S1616" s="823"/>
      <c r="T1616" s="840" t="s">
        <v>2088</v>
      </c>
      <c r="U1616" s="83">
        <v>134565597.62</v>
      </c>
      <c r="V1616" s="855">
        <v>43039</v>
      </c>
      <c r="W1616" s="1022"/>
      <c r="X1616" s="1024"/>
      <c r="Y1616" s="1124"/>
      <c r="Z1616" s="1124"/>
      <c r="AA1616" s="1124"/>
      <c r="AB1616" s="1124"/>
      <c r="AC1616" s="1024"/>
      <c r="AD1616" s="885"/>
      <c r="AE1616" s="885"/>
      <c r="AF1616" s="863"/>
      <c r="AG1616" s="1104"/>
      <c r="AH1616" s="1104"/>
      <c r="AI1616" s="1104"/>
    </row>
    <row r="1617" spans="1:38" s="4" customFormat="1" ht="15" customHeight="1">
      <c r="A1617" s="1033"/>
      <c r="B1617" s="1033"/>
      <c r="C1617" s="1033"/>
      <c r="D1617" s="1033"/>
      <c r="E1617" s="1033"/>
      <c r="F1617" s="1033"/>
      <c r="G1617" s="823"/>
      <c r="H1617" s="1039"/>
      <c r="I1617" s="1022"/>
      <c r="J1617" s="845"/>
      <c r="K1617" s="845"/>
      <c r="L1617" s="1101"/>
      <c r="M1617" s="817"/>
      <c r="N1617" s="874"/>
      <c r="O1617" s="875"/>
      <c r="P1617" s="875"/>
      <c r="Q1617" s="875"/>
      <c r="R1617" s="1101"/>
      <c r="S1617" s="823"/>
      <c r="T1617" s="840"/>
      <c r="U1617" s="83">
        <v>30643407.259999998</v>
      </c>
      <c r="V1617" s="855">
        <v>43160</v>
      </c>
      <c r="W1617" s="1022"/>
      <c r="X1617" s="804"/>
      <c r="Y1617" s="1124"/>
      <c r="Z1617" s="1124"/>
      <c r="AA1617" s="1124"/>
      <c r="AB1617" s="1124"/>
      <c r="AC1617" s="804"/>
      <c r="AD1617" s="885"/>
      <c r="AE1617" s="885"/>
      <c r="AF1617" s="863"/>
      <c r="AG1617" s="1104"/>
      <c r="AH1617" s="1104"/>
      <c r="AI1617" s="1104"/>
    </row>
    <row r="1618" spans="1:38" s="4" customFormat="1" ht="15" customHeight="1">
      <c r="A1618" s="1033"/>
      <c r="B1618" s="1033"/>
      <c r="C1618" s="1033"/>
      <c r="D1618" s="1033"/>
      <c r="E1618" s="1033"/>
      <c r="F1618" s="1033"/>
      <c r="G1618" s="823"/>
      <c r="H1618" s="1010"/>
      <c r="I1618" s="1038"/>
      <c r="J1618" s="845"/>
      <c r="K1618" s="845"/>
      <c r="L1618" s="1101"/>
      <c r="M1618" s="817"/>
      <c r="N1618" s="874"/>
      <c r="O1618" s="875"/>
      <c r="P1618" s="875"/>
      <c r="Q1618" s="875"/>
      <c r="R1618" s="1101"/>
      <c r="S1618" s="823"/>
      <c r="T1618" s="840"/>
      <c r="U1618" s="83"/>
      <c r="V1618" s="855"/>
      <c r="W1618" s="1038"/>
      <c r="X1618" s="804"/>
      <c r="Y1618" s="1124"/>
      <c r="Z1618" s="1124"/>
      <c r="AA1618" s="1124"/>
      <c r="AB1618" s="1124"/>
      <c r="AC1618" s="804"/>
      <c r="AD1618" s="885"/>
      <c r="AE1618" s="885"/>
      <c r="AF1618" s="863"/>
      <c r="AG1618" s="1104"/>
      <c r="AH1618" s="1104"/>
      <c r="AI1618" s="1104"/>
    </row>
    <row r="1619" spans="1:38" s="4" customFormat="1" ht="15" customHeight="1">
      <c r="A1619" s="1033"/>
      <c r="B1619" s="1033"/>
      <c r="C1619" s="1033"/>
      <c r="D1619" s="1033"/>
      <c r="E1619" s="1033"/>
      <c r="F1619" s="1033"/>
      <c r="G1619" s="823"/>
      <c r="H1619" s="1009">
        <v>9</v>
      </c>
      <c r="I1619" s="1021" t="s">
        <v>2086</v>
      </c>
      <c r="J1619" s="1100">
        <v>149379207</v>
      </c>
      <c r="K1619" s="1100">
        <v>149379207</v>
      </c>
      <c r="L1619" s="1101"/>
      <c r="M1619" s="1068">
        <v>42278</v>
      </c>
      <c r="N1619" s="874"/>
      <c r="O1619" s="875"/>
      <c r="P1619" s="875"/>
      <c r="Q1619" s="875">
        <v>149379207</v>
      </c>
      <c r="R1619" s="1101"/>
      <c r="S1619" s="823"/>
      <c r="T1619" s="840" t="s">
        <v>2087</v>
      </c>
      <c r="U1619" s="83">
        <v>28450415.100000001</v>
      </c>
      <c r="V1619" s="855">
        <v>42615</v>
      </c>
      <c r="W1619" s="1021" t="s">
        <v>2086</v>
      </c>
      <c r="X1619" s="1023">
        <v>114647994.97000001</v>
      </c>
      <c r="Y1619" s="1124"/>
      <c r="Z1619" s="1124"/>
      <c r="AA1619" s="1124"/>
      <c r="AB1619" s="1124"/>
      <c r="AC1619" s="1023">
        <v>0</v>
      </c>
      <c r="AD1619" s="885"/>
      <c r="AE1619" s="885"/>
      <c r="AF1619" s="863"/>
      <c r="AG1619" s="1104"/>
      <c r="AH1619" s="1104"/>
      <c r="AI1619" s="1104"/>
    </row>
    <row r="1620" spans="1:38" s="4" customFormat="1" ht="15" customHeight="1">
      <c r="A1620" s="1033"/>
      <c r="B1620" s="1033"/>
      <c r="C1620" s="1033"/>
      <c r="D1620" s="1033"/>
      <c r="E1620" s="1033"/>
      <c r="F1620" s="1033"/>
      <c r="G1620" s="823"/>
      <c r="H1620" s="1039"/>
      <c r="I1620" s="1022"/>
      <c r="J1620" s="1102"/>
      <c r="K1620" s="1102"/>
      <c r="L1620" s="1102"/>
      <c r="M1620" s="1069"/>
      <c r="N1620" s="874"/>
      <c r="O1620" s="875"/>
      <c r="P1620" s="875"/>
      <c r="Q1620" s="875"/>
      <c r="R1620" s="1101"/>
      <c r="S1620" s="823"/>
      <c r="T1620" s="840" t="s">
        <v>2085</v>
      </c>
      <c r="U1620" s="83">
        <v>42677998.200000003</v>
      </c>
      <c r="V1620" s="855">
        <v>42823</v>
      </c>
      <c r="W1620" s="1022"/>
      <c r="X1620" s="1124"/>
      <c r="Y1620" s="1124"/>
      <c r="Z1620" s="1124"/>
      <c r="AA1620" s="1124"/>
      <c r="AB1620" s="1124"/>
      <c r="AC1620" s="1124"/>
      <c r="AD1620" s="885"/>
      <c r="AE1620" s="885"/>
      <c r="AF1620" s="863"/>
      <c r="AG1620" s="1104"/>
      <c r="AH1620" s="1104"/>
      <c r="AI1620" s="1104"/>
    </row>
    <row r="1621" spans="1:38" s="4" customFormat="1" ht="15" customHeight="1">
      <c r="A1621" s="1033"/>
      <c r="B1621" s="1012"/>
      <c r="C1621" s="1012"/>
      <c r="D1621" s="1012"/>
      <c r="E1621" s="1012"/>
      <c r="F1621" s="1012"/>
      <c r="G1621" s="823"/>
      <c r="H1621" s="1039"/>
      <c r="I1621" s="1022"/>
      <c r="J1621" s="875"/>
      <c r="K1621" s="875"/>
      <c r="L1621" s="875"/>
      <c r="M1621" s="1070"/>
      <c r="N1621" s="874"/>
      <c r="O1621" s="875"/>
      <c r="P1621" s="875"/>
      <c r="Q1621" s="875"/>
      <c r="R1621" s="1101"/>
      <c r="S1621" s="823"/>
      <c r="T1621" s="840" t="s">
        <v>2084</v>
      </c>
      <c r="U1621" s="83">
        <v>43519581.670000002</v>
      </c>
      <c r="V1621" s="855">
        <v>43039</v>
      </c>
      <c r="W1621" s="1022"/>
      <c r="X1621" s="1024"/>
      <c r="Y1621" s="1024"/>
      <c r="Z1621" s="1024"/>
      <c r="AA1621" s="1024"/>
      <c r="AB1621" s="1024"/>
      <c r="AC1621" s="1024"/>
      <c r="AD1621" s="885"/>
      <c r="AE1621" s="885"/>
      <c r="AF1621" s="863"/>
      <c r="AG1621" s="1105"/>
      <c r="AH1621" s="1105"/>
      <c r="AI1621" s="1105"/>
    </row>
    <row r="1622" spans="1:38" s="4" customFormat="1" ht="15" customHeight="1">
      <c r="A1622" s="1033"/>
      <c r="B1622" s="790"/>
      <c r="C1622" s="790"/>
      <c r="D1622" s="790"/>
      <c r="E1622" s="790"/>
      <c r="F1622" s="790"/>
      <c r="G1622" s="789"/>
      <c r="H1622" s="1039"/>
      <c r="I1622" s="1022"/>
      <c r="J1622" s="844"/>
      <c r="K1622" s="844"/>
      <c r="L1622" s="844"/>
      <c r="M1622" s="817"/>
      <c r="N1622" s="868"/>
      <c r="O1622" s="844"/>
      <c r="P1622" s="844"/>
      <c r="Q1622" s="844"/>
      <c r="R1622" s="1101"/>
      <c r="S1622" s="789"/>
      <c r="T1622" s="840" t="s">
        <v>2721</v>
      </c>
      <c r="U1622" s="83">
        <v>10087827.59</v>
      </c>
      <c r="V1622" s="855">
        <v>43160</v>
      </c>
      <c r="W1622" s="1022"/>
      <c r="X1622" s="804"/>
      <c r="Y1622" s="804"/>
      <c r="Z1622" s="803"/>
      <c r="AA1622" s="804"/>
      <c r="AB1622" s="804"/>
      <c r="AC1622" s="804"/>
      <c r="AD1622" s="913"/>
      <c r="AE1622" s="913"/>
      <c r="AF1622" s="837"/>
      <c r="AG1622" s="835"/>
      <c r="AH1622" s="835"/>
      <c r="AI1622" s="835"/>
    </row>
    <row r="1623" spans="1:38" s="4" customFormat="1" ht="15" customHeight="1">
      <c r="A1623" s="1012"/>
      <c r="B1623" s="790"/>
      <c r="C1623" s="790"/>
      <c r="D1623" s="790"/>
      <c r="E1623" s="790"/>
      <c r="F1623" s="790"/>
      <c r="G1623" s="789"/>
      <c r="H1623" s="1010"/>
      <c r="I1623" s="1038"/>
      <c r="J1623" s="844"/>
      <c r="K1623" s="844"/>
      <c r="L1623" s="844"/>
      <c r="M1623" s="817"/>
      <c r="N1623" s="868"/>
      <c r="O1623" s="844"/>
      <c r="P1623" s="844"/>
      <c r="Q1623" s="844"/>
      <c r="R1623" s="1102"/>
      <c r="S1623" s="789"/>
      <c r="T1623" s="840"/>
      <c r="U1623" s="83"/>
      <c r="V1623" s="855"/>
      <c r="W1623" s="1038"/>
      <c r="X1623" s="804"/>
      <c r="Y1623" s="804"/>
      <c r="Z1623" s="803"/>
      <c r="AA1623" s="804"/>
      <c r="AB1623" s="804"/>
      <c r="AC1623" s="804"/>
      <c r="AD1623" s="913"/>
      <c r="AE1623" s="913"/>
      <c r="AF1623" s="837"/>
      <c r="AG1623" s="835"/>
      <c r="AH1623" s="835"/>
      <c r="AI1623" s="835"/>
    </row>
    <row r="1624" spans="1:38" s="203" customFormat="1" ht="15" customHeight="1">
      <c r="A1624" s="1015" t="s">
        <v>2228</v>
      </c>
      <c r="B1624" s="1015" t="s">
        <v>2226</v>
      </c>
      <c r="C1624" s="1015" t="s">
        <v>72</v>
      </c>
      <c r="D1624" s="1015" t="s">
        <v>206</v>
      </c>
      <c r="E1624" s="1015" t="s">
        <v>66</v>
      </c>
      <c r="F1624" s="1015" t="s">
        <v>183</v>
      </c>
      <c r="G1624" s="1015" t="s">
        <v>2225</v>
      </c>
      <c r="H1624" s="1138">
        <v>6</v>
      </c>
      <c r="I1624" s="1056" t="s">
        <v>160</v>
      </c>
      <c r="J1624" s="1087">
        <v>60000000</v>
      </c>
      <c r="K1624" s="1087">
        <v>60000000</v>
      </c>
      <c r="L1624" s="1087">
        <v>1080000000</v>
      </c>
      <c r="M1624" s="1136">
        <v>42164</v>
      </c>
      <c r="N1624" s="1106">
        <v>60000000</v>
      </c>
      <c r="O1624" s="1106">
        <v>60000000</v>
      </c>
      <c r="P1624" s="1106">
        <v>0</v>
      </c>
      <c r="Q1624" s="1106">
        <v>59979733.329999998</v>
      </c>
      <c r="R1624" s="1106">
        <v>1079635200</v>
      </c>
      <c r="S1624" s="1015" t="s">
        <v>2224</v>
      </c>
      <c r="T1624" s="872" t="s">
        <v>2208</v>
      </c>
      <c r="U1624" s="200">
        <v>5997973.3300000001</v>
      </c>
      <c r="V1624" s="873">
        <v>42557</v>
      </c>
      <c r="W1624" s="201" t="s">
        <v>160</v>
      </c>
      <c r="X1624" s="1059">
        <v>59979733.329999998</v>
      </c>
      <c r="Y1624" s="1059">
        <v>1051348757.7600002</v>
      </c>
      <c r="Z1624" s="859">
        <v>0</v>
      </c>
      <c r="AA1624" s="1059">
        <v>20266.670000001788</v>
      </c>
      <c r="AB1624" s="1087">
        <v>159999.99999976158</v>
      </c>
      <c r="AC1624" s="1087">
        <v>20266.670000001788</v>
      </c>
      <c r="AD1624" s="1087">
        <v>0</v>
      </c>
      <c r="AE1624" s="1087">
        <v>20266.670000001788</v>
      </c>
      <c r="AF1624" s="1112"/>
      <c r="AG1624" s="1112" t="s">
        <v>2223</v>
      </c>
      <c r="AH1624" s="1112" t="s">
        <v>194</v>
      </c>
      <c r="AI1624" s="1112" t="s">
        <v>1911</v>
      </c>
      <c r="AJ1624" s="204">
        <v>20266.669999999998</v>
      </c>
      <c r="AK1624" s="204"/>
      <c r="AL1624" s="207">
        <v>-1.7898855730891228E-9</v>
      </c>
    </row>
    <row r="1625" spans="1:38" s="203" customFormat="1" ht="15" customHeight="1">
      <c r="A1625" s="1050"/>
      <c r="B1625" s="1050"/>
      <c r="C1625" s="1050"/>
      <c r="D1625" s="1050"/>
      <c r="E1625" s="1050"/>
      <c r="F1625" s="1050"/>
      <c r="G1625" s="1050"/>
      <c r="H1625" s="1139"/>
      <c r="I1625" s="1057"/>
      <c r="J1625" s="1088"/>
      <c r="K1625" s="1088"/>
      <c r="L1625" s="1088"/>
      <c r="M1625" s="1137"/>
      <c r="N1625" s="1107"/>
      <c r="O1625" s="1107"/>
      <c r="P1625" s="1107"/>
      <c r="Q1625" s="1107"/>
      <c r="R1625" s="1107"/>
      <c r="S1625" s="1050"/>
      <c r="T1625" s="872" t="s">
        <v>2222</v>
      </c>
      <c r="U1625" s="200">
        <v>35791449.32</v>
      </c>
      <c r="V1625" s="873">
        <v>42787</v>
      </c>
      <c r="W1625" s="201" t="s">
        <v>160</v>
      </c>
      <c r="X1625" s="1060"/>
      <c r="Y1625" s="1060"/>
      <c r="Z1625" s="859">
        <v>0</v>
      </c>
      <c r="AA1625" s="1060"/>
      <c r="AB1625" s="1088"/>
      <c r="AC1625" s="1088"/>
      <c r="AD1625" s="1088"/>
      <c r="AE1625" s="1088"/>
      <c r="AF1625" s="1135"/>
      <c r="AG1625" s="1135"/>
      <c r="AH1625" s="1135"/>
      <c r="AI1625" s="1135"/>
      <c r="AJ1625" s="61"/>
      <c r="AK1625" s="61"/>
    </row>
    <row r="1626" spans="1:38" s="203" customFormat="1" ht="15" customHeight="1">
      <c r="A1626" s="1050"/>
      <c r="B1626" s="1050"/>
      <c r="C1626" s="1050"/>
      <c r="D1626" s="1050"/>
      <c r="E1626" s="1050"/>
      <c r="F1626" s="1050"/>
      <c r="G1626" s="1050"/>
      <c r="H1626" s="1139"/>
      <c r="I1626" s="1057"/>
      <c r="J1626" s="1088"/>
      <c r="K1626" s="1088"/>
      <c r="L1626" s="1088"/>
      <c r="M1626" s="1137"/>
      <c r="N1626" s="1107"/>
      <c r="O1626" s="1107"/>
      <c r="P1626" s="1107"/>
      <c r="Q1626" s="1107"/>
      <c r="R1626" s="1107"/>
      <c r="S1626" s="1050"/>
      <c r="T1626" s="872" t="s">
        <v>2206</v>
      </c>
      <c r="U1626" s="200">
        <v>18190310.68</v>
      </c>
      <c r="V1626" s="873">
        <v>42998</v>
      </c>
      <c r="W1626" s="201" t="s">
        <v>160</v>
      </c>
      <c r="X1626" s="1060"/>
      <c r="Y1626" s="1060"/>
      <c r="Z1626" s="859">
        <v>0</v>
      </c>
      <c r="AA1626" s="1060"/>
      <c r="AB1626" s="1088"/>
      <c r="AC1626" s="1088"/>
      <c r="AD1626" s="1088"/>
      <c r="AE1626" s="1088"/>
      <c r="AF1626" s="1135"/>
      <c r="AG1626" s="1135"/>
      <c r="AH1626" s="1135"/>
      <c r="AI1626" s="1135"/>
      <c r="AJ1626" s="61"/>
      <c r="AK1626" s="61"/>
    </row>
    <row r="1627" spans="1:38" s="203" customFormat="1" ht="15" customHeight="1">
      <c r="A1627" s="1050"/>
      <c r="B1627" s="1050"/>
      <c r="C1627" s="1050"/>
      <c r="D1627" s="1050"/>
      <c r="E1627" s="1050"/>
      <c r="F1627" s="1050"/>
      <c r="G1627" s="1050"/>
      <c r="H1627" s="1138">
        <v>5</v>
      </c>
      <c r="I1627" s="1056" t="s">
        <v>133</v>
      </c>
      <c r="J1627" s="1087">
        <v>60000000</v>
      </c>
      <c r="K1627" s="1087">
        <v>60000000</v>
      </c>
      <c r="L1627" s="1088"/>
      <c r="M1627" s="1136">
        <v>42164</v>
      </c>
      <c r="N1627" s="1106">
        <v>60000000</v>
      </c>
      <c r="O1627" s="1106">
        <v>60000000</v>
      </c>
      <c r="P1627" s="1106">
        <v>0</v>
      </c>
      <c r="Q1627" s="1059">
        <v>59979733.329999998</v>
      </c>
      <c r="R1627" s="1107"/>
      <c r="S1627" s="1050"/>
      <c r="T1627" s="872" t="s">
        <v>2208</v>
      </c>
      <c r="U1627" s="200">
        <v>5997973.3300000001</v>
      </c>
      <c r="V1627" s="873">
        <v>42557</v>
      </c>
      <c r="W1627" s="201" t="s">
        <v>133</v>
      </c>
      <c r="X1627" s="1059">
        <v>32017181.710000001</v>
      </c>
      <c r="Y1627" s="1060"/>
      <c r="Z1627" s="859">
        <v>0</v>
      </c>
      <c r="AA1627" s="1059">
        <v>27982818.289999999</v>
      </c>
      <c r="AB1627" s="1088"/>
      <c r="AC1627" s="1087">
        <v>20266.670000001788</v>
      </c>
      <c r="AD1627" s="1087">
        <v>27962551.619999997</v>
      </c>
      <c r="AE1627" s="1087">
        <v>27982818.289999999</v>
      </c>
      <c r="AF1627" s="1135"/>
      <c r="AG1627" s="1135"/>
      <c r="AH1627" s="1135"/>
      <c r="AI1627" s="1135"/>
      <c r="AJ1627" s="1087">
        <v>27982818.289999999</v>
      </c>
      <c r="AK1627" s="206">
        <v>27962551.619999997</v>
      </c>
    </row>
    <row r="1628" spans="1:38" s="203" customFormat="1" ht="15" customHeight="1">
      <c r="A1628" s="1050"/>
      <c r="B1628" s="1050"/>
      <c r="C1628" s="1050"/>
      <c r="D1628" s="1050"/>
      <c r="E1628" s="1050"/>
      <c r="F1628" s="1050"/>
      <c r="G1628" s="1050"/>
      <c r="H1628" s="1139"/>
      <c r="I1628" s="1057"/>
      <c r="J1628" s="1088"/>
      <c r="K1628" s="1088"/>
      <c r="L1628" s="1088"/>
      <c r="M1628" s="1137"/>
      <c r="N1628" s="1107"/>
      <c r="O1628" s="1107"/>
      <c r="P1628" s="1107"/>
      <c r="Q1628" s="1060"/>
      <c r="R1628" s="1107"/>
      <c r="S1628" s="1050"/>
      <c r="T1628" s="872" t="s">
        <v>2206</v>
      </c>
      <c r="U1628" s="200">
        <v>26019208.379999999</v>
      </c>
      <c r="V1628" s="873">
        <v>42998</v>
      </c>
      <c r="W1628" s="201" t="s">
        <v>133</v>
      </c>
      <c r="X1628" s="1060"/>
      <c r="Y1628" s="1060"/>
      <c r="Z1628" s="859">
        <v>0</v>
      </c>
      <c r="AA1628" s="1060"/>
      <c r="AB1628" s="1088"/>
      <c r="AC1628" s="1088"/>
      <c r="AD1628" s="1088"/>
      <c r="AE1628" s="1088"/>
      <c r="AF1628" s="1135"/>
      <c r="AG1628" s="1135"/>
      <c r="AH1628" s="1135"/>
      <c r="AI1628" s="1135"/>
      <c r="AJ1628" s="1088"/>
      <c r="AK1628" s="206"/>
    </row>
    <row r="1629" spans="1:38" s="203" customFormat="1" ht="15" customHeight="1">
      <c r="A1629" s="1050"/>
      <c r="B1629" s="1050"/>
      <c r="C1629" s="1050"/>
      <c r="D1629" s="1050"/>
      <c r="E1629" s="1050"/>
      <c r="F1629" s="1050"/>
      <c r="G1629" s="1050"/>
      <c r="H1629" s="1138">
        <v>6</v>
      </c>
      <c r="I1629" s="1056" t="s">
        <v>146</v>
      </c>
      <c r="J1629" s="1087">
        <v>60000000</v>
      </c>
      <c r="K1629" s="1087">
        <v>60000000</v>
      </c>
      <c r="L1629" s="1088"/>
      <c r="M1629" s="1136">
        <v>42164</v>
      </c>
      <c r="N1629" s="1106">
        <v>60000000</v>
      </c>
      <c r="O1629" s="1106">
        <v>60000000</v>
      </c>
      <c r="P1629" s="1106">
        <v>0</v>
      </c>
      <c r="Q1629" s="1059">
        <v>59979733.329999998</v>
      </c>
      <c r="R1629" s="1107"/>
      <c r="S1629" s="1050"/>
      <c r="T1629" s="872" t="s">
        <v>2208</v>
      </c>
      <c r="U1629" s="200">
        <v>5997973.3300000001</v>
      </c>
      <c r="V1629" s="873">
        <v>42557</v>
      </c>
      <c r="W1629" s="201" t="s">
        <v>146</v>
      </c>
      <c r="X1629" s="1059">
        <v>59979733.329999998</v>
      </c>
      <c r="Y1629" s="1060"/>
      <c r="Z1629" s="859">
        <v>0</v>
      </c>
      <c r="AA1629" s="1059">
        <v>20266.670000001788</v>
      </c>
      <c r="AB1629" s="1088"/>
      <c r="AC1629" s="1087">
        <v>20266.670000001788</v>
      </c>
      <c r="AD1629" s="1087">
        <v>0</v>
      </c>
      <c r="AE1629" s="1087">
        <v>20266.670000001788</v>
      </c>
      <c r="AF1629" s="1135"/>
      <c r="AG1629" s="1135"/>
      <c r="AH1629" s="1135"/>
      <c r="AI1629" s="1135"/>
      <c r="AJ1629" s="204">
        <v>20266.669999999998</v>
      </c>
      <c r="AK1629" s="204"/>
    </row>
    <row r="1630" spans="1:38" s="203" customFormat="1" ht="15" customHeight="1">
      <c r="A1630" s="1050"/>
      <c r="B1630" s="1050"/>
      <c r="C1630" s="1050"/>
      <c r="D1630" s="1050"/>
      <c r="E1630" s="1050"/>
      <c r="F1630" s="1050"/>
      <c r="G1630" s="1050"/>
      <c r="H1630" s="1139"/>
      <c r="I1630" s="1057"/>
      <c r="J1630" s="1088"/>
      <c r="K1630" s="1088"/>
      <c r="L1630" s="1088"/>
      <c r="M1630" s="1137"/>
      <c r="N1630" s="1107"/>
      <c r="O1630" s="1107"/>
      <c r="P1630" s="1107"/>
      <c r="Q1630" s="1060"/>
      <c r="R1630" s="1107"/>
      <c r="S1630" s="1050"/>
      <c r="T1630" s="872" t="s">
        <v>2221</v>
      </c>
      <c r="U1630" s="200">
        <v>35791449.32</v>
      </c>
      <c r="V1630" s="873">
        <v>42787</v>
      </c>
      <c r="W1630" s="201" t="s">
        <v>146</v>
      </c>
      <c r="X1630" s="1060"/>
      <c r="Y1630" s="1060"/>
      <c r="Z1630" s="859">
        <v>0</v>
      </c>
      <c r="AA1630" s="1060"/>
      <c r="AB1630" s="1088"/>
      <c r="AC1630" s="1088"/>
      <c r="AD1630" s="1088"/>
      <c r="AE1630" s="1088"/>
      <c r="AF1630" s="1135"/>
      <c r="AG1630" s="1135"/>
      <c r="AH1630" s="1135"/>
      <c r="AI1630" s="1135"/>
      <c r="AJ1630" s="61"/>
      <c r="AK1630" s="61"/>
    </row>
    <row r="1631" spans="1:38" s="203" customFormat="1" ht="15" customHeight="1">
      <c r="A1631" s="1050"/>
      <c r="B1631" s="1050"/>
      <c r="C1631" s="1050"/>
      <c r="D1631" s="1050"/>
      <c r="E1631" s="1050"/>
      <c r="F1631" s="1050"/>
      <c r="G1631" s="1050"/>
      <c r="H1631" s="1139"/>
      <c r="I1631" s="1057"/>
      <c r="J1631" s="1088"/>
      <c r="K1631" s="1088"/>
      <c r="L1631" s="1088"/>
      <c r="M1631" s="1137"/>
      <c r="N1631" s="1107"/>
      <c r="O1631" s="1107"/>
      <c r="P1631" s="1107"/>
      <c r="Q1631" s="1060"/>
      <c r="R1631" s="1107"/>
      <c r="S1631" s="1050"/>
      <c r="T1631" s="872" t="s">
        <v>2206</v>
      </c>
      <c r="U1631" s="200">
        <v>18190310.68</v>
      </c>
      <c r="V1631" s="873">
        <v>42998</v>
      </c>
      <c r="W1631" s="201" t="s">
        <v>146</v>
      </c>
      <c r="X1631" s="1060"/>
      <c r="Y1631" s="1060"/>
      <c r="Z1631" s="859">
        <v>0</v>
      </c>
      <c r="AA1631" s="1060"/>
      <c r="AB1631" s="1088"/>
      <c r="AC1631" s="1088"/>
      <c r="AD1631" s="1088"/>
      <c r="AE1631" s="1088"/>
      <c r="AF1631" s="1135"/>
      <c r="AG1631" s="1135"/>
      <c r="AH1631" s="1135"/>
      <c r="AI1631" s="1135"/>
      <c r="AJ1631" s="61"/>
      <c r="AK1631" s="61"/>
    </row>
    <row r="1632" spans="1:38" s="203" customFormat="1" ht="15" customHeight="1">
      <c r="A1632" s="1050"/>
      <c r="B1632" s="1050"/>
      <c r="C1632" s="1050"/>
      <c r="D1632" s="1050"/>
      <c r="E1632" s="1050"/>
      <c r="F1632" s="1050"/>
      <c r="G1632" s="1050"/>
      <c r="H1632" s="1138">
        <v>7</v>
      </c>
      <c r="I1632" s="1056" t="s">
        <v>164</v>
      </c>
      <c r="J1632" s="1087">
        <v>60000000</v>
      </c>
      <c r="K1632" s="1087">
        <v>60000000</v>
      </c>
      <c r="L1632" s="1088"/>
      <c r="M1632" s="1136">
        <v>42164</v>
      </c>
      <c r="N1632" s="1106">
        <v>60000000</v>
      </c>
      <c r="O1632" s="1106">
        <v>60000000</v>
      </c>
      <c r="P1632" s="1106">
        <v>0</v>
      </c>
      <c r="Q1632" s="1059">
        <v>59979733.329999998</v>
      </c>
      <c r="R1632" s="1107"/>
      <c r="S1632" s="1050"/>
      <c r="T1632" s="872" t="s">
        <v>2208</v>
      </c>
      <c r="U1632" s="200">
        <v>5997973.3300000001</v>
      </c>
      <c r="V1632" s="873">
        <v>42557</v>
      </c>
      <c r="W1632" s="201" t="s">
        <v>164</v>
      </c>
      <c r="X1632" s="1059">
        <v>59979733.329999998</v>
      </c>
      <c r="Y1632" s="1060"/>
      <c r="Z1632" s="859">
        <v>0</v>
      </c>
      <c r="AA1632" s="1059">
        <v>20266.670000001788</v>
      </c>
      <c r="AB1632" s="1088"/>
      <c r="AC1632" s="1087">
        <v>20266.670000001788</v>
      </c>
      <c r="AD1632" s="1087">
        <v>0</v>
      </c>
      <c r="AE1632" s="1087">
        <v>20266.670000001788</v>
      </c>
      <c r="AF1632" s="1135"/>
      <c r="AG1632" s="1135"/>
      <c r="AH1632" s="1135"/>
      <c r="AI1632" s="1135"/>
      <c r="AJ1632" s="204">
        <v>20266.669999999998</v>
      </c>
      <c r="AK1632" s="204"/>
    </row>
    <row r="1633" spans="1:38" s="203" customFormat="1" ht="15" customHeight="1">
      <c r="A1633" s="1050"/>
      <c r="B1633" s="1050"/>
      <c r="C1633" s="1050"/>
      <c r="D1633" s="1050"/>
      <c r="E1633" s="1050"/>
      <c r="F1633" s="1050"/>
      <c r="G1633" s="1050"/>
      <c r="H1633" s="1139"/>
      <c r="I1633" s="1057"/>
      <c r="J1633" s="1088"/>
      <c r="K1633" s="1088"/>
      <c r="L1633" s="1088"/>
      <c r="M1633" s="1137"/>
      <c r="N1633" s="1107"/>
      <c r="O1633" s="1107"/>
      <c r="P1633" s="1107"/>
      <c r="Q1633" s="1060"/>
      <c r="R1633" s="1107"/>
      <c r="S1633" s="1050"/>
      <c r="T1633" s="872" t="s">
        <v>2220</v>
      </c>
      <c r="U1633" s="200">
        <v>49718741.939999998</v>
      </c>
      <c r="V1633" s="873">
        <v>42787</v>
      </c>
      <c r="W1633" s="201" t="s">
        <v>164</v>
      </c>
      <c r="X1633" s="1060"/>
      <c r="Y1633" s="1060"/>
      <c r="Z1633" s="859">
        <v>0</v>
      </c>
      <c r="AA1633" s="1060"/>
      <c r="AB1633" s="1088"/>
      <c r="AC1633" s="1088"/>
      <c r="AD1633" s="1088"/>
      <c r="AE1633" s="1088"/>
      <c r="AF1633" s="1135"/>
      <c r="AG1633" s="1135"/>
      <c r="AH1633" s="1135"/>
      <c r="AI1633" s="1135"/>
      <c r="AJ1633" s="61"/>
      <c r="AK1633" s="61"/>
    </row>
    <row r="1634" spans="1:38" s="203" customFormat="1" ht="15" customHeight="1">
      <c r="A1634" s="1050"/>
      <c r="B1634" s="1050"/>
      <c r="C1634" s="1050"/>
      <c r="D1634" s="1050"/>
      <c r="E1634" s="1050"/>
      <c r="F1634" s="1050"/>
      <c r="G1634" s="1050"/>
      <c r="H1634" s="1139"/>
      <c r="I1634" s="1057"/>
      <c r="J1634" s="1088"/>
      <c r="K1634" s="1088"/>
      <c r="L1634" s="1088"/>
      <c r="M1634" s="1137"/>
      <c r="N1634" s="1107"/>
      <c r="O1634" s="1107"/>
      <c r="P1634" s="1107"/>
      <c r="Q1634" s="1060"/>
      <c r="R1634" s="1107"/>
      <c r="S1634" s="1050"/>
      <c r="T1634" s="872" t="s">
        <v>2206</v>
      </c>
      <c r="U1634" s="200">
        <v>4263018.0599999996</v>
      </c>
      <c r="V1634" s="873">
        <v>42998</v>
      </c>
      <c r="W1634" s="201" t="s">
        <v>164</v>
      </c>
      <c r="X1634" s="1060"/>
      <c r="Y1634" s="1060"/>
      <c r="Z1634" s="859">
        <v>0</v>
      </c>
      <c r="AA1634" s="1060"/>
      <c r="AB1634" s="1088"/>
      <c r="AC1634" s="1088"/>
      <c r="AD1634" s="1088"/>
      <c r="AE1634" s="1088"/>
      <c r="AF1634" s="1135"/>
      <c r="AG1634" s="1135"/>
      <c r="AH1634" s="1135"/>
      <c r="AI1634" s="1135"/>
      <c r="AJ1634" s="61"/>
      <c r="AK1634" s="61"/>
    </row>
    <row r="1635" spans="1:38" s="203" customFormat="1" ht="15" customHeight="1">
      <c r="A1635" s="1050"/>
      <c r="B1635" s="1050"/>
      <c r="C1635" s="1050"/>
      <c r="D1635" s="1050"/>
      <c r="E1635" s="1050"/>
      <c r="F1635" s="1050"/>
      <c r="G1635" s="1050"/>
      <c r="H1635" s="1138">
        <v>8</v>
      </c>
      <c r="I1635" s="1056" t="s">
        <v>166</v>
      </c>
      <c r="J1635" s="1087">
        <v>60000000</v>
      </c>
      <c r="K1635" s="1087">
        <v>60000000</v>
      </c>
      <c r="L1635" s="1088"/>
      <c r="M1635" s="1136">
        <v>42164</v>
      </c>
      <c r="N1635" s="1106">
        <v>60000000</v>
      </c>
      <c r="O1635" s="1106">
        <v>60000000</v>
      </c>
      <c r="P1635" s="1106">
        <v>0</v>
      </c>
      <c r="Q1635" s="1059">
        <v>59979733.329999998</v>
      </c>
      <c r="R1635" s="1107"/>
      <c r="S1635" s="1050"/>
      <c r="T1635" s="872" t="s">
        <v>2208</v>
      </c>
      <c r="U1635" s="200">
        <v>5997973.3300000001</v>
      </c>
      <c r="V1635" s="873">
        <v>42557</v>
      </c>
      <c r="W1635" s="201" t="s">
        <v>166</v>
      </c>
      <c r="X1635" s="1059">
        <v>59979733.329999998</v>
      </c>
      <c r="Y1635" s="1060"/>
      <c r="Z1635" s="859">
        <v>0</v>
      </c>
      <c r="AA1635" s="1059">
        <v>20266.670000001788</v>
      </c>
      <c r="AB1635" s="1088"/>
      <c r="AC1635" s="1087">
        <v>20266.670000001788</v>
      </c>
      <c r="AD1635" s="1087">
        <v>100000</v>
      </c>
      <c r="AE1635" s="1087">
        <v>120266.67000000179</v>
      </c>
      <c r="AF1635" s="1135"/>
      <c r="AG1635" s="1135"/>
      <c r="AH1635" s="1135"/>
      <c r="AI1635" s="1135"/>
      <c r="AJ1635" s="204">
        <v>20266.669999999998</v>
      </c>
      <c r="AK1635" s="206"/>
    </row>
    <row r="1636" spans="1:38" s="203" customFormat="1" ht="15" customHeight="1">
      <c r="A1636" s="1050"/>
      <c r="B1636" s="1050"/>
      <c r="C1636" s="1050"/>
      <c r="D1636" s="1050"/>
      <c r="E1636" s="1050"/>
      <c r="F1636" s="1050"/>
      <c r="G1636" s="1050"/>
      <c r="H1636" s="1139"/>
      <c r="I1636" s="1057"/>
      <c r="J1636" s="1088"/>
      <c r="K1636" s="1088"/>
      <c r="L1636" s="1088"/>
      <c r="M1636" s="1137"/>
      <c r="N1636" s="1107"/>
      <c r="O1636" s="1107"/>
      <c r="P1636" s="1107"/>
      <c r="Q1636" s="1060"/>
      <c r="R1636" s="1107"/>
      <c r="S1636" s="1050"/>
      <c r="T1636" s="872" t="s">
        <v>2219</v>
      </c>
      <c r="U1636" s="200">
        <v>24239352.68</v>
      </c>
      <c r="V1636" s="873">
        <v>42787</v>
      </c>
      <c r="W1636" s="201" t="s">
        <v>166</v>
      </c>
      <c r="X1636" s="1060"/>
      <c r="Y1636" s="1060"/>
      <c r="Z1636" s="859">
        <v>0</v>
      </c>
      <c r="AA1636" s="1060"/>
      <c r="AB1636" s="1088"/>
      <c r="AC1636" s="1088"/>
      <c r="AD1636" s="1088"/>
      <c r="AE1636" s="1088"/>
      <c r="AF1636" s="1135"/>
      <c r="AG1636" s="1135"/>
      <c r="AH1636" s="1135"/>
      <c r="AI1636" s="1135"/>
      <c r="AJ1636" s="61"/>
      <c r="AK1636" s="61"/>
    </row>
    <row r="1637" spans="1:38" s="203" customFormat="1" ht="15" customHeight="1">
      <c r="A1637" s="1050"/>
      <c r="B1637" s="1050"/>
      <c r="C1637" s="1050"/>
      <c r="D1637" s="1050"/>
      <c r="E1637" s="1050"/>
      <c r="F1637" s="1050"/>
      <c r="G1637" s="1050"/>
      <c r="H1637" s="1139"/>
      <c r="I1637" s="1057"/>
      <c r="J1637" s="1088"/>
      <c r="K1637" s="1088"/>
      <c r="L1637" s="1088"/>
      <c r="M1637" s="1137"/>
      <c r="N1637" s="1107"/>
      <c r="O1637" s="1107"/>
      <c r="P1637" s="1107"/>
      <c r="Q1637" s="1060"/>
      <c r="R1637" s="1107"/>
      <c r="S1637" s="1050"/>
      <c r="T1637" s="872" t="s">
        <v>2206</v>
      </c>
      <c r="U1637" s="200">
        <v>29742407.32</v>
      </c>
      <c r="V1637" s="873">
        <v>42998</v>
      </c>
      <c r="W1637" s="201" t="s">
        <v>166</v>
      </c>
      <c r="X1637" s="1060"/>
      <c r="Y1637" s="1060"/>
      <c r="Z1637" s="859">
        <v>0</v>
      </c>
      <c r="AA1637" s="1060"/>
      <c r="AB1637" s="1088"/>
      <c r="AC1637" s="1088"/>
      <c r="AD1637" s="1088"/>
      <c r="AE1637" s="1088"/>
      <c r="AF1637" s="1135"/>
      <c r="AG1637" s="1135"/>
      <c r="AH1637" s="1135"/>
      <c r="AI1637" s="1135"/>
      <c r="AJ1637" s="61"/>
      <c r="AK1637" s="61"/>
    </row>
    <row r="1638" spans="1:38" s="203" customFormat="1" ht="15" customHeight="1">
      <c r="A1638" s="1050"/>
      <c r="B1638" s="1050"/>
      <c r="C1638" s="1050"/>
      <c r="D1638" s="1050"/>
      <c r="E1638" s="1050"/>
      <c r="F1638" s="1050"/>
      <c r="G1638" s="1050"/>
      <c r="H1638" s="1138">
        <v>8</v>
      </c>
      <c r="I1638" s="1056" t="s">
        <v>132</v>
      </c>
      <c r="J1638" s="1087">
        <v>60000000</v>
      </c>
      <c r="K1638" s="1087">
        <v>60000000</v>
      </c>
      <c r="L1638" s="1088"/>
      <c r="M1638" s="1136">
        <v>42164</v>
      </c>
      <c r="N1638" s="1106">
        <v>60000000</v>
      </c>
      <c r="O1638" s="1106">
        <v>60000000</v>
      </c>
      <c r="P1638" s="1106">
        <v>0</v>
      </c>
      <c r="Q1638" s="1106">
        <v>59979733.329999998</v>
      </c>
      <c r="R1638" s="1107"/>
      <c r="S1638" s="1050"/>
      <c r="T1638" s="872" t="s">
        <v>2208</v>
      </c>
      <c r="U1638" s="200">
        <v>5997973.3300000001</v>
      </c>
      <c r="V1638" s="873">
        <v>42557</v>
      </c>
      <c r="W1638" s="201" t="s">
        <v>132</v>
      </c>
      <c r="X1638" s="1059">
        <v>59979733.329999998</v>
      </c>
      <c r="Y1638" s="1060"/>
      <c r="Z1638" s="859">
        <v>0</v>
      </c>
      <c r="AA1638" s="1059">
        <v>20266.670000001788</v>
      </c>
      <c r="AB1638" s="1088"/>
      <c r="AC1638" s="1087">
        <v>20266.670000001788</v>
      </c>
      <c r="AD1638" s="1087">
        <v>100000</v>
      </c>
      <c r="AE1638" s="1087">
        <v>120266.67000000179</v>
      </c>
      <c r="AF1638" s="1135"/>
      <c r="AG1638" s="1135"/>
      <c r="AH1638" s="1135"/>
      <c r="AI1638" s="1135"/>
      <c r="AJ1638" s="204">
        <v>20266.669999999998</v>
      </c>
      <c r="AK1638" s="204"/>
    </row>
    <row r="1639" spans="1:38" s="203" customFormat="1" ht="15" customHeight="1">
      <c r="A1639" s="1050"/>
      <c r="B1639" s="1050"/>
      <c r="C1639" s="1050"/>
      <c r="D1639" s="1050"/>
      <c r="E1639" s="1050"/>
      <c r="F1639" s="1050"/>
      <c r="G1639" s="1050"/>
      <c r="H1639" s="1139"/>
      <c r="I1639" s="1057"/>
      <c r="J1639" s="1088"/>
      <c r="K1639" s="1088"/>
      <c r="L1639" s="1088"/>
      <c r="M1639" s="1137"/>
      <c r="N1639" s="1107"/>
      <c r="O1639" s="1107"/>
      <c r="P1639" s="1107"/>
      <c r="Q1639" s="1107"/>
      <c r="R1639" s="1107"/>
      <c r="S1639" s="1050"/>
      <c r="T1639" s="872" t="s">
        <v>2218</v>
      </c>
      <c r="U1639" s="200">
        <v>24239352.68</v>
      </c>
      <c r="V1639" s="873">
        <v>42787</v>
      </c>
      <c r="W1639" s="201" t="s">
        <v>132</v>
      </c>
      <c r="X1639" s="1060"/>
      <c r="Y1639" s="1060"/>
      <c r="Z1639" s="859">
        <v>0</v>
      </c>
      <c r="AA1639" s="1060"/>
      <c r="AB1639" s="1088"/>
      <c r="AC1639" s="1088"/>
      <c r="AD1639" s="1088"/>
      <c r="AE1639" s="1088"/>
      <c r="AF1639" s="1135"/>
      <c r="AG1639" s="1135"/>
      <c r="AH1639" s="1135"/>
      <c r="AI1639" s="1135"/>
      <c r="AJ1639" s="61"/>
      <c r="AK1639" s="61"/>
      <c r="AL1639" s="206">
        <v>364800.06000000611</v>
      </c>
    </row>
    <row r="1640" spans="1:38" s="203" customFormat="1" ht="15" customHeight="1">
      <c r="A1640" s="1050"/>
      <c r="B1640" s="1050"/>
      <c r="C1640" s="1050"/>
      <c r="D1640" s="1050"/>
      <c r="E1640" s="1050"/>
      <c r="F1640" s="1050"/>
      <c r="G1640" s="1050"/>
      <c r="H1640" s="1139"/>
      <c r="I1640" s="1057"/>
      <c r="J1640" s="1088"/>
      <c r="K1640" s="1088"/>
      <c r="L1640" s="1088"/>
      <c r="M1640" s="1137"/>
      <c r="N1640" s="1107"/>
      <c r="O1640" s="1107"/>
      <c r="P1640" s="1107"/>
      <c r="Q1640" s="1107"/>
      <c r="R1640" s="1107"/>
      <c r="S1640" s="1050"/>
      <c r="T1640" s="872" t="s">
        <v>2206</v>
      </c>
      <c r="U1640" s="200">
        <v>29742407.32</v>
      </c>
      <c r="V1640" s="873">
        <v>42998</v>
      </c>
      <c r="W1640" s="201" t="s">
        <v>132</v>
      </c>
      <c r="X1640" s="1060"/>
      <c r="Y1640" s="1060"/>
      <c r="Z1640" s="859">
        <v>0</v>
      </c>
      <c r="AA1640" s="1060"/>
      <c r="AB1640" s="1088"/>
      <c r="AC1640" s="1088"/>
      <c r="AD1640" s="1088"/>
      <c r="AE1640" s="1088"/>
      <c r="AF1640" s="1135"/>
      <c r="AG1640" s="1135"/>
      <c r="AH1640" s="1135"/>
      <c r="AI1640" s="1135"/>
      <c r="AJ1640" s="61"/>
      <c r="AK1640" s="61"/>
    </row>
    <row r="1641" spans="1:38" s="203" customFormat="1" ht="15" customHeight="1">
      <c r="A1641" s="1050"/>
      <c r="B1641" s="1050"/>
      <c r="C1641" s="1050"/>
      <c r="D1641" s="1050"/>
      <c r="E1641" s="1050"/>
      <c r="F1641" s="1050"/>
      <c r="G1641" s="1050"/>
      <c r="H1641" s="1138">
        <v>3</v>
      </c>
      <c r="I1641" s="1056" t="s">
        <v>158</v>
      </c>
      <c r="J1641" s="1087">
        <v>60000000</v>
      </c>
      <c r="K1641" s="1087">
        <v>60000000</v>
      </c>
      <c r="L1641" s="1088"/>
      <c r="M1641" s="1136">
        <v>42164</v>
      </c>
      <c r="N1641" s="1106">
        <v>60000000</v>
      </c>
      <c r="O1641" s="1106">
        <v>60000000</v>
      </c>
      <c r="P1641" s="1106">
        <v>0</v>
      </c>
      <c r="Q1641" s="1106">
        <v>59979733.329999998</v>
      </c>
      <c r="R1641" s="1107"/>
      <c r="S1641" s="1050"/>
      <c r="T1641" s="872" t="s">
        <v>2208</v>
      </c>
      <c r="U1641" s="200">
        <v>5997973.3300000001</v>
      </c>
      <c r="V1641" s="873">
        <v>42557</v>
      </c>
      <c r="W1641" s="201" t="s">
        <v>158</v>
      </c>
      <c r="X1641" s="1059">
        <v>59979733.329999998</v>
      </c>
      <c r="Y1641" s="1060"/>
      <c r="Z1641" s="859">
        <v>0</v>
      </c>
      <c r="AA1641" s="1059">
        <v>20266.670000001788</v>
      </c>
      <c r="AB1641" s="1088"/>
      <c r="AC1641" s="1087">
        <v>20266.670000001788</v>
      </c>
      <c r="AD1641" s="1087">
        <v>0</v>
      </c>
      <c r="AE1641" s="1087">
        <v>20266.670000001788</v>
      </c>
      <c r="AF1641" s="1135"/>
      <c r="AG1641" s="1135"/>
      <c r="AH1641" s="1135"/>
      <c r="AI1641" s="1135"/>
      <c r="AJ1641" s="204">
        <v>20266.669999999998</v>
      </c>
      <c r="AK1641" s="204"/>
      <c r="AL1641" s="206">
        <v>688690.62000000104</v>
      </c>
    </row>
    <row r="1642" spans="1:38" s="203" customFormat="1" ht="15" customHeight="1">
      <c r="A1642" s="1050"/>
      <c r="B1642" s="1050"/>
      <c r="C1642" s="1050"/>
      <c r="D1642" s="1050"/>
      <c r="E1642" s="1050"/>
      <c r="F1642" s="1050"/>
      <c r="G1642" s="1050"/>
      <c r="H1642" s="1139"/>
      <c r="I1642" s="1057"/>
      <c r="J1642" s="1088"/>
      <c r="K1642" s="1088"/>
      <c r="L1642" s="1088"/>
      <c r="M1642" s="1137"/>
      <c r="N1642" s="1107"/>
      <c r="O1642" s="1107"/>
      <c r="P1642" s="1107"/>
      <c r="Q1642" s="1107"/>
      <c r="R1642" s="1107"/>
      <c r="S1642" s="1050"/>
      <c r="T1642" s="872" t="s">
        <v>2206</v>
      </c>
      <c r="U1642" s="200">
        <v>53981760</v>
      </c>
      <c r="V1642" s="873">
        <v>42998</v>
      </c>
      <c r="W1642" s="201" t="s">
        <v>158</v>
      </c>
      <c r="X1642" s="1060"/>
      <c r="Y1642" s="1060"/>
      <c r="Z1642" s="859">
        <v>0</v>
      </c>
      <c r="AA1642" s="1060"/>
      <c r="AB1642" s="1088"/>
      <c r="AC1642" s="1088"/>
      <c r="AD1642" s="1088"/>
      <c r="AE1642" s="1088"/>
      <c r="AF1642" s="1135"/>
      <c r="AG1642" s="1135"/>
      <c r="AH1642" s="1135"/>
      <c r="AI1642" s="1135"/>
      <c r="AJ1642" s="61"/>
      <c r="AK1642" s="61"/>
    </row>
    <row r="1643" spans="1:38" s="203" customFormat="1" ht="15" customHeight="1">
      <c r="A1643" s="1050"/>
      <c r="B1643" s="1050"/>
      <c r="C1643" s="1050"/>
      <c r="D1643" s="1050"/>
      <c r="E1643" s="1050"/>
      <c r="F1643" s="1050"/>
      <c r="G1643" s="1050"/>
      <c r="H1643" s="1138">
        <v>8</v>
      </c>
      <c r="I1643" s="1056" t="s">
        <v>162</v>
      </c>
      <c r="J1643" s="1087">
        <v>60000000</v>
      </c>
      <c r="K1643" s="1087">
        <v>60000000</v>
      </c>
      <c r="L1643" s="1088"/>
      <c r="M1643" s="1136">
        <v>42164</v>
      </c>
      <c r="N1643" s="1106">
        <v>60000000</v>
      </c>
      <c r="O1643" s="1106">
        <v>60000000</v>
      </c>
      <c r="P1643" s="1106">
        <v>0</v>
      </c>
      <c r="Q1643" s="1106">
        <v>59979733.329999998</v>
      </c>
      <c r="R1643" s="1107"/>
      <c r="S1643" s="1050"/>
      <c r="T1643" s="872" t="s">
        <v>2208</v>
      </c>
      <c r="U1643" s="200">
        <v>5997973.3300000001</v>
      </c>
      <c r="V1643" s="873">
        <v>42557</v>
      </c>
      <c r="W1643" s="201" t="s">
        <v>162</v>
      </c>
      <c r="X1643" s="1059">
        <v>59655842.769999996</v>
      </c>
      <c r="Y1643" s="1060"/>
      <c r="Z1643" s="859">
        <v>0</v>
      </c>
      <c r="AA1643" s="1059">
        <v>344157.23000000417</v>
      </c>
      <c r="AB1643" s="1088"/>
      <c r="AC1643" s="1087">
        <v>20266.670000001788</v>
      </c>
      <c r="AD1643" s="1087">
        <v>323890.55999999493</v>
      </c>
      <c r="AE1643" s="1087">
        <v>344157.22999999672</v>
      </c>
      <c r="AF1643" s="1135"/>
      <c r="AG1643" s="1135"/>
      <c r="AH1643" s="1135"/>
      <c r="AI1643" s="1135"/>
      <c r="AJ1643" s="1087">
        <v>344157.22999999672</v>
      </c>
      <c r="AK1643" s="206">
        <v>323890.55999999493</v>
      </c>
      <c r="AL1643" s="826">
        <v>364800</v>
      </c>
    </row>
    <row r="1644" spans="1:38" s="203" customFormat="1" ht="15" customHeight="1">
      <c r="A1644" s="1050"/>
      <c r="B1644" s="1050"/>
      <c r="C1644" s="1050"/>
      <c r="D1644" s="1050"/>
      <c r="E1644" s="1050"/>
      <c r="F1644" s="1050"/>
      <c r="G1644" s="1050"/>
      <c r="H1644" s="1139"/>
      <c r="I1644" s="1057"/>
      <c r="J1644" s="1088"/>
      <c r="K1644" s="1088"/>
      <c r="L1644" s="1088"/>
      <c r="M1644" s="1137"/>
      <c r="N1644" s="1107"/>
      <c r="O1644" s="1107"/>
      <c r="P1644" s="1107"/>
      <c r="Q1644" s="1107"/>
      <c r="R1644" s="1107"/>
      <c r="S1644" s="1050"/>
      <c r="T1644" s="872" t="s">
        <v>2206</v>
      </c>
      <c r="U1644" s="200">
        <v>53657869.439999998</v>
      </c>
      <c r="V1644" s="873">
        <v>42998</v>
      </c>
      <c r="W1644" s="201" t="s">
        <v>162</v>
      </c>
      <c r="X1644" s="1060"/>
      <c r="Y1644" s="1060"/>
      <c r="Z1644" s="859">
        <v>0</v>
      </c>
      <c r="AA1644" s="1060"/>
      <c r="AB1644" s="1088"/>
      <c r="AC1644" s="1088"/>
      <c r="AD1644" s="1088"/>
      <c r="AE1644" s="1088"/>
      <c r="AF1644" s="1135"/>
      <c r="AG1644" s="1135"/>
      <c r="AH1644" s="1135"/>
      <c r="AI1644" s="1135"/>
      <c r="AJ1644" s="1088"/>
      <c r="AK1644" s="206"/>
      <c r="AL1644" s="826">
        <v>28286442.239999998</v>
      </c>
    </row>
    <row r="1645" spans="1:38" s="203" customFormat="1" ht="15" customHeight="1">
      <c r="A1645" s="1050"/>
      <c r="B1645" s="1050"/>
      <c r="C1645" s="1050"/>
      <c r="D1645" s="1050"/>
      <c r="E1645" s="1050"/>
      <c r="F1645" s="1050"/>
      <c r="G1645" s="1050"/>
      <c r="H1645" s="1138">
        <v>16</v>
      </c>
      <c r="I1645" s="1056" t="s">
        <v>152</v>
      </c>
      <c r="J1645" s="1087">
        <v>60000000</v>
      </c>
      <c r="K1645" s="1087">
        <v>60000000</v>
      </c>
      <c r="L1645" s="1088"/>
      <c r="M1645" s="1136">
        <v>42164</v>
      </c>
      <c r="N1645" s="1106">
        <v>60000000</v>
      </c>
      <c r="O1645" s="1106">
        <v>60000000</v>
      </c>
      <c r="P1645" s="1106">
        <v>0</v>
      </c>
      <c r="Q1645" s="1059">
        <v>59979733.329999998</v>
      </c>
      <c r="R1645" s="1107"/>
      <c r="S1645" s="1050"/>
      <c r="T1645" s="872" t="s">
        <v>2208</v>
      </c>
      <c r="U1645" s="200">
        <v>5997973.3300000001</v>
      </c>
      <c r="V1645" s="873">
        <v>42557</v>
      </c>
      <c r="W1645" s="201" t="s">
        <v>152</v>
      </c>
      <c r="X1645" s="1059">
        <v>59979733.329999998</v>
      </c>
      <c r="Y1645" s="1060"/>
      <c r="Z1645" s="859">
        <v>0</v>
      </c>
      <c r="AA1645" s="1059">
        <v>20266.670000001788</v>
      </c>
      <c r="AB1645" s="1088"/>
      <c r="AC1645" s="1087">
        <v>20266.670000001788</v>
      </c>
      <c r="AD1645" s="1087">
        <v>-180000</v>
      </c>
      <c r="AE1645" s="1087">
        <v>-159733.32999999821</v>
      </c>
      <c r="AF1645" s="1135"/>
      <c r="AG1645" s="1135"/>
      <c r="AH1645" s="1135"/>
      <c r="AI1645" s="1135"/>
      <c r="AJ1645" s="204">
        <v>20266.669999999998</v>
      </c>
      <c r="AK1645" s="204"/>
      <c r="AL1645" s="826">
        <v>28651242.239999998</v>
      </c>
    </row>
    <row r="1646" spans="1:38" s="203" customFormat="1" ht="15" customHeight="1">
      <c r="A1646" s="1050"/>
      <c r="B1646" s="1050"/>
      <c r="C1646" s="1050"/>
      <c r="D1646" s="1050"/>
      <c r="E1646" s="1050"/>
      <c r="F1646" s="1050"/>
      <c r="G1646" s="1050"/>
      <c r="H1646" s="1139"/>
      <c r="I1646" s="1057"/>
      <c r="J1646" s="1088"/>
      <c r="K1646" s="1088"/>
      <c r="L1646" s="1088"/>
      <c r="M1646" s="1137"/>
      <c r="N1646" s="1107"/>
      <c r="O1646" s="1107"/>
      <c r="P1646" s="1107"/>
      <c r="Q1646" s="1060"/>
      <c r="R1646" s="1107"/>
      <c r="S1646" s="1050"/>
      <c r="T1646" s="872" t="s">
        <v>2217</v>
      </c>
      <c r="U1646" s="200">
        <v>35791449.32</v>
      </c>
      <c r="V1646" s="873">
        <v>42787</v>
      </c>
      <c r="W1646" s="201" t="s">
        <v>152</v>
      </c>
      <c r="X1646" s="1060"/>
      <c r="Y1646" s="1060"/>
      <c r="Z1646" s="859">
        <v>0</v>
      </c>
      <c r="AA1646" s="1060"/>
      <c r="AB1646" s="1088"/>
      <c r="AC1646" s="1088"/>
      <c r="AD1646" s="1088"/>
      <c r="AE1646" s="1088"/>
      <c r="AF1646" s="1135"/>
      <c r="AG1646" s="1135"/>
      <c r="AH1646" s="1135"/>
      <c r="AI1646" s="1135"/>
      <c r="AJ1646" s="61"/>
      <c r="AK1646" s="61"/>
      <c r="AL1646" s="206">
        <v>0</v>
      </c>
    </row>
    <row r="1647" spans="1:38" s="203" customFormat="1" ht="15" customHeight="1">
      <c r="A1647" s="1050"/>
      <c r="B1647" s="1050"/>
      <c r="C1647" s="1050"/>
      <c r="D1647" s="1050"/>
      <c r="E1647" s="1050"/>
      <c r="F1647" s="1050"/>
      <c r="G1647" s="1050"/>
      <c r="H1647" s="1139"/>
      <c r="I1647" s="1057"/>
      <c r="J1647" s="1088"/>
      <c r="K1647" s="1088"/>
      <c r="L1647" s="1088"/>
      <c r="M1647" s="1137"/>
      <c r="N1647" s="1107"/>
      <c r="O1647" s="1107"/>
      <c r="P1647" s="1107"/>
      <c r="Q1647" s="1060"/>
      <c r="R1647" s="1107"/>
      <c r="S1647" s="1050"/>
      <c r="T1647" s="872" t="s">
        <v>2206</v>
      </c>
      <c r="U1647" s="200">
        <v>18190310.68</v>
      </c>
      <c r="V1647" s="873">
        <v>42998</v>
      </c>
      <c r="W1647" s="201" t="s">
        <v>152</v>
      </c>
      <c r="X1647" s="1060"/>
      <c r="Y1647" s="1060"/>
      <c r="Z1647" s="859">
        <v>0</v>
      </c>
      <c r="AA1647" s="1060"/>
      <c r="AB1647" s="1088"/>
      <c r="AC1647" s="1088"/>
      <c r="AD1647" s="1088"/>
      <c r="AE1647" s="1088"/>
      <c r="AF1647" s="1135"/>
      <c r="AG1647" s="1135"/>
      <c r="AH1647" s="1135"/>
      <c r="AI1647" s="1135"/>
      <c r="AJ1647" s="61"/>
      <c r="AK1647" s="61"/>
    </row>
    <row r="1648" spans="1:38" s="203" customFormat="1" ht="15" customHeight="1">
      <c r="A1648" s="1050"/>
      <c r="B1648" s="1050"/>
      <c r="C1648" s="1050"/>
      <c r="D1648" s="1050"/>
      <c r="E1648" s="1050"/>
      <c r="F1648" s="1050"/>
      <c r="G1648" s="1050"/>
      <c r="H1648" s="1138">
        <v>16</v>
      </c>
      <c r="I1648" s="1056" t="s">
        <v>147</v>
      </c>
      <c r="J1648" s="1087">
        <v>60000000</v>
      </c>
      <c r="K1648" s="1087">
        <v>60000000</v>
      </c>
      <c r="L1648" s="1088"/>
      <c r="M1648" s="1136">
        <v>42164</v>
      </c>
      <c r="N1648" s="1106">
        <v>60000000</v>
      </c>
      <c r="O1648" s="1106">
        <v>60000000</v>
      </c>
      <c r="P1648" s="1106">
        <v>0</v>
      </c>
      <c r="Q1648" s="1059">
        <v>59979733.329999998</v>
      </c>
      <c r="R1648" s="1107"/>
      <c r="S1648" s="1050"/>
      <c r="T1648" s="872" t="s">
        <v>2208</v>
      </c>
      <c r="U1648" s="200">
        <v>5997973.3300000001</v>
      </c>
      <c r="V1648" s="873">
        <v>42557</v>
      </c>
      <c r="W1648" s="201" t="s">
        <v>147</v>
      </c>
      <c r="X1648" s="1059">
        <v>59979733.329999998</v>
      </c>
      <c r="Y1648" s="1060"/>
      <c r="Z1648" s="859">
        <v>0</v>
      </c>
      <c r="AA1648" s="1059">
        <v>20266.670000001788</v>
      </c>
      <c r="AB1648" s="1088"/>
      <c r="AC1648" s="1087">
        <v>20266.670000001788</v>
      </c>
      <c r="AD1648" s="1087">
        <v>-180000</v>
      </c>
      <c r="AE1648" s="1087">
        <v>-159733.32999999821</v>
      </c>
      <c r="AF1648" s="1135"/>
      <c r="AG1648" s="1135"/>
      <c r="AH1648" s="1135"/>
      <c r="AI1648" s="1135"/>
      <c r="AJ1648" s="204">
        <v>20266.669999999998</v>
      </c>
      <c r="AK1648" s="204"/>
    </row>
    <row r="1649" spans="1:38" s="203" customFormat="1" ht="15" customHeight="1">
      <c r="A1649" s="1050"/>
      <c r="B1649" s="1050"/>
      <c r="C1649" s="1050"/>
      <c r="D1649" s="1050"/>
      <c r="E1649" s="1050"/>
      <c r="F1649" s="1050"/>
      <c r="G1649" s="1050"/>
      <c r="H1649" s="1139"/>
      <c r="I1649" s="1057"/>
      <c r="J1649" s="1088"/>
      <c r="K1649" s="1088"/>
      <c r="L1649" s="1088"/>
      <c r="M1649" s="1137"/>
      <c r="N1649" s="1107"/>
      <c r="O1649" s="1107"/>
      <c r="P1649" s="1107"/>
      <c r="Q1649" s="1060"/>
      <c r="R1649" s="1107"/>
      <c r="S1649" s="1050"/>
      <c r="T1649" s="872" t="s">
        <v>2216</v>
      </c>
      <c r="U1649" s="200">
        <v>35791449.32</v>
      </c>
      <c r="V1649" s="873">
        <v>42787</v>
      </c>
      <c r="W1649" s="201" t="s">
        <v>147</v>
      </c>
      <c r="X1649" s="1060"/>
      <c r="Y1649" s="1060"/>
      <c r="Z1649" s="859">
        <v>0</v>
      </c>
      <c r="AA1649" s="1060"/>
      <c r="AB1649" s="1088"/>
      <c r="AC1649" s="1088"/>
      <c r="AD1649" s="1088"/>
      <c r="AE1649" s="1088"/>
      <c r="AF1649" s="1135"/>
      <c r="AG1649" s="1135"/>
      <c r="AH1649" s="1135"/>
      <c r="AI1649" s="1135"/>
      <c r="AJ1649" s="61"/>
      <c r="AK1649" s="61"/>
    </row>
    <row r="1650" spans="1:38" s="203" customFormat="1" ht="15" customHeight="1">
      <c r="A1650" s="1050"/>
      <c r="B1650" s="1050"/>
      <c r="C1650" s="1050"/>
      <c r="D1650" s="1050"/>
      <c r="E1650" s="1050"/>
      <c r="F1650" s="1050"/>
      <c r="G1650" s="1050"/>
      <c r="H1650" s="1139"/>
      <c r="I1650" s="1057"/>
      <c r="J1650" s="1088"/>
      <c r="K1650" s="1088"/>
      <c r="L1650" s="1088"/>
      <c r="M1650" s="1137"/>
      <c r="N1650" s="1107"/>
      <c r="O1650" s="1107"/>
      <c r="P1650" s="1107"/>
      <c r="Q1650" s="1060"/>
      <c r="R1650" s="1107"/>
      <c r="S1650" s="1050"/>
      <c r="T1650" s="872" t="s">
        <v>2206</v>
      </c>
      <c r="U1650" s="200">
        <v>18190310.68</v>
      </c>
      <c r="V1650" s="873">
        <v>42998</v>
      </c>
      <c r="W1650" s="201" t="s">
        <v>147</v>
      </c>
      <c r="X1650" s="1060"/>
      <c r="Y1650" s="1060"/>
      <c r="Z1650" s="859">
        <v>0</v>
      </c>
      <c r="AA1650" s="1060"/>
      <c r="AB1650" s="1088"/>
      <c r="AC1650" s="1088"/>
      <c r="AD1650" s="1088"/>
      <c r="AE1650" s="1088"/>
      <c r="AF1650" s="1135"/>
      <c r="AG1650" s="1135"/>
      <c r="AH1650" s="1135"/>
      <c r="AI1650" s="1135"/>
      <c r="AJ1650" s="61"/>
      <c r="AK1650" s="61"/>
    </row>
    <row r="1651" spans="1:38" s="203" customFormat="1" ht="15" customHeight="1">
      <c r="A1651" s="1050"/>
      <c r="B1651" s="1050"/>
      <c r="C1651" s="1050"/>
      <c r="D1651" s="1050"/>
      <c r="E1651" s="1050"/>
      <c r="F1651" s="1050"/>
      <c r="G1651" s="1050"/>
      <c r="H1651" s="1138">
        <v>4</v>
      </c>
      <c r="I1651" s="1056" t="s">
        <v>153</v>
      </c>
      <c r="J1651" s="1087">
        <v>60000000</v>
      </c>
      <c r="K1651" s="1087">
        <v>60000000</v>
      </c>
      <c r="L1651" s="1088"/>
      <c r="M1651" s="1136">
        <v>42164</v>
      </c>
      <c r="N1651" s="1106">
        <v>60000000</v>
      </c>
      <c r="O1651" s="1106">
        <v>60000000</v>
      </c>
      <c r="P1651" s="1106">
        <v>0</v>
      </c>
      <c r="Q1651" s="1106">
        <v>59979733.329999998</v>
      </c>
      <c r="R1651" s="1107"/>
      <c r="S1651" s="1050"/>
      <c r="T1651" s="872" t="s">
        <v>2208</v>
      </c>
      <c r="U1651" s="200">
        <v>5997973.3300000001</v>
      </c>
      <c r="V1651" s="873">
        <v>42557</v>
      </c>
      <c r="W1651" s="201" t="s">
        <v>153</v>
      </c>
      <c r="X1651" s="1059">
        <v>59979733.329999998</v>
      </c>
      <c r="Y1651" s="1060"/>
      <c r="Z1651" s="859">
        <v>0</v>
      </c>
      <c r="AA1651" s="1059">
        <v>20266.670000001788</v>
      </c>
      <c r="AB1651" s="1088"/>
      <c r="AC1651" s="1087">
        <v>20266.670000001788</v>
      </c>
      <c r="AD1651" s="1087">
        <v>0</v>
      </c>
      <c r="AE1651" s="1087">
        <v>20266.670000001788</v>
      </c>
      <c r="AF1651" s="1135"/>
      <c r="AG1651" s="1135"/>
      <c r="AH1651" s="1135"/>
      <c r="AI1651" s="1135"/>
      <c r="AJ1651" s="1087">
        <v>20266.670000001788</v>
      </c>
      <c r="AK1651" s="206"/>
    </row>
    <row r="1652" spans="1:38" s="203" customFormat="1" ht="15" customHeight="1">
      <c r="A1652" s="1050"/>
      <c r="B1652" s="1050"/>
      <c r="C1652" s="1050"/>
      <c r="D1652" s="1050"/>
      <c r="E1652" s="1050"/>
      <c r="F1652" s="1050"/>
      <c r="G1652" s="1050"/>
      <c r="H1652" s="1139"/>
      <c r="I1652" s="1057"/>
      <c r="J1652" s="1088"/>
      <c r="K1652" s="1088"/>
      <c r="L1652" s="1088"/>
      <c r="M1652" s="1137"/>
      <c r="N1652" s="1107"/>
      <c r="O1652" s="1107"/>
      <c r="P1652" s="1107"/>
      <c r="Q1652" s="1107"/>
      <c r="R1652" s="1107"/>
      <c r="S1652" s="1050"/>
      <c r="T1652" s="872" t="s">
        <v>2215</v>
      </c>
      <c r="U1652" s="200">
        <v>323890.56</v>
      </c>
      <c r="V1652" s="873">
        <v>42787</v>
      </c>
      <c r="W1652" s="201" t="s">
        <v>153</v>
      </c>
      <c r="X1652" s="1060"/>
      <c r="Y1652" s="1060"/>
      <c r="Z1652" s="859">
        <v>0</v>
      </c>
      <c r="AA1652" s="1060"/>
      <c r="AB1652" s="1088"/>
      <c r="AC1652" s="1088"/>
      <c r="AD1652" s="1088"/>
      <c r="AE1652" s="1088"/>
      <c r="AF1652" s="1135"/>
      <c r="AG1652" s="1135"/>
      <c r="AH1652" s="1135"/>
      <c r="AI1652" s="1135"/>
      <c r="AJ1652" s="1088"/>
      <c r="AK1652" s="206"/>
    </row>
    <row r="1653" spans="1:38" s="203" customFormat="1" ht="15" customHeight="1">
      <c r="A1653" s="1050"/>
      <c r="B1653" s="1050"/>
      <c r="C1653" s="1050"/>
      <c r="D1653" s="1050"/>
      <c r="E1653" s="1050"/>
      <c r="F1653" s="1050"/>
      <c r="G1653" s="1050"/>
      <c r="H1653" s="1139"/>
      <c r="I1653" s="1057"/>
      <c r="J1653" s="1088"/>
      <c r="K1653" s="1088"/>
      <c r="L1653" s="1088"/>
      <c r="M1653" s="1137"/>
      <c r="N1653" s="1107"/>
      <c r="O1653" s="1107"/>
      <c r="P1653" s="1107"/>
      <c r="Q1653" s="1107"/>
      <c r="R1653" s="1107"/>
      <c r="S1653" s="1050"/>
      <c r="T1653" s="872" t="s">
        <v>2206</v>
      </c>
      <c r="U1653" s="200">
        <v>53657869.439999998</v>
      </c>
      <c r="V1653" s="873">
        <v>42998</v>
      </c>
      <c r="W1653" s="201" t="s">
        <v>153</v>
      </c>
      <c r="X1653" s="1060"/>
      <c r="Y1653" s="1060"/>
      <c r="Z1653" s="859">
        <v>0</v>
      </c>
      <c r="AA1653" s="1060"/>
      <c r="AB1653" s="1088"/>
      <c r="AC1653" s="1088"/>
      <c r="AD1653" s="1088"/>
      <c r="AE1653" s="1088"/>
      <c r="AF1653" s="1135"/>
      <c r="AG1653" s="1135"/>
      <c r="AH1653" s="1135"/>
      <c r="AI1653" s="1135"/>
      <c r="AJ1653" s="1088"/>
      <c r="AK1653" s="206"/>
    </row>
    <row r="1654" spans="1:38" s="203" customFormat="1" ht="15" customHeight="1">
      <c r="A1654" s="1050"/>
      <c r="B1654" s="1050"/>
      <c r="C1654" s="1050"/>
      <c r="D1654" s="1050"/>
      <c r="E1654" s="1050"/>
      <c r="F1654" s="1050"/>
      <c r="G1654" s="1050"/>
      <c r="H1654" s="1138">
        <v>6</v>
      </c>
      <c r="I1654" s="1056" t="s">
        <v>135</v>
      </c>
      <c r="J1654" s="1087">
        <v>60000000</v>
      </c>
      <c r="K1654" s="1087">
        <v>60000000</v>
      </c>
      <c r="L1654" s="1088"/>
      <c r="M1654" s="1136">
        <v>42164</v>
      </c>
      <c r="N1654" s="1106">
        <v>60000000</v>
      </c>
      <c r="O1654" s="1106">
        <v>60000000</v>
      </c>
      <c r="P1654" s="1106">
        <v>0</v>
      </c>
      <c r="Q1654" s="1059">
        <v>59979733.329999998</v>
      </c>
      <c r="R1654" s="1107"/>
      <c r="S1654" s="1050"/>
      <c r="T1654" s="872" t="s">
        <v>2208</v>
      </c>
      <c r="U1654" s="200">
        <v>5997973.3300000001</v>
      </c>
      <c r="V1654" s="873">
        <v>42557</v>
      </c>
      <c r="W1654" s="201" t="s">
        <v>135</v>
      </c>
      <c r="X1654" s="1059">
        <v>59979733.329999998</v>
      </c>
      <c r="Y1654" s="1060"/>
      <c r="Z1654" s="859">
        <v>0</v>
      </c>
      <c r="AA1654" s="1059">
        <v>20266.670000001788</v>
      </c>
      <c r="AB1654" s="1088"/>
      <c r="AC1654" s="1087">
        <v>20266.670000001788</v>
      </c>
      <c r="AD1654" s="1087">
        <v>0</v>
      </c>
      <c r="AE1654" s="1087">
        <v>20266.670000001788</v>
      </c>
      <c r="AF1654" s="1135"/>
      <c r="AG1654" s="1135"/>
      <c r="AH1654" s="1135"/>
      <c r="AI1654" s="1135"/>
      <c r="AJ1654" s="1087">
        <v>20266.670000001788</v>
      </c>
      <c r="AK1654" s="206"/>
    </row>
    <row r="1655" spans="1:38" s="203" customFormat="1" ht="15" customHeight="1">
      <c r="A1655" s="1050"/>
      <c r="B1655" s="1050"/>
      <c r="C1655" s="1050"/>
      <c r="D1655" s="1050"/>
      <c r="E1655" s="1050"/>
      <c r="F1655" s="1050"/>
      <c r="G1655" s="1050"/>
      <c r="H1655" s="1139"/>
      <c r="I1655" s="1057"/>
      <c r="J1655" s="1088"/>
      <c r="K1655" s="1088"/>
      <c r="L1655" s="1088"/>
      <c r="M1655" s="1137"/>
      <c r="N1655" s="1107"/>
      <c r="O1655" s="1107"/>
      <c r="P1655" s="1107"/>
      <c r="Q1655" s="1060"/>
      <c r="R1655" s="1107"/>
      <c r="S1655" s="1050"/>
      <c r="T1655" s="872" t="s">
        <v>2214</v>
      </c>
      <c r="U1655" s="200">
        <v>35791449.32</v>
      </c>
      <c r="V1655" s="873">
        <v>42787</v>
      </c>
      <c r="W1655" s="201" t="s">
        <v>135</v>
      </c>
      <c r="X1655" s="1060"/>
      <c r="Y1655" s="1060"/>
      <c r="Z1655" s="859">
        <v>0</v>
      </c>
      <c r="AA1655" s="1060"/>
      <c r="AB1655" s="1088"/>
      <c r="AC1655" s="1088"/>
      <c r="AD1655" s="1088"/>
      <c r="AE1655" s="1088"/>
      <c r="AF1655" s="1135"/>
      <c r="AG1655" s="1135"/>
      <c r="AH1655" s="1135"/>
      <c r="AI1655" s="1135"/>
      <c r="AJ1655" s="1088"/>
      <c r="AK1655" s="206"/>
    </row>
    <row r="1656" spans="1:38" s="203" customFormat="1" ht="15" customHeight="1">
      <c r="A1656" s="1050"/>
      <c r="B1656" s="1050"/>
      <c r="C1656" s="1050"/>
      <c r="D1656" s="1050"/>
      <c r="E1656" s="1050"/>
      <c r="F1656" s="1050"/>
      <c r="G1656" s="1050"/>
      <c r="H1656" s="1139"/>
      <c r="I1656" s="1057"/>
      <c r="J1656" s="1088"/>
      <c r="K1656" s="1088"/>
      <c r="L1656" s="1088"/>
      <c r="M1656" s="1137"/>
      <c r="N1656" s="1107"/>
      <c r="O1656" s="1107"/>
      <c r="P1656" s="1107"/>
      <c r="Q1656" s="1060"/>
      <c r="R1656" s="1107"/>
      <c r="S1656" s="1050"/>
      <c r="T1656" s="872" t="s">
        <v>2206</v>
      </c>
      <c r="U1656" s="200">
        <v>18190310.68</v>
      </c>
      <c r="V1656" s="873">
        <v>42998</v>
      </c>
      <c r="W1656" s="201" t="s">
        <v>135</v>
      </c>
      <c r="X1656" s="1060"/>
      <c r="Y1656" s="1060"/>
      <c r="Z1656" s="859">
        <v>0</v>
      </c>
      <c r="AA1656" s="1060"/>
      <c r="AB1656" s="1088"/>
      <c r="AC1656" s="1088"/>
      <c r="AD1656" s="1088"/>
      <c r="AE1656" s="1088"/>
      <c r="AF1656" s="1135"/>
      <c r="AG1656" s="1135"/>
      <c r="AH1656" s="1135"/>
      <c r="AI1656" s="1135"/>
      <c r="AJ1656" s="1088"/>
      <c r="AK1656" s="206"/>
    </row>
    <row r="1657" spans="1:38" s="203" customFormat="1" ht="15" customHeight="1">
      <c r="A1657" s="1050"/>
      <c r="B1657" s="1050"/>
      <c r="C1657" s="1050"/>
      <c r="D1657" s="1050"/>
      <c r="E1657" s="1050"/>
      <c r="F1657" s="1050"/>
      <c r="G1657" s="1050"/>
      <c r="H1657" s="1138">
        <v>18</v>
      </c>
      <c r="I1657" s="1056" t="s">
        <v>129</v>
      </c>
      <c r="J1657" s="1087">
        <v>60000000</v>
      </c>
      <c r="K1657" s="1087">
        <v>60000000</v>
      </c>
      <c r="L1657" s="1088"/>
      <c r="M1657" s="1136">
        <v>42164</v>
      </c>
      <c r="N1657" s="1106">
        <v>60000000</v>
      </c>
      <c r="O1657" s="1106">
        <v>60000000</v>
      </c>
      <c r="P1657" s="1106">
        <v>0</v>
      </c>
      <c r="Q1657" s="1106">
        <v>59979733.329999998</v>
      </c>
      <c r="R1657" s="1107"/>
      <c r="S1657" s="1050"/>
      <c r="T1657" s="872" t="s">
        <v>2208</v>
      </c>
      <c r="U1657" s="200">
        <v>5997973.3300000001</v>
      </c>
      <c r="V1657" s="873">
        <v>42557</v>
      </c>
      <c r="W1657" s="201" t="s">
        <v>129</v>
      </c>
      <c r="X1657" s="1059">
        <v>59979733.329999998</v>
      </c>
      <c r="Y1657" s="1060"/>
      <c r="Z1657" s="859">
        <v>0</v>
      </c>
      <c r="AA1657" s="1059">
        <v>20266.670000001788</v>
      </c>
      <c r="AB1657" s="1088"/>
      <c r="AC1657" s="1087">
        <v>20266.670000001788</v>
      </c>
      <c r="AD1657" s="1087">
        <v>0</v>
      </c>
      <c r="AE1657" s="1087">
        <v>20266.670000001788</v>
      </c>
      <c r="AF1657" s="1135"/>
      <c r="AG1657" s="1135"/>
      <c r="AH1657" s="1135"/>
      <c r="AI1657" s="1135"/>
      <c r="AJ1657" s="1087">
        <v>20266.670000001788</v>
      </c>
      <c r="AK1657" s="206"/>
    </row>
    <row r="1658" spans="1:38" s="203" customFormat="1" ht="15" customHeight="1">
      <c r="A1658" s="1050"/>
      <c r="B1658" s="1050"/>
      <c r="C1658" s="1050"/>
      <c r="D1658" s="1050"/>
      <c r="E1658" s="1050"/>
      <c r="F1658" s="1050"/>
      <c r="G1658" s="1050"/>
      <c r="H1658" s="1139"/>
      <c r="I1658" s="1057"/>
      <c r="J1658" s="1088"/>
      <c r="K1658" s="1088"/>
      <c r="L1658" s="1088"/>
      <c r="M1658" s="1137"/>
      <c r="N1658" s="1107"/>
      <c r="O1658" s="1107"/>
      <c r="P1658" s="1107"/>
      <c r="Q1658" s="1107"/>
      <c r="R1658" s="1107"/>
      <c r="S1658" s="1050"/>
      <c r="T1658" s="872" t="s">
        <v>2213</v>
      </c>
      <c r="U1658" s="200">
        <v>24239352.68</v>
      </c>
      <c r="V1658" s="873">
        <v>42787</v>
      </c>
      <c r="W1658" s="201" t="s">
        <v>129</v>
      </c>
      <c r="X1658" s="1060"/>
      <c r="Y1658" s="1060"/>
      <c r="Z1658" s="859">
        <v>0</v>
      </c>
      <c r="AA1658" s="1060"/>
      <c r="AB1658" s="1088"/>
      <c r="AC1658" s="1088"/>
      <c r="AD1658" s="1088"/>
      <c r="AE1658" s="1088"/>
      <c r="AF1658" s="1135"/>
      <c r="AG1658" s="1135"/>
      <c r="AH1658" s="1135"/>
      <c r="AI1658" s="1135"/>
      <c r="AJ1658" s="1088"/>
      <c r="AK1658" s="206"/>
    </row>
    <row r="1659" spans="1:38" s="203" customFormat="1" ht="15" customHeight="1">
      <c r="A1659" s="1050"/>
      <c r="B1659" s="1050"/>
      <c r="C1659" s="1050"/>
      <c r="D1659" s="1050"/>
      <c r="E1659" s="1050"/>
      <c r="F1659" s="1050"/>
      <c r="G1659" s="1050"/>
      <c r="H1659" s="1139"/>
      <c r="I1659" s="1057"/>
      <c r="J1659" s="1088"/>
      <c r="K1659" s="1088"/>
      <c r="L1659" s="1088"/>
      <c r="M1659" s="1137"/>
      <c r="N1659" s="1107"/>
      <c r="O1659" s="1107"/>
      <c r="P1659" s="1107"/>
      <c r="Q1659" s="1107"/>
      <c r="R1659" s="1107"/>
      <c r="S1659" s="1050"/>
      <c r="T1659" s="872" t="s">
        <v>2206</v>
      </c>
      <c r="U1659" s="200">
        <v>29742407.32</v>
      </c>
      <c r="V1659" s="873">
        <v>42998</v>
      </c>
      <c r="W1659" s="201" t="s">
        <v>129</v>
      </c>
      <c r="X1659" s="1060"/>
      <c r="Y1659" s="1060"/>
      <c r="Z1659" s="859">
        <v>0</v>
      </c>
      <c r="AA1659" s="1060"/>
      <c r="AB1659" s="1088"/>
      <c r="AC1659" s="1088"/>
      <c r="AD1659" s="1088"/>
      <c r="AE1659" s="1088"/>
      <c r="AF1659" s="1135"/>
      <c r="AG1659" s="1135"/>
      <c r="AH1659" s="1135"/>
      <c r="AI1659" s="1135"/>
      <c r="AJ1659" s="1088"/>
      <c r="AK1659" s="206"/>
    </row>
    <row r="1660" spans="1:38" s="203" customFormat="1" ht="15" customHeight="1">
      <c r="A1660" s="1050"/>
      <c r="B1660" s="1050"/>
      <c r="C1660" s="1050"/>
      <c r="D1660" s="1050"/>
      <c r="E1660" s="1050"/>
      <c r="F1660" s="1050"/>
      <c r="G1660" s="1050"/>
      <c r="H1660" s="1138">
        <v>10</v>
      </c>
      <c r="I1660" s="1056" t="s">
        <v>169</v>
      </c>
      <c r="J1660" s="1087">
        <v>60000000</v>
      </c>
      <c r="K1660" s="1087">
        <v>60000000</v>
      </c>
      <c r="L1660" s="1088"/>
      <c r="M1660" s="1136">
        <v>42164</v>
      </c>
      <c r="N1660" s="1106">
        <v>60000000</v>
      </c>
      <c r="O1660" s="1106">
        <v>60000000</v>
      </c>
      <c r="P1660" s="1106">
        <v>0</v>
      </c>
      <c r="Q1660" s="1059">
        <v>59979733.329999998</v>
      </c>
      <c r="R1660" s="1107"/>
      <c r="S1660" s="1050"/>
      <c r="T1660" s="872" t="s">
        <v>2208</v>
      </c>
      <c r="U1660" s="200">
        <v>5997973.3300000001</v>
      </c>
      <c r="V1660" s="873">
        <v>42557</v>
      </c>
      <c r="W1660" s="201" t="s">
        <v>169</v>
      </c>
      <c r="X1660" s="1059">
        <v>59979733.329999998</v>
      </c>
      <c r="Y1660" s="1060"/>
      <c r="Z1660" s="859">
        <v>0</v>
      </c>
      <c r="AA1660" s="1059">
        <v>20266.670000001788</v>
      </c>
      <c r="AB1660" s="1088"/>
      <c r="AC1660" s="1087">
        <v>20266.670000001788</v>
      </c>
      <c r="AD1660" s="1087">
        <v>0</v>
      </c>
      <c r="AE1660" s="1087">
        <v>20266.670000001788</v>
      </c>
      <c r="AF1660" s="1135"/>
      <c r="AG1660" s="1135"/>
      <c r="AH1660" s="1135"/>
      <c r="AI1660" s="1135"/>
      <c r="AJ1660" s="1087">
        <v>20266.670000001788</v>
      </c>
      <c r="AK1660" s="829"/>
      <c r="AL1660" s="1087"/>
    </row>
    <row r="1661" spans="1:38" s="203" customFormat="1" ht="15" customHeight="1">
      <c r="A1661" s="1050"/>
      <c r="B1661" s="1050"/>
      <c r="C1661" s="1050"/>
      <c r="D1661" s="1050"/>
      <c r="E1661" s="1050"/>
      <c r="F1661" s="1050"/>
      <c r="G1661" s="1050"/>
      <c r="H1661" s="1139"/>
      <c r="I1661" s="1057"/>
      <c r="J1661" s="1088"/>
      <c r="K1661" s="1088"/>
      <c r="L1661" s="1088"/>
      <c r="M1661" s="1137"/>
      <c r="N1661" s="1107"/>
      <c r="O1661" s="1107"/>
      <c r="P1661" s="1107"/>
      <c r="Q1661" s="1060"/>
      <c r="R1661" s="1107"/>
      <c r="S1661" s="1050"/>
      <c r="T1661" s="872" t="s">
        <v>2212</v>
      </c>
      <c r="U1661" s="200">
        <v>35791449.32</v>
      </c>
      <c r="V1661" s="873">
        <v>42787</v>
      </c>
      <c r="W1661" s="201" t="s">
        <v>169</v>
      </c>
      <c r="X1661" s="1060"/>
      <c r="Y1661" s="1060"/>
      <c r="Z1661" s="859">
        <v>0</v>
      </c>
      <c r="AA1661" s="1060"/>
      <c r="AB1661" s="1088"/>
      <c r="AC1661" s="1088"/>
      <c r="AD1661" s="1088"/>
      <c r="AE1661" s="1088"/>
      <c r="AF1661" s="1135"/>
      <c r="AG1661" s="1135"/>
      <c r="AH1661" s="1135"/>
      <c r="AI1661" s="1135"/>
      <c r="AJ1661" s="1088"/>
      <c r="AK1661" s="830"/>
      <c r="AL1661" s="1088"/>
    </row>
    <row r="1662" spans="1:38" s="203" customFormat="1" ht="15" customHeight="1">
      <c r="A1662" s="1050"/>
      <c r="B1662" s="1050"/>
      <c r="C1662" s="1050"/>
      <c r="D1662" s="1050"/>
      <c r="E1662" s="1050"/>
      <c r="F1662" s="1050"/>
      <c r="G1662" s="1050"/>
      <c r="H1662" s="1139"/>
      <c r="I1662" s="1057"/>
      <c r="J1662" s="1088"/>
      <c r="K1662" s="1088"/>
      <c r="L1662" s="1088"/>
      <c r="M1662" s="1137"/>
      <c r="N1662" s="1107"/>
      <c r="O1662" s="1107"/>
      <c r="P1662" s="1107"/>
      <c r="Q1662" s="1060"/>
      <c r="R1662" s="1107"/>
      <c r="S1662" s="1050"/>
      <c r="T1662" s="872" t="s">
        <v>2206</v>
      </c>
      <c r="U1662" s="200">
        <v>18190310.68</v>
      </c>
      <c r="V1662" s="873">
        <v>42998</v>
      </c>
      <c r="W1662" s="201" t="s">
        <v>169</v>
      </c>
      <c r="X1662" s="1060"/>
      <c r="Y1662" s="1060"/>
      <c r="Z1662" s="859">
        <v>0</v>
      </c>
      <c r="AA1662" s="1060"/>
      <c r="AB1662" s="1088"/>
      <c r="AC1662" s="1088"/>
      <c r="AD1662" s="1088"/>
      <c r="AE1662" s="1088"/>
      <c r="AF1662" s="1135"/>
      <c r="AG1662" s="1135"/>
      <c r="AH1662" s="1135"/>
      <c r="AI1662" s="1135"/>
      <c r="AJ1662" s="1088"/>
      <c r="AK1662" s="830"/>
      <c r="AL1662" s="1088"/>
    </row>
    <row r="1663" spans="1:38" s="203" customFormat="1" ht="15" customHeight="1">
      <c r="A1663" s="1050"/>
      <c r="B1663" s="1050"/>
      <c r="C1663" s="1050"/>
      <c r="D1663" s="1050"/>
      <c r="E1663" s="1050"/>
      <c r="F1663" s="1050"/>
      <c r="G1663" s="1050"/>
      <c r="H1663" s="1138">
        <v>9</v>
      </c>
      <c r="I1663" s="1056" t="s">
        <v>145</v>
      </c>
      <c r="J1663" s="1087">
        <v>60000000</v>
      </c>
      <c r="K1663" s="1087">
        <v>60000000</v>
      </c>
      <c r="L1663" s="1088"/>
      <c r="M1663" s="1136">
        <v>42164</v>
      </c>
      <c r="N1663" s="1106">
        <v>60000000</v>
      </c>
      <c r="O1663" s="1106">
        <v>60000000</v>
      </c>
      <c r="P1663" s="1106">
        <v>0</v>
      </c>
      <c r="Q1663" s="1106">
        <v>59979733.329999998</v>
      </c>
      <c r="R1663" s="1107"/>
      <c r="S1663" s="1050"/>
      <c r="T1663" s="872" t="s">
        <v>2208</v>
      </c>
      <c r="U1663" s="200">
        <v>5997973.3300000001</v>
      </c>
      <c r="V1663" s="873">
        <v>42557</v>
      </c>
      <c r="W1663" s="201" t="s">
        <v>145</v>
      </c>
      <c r="X1663" s="1059">
        <v>59979733.329999998</v>
      </c>
      <c r="Y1663" s="1060"/>
      <c r="Z1663" s="859">
        <v>0</v>
      </c>
      <c r="AA1663" s="1059">
        <v>20266.670000001788</v>
      </c>
      <c r="AB1663" s="1088"/>
      <c r="AC1663" s="1087">
        <v>20266.670000001788</v>
      </c>
      <c r="AD1663" s="1087">
        <v>0</v>
      </c>
      <c r="AE1663" s="1087">
        <v>20266.670000001788</v>
      </c>
      <c r="AF1663" s="1135"/>
      <c r="AG1663" s="1135"/>
      <c r="AH1663" s="1135"/>
      <c r="AI1663" s="1135"/>
      <c r="AJ1663" s="1087">
        <v>20266.670000001788</v>
      </c>
      <c r="AK1663" s="206"/>
    </row>
    <row r="1664" spans="1:38" s="203" customFormat="1" ht="15" customHeight="1">
      <c r="A1664" s="1050"/>
      <c r="B1664" s="1050"/>
      <c r="C1664" s="1050"/>
      <c r="D1664" s="1050"/>
      <c r="E1664" s="1050"/>
      <c r="F1664" s="1050"/>
      <c r="G1664" s="1050"/>
      <c r="H1664" s="1139"/>
      <c r="I1664" s="1057"/>
      <c r="J1664" s="1088"/>
      <c r="K1664" s="1088"/>
      <c r="L1664" s="1088"/>
      <c r="M1664" s="1137"/>
      <c r="N1664" s="1107"/>
      <c r="O1664" s="1107"/>
      <c r="P1664" s="1107"/>
      <c r="Q1664" s="1107"/>
      <c r="R1664" s="1107"/>
      <c r="S1664" s="1050"/>
      <c r="T1664" s="872" t="s">
        <v>2211</v>
      </c>
      <c r="U1664" s="200">
        <v>35791449.32</v>
      </c>
      <c r="V1664" s="873">
        <v>42787</v>
      </c>
      <c r="W1664" s="201" t="s">
        <v>145</v>
      </c>
      <c r="X1664" s="1060"/>
      <c r="Y1664" s="1060"/>
      <c r="Z1664" s="859">
        <v>0</v>
      </c>
      <c r="AA1664" s="1060"/>
      <c r="AB1664" s="1088"/>
      <c r="AC1664" s="1088"/>
      <c r="AD1664" s="1088"/>
      <c r="AE1664" s="1088"/>
      <c r="AF1664" s="1135"/>
      <c r="AG1664" s="1135"/>
      <c r="AH1664" s="1135"/>
      <c r="AI1664" s="1135"/>
      <c r="AJ1664" s="1088"/>
      <c r="AK1664" s="206"/>
    </row>
    <row r="1665" spans="1:38" s="203" customFormat="1" ht="15" customHeight="1">
      <c r="A1665" s="1050"/>
      <c r="B1665" s="1050"/>
      <c r="C1665" s="1050"/>
      <c r="D1665" s="1050"/>
      <c r="E1665" s="1050"/>
      <c r="F1665" s="1050"/>
      <c r="G1665" s="1050"/>
      <c r="H1665" s="1139"/>
      <c r="I1665" s="1057"/>
      <c r="J1665" s="1088"/>
      <c r="K1665" s="1088"/>
      <c r="L1665" s="1088"/>
      <c r="M1665" s="1137"/>
      <c r="N1665" s="1107"/>
      <c r="O1665" s="1107"/>
      <c r="P1665" s="1107"/>
      <c r="Q1665" s="1107"/>
      <c r="R1665" s="1107"/>
      <c r="S1665" s="1050"/>
      <c r="T1665" s="872" t="s">
        <v>2206</v>
      </c>
      <c r="U1665" s="200">
        <v>18190310.68</v>
      </c>
      <c r="V1665" s="873">
        <v>42998</v>
      </c>
      <c r="W1665" s="201" t="s">
        <v>145</v>
      </c>
      <c r="X1665" s="1060"/>
      <c r="Y1665" s="1060"/>
      <c r="Z1665" s="859">
        <v>0</v>
      </c>
      <c r="AA1665" s="1060"/>
      <c r="AB1665" s="1088"/>
      <c r="AC1665" s="1088"/>
      <c r="AD1665" s="1088"/>
      <c r="AE1665" s="1088"/>
      <c r="AF1665" s="1135"/>
      <c r="AG1665" s="1135"/>
      <c r="AH1665" s="1135"/>
      <c r="AI1665" s="1135"/>
      <c r="AJ1665" s="1088"/>
      <c r="AK1665" s="206"/>
    </row>
    <row r="1666" spans="1:38" s="203" customFormat="1" ht="15" customHeight="1">
      <c r="A1666" s="1050"/>
      <c r="B1666" s="1050"/>
      <c r="C1666" s="1050"/>
      <c r="D1666" s="1050"/>
      <c r="E1666" s="1050"/>
      <c r="F1666" s="1050"/>
      <c r="G1666" s="1050"/>
      <c r="H1666" s="1138">
        <v>8</v>
      </c>
      <c r="I1666" s="1056" t="s">
        <v>142</v>
      </c>
      <c r="J1666" s="1087">
        <v>60000000</v>
      </c>
      <c r="K1666" s="1087">
        <v>60000000</v>
      </c>
      <c r="L1666" s="1088"/>
      <c r="M1666" s="1136">
        <v>42164</v>
      </c>
      <c r="N1666" s="1106">
        <v>60000000</v>
      </c>
      <c r="O1666" s="1106">
        <v>60000000</v>
      </c>
      <c r="P1666" s="1106">
        <v>0</v>
      </c>
      <c r="Q1666" s="1106">
        <v>59979733.329999998</v>
      </c>
      <c r="R1666" s="1107"/>
      <c r="S1666" s="1050"/>
      <c r="T1666" s="872" t="s">
        <v>2208</v>
      </c>
      <c r="U1666" s="200">
        <v>5997973.3300000001</v>
      </c>
      <c r="V1666" s="873">
        <v>42557</v>
      </c>
      <c r="W1666" s="201" t="s">
        <v>142</v>
      </c>
      <c r="X1666" s="1059">
        <v>59979733.329999998</v>
      </c>
      <c r="Y1666" s="1060"/>
      <c r="Z1666" s="859">
        <v>0</v>
      </c>
      <c r="AA1666" s="1059">
        <v>20266.670000001788</v>
      </c>
      <c r="AB1666" s="1088"/>
      <c r="AC1666" s="1087">
        <v>20266.670000001788</v>
      </c>
      <c r="AD1666" s="1087">
        <v>0</v>
      </c>
      <c r="AE1666" s="1087">
        <v>20266.670000001788</v>
      </c>
      <c r="AF1666" s="1135"/>
      <c r="AG1666" s="1135"/>
      <c r="AH1666" s="1135"/>
      <c r="AI1666" s="1135"/>
      <c r="AJ1666" s="1087">
        <v>20266.670000001788</v>
      </c>
      <c r="AK1666" s="206"/>
    </row>
    <row r="1667" spans="1:38" s="203" customFormat="1" ht="15" customHeight="1">
      <c r="A1667" s="1050"/>
      <c r="B1667" s="1050"/>
      <c r="C1667" s="1050"/>
      <c r="D1667" s="1050"/>
      <c r="E1667" s="1050"/>
      <c r="F1667" s="1050"/>
      <c r="G1667" s="1050"/>
      <c r="H1667" s="1139"/>
      <c r="I1667" s="1057"/>
      <c r="J1667" s="1088"/>
      <c r="K1667" s="1088"/>
      <c r="L1667" s="1088"/>
      <c r="M1667" s="1137"/>
      <c r="N1667" s="1107"/>
      <c r="O1667" s="1107"/>
      <c r="P1667" s="1107"/>
      <c r="Q1667" s="1107"/>
      <c r="R1667" s="1107"/>
      <c r="S1667" s="1050"/>
      <c r="T1667" s="872" t="s">
        <v>2210</v>
      </c>
      <c r="U1667" s="200">
        <v>24239352.68</v>
      </c>
      <c r="V1667" s="873">
        <v>42787</v>
      </c>
      <c r="W1667" s="201" t="s">
        <v>142</v>
      </c>
      <c r="X1667" s="1060"/>
      <c r="Y1667" s="1060"/>
      <c r="Z1667" s="859">
        <v>0</v>
      </c>
      <c r="AA1667" s="1060"/>
      <c r="AB1667" s="1088"/>
      <c r="AC1667" s="1088"/>
      <c r="AD1667" s="1088"/>
      <c r="AE1667" s="1088"/>
      <c r="AF1667" s="1135"/>
      <c r="AG1667" s="1135"/>
      <c r="AH1667" s="1135"/>
      <c r="AI1667" s="1135"/>
      <c r="AJ1667" s="1088"/>
      <c r="AK1667" s="206"/>
    </row>
    <row r="1668" spans="1:38" s="203" customFormat="1" ht="15" customHeight="1">
      <c r="A1668" s="1050"/>
      <c r="B1668" s="1050"/>
      <c r="C1668" s="1050"/>
      <c r="D1668" s="1050"/>
      <c r="E1668" s="1050"/>
      <c r="F1668" s="1050"/>
      <c r="G1668" s="1050"/>
      <c r="H1668" s="1139"/>
      <c r="I1668" s="1057"/>
      <c r="J1668" s="1088"/>
      <c r="K1668" s="1088"/>
      <c r="L1668" s="1088"/>
      <c r="M1668" s="1137"/>
      <c r="N1668" s="1107"/>
      <c r="O1668" s="1107"/>
      <c r="P1668" s="1107"/>
      <c r="Q1668" s="1107"/>
      <c r="R1668" s="1107"/>
      <c r="S1668" s="1050"/>
      <c r="T1668" s="872" t="s">
        <v>2206</v>
      </c>
      <c r="U1668" s="200">
        <v>29742407.32</v>
      </c>
      <c r="V1668" s="873">
        <v>42998</v>
      </c>
      <c r="W1668" s="201" t="s">
        <v>142</v>
      </c>
      <c r="X1668" s="1060"/>
      <c r="Y1668" s="1060"/>
      <c r="Z1668" s="859">
        <v>0</v>
      </c>
      <c r="AA1668" s="1060"/>
      <c r="AB1668" s="1088"/>
      <c r="AC1668" s="1088"/>
      <c r="AD1668" s="1088"/>
      <c r="AE1668" s="1088"/>
      <c r="AF1668" s="1135"/>
      <c r="AG1668" s="1135"/>
      <c r="AH1668" s="1135"/>
      <c r="AI1668" s="1135"/>
      <c r="AJ1668" s="1088"/>
      <c r="AK1668" s="206"/>
    </row>
    <row r="1669" spans="1:38" s="203" customFormat="1" ht="15" customHeight="1">
      <c r="A1669" s="1050"/>
      <c r="B1669" s="1050"/>
      <c r="C1669" s="1050"/>
      <c r="D1669" s="1050"/>
      <c r="E1669" s="1050"/>
      <c r="F1669" s="1050"/>
      <c r="G1669" s="1050"/>
      <c r="H1669" s="1138">
        <v>7</v>
      </c>
      <c r="I1669" s="1056" t="s">
        <v>163</v>
      </c>
      <c r="J1669" s="1087">
        <v>60000000</v>
      </c>
      <c r="K1669" s="1087">
        <v>60000000</v>
      </c>
      <c r="L1669" s="1088"/>
      <c r="M1669" s="1136">
        <v>42164</v>
      </c>
      <c r="N1669" s="1106">
        <v>60000000</v>
      </c>
      <c r="O1669" s="1106">
        <v>60000000</v>
      </c>
      <c r="P1669" s="1106">
        <v>0</v>
      </c>
      <c r="Q1669" s="1106">
        <v>59979733.329999998</v>
      </c>
      <c r="R1669" s="1107"/>
      <c r="S1669" s="1050"/>
      <c r="T1669" s="872" t="s">
        <v>2208</v>
      </c>
      <c r="U1669" s="200">
        <v>5997973.3300000001</v>
      </c>
      <c r="V1669" s="873">
        <v>42557</v>
      </c>
      <c r="W1669" s="201" t="s">
        <v>163</v>
      </c>
      <c r="X1669" s="1059">
        <v>59979733.329999998</v>
      </c>
      <c r="Y1669" s="1060"/>
      <c r="Z1669" s="859">
        <v>0</v>
      </c>
      <c r="AA1669" s="1059">
        <v>20266.670000001788</v>
      </c>
      <c r="AB1669" s="1088"/>
      <c r="AC1669" s="1087">
        <v>20266.670000001788</v>
      </c>
      <c r="AD1669" s="1087">
        <v>0</v>
      </c>
      <c r="AE1669" s="1087">
        <v>20266.670000001788</v>
      </c>
      <c r="AF1669" s="1135"/>
      <c r="AG1669" s="1135"/>
      <c r="AH1669" s="1135"/>
      <c r="AI1669" s="1135"/>
      <c r="AJ1669" s="1087">
        <v>20266.670000001788</v>
      </c>
      <c r="AK1669" s="206"/>
    </row>
    <row r="1670" spans="1:38" s="203" customFormat="1" ht="15" customHeight="1">
      <c r="A1670" s="1050"/>
      <c r="B1670" s="1050"/>
      <c r="C1670" s="1050"/>
      <c r="D1670" s="1050"/>
      <c r="E1670" s="1050"/>
      <c r="F1670" s="1050"/>
      <c r="G1670" s="1050"/>
      <c r="H1670" s="1139"/>
      <c r="I1670" s="1057"/>
      <c r="J1670" s="1088"/>
      <c r="K1670" s="1088"/>
      <c r="L1670" s="1088"/>
      <c r="M1670" s="1137"/>
      <c r="N1670" s="1107"/>
      <c r="O1670" s="1107"/>
      <c r="P1670" s="1107"/>
      <c r="Q1670" s="1107"/>
      <c r="R1670" s="1107"/>
      <c r="S1670" s="1050"/>
      <c r="T1670" s="872" t="s">
        <v>2209</v>
      </c>
      <c r="U1670" s="200">
        <v>35791449.32</v>
      </c>
      <c r="V1670" s="873">
        <v>42787</v>
      </c>
      <c r="W1670" s="201" t="s">
        <v>163</v>
      </c>
      <c r="X1670" s="1060"/>
      <c r="Y1670" s="1060"/>
      <c r="Z1670" s="859">
        <v>0</v>
      </c>
      <c r="AA1670" s="1060"/>
      <c r="AB1670" s="1088"/>
      <c r="AC1670" s="1088"/>
      <c r="AD1670" s="1088"/>
      <c r="AE1670" s="1088"/>
      <c r="AF1670" s="1135"/>
      <c r="AG1670" s="1135"/>
      <c r="AH1670" s="1135"/>
      <c r="AI1670" s="1135"/>
      <c r="AJ1670" s="1088"/>
      <c r="AK1670" s="206"/>
    </row>
    <row r="1671" spans="1:38" s="203" customFormat="1" ht="15" customHeight="1">
      <c r="A1671" s="1050"/>
      <c r="B1671" s="1050"/>
      <c r="C1671" s="1050"/>
      <c r="D1671" s="1050"/>
      <c r="E1671" s="1050"/>
      <c r="F1671" s="1050"/>
      <c r="G1671" s="1050"/>
      <c r="H1671" s="1139"/>
      <c r="I1671" s="1057"/>
      <c r="J1671" s="1088"/>
      <c r="K1671" s="1088"/>
      <c r="L1671" s="1088"/>
      <c r="M1671" s="1137"/>
      <c r="N1671" s="1107"/>
      <c r="O1671" s="1107"/>
      <c r="P1671" s="1107"/>
      <c r="Q1671" s="1107"/>
      <c r="R1671" s="1107"/>
      <c r="S1671" s="1050"/>
      <c r="T1671" s="872" t="s">
        <v>2206</v>
      </c>
      <c r="U1671" s="200">
        <v>18190310.68</v>
      </c>
      <c r="V1671" s="873">
        <v>42998</v>
      </c>
      <c r="W1671" s="201" t="s">
        <v>163</v>
      </c>
      <c r="X1671" s="1060"/>
      <c r="Y1671" s="1060"/>
      <c r="Z1671" s="859">
        <v>0</v>
      </c>
      <c r="AA1671" s="1060"/>
      <c r="AB1671" s="1088"/>
      <c r="AC1671" s="1088"/>
      <c r="AD1671" s="1088"/>
      <c r="AE1671" s="1088"/>
      <c r="AF1671" s="1135"/>
      <c r="AG1671" s="1135"/>
      <c r="AH1671" s="1135"/>
      <c r="AI1671" s="1135"/>
      <c r="AJ1671" s="1088"/>
      <c r="AK1671" s="206"/>
    </row>
    <row r="1672" spans="1:38" s="203" customFormat="1" ht="15" customHeight="1">
      <c r="A1672" s="1050"/>
      <c r="B1672" s="1050"/>
      <c r="C1672" s="1050"/>
      <c r="D1672" s="1050"/>
      <c r="E1672" s="1050"/>
      <c r="F1672" s="1050"/>
      <c r="G1672" s="1050"/>
      <c r="H1672" s="1138">
        <v>7</v>
      </c>
      <c r="I1672" s="1056" t="s">
        <v>141</v>
      </c>
      <c r="J1672" s="1087">
        <v>60000000</v>
      </c>
      <c r="K1672" s="1087">
        <v>60000000</v>
      </c>
      <c r="L1672" s="1088"/>
      <c r="M1672" s="1136">
        <v>42171</v>
      </c>
      <c r="N1672" s="1106">
        <v>60000000</v>
      </c>
      <c r="O1672" s="1106">
        <v>60000000</v>
      </c>
      <c r="P1672" s="1106">
        <v>0</v>
      </c>
      <c r="Q1672" s="1106">
        <v>59979733.329999998</v>
      </c>
      <c r="R1672" s="1107"/>
      <c r="S1672" s="1050"/>
      <c r="T1672" s="872" t="s">
        <v>2208</v>
      </c>
      <c r="U1672" s="200">
        <v>5997973.3300000001</v>
      </c>
      <c r="V1672" s="873">
        <v>42557</v>
      </c>
      <c r="W1672" s="201" t="s">
        <v>141</v>
      </c>
      <c r="X1672" s="1059">
        <v>59979733.329999998</v>
      </c>
      <c r="Y1672" s="1060"/>
      <c r="Z1672" s="859">
        <v>0</v>
      </c>
      <c r="AA1672" s="1059">
        <v>20266.670000001788</v>
      </c>
      <c r="AB1672" s="1088"/>
      <c r="AC1672" s="1087">
        <v>20266.670000001788</v>
      </c>
      <c r="AD1672" s="1087">
        <v>0</v>
      </c>
      <c r="AE1672" s="1087">
        <v>20266.670000001788</v>
      </c>
      <c r="AF1672" s="1135"/>
      <c r="AG1672" s="1135"/>
      <c r="AH1672" s="1135"/>
      <c r="AI1672" s="1135"/>
      <c r="AJ1672" s="1087">
        <v>20266.670000001788</v>
      </c>
      <c r="AK1672" s="206"/>
    </row>
    <row r="1673" spans="1:38" s="203" customFormat="1" ht="15" customHeight="1">
      <c r="A1673" s="1050"/>
      <c r="B1673" s="1050"/>
      <c r="C1673" s="1050"/>
      <c r="D1673" s="1050"/>
      <c r="E1673" s="1050"/>
      <c r="F1673" s="1050"/>
      <c r="G1673" s="1050"/>
      <c r="H1673" s="1139"/>
      <c r="I1673" s="1057"/>
      <c r="J1673" s="1088"/>
      <c r="K1673" s="1088"/>
      <c r="L1673" s="1088"/>
      <c r="M1673" s="1137"/>
      <c r="N1673" s="1107"/>
      <c r="O1673" s="1107"/>
      <c r="P1673" s="1107"/>
      <c r="Q1673" s="1107"/>
      <c r="R1673" s="1107"/>
      <c r="S1673" s="1050"/>
      <c r="T1673" s="872" t="s">
        <v>2207</v>
      </c>
      <c r="U1673" s="200">
        <v>35791449.32</v>
      </c>
      <c r="V1673" s="873">
        <v>42787</v>
      </c>
      <c r="W1673" s="201" t="s">
        <v>141</v>
      </c>
      <c r="X1673" s="1060"/>
      <c r="Y1673" s="1060"/>
      <c r="Z1673" s="859">
        <v>0</v>
      </c>
      <c r="AA1673" s="1060"/>
      <c r="AB1673" s="1088"/>
      <c r="AC1673" s="1088"/>
      <c r="AD1673" s="1088"/>
      <c r="AE1673" s="1088"/>
      <c r="AF1673" s="1135"/>
      <c r="AG1673" s="1135"/>
      <c r="AH1673" s="1135"/>
      <c r="AI1673" s="1135"/>
      <c r="AJ1673" s="1088"/>
      <c r="AK1673" s="206"/>
    </row>
    <row r="1674" spans="1:38" s="203" customFormat="1" ht="15" customHeight="1">
      <c r="A1674" s="1050"/>
      <c r="B1674" s="1050"/>
      <c r="C1674" s="1050"/>
      <c r="D1674" s="1050"/>
      <c r="E1674" s="1050"/>
      <c r="F1674" s="1050"/>
      <c r="G1674" s="1050"/>
      <c r="H1674" s="1139"/>
      <c r="I1674" s="1057"/>
      <c r="J1674" s="1088"/>
      <c r="K1674" s="1088"/>
      <c r="L1674" s="1088"/>
      <c r="M1674" s="1137"/>
      <c r="N1674" s="1107"/>
      <c r="O1674" s="1107"/>
      <c r="P1674" s="1107"/>
      <c r="Q1674" s="1107"/>
      <c r="R1674" s="1107"/>
      <c r="S1674" s="1050"/>
      <c r="T1674" s="872" t="s">
        <v>2206</v>
      </c>
      <c r="U1674" s="200">
        <v>18190310.68</v>
      </c>
      <c r="V1674" s="873">
        <v>42998</v>
      </c>
      <c r="W1674" s="201" t="s">
        <v>141</v>
      </c>
      <c r="X1674" s="1060"/>
      <c r="Y1674" s="1061"/>
      <c r="Z1674" s="859">
        <v>0</v>
      </c>
      <c r="AA1674" s="1060"/>
      <c r="AB1674" s="1088"/>
      <c r="AC1674" s="1088"/>
      <c r="AD1674" s="1088"/>
      <c r="AE1674" s="1088"/>
      <c r="AF1674" s="1135"/>
      <c r="AG1674" s="1135"/>
      <c r="AH1674" s="1135"/>
      <c r="AI1674" s="1135"/>
      <c r="AJ1674" s="1088"/>
      <c r="AK1674" s="206"/>
    </row>
    <row r="1675" spans="1:38" s="4" customFormat="1" ht="15" customHeight="1">
      <c r="A1675" s="823" t="s">
        <v>2102</v>
      </c>
      <c r="B1675" s="823" t="s">
        <v>2100</v>
      </c>
      <c r="C1675" s="823" t="s">
        <v>71</v>
      </c>
      <c r="D1675" s="823" t="s">
        <v>70</v>
      </c>
      <c r="E1675" s="823" t="s">
        <v>66</v>
      </c>
      <c r="F1675" s="823" t="s">
        <v>183</v>
      </c>
      <c r="G1675" s="823" t="s">
        <v>2099</v>
      </c>
      <c r="H1675" s="861">
        <v>5</v>
      </c>
      <c r="I1675" s="792" t="s">
        <v>160</v>
      </c>
      <c r="J1675" s="875">
        <v>13430631</v>
      </c>
      <c r="K1675" s="875">
        <v>13430631</v>
      </c>
      <c r="L1675" s="875">
        <v>13430631</v>
      </c>
      <c r="M1675" s="800">
        <v>42151</v>
      </c>
      <c r="N1675" s="874"/>
      <c r="O1675" s="875"/>
      <c r="P1675" s="875"/>
      <c r="Q1675" s="875">
        <v>13000000</v>
      </c>
      <c r="R1675" s="875"/>
      <c r="S1675" s="823"/>
      <c r="T1675" s="840" t="s">
        <v>2098</v>
      </c>
      <c r="U1675" s="83">
        <v>13000000</v>
      </c>
      <c r="V1675" s="855">
        <v>43011</v>
      </c>
      <c r="W1675" s="792" t="s">
        <v>160</v>
      </c>
      <c r="X1675" s="853">
        <v>13000000</v>
      </c>
      <c r="Y1675" s="853">
        <v>13000000</v>
      </c>
      <c r="Z1675" s="853">
        <v>0</v>
      </c>
      <c r="AA1675" s="853">
        <v>0</v>
      </c>
      <c r="AB1675" s="885">
        <v>0</v>
      </c>
      <c r="AC1675" s="885">
        <v>430631</v>
      </c>
      <c r="AD1675" s="885">
        <v>0</v>
      </c>
      <c r="AE1675" s="885">
        <v>430631</v>
      </c>
      <c r="AF1675" s="863"/>
      <c r="AG1675" s="864" t="s">
        <v>2097</v>
      </c>
      <c r="AH1675" s="864" t="s">
        <v>195</v>
      </c>
      <c r="AI1675" s="864" t="s">
        <v>1911</v>
      </c>
      <c r="AJ1675" s="205">
        <v>28651242.240000024</v>
      </c>
      <c r="AK1675" s="205">
        <v>28286442.179999992</v>
      </c>
    </row>
    <row r="1676" spans="1:38" ht="15" customHeight="1">
      <c r="A1676" s="1011" t="s">
        <v>2235</v>
      </c>
      <c r="B1676" s="1011" t="s">
        <v>2233</v>
      </c>
      <c r="C1676" s="1011" t="s">
        <v>70</v>
      </c>
      <c r="D1676" s="1011" t="s">
        <v>206</v>
      </c>
      <c r="E1676" s="1011" t="s">
        <v>66</v>
      </c>
      <c r="F1676" s="1011" t="s">
        <v>48</v>
      </c>
      <c r="G1676" s="1011" t="s">
        <v>2232</v>
      </c>
      <c r="H1676" s="1009">
        <v>7</v>
      </c>
      <c r="I1676" s="1065" t="s">
        <v>156</v>
      </c>
      <c r="J1676" s="1062">
        <v>259972142</v>
      </c>
      <c r="K1676" s="1062">
        <v>259972142</v>
      </c>
      <c r="L1676" s="1062">
        <v>259972142</v>
      </c>
      <c r="M1676" s="1068">
        <v>42256</v>
      </c>
      <c r="N1676" s="1092">
        <v>259972142</v>
      </c>
      <c r="O1676" s="1092">
        <v>259972142</v>
      </c>
      <c r="P1676" s="1092">
        <v>0</v>
      </c>
      <c r="Q1676" s="1092">
        <v>259611480</v>
      </c>
      <c r="R1676" s="1092">
        <v>259611480</v>
      </c>
      <c r="S1676" s="1011" t="s">
        <v>2231</v>
      </c>
      <c r="T1676" s="840" t="s">
        <v>2230</v>
      </c>
      <c r="U1676" s="866">
        <v>25961148</v>
      </c>
      <c r="V1676" s="855">
        <v>42922</v>
      </c>
      <c r="W1676" s="842" t="s">
        <v>156</v>
      </c>
      <c r="X1676" s="1043">
        <v>210544910</v>
      </c>
      <c r="Y1676" s="1043"/>
      <c r="Z1676" s="827">
        <v>0</v>
      </c>
      <c r="AA1676" s="1043">
        <v>49427232</v>
      </c>
      <c r="AB1676" s="1062">
        <v>-5451841</v>
      </c>
      <c r="AC1676" s="1062">
        <v>360662</v>
      </c>
      <c r="AD1676" s="1062">
        <v>54518411</v>
      </c>
      <c r="AE1676" s="1062"/>
      <c r="AF1676" s="1103"/>
      <c r="AG1676" s="1103" t="s">
        <v>2003</v>
      </c>
      <c r="AH1676" s="1103" t="s">
        <v>194</v>
      </c>
      <c r="AI1676" s="1103" t="s">
        <v>1911</v>
      </c>
      <c r="AK1676" s="208">
        <v>-6.0000006109476089E-2</v>
      </c>
    </row>
    <row r="1677" spans="1:38" ht="15" customHeight="1">
      <c r="A1677" s="1033"/>
      <c r="B1677" s="1033"/>
      <c r="C1677" s="1033"/>
      <c r="D1677" s="1033"/>
      <c r="E1677" s="1033"/>
      <c r="F1677" s="1033"/>
      <c r="G1677" s="1033"/>
      <c r="H1677" s="1039"/>
      <c r="I1677" s="1066"/>
      <c r="J1677" s="1063"/>
      <c r="K1677" s="1063"/>
      <c r="L1677" s="1063"/>
      <c r="M1677" s="1069"/>
      <c r="N1677" s="1093"/>
      <c r="O1677" s="1093"/>
      <c r="P1677" s="1093"/>
      <c r="Q1677" s="1093"/>
      <c r="R1677" s="1093"/>
      <c r="S1677" s="1033"/>
      <c r="T1677" s="840" t="s">
        <v>2229</v>
      </c>
      <c r="U1677" s="866">
        <v>135517192</v>
      </c>
      <c r="V1677" s="855">
        <v>43074</v>
      </c>
      <c r="W1677" s="842" t="s">
        <v>156</v>
      </c>
      <c r="X1677" s="1044"/>
      <c r="Y1677" s="1044"/>
      <c r="Z1677" s="827">
        <v>0</v>
      </c>
      <c r="AA1677" s="1044"/>
      <c r="AB1677" s="1063"/>
      <c r="AC1677" s="1063"/>
      <c r="AD1677" s="1063"/>
      <c r="AE1677" s="1063"/>
      <c r="AF1677" s="1104"/>
      <c r="AG1677" s="1104"/>
      <c r="AH1677" s="1104"/>
      <c r="AI1677" s="1104"/>
    </row>
    <row r="1678" spans="1:38" ht="15" customHeight="1">
      <c r="A1678" s="1033"/>
      <c r="B1678" s="1033"/>
      <c r="C1678" s="1033"/>
      <c r="D1678" s="1033"/>
      <c r="E1678" s="1033"/>
      <c r="F1678" s="1033"/>
      <c r="G1678" s="1033"/>
      <c r="H1678" s="1039"/>
      <c r="I1678" s="1066"/>
      <c r="J1678" s="1063"/>
      <c r="K1678" s="1063"/>
      <c r="L1678" s="1063"/>
      <c r="M1678" s="1069"/>
      <c r="N1678" s="1093"/>
      <c r="O1678" s="1093"/>
      <c r="P1678" s="1093"/>
      <c r="Q1678" s="1093"/>
      <c r="R1678" s="1093"/>
      <c r="S1678" s="1033"/>
      <c r="T1678" s="840" t="s">
        <v>2743</v>
      </c>
      <c r="U1678" s="866">
        <v>49066570</v>
      </c>
      <c r="V1678" s="855">
        <v>43243</v>
      </c>
      <c r="W1678" s="842" t="s">
        <v>156</v>
      </c>
      <c r="X1678" s="1044"/>
      <c r="Y1678" s="1044"/>
      <c r="Z1678" s="827"/>
      <c r="AA1678" s="1044"/>
      <c r="AB1678" s="1063"/>
      <c r="AC1678" s="1063"/>
      <c r="AD1678" s="1063"/>
      <c r="AE1678" s="1063"/>
      <c r="AF1678" s="1104"/>
      <c r="AG1678" s="1104"/>
      <c r="AH1678" s="1104"/>
      <c r="AI1678" s="1104"/>
    </row>
    <row r="1679" spans="1:38" ht="15" customHeight="1">
      <c r="A1679" s="1012"/>
      <c r="B1679" s="1012"/>
      <c r="C1679" s="1012"/>
      <c r="D1679" s="1012"/>
      <c r="E1679" s="1012"/>
      <c r="F1679" s="1012"/>
      <c r="G1679" s="1012"/>
      <c r="H1679" s="1010"/>
      <c r="I1679" s="1067"/>
      <c r="J1679" s="1064"/>
      <c r="K1679" s="1064"/>
      <c r="L1679" s="1064"/>
      <c r="M1679" s="1070"/>
      <c r="N1679" s="1094"/>
      <c r="O1679" s="1094"/>
      <c r="P1679" s="1094"/>
      <c r="Q1679" s="1094"/>
      <c r="R1679" s="1094"/>
      <c r="S1679" s="1012"/>
      <c r="T1679" s="840"/>
      <c r="U1679" s="866"/>
      <c r="V1679" s="855"/>
      <c r="W1679" s="842"/>
      <c r="X1679" s="1045"/>
      <c r="Y1679" s="1045"/>
      <c r="Z1679" s="827">
        <v>0</v>
      </c>
      <c r="AA1679" s="1045"/>
      <c r="AB1679" s="1064"/>
      <c r="AC1679" s="1064"/>
      <c r="AD1679" s="1064"/>
      <c r="AE1679" s="1064"/>
      <c r="AF1679" s="1105"/>
      <c r="AG1679" s="1105"/>
      <c r="AH1679" s="1105"/>
      <c r="AI1679" s="1105"/>
      <c r="AK1679" s="205"/>
    </row>
    <row r="1680" spans="1:38" ht="15" customHeight="1">
      <c r="A1680" s="1011" t="s">
        <v>2251</v>
      </c>
      <c r="B1680" s="1011" t="s">
        <v>2249</v>
      </c>
      <c r="C1680" s="1011" t="s">
        <v>71</v>
      </c>
      <c r="D1680" s="1011" t="s">
        <v>1235</v>
      </c>
      <c r="E1680" s="1011" t="s">
        <v>66</v>
      </c>
      <c r="F1680" s="1011" t="s">
        <v>50</v>
      </c>
      <c r="G1680" s="1011" t="s">
        <v>2248</v>
      </c>
      <c r="H1680" s="1009">
        <v>337</v>
      </c>
      <c r="I1680" s="1065" t="s">
        <v>7</v>
      </c>
      <c r="J1680" s="1062">
        <v>196348841</v>
      </c>
      <c r="K1680" s="1062">
        <v>196348841</v>
      </c>
      <c r="L1680" s="1062">
        <v>196348841</v>
      </c>
      <c r="M1680" s="1068">
        <v>42534</v>
      </c>
      <c r="N1680" s="1092">
        <v>196348841</v>
      </c>
      <c r="O1680" s="1092">
        <v>196348841</v>
      </c>
      <c r="P1680" s="1092">
        <v>0</v>
      </c>
      <c r="Q1680" s="1043">
        <v>193401134</v>
      </c>
      <c r="R1680" s="1043">
        <v>193401134</v>
      </c>
      <c r="S1680" s="1011" t="s">
        <v>2247</v>
      </c>
      <c r="T1680" s="840" t="s">
        <v>2246</v>
      </c>
      <c r="U1680" s="866">
        <v>96700567</v>
      </c>
      <c r="V1680" s="855">
        <v>43007</v>
      </c>
      <c r="W1680" s="842" t="s">
        <v>7</v>
      </c>
      <c r="X1680" s="1043">
        <v>193401134</v>
      </c>
      <c r="Y1680" s="1043">
        <v>193401134</v>
      </c>
      <c r="Z1680" s="827">
        <v>0</v>
      </c>
      <c r="AA1680" s="1043">
        <v>2947707</v>
      </c>
      <c r="AB1680" s="1062">
        <v>0</v>
      </c>
      <c r="AC1680" s="1062">
        <v>2947707</v>
      </c>
      <c r="AD1680" s="1062">
        <v>0</v>
      </c>
      <c r="AE1680" s="1062"/>
      <c r="AF1680" s="1108" t="s">
        <v>2065</v>
      </c>
      <c r="AG1680" s="1103" t="s">
        <v>2245</v>
      </c>
      <c r="AH1680" s="1103" t="s">
        <v>194</v>
      </c>
      <c r="AI1680" s="1103" t="s">
        <v>1911</v>
      </c>
      <c r="AJ1680" s="1074" t="s">
        <v>2482</v>
      </c>
      <c r="AK1680" s="205">
        <v>28063884.969999999</v>
      </c>
      <c r="AL1680" s="25">
        <v>27962551.619999997</v>
      </c>
    </row>
    <row r="1681" spans="1:38" ht="15" customHeight="1">
      <c r="A1681" s="1033"/>
      <c r="B1681" s="1033"/>
      <c r="C1681" s="1033"/>
      <c r="D1681" s="1033"/>
      <c r="E1681" s="1033"/>
      <c r="F1681" s="1033"/>
      <c r="G1681" s="1033"/>
      <c r="H1681" s="1039"/>
      <c r="I1681" s="1066"/>
      <c r="J1681" s="1063"/>
      <c r="K1681" s="1063"/>
      <c r="L1681" s="1063"/>
      <c r="M1681" s="1069"/>
      <c r="N1681" s="1093"/>
      <c r="O1681" s="1093"/>
      <c r="P1681" s="1093"/>
      <c r="Q1681" s="1044"/>
      <c r="R1681" s="1044"/>
      <c r="S1681" s="1033"/>
      <c r="T1681" s="840" t="s">
        <v>2244</v>
      </c>
      <c r="U1681" s="866">
        <v>81957394</v>
      </c>
      <c r="V1681" s="855">
        <v>43095</v>
      </c>
      <c r="W1681" s="842" t="s">
        <v>7</v>
      </c>
      <c r="X1681" s="1044"/>
      <c r="Y1681" s="1044"/>
      <c r="Z1681" s="827">
        <v>0</v>
      </c>
      <c r="AA1681" s="1044"/>
      <c r="AB1681" s="1063"/>
      <c r="AC1681" s="1063"/>
      <c r="AD1681" s="1063"/>
      <c r="AE1681" s="1063"/>
      <c r="AF1681" s="1109"/>
      <c r="AG1681" s="1104"/>
      <c r="AH1681" s="1104"/>
      <c r="AI1681" s="1104"/>
      <c r="AJ1681" s="1074"/>
      <c r="AK1681" s="205">
        <v>425223.91</v>
      </c>
      <c r="AL1681" s="25">
        <v>323890.56</v>
      </c>
    </row>
    <row r="1682" spans="1:38" ht="15" customHeight="1">
      <c r="A1682" s="1012"/>
      <c r="B1682" s="1012"/>
      <c r="C1682" s="1012"/>
      <c r="D1682" s="1012"/>
      <c r="E1682" s="1012"/>
      <c r="F1682" s="1012"/>
      <c r="G1682" s="1012"/>
      <c r="H1682" s="1010"/>
      <c r="I1682" s="1067"/>
      <c r="J1682" s="1064"/>
      <c r="K1682" s="1064"/>
      <c r="L1682" s="1064"/>
      <c r="M1682" s="1070"/>
      <c r="N1682" s="1094"/>
      <c r="O1682" s="1094"/>
      <c r="P1682" s="1094"/>
      <c r="Q1682" s="1045"/>
      <c r="R1682" s="1045"/>
      <c r="S1682" s="1012"/>
      <c r="T1682" s="840" t="s">
        <v>2744</v>
      </c>
      <c r="U1682" s="866">
        <v>14743173</v>
      </c>
      <c r="V1682" s="855"/>
      <c r="W1682" s="842"/>
      <c r="X1682" s="1045"/>
      <c r="Y1682" s="1045"/>
      <c r="Z1682" s="827">
        <v>0</v>
      </c>
      <c r="AA1682" s="1045"/>
      <c r="AB1682" s="1064"/>
      <c r="AC1682" s="1064"/>
      <c r="AD1682" s="1064"/>
      <c r="AE1682" s="1064"/>
      <c r="AF1682" s="1110"/>
      <c r="AG1682" s="1105"/>
      <c r="AH1682" s="1105"/>
      <c r="AI1682" s="1105"/>
      <c r="AJ1682" s="1074"/>
      <c r="AK1682" s="205">
        <v>101333.35</v>
      </c>
    </row>
    <row r="1683" spans="1:38" s="4" customFormat="1" ht="15" customHeight="1">
      <c r="A1683" s="1011" t="s">
        <v>2243</v>
      </c>
      <c r="B1683" s="1011" t="s">
        <v>2241</v>
      </c>
      <c r="C1683" s="1011" t="s">
        <v>71</v>
      </c>
      <c r="D1683" s="1011" t="s">
        <v>1235</v>
      </c>
      <c r="E1683" s="1011" t="s">
        <v>66</v>
      </c>
      <c r="F1683" s="1011" t="s">
        <v>183</v>
      </c>
      <c r="G1683" s="1011" t="s">
        <v>2240</v>
      </c>
      <c r="H1683" s="1009">
        <v>15</v>
      </c>
      <c r="I1683" s="1065" t="s">
        <v>132</v>
      </c>
      <c r="J1683" s="1062">
        <v>124042229</v>
      </c>
      <c r="K1683" s="1062">
        <v>124042229</v>
      </c>
      <c r="L1683" s="1062">
        <v>124042229</v>
      </c>
      <c r="M1683" s="1068">
        <v>42579</v>
      </c>
      <c r="N1683" s="1089">
        <v>124042229</v>
      </c>
      <c r="O1683" s="1062">
        <v>124042229</v>
      </c>
      <c r="P1683" s="1089">
        <v>0</v>
      </c>
      <c r="Q1683" s="1062">
        <v>122925748</v>
      </c>
      <c r="R1683" s="1062">
        <v>122925748</v>
      </c>
      <c r="S1683" s="1011"/>
      <c r="T1683" s="840" t="s">
        <v>2239</v>
      </c>
      <c r="U1683" s="866">
        <v>61462874</v>
      </c>
      <c r="V1683" s="855">
        <v>42810</v>
      </c>
      <c r="W1683" s="840" t="s">
        <v>132</v>
      </c>
      <c r="X1683" s="1043">
        <v>122925747.99999999</v>
      </c>
      <c r="Y1683" s="1062">
        <v>122925747.99999999</v>
      </c>
      <c r="Z1683" s="858">
        <v>0</v>
      </c>
      <c r="AA1683" s="1062">
        <v>1116481.0000000149</v>
      </c>
      <c r="AB1683" s="1062">
        <v>0</v>
      </c>
      <c r="AC1683" s="1062">
        <v>1116481</v>
      </c>
      <c r="AD1683" s="1062">
        <v>0</v>
      </c>
      <c r="AE1683" s="1062">
        <v>1116481</v>
      </c>
      <c r="AF1683" s="1100"/>
      <c r="AG1683" s="1114" t="s">
        <v>2238</v>
      </c>
      <c r="AH1683" s="1100" t="s">
        <v>195</v>
      </c>
      <c r="AI1683" s="1100" t="s">
        <v>1911</v>
      </c>
      <c r="AK1683" s="205">
        <v>60800.01</v>
      </c>
    </row>
    <row r="1684" spans="1:38" s="4" customFormat="1" ht="15" customHeight="1">
      <c r="A1684" s="1033"/>
      <c r="B1684" s="1033"/>
      <c r="C1684" s="1033"/>
      <c r="D1684" s="1033"/>
      <c r="E1684" s="1033"/>
      <c r="F1684" s="1033"/>
      <c r="G1684" s="1033"/>
      <c r="H1684" s="1039"/>
      <c r="I1684" s="1066"/>
      <c r="J1684" s="1063"/>
      <c r="K1684" s="1063"/>
      <c r="L1684" s="1063"/>
      <c r="M1684" s="1069"/>
      <c r="N1684" s="1090"/>
      <c r="O1684" s="1063"/>
      <c r="P1684" s="1090"/>
      <c r="Q1684" s="1063"/>
      <c r="R1684" s="1063"/>
      <c r="S1684" s="1033"/>
      <c r="T1684" s="840" t="s">
        <v>2237</v>
      </c>
      <c r="U1684" s="866">
        <v>55129398.759999998</v>
      </c>
      <c r="V1684" s="855">
        <v>42949</v>
      </c>
      <c r="W1684" s="840" t="s">
        <v>132</v>
      </c>
      <c r="X1684" s="1044"/>
      <c r="Y1684" s="1063"/>
      <c r="Z1684" s="858">
        <v>0</v>
      </c>
      <c r="AA1684" s="1063"/>
      <c r="AB1684" s="1063"/>
      <c r="AC1684" s="1063"/>
      <c r="AD1684" s="1063"/>
      <c r="AE1684" s="1063"/>
      <c r="AF1684" s="1101"/>
      <c r="AG1684" s="1101"/>
      <c r="AH1684" s="1101"/>
      <c r="AI1684" s="1101"/>
      <c r="AK1684" s="205">
        <v>28651242.240000002</v>
      </c>
      <c r="AL1684" s="205">
        <v>28286442.179999996</v>
      </c>
    </row>
    <row r="1685" spans="1:38" s="4" customFormat="1" ht="15" customHeight="1">
      <c r="A1685" s="1012"/>
      <c r="B1685" s="1012"/>
      <c r="C1685" s="1012"/>
      <c r="D1685" s="1012"/>
      <c r="E1685" s="1012"/>
      <c r="F1685" s="1012"/>
      <c r="G1685" s="1012"/>
      <c r="H1685" s="1010"/>
      <c r="I1685" s="1067"/>
      <c r="J1685" s="1064"/>
      <c r="K1685" s="1064"/>
      <c r="L1685" s="1064"/>
      <c r="M1685" s="1070"/>
      <c r="N1685" s="1091"/>
      <c r="O1685" s="1064"/>
      <c r="P1685" s="1091"/>
      <c r="Q1685" s="1064"/>
      <c r="R1685" s="1064"/>
      <c r="S1685" s="1012"/>
      <c r="T1685" s="840" t="s">
        <v>2236</v>
      </c>
      <c r="U1685" s="866">
        <v>6333475.2400000002</v>
      </c>
      <c r="V1685" s="855">
        <v>43075</v>
      </c>
      <c r="W1685" s="840" t="s">
        <v>132</v>
      </c>
      <c r="X1685" s="1045"/>
      <c r="Y1685" s="1064"/>
      <c r="Z1685" s="858">
        <v>0</v>
      </c>
      <c r="AA1685" s="1064"/>
      <c r="AB1685" s="1064"/>
      <c r="AC1685" s="1064"/>
      <c r="AD1685" s="1064"/>
      <c r="AE1685" s="1064"/>
      <c r="AF1685" s="1102"/>
      <c r="AG1685" s="1102"/>
      <c r="AH1685" s="1102"/>
      <c r="AI1685" s="1102"/>
      <c r="AK1685" s="205"/>
    </row>
    <row r="1686" spans="1:38" s="4" customFormat="1" ht="15" customHeight="1">
      <c r="A1686" s="1011" t="s">
        <v>2259</v>
      </c>
      <c r="B1686" s="1011" t="s">
        <v>2257</v>
      </c>
      <c r="C1686" s="1011" t="s">
        <v>71</v>
      </c>
      <c r="D1686" s="1011" t="s">
        <v>1235</v>
      </c>
      <c r="E1686" s="1011" t="s">
        <v>66</v>
      </c>
      <c r="F1686" s="1011" t="s">
        <v>48</v>
      </c>
      <c r="G1686" s="1011"/>
      <c r="H1686" s="1009">
        <v>340</v>
      </c>
      <c r="I1686" s="1065" t="s">
        <v>137</v>
      </c>
      <c r="J1686" s="1062">
        <v>1397229365</v>
      </c>
      <c r="K1686" s="1062">
        <v>1397229365</v>
      </c>
      <c r="L1686" s="1062">
        <v>3537257223</v>
      </c>
      <c r="M1686" s="1068">
        <v>42576</v>
      </c>
      <c r="N1686" s="1089">
        <v>1397229365</v>
      </c>
      <c r="O1686" s="1089">
        <v>1397229365</v>
      </c>
      <c r="P1686" s="1089">
        <v>0</v>
      </c>
      <c r="Q1686" s="1062">
        <v>1339023888</v>
      </c>
      <c r="R1686" s="1062">
        <v>3479051746</v>
      </c>
      <c r="S1686" s="1011"/>
      <c r="T1686" s="840" t="s">
        <v>2254</v>
      </c>
      <c r="U1686" s="200">
        <v>267804778</v>
      </c>
      <c r="V1686" s="855">
        <v>42844</v>
      </c>
      <c r="W1686" s="840" t="s">
        <v>137</v>
      </c>
      <c r="X1686" s="1062">
        <v>1115732205</v>
      </c>
      <c r="Y1686" s="1043">
        <v>2919516355</v>
      </c>
      <c r="Z1686" s="827">
        <v>0</v>
      </c>
      <c r="AA1686" s="1043">
        <v>281497160</v>
      </c>
      <c r="AB1686" s="1043">
        <v>-55822921</v>
      </c>
      <c r="AC1686" s="1062">
        <v>58205477</v>
      </c>
      <c r="AD1686" s="1062">
        <v>223291683</v>
      </c>
      <c r="AE1686" s="1062"/>
      <c r="AF1686" s="1100"/>
      <c r="AG1686" s="1100" t="s">
        <v>2256</v>
      </c>
      <c r="AH1686" s="1103" t="s">
        <v>195</v>
      </c>
      <c r="AI1686" s="1103" t="s">
        <v>1911</v>
      </c>
      <c r="AK1686" s="205"/>
    </row>
    <row r="1687" spans="1:38" s="4" customFormat="1" ht="15" customHeight="1">
      <c r="A1687" s="1033"/>
      <c r="B1687" s="1033"/>
      <c r="C1687" s="1033"/>
      <c r="D1687" s="1033"/>
      <c r="E1687" s="1033"/>
      <c r="F1687" s="1033"/>
      <c r="G1687" s="1033"/>
      <c r="H1687" s="1039"/>
      <c r="I1687" s="1066"/>
      <c r="J1687" s="1063"/>
      <c r="K1687" s="1063"/>
      <c r="L1687" s="1063"/>
      <c r="M1687" s="1069"/>
      <c r="N1687" s="1090"/>
      <c r="O1687" s="1090"/>
      <c r="P1687" s="1090"/>
      <c r="Q1687" s="1063"/>
      <c r="R1687" s="1063"/>
      <c r="S1687" s="1033"/>
      <c r="T1687" s="840" t="s">
        <v>2255</v>
      </c>
      <c r="U1687" s="866">
        <v>617784208</v>
      </c>
      <c r="V1687" s="855">
        <v>43047</v>
      </c>
      <c r="W1687" s="840" t="s">
        <v>137</v>
      </c>
      <c r="X1687" s="1063"/>
      <c r="Y1687" s="1044"/>
      <c r="Z1687" s="827">
        <v>0</v>
      </c>
      <c r="AA1687" s="1044"/>
      <c r="AB1687" s="1044"/>
      <c r="AC1687" s="1063"/>
      <c r="AD1687" s="1063"/>
      <c r="AE1687" s="1063"/>
      <c r="AF1687" s="1101"/>
      <c r="AG1687" s="1101"/>
      <c r="AH1687" s="1104"/>
      <c r="AI1687" s="1104"/>
      <c r="AK1687" s="205"/>
    </row>
    <row r="1688" spans="1:38" s="4" customFormat="1" ht="15" customHeight="1">
      <c r="A1688" s="1033"/>
      <c r="B1688" s="1033"/>
      <c r="C1688" s="1033"/>
      <c r="D1688" s="1033"/>
      <c r="E1688" s="1033"/>
      <c r="F1688" s="1033"/>
      <c r="G1688" s="1033"/>
      <c r="H1688" s="1010"/>
      <c r="I1688" s="1067"/>
      <c r="J1688" s="1064"/>
      <c r="K1688" s="1064"/>
      <c r="L1688" s="1063"/>
      <c r="M1688" s="1070"/>
      <c r="N1688" s="1091"/>
      <c r="O1688" s="1091"/>
      <c r="P1688" s="1091"/>
      <c r="Q1688" s="1064"/>
      <c r="R1688" s="1063"/>
      <c r="S1688" s="1033"/>
      <c r="T1688" s="840" t="s">
        <v>2252</v>
      </c>
      <c r="U1688" s="866">
        <v>230143219</v>
      </c>
      <c r="V1688" s="855">
        <v>43091</v>
      </c>
      <c r="W1688" s="840" t="s">
        <v>137</v>
      </c>
      <c r="X1688" s="1064"/>
      <c r="Y1688" s="1044"/>
      <c r="Z1688" s="827">
        <v>0</v>
      </c>
      <c r="AA1688" s="1045"/>
      <c r="AB1688" s="1045"/>
      <c r="AC1688" s="1064"/>
      <c r="AD1688" s="1064"/>
      <c r="AE1688" s="1063"/>
      <c r="AF1688" s="1101"/>
      <c r="AG1688" s="1101"/>
      <c r="AH1688" s="1104"/>
      <c r="AI1688" s="1104"/>
      <c r="AK1688" s="205"/>
    </row>
    <row r="1689" spans="1:38" s="4" customFormat="1" ht="15" customHeight="1">
      <c r="A1689" s="1033"/>
      <c r="B1689" s="1033"/>
      <c r="C1689" s="1033"/>
      <c r="D1689" s="1033"/>
      <c r="E1689" s="1033"/>
      <c r="F1689" s="1033"/>
      <c r="G1689" s="1033"/>
      <c r="H1689" s="1009">
        <v>8</v>
      </c>
      <c r="I1689" s="1065" t="s">
        <v>156</v>
      </c>
      <c r="J1689" s="1062">
        <v>2140027858</v>
      </c>
      <c r="K1689" s="1062">
        <v>2140027858</v>
      </c>
      <c r="L1689" s="1063"/>
      <c r="M1689" s="1068">
        <v>42577</v>
      </c>
      <c r="N1689" s="1062">
        <v>2140027858</v>
      </c>
      <c r="O1689" s="1062">
        <v>2140027858</v>
      </c>
      <c r="P1689" s="1062">
        <v>0</v>
      </c>
      <c r="Q1689" s="1062">
        <v>2140027858</v>
      </c>
      <c r="R1689" s="1063"/>
      <c r="S1689" s="1033"/>
      <c r="T1689" s="840" t="s">
        <v>2254</v>
      </c>
      <c r="U1689" s="200">
        <v>428005571</v>
      </c>
      <c r="V1689" s="855">
        <v>42844</v>
      </c>
      <c r="W1689" s="840" t="s">
        <v>156</v>
      </c>
      <c r="X1689" s="1062">
        <v>1803784150</v>
      </c>
      <c r="Y1689" s="1044"/>
      <c r="Z1689" s="827">
        <v>0</v>
      </c>
      <c r="AA1689" s="1043">
        <v>336243708</v>
      </c>
      <c r="AB1689" s="1043">
        <v>-84060926</v>
      </c>
      <c r="AC1689" s="1062">
        <v>0</v>
      </c>
      <c r="AD1689" s="1062">
        <v>336243708</v>
      </c>
      <c r="AE1689" s="1063"/>
      <c r="AF1689" s="1101"/>
      <c r="AG1689" s="1101"/>
      <c r="AH1689" s="1104"/>
      <c r="AI1689" s="1104"/>
      <c r="AK1689" s="205"/>
    </row>
    <row r="1690" spans="1:38" s="4" customFormat="1" ht="15" customHeight="1">
      <c r="A1690" s="1033"/>
      <c r="B1690" s="1033"/>
      <c r="C1690" s="1033"/>
      <c r="D1690" s="1033"/>
      <c r="E1690" s="1033"/>
      <c r="F1690" s="1033"/>
      <c r="G1690" s="1033"/>
      <c r="H1690" s="1039"/>
      <c r="I1690" s="1066"/>
      <c r="J1690" s="1063"/>
      <c r="K1690" s="1063"/>
      <c r="L1690" s="1063"/>
      <c r="M1690" s="1069"/>
      <c r="N1690" s="1063"/>
      <c r="O1690" s="1063"/>
      <c r="P1690" s="1063"/>
      <c r="Q1690" s="1063"/>
      <c r="R1690" s="1063"/>
      <c r="S1690" s="1033"/>
      <c r="T1690" s="840" t="s">
        <v>2253</v>
      </c>
      <c r="U1690" s="866">
        <v>1007963707</v>
      </c>
      <c r="V1690" s="855">
        <v>43047</v>
      </c>
      <c r="W1690" s="840" t="s">
        <v>156</v>
      </c>
      <c r="X1690" s="1063"/>
      <c r="Y1690" s="1044"/>
      <c r="Z1690" s="827">
        <v>0</v>
      </c>
      <c r="AA1690" s="1044"/>
      <c r="AB1690" s="1044"/>
      <c r="AC1690" s="1063"/>
      <c r="AD1690" s="1063"/>
      <c r="AE1690" s="1063"/>
      <c r="AF1690" s="1101"/>
      <c r="AG1690" s="1101"/>
      <c r="AH1690" s="1104"/>
      <c r="AI1690" s="1104"/>
      <c r="AK1690" s="205"/>
    </row>
    <row r="1691" spans="1:38" s="4" customFormat="1" ht="15" customHeight="1">
      <c r="A1691" s="1012"/>
      <c r="B1691" s="1012"/>
      <c r="C1691" s="1012"/>
      <c r="D1691" s="1012"/>
      <c r="E1691" s="1012"/>
      <c r="F1691" s="1012"/>
      <c r="G1691" s="1012"/>
      <c r="H1691" s="1010"/>
      <c r="I1691" s="1067"/>
      <c r="J1691" s="1064"/>
      <c r="K1691" s="1064"/>
      <c r="L1691" s="1064"/>
      <c r="M1691" s="1070"/>
      <c r="N1691" s="1064"/>
      <c r="O1691" s="1064"/>
      <c r="P1691" s="1064"/>
      <c r="Q1691" s="1064"/>
      <c r="R1691" s="1064"/>
      <c r="S1691" s="1012"/>
      <c r="T1691" s="840" t="s">
        <v>2252</v>
      </c>
      <c r="U1691" s="866">
        <v>367814872</v>
      </c>
      <c r="V1691" s="855">
        <v>43091</v>
      </c>
      <c r="W1691" s="840" t="s">
        <v>156</v>
      </c>
      <c r="X1691" s="1064"/>
      <c r="Y1691" s="1045"/>
      <c r="Z1691" s="827">
        <v>0</v>
      </c>
      <c r="AA1691" s="1045"/>
      <c r="AB1691" s="1045"/>
      <c r="AC1691" s="1064"/>
      <c r="AD1691" s="1064"/>
      <c r="AE1691" s="1064"/>
      <c r="AF1691" s="1102"/>
      <c r="AG1691" s="1102"/>
      <c r="AH1691" s="1105"/>
      <c r="AI1691" s="1105"/>
      <c r="AK1691" s="205"/>
    </row>
    <row r="1692" spans="1:38" ht="15" customHeight="1">
      <c r="A1692" s="823" t="s">
        <v>2272</v>
      </c>
      <c r="B1692" s="823" t="s">
        <v>2270</v>
      </c>
      <c r="C1692" s="823" t="s">
        <v>70</v>
      </c>
      <c r="D1692" s="823" t="s">
        <v>206</v>
      </c>
      <c r="E1692" s="823" t="s">
        <v>489</v>
      </c>
      <c r="F1692" s="823" t="s">
        <v>48</v>
      </c>
      <c r="G1692" s="823" t="s">
        <v>2269</v>
      </c>
      <c r="H1692" s="861">
        <v>338</v>
      </c>
      <c r="I1692" s="840" t="s">
        <v>7</v>
      </c>
      <c r="J1692" s="858">
        <v>13744419</v>
      </c>
      <c r="K1692" s="858">
        <v>13744419</v>
      </c>
      <c r="L1692" s="858">
        <v>13744419</v>
      </c>
      <c r="M1692" s="855"/>
      <c r="N1692" s="862">
        <v>13744419</v>
      </c>
      <c r="O1692" s="858">
        <v>13744419</v>
      </c>
      <c r="P1692" s="858">
        <v>0</v>
      </c>
      <c r="Q1692" s="827">
        <v>11780000</v>
      </c>
      <c r="R1692" s="827">
        <v>11780000</v>
      </c>
      <c r="S1692" s="823"/>
      <c r="T1692" s="840"/>
      <c r="U1692" s="866">
        <v>0</v>
      </c>
      <c r="V1692" s="855"/>
      <c r="W1692" s="842"/>
      <c r="X1692" s="827">
        <v>0</v>
      </c>
      <c r="Y1692" s="827">
        <v>0</v>
      </c>
      <c r="Z1692" s="827">
        <v>0</v>
      </c>
      <c r="AA1692" s="827">
        <v>13744419</v>
      </c>
      <c r="AB1692" s="858">
        <v>0</v>
      </c>
      <c r="AC1692" s="858">
        <v>1964419</v>
      </c>
      <c r="AD1692" s="858">
        <v>11780000</v>
      </c>
      <c r="AE1692" s="858"/>
      <c r="AF1692" s="863" t="s">
        <v>2268</v>
      </c>
      <c r="AG1692" s="864" t="s">
        <v>2267</v>
      </c>
      <c r="AH1692" s="864" t="s">
        <v>194</v>
      </c>
      <c r="AI1692" s="864" t="s">
        <v>1911</v>
      </c>
      <c r="AK1692" s="205"/>
    </row>
    <row r="1693" spans="1:38" s="203" customFormat="1" ht="15" customHeight="1">
      <c r="A1693" s="1015" t="s">
        <v>2266</v>
      </c>
      <c r="B1693" s="1015" t="s">
        <v>2264</v>
      </c>
      <c r="C1693" s="1015" t="s">
        <v>70</v>
      </c>
      <c r="D1693" s="1015" t="s">
        <v>206</v>
      </c>
      <c r="E1693" s="1015" t="s">
        <v>66</v>
      </c>
      <c r="F1693" s="1015" t="s">
        <v>183</v>
      </c>
      <c r="G1693" s="1015" t="s">
        <v>2263</v>
      </c>
      <c r="H1693" s="1138">
        <v>16</v>
      </c>
      <c r="I1693" s="1056" t="s">
        <v>132</v>
      </c>
      <c r="J1693" s="1087">
        <v>8682956</v>
      </c>
      <c r="K1693" s="1087">
        <v>8682956</v>
      </c>
      <c r="L1693" s="1087">
        <v>8682956</v>
      </c>
      <c r="M1693" s="1136">
        <v>42577</v>
      </c>
      <c r="N1693" s="1106">
        <v>8682956</v>
      </c>
      <c r="O1693" s="1087">
        <v>8682956</v>
      </c>
      <c r="P1693" s="1106">
        <v>0</v>
      </c>
      <c r="Q1693" s="1059">
        <v>8000000</v>
      </c>
      <c r="R1693" s="1059">
        <v>8000000</v>
      </c>
      <c r="S1693" s="1056"/>
      <c r="T1693" s="860" t="s">
        <v>2262</v>
      </c>
      <c r="U1693" s="200">
        <v>7176000</v>
      </c>
      <c r="V1693" s="873">
        <v>43082</v>
      </c>
      <c r="W1693" s="201" t="s">
        <v>132</v>
      </c>
      <c r="X1693" s="1059">
        <v>8000000</v>
      </c>
      <c r="Y1693" s="1059">
        <v>8000000</v>
      </c>
      <c r="Z1693" s="859">
        <v>14352000</v>
      </c>
      <c r="AA1693" s="1059">
        <v>682956</v>
      </c>
      <c r="AB1693" s="1087">
        <v>0</v>
      </c>
      <c r="AC1693" s="1087">
        <v>682956</v>
      </c>
      <c r="AD1693" s="1087">
        <v>0</v>
      </c>
      <c r="AE1693" s="1087">
        <v>682956</v>
      </c>
      <c r="AF1693" s="1112" t="s">
        <v>2065</v>
      </c>
      <c r="AG1693" s="1112" t="s">
        <v>2261</v>
      </c>
      <c r="AH1693" s="1202" t="s">
        <v>194</v>
      </c>
      <c r="AI1693" s="1202" t="s">
        <v>1911</v>
      </c>
      <c r="AK1693" s="205"/>
    </row>
    <row r="1694" spans="1:38" s="203" customFormat="1" ht="15" customHeight="1">
      <c r="A1694" s="1016"/>
      <c r="B1694" s="1016"/>
      <c r="C1694" s="1016"/>
      <c r="D1694" s="1016"/>
      <c r="E1694" s="1016"/>
      <c r="F1694" s="1016"/>
      <c r="G1694" s="1016"/>
      <c r="H1694" s="1369"/>
      <c r="I1694" s="1058"/>
      <c r="J1694" s="1111"/>
      <c r="K1694" s="1111"/>
      <c r="L1694" s="1111"/>
      <c r="M1694" s="1205"/>
      <c r="N1694" s="1404"/>
      <c r="O1694" s="1111"/>
      <c r="P1694" s="1404"/>
      <c r="Q1694" s="1061"/>
      <c r="R1694" s="1061"/>
      <c r="S1694" s="1058"/>
      <c r="T1694" s="860" t="s">
        <v>2260</v>
      </c>
      <c r="U1694" s="200">
        <v>824000</v>
      </c>
      <c r="V1694" s="873">
        <v>43096</v>
      </c>
      <c r="W1694" s="201" t="s">
        <v>132</v>
      </c>
      <c r="X1694" s="1061"/>
      <c r="Y1694" s="1061"/>
      <c r="Z1694" s="859">
        <v>1648000</v>
      </c>
      <c r="AA1694" s="1061"/>
      <c r="AB1694" s="1111"/>
      <c r="AC1694" s="1111"/>
      <c r="AD1694" s="1111"/>
      <c r="AE1694" s="1111"/>
      <c r="AF1694" s="1113"/>
      <c r="AG1694" s="1113"/>
      <c r="AH1694" s="1202"/>
      <c r="AI1694" s="1202"/>
      <c r="AK1694" s="205"/>
    </row>
    <row r="1695" spans="1:38" ht="15" customHeight="1">
      <c r="A1695" s="1011" t="s">
        <v>2281</v>
      </c>
      <c r="B1695" s="1011" t="s">
        <v>2279</v>
      </c>
      <c r="C1695" s="1011" t="s">
        <v>70</v>
      </c>
      <c r="D1695" s="1011" t="s">
        <v>206</v>
      </c>
      <c r="E1695" s="1011" t="s">
        <v>66</v>
      </c>
      <c r="F1695" s="1011" t="s">
        <v>48</v>
      </c>
      <c r="G1695" s="1011" t="s">
        <v>2278</v>
      </c>
      <c r="H1695" s="1009">
        <v>10</v>
      </c>
      <c r="I1695" s="1065" t="s">
        <v>135</v>
      </c>
      <c r="J1695" s="1062">
        <v>363258583</v>
      </c>
      <c r="K1695" s="1062">
        <v>363258583</v>
      </c>
      <c r="L1695" s="1062">
        <v>363258583</v>
      </c>
      <c r="M1695" s="1068">
        <v>42641</v>
      </c>
      <c r="N1695" s="1092">
        <v>363258583</v>
      </c>
      <c r="O1695" s="1062">
        <v>363258583</v>
      </c>
      <c r="P1695" s="1062">
        <v>0</v>
      </c>
      <c r="Q1695" s="1043">
        <v>341500543</v>
      </c>
      <c r="R1695" s="1043">
        <v>341500543</v>
      </c>
      <c r="S1695" s="1011" t="s">
        <v>2277</v>
      </c>
      <c r="T1695" s="840" t="s">
        <v>2276</v>
      </c>
      <c r="U1695" s="866">
        <v>34150054</v>
      </c>
      <c r="V1695" s="855">
        <v>42859</v>
      </c>
      <c r="W1695" s="842" t="s">
        <v>135</v>
      </c>
      <c r="X1695" s="1043">
        <v>310765493.69999999</v>
      </c>
      <c r="Y1695" s="1043">
        <v>310765493.69999999</v>
      </c>
      <c r="Z1695" s="827">
        <v>0</v>
      </c>
      <c r="AA1695" s="1043">
        <v>52493089.300000012</v>
      </c>
      <c r="AB1695" s="1062">
        <v>-3415005</v>
      </c>
      <c r="AC1695" s="1062">
        <v>21758040</v>
      </c>
      <c r="AD1695" s="1062">
        <v>30735049.300000012</v>
      </c>
      <c r="AE1695" s="1062"/>
      <c r="AF1695" s="1108" t="s">
        <v>2275</v>
      </c>
      <c r="AG1695" s="1103" t="s">
        <v>2274</v>
      </c>
      <c r="AH1695" s="1103" t="s">
        <v>194</v>
      </c>
      <c r="AI1695" s="1103" t="s">
        <v>1911</v>
      </c>
      <c r="AK1695" s="205"/>
    </row>
    <row r="1696" spans="1:38" ht="15" customHeight="1">
      <c r="A1696" s="1033"/>
      <c r="B1696" s="1033"/>
      <c r="C1696" s="1033"/>
      <c r="D1696" s="1033"/>
      <c r="E1696" s="1033"/>
      <c r="F1696" s="1033"/>
      <c r="G1696" s="1033"/>
      <c r="H1696" s="1039"/>
      <c r="I1696" s="1066"/>
      <c r="J1696" s="1063"/>
      <c r="K1696" s="1063"/>
      <c r="L1696" s="1063"/>
      <c r="M1696" s="1069"/>
      <c r="N1696" s="1093"/>
      <c r="O1696" s="1063"/>
      <c r="P1696" s="1063"/>
      <c r="Q1696" s="1044"/>
      <c r="R1696" s="1044"/>
      <c r="S1696" s="1033"/>
      <c r="T1696" s="840" t="s">
        <v>2193</v>
      </c>
      <c r="U1696" s="866">
        <v>76837621.75</v>
      </c>
      <c r="V1696" s="855">
        <v>42991</v>
      </c>
      <c r="W1696" s="842" t="s">
        <v>135</v>
      </c>
      <c r="X1696" s="1044"/>
      <c r="Y1696" s="1044"/>
      <c r="Z1696" s="827">
        <v>0</v>
      </c>
      <c r="AA1696" s="1044"/>
      <c r="AB1696" s="1063"/>
      <c r="AC1696" s="1063"/>
      <c r="AD1696" s="1063"/>
      <c r="AE1696" s="1063"/>
      <c r="AF1696" s="1109"/>
      <c r="AG1696" s="1104"/>
      <c r="AH1696" s="1104"/>
      <c r="AI1696" s="1104"/>
      <c r="AK1696" s="205"/>
    </row>
    <row r="1697" spans="1:37" ht="15" customHeight="1">
      <c r="A1697" s="1033"/>
      <c r="B1697" s="1033"/>
      <c r="C1697" s="1033"/>
      <c r="D1697" s="1033"/>
      <c r="E1697" s="1033"/>
      <c r="F1697" s="1033"/>
      <c r="G1697" s="1033"/>
      <c r="H1697" s="1039"/>
      <c r="I1697" s="1066"/>
      <c r="J1697" s="1063"/>
      <c r="K1697" s="1063"/>
      <c r="L1697" s="1063"/>
      <c r="M1697" s="1069"/>
      <c r="N1697" s="1093"/>
      <c r="O1697" s="1063"/>
      <c r="P1697" s="1063"/>
      <c r="Q1697" s="1044"/>
      <c r="R1697" s="1044"/>
      <c r="S1697" s="1033"/>
      <c r="T1697" s="840" t="s">
        <v>2273</v>
      </c>
      <c r="U1697" s="866">
        <v>92205146.900000006</v>
      </c>
      <c r="V1697" s="855">
        <v>43080</v>
      </c>
      <c r="W1697" s="842" t="s">
        <v>135</v>
      </c>
      <c r="X1697" s="1044"/>
      <c r="Y1697" s="1044"/>
      <c r="Z1697" s="827">
        <v>0</v>
      </c>
      <c r="AA1697" s="1044"/>
      <c r="AB1697" s="1063"/>
      <c r="AC1697" s="1063"/>
      <c r="AD1697" s="1063"/>
      <c r="AE1697" s="1063"/>
      <c r="AF1697" s="1109"/>
      <c r="AG1697" s="1104"/>
      <c r="AH1697" s="1104"/>
      <c r="AI1697" s="1104"/>
      <c r="AK1697" s="205"/>
    </row>
    <row r="1698" spans="1:37" ht="15" customHeight="1">
      <c r="A1698" s="1012"/>
      <c r="B1698" s="1012"/>
      <c r="C1698" s="1012"/>
      <c r="D1698" s="1012"/>
      <c r="E1698" s="1012"/>
      <c r="F1698" s="1012"/>
      <c r="G1698" s="1012"/>
      <c r="H1698" s="1010"/>
      <c r="I1698" s="1067"/>
      <c r="J1698" s="1064"/>
      <c r="K1698" s="1064"/>
      <c r="L1698" s="1064"/>
      <c r="M1698" s="1070"/>
      <c r="N1698" s="1094"/>
      <c r="O1698" s="1064"/>
      <c r="P1698" s="1064"/>
      <c r="Q1698" s="1045"/>
      <c r="R1698" s="1045"/>
      <c r="S1698" s="1012"/>
      <c r="T1698" s="840" t="s">
        <v>2722</v>
      </c>
      <c r="U1698" s="866">
        <v>107572671.05</v>
      </c>
      <c r="V1698" s="855">
        <v>43200</v>
      </c>
      <c r="W1698" s="842" t="s">
        <v>135</v>
      </c>
      <c r="X1698" s="1045"/>
      <c r="Y1698" s="1045"/>
      <c r="Z1698" s="827">
        <v>0</v>
      </c>
      <c r="AA1698" s="1045"/>
      <c r="AB1698" s="1064"/>
      <c r="AC1698" s="1064"/>
      <c r="AD1698" s="1064"/>
      <c r="AE1698" s="1064"/>
      <c r="AF1698" s="1110"/>
      <c r="AG1698" s="1105"/>
      <c r="AH1698" s="1105"/>
      <c r="AI1698" s="1105"/>
      <c r="AK1698" s="205"/>
    </row>
    <row r="1699" spans="1:37" s="4" customFormat="1" ht="15" customHeight="1">
      <c r="A1699" s="1011" t="s">
        <v>2301</v>
      </c>
      <c r="B1699" s="1011" t="s">
        <v>2299</v>
      </c>
      <c r="C1699" s="1011" t="s">
        <v>71</v>
      </c>
      <c r="D1699" s="1011" t="s">
        <v>1235</v>
      </c>
      <c r="E1699" s="1011" t="s">
        <v>66</v>
      </c>
      <c r="F1699" s="1011" t="s">
        <v>48</v>
      </c>
      <c r="G1699" s="1011" t="s">
        <v>2298</v>
      </c>
      <c r="H1699" s="1009">
        <v>343</v>
      </c>
      <c r="I1699" s="1021" t="s">
        <v>137</v>
      </c>
      <c r="J1699" s="1062">
        <v>3304910063</v>
      </c>
      <c r="K1699" s="1062">
        <v>3540668005</v>
      </c>
      <c r="L1699" s="1062">
        <v>4725563612</v>
      </c>
      <c r="M1699" s="1062"/>
      <c r="N1699" s="1089">
        <v>0</v>
      </c>
      <c r="O1699" s="1062"/>
      <c r="P1699" s="1062">
        <v>3540668005</v>
      </c>
      <c r="Q1699" s="1062">
        <v>3304910063</v>
      </c>
      <c r="R1699" s="1062">
        <v>4725563612</v>
      </c>
      <c r="S1699" s="1011"/>
      <c r="T1699" s="1123" t="s">
        <v>2295</v>
      </c>
      <c r="U1699" s="866">
        <v>47151588</v>
      </c>
      <c r="V1699" s="1068">
        <v>42844</v>
      </c>
      <c r="W1699" s="842" t="s">
        <v>7</v>
      </c>
      <c r="X1699" s="1043">
        <v>2579750238.0799994</v>
      </c>
      <c r="Y1699" s="1043">
        <v>3453579685.2999992</v>
      </c>
      <c r="Z1699" s="805">
        <v>0</v>
      </c>
      <c r="AA1699" s="1043">
        <v>867625534.39999998</v>
      </c>
      <c r="AB1699" s="1043">
        <v>-200979949.98000002</v>
      </c>
      <c r="AC1699" s="1043">
        <v>0</v>
      </c>
      <c r="AD1699" s="1043">
        <v>960917766.92000055</v>
      </c>
      <c r="AE1699" s="1043"/>
      <c r="AF1699" s="1023" t="s">
        <v>2297</v>
      </c>
      <c r="AG1699" s="1125" t="s">
        <v>2296</v>
      </c>
      <c r="AH1699" s="1023" t="s">
        <v>194</v>
      </c>
      <c r="AI1699" s="1023" t="s">
        <v>1911</v>
      </c>
      <c r="AK1699" s="205"/>
    </row>
    <row r="1700" spans="1:37" s="4" customFormat="1" ht="15" customHeight="1">
      <c r="A1700" s="1033"/>
      <c r="B1700" s="1033"/>
      <c r="C1700" s="1033"/>
      <c r="D1700" s="1033"/>
      <c r="E1700" s="1033"/>
      <c r="F1700" s="1033"/>
      <c r="G1700" s="1033"/>
      <c r="H1700" s="1039"/>
      <c r="I1700" s="1022"/>
      <c r="J1700" s="1063"/>
      <c r="K1700" s="1063"/>
      <c r="L1700" s="1063"/>
      <c r="M1700" s="1063"/>
      <c r="N1700" s="1090"/>
      <c r="O1700" s="1063"/>
      <c r="P1700" s="1063"/>
      <c r="Q1700" s="1063"/>
      <c r="R1700" s="1063"/>
      <c r="S1700" s="1033"/>
      <c r="T1700" s="1123"/>
      <c r="U1700" s="866">
        <v>660982012</v>
      </c>
      <c r="V1700" s="1070"/>
      <c r="W1700" s="842" t="s">
        <v>137</v>
      </c>
      <c r="X1700" s="1044"/>
      <c r="Y1700" s="1044"/>
      <c r="Z1700" s="805">
        <v>0</v>
      </c>
      <c r="AA1700" s="1044"/>
      <c r="AB1700" s="1044"/>
      <c r="AC1700" s="1044"/>
      <c r="AD1700" s="1044"/>
      <c r="AE1700" s="1044"/>
      <c r="AF1700" s="1124"/>
      <c r="AG1700" s="1124"/>
      <c r="AH1700" s="1124"/>
      <c r="AI1700" s="1124"/>
      <c r="AK1700" s="205"/>
    </row>
    <row r="1701" spans="1:37" s="4" customFormat="1" ht="15" customHeight="1">
      <c r="A1701" s="1033"/>
      <c r="B1701" s="1033"/>
      <c r="C1701" s="1033"/>
      <c r="D1701" s="1033"/>
      <c r="E1701" s="1033"/>
      <c r="F1701" s="1033"/>
      <c r="G1701" s="1033"/>
      <c r="H1701" s="1039"/>
      <c r="I1701" s="1022"/>
      <c r="J1701" s="1063"/>
      <c r="K1701" s="1063"/>
      <c r="L1701" s="1063"/>
      <c r="M1701" s="1063"/>
      <c r="N1701" s="1090"/>
      <c r="O1701" s="1063"/>
      <c r="P1701" s="1063"/>
      <c r="Q1701" s="1063"/>
      <c r="R1701" s="1063"/>
      <c r="S1701" s="1033"/>
      <c r="T1701" s="1123" t="s">
        <v>2294</v>
      </c>
      <c r="U1701" s="866">
        <v>219988414.40000001</v>
      </c>
      <c r="V1701" s="1068">
        <v>42928</v>
      </c>
      <c r="W1701" s="842" t="s">
        <v>137</v>
      </c>
      <c r="X1701" s="1044"/>
      <c r="Y1701" s="1044"/>
      <c r="Z1701" s="805">
        <v>0</v>
      </c>
      <c r="AA1701" s="1044"/>
      <c r="AB1701" s="1044"/>
      <c r="AC1701" s="1044"/>
      <c r="AD1701" s="1044"/>
      <c r="AE1701" s="1044"/>
      <c r="AF1701" s="1124"/>
      <c r="AG1701" s="1124"/>
      <c r="AH1701" s="1124"/>
      <c r="AI1701" s="1124"/>
      <c r="AK1701" s="205"/>
    </row>
    <row r="1702" spans="1:37" s="4" customFormat="1" ht="15" customHeight="1">
      <c r="A1702" s="1033"/>
      <c r="B1702" s="1033"/>
      <c r="C1702" s="1033"/>
      <c r="D1702" s="1033"/>
      <c r="E1702" s="1033"/>
      <c r="F1702" s="1033"/>
      <c r="G1702" s="1033"/>
      <c r="H1702" s="1039"/>
      <c r="I1702" s="1022"/>
      <c r="J1702" s="1063"/>
      <c r="K1702" s="1063"/>
      <c r="L1702" s="1063"/>
      <c r="M1702" s="1063"/>
      <c r="N1702" s="1090"/>
      <c r="O1702" s="1063"/>
      <c r="P1702" s="1063"/>
      <c r="Q1702" s="1063"/>
      <c r="R1702" s="1063"/>
      <c r="S1702" s="1033"/>
      <c r="T1702" s="1123"/>
      <c r="U1702" s="866">
        <v>0</v>
      </c>
      <c r="V1702" s="1070"/>
      <c r="W1702" s="842" t="s">
        <v>7</v>
      </c>
      <c r="X1702" s="1044"/>
      <c r="Y1702" s="1044"/>
      <c r="Z1702" s="805">
        <v>15693018.83</v>
      </c>
      <c r="AA1702" s="1044"/>
      <c r="AB1702" s="1044"/>
      <c r="AC1702" s="1044"/>
      <c r="AD1702" s="1044"/>
      <c r="AE1702" s="1044"/>
      <c r="AF1702" s="1124"/>
      <c r="AG1702" s="1124"/>
      <c r="AH1702" s="1124"/>
      <c r="AI1702" s="1124"/>
      <c r="AK1702" s="205"/>
    </row>
    <row r="1703" spans="1:37" s="4" customFormat="1" ht="15" customHeight="1">
      <c r="A1703" s="1033"/>
      <c r="B1703" s="1033"/>
      <c r="C1703" s="1033"/>
      <c r="D1703" s="1033"/>
      <c r="E1703" s="1033"/>
      <c r="F1703" s="1033"/>
      <c r="G1703" s="1033"/>
      <c r="H1703" s="1039"/>
      <c r="I1703" s="1022"/>
      <c r="J1703" s="1063"/>
      <c r="K1703" s="1063"/>
      <c r="L1703" s="1063"/>
      <c r="M1703" s="1063"/>
      <c r="N1703" s="1090"/>
      <c r="O1703" s="1063"/>
      <c r="P1703" s="1063"/>
      <c r="Q1703" s="1063"/>
      <c r="R1703" s="1063"/>
      <c r="S1703" s="1033"/>
      <c r="T1703" s="1065" t="s">
        <v>2293</v>
      </c>
      <c r="U1703" s="866">
        <v>220178418.12</v>
      </c>
      <c r="V1703" s="1068">
        <v>42956</v>
      </c>
      <c r="W1703" s="842" t="s">
        <v>137</v>
      </c>
      <c r="X1703" s="1044"/>
      <c r="Y1703" s="1044"/>
      <c r="Z1703" s="805">
        <v>0</v>
      </c>
      <c r="AA1703" s="1044"/>
      <c r="AB1703" s="1044"/>
      <c r="AC1703" s="1044"/>
      <c r="AD1703" s="1044"/>
      <c r="AE1703" s="1044"/>
      <c r="AF1703" s="1124"/>
      <c r="AG1703" s="1124"/>
      <c r="AH1703" s="1124"/>
      <c r="AI1703" s="1124"/>
      <c r="AK1703" s="205">
        <v>0</v>
      </c>
    </row>
    <row r="1704" spans="1:37" s="4" customFormat="1" ht="15" customHeight="1">
      <c r="A1704" s="1033"/>
      <c r="B1704" s="1033"/>
      <c r="C1704" s="1033"/>
      <c r="D1704" s="1033"/>
      <c r="E1704" s="1033"/>
      <c r="F1704" s="1033"/>
      <c r="G1704" s="1033"/>
      <c r="H1704" s="1039"/>
      <c r="I1704" s="1022"/>
      <c r="J1704" s="1063"/>
      <c r="K1704" s="1063"/>
      <c r="L1704" s="1063"/>
      <c r="M1704" s="1063"/>
      <c r="N1704" s="1090"/>
      <c r="O1704" s="1063"/>
      <c r="P1704" s="1063"/>
      <c r="Q1704" s="1063"/>
      <c r="R1704" s="1063"/>
      <c r="S1704" s="1033"/>
      <c r="T1704" s="1067"/>
      <c r="U1704" s="866">
        <v>0</v>
      </c>
      <c r="V1704" s="1070"/>
      <c r="W1704" s="842" t="s">
        <v>7</v>
      </c>
      <c r="X1704" s="1044"/>
      <c r="Y1704" s="1044"/>
      <c r="Z1704" s="805">
        <v>15706572.869999999</v>
      </c>
      <c r="AA1704" s="1044"/>
      <c r="AB1704" s="1044"/>
      <c r="AC1704" s="1044"/>
      <c r="AD1704" s="1044"/>
      <c r="AE1704" s="1044"/>
      <c r="AF1704" s="1124"/>
      <c r="AG1704" s="1124"/>
      <c r="AH1704" s="1124"/>
      <c r="AI1704" s="1124"/>
    </row>
    <row r="1705" spans="1:37" s="4" customFormat="1" ht="15" customHeight="1">
      <c r="A1705" s="1033"/>
      <c r="B1705" s="1033"/>
      <c r="C1705" s="1033"/>
      <c r="D1705" s="1033"/>
      <c r="E1705" s="1033"/>
      <c r="F1705" s="1033"/>
      <c r="G1705" s="1033"/>
      <c r="H1705" s="1039"/>
      <c r="I1705" s="1022"/>
      <c r="J1705" s="1063"/>
      <c r="K1705" s="1063"/>
      <c r="L1705" s="1063"/>
      <c r="M1705" s="1063"/>
      <c r="N1705" s="1090"/>
      <c r="O1705" s="1063"/>
      <c r="P1705" s="1063"/>
      <c r="Q1705" s="1063"/>
      <c r="R1705" s="1063"/>
      <c r="S1705" s="1033"/>
      <c r="T1705" s="1065" t="s">
        <v>2292</v>
      </c>
      <c r="U1705" s="866">
        <v>16983366.82</v>
      </c>
      <c r="V1705" s="1068">
        <v>43004</v>
      </c>
      <c r="W1705" s="842" t="s">
        <v>7</v>
      </c>
      <c r="X1705" s="1044"/>
      <c r="Y1705" s="1044"/>
      <c r="Z1705" s="805">
        <v>0</v>
      </c>
      <c r="AA1705" s="1044"/>
      <c r="AB1705" s="1044"/>
      <c r="AC1705" s="1044"/>
      <c r="AD1705" s="1044"/>
      <c r="AE1705" s="1044"/>
      <c r="AF1705" s="1124"/>
      <c r="AG1705" s="1124"/>
      <c r="AH1705" s="1124"/>
      <c r="AI1705" s="1124"/>
    </row>
    <row r="1706" spans="1:37" s="4" customFormat="1" ht="15" customHeight="1">
      <c r="A1706" s="1033"/>
      <c r="B1706" s="1033"/>
      <c r="C1706" s="1033"/>
      <c r="D1706" s="1033"/>
      <c r="E1706" s="1033"/>
      <c r="F1706" s="1033"/>
      <c r="G1706" s="1033"/>
      <c r="H1706" s="1039"/>
      <c r="I1706" s="1022"/>
      <c r="J1706" s="1063"/>
      <c r="K1706" s="1063"/>
      <c r="L1706" s="1063"/>
      <c r="M1706" s="1063"/>
      <c r="N1706" s="1090"/>
      <c r="O1706" s="1063"/>
      <c r="P1706" s="1063"/>
      <c r="Q1706" s="1063"/>
      <c r="R1706" s="1063"/>
      <c r="S1706" s="1033"/>
      <c r="T1706" s="1067"/>
      <c r="U1706" s="866">
        <v>238076814.75</v>
      </c>
      <c r="V1706" s="1070"/>
      <c r="W1706" s="842" t="s">
        <v>137</v>
      </c>
      <c r="X1706" s="1044"/>
      <c r="Y1706" s="1044"/>
      <c r="Z1706" s="805">
        <v>0</v>
      </c>
      <c r="AA1706" s="1044"/>
      <c r="AB1706" s="1044"/>
      <c r="AC1706" s="1044"/>
      <c r="AD1706" s="1044"/>
      <c r="AE1706" s="1044"/>
      <c r="AF1706" s="1124"/>
      <c r="AG1706" s="1124"/>
      <c r="AH1706" s="1124"/>
      <c r="AI1706" s="1124"/>
    </row>
    <row r="1707" spans="1:37" s="4" customFormat="1" ht="15" customHeight="1">
      <c r="A1707" s="1033"/>
      <c r="B1707" s="1033"/>
      <c r="C1707" s="1033"/>
      <c r="D1707" s="1033"/>
      <c r="E1707" s="1033"/>
      <c r="F1707" s="1033"/>
      <c r="G1707" s="1033"/>
      <c r="H1707" s="1039"/>
      <c r="I1707" s="1022"/>
      <c r="J1707" s="1063"/>
      <c r="K1707" s="1063"/>
      <c r="L1707" s="1063"/>
      <c r="M1707" s="1063"/>
      <c r="N1707" s="1090"/>
      <c r="O1707" s="1063"/>
      <c r="P1707" s="1063"/>
      <c r="Q1707" s="1063"/>
      <c r="R1707" s="1063"/>
      <c r="S1707" s="1033"/>
      <c r="T1707" s="1065" t="s">
        <v>2291</v>
      </c>
      <c r="U1707" s="866">
        <v>19922719.350000001</v>
      </c>
      <c r="V1707" s="1068">
        <v>43007</v>
      </c>
      <c r="W1707" s="842" t="s">
        <v>7</v>
      </c>
      <c r="X1707" s="1044"/>
      <c r="Y1707" s="1044"/>
      <c r="Z1707" s="805">
        <v>0.19999999925494194</v>
      </c>
      <c r="AA1707" s="1044"/>
      <c r="AB1707" s="1044"/>
      <c r="AC1707" s="1044"/>
      <c r="AD1707" s="1044"/>
      <c r="AE1707" s="1044"/>
      <c r="AF1707" s="1124"/>
      <c r="AG1707" s="1124"/>
      <c r="AH1707" s="1124"/>
      <c r="AI1707" s="1124"/>
    </row>
    <row r="1708" spans="1:37" s="4" customFormat="1" ht="15" customHeight="1">
      <c r="A1708" s="1033"/>
      <c r="B1708" s="1033"/>
      <c r="C1708" s="1033"/>
      <c r="D1708" s="1033"/>
      <c r="E1708" s="1033"/>
      <c r="F1708" s="1033"/>
      <c r="G1708" s="1033"/>
      <c r="H1708" s="1039"/>
      <c r="I1708" s="1038"/>
      <c r="J1708" s="1064"/>
      <c r="K1708" s="1063"/>
      <c r="L1708" s="1063"/>
      <c r="M1708" s="1063"/>
      <c r="N1708" s="1090"/>
      <c r="O1708" s="1064"/>
      <c r="P1708" s="1064"/>
      <c r="Q1708" s="1064"/>
      <c r="R1708" s="1063"/>
      <c r="S1708" s="1033"/>
      <c r="T1708" s="1067"/>
      <c r="U1708" s="866">
        <v>279281347.22000003</v>
      </c>
      <c r="V1708" s="1070"/>
      <c r="W1708" s="842" t="s">
        <v>137</v>
      </c>
      <c r="X1708" s="1044"/>
      <c r="Y1708" s="1044"/>
      <c r="Z1708" s="805">
        <v>0</v>
      </c>
      <c r="AA1708" s="1045"/>
      <c r="AB1708" s="1044"/>
      <c r="AC1708" s="1045"/>
      <c r="AD1708" s="1044"/>
      <c r="AE1708" s="1044"/>
      <c r="AF1708" s="1124"/>
      <c r="AG1708" s="1124"/>
      <c r="AH1708" s="1124"/>
      <c r="AI1708" s="1124"/>
    </row>
    <row r="1709" spans="1:37" s="4" customFormat="1" ht="15" customHeight="1">
      <c r="A1709" s="1033"/>
      <c r="B1709" s="1033"/>
      <c r="C1709" s="1033"/>
      <c r="D1709" s="1033"/>
      <c r="E1709" s="1033"/>
      <c r="F1709" s="1033"/>
      <c r="G1709" s="1033"/>
      <c r="H1709" s="1039"/>
      <c r="I1709" s="1122" t="s">
        <v>7</v>
      </c>
      <c r="J1709" s="1062">
        <v>235757942</v>
      </c>
      <c r="K1709" s="1063"/>
      <c r="L1709" s="1063"/>
      <c r="M1709" s="1063"/>
      <c r="N1709" s="1090"/>
      <c r="O1709" s="1062"/>
      <c r="P1709" s="1062">
        <v>235757942</v>
      </c>
      <c r="Q1709" s="1062">
        <v>235757942</v>
      </c>
      <c r="R1709" s="1063"/>
      <c r="S1709" s="1033"/>
      <c r="T1709" s="1065" t="s">
        <v>2290</v>
      </c>
      <c r="U1709" s="866">
        <v>18634690.32</v>
      </c>
      <c r="V1709" s="1068">
        <v>43038</v>
      </c>
      <c r="W1709" s="842" t="s">
        <v>7</v>
      </c>
      <c r="X1709" s="1044"/>
      <c r="Y1709" s="1044"/>
      <c r="Z1709" s="805">
        <v>0</v>
      </c>
      <c r="AA1709" s="1043">
        <v>93292232.520000026</v>
      </c>
      <c r="AB1709" s="1044"/>
      <c r="AC1709" s="1043">
        <v>0</v>
      </c>
      <c r="AD1709" s="1044"/>
      <c r="AE1709" s="1044"/>
      <c r="AF1709" s="1124"/>
      <c r="AG1709" s="1124"/>
      <c r="AH1709" s="1124"/>
      <c r="AI1709" s="1124"/>
    </row>
    <row r="1710" spans="1:37" s="4" customFormat="1" ht="15" customHeight="1">
      <c r="A1710" s="1033"/>
      <c r="B1710" s="1033"/>
      <c r="C1710" s="1033"/>
      <c r="D1710" s="1033"/>
      <c r="E1710" s="1033"/>
      <c r="F1710" s="1033"/>
      <c r="G1710" s="1033"/>
      <c r="H1710" s="1039"/>
      <c r="I1710" s="1122"/>
      <c r="J1710" s="1063"/>
      <c r="K1710" s="1063"/>
      <c r="L1710" s="1063"/>
      <c r="M1710" s="1063"/>
      <c r="N1710" s="1090"/>
      <c r="O1710" s="1063"/>
      <c r="P1710" s="1063"/>
      <c r="Q1710" s="1063"/>
      <c r="R1710" s="1063"/>
      <c r="S1710" s="1033"/>
      <c r="T1710" s="1067"/>
      <c r="U1710" s="866">
        <v>261225454.22999999</v>
      </c>
      <c r="V1710" s="1070"/>
      <c r="W1710" s="842" t="s">
        <v>137</v>
      </c>
      <c r="X1710" s="1044"/>
      <c r="Y1710" s="1044"/>
      <c r="Z1710" s="805">
        <v>0</v>
      </c>
      <c r="AA1710" s="1044"/>
      <c r="AB1710" s="1044"/>
      <c r="AC1710" s="1044"/>
      <c r="AD1710" s="1044"/>
      <c r="AE1710" s="1044"/>
      <c r="AF1710" s="1124"/>
      <c r="AG1710" s="1124"/>
      <c r="AH1710" s="1124"/>
      <c r="AI1710" s="1124"/>
    </row>
    <row r="1711" spans="1:37" s="4" customFormat="1" ht="15" customHeight="1">
      <c r="A1711" s="1033"/>
      <c r="B1711" s="1033"/>
      <c r="C1711" s="1033"/>
      <c r="D1711" s="1033"/>
      <c r="E1711" s="1033"/>
      <c r="F1711" s="1033"/>
      <c r="G1711" s="1033"/>
      <c r="H1711" s="1039"/>
      <c r="I1711" s="1122"/>
      <c r="J1711" s="1063"/>
      <c r="K1711" s="1063"/>
      <c r="L1711" s="1063"/>
      <c r="M1711" s="1063"/>
      <c r="N1711" s="1090"/>
      <c r="O1711" s="1063"/>
      <c r="P1711" s="1063"/>
      <c r="Q1711" s="1063"/>
      <c r="R1711" s="1063"/>
      <c r="S1711" s="1033"/>
      <c r="T1711" s="1065" t="s">
        <v>2289</v>
      </c>
      <c r="U1711" s="866">
        <v>18155148.989999998</v>
      </c>
      <c r="V1711" s="1068">
        <v>42344</v>
      </c>
      <c r="W1711" s="842" t="s">
        <v>7</v>
      </c>
      <c r="X1711" s="1044"/>
      <c r="Y1711" s="1044"/>
      <c r="Z1711" s="805">
        <v>0</v>
      </c>
      <c r="AA1711" s="1044"/>
      <c r="AB1711" s="1044"/>
      <c r="AC1711" s="1044"/>
      <c r="AD1711" s="1044"/>
      <c r="AE1711" s="1044"/>
      <c r="AF1711" s="1124"/>
      <c r="AG1711" s="1124"/>
      <c r="AH1711" s="1124"/>
      <c r="AI1711" s="1124"/>
    </row>
    <row r="1712" spans="1:37" s="4" customFormat="1" ht="15" customHeight="1">
      <c r="A1712" s="1033"/>
      <c r="B1712" s="1033"/>
      <c r="C1712" s="1033"/>
      <c r="D1712" s="1033"/>
      <c r="E1712" s="1033"/>
      <c r="F1712" s="1033"/>
      <c r="G1712" s="1033"/>
      <c r="H1712" s="1039"/>
      <c r="I1712" s="1122"/>
      <c r="J1712" s="1063"/>
      <c r="K1712" s="1063"/>
      <c r="L1712" s="1063"/>
      <c r="M1712" s="1063"/>
      <c r="N1712" s="1090"/>
      <c r="O1712" s="1063"/>
      <c r="P1712" s="1063"/>
      <c r="Q1712" s="1063"/>
      <c r="R1712" s="1063"/>
      <c r="S1712" s="1033"/>
      <c r="T1712" s="1067"/>
      <c r="U1712" s="866">
        <v>254503131.74000001</v>
      </c>
      <c r="V1712" s="1070"/>
      <c r="W1712" s="842" t="s">
        <v>137</v>
      </c>
      <c r="X1712" s="1044"/>
      <c r="Y1712" s="1044"/>
      <c r="Z1712" s="805">
        <v>0</v>
      </c>
      <c r="AA1712" s="1044"/>
      <c r="AB1712" s="1044"/>
      <c r="AC1712" s="1044"/>
      <c r="AD1712" s="1044"/>
      <c r="AE1712" s="1044"/>
      <c r="AF1712" s="1124"/>
      <c r="AG1712" s="1124"/>
      <c r="AH1712" s="1124"/>
      <c r="AI1712" s="1124"/>
    </row>
    <row r="1713" spans="1:35" s="4" customFormat="1" ht="15" customHeight="1">
      <c r="A1713" s="1033"/>
      <c r="B1713" s="1033"/>
      <c r="C1713" s="1033"/>
      <c r="D1713" s="1033"/>
      <c r="E1713" s="1033"/>
      <c r="F1713" s="1033"/>
      <c r="G1713" s="1033"/>
      <c r="H1713" s="1039"/>
      <c r="I1713" s="1122"/>
      <c r="J1713" s="1063"/>
      <c r="K1713" s="1063"/>
      <c r="L1713" s="1063"/>
      <c r="M1713" s="1063"/>
      <c r="N1713" s="1090"/>
      <c r="O1713" s="1063"/>
      <c r="P1713" s="1063"/>
      <c r="Q1713" s="1063"/>
      <c r="R1713" s="1063"/>
      <c r="S1713" s="1033"/>
      <c r="T1713" s="1065" t="s">
        <v>2288</v>
      </c>
      <c r="U1713" s="866">
        <v>21618196</v>
      </c>
      <c r="V1713" s="1068">
        <v>43096</v>
      </c>
      <c r="W1713" s="842" t="s">
        <v>7</v>
      </c>
      <c r="X1713" s="1044"/>
      <c r="Y1713" s="1044"/>
      <c r="Z1713" s="805">
        <v>0</v>
      </c>
      <c r="AA1713" s="1044"/>
      <c r="AB1713" s="1044"/>
      <c r="AC1713" s="1044"/>
      <c r="AD1713" s="1044"/>
      <c r="AE1713" s="1044"/>
      <c r="AF1713" s="1124"/>
      <c r="AG1713" s="1124"/>
      <c r="AH1713" s="1124"/>
      <c r="AI1713" s="1124"/>
    </row>
    <row r="1714" spans="1:35" s="4" customFormat="1" ht="15" customHeight="1">
      <c r="A1714" s="1033"/>
      <c r="B1714" s="1033"/>
      <c r="C1714" s="1033"/>
      <c r="D1714" s="1033"/>
      <c r="E1714" s="1033"/>
      <c r="F1714" s="1033"/>
      <c r="G1714" s="1033"/>
      <c r="H1714" s="1039"/>
      <c r="I1714" s="1122"/>
      <c r="J1714" s="1063"/>
      <c r="K1714" s="1064"/>
      <c r="L1714" s="1063"/>
      <c r="M1714" s="1064"/>
      <c r="N1714" s="1091"/>
      <c r="O1714" s="1064"/>
      <c r="P1714" s="1064"/>
      <c r="Q1714" s="1064"/>
      <c r="R1714" s="1063"/>
      <c r="S1714" s="1033"/>
      <c r="T1714" s="1067"/>
      <c r="U1714" s="866">
        <v>303048936.13999999</v>
      </c>
      <c r="V1714" s="1070"/>
      <c r="W1714" s="842" t="s">
        <v>137</v>
      </c>
      <c r="X1714" s="1045"/>
      <c r="Y1714" s="1044"/>
      <c r="Z1714" s="805">
        <v>0</v>
      </c>
      <c r="AA1714" s="1045"/>
      <c r="AB1714" s="1045"/>
      <c r="AC1714" s="1045"/>
      <c r="AD1714" s="1045"/>
      <c r="AE1714" s="1045"/>
      <c r="AF1714" s="1124"/>
      <c r="AG1714" s="1124"/>
      <c r="AH1714" s="1124"/>
      <c r="AI1714" s="1124"/>
    </row>
    <row r="1715" spans="1:35" s="4" customFormat="1" ht="15" customHeight="1">
      <c r="A1715" s="1033"/>
      <c r="B1715" s="1033"/>
      <c r="C1715" s="1033"/>
      <c r="D1715" s="1033"/>
      <c r="E1715" s="1033"/>
      <c r="F1715" s="1033"/>
      <c r="G1715" s="1033"/>
      <c r="H1715" s="1009">
        <v>9</v>
      </c>
      <c r="I1715" s="1065" t="s">
        <v>135</v>
      </c>
      <c r="J1715" s="1062">
        <v>1184895607</v>
      </c>
      <c r="K1715" s="1062">
        <v>1184895607</v>
      </c>
      <c r="L1715" s="1063"/>
      <c r="M1715" s="1132">
        <v>42641</v>
      </c>
      <c r="N1715" s="1089">
        <v>0</v>
      </c>
      <c r="O1715" s="1089"/>
      <c r="P1715" s="1089">
        <v>1184895607</v>
      </c>
      <c r="Q1715" s="1062">
        <v>1184895607</v>
      </c>
      <c r="R1715" s="1063"/>
      <c r="S1715" s="1033"/>
      <c r="T1715" s="840" t="s">
        <v>2295</v>
      </c>
      <c r="U1715" s="866">
        <v>236979122</v>
      </c>
      <c r="V1715" s="855">
        <v>42844</v>
      </c>
      <c r="W1715" s="1065" t="s">
        <v>135</v>
      </c>
      <c r="X1715" s="1043">
        <v>873829447.22000003</v>
      </c>
      <c r="Y1715" s="1044"/>
      <c r="Z1715" s="805">
        <v>0</v>
      </c>
      <c r="AA1715" s="1043">
        <v>311066159.77999997</v>
      </c>
      <c r="AB1715" s="1043">
        <v>-77766540.319999933</v>
      </c>
      <c r="AC1715" s="1062">
        <v>0</v>
      </c>
      <c r="AD1715" s="1062">
        <v>311066159.77999997</v>
      </c>
      <c r="AE1715" s="1062"/>
      <c r="AF1715" s="1124"/>
      <c r="AG1715" s="1124"/>
      <c r="AH1715" s="1124"/>
      <c r="AI1715" s="1124"/>
    </row>
    <row r="1716" spans="1:35" s="4" customFormat="1" ht="15" customHeight="1">
      <c r="A1716" s="1033"/>
      <c r="B1716" s="1033"/>
      <c r="C1716" s="1033"/>
      <c r="D1716" s="1033"/>
      <c r="E1716" s="1033"/>
      <c r="F1716" s="1033"/>
      <c r="G1716" s="1033"/>
      <c r="H1716" s="1039"/>
      <c r="I1716" s="1066"/>
      <c r="J1716" s="1063"/>
      <c r="K1716" s="1063"/>
      <c r="L1716" s="1063"/>
      <c r="M1716" s="1133"/>
      <c r="N1716" s="1090"/>
      <c r="O1716" s="1090"/>
      <c r="P1716" s="1090"/>
      <c r="Q1716" s="1063"/>
      <c r="R1716" s="1063"/>
      <c r="S1716" s="1033"/>
      <c r="T1716" s="840" t="s">
        <v>2294</v>
      </c>
      <c r="U1716" s="866">
        <v>78871527.769999996</v>
      </c>
      <c r="V1716" s="855">
        <v>42928</v>
      </c>
      <c r="W1716" s="1066"/>
      <c r="X1716" s="1044"/>
      <c r="Y1716" s="1044"/>
      <c r="Z1716" s="805">
        <v>0</v>
      </c>
      <c r="AA1716" s="1044"/>
      <c r="AB1716" s="1044"/>
      <c r="AC1716" s="1063"/>
      <c r="AD1716" s="1063"/>
      <c r="AE1716" s="1063"/>
      <c r="AF1716" s="1124"/>
      <c r="AG1716" s="1124"/>
      <c r="AH1716" s="1124"/>
      <c r="AI1716" s="1124"/>
    </row>
    <row r="1717" spans="1:35" s="4" customFormat="1" ht="15" customHeight="1">
      <c r="A1717" s="1033"/>
      <c r="B1717" s="1033"/>
      <c r="C1717" s="1033"/>
      <c r="D1717" s="1033"/>
      <c r="E1717" s="1033"/>
      <c r="F1717" s="1033"/>
      <c r="G1717" s="1033"/>
      <c r="H1717" s="1039"/>
      <c r="I1717" s="1066"/>
      <c r="J1717" s="1063"/>
      <c r="K1717" s="1063"/>
      <c r="L1717" s="1063"/>
      <c r="M1717" s="1133"/>
      <c r="N1717" s="1090"/>
      <c r="O1717" s="1090"/>
      <c r="P1717" s="1090"/>
      <c r="Q1717" s="1063"/>
      <c r="R1717" s="1063"/>
      <c r="S1717" s="1033"/>
      <c r="T1717" s="840" t="s">
        <v>2293</v>
      </c>
      <c r="U1717" s="866">
        <v>78939649.010000005</v>
      </c>
      <c r="V1717" s="855">
        <v>42956</v>
      </c>
      <c r="W1717" s="1066"/>
      <c r="X1717" s="1044"/>
      <c r="Y1717" s="1044"/>
      <c r="Z1717" s="805">
        <v>0</v>
      </c>
      <c r="AA1717" s="1044"/>
      <c r="AB1717" s="1044"/>
      <c r="AC1717" s="1063"/>
      <c r="AD1717" s="1063"/>
      <c r="AE1717" s="1063"/>
      <c r="AF1717" s="1124"/>
      <c r="AG1717" s="1124"/>
      <c r="AH1717" s="1124"/>
      <c r="AI1717" s="1124"/>
    </row>
    <row r="1718" spans="1:35" s="4" customFormat="1" ht="15" customHeight="1">
      <c r="A1718" s="1033"/>
      <c r="B1718" s="1033"/>
      <c r="C1718" s="1033"/>
      <c r="D1718" s="1033"/>
      <c r="E1718" s="1033"/>
      <c r="F1718" s="1033"/>
      <c r="G1718" s="1033"/>
      <c r="H1718" s="1039"/>
      <c r="I1718" s="1066"/>
      <c r="J1718" s="1063"/>
      <c r="K1718" s="1063"/>
      <c r="L1718" s="1063"/>
      <c r="M1718" s="1133"/>
      <c r="N1718" s="1090"/>
      <c r="O1718" s="1090"/>
      <c r="P1718" s="1090"/>
      <c r="Q1718" s="1063"/>
      <c r="R1718" s="1063"/>
      <c r="S1718" s="1033"/>
      <c r="T1718" s="840" t="s">
        <v>2292</v>
      </c>
      <c r="U1718" s="866">
        <v>85356686.430000007</v>
      </c>
      <c r="V1718" s="855">
        <v>43004</v>
      </c>
      <c r="W1718" s="1066"/>
      <c r="X1718" s="1044"/>
      <c r="Y1718" s="1044"/>
      <c r="Z1718" s="805">
        <v>0</v>
      </c>
      <c r="AA1718" s="1044"/>
      <c r="AB1718" s="1044"/>
      <c r="AC1718" s="1063"/>
      <c r="AD1718" s="1063"/>
      <c r="AE1718" s="1063"/>
      <c r="AF1718" s="1124"/>
      <c r="AG1718" s="1124"/>
      <c r="AH1718" s="1124"/>
      <c r="AI1718" s="1124"/>
    </row>
    <row r="1719" spans="1:35" s="4" customFormat="1" ht="15" customHeight="1">
      <c r="A1719" s="1033"/>
      <c r="B1719" s="1033"/>
      <c r="C1719" s="1033"/>
      <c r="D1719" s="1033"/>
      <c r="E1719" s="1033"/>
      <c r="F1719" s="1033"/>
      <c r="G1719" s="1033"/>
      <c r="H1719" s="1039"/>
      <c r="I1719" s="1066"/>
      <c r="J1719" s="1063"/>
      <c r="K1719" s="1063"/>
      <c r="L1719" s="1063"/>
      <c r="M1719" s="1133"/>
      <c r="N1719" s="1090"/>
      <c r="O1719" s="1090"/>
      <c r="P1719" s="1090"/>
      <c r="Q1719" s="1063"/>
      <c r="R1719" s="1063"/>
      <c r="S1719" s="1033"/>
      <c r="T1719" s="840" t="s">
        <v>2291</v>
      </c>
      <c r="U1719" s="866">
        <v>100129575.43000001</v>
      </c>
      <c r="V1719" s="855">
        <v>43007</v>
      </c>
      <c r="W1719" s="1066"/>
      <c r="X1719" s="1044"/>
      <c r="Y1719" s="1044"/>
      <c r="Z1719" s="805">
        <v>0</v>
      </c>
      <c r="AA1719" s="1044"/>
      <c r="AB1719" s="1044"/>
      <c r="AC1719" s="1063"/>
      <c r="AD1719" s="1063"/>
      <c r="AE1719" s="1063"/>
      <c r="AF1719" s="1124"/>
      <c r="AG1719" s="1124"/>
      <c r="AH1719" s="1124"/>
      <c r="AI1719" s="1124"/>
    </row>
    <row r="1720" spans="1:35" s="4" customFormat="1" ht="15" customHeight="1">
      <c r="A1720" s="1033"/>
      <c r="B1720" s="1033"/>
      <c r="C1720" s="1033"/>
      <c r="D1720" s="1033"/>
      <c r="E1720" s="1033"/>
      <c r="F1720" s="1033"/>
      <c r="G1720" s="1033"/>
      <c r="H1720" s="1039"/>
      <c r="I1720" s="1066"/>
      <c r="J1720" s="1063"/>
      <c r="K1720" s="1063"/>
      <c r="L1720" s="1063"/>
      <c r="M1720" s="1133"/>
      <c r="N1720" s="1090"/>
      <c r="O1720" s="1090"/>
      <c r="P1720" s="1090"/>
      <c r="Q1720" s="1063"/>
      <c r="R1720" s="1063"/>
      <c r="S1720" s="1033"/>
      <c r="T1720" s="840" t="s">
        <v>2290</v>
      </c>
      <c r="U1720" s="866">
        <v>93656071.450000003</v>
      </c>
      <c r="V1720" s="855">
        <v>43038</v>
      </c>
      <c r="W1720" s="1066"/>
      <c r="X1720" s="1044"/>
      <c r="Y1720" s="1044"/>
      <c r="Z1720" s="805">
        <v>0</v>
      </c>
      <c r="AA1720" s="1044"/>
      <c r="AB1720" s="1044"/>
      <c r="AC1720" s="1063"/>
      <c r="AD1720" s="1063"/>
      <c r="AE1720" s="1063"/>
      <c r="AF1720" s="1124"/>
      <c r="AG1720" s="1124"/>
      <c r="AH1720" s="1124"/>
      <c r="AI1720" s="1124"/>
    </row>
    <row r="1721" spans="1:35" s="4" customFormat="1" ht="15" customHeight="1">
      <c r="A1721" s="1033"/>
      <c r="B1721" s="1033"/>
      <c r="C1721" s="1033"/>
      <c r="D1721" s="1033"/>
      <c r="E1721" s="1033"/>
      <c r="F1721" s="1033"/>
      <c r="G1721" s="1033"/>
      <c r="H1721" s="1039"/>
      <c r="I1721" s="1066"/>
      <c r="J1721" s="1063"/>
      <c r="K1721" s="1063"/>
      <c r="L1721" s="1063"/>
      <c r="M1721" s="1133"/>
      <c r="N1721" s="1090"/>
      <c r="O1721" s="1090"/>
      <c r="P1721" s="1090"/>
      <c r="Q1721" s="1063"/>
      <c r="R1721" s="1063"/>
      <c r="S1721" s="1033"/>
      <c r="T1721" s="840" t="s">
        <v>2289</v>
      </c>
      <c r="U1721" s="866">
        <v>91245945.269999996</v>
      </c>
      <c r="V1721" s="855">
        <v>43075</v>
      </c>
      <c r="W1721" s="1066"/>
      <c r="X1721" s="1044"/>
      <c r="Y1721" s="1044"/>
      <c r="Z1721" s="805">
        <v>0</v>
      </c>
      <c r="AA1721" s="1044"/>
      <c r="AB1721" s="1044"/>
      <c r="AC1721" s="1063"/>
      <c r="AD1721" s="1063"/>
      <c r="AE1721" s="1063"/>
      <c r="AF1721" s="1124"/>
      <c r="AG1721" s="1124"/>
      <c r="AH1721" s="1124"/>
      <c r="AI1721" s="1124"/>
    </row>
    <row r="1722" spans="1:35" s="4" customFormat="1" ht="15" customHeight="1">
      <c r="A1722" s="1033"/>
      <c r="B1722" s="1012"/>
      <c r="C1722" s="1012"/>
      <c r="D1722" s="1012"/>
      <c r="E1722" s="1012"/>
      <c r="F1722" s="1012"/>
      <c r="G1722" s="1012"/>
      <c r="H1722" s="1039"/>
      <c r="I1722" s="1066"/>
      <c r="J1722" s="1063"/>
      <c r="K1722" s="1064"/>
      <c r="L1722" s="1064"/>
      <c r="M1722" s="1133"/>
      <c r="N1722" s="1091"/>
      <c r="O1722" s="1091"/>
      <c r="P1722" s="1091"/>
      <c r="Q1722" s="1063"/>
      <c r="R1722" s="1063"/>
      <c r="S1722" s="1012"/>
      <c r="T1722" s="840" t="s">
        <v>2288</v>
      </c>
      <c r="U1722" s="866">
        <v>108650869.86</v>
      </c>
      <c r="V1722" s="855">
        <v>43096</v>
      </c>
      <c r="W1722" s="1066"/>
      <c r="X1722" s="1045"/>
      <c r="Y1722" s="1045"/>
      <c r="Z1722" s="805">
        <v>0</v>
      </c>
      <c r="AA1722" s="1045"/>
      <c r="AB1722" s="1045"/>
      <c r="AC1722" s="1064"/>
      <c r="AD1722" s="1064"/>
      <c r="AE1722" s="1064"/>
      <c r="AF1722" s="1024"/>
      <c r="AG1722" s="1024"/>
      <c r="AH1722" s="1024"/>
      <c r="AI1722" s="1024"/>
    </row>
    <row r="1723" spans="1:35" s="4" customFormat="1" ht="15" customHeight="1">
      <c r="A1723" s="1033"/>
      <c r="B1723" s="790"/>
      <c r="C1723" s="790"/>
      <c r="D1723" s="790"/>
      <c r="E1723" s="790"/>
      <c r="F1723" s="790"/>
      <c r="G1723" s="790"/>
      <c r="H1723" s="1039"/>
      <c r="I1723" s="1066"/>
      <c r="J1723" s="1063"/>
      <c r="K1723" s="798"/>
      <c r="L1723" s="798"/>
      <c r="M1723" s="1133"/>
      <c r="N1723" s="831"/>
      <c r="O1723" s="831"/>
      <c r="P1723" s="831"/>
      <c r="Q1723" s="1063"/>
      <c r="R1723" s="1063"/>
      <c r="S1723" s="790"/>
      <c r="T1723" s="840" t="s">
        <v>2718</v>
      </c>
      <c r="U1723" s="866">
        <v>111087929</v>
      </c>
      <c r="V1723" s="855">
        <v>43151</v>
      </c>
      <c r="W1723" s="1066"/>
      <c r="X1723" s="806"/>
      <c r="Y1723" s="806"/>
      <c r="Z1723" s="805"/>
      <c r="AA1723" s="806"/>
      <c r="AB1723" s="806"/>
      <c r="AC1723" s="798"/>
      <c r="AD1723" s="798"/>
      <c r="AE1723" s="798"/>
      <c r="AF1723" s="804"/>
      <c r="AG1723" s="804"/>
      <c r="AH1723" s="804"/>
      <c r="AI1723" s="804"/>
    </row>
    <row r="1724" spans="1:35" s="4" customFormat="1" ht="15" customHeight="1">
      <c r="A1724" s="1012"/>
      <c r="B1724" s="790"/>
      <c r="C1724" s="790"/>
      <c r="D1724" s="790"/>
      <c r="E1724" s="790"/>
      <c r="F1724" s="790"/>
      <c r="G1724" s="790"/>
      <c r="H1724" s="1010"/>
      <c r="I1724" s="1067"/>
      <c r="J1724" s="1064"/>
      <c r="K1724" s="798"/>
      <c r="L1724" s="798"/>
      <c r="M1724" s="1134"/>
      <c r="N1724" s="831"/>
      <c r="O1724" s="831"/>
      <c r="P1724" s="831"/>
      <c r="Q1724" s="1064"/>
      <c r="R1724" s="1064"/>
      <c r="S1724" s="790"/>
      <c r="T1724" s="840" t="s">
        <v>2719</v>
      </c>
      <c r="U1724" s="866">
        <v>99317053.140000001</v>
      </c>
      <c r="V1724" s="855">
        <v>43187</v>
      </c>
      <c r="W1724" s="1067"/>
      <c r="X1724" s="806"/>
      <c r="Y1724" s="806"/>
      <c r="Z1724" s="805"/>
      <c r="AA1724" s="806"/>
      <c r="AB1724" s="806"/>
      <c r="AC1724" s="798"/>
      <c r="AD1724" s="798"/>
      <c r="AE1724" s="798"/>
      <c r="AF1724" s="804"/>
      <c r="AG1724" s="804"/>
      <c r="AH1724" s="804"/>
      <c r="AI1724" s="804"/>
    </row>
    <row r="1725" spans="1:35" s="4" customFormat="1" ht="15" customHeight="1">
      <c r="A1725" s="1011" t="s">
        <v>2287</v>
      </c>
      <c r="B1725" s="1011" t="s">
        <v>2285</v>
      </c>
      <c r="C1725" s="1011" t="s">
        <v>72</v>
      </c>
      <c r="D1725" s="1011" t="s">
        <v>206</v>
      </c>
      <c r="E1725" s="1011" t="s">
        <v>66</v>
      </c>
      <c r="F1725" s="1011" t="s">
        <v>48</v>
      </c>
      <c r="G1725" s="1011"/>
      <c r="H1725" s="1009">
        <v>11</v>
      </c>
      <c r="I1725" s="1065" t="s">
        <v>145</v>
      </c>
      <c r="J1725" s="1062">
        <v>35780000</v>
      </c>
      <c r="K1725" s="1062">
        <v>35780000</v>
      </c>
      <c r="L1725" s="1062">
        <v>40833230</v>
      </c>
      <c r="M1725" s="1068">
        <v>42705</v>
      </c>
      <c r="N1725" s="1089">
        <v>35780000</v>
      </c>
      <c r="O1725" s="1089">
        <v>35780000</v>
      </c>
      <c r="P1725" s="1089">
        <v>0</v>
      </c>
      <c r="Q1725" s="1089">
        <v>35780000</v>
      </c>
      <c r="R1725" s="1062">
        <v>40833200</v>
      </c>
      <c r="S1725" s="1011"/>
      <c r="T1725" s="840" t="s">
        <v>2284</v>
      </c>
      <c r="U1725" s="866">
        <v>10940860</v>
      </c>
      <c r="V1725" s="855">
        <v>42993</v>
      </c>
      <c r="W1725" s="840" t="s">
        <v>145</v>
      </c>
      <c r="X1725" s="1043">
        <v>10940860</v>
      </c>
      <c r="Y1725" s="1043">
        <v>10940860</v>
      </c>
      <c r="Z1725" s="805">
        <v>0</v>
      </c>
      <c r="AA1725" s="1043">
        <v>24839140</v>
      </c>
      <c r="AB1725" s="1043">
        <v>0</v>
      </c>
      <c r="AC1725" s="1043">
        <v>0</v>
      </c>
      <c r="AD1725" s="1043">
        <v>24839140</v>
      </c>
      <c r="AE1725" s="1062"/>
      <c r="AF1725" s="1108" t="s">
        <v>2283</v>
      </c>
      <c r="AG1725" s="1108" t="s">
        <v>2282</v>
      </c>
      <c r="AH1725" s="1103" t="s">
        <v>195</v>
      </c>
      <c r="AI1725" s="1103" t="s">
        <v>1911</v>
      </c>
    </row>
    <row r="1726" spans="1:35" s="4" customFormat="1" ht="15" customHeight="1">
      <c r="A1726" s="1033"/>
      <c r="B1726" s="1033"/>
      <c r="C1726" s="1033"/>
      <c r="D1726" s="1033"/>
      <c r="E1726" s="1012"/>
      <c r="F1726" s="1033"/>
      <c r="G1726" s="1033"/>
      <c r="H1726" s="1010"/>
      <c r="I1726" s="1067"/>
      <c r="J1726" s="1064"/>
      <c r="K1726" s="1064"/>
      <c r="L1726" s="1063"/>
      <c r="M1726" s="1070"/>
      <c r="N1726" s="1091"/>
      <c r="O1726" s="1091"/>
      <c r="P1726" s="1091"/>
      <c r="Q1726" s="1091"/>
      <c r="R1726" s="1063"/>
      <c r="S1726" s="1033"/>
      <c r="T1726" s="840"/>
      <c r="U1726" s="866"/>
      <c r="V1726" s="855"/>
      <c r="W1726" s="840"/>
      <c r="X1726" s="1045"/>
      <c r="Y1726" s="1044"/>
      <c r="Z1726" s="805">
        <v>0</v>
      </c>
      <c r="AA1726" s="1045"/>
      <c r="AB1726" s="1044"/>
      <c r="AC1726" s="1045"/>
      <c r="AD1726" s="1045"/>
      <c r="AE1726" s="1063"/>
      <c r="AF1726" s="1109"/>
      <c r="AG1726" s="1109"/>
      <c r="AH1726" s="1104"/>
      <c r="AI1726" s="1104"/>
    </row>
    <row r="1727" spans="1:35" s="4" customFormat="1" ht="15" customHeight="1">
      <c r="A1727" s="1033"/>
      <c r="B1727" s="1033"/>
      <c r="C1727" s="1033"/>
      <c r="D1727" s="1033"/>
      <c r="E1727" s="1011" t="s">
        <v>67</v>
      </c>
      <c r="F1727" s="1033"/>
      <c r="G1727" s="1033"/>
      <c r="H1727" s="1009">
        <v>3564</v>
      </c>
      <c r="I1727" s="1065" t="s">
        <v>145</v>
      </c>
      <c r="J1727" s="1062">
        <v>5053230</v>
      </c>
      <c r="K1727" s="1062">
        <v>5053230</v>
      </c>
      <c r="L1727" s="1063"/>
      <c r="M1727" s="1068"/>
      <c r="N1727" s="1062">
        <v>5053200</v>
      </c>
      <c r="O1727" s="1062">
        <v>5053200</v>
      </c>
      <c r="P1727" s="1062">
        <v>30</v>
      </c>
      <c r="Q1727" s="1062">
        <v>5053200</v>
      </c>
      <c r="R1727" s="1063"/>
      <c r="S1727" s="1033"/>
      <c r="T1727" s="840"/>
      <c r="U1727" s="866"/>
      <c r="V1727" s="855"/>
      <c r="W1727" s="840"/>
      <c r="X1727" s="1043">
        <v>0</v>
      </c>
      <c r="Y1727" s="1044"/>
      <c r="Z1727" s="805">
        <v>0</v>
      </c>
      <c r="AA1727" s="1043">
        <v>5053230</v>
      </c>
      <c r="AB1727" s="1044"/>
      <c r="AC1727" s="1043">
        <v>30</v>
      </c>
      <c r="AD1727" s="1043">
        <v>5053200</v>
      </c>
      <c r="AE1727" s="1063"/>
      <c r="AF1727" s="1109"/>
      <c r="AG1727" s="1109"/>
      <c r="AH1727" s="1104"/>
      <c r="AI1727" s="1104"/>
    </row>
    <row r="1728" spans="1:35" s="4" customFormat="1" ht="15" customHeight="1">
      <c r="A1728" s="1012"/>
      <c r="B1728" s="1012"/>
      <c r="C1728" s="1012"/>
      <c r="D1728" s="1012"/>
      <c r="E1728" s="1012"/>
      <c r="F1728" s="1012"/>
      <c r="G1728" s="1012"/>
      <c r="H1728" s="1010"/>
      <c r="I1728" s="1067"/>
      <c r="J1728" s="1064"/>
      <c r="K1728" s="1064"/>
      <c r="L1728" s="1064"/>
      <c r="M1728" s="1070"/>
      <c r="N1728" s="1064"/>
      <c r="O1728" s="1064"/>
      <c r="P1728" s="1064"/>
      <c r="Q1728" s="1064"/>
      <c r="R1728" s="1064"/>
      <c r="S1728" s="1012"/>
      <c r="T1728" s="840"/>
      <c r="U1728" s="866"/>
      <c r="V1728" s="855"/>
      <c r="W1728" s="840"/>
      <c r="X1728" s="1045"/>
      <c r="Y1728" s="1045"/>
      <c r="Z1728" s="805">
        <v>0</v>
      </c>
      <c r="AA1728" s="1045"/>
      <c r="AB1728" s="1045"/>
      <c r="AC1728" s="1045"/>
      <c r="AD1728" s="1045"/>
      <c r="AE1728" s="1064"/>
      <c r="AF1728" s="1110"/>
      <c r="AG1728" s="1110"/>
      <c r="AH1728" s="1105"/>
      <c r="AI1728" s="1105"/>
    </row>
    <row r="1729" spans="1:40" ht="15" customHeight="1">
      <c r="A1729" s="1011" t="s">
        <v>2302</v>
      </c>
      <c r="B1729" s="1011" t="s">
        <v>2304</v>
      </c>
      <c r="C1729" s="1011" t="s">
        <v>71</v>
      </c>
      <c r="D1729" s="1011" t="s">
        <v>206</v>
      </c>
      <c r="E1729" s="1011" t="s">
        <v>66</v>
      </c>
      <c r="F1729" s="1011" t="s">
        <v>48</v>
      </c>
      <c r="G1729" s="823"/>
      <c r="H1729" s="1009">
        <v>6</v>
      </c>
      <c r="I1729" s="1065" t="s">
        <v>149</v>
      </c>
      <c r="J1729" s="1062">
        <v>879570000</v>
      </c>
      <c r="K1729" s="1062">
        <v>879570000</v>
      </c>
      <c r="L1729" s="858"/>
      <c r="M1729" s="855"/>
      <c r="N1729" s="862"/>
      <c r="O1729" s="858"/>
      <c r="P1729" s="858"/>
      <c r="Q1729" s="862">
        <v>57458750</v>
      </c>
      <c r="R1729" s="827">
        <v>87088379</v>
      </c>
      <c r="S1729" s="823"/>
      <c r="T1729" s="840" t="s">
        <v>2305</v>
      </c>
      <c r="U1729" s="866">
        <v>41018627</v>
      </c>
      <c r="V1729" s="855">
        <v>43082</v>
      </c>
      <c r="W1729" s="842" t="s">
        <v>149</v>
      </c>
      <c r="X1729" s="827"/>
      <c r="Y1729" s="827"/>
      <c r="Z1729" s="827"/>
      <c r="AA1729" s="827"/>
      <c r="AB1729" s="858"/>
      <c r="AC1729" s="858"/>
      <c r="AD1729" s="858"/>
      <c r="AE1729" s="858"/>
      <c r="AF1729" s="863"/>
      <c r="AG1729" s="1103" t="s">
        <v>2314</v>
      </c>
      <c r="AH1729" s="864"/>
      <c r="AI1729" s="864"/>
    </row>
    <row r="1730" spans="1:40" ht="15" customHeight="1">
      <c r="A1730" s="1033"/>
      <c r="B1730" s="1033"/>
      <c r="C1730" s="1033"/>
      <c r="D1730" s="1033"/>
      <c r="E1730" s="1033"/>
      <c r="F1730" s="1033"/>
      <c r="G1730" s="823"/>
      <c r="H1730" s="1039"/>
      <c r="I1730" s="1066"/>
      <c r="J1730" s="1063"/>
      <c r="K1730" s="1063"/>
      <c r="L1730" s="858"/>
      <c r="M1730" s="855"/>
      <c r="N1730" s="862"/>
      <c r="O1730" s="858"/>
      <c r="P1730" s="858"/>
      <c r="Q1730" s="827"/>
      <c r="R1730" s="858"/>
      <c r="S1730" s="823"/>
      <c r="T1730" s="840"/>
      <c r="U1730" s="866"/>
      <c r="V1730" s="855"/>
      <c r="W1730" s="842"/>
      <c r="X1730" s="827"/>
      <c r="Y1730" s="827"/>
      <c r="Z1730" s="827"/>
      <c r="AA1730" s="827"/>
      <c r="AB1730" s="858"/>
      <c r="AC1730" s="858"/>
      <c r="AD1730" s="858"/>
      <c r="AE1730" s="858"/>
      <c r="AF1730" s="863"/>
      <c r="AG1730" s="1104"/>
      <c r="AH1730" s="864"/>
      <c r="AI1730" s="864"/>
    </row>
    <row r="1731" spans="1:40" ht="15" customHeight="1">
      <c r="A1731" s="1033"/>
      <c r="B1731" s="1033"/>
      <c r="C1731" s="1033"/>
      <c r="D1731" s="1033"/>
      <c r="E1731" s="1012"/>
      <c r="F1731" s="1033"/>
      <c r="G1731" s="823"/>
      <c r="H1731" s="1010"/>
      <c r="I1731" s="1067"/>
      <c r="J1731" s="1064"/>
      <c r="K1731" s="1064"/>
      <c r="L1731" s="858"/>
      <c r="M1731" s="855"/>
      <c r="N1731" s="862"/>
      <c r="O1731" s="858"/>
      <c r="P1731" s="858"/>
      <c r="Q1731" s="827"/>
      <c r="R1731" s="858"/>
      <c r="S1731" s="823"/>
      <c r="T1731" s="840"/>
      <c r="U1731" s="866"/>
      <c r="V1731" s="855"/>
      <c r="W1731" s="842"/>
      <c r="X1731" s="827"/>
      <c r="Y1731" s="827"/>
      <c r="Z1731" s="827"/>
      <c r="AA1731" s="827"/>
      <c r="AB1731" s="858"/>
      <c r="AC1731" s="858"/>
      <c r="AD1731" s="858"/>
      <c r="AE1731" s="858"/>
      <c r="AF1731" s="863"/>
      <c r="AG1731" s="1104"/>
      <c r="AH1731" s="864"/>
      <c r="AI1731" s="864"/>
    </row>
    <row r="1732" spans="1:40" ht="15" customHeight="1">
      <c r="A1732" s="1033"/>
      <c r="B1732" s="1033"/>
      <c r="C1732" s="1033"/>
      <c r="D1732" s="1033"/>
      <c r="E1732" s="1011" t="s">
        <v>67</v>
      </c>
      <c r="F1732" s="1033"/>
      <c r="G1732" s="823"/>
      <c r="H1732" s="1009">
        <v>9</v>
      </c>
      <c r="I1732" s="1065" t="s">
        <v>154</v>
      </c>
      <c r="J1732" s="1062">
        <v>19259259</v>
      </c>
      <c r="K1732" s="1062">
        <v>19259259</v>
      </c>
      <c r="L1732" s="858"/>
      <c r="M1732" s="855"/>
      <c r="N1732" s="862"/>
      <c r="O1732" s="858"/>
      <c r="P1732" s="858"/>
      <c r="Q1732" s="827">
        <v>29629629</v>
      </c>
      <c r="R1732" s="858"/>
      <c r="S1732" s="823"/>
      <c r="T1732" s="840"/>
      <c r="U1732" s="866"/>
      <c r="V1732" s="855"/>
      <c r="W1732" s="842"/>
      <c r="X1732" s="827"/>
      <c r="Y1732" s="827"/>
      <c r="Z1732" s="827"/>
      <c r="AA1732" s="827"/>
      <c r="AB1732" s="858"/>
      <c r="AC1732" s="858"/>
      <c r="AD1732" s="858"/>
      <c r="AE1732" s="858"/>
      <c r="AF1732" s="863"/>
      <c r="AG1732" s="1104"/>
      <c r="AH1732" s="864"/>
      <c r="AI1732" s="864"/>
    </row>
    <row r="1733" spans="1:40" ht="15" customHeight="1">
      <c r="A1733" s="1033"/>
      <c r="B1733" s="1033"/>
      <c r="C1733" s="1033"/>
      <c r="D1733" s="1033"/>
      <c r="E1733" s="1033"/>
      <c r="F1733" s="1033"/>
      <c r="G1733" s="823"/>
      <c r="H1733" s="1010"/>
      <c r="I1733" s="1067"/>
      <c r="J1733" s="1064"/>
      <c r="K1733" s="1064"/>
      <c r="L1733" s="858"/>
      <c r="M1733" s="855"/>
      <c r="N1733" s="862"/>
      <c r="O1733" s="858"/>
      <c r="P1733" s="858"/>
      <c r="Q1733" s="827"/>
      <c r="R1733" s="858"/>
      <c r="S1733" s="823"/>
      <c r="T1733" s="840"/>
      <c r="U1733" s="866"/>
      <c r="V1733" s="855"/>
      <c r="W1733" s="842"/>
      <c r="X1733" s="827"/>
      <c r="Y1733" s="827"/>
      <c r="Z1733" s="827"/>
      <c r="AA1733" s="827"/>
      <c r="AB1733" s="858"/>
      <c r="AC1733" s="858"/>
      <c r="AD1733" s="858"/>
      <c r="AE1733" s="858"/>
      <c r="AF1733" s="863"/>
      <c r="AG1733" s="1104"/>
      <c r="AH1733" s="864"/>
      <c r="AI1733" s="864"/>
    </row>
    <row r="1734" spans="1:40" ht="15" customHeight="1">
      <c r="A1734" s="1012"/>
      <c r="B1734" s="1012"/>
      <c r="C1734" s="1012"/>
      <c r="D1734" s="1012"/>
      <c r="E1734" s="1012"/>
      <c r="F1734" s="1012"/>
      <c r="G1734" s="823"/>
      <c r="H1734" s="861">
        <v>14</v>
      </c>
      <c r="I1734" s="840" t="s">
        <v>164</v>
      </c>
      <c r="J1734" s="858">
        <v>10370370</v>
      </c>
      <c r="K1734" s="858">
        <v>10370370</v>
      </c>
      <c r="L1734" s="858"/>
      <c r="M1734" s="855"/>
      <c r="N1734" s="862"/>
      <c r="O1734" s="858"/>
      <c r="P1734" s="858"/>
      <c r="Q1734" s="827"/>
      <c r="R1734" s="858"/>
      <c r="S1734" s="823"/>
      <c r="T1734" s="840"/>
      <c r="U1734" s="866"/>
      <c r="V1734" s="855"/>
      <c r="W1734" s="842"/>
      <c r="X1734" s="827"/>
      <c r="Y1734" s="827"/>
      <c r="Z1734" s="827"/>
      <c r="AA1734" s="827"/>
      <c r="AB1734" s="858"/>
      <c r="AC1734" s="858"/>
      <c r="AD1734" s="858"/>
      <c r="AE1734" s="858"/>
      <c r="AF1734" s="863"/>
      <c r="AG1734" s="1104"/>
      <c r="AH1734" s="864"/>
      <c r="AI1734" s="864"/>
    </row>
    <row r="1735" spans="1:40" s="196" customFormat="1" ht="15" customHeight="1">
      <c r="A1735" s="1379" t="s">
        <v>2306</v>
      </c>
      <c r="B1735" s="1379" t="s">
        <v>2307</v>
      </c>
      <c r="C1735" s="810"/>
      <c r="D1735" s="810"/>
      <c r="E1735" s="810"/>
      <c r="F1735" s="810"/>
      <c r="G1735" s="180"/>
      <c r="H1735" s="1046">
        <v>6</v>
      </c>
      <c r="I1735" s="1048" t="s">
        <v>149</v>
      </c>
      <c r="J1735" s="1051">
        <v>879570000</v>
      </c>
      <c r="K1735" s="186"/>
      <c r="L1735" s="186"/>
      <c r="M1735" s="187"/>
      <c r="N1735" s="188"/>
      <c r="O1735" s="186"/>
      <c r="P1735" s="186"/>
      <c r="Q1735" s="189"/>
      <c r="R1735" s="186"/>
      <c r="S1735" s="180"/>
      <c r="T1735" s="190" t="s">
        <v>2653</v>
      </c>
      <c r="U1735" s="866">
        <v>410578935</v>
      </c>
      <c r="V1735" s="855">
        <v>42599</v>
      </c>
      <c r="W1735" s="1048" t="s">
        <v>149</v>
      </c>
      <c r="X1735" s="189"/>
      <c r="Y1735" s="189"/>
      <c r="Z1735" s="189"/>
      <c r="AA1735" s="189"/>
      <c r="AB1735" s="186"/>
      <c r="AC1735" s="186"/>
      <c r="AD1735" s="186"/>
      <c r="AE1735" s="186"/>
      <c r="AF1735" s="194"/>
      <c r="AG1735" s="1105"/>
      <c r="AH1735" s="195"/>
      <c r="AI1735" s="195"/>
    </row>
    <row r="1736" spans="1:40" s="196" customFormat="1" ht="15" customHeight="1">
      <c r="A1736" s="1380"/>
      <c r="B1736" s="1380"/>
      <c r="C1736" s="809"/>
      <c r="D1736" s="809"/>
      <c r="E1736" s="809"/>
      <c r="F1736" s="809"/>
      <c r="G1736" s="180"/>
      <c r="H1736" s="1047"/>
      <c r="I1736" s="1049"/>
      <c r="J1736" s="1052"/>
      <c r="K1736" s="186"/>
      <c r="L1736" s="186"/>
      <c r="M1736" s="187"/>
      <c r="N1736" s="188"/>
      <c r="O1736" s="186"/>
      <c r="P1736" s="186"/>
      <c r="Q1736" s="632"/>
      <c r="R1736" s="186"/>
      <c r="S1736" s="180"/>
      <c r="T1736" s="190" t="s">
        <v>2654</v>
      </c>
      <c r="U1736" s="866">
        <v>281081108</v>
      </c>
      <c r="V1736" s="855">
        <v>43053</v>
      </c>
      <c r="W1736" s="1049"/>
      <c r="X1736" s="189"/>
      <c r="Y1736" s="189"/>
      <c r="Z1736" s="189"/>
      <c r="AA1736" s="189"/>
      <c r="AB1736" s="186"/>
      <c r="AC1736" s="186"/>
      <c r="AD1736" s="186"/>
      <c r="AE1736" s="186"/>
      <c r="AF1736" s="194"/>
      <c r="AG1736" s="835"/>
      <c r="AH1736" s="195"/>
      <c r="AI1736" s="195"/>
    </row>
    <row r="1737" spans="1:40" s="196" customFormat="1" ht="15" customHeight="1">
      <c r="A1737" s="1380"/>
      <c r="B1737" s="1380"/>
      <c r="C1737" s="809"/>
      <c r="D1737" s="809"/>
      <c r="E1737" s="809"/>
      <c r="F1737" s="809"/>
      <c r="G1737" s="180"/>
      <c r="H1737" s="633">
        <v>8</v>
      </c>
      <c r="I1737" s="634" t="s">
        <v>154</v>
      </c>
      <c r="J1737" s="811">
        <v>240740741</v>
      </c>
      <c r="K1737" s="186"/>
      <c r="L1737" s="186"/>
      <c r="M1737" s="187"/>
      <c r="N1737" s="188"/>
      <c r="O1737" s="186"/>
      <c r="P1737" s="186"/>
      <c r="Q1737" s="638">
        <v>240740741</v>
      </c>
      <c r="R1737" s="186"/>
      <c r="S1737" s="180"/>
      <c r="T1737" s="190" t="s">
        <v>2655</v>
      </c>
      <c r="U1737" s="866"/>
      <c r="V1737" s="855">
        <v>43049</v>
      </c>
      <c r="W1737" s="808"/>
      <c r="X1737" s="189"/>
      <c r="Y1737" s="189"/>
      <c r="Z1737" s="189"/>
      <c r="AA1737" s="189"/>
      <c r="AB1737" s="186"/>
      <c r="AC1737" s="186"/>
      <c r="AD1737" s="186"/>
      <c r="AE1737" s="186"/>
      <c r="AF1737" s="194"/>
      <c r="AG1737" s="835"/>
      <c r="AH1737" s="195"/>
      <c r="AI1737" s="195"/>
    </row>
    <row r="1738" spans="1:40" s="196" customFormat="1" ht="15" customHeight="1">
      <c r="A1738" s="1380"/>
      <c r="B1738" s="1380"/>
      <c r="C1738" s="809"/>
      <c r="D1738" s="809"/>
      <c r="E1738" s="809"/>
      <c r="F1738" s="809"/>
      <c r="G1738" s="180"/>
      <c r="H1738" s="633"/>
      <c r="I1738" s="634"/>
      <c r="J1738" s="811"/>
      <c r="K1738" s="186"/>
      <c r="L1738" s="186"/>
      <c r="M1738" s="187"/>
      <c r="N1738" s="188"/>
      <c r="O1738" s="186"/>
      <c r="P1738" s="186"/>
      <c r="Q1738" s="632"/>
      <c r="R1738" s="186"/>
      <c r="S1738" s="180"/>
      <c r="T1738" s="190"/>
      <c r="U1738" s="866"/>
      <c r="V1738" s="855"/>
      <c r="W1738" s="808"/>
      <c r="X1738" s="189"/>
      <c r="Y1738" s="189"/>
      <c r="Z1738" s="189"/>
      <c r="AA1738" s="189"/>
      <c r="AB1738" s="186"/>
      <c r="AC1738" s="186"/>
      <c r="AD1738" s="186"/>
      <c r="AE1738" s="186"/>
      <c r="AF1738" s="194"/>
      <c r="AG1738" s="835"/>
      <c r="AH1738" s="195"/>
      <c r="AI1738" s="195"/>
    </row>
    <row r="1739" spans="1:40" s="196" customFormat="1" ht="15" customHeight="1">
      <c r="A1739" s="1380"/>
      <c r="B1739" s="1380"/>
      <c r="C1739" s="809"/>
      <c r="D1739" s="809"/>
      <c r="E1739" s="809"/>
      <c r="F1739" s="809"/>
      <c r="G1739" s="180"/>
      <c r="H1739" s="633">
        <v>13</v>
      </c>
      <c r="I1739" s="840" t="s">
        <v>164</v>
      </c>
      <c r="J1739" s="636">
        <v>129629630</v>
      </c>
      <c r="K1739" s="186"/>
      <c r="L1739" s="186"/>
      <c r="M1739" s="187"/>
      <c r="N1739" s="188"/>
      <c r="O1739" s="186"/>
      <c r="P1739" s="186"/>
      <c r="Q1739" s="632">
        <v>129629630</v>
      </c>
      <c r="R1739" s="186"/>
      <c r="S1739" s="180"/>
      <c r="T1739" s="190" t="s">
        <v>2655</v>
      </c>
      <c r="U1739" s="866"/>
      <c r="V1739" s="855">
        <v>43049</v>
      </c>
      <c r="W1739" s="808"/>
      <c r="X1739" s="189"/>
      <c r="Y1739" s="189"/>
      <c r="Z1739" s="189"/>
      <c r="AA1739" s="189"/>
      <c r="AB1739" s="186"/>
      <c r="AC1739" s="186"/>
      <c r="AD1739" s="186"/>
      <c r="AE1739" s="186"/>
      <c r="AF1739" s="194"/>
      <c r="AG1739" s="835"/>
      <c r="AH1739" s="195"/>
      <c r="AI1739" s="195"/>
    </row>
    <row r="1740" spans="1:40" s="196" customFormat="1" ht="15" customHeight="1">
      <c r="A1740" s="1381"/>
      <c r="B1740" s="1381"/>
      <c r="C1740" s="809"/>
      <c r="D1740" s="809"/>
      <c r="E1740" s="809"/>
      <c r="F1740" s="809"/>
      <c r="G1740" s="180"/>
      <c r="H1740" s="633"/>
      <c r="I1740" s="634"/>
      <c r="J1740" s="811"/>
      <c r="K1740" s="186"/>
      <c r="L1740" s="186"/>
      <c r="M1740" s="187"/>
      <c r="N1740" s="188"/>
      <c r="O1740" s="186"/>
      <c r="P1740" s="186"/>
      <c r="Q1740" s="632"/>
      <c r="R1740" s="186"/>
      <c r="S1740" s="180"/>
      <c r="T1740" s="190"/>
      <c r="U1740" s="866"/>
      <c r="V1740" s="855"/>
      <c r="W1740" s="808"/>
      <c r="X1740" s="189"/>
      <c r="Y1740" s="189"/>
      <c r="Z1740" s="189"/>
      <c r="AA1740" s="189"/>
      <c r="AB1740" s="186"/>
      <c r="AC1740" s="186"/>
      <c r="AD1740" s="186"/>
      <c r="AE1740" s="186"/>
      <c r="AF1740" s="194"/>
      <c r="AG1740" s="835"/>
      <c r="AH1740" s="195"/>
      <c r="AI1740" s="195"/>
    </row>
    <row r="1741" spans="1:40" ht="15" customHeight="1">
      <c r="A1741" s="1065" t="s">
        <v>2308</v>
      </c>
      <c r="B1741" s="1065" t="s">
        <v>2310</v>
      </c>
      <c r="C1741" s="1065" t="s">
        <v>71</v>
      </c>
      <c r="D1741" s="1065" t="s">
        <v>70</v>
      </c>
      <c r="E1741" s="1065" t="s">
        <v>66</v>
      </c>
      <c r="F1741" s="1065" t="s">
        <v>48</v>
      </c>
      <c r="G1741" s="823"/>
      <c r="H1741" s="1009">
        <v>10</v>
      </c>
      <c r="I1741" s="1065" t="s">
        <v>144</v>
      </c>
      <c r="J1741" s="1043">
        <v>73260696</v>
      </c>
      <c r="K1741" s="858"/>
      <c r="L1741" s="858"/>
      <c r="M1741" s="1068">
        <v>42278</v>
      </c>
      <c r="N1741" s="862"/>
      <c r="O1741" s="858"/>
      <c r="P1741" s="858"/>
      <c r="Q1741" s="1043">
        <v>73245242</v>
      </c>
      <c r="R1741" s="858"/>
      <c r="S1741" s="823"/>
      <c r="T1741" s="840" t="s">
        <v>2311</v>
      </c>
      <c r="U1741" s="866">
        <v>7324524</v>
      </c>
      <c r="V1741" s="855">
        <v>42599</v>
      </c>
      <c r="W1741" s="842"/>
      <c r="X1741" s="827"/>
      <c r="Y1741" s="827"/>
      <c r="Z1741" s="827"/>
      <c r="AA1741" s="827"/>
      <c r="AB1741" s="858"/>
      <c r="AC1741" s="858"/>
      <c r="AD1741" s="858"/>
      <c r="AE1741" s="858"/>
      <c r="AF1741" s="863"/>
      <c r="AG1741" s="1103" t="s">
        <v>2315</v>
      </c>
      <c r="AH1741" s="864"/>
      <c r="AI1741" s="864"/>
    </row>
    <row r="1742" spans="1:40" ht="15" customHeight="1">
      <c r="A1742" s="1066"/>
      <c r="B1742" s="1066"/>
      <c r="C1742" s="1066"/>
      <c r="D1742" s="1066"/>
      <c r="E1742" s="1066"/>
      <c r="F1742" s="1066"/>
      <c r="G1742" s="823"/>
      <c r="H1742" s="1039"/>
      <c r="I1742" s="1066"/>
      <c r="J1742" s="1044"/>
      <c r="K1742" s="858"/>
      <c r="L1742" s="858"/>
      <c r="M1742" s="1069"/>
      <c r="N1742" s="862"/>
      <c r="O1742" s="858"/>
      <c r="P1742" s="858"/>
      <c r="Q1742" s="1044"/>
      <c r="R1742" s="858"/>
      <c r="S1742" s="823"/>
      <c r="T1742" s="840" t="s">
        <v>2312</v>
      </c>
      <c r="U1742" s="866">
        <v>28173050</v>
      </c>
      <c r="V1742" s="855">
        <v>42790</v>
      </c>
      <c r="W1742" s="842"/>
      <c r="X1742" s="827"/>
      <c r="Y1742" s="827"/>
      <c r="Z1742" s="827"/>
      <c r="AA1742" s="827"/>
      <c r="AB1742" s="858"/>
      <c r="AC1742" s="858"/>
      <c r="AD1742" s="858"/>
      <c r="AE1742" s="858"/>
      <c r="AF1742" s="863"/>
      <c r="AG1742" s="1104"/>
      <c r="AH1742" s="864"/>
      <c r="AI1742" s="864"/>
    </row>
    <row r="1743" spans="1:40" ht="15" customHeight="1">
      <c r="A1743" s="1067"/>
      <c r="B1743" s="1067"/>
      <c r="C1743" s="1067"/>
      <c r="D1743" s="1067"/>
      <c r="E1743" s="1067"/>
      <c r="F1743" s="1067"/>
      <c r="G1743" s="823"/>
      <c r="H1743" s="1010"/>
      <c r="I1743" s="1067"/>
      <c r="J1743" s="1045"/>
      <c r="K1743" s="858"/>
      <c r="L1743" s="858"/>
      <c r="M1743" s="1070"/>
      <c r="N1743" s="862"/>
      <c r="O1743" s="858"/>
      <c r="P1743" s="858"/>
      <c r="Q1743" s="1045"/>
      <c r="R1743" s="858"/>
      <c r="S1743" s="823"/>
      <c r="T1743" s="840" t="s">
        <v>2313</v>
      </c>
      <c r="U1743" s="866">
        <v>19202705</v>
      </c>
      <c r="V1743" s="855">
        <v>43040</v>
      </c>
      <c r="W1743" s="842"/>
      <c r="X1743" s="827"/>
      <c r="Y1743" s="827"/>
      <c r="Z1743" s="827"/>
      <c r="AA1743" s="827"/>
      <c r="AB1743" s="858"/>
      <c r="AC1743" s="858"/>
      <c r="AD1743" s="858"/>
      <c r="AE1743" s="858"/>
      <c r="AF1743" s="863"/>
      <c r="AG1743" s="1105"/>
      <c r="AH1743" s="864"/>
      <c r="AI1743" s="864"/>
    </row>
    <row r="1744" spans="1:40" ht="15" customHeight="1">
      <c r="A1744" s="1076" t="s">
        <v>2450</v>
      </c>
      <c r="H1744" s="1079">
        <v>116</v>
      </c>
      <c r="I1744" s="1077" t="s">
        <v>137</v>
      </c>
      <c r="J1744" s="1081">
        <v>3999000000</v>
      </c>
      <c r="Q1744" s="1081">
        <v>3990864000</v>
      </c>
      <c r="T1744" s="824" t="s">
        <v>2412</v>
      </c>
      <c r="U1744" s="256">
        <v>1995432000</v>
      </c>
      <c r="V1744" s="259">
        <v>40506</v>
      </c>
      <c r="W1744" s="256"/>
      <c r="X1744" s="1083">
        <v>2940636633</v>
      </c>
      <c r="Y1744" s="1084"/>
      <c r="Z1744" s="1084"/>
      <c r="AA1744" s="1084"/>
      <c r="AB1744" s="1084"/>
      <c r="AC1744" s="1084">
        <v>8136000</v>
      </c>
      <c r="AD1744" s="1084">
        <v>1050227367</v>
      </c>
      <c r="AE1744" s="1084">
        <v>1058363367</v>
      </c>
      <c r="AF1744" s="1085"/>
      <c r="AG1744" s="1085"/>
      <c r="AH1744" s="1085"/>
      <c r="AI1744" s="1085"/>
      <c r="AJ1744" s="1085"/>
      <c r="AK1744" s="1085"/>
      <c r="AL1744" s="1085"/>
      <c r="AM1744" s="1085"/>
      <c r="AN1744" s="1085"/>
    </row>
    <row r="1745" spans="1:40" ht="15" customHeight="1">
      <c r="A1745" s="1076"/>
      <c r="H1745" s="1080"/>
      <c r="I1745" s="1078"/>
      <c r="J1745" s="1082"/>
      <c r="Q1745" s="1082"/>
      <c r="T1745" s="824" t="s">
        <v>2414</v>
      </c>
      <c r="U1745" s="256">
        <v>105022737</v>
      </c>
      <c r="V1745" s="259">
        <v>40807</v>
      </c>
      <c r="W1745" s="256"/>
      <c r="X1745" s="1083"/>
      <c r="Y1745" s="1084"/>
      <c r="Z1745" s="1084"/>
      <c r="AA1745" s="1084"/>
      <c r="AB1745" s="1084"/>
      <c r="AC1745" s="1084"/>
      <c r="AD1745" s="1084"/>
      <c r="AE1745" s="1084"/>
      <c r="AF1745" s="1086"/>
      <c r="AG1745" s="1086"/>
      <c r="AH1745" s="1086"/>
      <c r="AI1745" s="1086"/>
      <c r="AJ1745" s="1086"/>
      <c r="AK1745" s="1086"/>
      <c r="AL1745" s="1086"/>
      <c r="AM1745" s="1086"/>
      <c r="AN1745" s="1086"/>
    </row>
    <row r="1746" spans="1:40" ht="15" customHeight="1">
      <c r="A1746" s="1076"/>
      <c r="H1746" s="1080"/>
      <c r="I1746" s="1078"/>
      <c r="J1746" s="1082"/>
      <c r="Q1746" s="1082"/>
      <c r="T1746" s="824" t="s">
        <v>2395</v>
      </c>
      <c r="U1746" s="256">
        <v>105022737</v>
      </c>
      <c r="V1746" s="259">
        <v>40807</v>
      </c>
      <c r="W1746" s="256"/>
      <c r="X1746" s="1083"/>
      <c r="Y1746" s="1084"/>
      <c r="Z1746" s="1084"/>
      <c r="AA1746" s="1084"/>
      <c r="AB1746" s="1084"/>
      <c r="AC1746" s="1084"/>
      <c r="AD1746" s="1084"/>
      <c r="AE1746" s="1084"/>
      <c r="AF1746" s="1086"/>
      <c r="AG1746" s="1086"/>
      <c r="AH1746" s="1086"/>
      <c r="AI1746" s="1086"/>
      <c r="AJ1746" s="1086"/>
      <c r="AK1746" s="1086"/>
      <c r="AL1746" s="1086"/>
      <c r="AM1746" s="1086"/>
      <c r="AN1746" s="1086"/>
    </row>
    <row r="1747" spans="1:40" ht="15" customHeight="1">
      <c r="A1747" s="1076"/>
      <c r="H1747" s="1080"/>
      <c r="I1747" s="1078"/>
      <c r="J1747" s="1082"/>
      <c r="Q1747" s="1082"/>
      <c r="T1747" s="824" t="s">
        <v>2415</v>
      </c>
      <c r="U1747" s="256">
        <v>105022737</v>
      </c>
      <c r="V1747" s="259">
        <v>40807</v>
      </c>
      <c r="W1747" s="256"/>
      <c r="X1747" s="1083"/>
      <c r="Y1747" s="1084"/>
      <c r="Z1747" s="1084"/>
      <c r="AA1747" s="1084"/>
      <c r="AB1747" s="1084"/>
      <c r="AC1747" s="1084"/>
      <c r="AD1747" s="1084"/>
      <c r="AE1747" s="1084"/>
      <c r="AF1747" s="1086"/>
      <c r="AG1747" s="1086"/>
      <c r="AH1747" s="1086"/>
      <c r="AI1747" s="1086"/>
      <c r="AJ1747" s="1086"/>
      <c r="AK1747" s="1086"/>
      <c r="AL1747" s="1086"/>
      <c r="AM1747" s="1086"/>
      <c r="AN1747" s="1086"/>
    </row>
    <row r="1748" spans="1:40" ht="15" customHeight="1">
      <c r="A1748" s="1076"/>
      <c r="H1748" s="1080"/>
      <c r="I1748" s="1078"/>
      <c r="J1748" s="1082"/>
      <c r="Q1748" s="1082"/>
      <c r="T1748" s="824" t="s">
        <v>2413</v>
      </c>
      <c r="U1748" s="256">
        <v>630136422</v>
      </c>
      <c r="V1748" s="259">
        <v>41255</v>
      </c>
      <c r="W1748" s="256"/>
      <c r="X1748" s="1083"/>
      <c r="Y1748" s="1084"/>
      <c r="Z1748" s="1084"/>
      <c r="AA1748" s="1084"/>
      <c r="AB1748" s="1084"/>
      <c r="AC1748" s="1084"/>
      <c r="AD1748" s="1084"/>
      <c r="AE1748" s="1084"/>
      <c r="AF1748" s="1086"/>
      <c r="AG1748" s="1086"/>
      <c r="AH1748" s="1086"/>
      <c r="AI1748" s="1086"/>
      <c r="AJ1748" s="1086"/>
      <c r="AK1748" s="1086"/>
      <c r="AL1748" s="1086"/>
      <c r="AM1748" s="1086"/>
      <c r="AN1748" s="1086"/>
    </row>
    <row r="1749" spans="1:40" ht="15" customHeight="1" thickBot="1">
      <c r="A1749" s="1076"/>
      <c r="H1749" s="1080"/>
      <c r="I1749" s="1078"/>
      <c r="J1749" s="1082"/>
      <c r="Q1749" s="1082"/>
      <c r="T1749" s="824" t="s">
        <v>2451</v>
      </c>
      <c r="U1749" s="257">
        <v>2940636633</v>
      </c>
      <c r="V1749" s="257"/>
      <c r="W1749" s="256"/>
      <c r="X1749" s="258"/>
    </row>
    <row r="1750" spans="1:40" ht="15" customHeight="1" thickTop="1">
      <c r="A1750" s="823" t="s">
        <v>2470</v>
      </c>
      <c r="B1750" s="904" t="s">
        <v>2564</v>
      </c>
      <c r="C1750" s="823"/>
      <c r="D1750" s="823" t="s">
        <v>2536</v>
      </c>
      <c r="E1750" s="823"/>
      <c r="F1750" s="823"/>
      <c r="G1750" s="823"/>
      <c r="H1750" s="861">
        <v>2370</v>
      </c>
      <c r="I1750" s="823" t="s">
        <v>2565</v>
      </c>
      <c r="J1750" s="858">
        <v>416475824</v>
      </c>
      <c r="K1750" s="858">
        <v>416475824</v>
      </c>
      <c r="L1750" s="858"/>
      <c r="M1750" s="855">
        <v>42822</v>
      </c>
      <c r="N1750" s="862"/>
      <c r="O1750" s="858"/>
      <c r="P1750" s="858"/>
      <c r="Q1750" s="827">
        <v>411889195</v>
      </c>
      <c r="R1750" s="827">
        <v>411889195</v>
      </c>
      <c r="S1750" s="823"/>
      <c r="T1750" s="840" t="s">
        <v>2566</v>
      </c>
      <c r="U1750" s="256">
        <v>207271285</v>
      </c>
      <c r="V1750" s="855">
        <v>43210</v>
      </c>
      <c r="W1750" s="842"/>
      <c r="X1750" s="827"/>
      <c r="Y1750" s="827"/>
      <c r="Z1750" s="827"/>
      <c r="AA1750" s="827"/>
      <c r="AB1750" s="858"/>
      <c r="AC1750" s="858"/>
      <c r="AD1750" s="858"/>
      <c r="AE1750" s="858"/>
      <c r="AF1750" s="863"/>
      <c r="AG1750" s="864"/>
      <c r="AH1750" s="864"/>
      <c r="AI1750" s="864"/>
    </row>
    <row r="1751" spans="1:40" ht="15" customHeight="1">
      <c r="A1751" s="823" t="s">
        <v>2544</v>
      </c>
      <c r="B1751" s="904" t="s">
        <v>2567</v>
      </c>
      <c r="C1751" s="823"/>
      <c r="D1751" s="823" t="s">
        <v>2537</v>
      </c>
      <c r="E1751" s="823"/>
      <c r="F1751" s="823"/>
      <c r="G1751" s="823"/>
      <c r="H1751" s="861">
        <v>2392</v>
      </c>
      <c r="I1751" s="823" t="s">
        <v>2568</v>
      </c>
      <c r="J1751" s="858">
        <v>111111111</v>
      </c>
      <c r="K1751" s="858">
        <v>111111111</v>
      </c>
      <c r="L1751" s="858"/>
      <c r="M1751" s="855">
        <v>42824</v>
      </c>
      <c r="N1751" s="862"/>
      <c r="O1751" s="858"/>
      <c r="P1751" s="858"/>
      <c r="Q1751" s="827">
        <v>92071000</v>
      </c>
      <c r="R1751" s="827">
        <v>92071000</v>
      </c>
      <c r="S1751" s="823"/>
      <c r="T1751" s="840" t="s">
        <v>2569</v>
      </c>
      <c r="U1751" s="866">
        <v>27621300</v>
      </c>
      <c r="V1751" s="855">
        <v>43060</v>
      </c>
      <c r="W1751" s="842"/>
      <c r="X1751" s="827"/>
      <c r="Y1751" s="827"/>
      <c r="Z1751" s="827"/>
      <c r="AA1751" s="827"/>
      <c r="AB1751" s="858"/>
      <c r="AC1751" s="858"/>
      <c r="AD1751" s="858"/>
      <c r="AE1751" s="858"/>
      <c r="AF1751" s="863"/>
      <c r="AG1751" s="864"/>
      <c r="AH1751" s="864"/>
      <c r="AI1751" s="864"/>
    </row>
    <row r="1752" spans="1:40" s="480" customFormat="1" ht="15" customHeight="1">
      <c r="A1752" s="1385" t="s">
        <v>2474</v>
      </c>
      <c r="B1752" s="1011" t="s">
        <v>2570</v>
      </c>
      <c r="C1752" s="469"/>
      <c r="D1752" s="469" t="s">
        <v>2538</v>
      </c>
      <c r="E1752" s="469"/>
      <c r="F1752" s="469"/>
      <c r="G1752" s="469"/>
      <c r="H1752" s="481">
        <v>2379</v>
      </c>
      <c r="I1752" s="472" t="s">
        <v>129</v>
      </c>
      <c r="J1752" s="473">
        <v>1661603591</v>
      </c>
      <c r="K1752" s="473">
        <v>1661603591</v>
      </c>
      <c r="L1752" s="1370">
        <v>4203830687</v>
      </c>
      <c r="M1752" s="470">
        <v>42822</v>
      </c>
      <c r="N1752" s="474"/>
      <c r="O1752" s="473"/>
      <c r="P1752" s="473"/>
      <c r="Q1752" s="475">
        <v>1661603591</v>
      </c>
      <c r="R1752" s="475">
        <v>4203830687</v>
      </c>
      <c r="S1752" s="469"/>
      <c r="T1752" s="472" t="s">
        <v>2563</v>
      </c>
      <c r="U1752" s="476">
        <v>327240913.19999999</v>
      </c>
      <c r="V1752" s="470">
        <v>43096</v>
      </c>
      <c r="W1752" s="477"/>
      <c r="X1752" s="475"/>
      <c r="Y1752" s="475"/>
      <c r="Z1752" s="475"/>
      <c r="AA1752" s="475"/>
      <c r="AB1752" s="473"/>
      <c r="AC1752" s="473"/>
      <c r="AD1752" s="473"/>
      <c r="AE1752" s="473"/>
      <c r="AF1752" s="478"/>
      <c r="AG1752" s="479"/>
      <c r="AH1752" s="479"/>
      <c r="AI1752" s="479"/>
    </row>
    <row r="1753" spans="1:40" s="480" customFormat="1" ht="15" customHeight="1">
      <c r="A1753" s="1386"/>
      <c r="B1753" s="1033"/>
      <c r="C1753" s="469"/>
      <c r="D1753" s="469"/>
      <c r="E1753" s="469"/>
      <c r="F1753" s="469"/>
      <c r="G1753" s="469"/>
      <c r="H1753" s="481"/>
      <c r="I1753" s="472"/>
      <c r="J1753" s="473"/>
      <c r="K1753" s="473"/>
      <c r="L1753" s="1371"/>
      <c r="M1753" s="470"/>
      <c r="N1753" s="474"/>
      <c r="O1753" s="473"/>
      <c r="P1753" s="473"/>
      <c r="Q1753" s="475"/>
      <c r="R1753" s="475"/>
      <c r="S1753" s="469"/>
      <c r="T1753" s="472" t="s">
        <v>2745</v>
      </c>
      <c r="U1753" s="476">
        <v>316161577.28000003</v>
      </c>
      <c r="V1753" s="470"/>
      <c r="W1753" s="477"/>
      <c r="X1753" s="475"/>
      <c r="Y1753" s="475"/>
      <c r="Z1753" s="475"/>
      <c r="AA1753" s="475"/>
      <c r="AB1753" s="473"/>
      <c r="AC1753" s="473"/>
      <c r="AD1753" s="473"/>
      <c r="AE1753" s="473"/>
      <c r="AF1753" s="478"/>
      <c r="AG1753" s="479"/>
      <c r="AH1753" s="479"/>
      <c r="AI1753" s="479"/>
    </row>
    <row r="1754" spans="1:40" s="480" customFormat="1" ht="15" customHeight="1">
      <c r="A1754" s="1386"/>
      <c r="B1754" s="1033"/>
      <c r="C1754" s="469"/>
      <c r="D1754" s="469"/>
      <c r="E1754" s="469"/>
      <c r="F1754" s="469"/>
      <c r="G1754" s="469"/>
      <c r="H1754" s="481"/>
      <c r="I1754" s="472"/>
      <c r="J1754" s="473"/>
      <c r="K1754" s="473"/>
      <c r="L1754" s="1371"/>
      <c r="M1754" s="470"/>
      <c r="N1754" s="474"/>
      <c r="O1754" s="473"/>
      <c r="P1754" s="473"/>
      <c r="Q1754" s="475"/>
      <c r="R1754" s="475"/>
      <c r="S1754" s="469"/>
      <c r="T1754" s="472"/>
      <c r="U1754" s="476"/>
      <c r="V1754" s="470"/>
      <c r="W1754" s="477"/>
      <c r="X1754" s="475"/>
      <c r="Y1754" s="475"/>
      <c r="Z1754" s="475"/>
      <c r="AA1754" s="475"/>
      <c r="AB1754" s="473"/>
      <c r="AC1754" s="473"/>
      <c r="AD1754" s="473"/>
      <c r="AE1754" s="473"/>
      <c r="AF1754" s="478"/>
      <c r="AG1754" s="479"/>
      <c r="AH1754" s="479"/>
      <c r="AI1754" s="479"/>
    </row>
    <row r="1755" spans="1:40" s="480" customFormat="1" ht="15" customHeight="1">
      <c r="A1755" s="1386"/>
      <c r="B1755" s="1033"/>
      <c r="C1755" s="469"/>
      <c r="D1755" s="469"/>
      <c r="E1755" s="469"/>
      <c r="F1755" s="469"/>
      <c r="G1755" s="469"/>
      <c r="H1755" s="481">
        <v>2380</v>
      </c>
      <c r="I1755" s="472" t="s">
        <v>137</v>
      </c>
      <c r="J1755" s="473">
        <v>2542227096</v>
      </c>
      <c r="K1755" s="473">
        <v>2542227096</v>
      </c>
      <c r="L1755" s="1371"/>
      <c r="M1755" s="470">
        <v>42822</v>
      </c>
      <c r="N1755" s="474"/>
      <c r="O1755" s="473"/>
      <c r="P1755" s="473"/>
      <c r="Q1755" s="475">
        <v>2542227096</v>
      </c>
      <c r="R1755" s="475"/>
      <c r="S1755" s="469"/>
      <c r="T1755" s="472" t="s">
        <v>2563</v>
      </c>
      <c r="U1755" s="476">
        <v>500234387</v>
      </c>
      <c r="V1755" s="470">
        <v>43096</v>
      </c>
      <c r="W1755" s="477"/>
      <c r="X1755" s="475"/>
      <c r="Y1755" s="475"/>
      <c r="Z1755" s="475"/>
      <c r="AA1755" s="475"/>
      <c r="AB1755" s="473"/>
      <c r="AC1755" s="473"/>
      <c r="AD1755" s="473"/>
      <c r="AE1755" s="473"/>
      <c r="AF1755" s="478"/>
      <c r="AG1755" s="479"/>
      <c r="AH1755" s="479"/>
      <c r="AI1755" s="479"/>
    </row>
    <row r="1756" spans="1:40" s="480" customFormat="1" ht="15" customHeight="1">
      <c r="A1756" s="1386"/>
      <c r="B1756" s="1033"/>
      <c r="C1756" s="469"/>
      <c r="D1756" s="469"/>
      <c r="E1756" s="469"/>
      <c r="F1756" s="469"/>
      <c r="G1756" s="469"/>
      <c r="H1756" s="481"/>
      <c r="I1756" s="472"/>
      <c r="J1756" s="473"/>
      <c r="K1756" s="473"/>
      <c r="L1756" s="1371"/>
      <c r="M1756" s="470"/>
      <c r="N1756" s="474"/>
      <c r="O1756" s="473"/>
      <c r="P1756" s="473"/>
      <c r="Q1756" s="475"/>
      <c r="R1756" s="475"/>
      <c r="S1756" s="469"/>
      <c r="T1756" s="472"/>
      <c r="U1756" s="476">
        <v>474242365.91999996</v>
      </c>
      <c r="V1756" s="470"/>
      <c r="W1756" s="477"/>
      <c r="X1756" s="475"/>
      <c r="Y1756" s="475"/>
      <c r="Z1756" s="475"/>
      <c r="AA1756" s="475"/>
      <c r="AB1756" s="473"/>
      <c r="AC1756" s="473"/>
      <c r="AD1756" s="473"/>
      <c r="AE1756" s="473"/>
      <c r="AF1756" s="478"/>
      <c r="AG1756" s="479"/>
      <c r="AH1756" s="479"/>
      <c r="AI1756" s="479"/>
    </row>
    <row r="1757" spans="1:40" s="480" customFormat="1" ht="15" customHeight="1">
      <c r="A1757" s="1387"/>
      <c r="B1757" s="1012"/>
      <c r="C1757" s="469"/>
      <c r="D1757" s="469"/>
      <c r="E1757" s="469"/>
      <c r="F1757" s="469"/>
      <c r="G1757" s="469"/>
      <c r="H1757" s="472"/>
      <c r="I1757" s="472"/>
      <c r="J1757" s="473"/>
      <c r="K1757" s="473"/>
      <c r="L1757" s="1372"/>
      <c r="M1757" s="470"/>
      <c r="N1757" s="474"/>
      <c r="O1757" s="473"/>
      <c r="P1757" s="473"/>
      <c r="Q1757" s="475"/>
      <c r="R1757" s="475"/>
      <c r="S1757" s="469"/>
      <c r="T1757" s="472"/>
      <c r="U1757" s="476"/>
      <c r="V1757" s="470"/>
      <c r="W1757" s="477"/>
      <c r="X1757" s="475"/>
      <c r="Y1757" s="475"/>
      <c r="Z1757" s="475"/>
      <c r="AA1757" s="475"/>
      <c r="AB1757" s="473"/>
      <c r="AC1757" s="473"/>
      <c r="AD1757" s="473"/>
      <c r="AE1757" s="473"/>
      <c r="AF1757" s="478"/>
      <c r="AG1757" s="479"/>
      <c r="AH1757" s="479"/>
      <c r="AI1757" s="479"/>
    </row>
    <row r="1758" spans="1:40" ht="15" customHeight="1">
      <c r="A1758" s="823" t="s">
        <v>2545</v>
      </c>
      <c r="B1758" s="904" t="s">
        <v>2571</v>
      </c>
      <c r="C1758" s="823"/>
      <c r="D1758" s="823" t="s">
        <v>2539</v>
      </c>
      <c r="E1758" s="823"/>
      <c r="F1758" s="823"/>
      <c r="G1758" s="823"/>
      <c r="H1758" s="861">
        <v>2394</v>
      </c>
      <c r="I1758" s="840" t="s">
        <v>2572</v>
      </c>
      <c r="J1758" s="858">
        <v>66980720</v>
      </c>
      <c r="K1758" s="858"/>
      <c r="L1758" s="858"/>
      <c r="M1758" s="855">
        <v>42824</v>
      </c>
      <c r="N1758" s="862"/>
      <c r="O1758" s="858"/>
      <c r="P1758" s="858"/>
      <c r="Q1758" s="858">
        <v>66980701</v>
      </c>
      <c r="R1758" s="827">
        <v>66980701</v>
      </c>
      <c r="S1758" s="823"/>
      <c r="T1758" s="840" t="s">
        <v>2573</v>
      </c>
      <c r="U1758" s="866">
        <v>20094210</v>
      </c>
      <c r="V1758" s="855">
        <v>43060</v>
      </c>
      <c r="W1758" s="842"/>
      <c r="X1758" s="827"/>
      <c r="Y1758" s="827"/>
      <c r="Z1758" s="827"/>
      <c r="AA1758" s="827"/>
      <c r="AB1758" s="858"/>
      <c r="AC1758" s="858"/>
      <c r="AD1758" s="858"/>
      <c r="AE1758" s="858"/>
      <c r="AF1758" s="863"/>
      <c r="AG1758" s="864"/>
      <c r="AH1758" s="864"/>
      <c r="AI1758" s="864"/>
    </row>
    <row r="1759" spans="1:40" ht="15" customHeight="1">
      <c r="A1759" s="1011" t="s">
        <v>2656</v>
      </c>
      <c r="B1759" s="640"/>
      <c r="C1759" s="823"/>
      <c r="D1759" s="823"/>
      <c r="E1759" s="823"/>
      <c r="F1759" s="823"/>
      <c r="G1759" s="823"/>
      <c r="H1759" s="861">
        <v>2475</v>
      </c>
      <c r="I1759" s="840" t="s">
        <v>161</v>
      </c>
      <c r="J1759" s="858">
        <v>533166482</v>
      </c>
      <c r="K1759" s="858"/>
      <c r="L1759" s="858"/>
      <c r="M1759" s="855">
        <v>42842</v>
      </c>
      <c r="N1759" s="862"/>
      <c r="O1759" s="858"/>
      <c r="P1759" s="858"/>
      <c r="Q1759" s="858">
        <v>533000000</v>
      </c>
      <c r="R1759" s="1043">
        <v>1344300000</v>
      </c>
      <c r="S1759" s="823"/>
      <c r="T1759" s="792" t="s">
        <v>2658</v>
      </c>
      <c r="U1759" s="866">
        <v>533000000</v>
      </c>
      <c r="V1759" s="855">
        <v>43053</v>
      </c>
      <c r="W1759" s="842"/>
      <c r="X1759" s="827"/>
      <c r="Y1759" s="827"/>
      <c r="Z1759" s="827"/>
      <c r="AA1759" s="827"/>
      <c r="AB1759" s="858"/>
      <c r="AC1759" s="858"/>
      <c r="AD1759" s="858"/>
      <c r="AE1759" s="858"/>
      <c r="AF1759" s="863"/>
      <c r="AG1759" s="864"/>
      <c r="AH1759" s="864"/>
      <c r="AI1759" s="864"/>
    </row>
    <row r="1760" spans="1:40" ht="15" customHeight="1">
      <c r="A1760" s="1033"/>
      <c r="B1760" s="640"/>
      <c r="C1760" s="823"/>
      <c r="D1760" s="823"/>
      <c r="E1760" s="823"/>
      <c r="F1760" s="823"/>
      <c r="G1760" s="823"/>
      <c r="H1760" s="641">
        <v>2476</v>
      </c>
      <c r="I1760" s="840" t="s">
        <v>147</v>
      </c>
      <c r="J1760" s="858">
        <v>416547708</v>
      </c>
      <c r="K1760" s="858"/>
      <c r="L1760" s="858"/>
      <c r="M1760" s="855">
        <v>42842</v>
      </c>
      <c r="N1760" s="862"/>
      <c r="O1760" s="858"/>
      <c r="P1760" s="858"/>
      <c r="Q1760" s="858">
        <v>416500000</v>
      </c>
      <c r="R1760" s="1044"/>
      <c r="S1760" s="823"/>
      <c r="T1760" s="792" t="s">
        <v>2659</v>
      </c>
      <c r="U1760" s="866">
        <v>416500000</v>
      </c>
      <c r="V1760" s="855"/>
      <c r="W1760" s="842"/>
      <c r="X1760" s="827"/>
      <c r="Y1760" s="827"/>
      <c r="Z1760" s="827"/>
      <c r="AA1760" s="827"/>
      <c r="AB1760" s="858"/>
      <c r="AC1760" s="858"/>
      <c r="AD1760" s="858"/>
      <c r="AE1760" s="858"/>
      <c r="AF1760" s="863"/>
      <c r="AG1760" s="864"/>
      <c r="AH1760" s="864"/>
      <c r="AI1760" s="864"/>
    </row>
    <row r="1761" spans="1:35" ht="15" customHeight="1">
      <c r="A1761" s="1033"/>
      <c r="B1761" s="640"/>
      <c r="C1761" s="823"/>
      <c r="D1761" s="823"/>
      <c r="E1761" s="823"/>
      <c r="F1761" s="823"/>
      <c r="G1761" s="823"/>
      <c r="H1761" s="641">
        <v>2477</v>
      </c>
      <c r="I1761" s="840" t="s">
        <v>133</v>
      </c>
      <c r="J1761" s="858">
        <v>394886890</v>
      </c>
      <c r="K1761" s="858"/>
      <c r="L1761" s="858"/>
      <c r="M1761" s="855">
        <v>42842</v>
      </c>
      <c r="N1761" s="862"/>
      <c r="O1761" s="858"/>
      <c r="P1761" s="858"/>
      <c r="Q1761" s="858">
        <v>394800000</v>
      </c>
      <c r="R1761" s="1045"/>
      <c r="S1761" s="823"/>
      <c r="T1761" s="792" t="s">
        <v>2660</v>
      </c>
      <c r="U1761" s="866">
        <v>394800000</v>
      </c>
      <c r="V1761" s="855"/>
      <c r="W1761" s="842"/>
      <c r="X1761" s="827"/>
      <c r="Y1761" s="827"/>
      <c r="Z1761" s="827"/>
      <c r="AA1761" s="827"/>
      <c r="AB1761" s="858"/>
      <c r="AC1761" s="858"/>
      <c r="AD1761" s="858"/>
      <c r="AE1761" s="858"/>
      <c r="AF1761" s="863"/>
      <c r="AG1761" s="864"/>
      <c r="AH1761" s="864"/>
      <c r="AI1761" s="864"/>
    </row>
    <row r="1762" spans="1:35" ht="15" customHeight="1">
      <c r="A1762" s="1012"/>
      <c r="B1762" s="640"/>
      <c r="C1762" s="823"/>
      <c r="D1762" s="823"/>
      <c r="E1762" s="823"/>
      <c r="F1762" s="823"/>
      <c r="G1762" s="823"/>
      <c r="H1762" s="861"/>
      <c r="I1762" s="840"/>
      <c r="J1762" s="858"/>
      <c r="K1762" s="858"/>
      <c r="L1762" s="858"/>
      <c r="M1762" s="855"/>
      <c r="N1762" s="862"/>
      <c r="O1762" s="858"/>
      <c r="P1762" s="858"/>
      <c r="Q1762" s="858"/>
      <c r="R1762" s="805"/>
      <c r="S1762" s="823"/>
      <c r="T1762" s="792"/>
      <c r="U1762" s="866"/>
      <c r="V1762" s="855"/>
      <c r="W1762" s="842"/>
      <c r="X1762" s="827"/>
      <c r="Y1762" s="827"/>
      <c r="Z1762" s="827"/>
      <c r="AA1762" s="827"/>
      <c r="AB1762" s="858"/>
      <c r="AC1762" s="858"/>
      <c r="AD1762" s="858"/>
      <c r="AE1762" s="858"/>
      <c r="AF1762" s="863"/>
      <c r="AG1762" s="864"/>
      <c r="AH1762" s="864"/>
      <c r="AI1762" s="864"/>
    </row>
    <row r="1763" spans="1:35" ht="15" customHeight="1">
      <c r="A1763" s="1011" t="s">
        <v>2472</v>
      </c>
      <c r="B1763" s="1011" t="s">
        <v>2514</v>
      </c>
      <c r="C1763" s="823"/>
      <c r="D1763" s="823" t="s">
        <v>2538</v>
      </c>
      <c r="E1763" s="823"/>
      <c r="F1763" s="823"/>
      <c r="G1763" s="823"/>
      <c r="H1763" s="528">
        <v>2372</v>
      </c>
      <c r="I1763" s="529" t="s">
        <v>132</v>
      </c>
      <c r="J1763" s="858">
        <v>1123524327</v>
      </c>
      <c r="K1763" s="858"/>
      <c r="L1763" s="858"/>
      <c r="M1763" s="470">
        <v>42822</v>
      </c>
      <c r="N1763" s="862"/>
      <c r="O1763" s="858"/>
      <c r="P1763" s="858"/>
      <c r="Q1763" s="827">
        <v>1105085163</v>
      </c>
      <c r="R1763" s="1043">
        <v>3088986262</v>
      </c>
      <c r="S1763" s="823"/>
      <c r="T1763" s="792" t="s">
        <v>2574</v>
      </c>
      <c r="U1763" s="866">
        <v>221017032.46000001</v>
      </c>
      <c r="V1763" s="855">
        <v>43096</v>
      </c>
      <c r="W1763" s="842"/>
      <c r="X1763" s="827"/>
      <c r="Y1763" s="827"/>
      <c r="Z1763" s="827"/>
      <c r="AA1763" s="827"/>
      <c r="AB1763" s="858"/>
      <c r="AC1763" s="858"/>
      <c r="AD1763" s="858"/>
      <c r="AE1763" s="858"/>
      <c r="AF1763" s="863"/>
      <c r="AG1763" s="864"/>
      <c r="AH1763" s="864"/>
      <c r="AI1763" s="864"/>
    </row>
    <row r="1764" spans="1:35" ht="15" customHeight="1">
      <c r="A1764" s="1033"/>
      <c r="B1764" s="1033"/>
      <c r="C1764" s="823"/>
      <c r="D1764" s="823"/>
      <c r="E1764" s="823"/>
      <c r="F1764" s="823"/>
      <c r="G1764" s="823"/>
      <c r="H1764" s="528"/>
      <c r="I1764" s="529"/>
      <c r="J1764" s="858"/>
      <c r="K1764" s="858"/>
      <c r="L1764" s="858"/>
      <c r="M1764" s="470"/>
      <c r="N1764" s="862"/>
      <c r="O1764" s="858"/>
      <c r="P1764" s="858"/>
      <c r="Q1764" s="827"/>
      <c r="R1764" s="1044"/>
      <c r="S1764" s="823"/>
      <c r="T1764" s="916" t="s">
        <v>2732</v>
      </c>
      <c r="U1764" s="866">
        <v>54979108.93</v>
      </c>
      <c r="V1764" s="855">
        <v>43222</v>
      </c>
      <c r="W1764" s="842"/>
      <c r="X1764" s="827"/>
      <c r="Y1764" s="827"/>
      <c r="Z1764" s="827"/>
      <c r="AA1764" s="827"/>
      <c r="AB1764" s="858"/>
      <c r="AC1764" s="858"/>
      <c r="AD1764" s="858"/>
      <c r="AE1764" s="858"/>
      <c r="AF1764" s="863"/>
      <c r="AG1764" s="864"/>
      <c r="AH1764" s="864"/>
      <c r="AI1764" s="864"/>
    </row>
    <row r="1765" spans="1:35" ht="15" customHeight="1">
      <c r="A1765" s="1033"/>
      <c r="B1765" s="1033"/>
      <c r="C1765" s="823"/>
      <c r="D1765" s="823"/>
      <c r="E1765" s="823"/>
      <c r="F1765" s="823"/>
      <c r="G1765" s="823"/>
      <c r="H1765" s="528"/>
      <c r="I1765" s="529"/>
      <c r="J1765" s="858"/>
      <c r="K1765" s="858"/>
      <c r="L1765" s="858"/>
      <c r="M1765" s="470"/>
      <c r="N1765" s="862"/>
      <c r="O1765" s="858"/>
      <c r="P1765" s="858"/>
      <c r="Q1765" s="827"/>
      <c r="R1765" s="1044"/>
      <c r="S1765" s="823"/>
      <c r="T1765" s="792"/>
      <c r="U1765" s="866"/>
      <c r="V1765" s="855"/>
      <c r="W1765" s="842"/>
      <c r="X1765" s="827"/>
      <c r="Y1765" s="827"/>
      <c r="Z1765" s="827"/>
      <c r="AA1765" s="827"/>
      <c r="AB1765" s="858"/>
      <c r="AC1765" s="858"/>
      <c r="AD1765" s="858"/>
      <c r="AE1765" s="858"/>
      <c r="AF1765" s="863"/>
      <c r="AG1765" s="864"/>
      <c r="AH1765" s="864"/>
      <c r="AI1765" s="864"/>
    </row>
    <row r="1766" spans="1:35" ht="15" customHeight="1">
      <c r="A1766" s="1033"/>
      <c r="B1766" s="1012"/>
      <c r="C1766" s="823"/>
      <c r="D1766" s="823"/>
      <c r="E1766" s="823"/>
      <c r="F1766" s="823"/>
      <c r="G1766" s="823"/>
      <c r="H1766" s="528">
        <v>2373</v>
      </c>
      <c r="I1766" s="529" t="s">
        <v>137</v>
      </c>
      <c r="J1766" s="858">
        <v>2016874187</v>
      </c>
      <c r="K1766" s="858"/>
      <c r="L1766" s="858"/>
      <c r="M1766" s="470">
        <v>42822</v>
      </c>
      <c r="N1766" s="862"/>
      <c r="O1766" s="858"/>
      <c r="P1766" s="858"/>
      <c r="Q1766" s="827">
        <v>1983901099</v>
      </c>
      <c r="R1766" s="1045"/>
      <c r="S1766" s="823"/>
      <c r="T1766" s="792" t="s">
        <v>2574</v>
      </c>
      <c r="U1766" s="866">
        <v>396780219.54000002</v>
      </c>
      <c r="V1766" s="855">
        <v>43096</v>
      </c>
      <c r="W1766" s="842"/>
      <c r="X1766" s="827"/>
      <c r="Y1766" s="827"/>
      <c r="Z1766" s="827"/>
      <c r="AA1766" s="827"/>
      <c r="AB1766" s="858"/>
      <c r="AC1766" s="858"/>
      <c r="AD1766" s="858"/>
      <c r="AE1766" s="858"/>
      <c r="AF1766" s="863"/>
      <c r="AG1766" s="864"/>
      <c r="AH1766" s="864"/>
      <c r="AI1766" s="864"/>
    </row>
    <row r="1767" spans="1:35" ht="15" customHeight="1">
      <c r="A1767" s="1033"/>
      <c r="B1767" s="791"/>
      <c r="C1767" s="823"/>
      <c r="D1767" s="823"/>
      <c r="E1767" s="823"/>
      <c r="F1767" s="823"/>
      <c r="G1767" s="823"/>
      <c r="H1767" s="528"/>
      <c r="I1767" s="529"/>
      <c r="J1767" s="858"/>
      <c r="K1767" s="858"/>
      <c r="L1767" s="858"/>
      <c r="M1767" s="470"/>
      <c r="N1767" s="862"/>
      <c r="O1767" s="858"/>
      <c r="P1767" s="858"/>
      <c r="Q1767" s="827"/>
      <c r="R1767" s="807"/>
      <c r="S1767" s="823"/>
      <c r="T1767" s="916" t="s">
        <v>2732</v>
      </c>
      <c r="U1767" s="866">
        <v>98701094.069999993</v>
      </c>
      <c r="V1767" s="855">
        <v>43222</v>
      </c>
      <c r="W1767" s="842"/>
      <c r="X1767" s="827"/>
      <c r="Y1767" s="827"/>
      <c r="Z1767" s="827"/>
      <c r="AA1767" s="827"/>
      <c r="AB1767" s="858"/>
      <c r="AC1767" s="858"/>
      <c r="AD1767" s="858"/>
      <c r="AE1767" s="858"/>
      <c r="AF1767" s="863"/>
      <c r="AG1767" s="864"/>
      <c r="AH1767" s="864"/>
      <c r="AI1767" s="864"/>
    </row>
    <row r="1768" spans="1:35" ht="15" customHeight="1">
      <c r="A1768" s="1012"/>
      <c r="B1768" s="791"/>
      <c r="C1768" s="823"/>
      <c r="D1768" s="823"/>
      <c r="E1768" s="823"/>
      <c r="F1768" s="823"/>
      <c r="G1768" s="823"/>
      <c r="H1768" s="528"/>
      <c r="I1768" s="529"/>
      <c r="J1768" s="858"/>
      <c r="K1768" s="858"/>
      <c r="L1768" s="858"/>
      <c r="M1768" s="470"/>
      <c r="N1768" s="862"/>
      <c r="O1768" s="858"/>
      <c r="P1768" s="858"/>
      <c r="Q1768" s="827"/>
      <c r="R1768" s="807"/>
      <c r="S1768" s="823"/>
      <c r="T1768" s="794"/>
      <c r="U1768" s="866"/>
      <c r="V1768" s="855"/>
      <c r="W1768" s="842"/>
      <c r="X1768" s="827"/>
      <c r="Y1768" s="827"/>
      <c r="Z1768" s="827"/>
      <c r="AA1768" s="827"/>
      <c r="AB1768" s="858"/>
      <c r="AC1768" s="858"/>
      <c r="AD1768" s="858"/>
      <c r="AE1768" s="858"/>
      <c r="AF1768" s="863"/>
      <c r="AG1768" s="864"/>
      <c r="AH1768" s="864"/>
      <c r="AI1768" s="864"/>
    </row>
    <row r="1769" spans="1:35" ht="15" customHeight="1">
      <c r="A1769" s="823" t="s">
        <v>2516</v>
      </c>
      <c r="B1769" s="904" t="s">
        <v>2575</v>
      </c>
      <c r="C1769" s="823"/>
      <c r="D1769" s="823" t="s">
        <v>177</v>
      </c>
      <c r="E1769" s="823"/>
      <c r="F1769" s="823"/>
      <c r="G1769" s="823"/>
      <c r="H1769" s="861">
        <v>22</v>
      </c>
      <c r="I1769" s="840" t="s">
        <v>129</v>
      </c>
      <c r="J1769" s="858">
        <v>92592593</v>
      </c>
      <c r="K1769" s="858"/>
      <c r="L1769" s="858"/>
      <c r="M1769" s="855">
        <v>42706</v>
      </c>
      <c r="N1769" s="862"/>
      <c r="O1769" s="858"/>
      <c r="P1769" s="858"/>
      <c r="Q1769" s="827"/>
      <c r="R1769" s="827">
        <v>92592593</v>
      </c>
      <c r="S1769" s="823"/>
      <c r="T1769" s="840"/>
      <c r="U1769" s="866"/>
      <c r="V1769" s="855"/>
      <c r="W1769" s="842"/>
      <c r="X1769" s="827"/>
      <c r="Y1769" s="827"/>
      <c r="Z1769" s="827"/>
      <c r="AA1769" s="827"/>
      <c r="AB1769" s="858"/>
      <c r="AC1769" s="858"/>
      <c r="AD1769" s="858"/>
      <c r="AE1769" s="858"/>
      <c r="AF1769" s="863"/>
      <c r="AG1769" s="864"/>
      <c r="AH1769" s="864"/>
      <c r="AI1769" s="864"/>
    </row>
    <row r="1770" spans="1:35" ht="15" customHeight="1">
      <c r="A1770" s="823" t="s">
        <v>2513</v>
      </c>
      <c r="B1770" s="904" t="s">
        <v>2576</v>
      </c>
      <c r="C1770" s="823"/>
      <c r="D1770" s="823" t="s">
        <v>2540</v>
      </c>
      <c r="E1770" s="823"/>
      <c r="F1770" s="823"/>
      <c r="G1770" s="823"/>
      <c r="H1770" s="861">
        <v>2371</v>
      </c>
      <c r="I1770" s="840" t="s">
        <v>163</v>
      </c>
      <c r="J1770" s="858">
        <v>29153286</v>
      </c>
      <c r="K1770" s="858"/>
      <c r="L1770" s="858"/>
      <c r="M1770" s="855" t="s">
        <v>2577</v>
      </c>
      <c r="N1770" s="862"/>
      <c r="O1770" s="858"/>
      <c r="P1770" s="858"/>
      <c r="Q1770" s="827"/>
      <c r="R1770" s="827">
        <v>19500000</v>
      </c>
      <c r="S1770" s="823"/>
      <c r="T1770" s="840"/>
      <c r="U1770" s="866"/>
      <c r="V1770" s="855"/>
      <c r="W1770" s="842"/>
      <c r="X1770" s="827"/>
      <c r="Y1770" s="827"/>
      <c r="Z1770" s="827"/>
      <c r="AA1770" s="827"/>
      <c r="AB1770" s="858"/>
      <c r="AC1770" s="858"/>
      <c r="AD1770" s="858"/>
      <c r="AE1770" s="858"/>
      <c r="AF1770" s="863"/>
      <c r="AG1770" s="864"/>
      <c r="AH1770" s="864"/>
      <c r="AI1770" s="864"/>
    </row>
    <row r="1771" spans="1:35" ht="15" customHeight="1">
      <c r="A1771" s="823" t="s">
        <v>2468</v>
      </c>
      <c r="B1771" s="904" t="s">
        <v>2578</v>
      </c>
      <c r="C1771" s="823"/>
      <c r="D1771" s="823" t="s">
        <v>2541</v>
      </c>
      <c r="E1771" s="823"/>
      <c r="F1771" s="823"/>
      <c r="G1771" s="823"/>
      <c r="H1771" s="530">
        <v>2366</v>
      </c>
      <c r="I1771" s="840" t="s">
        <v>2579</v>
      </c>
      <c r="J1771" s="858">
        <v>1527790515</v>
      </c>
      <c r="K1771" s="858"/>
      <c r="L1771" s="858"/>
      <c r="M1771" s="855" t="s">
        <v>2577</v>
      </c>
      <c r="N1771" s="862"/>
      <c r="O1771" s="858"/>
      <c r="P1771" s="858"/>
      <c r="Q1771" s="827">
        <v>1330523484</v>
      </c>
      <c r="R1771" s="827">
        <v>1330523484</v>
      </c>
      <c r="S1771" s="823"/>
      <c r="T1771" s="840" t="s">
        <v>2580</v>
      </c>
      <c r="U1771" s="866">
        <v>266104697</v>
      </c>
      <c r="V1771" s="855">
        <v>43151</v>
      </c>
      <c r="W1771" s="842"/>
      <c r="X1771" s="827"/>
      <c r="Y1771" s="827"/>
      <c r="Z1771" s="827"/>
      <c r="AA1771" s="827"/>
      <c r="AB1771" s="858"/>
      <c r="AC1771" s="858"/>
      <c r="AD1771" s="858"/>
      <c r="AE1771" s="858">
        <v>1058363367</v>
      </c>
      <c r="AF1771" s="863"/>
      <c r="AG1771" s="864"/>
      <c r="AH1771" s="864"/>
      <c r="AI1771" s="864"/>
    </row>
    <row r="1772" spans="1:35" ht="15" customHeight="1">
      <c r="A1772" s="1076" t="s">
        <v>2546</v>
      </c>
      <c r="B1772" s="1076" t="s">
        <v>2581</v>
      </c>
      <c r="C1772" s="823"/>
      <c r="D1772" s="1076" t="s">
        <v>2540</v>
      </c>
      <c r="E1772" s="823"/>
      <c r="F1772" s="823"/>
      <c r="G1772" s="823"/>
      <c r="H1772" s="861">
        <v>2387</v>
      </c>
      <c r="I1772" s="840" t="s">
        <v>130</v>
      </c>
      <c r="J1772" s="858">
        <v>11111111</v>
      </c>
      <c r="K1772" s="858"/>
      <c r="L1772" s="1062">
        <v>29840118</v>
      </c>
      <c r="M1772" s="855">
        <v>42824</v>
      </c>
      <c r="N1772" s="862"/>
      <c r="O1772" s="858"/>
      <c r="P1772" s="858"/>
      <c r="Q1772" s="827"/>
      <c r="R1772" s="1062">
        <v>25125660</v>
      </c>
      <c r="S1772" s="823"/>
      <c r="T1772" s="840"/>
      <c r="U1772" s="866"/>
      <c r="V1772" s="855"/>
      <c r="W1772" s="842"/>
      <c r="X1772" s="827"/>
      <c r="Y1772" s="827"/>
      <c r="Z1772" s="827"/>
      <c r="AA1772" s="827"/>
      <c r="AB1772" s="858"/>
      <c r="AC1772" s="858"/>
      <c r="AD1772" s="858"/>
      <c r="AE1772" s="858"/>
      <c r="AF1772" s="863"/>
      <c r="AG1772" s="864"/>
      <c r="AH1772" s="864"/>
      <c r="AI1772" s="864"/>
    </row>
    <row r="1773" spans="1:35" ht="15" customHeight="1">
      <c r="A1773" s="1076"/>
      <c r="B1773" s="1076"/>
      <c r="C1773" s="823"/>
      <c r="D1773" s="1076"/>
      <c r="E1773" s="823"/>
      <c r="F1773" s="823"/>
      <c r="G1773" s="823"/>
      <c r="H1773" s="861">
        <v>2385</v>
      </c>
      <c r="I1773" s="840" t="s">
        <v>2582</v>
      </c>
      <c r="J1773" s="858">
        <v>7407407</v>
      </c>
      <c r="K1773" s="858"/>
      <c r="L1773" s="1063"/>
      <c r="M1773" s="855">
        <v>42824</v>
      </c>
      <c r="N1773" s="862"/>
      <c r="O1773" s="858"/>
      <c r="P1773" s="858"/>
      <c r="Q1773" s="827"/>
      <c r="R1773" s="1063"/>
      <c r="S1773" s="823"/>
      <c r="T1773" s="840"/>
      <c r="U1773" s="866"/>
      <c r="V1773" s="855"/>
      <c r="W1773" s="842"/>
      <c r="X1773" s="827"/>
      <c r="Y1773" s="827"/>
      <c r="Z1773" s="827"/>
      <c r="AA1773" s="827"/>
      <c r="AB1773" s="858"/>
      <c r="AC1773" s="858"/>
      <c r="AD1773" s="858"/>
      <c r="AE1773" s="858"/>
      <c r="AF1773" s="863"/>
      <c r="AG1773" s="864"/>
      <c r="AH1773" s="864"/>
      <c r="AI1773" s="864"/>
    </row>
    <row r="1774" spans="1:35" ht="15" customHeight="1">
      <c r="A1774" s="1076"/>
      <c r="B1774" s="1076"/>
      <c r="C1774" s="823"/>
      <c r="D1774" s="1076"/>
      <c r="E1774" s="823"/>
      <c r="F1774" s="823"/>
      <c r="G1774" s="823"/>
      <c r="H1774" s="861">
        <v>2879</v>
      </c>
      <c r="I1774" s="531" t="s">
        <v>144</v>
      </c>
      <c r="J1774" s="858">
        <v>11321600</v>
      </c>
      <c r="K1774" s="858"/>
      <c r="L1774" s="1064"/>
      <c r="M1774" s="855">
        <v>42908</v>
      </c>
      <c r="N1774" s="862"/>
      <c r="O1774" s="858"/>
      <c r="P1774" s="858"/>
      <c r="Q1774" s="827"/>
      <c r="R1774" s="1064"/>
      <c r="S1774" s="823"/>
      <c r="T1774" s="840"/>
      <c r="U1774" s="866"/>
      <c r="V1774" s="855"/>
      <c r="W1774" s="842"/>
      <c r="X1774" s="827"/>
      <c r="Y1774" s="827"/>
      <c r="Z1774" s="827"/>
      <c r="AA1774" s="827"/>
      <c r="AB1774" s="858"/>
      <c r="AC1774" s="858"/>
      <c r="AD1774" s="858"/>
      <c r="AE1774" s="858"/>
      <c r="AF1774" s="863"/>
      <c r="AG1774" s="864"/>
      <c r="AH1774" s="864"/>
      <c r="AI1774" s="864"/>
    </row>
    <row r="1775" spans="1:35" ht="15" customHeight="1">
      <c r="A1775" s="823" t="s">
        <v>2547</v>
      </c>
      <c r="B1775" s="904" t="s">
        <v>2583</v>
      </c>
      <c r="C1775" s="823"/>
      <c r="D1775" s="823" t="s">
        <v>177</v>
      </c>
      <c r="E1775" s="823"/>
      <c r="F1775" s="823"/>
      <c r="G1775" s="823"/>
      <c r="H1775" s="861">
        <v>2884</v>
      </c>
      <c r="I1775" s="840" t="s">
        <v>2584</v>
      </c>
      <c r="J1775" s="858">
        <v>24900000</v>
      </c>
      <c r="K1775" s="858"/>
      <c r="L1775" s="858"/>
      <c r="M1775" s="855">
        <v>42908</v>
      </c>
      <c r="N1775" s="862"/>
      <c r="O1775" s="858"/>
      <c r="P1775" s="858"/>
      <c r="Q1775" s="827"/>
      <c r="R1775" s="827">
        <v>21156240</v>
      </c>
      <c r="S1775" s="823"/>
      <c r="T1775" s="840"/>
      <c r="U1775" s="866"/>
      <c r="V1775" s="855"/>
      <c r="W1775" s="842"/>
      <c r="X1775" s="827"/>
      <c r="Y1775" s="827"/>
      <c r="Z1775" s="827"/>
      <c r="AA1775" s="827"/>
      <c r="AB1775" s="858"/>
      <c r="AC1775" s="858"/>
      <c r="AD1775" s="858"/>
      <c r="AE1775" s="858"/>
      <c r="AF1775" s="863"/>
      <c r="AG1775" s="864"/>
      <c r="AH1775" s="864"/>
      <c r="AI1775" s="864"/>
    </row>
    <row r="1776" spans="1:35" ht="15" customHeight="1">
      <c r="A1776" s="468" t="s">
        <v>2548</v>
      </c>
      <c r="B1776" s="904" t="s">
        <v>2585</v>
      </c>
      <c r="C1776" s="823"/>
      <c r="D1776" s="823" t="s">
        <v>2542</v>
      </c>
      <c r="E1776" s="823"/>
      <c r="F1776" s="823"/>
      <c r="G1776" s="823"/>
      <c r="H1776" s="840">
        <v>2384</v>
      </c>
      <c r="I1776" s="840" t="s">
        <v>152</v>
      </c>
      <c r="J1776" s="858">
        <v>92595593</v>
      </c>
      <c r="K1776" s="858"/>
      <c r="L1776" s="858"/>
      <c r="M1776" s="855">
        <v>42824</v>
      </c>
      <c r="N1776" s="862"/>
      <c r="O1776" s="858"/>
      <c r="P1776" s="858"/>
      <c r="Q1776" s="827"/>
      <c r="R1776" s="827">
        <v>92591520</v>
      </c>
      <c r="S1776" s="823"/>
      <c r="T1776" s="840" t="s">
        <v>2698</v>
      </c>
      <c r="U1776" s="866">
        <v>27777456</v>
      </c>
      <c r="V1776" s="855">
        <v>43091</v>
      </c>
      <c r="W1776" s="842"/>
      <c r="X1776" s="827"/>
      <c r="Y1776" s="827"/>
      <c r="Z1776" s="827"/>
      <c r="AA1776" s="827"/>
      <c r="AB1776" s="858"/>
      <c r="AC1776" s="858"/>
      <c r="AD1776" s="858"/>
      <c r="AE1776" s="858"/>
      <c r="AF1776" s="863"/>
      <c r="AG1776" s="864"/>
      <c r="AH1776" s="864"/>
      <c r="AI1776" s="864"/>
    </row>
    <row r="1777" spans="1:35" ht="15" customHeight="1">
      <c r="A1777" s="823" t="s">
        <v>2549</v>
      </c>
      <c r="B1777" s="904" t="s">
        <v>2586</v>
      </c>
      <c r="C1777" s="823"/>
      <c r="D1777" s="823" t="s">
        <v>2542</v>
      </c>
      <c r="E1777" s="823"/>
      <c r="F1777" s="823"/>
      <c r="G1777" s="823"/>
      <c r="H1777" s="530">
        <v>2386</v>
      </c>
      <c r="I1777" s="531" t="s">
        <v>130</v>
      </c>
      <c r="J1777" s="858">
        <v>138888889</v>
      </c>
      <c r="K1777" s="858"/>
      <c r="L1777" s="858"/>
      <c r="M1777" s="855">
        <v>42824</v>
      </c>
      <c r="N1777" s="862"/>
      <c r="O1777" s="858"/>
      <c r="P1777" s="858"/>
      <c r="Q1777" s="827">
        <v>138813500</v>
      </c>
      <c r="R1777" s="827">
        <v>138813500</v>
      </c>
      <c r="S1777" s="823"/>
      <c r="T1777" s="840" t="s">
        <v>2698</v>
      </c>
      <c r="U1777" s="866">
        <v>41644050</v>
      </c>
      <c r="V1777" s="855">
        <v>43144</v>
      </c>
      <c r="W1777" s="842"/>
      <c r="X1777" s="827"/>
      <c r="Y1777" s="827"/>
      <c r="Z1777" s="827"/>
      <c r="AA1777" s="827"/>
      <c r="AB1777" s="858"/>
      <c r="AC1777" s="858"/>
      <c r="AD1777" s="858"/>
      <c r="AE1777" s="858"/>
      <c r="AF1777" s="863"/>
      <c r="AG1777" s="864"/>
      <c r="AH1777" s="864"/>
      <c r="AI1777" s="864"/>
    </row>
    <row r="1778" spans="1:35" ht="15" customHeight="1">
      <c r="A1778" s="823" t="s">
        <v>2550</v>
      </c>
      <c r="B1778" s="904" t="s">
        <v>2587</v>
      </c>
      <c r="C1778" s="823"/>
      <c r="D1778" s="823" t="s">
        <v>2542</v>
      </c>
      <c r="E1778" s="823"/>
      <c r="F1778" s="823"/>
      <c r="G1778" s="823"/>
      <c r="H1778" s="530">
        <v>2878</v>
      </c>
      <c r="I1778" s="531" t="s">
        <v>144</v>
      </c>
      <c r="J1778" s="858">
        <v>141520000</v>
      </c>
      <c r="K1778" s="858"/>
      <c r="L1778" s="858"/>
      <c r="M1778" s="855">
        <v>42908</v>
      </c>
      <c r="N1778" s="862"/>
      <c r="O1778" s="858"/>
      <c r="P1778" s="858"/>
      <c r="Q1778" s="827">
        <v>141372000</v>
      </c>
      <c r="R1778" s="827">
        <v>141520000</v>
      </c>
      <c r="S1778" s="823"/>
      <c r="T1778" s="840" t="s">
        <v>2698</v>
      </c>
      <c r="U1778" s="866">
        <v>42411600</v>
      </c>
      <c r="V1778" s="855">
        <v>43151</v>
      </c>
      <c r="W1778" s="842"/>
      <c r="X1778" s="827"/>
      <c r="Y1778" s="827"/>
      <c r="Z1778" s="827"/>
      <c r="AA1778" s="827"/>
      <c r="AB1778" s="858"/>
      <c r="AC1778" s="858"/>
      <c r="AD1778" s="858"/>
      <c r="AE1778" s="858"/>
      <c r="AF1778" s="863"/>
      <c r="AG1778" s="864"/>
      <c r="AH1778" s="864"/>
      <c r="AI1778" s="864"/>
    </row>
    <row r="1779" spans="1:35" ht="15" customHeight="1">
      <c r="A1779" s="823" t="s">
        <v>2551</v>
      </c>
      <c r="B1779" s="904" t="s">
        <v>2588</v>
      </c>
      <c r="C1779" s="823"/>
      <c r="D1779" s="823" t="s">
        <v>2540</v>
      </c>
      <c r="E1779" s="823"/>
      <c r="F1779" s="823"/>
      <c r="G1779" s="823"/>
      <c r="H1779" s="840"/>
      <c r="I1779" s="840"/>
      <c r="J1779" s="858"/>
      <c r="K1779" s="858"/>
      <c r="L1779" s="858"/>
      <c r="M1779" s="855"/>
      <c r="N1779" s="862"/>
      <c r="O1779" s="858"/>
      <c r="P1779" s="858"/>
      <c r="Q1779" s="827"/>
      <c r="R1779" s="827">
        <v>17800000</v>
      </c>
      <c r="S1779" s="823"/>
      <c r="T1779" s="840"/>
      <c r="U1779" s="866"/>
      <c r="V1779" s="855"/>
      <c r="W1779" s="842"/>
      <c r="X1779" s="827"/>
      <c r="Y1779" s="827"/>
      <c r="Z1779" s="827"/>
      <c r="AA1779" s="827"/>
      <c r="AB1779" s="858"/>
      <c r="AC1779" s="858"/>
      <c r="AD1779" s="858"/>
      <c r="AE1779" s="858"/>
      <c r="AF1779" s="863"/>
      <c r="AG1779" s="864"/>
      <c r="AH1779" s="864"/>
      <c r="AI1779" s="864"/>
    </row>
    <row r="1780" spans="1:35" ht="15" customHeight="1">
      <c r="A1780" s="823" t="s">
        <v>2552</v>
      </c>
      <c r="B1780" s="904" t="s">
        <v>2589</v>
      </c>
      <c r="C1780" s="823"/>
      <c r="D1780" s="823" t="s">
        <v>2540</v>
      </c>
      <c r="E1780" s="823"/>
      <c r="F1780" s="823"/>
      <c r="G1780" s="823"/>
      <c r="H1780" s="530">
        <v>2367</v>
      </c>
      <c r="I1780" s="531" t="s">
        <v>141</v>
      </c>
      <c r="J1780" s="858">
        <v>122223241</v>
      </c>
      <c r="K1780" s="858"/>
      <c r="L1780" s="858"/>
      <c r="M1780" s="855">
        <v>42822</v>
      </c>
      <c r="N1780" s="862"/>
      <c r="O1780" s="858"/>
      <c r="P1780" s="858"/>
      <c r="Q1780" s="827">
        <v>107466520</v>
      </c>
      <c r="R1780" s="827">
        <v>107466520</v>
      </c>
      <c r="S1780" s="823"/>
      <c r="T1780" s="840" t="s">
        <v>2698</v>
      </c>
      <c r="U1780" s="866">
        <v>10746652</v>
      </c>
      <c r="V1780" s="855">
        <v>43166</v>
      </c>
      <c r="W1780" s="842"/>
      <c r="X1780" s="827"/>
      <c r="Y1780" s="827"/>
      <c r="Z1780" s="827"/>
      <c r="AA1780" s="827"/>
      <c r="AB1780" s="858"/>
      <c r="AC1780" s="858"/>
      <c r="AD1780" s="858"/>
      <c r="AE1780" s="858"/>
      <c r="AF1780" s="863"/>
      <c r="AG1780" s="864"/>
      <c r="AH1780" s="864"/>
      <c r="AI1780" s="864"/>
    </row>
    <row r="1781" spans="1:35" ht="15" customHeight="1">
      <c r="A1781" s="823" t="s">
        <v>2553</v>
      </c>
      <c r="B1781" s="904" t="s">
        <v>2590</v>
      </c>
      <c r="C1781" s="823"/>
      <c r="D1781" s="823" t="s">
        <v>2543</v>
      </c>
      <c r="E1781" s="823"/>
      <c r="F1781" s="823"/>
      <c r="G1781" s="823"/>
      <c r="H1781" s="840"/>
      <c r="I1781" s="840"/>
      <c r="J1781" s="858"/>
      <c r="K1781" s="858"/>
      <c r="L1781" s="858"/>
      <c r="M1781" s="855"/>
      <c r="N1781" s="862"/>
      <c r="O1781" s="858"/>
      <c r="P1781" s="858"/>
      <c r="Q1781" s="827"/>
      <c r="R1781" s="827">
        <v>146905500</v>
      </c>
      <c r="S1781" s="823"/>
      <c r="T1781" s="840"/>
      <c r="U1781" s="866"/>
      <c r="V1781" s="855"/>
      <c r="W1781" s="842"/>
      <c r="X1781" s="827"/>
      <c r="Y1781" s="827"/>
      <c r="Z1781" s="827"/>
      <c r="AA1781" s="827"/>
      <c r="AB1781" s="858"/>
      <c r="AC1781" s="858"/>
      <c r="AD1781" s="858"/>
      <c r="AE1781" s="858"/>
      <c r="AF1781" s="863"/>
      <c r="AG1781" s="864"/>
      <c r="AH1781" s="864"/>
      <c r="AI1781" s="864"/>
    </row>
    <row r="1782" spans="1:35" ht="15" customHeight="1">
      <c r="A1782" s="823" t="s">
        <v>2554</v>
      </c>
      <c r="B1782" s="904" t="s">
        <v>2591</v>
      </c>
      <c r="C1782" s="823"/>
      <c r="D1782" s="823" t="s">
        <v>2540</v>
      </c>
      <c r="E1782" s="823"/>
      <c r="F1782" s="823"/>
      <c r="G1782" s="823"/>
      <c r="H1782" s="530">
        <v>2374</v>
      </c>
      <c r="I1782" s="531" t="s">
        <v>132</v>
      </c>
      <c r="J1782" s="858">
        <v>226475673</v>
      </c>
      <c r="K1782" s="858"/>
      <c r="L1782" s="858"/>
      <c r="M1782" s="855">
        <v>42822</v>
      </c>
      <c r="N1782" s="862"/>
      <c r="O1782" s="858"/>
      <c r="P1782" s="858"/>
      <c r="Q1782" s="827">
        <v>224872515</v>
      </c>
      <c r="R1782" s="827">
        <v>224872515</v>
      </c>
      <c r="S1782" s="823"/>
      <c r="T1782" s="840" t="s">
        <v>2698</v>
      </c>
      <c r="U1782" s="866">
        <v>22487251.5</v>
      </c>
      <c r="V1782" s="855">
        <v>43159</v>
      </c>
      <c r="W1782" s="842"/>
      <c r="X1782" s="827"/>
      <c r="Y1782" s="827"/>
      <c r="Z1782" s="827"/>
      <c r="AA1782" s="827"/>
      <c r="AB1782" s="858"/>
      <c r="AC1782" s="858"/>
      <c r="AD1782" s="858"/>
      <c r="AE1782" s="858"/>
      <c r="AF1782" s="863"/>
      <c r="AG1782" s="864"/>
      <c r="AH1782" s="864"/>
      <c r="AI1782" s="864"/>
    </row>
    <row r="1783" spans="1:35" ht="15" customHeight="1">
      <c r="A1783" s="823" t="s">
        <v>2555</v>
      </c>
      <c r="B1783" s="904" t="s">
        <v>2592</v>
      </c>
      <c r="C1783" s="823"/>
      <c r="D1783" s="823" t="s">
        <v>2540</v>
      </c>
      <c r="E1783" s="823"/>
      <c r="F1783" s="823"/>
      <c r="G1783" s="823"/>
      <c r="H1783" s="840">
        <v>2381</v>
      </c>
      <c r="I1783" s="840" t="s">
        <v>2702</v>
      </c>
      <c r="J1783" s="858">
        <v>238396409</v>
      </c>
      <c r="K1783" s="858"/>
      <c r="L1783" s="858"/>
      <c r="M1783" s="855">
        <v>42822</v>
      </c>
      <c r="N1783" s="862"/>
      <c r="O1783" s="858"/>
      <c r="P1783" s="858"/>
      <c r="Q1783" s="827">
        <v>237262795</v>
      </c>
      <c r="R1783" s="827">
        <v>237262795</v>
      </c>
      <c r="S1783" s="823"/>
      <c r="T1783" s="840" t="s">
        <v>2698</v>
      </c>
      <c r="U1783" s="866">
        <v>23726279.5</v>
      </c>
      <c r="V1783" s="855">
        <v>43096</v>
      </c>
      <c r="W1783" s="842"/>
      <c r="X1783" s="827"/>
      <c r="Y1783" s="827"/>
      <c r="Z1783" s="827"/>
      <c r="AA1783" s="827"/>
      <c r="AB1783" s="858"/>
      <c r="AC1783" s="858"/>
      <c r="AD1783" s="858"/>
      <c r="AE1783" s="858"/>
      <c r="AF1783" s="863"/>
      <c r="AG1783" s="864"/>
      <c r="AH1783" s="864"/>
      <c r="AI1783" s="864"/>
    </row>
    <row r="1784" spans="1:35" ht="15" customHeight="1">
      <c r="A1784" s="1011" t="s">
        <v>2593</v>
      </c>
      <c r="B1784" s="904" t="s">
        <v>2595</v>
      </c>
      <c r="C1784" s="823"/>
      <c r="D1784" s="823"/>
      <c r="E1784" s="823"/>
      <c r="F1784" s="823"/>
      <c r="G1784" s="823"/>
      <c r="H1784" s="1017">
        <v>4030</v>
      </c>
      <c r="I1784" s="1011" t="s">
        <v>141</v>
      </c>
      <c r="J1784" s="1019">
        <v>148750000</v>
      </c>
      <c r="K1784" s="858"/>
      <c r="L1784" s="858"/>
      <c r="M1784" s="855"/>
      <c r="N1784" s="862"/>
      <c r="O1784" s="858"/>
      <c r="P1784" s="858"/>
      <c r="Q1784" s="827">
        <v>148750000</v>
      </c>
      <c r="R1784" s="827">
        <v>148750000</v>
      </c>
      <c r="S1784" s="823"/>
      <c r="T1784" s="840" t="s">
        <v>2698</v>
      </c>
      <c r="U1784" s="866">
        <v>74375000</v>
      </c>
      <c r="V1784" s="855"/>
      <c r="W1784" s="842"/>
      <c r="X1784" s="827"/>
      <c r="Y1784" s="827"/>
      <c r="Z1784" s="827"/>
      <c r="AA1784" s="827"/>
      <c r="AB1784" s="858"/>
      <c r="AC1784" s="858"/>
      <c r="AD1784" s="858"/>
      <c r="AE1784" s="858"/>
      <c r="AF1784" s="863"/>
      <c r="AG1784" s="864"/>
      <c r="AH1784" s="864"/>
      <c r="AI1784" s="864"/>
    </row>
    <row r="1785" spans="1:35" ht="15" customHeight="1">
      <c r="A1785" s="1012"/>
      <c r="B1785" s="904"/>
      <c r="C1785" s="823"/>
      <c r="D1785" s="823"/>
      <c r="E1785" s="823"/>
      <c r="F1785" s="823"/>
      <c r="G1785" s="823"/>
      <c r="H1785" s="1018"/>
      <c r="I1785" s="1012"/>
      <c r="J1785" s="1020"/>
      <c r="K1785" s="858"/>
      <c r="L1785" s="858"/>
      <c r="M1785" s="855"/>
      <c r="N1785" s="862"/>
      <c r="O1785" s="858"/>
      <c r="P1785" s="858"/>
      <c r="Q1785" s="827"/>
      <c r="R1785" s="827"/>
      <c r="S1785" s="823"/>
      <c r="T1785" s="840" t="s">
        <v>2699</v>
      </c>
      <c r="U1785" s="866">
        <v>74375000</v>
      </c>
      <c r="V1785" s="855">
        <v>43182</v>
      </c>
      <c r="W1785" s="842"/>
      <c r="X1785" s="827"/>
      <c r="Y1785" s="827"/>
      <c r="Z1785" s="827"/>
      <c r="AA1785" s="827"/>
      <c r="AB1785" s="858"/>
      <c r="AC1785" s="858"/>
      <c r="AD1785" s="858"/>
      <c r="AE1785" s="858"/>
      <c r="AF1785" s="863"/>
      <c r="AG1785" s="864"/>
      <c r="AH1785" s="864"/>
      <c r="AI1785" s="864"/>
    </row>
    <row r="1786" spans="1:35" ht="15" customHeight="1">
      <c r="A1786" s="823" t="s">
        <v>2556</v>
      </c>
      <c r="B1786" s="904" t="s">
        <v>2596</v>
      </c>
      <c r="C1786" s="823"/>
      <c r="D1786" s="823" t="s">
        <v>177</v>
      </c>
      <c r="E1786" s="823"/>
      <c r="F1786" s="823"/>
      <c r="G1786" s="823"/>
      <c r="H1786" s="840"/>
      <c r="I1786" s="840"/>
      <c r="J1786" s="858"/>
      <c r="K1786" s="858"/>
      <c r="L1786" s="858"/>
      <c r="M1786" s="855"/>
      <c r="N1786" s="862"/>
      <c r="O1786" s="858"/>
      <c r="P1786" s="858"/>
      <c r="Q1786" s="827"/>
      <c r="R1786" s="827">
        <v>522172000</v>
      </c>
      <c r="S1786" s="823"/>
      <c r="T1786" s="840"/>
      <c r="U1786" s="866"/>
      <c r="V1786" s="855"/>
      <c r="W1786" s="842"/>
      <c r="X1786" s="827"/>
      <c r="Y1786" s="827"/>
      <c r="Z1786" s="827"/>
      <c r="AA1786" s="827"/>
      <c r="AB1786" s="858"/>
      <c r="AC1786" s="858"/>
      <c r="AD1786" s="858"/>
      <c r="AE1786" s="858"/>
      <c r="AF1786" s="863"/>
      <c r="AG1786" s="864"/>
      <c r="AH1786" s="864"/>
      <c r="AI1786" s="864"/>
    </row>
    <row r="1787" spans="1:35" ht="15" customHeight="1">
      <c r="A1787" s="823" t="s">
        <v>2557</v>
      </c>
      <c r="B1787" s="904" t="s">
        <v>2597</v>
      </c>
      <c r="C1787" s="823"/>
      <c r="D1787" s="823" t="s">
        <v>2540</v>
      </c>
      <c r="E1787" s="823"/>
      <c r="F1787" s="823"/>
      <c r="G1787" s="823"/>
      <c r="H1787" s="840"/>
      <c r="I1787" s="840"/>
      <c r="J1787" s="858"/>
      <c r="K1787" s="858"/>
      <c r="L1787" s="858"/>
      <c r="M1787" s="855"/>
      <c r="N1787" s="862"/>
      <c r="O1787" s="858"/>
      <c r="P1787" s="858"/>
      <c r="Q1787" s="827"/>
      <c r="R1787" s="827">
        <v>11630000</v>
      </c>
      <c r="S1787" s="823"/>
      <c r="T1787" s="840"/>
      <c r="U1787" s="866"/>
      <c r="V1787" s="855"/>
      <c r="W1787" s="842"/>
      <c r="X1787" s="827"/>
      <c r="Y1787" s="827"/>
      <c r="Z1787" s="827"/>
      <c r="AA1787" s="827"/>
      <c r="AB1787" s="858"/>
      <c r="AC1787" s="858"/>
      <c r="AD1787" s="858"/>
      <c r="AE1787" s="858"/>
      <c r="AF1787" s="863"/>
      <c r="AG1787" s="864"/>
      <c r="AH1787" s="864"/>
      <c r="AI1787" s="864"/>
    </row>
    <row r="1788" spans="1:35" ht="15" customHeight="1">
      <c r="A1788" s="823" t="s">
        <v>2558</v>
      </c>
      <c r="B1788" s="904" t="s">
        <v>2598</v>
      </c>
      <c r="C1788" s="823"/>
      <c r="D1788" s="823" t="s">
        <v>2540</v>
      </c>
      <c r="E1788" s="823"/>
      <c r="F1788" s="823"/>
      <c r="G1788" s="823"/>
      <c r="H1788" s="840"/>
      <c r="I1788" s="840"/>
      <c r="J1788" s="858"/>
      <c r="K1788" s="858"/>
      <c r="L1788" s="858"/>
      <c r="M1788" s="855"/>
      <c r="N1788" s="862"/>
      <c r="O1788" s="858"/>
      <c r="P1788" s="858"/>
      <c r="Q1788" s="827"/>
      <c r="R1788" s="827">
        <v>21170000</v>
      </c>
      <c r="S1788" s="823"/>
      <c r="T1788" s="840"/>
      <c r="U1788" s="866"/>
      <c r="V1788" s="855"/>
      <c r="W1788" s="842"/>
      <c r="X1788" s="827"/>
      <c r="Y1788" s="827"/>
      <c r="Z1788" s="827"/>
      <c r="AA1788" s="827"/>
      <c r="AB1788" s="858"/>
      <c r="AC1788" s="858"/>
      <c r="AD1788" s="858"/>
      <c r="AE1788" s="858"/>
      <c r="AF1788" s="863"/>
      <c r="AG1788" s="864"/>
      <c r="AH1788" s="864"/>
      <c r="AI1788" s="864"/>
    </row>
    <row r="1789" spans="1:35" ht="15" customHeight="1">
      <c r="A1789" s="823" t="s">
        <v>2559</v>
      </c>
      <c r="B1789" s="904" t="s">
        <v>2600</v>
      </c>
      <c r="C1789" s="823"/>
      <c r="D1789" s="823" t="s">
        <v>177</v>
      </c>
      <c r="E1789" s="823"/>
      <c r="F1789" s="823"/>
      <c r="G1789" s="823"/>
      <c r="H1789" s="840">
        <v>4343</v>
      </c>
      <c r="I1789" s="840" t="s">
        <v>2601</v>
      </c>
      <c r="J1789" s="858">
        <v>7639800</v>
      </c>
      <c r="K1789" s="858"/>
      <c r="L1789" s="858"/>
      <c r="M1789" s="470" t="s">
        <v>2602</v>
      </c>
      <c r="N1789" s="862"/>
      <c r="O1789" s="858"/>
      <c r="P1789" s="858"/>
      <c r="Q1789" s="827"/>
      <c r="R1789" s="827"/>
      <c r="S1789" s="823"/>
      <c r="T1789" s="840"/>
      <c r="U1789" s="866"/>
      <c r="V1789" s="855"/>
      <c r="W1789" s="842"/>
      <c r="X1789" s="827"/>
      <c r="Y1789" s="827"/>
      <c r="Z1789" s="827"/>
      <c r="AA1789" s="827"/>
      <c r="AB1789" s="858"/>
      <c r="AC1789" s="858"/>
      <c r="AD1789" s="858"/>
      <c r="AE1789" s="858"/>
      <c r="AF1789" s="863"/>
      <c r="AG1789" s="864"/>
      <c r="AH1789" s="864"/>
      <c r="AI1789" s="864"/>
    </row>
    <row r="1790" spans="1:35" ht="15" customHeight="1">
      <c r="A1790" s="823" t="s">
        <v>2560</v>
      </c>
      <c r="B1790" s="904" t="s">
        <v>2603</v>
      </c>
      <c r="C1790" s="823"/>
      <c r="D1790" s="823" t="s">
        <v>177</v>
      </c>
      <c r="E1790" s="823"/>
      <c r="F1790" s="823"/>
      <c r="G1790" s="823"/>
      <c r="H1790" s="840"/>
      <c r="I1790" s="840"/>
      <c r="J1790" s="858"/>
      <c r="K1790" s="858"/>
      <c r="L1790" s="858"/>
      <c r="M1790" s="470"/>
      <c r="N1790" s="862"/>
      <c r="O1790" s="858"/>
      <c r="P1790" s="858"/>
      <c r="Q1790" s="827"/>
      <c r="R1790" s="827">
        <v>355203100</v>
      </c>
      <c r="S1790" s="823"/>
      <c r="T1790" s="840"/>
      <c r="U1790" s="866"/>
      <c r="V1790" s="855"/>
      <c r="W1790" s="842"/>
      <c r="X1790" s="827"/>
      <c r="Y1790" s="827"/>
      <c r="Z1790" s="827"/>
      <c r="AA1790" s="827"/>
      <c r="AB1790" s="858"/>
      <c r="AC1790" s="858"/>
      <c r="AD1790" s="858"/>
      <c r="AE1790" s="858"/>
      <c r="AF1790" s="863"/>
      <c r="AG1790" s="864"/>
      <c r="AH1790" s="864"/>
      <c r="AI1790" s="864"/>
    </row>
    <row r="1791" spans="1:35" ht="15" customHeight="1">
      <c r="A1791" s="823" t="s">
        <v>2604</v>
      </c>
      <c r="B1791" s="904"/>
      <c r="C1791" s="823"/>
      <c r="D1791" s="823" t="s">
        <v>2150</v>
      </c>
      <c r="E1791" s="823"/>
      <c r="F1791" s="823"/>
      <c r="G1791" s="823"/>
      <c r="H1791" s="861">
        <v>3986</v>
      </c>
      <c r="I1791" s="840" t="s">
        <v>2606</v>
      </c>
      <c r="J1791" s="858">
        <v>419602900</v>
      </c>
      <c r="K1791" s="858"/>
      <c r="L1791" s="858"/>
      <c r="M1791" s="855"/>
      <c r="N1791" s="862"/>
      <c r="O1791" s="858"/>
      <c r="P1791" s="858"/>
      <c r="Q1791" s="827"/>
      <c r="R1791" s="827"/>
      <c r="S1791" s="823"/>
      <c r="T1791" s="840"/>
      <c r="U1791" s="866">
        <v>405800000</v>
      </c>
      <c r="V1791" s="855">
        <v>43251</v>
      </c>
      <c r="W1791" s="842"/>
      <c r="X1791" s="827"/>
      <c r="Y1791" s="827"/>
      <c r="Z1791" s="827"/>
      <c r="AA1791" s="827"/>
      <c r="AB1791" s="858"/>
      <c r="AC1791" s="858"/>
      <c r="AD1791" s="858"/>
      <c r="AE1791" s="858"/>
      <c r="AF1791" s="863"/>
      <c r="AG1791" s="864"/>
      <c r="AH1791" s="864"/>
      <c r="AI1791" s="864"/>
    </row>
    <row r="1792" spans="1:35" ht="15" customHeight="1">
      <c r="A1792" s="823"/>
      <c r="B1792" s="904"/>
      <c r="C1792" s="823"/>
      <c r="D1792" s="823"/>
      <c r="E1792" s="823"/>
      <c r="F1792" s="823"/>
      <c r="G1792" s="823"/>
      <c r="H1792" s="861">
        <v>3976</v>
      </c>
      <c r="I1792" s="840" t="s">
        <v>2607</v>
      </c>
      <c r="J1792" s="858">
        <v>190000000</v>
      </c>
      <c r="K1792" s="858"/>
      <c r="L1792" s="858"/>
      <c r="M1792" s="855"/>
      <c r="N1792" s="862"/>
      <c r="O1792" s="858"/>
      <c r="P1792" s="858"/>
      <c r="Q1792" s="827"/>
      <c r="R1792" s="827"/>
      <c r="S1792" s="823"/>
      <c r="T1792" s="840"/>
      <c r="U1792" s="866">
        <v>181650000</v>
      </c>
      <c r="V1792" s="855">
        <v>43251</v>
      </c>
      <c r="W1792" s="842"/>
      <c r="X1792" s="827"/>
      <c r="Y1792" s="827"/>
      <c r="Z1792" s="827"/>
      <c r="AA1792" s="827"/>
      <c r="AB1792" s="858"/>
      <c r="AC1792" s="858"/>
      <c r="AD1792" s="858"/>
      <c r="AE1792" s="858"/>
      <c r="AF1792" s="863"/>
      <c r="AG1792" s="864"/>
      <c r="AH1792" s="864"/>
      <c r="AI1792" s="864"/>
    </row>
    <row r="1793" spans="1:35" ht="15" customHeight="1">
      <c r="A1793" s="823"/>
      <c r="B1793" s="904"/>
      <c r="C1793" s="823"/>
      <c r="D1793" s="823"/>
      <c r="E1793" s="823"/>
      <c r="F1793" s="823"/>
      <c r="G1793" s="823"/>
      <c r="H1793" s="861">
        <v>3975</v>
      </c>
      <c r="I1793" s="840" t="s">
        <v>158</v>
      </c>
      <c r="J1793" s="858">
        <v>190000000</v>
      </c>
      <c r="K1793" s="858"/>
      <c r="L1793" s="858"/>
      <c r="M1793" s="855"/>
      <c r="N1793" s="862"/>
      <c r="O1793" s="858"/>
      <c r="P1793" s="858"/>
      <c r="Q1793" s="827"/>
      <c r="R1793" s="827"/>
      <c r="S1793" s="823"/>
      <c r="T1793" s="840"/>
      <c r="U1793" s="866">
        <v>181650000</v>
      </c>
      <c r="V1793" s="855">
        <v>43251</v>
      </c>
      <c r="W1793" s="842"/>
      <c r="X1793" s="827"/>
      <c r="Y1793" s="827"/>
      <c r="Z1793" s="827"/>
      <c r="AA1793" s="827"/>
      <c r="AB1793" s="858"/>
      <c r="AC1793" s="858"/>
      <c r="AD1793" s="858"/>
      <c r="AE1793" s="858"/>
      <c r="AF1793" s="863"/>
      <c r="AG1793" s="864"/>
      <c r="AH1793" s="864"/>
      <c r="AI1793" s="864"/>
    </row>
    <row r="1794" spans="1:35" ht="15" customHeight="1">
      <c r="A1794" s="823"/>
      <c r="B1794" s="904"/>
      <c r="C1794" s="823"/>
      <c r="D1794" s="823"/>
      <c r="E1794" s="823"/>
      <c r="F1794" s="823"/>
      <c r="G1794" s="823"/>
      <c r="H1794" s="861">
        <v>3977</v>
      </c>
      <c r="I1794" s="840" t="s">
        <v>169</v>
      </c>
      <c r="J1794" s="858">
        <v>373000000</v>
      </c>
      <c r="K1794" s="858"/>
      <c r="L1794" s="858"/>
      <c r="M1794" s="855"/>
      <c r="N1794" s="862"/>
      <c r="O1794" s="858"/>
      <c r="P1794" s="858"/>
      <c r="Q1794" s="827"/>
      <c r="R1794" s="827"/>
      <c r="S1794" s="823"/>
      <c r="T1794" s="840"/>
      <c r="U1794" s="866">
        <v>356600000</v>
      </c>
      <c r="V1794" s="855">
        <v>43251</v>
      </c>
      <c r="W1794" s="842"/>
      <c r="X1794" s="827"/>
      <c r="Y1794" s="827"/>
      <c r="Z1794" s="827"/>
      <c r="AA1794" s="827"/>
      <c r="AB1794" s="858"/>
      <c r="AC1794" s="858"/>
      <c r="AD1794" s="858"/>
      <c r="AE1794" s="858"/>
      <c r="AF1794" s="863"/>
      <c r="AG1794" s="864"/>
      <c r="AH1794" s="864"/>
      <c r="AI1794" s="864"/>
    </row>
    <row r="1795" spans="1:35" ht="15" customHeight="1">
      <c r="A1795" s="823"/>
      <c r="B1795" s="904"/>
      <c r="C1795" s="823"/>
      <c r="D1795" s="823"/>
      <c r="E1795" s="823"/>
      <c r="F1795" s="823"/>
      <c r="G1795" s="823"/>
      <c r="H1795" s="861">
        <v>3978</v>
      </c>
      <c r="I1795" s="840" t="s">
        <v>153</v>
      </c>
      <c r="J1795" s="858">
        <v>380000000</v>
      </c>
      <c r="K1795" s="858"/>
      <c r="L1795" s="858"/>
      <c r="M1795" s="855"/>
      <c r="N1795" s="862"/>
      <c r="O1795" s="858"/>
      <c r="P1795" s="858"/>
      <c r="Q1795" s="827"/>
      <c r="R1795" s="827"/>
      <c r="S1795" s="823"/>
      <c r="T1795" s="840"/>
      <c r="U1795" s="866">
        <v>363300000</v>
      </c>
      <c r="V1795" s="855">
        <v>43251</v>
      </c>
      <c r="W1795" s="842"/>
      <c r="X1795" s="827"/>
      <c r="Y1795" s="827"/>
      <c r="Z1795" s="827"/>
      <c r="AA1795" s="827"/>
      <c r="AB1795" s="858"/>
      <c r="AC1795" s="858"/>
      <c r="AD1795" s="858"/>
      <c r="AE1795" s="858"/>
      <c r="AF1795" s="863"/>
      <c r="AG1795" s="864"/>
      <c r="AH1795" s="864"/>
      <c r="AI1795" s="864"/>
    </row>
    <row r="1796" spans="1:35" ht="15" customHeight="1">
      <c r="A1796" s="823"/>
      <c r="B1796" s="904"/>
      <c r="C1796" s="823"/>
      <c r="D1796" s="823"/>
      <c r="E1796" s="823"/>
      <c r="F1796" s="823"/>
      <c r="G1796" s="823"/>
      <c r="H1796" s="861"/>
      <c r="I1796" s="840"/>
      <c r="J1796" s="858"/>
      <c r="K1796" s="858"/>
      <c r="L1796" s="858"/>
      <c r="M1796" s="855"/>
      <c r="N1796" s="862"/>
      <c r="O1796" s="858"/>
      <c r="P1796" s="858"/>
      <c r="Q1796" s="827"/>
      <c r="R1796" s="827"/>
      <c r="S1796" s="823"/>
      <c r="T1796" s="840"/>
      <c r="U1796" s="866"/>
      <c r="V1796" s="855"/>
      <c r="W1796" s="842"/>
      <c r="X1796" s="827"/>
      <c r="Y1796" s="827"/>
      <c r="Z1796" s="827"/>
      <c r="AA1796" s="827"/>
      <c r="AB1796" s="858"/>
      <c r="AC1796" s="858"/>
      <c r="AD1796" s="858"/>
      <c r="AE1796" s="858"/>
      <c r="AF1796" s="863"/>
      <c r="AG1796" s="864"/>
      <c r="AH1796" s="864"/>
      <c r="AI1796" s="864"/>
    </row>
    <row r="1797" spans="1:35" ht="15" customHeight="1">
      <c r="A1797" s="823"/>
      <c r="B1797" s="904"/>
      <c r="C1797" s="823"/>
      <c r="D1797" s="823"/>
      <c r="E1797" s="823"/>
      <c r="F1797" s="823"/>
      <c r="G1797" s="823"/>
      <c r="H1797" s="861"/>
      <c r="I1797" s="840"/>
      <c r="J1797" s="858"/>
      <c r="K1797" s="858"/>
      <c r="L1797" s="858"/>
      <c r="M1797" s="855"/>
      <c r="N1797" s="862"/>
      <c r="O1797" s="858"/>
      <c r="P1797" s="858"/>
      <c r="Q1797" s="827"/>
      <c r="R1797" s="827"/>
      <c r="S1797" s="823"/>
      <c r="T1797" s="840"/>
      <c r="U1797" s="866"/>
      <c r="V1797" s="855"/>
      <c r="W1797" s="842"/>
      <c r="X1797" s="827"/>
      <c r="Y1797" s="827"/>
      <c r="Z1797" s="827"/>
      <c r="AA1797" s="827"/>
      <c r="AB1797" s="858"/>
      <c r="AC1797" s="858"/>
      <c r="AD1797" s="858"/>
      <c r="AE1797" s="858"/>
      <c r="AF1797" s="863"/>
      <c r="AG1797" s="864"/>
      <c r="AH1797" s="864"/>
      <c r="AI1797" s="864"/>
    </row>
    <row r="1798" spans="1:35" ht="15" customHeight="1">
      <c r="A1798" s="823" t="s">
        <v>2561</v>
      </c>
      <c r="B1798" s="904" t="s">
        <v>2608</v>
      </c>
      <c r="C1798" s="823"/>
      <c r="D1798" s="823" t="s">
        <v>177</v>
      </c>
      <c r="E1798" s="823"/>
      <c r="F1798" s="823"/>
      <c r="G1798" s="823"/>
      <c r="H1798" s="840"/>
      <c r="I1798" s="840"/>
      <c r="J1798" s="858"/>
      <c r="K1798" s="858"/>
      <c r="L1798" s="858"/>
      <c r="M1798" s="855"/>
      <c r="N1798" s="862"/>
      <c r="O1798" s="858"/>
      <c r="P1798" s="858"/>
      <c r="Q1798" s="827"/>
      <c r="R1798" s="827">
        <v>285219200</v>
      </c>
      <c r="S1798" s="823"/>
      <c r="T1798" s="840"/>
      <c r="U1798" s="866"/>
      <c r="V1798" s="855"/>
      <c r="W1798" s="842"/>
      <c r="X1798" s="827"/>
      <c r="Y1798" s="827"/>
      <c r="Z1798" s="827"/>
      <c r="AA1798" s="827"/>
      <c r="AB1798" s="858"/>
      <c r="AC1798" s="858"/>
      <c r="AD1798" s="858"/>
      <c r="AE1798" s="858"/>
      <c r="AF1798" s="863"/>
      <c r="AG1798" s="864"/>
      <c r="AH1798" s="864"/>
      <c r="AI1798" s="864"/>
    </row>
    <row r="1799" spans="1:35" ht="15" customHeight="1">
      <c r="A1799" s="823" t="s">
        <v>2562</v>
      </c>
      <c r="B1799" s="904" t="s">
        <v>2515</v>
      </c>
      <c r="C1799" s="823"/>
      <c r="D1799" s="823" t="s">
        <v>2540</v>
      </c>
      <c r="E1799" s="823"/>
      <c r="F1799" s="823"/>
      <c r="G1799" s="823"/>
      <c r="H1799" s="840"/>
      <c r="I1799" s="840"/>
      <c r="J1799" s="858"/>
      <c r="K1799" s="858"/>
      <c r="L1799" s="858"/>
      <c r="M1799" s="855"/>
      <c r="N1799" s="862"/>
      <c r="O1799" s="858"/>
      <c r="P1799" s="858"/>
      <c r="Q1799" s="827"/>
      <c r="R1799" s="827">
        <v>107753310</v>
      </c>
      <c r="S1799" s="823"/>
      <c r="T1799" s="840"/>
      <c r="U1799" s="866"/>
      <c r="V1799" s="855"/>
      <c r="W1799" s="842"/>
      <c r="X1799" s="827"/>
      <c r="Y1799" s="827"/>
      <c r="Z1799" s="827"/>
      <c r="AA1799" s="827"/>
      <c r="AB1799" s="858"/>
      <c r="AC1799" s="858"/>
      <c r="AD1799" s="858"/>
      <c r="AE1799" s="858"/>
      <c r="AF1799" s="863"/>
      <c r="AG1799" s="864"/>
      <c r="AH1799" s="864"/>
      <c r="AI1799" s="864"/>
    </row>
    <row r="1800" spans="1:35" ht="31.5">
      <c r="A1800" s="46" t="s">
        <v>2746</v>
      </c>
    </row>
  </sheetData>
  <autoFilter ref="A2:AI1547"/>
  <mergeCells count="9688">
    <mergeCell ref="AF1:AI1"/>
    <mergeCell ref="A3:A8"/>
    <mergeCell ref="B3:B8"/>
    <mergeCell ref="C3:C6"/>
    <mergeCell ref="D3:D8"/>
    <mergeCell ref="A1:G1"/>
    <mergeCell ref="H1:M1"/>
    <mergeCell ref="N1:P1"/>
    <mergeCell ref="Q1:S1"/>
    <mergeCell ref="T1:AA1"/>
    <mergeCell ref="AB1:AE1"/>
    <mergeCell ref="AF3:AF8"/>
    <mergeCell ref="AG3:AG8"/>
    <mergeCell ref="AH3:AH8"/>
    <mergeCell ref="AI3:AI8"/>
    <mergeCell ref="AD7:AD8"/>
    <mergeCell ref="AE7:AE8"/>
    <mergeCell ref="X3:X6"/>
    <mergeCell ref="Y3:Y8"/>
    <mergeCell ref="Z3:Z6"/>
    <mergeCell ref="AA3:AA6"/>
    <mergeCell ref="AB3:AB8"/>
    <mergeCell ref="AC3:AC6"/>
    <mergeCell ref="X7:X8"/>
    <mergeCell ref="Z7:Z8"/>
    <mergeCell ref="AA7:AA8"/>
    <mergeCell ref="AC7:AC8"/>
    <mergeCell ref="K3:K6"/>
    <mergeCell ref="L3:L8"/>
    <mergeCell ref="M3:M6"/>
    <mergeCell ref="Q3:Q6"/>
    <mergeCell ref="R3:R8"/>
    <mergeCell ref="S3:S8"/>
    <mergeCell ref="M7:M8"/>
    <mergeCell ref="Q7:Q8"/>
    <mergeCell ref="L9:L13"/>
    <mergeCell ref="M9:M11"/>
    <mergeCell ref="B9:B13"/>
    <mergeCell ref="C9:C13"/>
    <mergeCell ref="D9:D13"/>
    <mergeCell ref="E9:E11"/>
    <mergeCell ref="F9:F13"/>
    <mergeCell ref="G9:G13"/>
    <mergeCell ref="A9:A13"/>
    <mergeCell ref="C7:C8"/>
    <mergeCell ref="E7:E8"/>
    <mergeCell ref="H7:H8"/>
    <mergeCell ref="I7:I8"/>
    <mergeCell ref="J7:J8"/>
    <mergeCell ref="K7:K8"/>
    <mergeCell ref="AD3:AD6"/>
    <mergeCell ref="AE3:AE6"/>
    <mergeCell ref="E3:E6"/>
    <mergeCell ref="F3:F8"/>
    <mergeCell ref="G3:G8"/>
    <mergeCell ref="H3:H6"/>
    <mergeCell ref="I3:I6"/>
    <mergeCell ref="J3:J6"/>
    <mergeCell ref="AG9:AG13"/>
    <mergeCell ref="AH9:AH13"/>
    <mergeCell ref="AI9:AI13"/>
    <mergeCell ref="E12:E13"/>
    <mergeCell ref="H12:H13"/>
    <mergeCell ref="I12:I13"/>
    <mergeCell ref="J12:J13"/>
    <mergeCell ref="K12:K13"/>
    <mergeCell ref="M12:M13"/>
    <mergeCell ref="Q12:Q13"/>
    <mergeCell ref="AA9:AA11"/>
    <mergeCell ref="AB9:AB13"/>
    <mergeCell ref="AC9:AC11"/>
    <mergeCell ref="AD9:AD11"/>
    <mergeCell ref="AE9:AE11"/>
    <mergeCell ref="AF9:AF13"/>
    <mergeCell ref="AA12:AA13"/>
    <mergeCell ref="AC12:AC13"/>
    <mergeCell ref="AD12:AD13"/>
    <mergeCell ref="AE12:AE13"/>
    <mergeCell ref="Q9:Q11"/>
    <mergeCell ref="R9:R13"/>
    <mergeCell ref="S9:S13"/>
    <mergeCell ref="X9:X11"/>
    <mergeCell ref="Y9:Y13"/>
    <mergeCell ref="Z9:Z11"/>
    <mergeCell ref="X12:X13"/>
    <mergeCell ref="Z12:Z13"/>
    <mergeCell ref="H9:H11"/>
    <mergeCell ref="I9:I11"/>
    <mergeCell ref="J9:J11"/>
    <mergeCell ref="K9:K11"/>
    <mergeCell ref="AG14:AG16"/>
    <mergeCell ref="AH14:AH16"/>
    <mergeCell ref="AI14:AI16"/>
    <mergeCell ref="A18:A21"/>
    <mergeCell ref="B18:B21"/>
    <mergeCell ref="AA14:AA15"/>
    <mergeCell ref="AB14:AB16"/>
    <mergeCell ref="AC14:AC15"/>
    <mergeCell ref="AD14:AD15"/>
    <mergeCell ref="AE14:AE15"/>
    <mergeCell ref="AF14:AF16"/>
    <mergeCell ref="Q14:Q15"/>
    <mergeCell ref="R14:R16"/>
    <mergeCell ref="S14:S16"/>
    <mergeCell ref="X14:X15"/>
    <mergeCell ref="Y14:Y16"/>
    <mergeCell ref="Z14:Z15"/>
    <mergeCell ref="H14:H15"/>
    <mergeCell ref="I14:I15"/>
    <mergeCell ref="J14:J15"/>
    <mergeCell ref="K14:K15"/>
    <mergeCell ref="L14:L16"/>
    <mergeCell ref="M14:M15"/>
    <mergeCell ref="B14:B16"/>
    <mergeCell ref="C14:C15"/>
    <mergeCell ref="D14:D16"/>
    <mergeCell ref="E14:E15"/>
    <mergeCell ref="F14:F16"/>
    <mergeCell ref="G14:G16"/>
    <mergeCell ref="A14:A16"/>
    <mergeCell ref="AE18:AE21"/>
    <mergeCell ref="AF18:AF21"/>
    <mergeCell ref="AG18:AG21"/>
    <mergeCell ref="AH18:AH21"/>
    <mergeCell ref="AI18:AI21"/>
    <mergeCell ref="A22:A24"/>
    <mergeCell ref="Y18:Y21"/>
    <mergeCell ref="Z18:Z21"/>
    <mergeCell ref="AA18:AA21"/>
    <mergeCell ref="AB18:AB21"/>
    <mergeCell ref="AC18:AC21"/>
    <mergeCell ref="AD18:AD20"/>
    <mergeCell ref="O18:O20"/>
    <mergeCell ref="P18:P20"/>
    <mergeCell ref="Q18:Q20"/>
    <mergeCell ref="R18:R21"/>
    <mergeCell ref="S18:S21"/>
    <mergeCell ref="X18:X20"/>
    <mergeCell ref="I18:I20"/>
    <mergeCell ref="J18:J20"/>
    <mergeCell ref="K18:K20"/>
    <mergeCell ref="L18:L21"/>
    <mergeCell ref="M18:M20"/>
    <mergeCell ref="N18:N20"/>
    <mergeCell ref="C18:C21"/>
    <mergeCell ref="D18:D21"/>
    <mergeCell ref="E18:E20"/>
    <mergeCell ref="F18:F21"/>
    <mergeCell ref="G18:G21"/>
    <mergeCell ref="H18:H20"/>
    <mergeCell ref="AF22:AF24"/>
    <mergeCell ref="AG22:AG24"/>
    <mergeCell ref="AH22:AH24"/>
    <mergeCell ref="AI22:AI24"/>
    <mergeCell ref="AJ22:AJ24"/>
    <mergeCell ref="A25:A28"/>
    <mergeCell ref="Z22:Z23"/>
    <mergeCell ref="AA22:AA23"/>
    <mergeCell ref="AB22:AB24"/>
    <mergeCell ref="AC22:AC23"/>
    <mergeCell ref="AD22:AD23"/>
    <mergeCell ref="AE22:AE23"/>
    <mergeCell ref="M22:M23"/>
    <mergeCell ref="Q22:Q23"/>
    <mergeCell ref="R22:R24"/>
    <mergeCell ref="S22:S24"/>
    <mergeCell ref="X22:X23"/>
    <mergeCell ref="Y22:Y24"/>
    <mergeCell ref="G22:G24"/>
    <mergeCell ref="H22:H23"/>
    <mergeCell ref="I22:I23"/>
    <mergeCell ref="J22:J23"/>
    <mergeCell ref="K22:K23"/>
    <mergeCell ref="L22:L24"/>
    <mergeCell ref="B22:B24"/>
    <mergeCell ref="C22:C23"/>
    <mergeCell ref="D22:D24"/>
    <mergeCell ref="E22:E23"/>
    <mergeCell ref="F22:F24"/>
    <mergeCell ref="AF25:AF28"/>
    <mergeCell ref="AG25:AG28"/>
    <mergeCell ref="AH25:AH28"/>
    <mergeCell ref="AI25:AI28"/>
    <mergeCell ref="A29:A32"/>
    <mergeCell ref="Z25:Z27"/>
    <mergeCell ref="AA25:AA27"/>
    <mergeCell ref="AB25:AB28"/>
    <mergeCell ref="AC25:AC27"/>
    <mergeCell ref="AD25:AD27"/>
    <mergeCell ref="AE25:AE27"/>
    <mergeCell ref="M25:M27"/>
    <mergeCell ref="Q25:Q27"/>
    <mergeCell ref="R25:R28"/>
    <mergeCell ref="S25:S28"/>
    <mergeCell ref="X25:X27"/>
    <mergeCell ref="Y25:Y28"/>
    <mergeCell ref="G25:G28"/>
    <mergeCell ref="H25:H27"/>
    <mergeCell ref="I25:I27"/>
    <mergeCell ref="J25:J27"/>
    <mergeCell ref="K25:K27"/>
    <mergeCell ref="L25:L28"/>
    <mergeCell ref="B25:B28"/>
    <mergeCell ref="C25:C28"/>
    <mergeCell ref="D25:D28"/>
    <mergeCell ref="E25:E27"/>
    <mergeCell ref="F25:F28"/>
    <mergeCell ref="E33:E36"/>
    <mergeCell ref="F33:F36"/>
    <mergeCell ref="AE29:AE32"/>
    <mergeCell ref="AF29:AF32"/>
    <mergeCell ref="AG29:AG32"/>
    <mergeCell ref="AH29:AH32"/>
    <mergeCell ref="AI29:AI32"/>
    <mergeCell ref="A33:A36"/>
    <mergeCell ref="X29:X32"/>
    <mergeCell ref="Y29:Y32"/>
    <mergeCell ref="AA29:AA32"/>
    <mergeCell ref="AB29:AB32"/>
    <mergeCell ref="AC29:AC32"/>
    <mergeCell ref="AD29:AD32"/>
    <mergeCell ref="N29:N32"/>
    <mergeCell ref="O29:O32"/>
    <mergeCell ref="P29:P32"/>
    <mergeCell ref="Q29:Q32"/>
    <mergeCell ref="R29:R32"/>
    <mergeCell ref="S29:S32"/>
    <mergeCell ref="H29:H32"/>
    <mergeCell ref="I29:I32"/>
    <mergeCell ref="J29:J32"/>
    <mergeCell ref="K29:K32"/>
    <mergeCell ref="L29:L32"/>
    <mergeCell ref="M29:M32"/>
    <mergeCell ref="B29:B32"/>
    <mergeCell ref="C29:C32"/>
    <mergeCell ref="D29:D32"/>
    <mergeCell ref="E29:E32"/>
    <mergeCell ref="F29:F32"/>
    <mergeCell ref="G29:G32"/>
    <mergeCell ref="AJ33:AJ36"/>
    <mergeCell ref="A37:A42"/>
    <mergeCell ref="B37:B42"/>
    <mergeCell ref="C37:C42"/>
    <mergeCell ref="D37:D42"/>
    <mergeCell ref="AD33:AD36"/>
    <mergeCell ref="AE33:AE36"/>
    <mergeCell ref="AF33:AF36"/>
    <mergeCell ref="AG33:AG36"/>
    <mergeCell ref="AH33:AH36"/>
    <mergeCell ref="AI33:AI36"/>
    <mergeCell ref="S33:S36"/>
    <mergeCell ref="X33:X36"/>
    <mergeCell ref="Y33:Y36"/>
    <mergeCell ref="AA33:AA36"/>
    <mergeCell ref="AB33:AB36"/>
    <mergeCell ref="AC33:AC36"/>
    <mergeCell ref="M33:M36"/>
    <mergeCell ref="N33:N36"/>
    <mergeCell ref="O33:O36"/>
    <mergeCell ref="P33:P36"/>
    <mergeCell ref="Q33:Q36"/>
    <mergeCell ref="R33:R36"/>
    <mergeCell ref="G33:G36"/>
    <mergeCell ref="H33:H36"/>
    <mergeCell ref="I33:I36"/>
    <mergeCell ref="J33:J36"/>
    <mergeCell ref="K33:K36"/>
    <mergeCell ref="L33:L36"/>
    <mergeCell ref="B33:B36"/>
    <mergeCell ref="C33:C36"/>
    <mergeCell ref="D33:D36"/>
    <mergeCell ref="X37:X40"/>
    <mergeCell ref="Y37:Y42"/>
    <mergeCell ref="AA37:AA40"/>
    <mergeCell ref="Q41:Q42"/>
    <mergeCell ref="W41:W42"/>
    <mergeCell ref="X41:X42"/>
    <mergeCell ref="AA41:AA42"/>
    <mergeCell ref="K37:K40"/>
    <mergeCell ref="L37:L42"/>
    <mergeCell ref="M37:M40"/>
    <mergeCell ref="N37:N40"/>
    <mergeCell ref="O37:O40"/>
    <mergeCell ref="P37:P40"/>
    <mergeCell ref="O41:O42"/>
    <mergeCell ref="P41:P42"/>
    <mergeCell ref="E37:E40"/>
    <mergeCell ref="F37:F42"/>
    <mergeCell ref="G37:G42"/>
    <mergeCell ref="H37:H40"/>
    <mergeCell ref="I37:I40"/>
    <mergeCell ref="J37:J40"/>
    <mergeCell ref="A45:A48"/>
    <mergeCell ref="AH49:AH52"/>
    <mergeCell ref="AI49:AI52"/>
    <mergeCell ref="A43:A44"/>
    <mergeCell ref="H43:H44"/>
    <mergeCell ref="I43:I44"/>
    <mergeCell ref="W43:W44"/>
    <mergeCell ref="X43:X44"/>
    <mergeCell ref="Y43:Y44"/>
    <mergeCell ref="AH37:AH42"/>
    <mergeCell ref="AI37:AI42"/>
    <mergeCell ref="AJ37:AJ42"/>
    <mergeCell ref="E41:E42"/>
    <mergeCell ref="H41:H42"/>
    <mergeCell ref="I41:I42"/>
    <mergeCell ref="J41:J42"/>
    <mergeCell ref="K41:K42"/>
    <mergeCell ref="M41:M42"/>
    <mergeCell ref="N41:N42"/>
    <mergeCell ref="AB37:AB40"/>
    <mergeCell ref="AC37:AC40"/>
    <mergeCell ref="AD37:AD40"/>
    <mergeCell ref="AE37:AE40"/>
    <mergeCell ref="AF37:AF42"/>
    <mergeCell ref="AG37:AG42"/>
    <mergeCell ref="AB41:AB42"/>
    <mergeCell ref="AC41:AC42"/>
    <mergeCell ref="AD41:AD42"/>
    <mergeCell ref="AE41:AE42"/>
    <mergeCell ref="Q37:Q40"/>
    <mergeCell ref="R37:R42"/>
    <mergeCell ref="S37:S42"/>
    <mergeCell ref="H49:H51"/>
    <mergeCell ref="AH53:AH54"/>
    <mergeCell ref="AI53:AI54"/>
    <mergeCell ref="AG45:AG48"/>
    <mergeCell ref="AH45:AH48"/>
    <mergeCell ref="AI45:AI48"/>
    <mergeCell ref="A49:A52"/>
    <mergeCell ref="B49:B52"/>
    <mergeCell ref="AA45:AA48"/>
    <mergeCell ref="AB45:AB48"/>
    <mergeCell ref="AC45:AC48"/>
    <mergeCell ref="AD45:AD48"/>
    <mergeCell ref="AE45:AE48"/>
    <mergeCell ref="AF45:AF48"/>
    <mergeCell ref="Q45:Q48"/>
    <mergeCell ref="R45:R48"/>
    <mergeCell ref="S45:S48"/>
    <mergeCell ref="X45:X48"/>
    <mergeCell ref="Y45:Y48"/>
    <mergeCell ref="Z45:Z48"/>
    <mergeCell ref="H45:H48"/>
    <mergeCell ref="I45:I48"/>
    <mergeCell ref="J45:J48"/>
    <mergeCell ref="K45:K48"/>
    <mergeCell ref="L45:L48"/>
    <mergeCell ref="M45:M48"/>
    <mergeCell ref="B45:B48"/>
    <mergeCell ref="C45:C48"/>
    <mergeCell ref="D45:D48"/>
    <mergeCell ref="E45:E48"/>
    <mergeCell ref="F45:F48"/>
    <mergeCell ref="G45:G48"/>
    <mergeCell ref="C53:C54"/>
    <mergeCell ref="D53:D54"/>
    <mergeCell ref="E53:E54"/>
    <mergeCell ref="F53:F54"/>
    <mergeCell ref="G53:G54"/>
    <mergeCell ref="H53:H54"/>
    <mergeCell ref="AJ49:AJ52"/>
    <mergeCell ref="A53:A54"/>
    <mergeCell ref="B53:B54"/>
    <mergeCell ref="AB49:AB52"/>
    <mergeCell ref="AC49:AC50"/>
    <mergeCell ref="AD49:AD50"/>
    <mergeCell ref="AE49:AE50"/>
    <mergeCell ref="AF49:AF52"/>
    <mergeCell ref="AG49:AG52"/>
    <mergeCell ref="R49:R52"/>
    <mergeCell ref="S49:S52"/>
    <mergeCell ref="X49:X50"/>
    <mergeCell ref="Y49:Y52"/>
    <mergeCell ref="Z49:Z50"/>
    <mergeCell ref="AA49:AA50"/>
    <mergeCell ref="I49:I51"/>
    <mergeCell ref="J49:J50"/>
    <mergeCell ref="K49:K50"/>
    <mergeCell ref="L49:L52"/>
    <mergeCell ref="M49:M50"/>
    <mergeCell ref="Q49:Q50"/>
    <mergeCell ref="C49:C52"/>
    <mergeCell ref="D49:D52"/>
    <mergeCell ref="E49:E50"/>
    <mergeCell ref="F49:F52"/>
    <mergeCell ref="G49:G52"/>
    <mergeCell ref="AB53:AB54"/>
    <mergeCell ref="AC53:AC54"/>
    <mergeCell ref="AD53:AD54"/>
    <mergeCell ref="AE53:AE54"/>
    <mergeCell ref="AF53:AF54"/>
    <mergeCell ref="AG53:AG54"/>
    <mergeCell ref="R53:R54"/>
    <mergeCell ref="S53:S54"/>
    <mergeCell ref="X53:X54"/>
    <mergeCell ref="Y53:Y54"/>
    <mergeCell ref="Z53:Z54"/>
    <mergeCell ref="AA53:AA54"/>
    <mergeCell ref="I53:I54"/>
    <mergeCell ref="J53:J54"/>
    <mergeCell ref="K53:K54"/>
    <mergeCell ref="L53:L54"/>
    <mergeCell ref="M53:M54"/>
    <mergeCell ref="Q53:Q54"/>
    <mergeCell ref="J55:J57"/>
    <mergeCell ref="K55:K57"/>
    <mergeCell ref="L55:L57"/>
    <mergeCell ref="M55:M57"/>
    <mergeCell ref="Q55:Q57"/>
    <mergeCell ref="R55:R57"/>
    <mergeCell ref="D55:D57"/>
    <mergeCell ref="E55:E57"/>
    <mergeCell ref="F55:F57"/>
    <mergeCell ref="G55:G57"/>
    <mergeCell ref="H55:H57"/>
    <mergeCell ref="I55:I57"/>
    <mergeCell ref="X58:X61"/>
    <mergeCell ref="Y58:Y64"/>
    <mergeCell ref="AB58:AB61"/>
    <mergeCell ref="A55:A57"/>
    <mergeCell ref="B55:B57"/>
    <mergeCell ref="C55:C57"/>
    <mergeCell ref="K58:K61"/>
    <mergeCell ref="L58:L64"/>
    <mergeCell ref="M58:M61"/>
    <mergeCell ref="N58:N61"/>
    <mergeCell ref="O58:O61"/>
    <mergeCell ref="P58:P61"/>
    <mergeCell ref="E58:E61"/>
    <mergeCell ref="F58:F64"/>
    <mergeCell ref="G58:G64"/>
    <mergeCell ref="H58:H61"/>
    <mergeCell ref="I58:I61"/>
    <mergeCell ref="J58:J61"/>
    <mergeCell ref="K62:K64"/>
    <mergeCell ref="M62:M64"/>
    <mergeCell ref="K65:K67"/>
    <mergeCell ref="L65:L68"/>
    <mergeCell ref="M65:M67"/>
    <mergeCell ref="AI55:AI57"/>
    <mergeCell ref="A58:A64"/>
    <mergeCell ref="B58:B64"/>
    <mergeCell ref="C58:C64"/>
    <mergeCell ref="D58:D64"/>
    <mergeCell ref="AC55:AC57"/>
    <mergeCell ref="AD55:AD57"/>
    <mergeCell ref="AE55:AE57"/>
    <mergeCell ref="AF55:AF57"/>
    <mergeCell ref="AG55:AG57"/>
    <mergeCell ref="AH55:AH57"/>
    <mergeCell ref="S55:S57"/>
    <mergeCell ref="X55:X57"/>
    <mergeCell ref="Y55:Y57"/>
    <mergeCell ref="Z55:Z57"/>
    <mergeCell ref="AA55:AA57"/>
    <mergeCell ref="AB55:AB57"/>
    <mergeCell ref="B65:B68"/>
    <mergeCell ref="C65:C68"/>
    <mergeCell ref="D65:D68"/>
    <mergeCell ref="E65:E67"/>
    <mergeCell ref="F65:F68"/>
    <mergeCell ref="G65:G68"/>
    <mergeCell ref="A65:A68"/>
    <mergeCell ref="AI58:AI64"/>
    <mergeCell ref="E62:E64"/>
    <mergeCell ref="H62:H64"/>
    <mergeCell ref="I62:I64"/>
    <mergeCell ref="J62:J64"/>
    <mergeCell ref="N62:N64"/>
    <mergeCell ref="O62:O64"/>
    <mergeCell ref="P62:P64"/>
    <mergeCell ref="AC58:AC61"/>
    <mergeCell ref="AD58:AD61"/>
    <mergeCell ref="AE58:AE61"/>
    <mergeCell ref="AF58:AF64"/>
    <mergeCell ref="AG58:AG64"/>
    <mergeCell ref="AH58:AH64"/>
    <mergeCell ref="AC62:AC64"/>
    <mergeCell ref="AD62:AD64"/>
    <mergeCell ref="AE62:AE64"/>
    <mergeCell ref="Q58:Q61"/>
    <mergeCell ref="R58:R64"/>
    <mergeCell ref="S58:S64"/>
    <mergeCell ref="Q62:Q64"/>
    <mergeCell ref="X62:X64"/>
    <mergeCell ref="AB62:AB64"/>
    <mergeCell ref="G69:G70"/>
    <mergeCell ref="H69:H70"/>
    <mergeCell ref="I69:I70"/>
    <mergeCell ref="J69:J70"/>
    <mergeCell ref="K69:K70"/>
    <mergeCell ref="L69:L70"/>
    <mergeCell ref="B69:B70"/>
    <mergeCell ref="C69:C70"/>
    <mergeCell ref="D69:D70"/>
    <mergeCell ref="E69:E70"/>
    <mergeCell ref="F69:F70"/>
    <mergeCell ref="AE65:AE67"/>
    <mergeCell ref="AF65:AF68"/>
    <mergeCell ref="AG65:AG68"/>
    <mergeCell ref="AH65:AH68"/>
    <mergeCell ref="AI65:AI68"/>
    <mergeCell ref="A69:A70"/>
    <mergeCell ref="X65:X67"/>
    <mergeCell ref="Y65:Y68"/>
    <mergeCell ref="AA65:AA67"/>
    <mergeCell ref="AB65:AB67"/>
    <mergeCell ref="AC65:AC67"/>
    <mergeCell ref="AD65:AD67"/>
    <mergeCell ref="N65:N67"/>
    <mergeCell ref="O65:O67"/>
    <mergeCell ref="P65:P67"/>
    <mergeCell ref="Q65:Q67"/>
    <mergeCell ref="R65:R68"/>
    <mergeCell ref="S65:S68"/>
    <mergeCell ref="H65:H67"/>
    <mergeCell ref="I65:I67"/>
    <mergeCell ref="J65:J67"/>
    <mergeCell ref="Q71:Q72"/>
    <mergeCell ref="R71:R72"/>
    <mergeCell ref="S71:S72"/>
    <mergeCell ref="E71:E72"/>
    <mergeCell ref="F71:F72"/>
    <mergeCell ref="G71:G72"/>
    <mergeCell ref="H71:H73"/>
    <mergeCell ref="I71:I73"/>
    <mergeCell ref="J71:J72"/>
    <mergeCell ref="AI69:AI70"/>
    <mergeCell ref="A71:A73"/>
    <mergeCell ref="B71:B72"/>
    <mergeCell ref="C71:C72"/>
    <mergeCell ref="D71:D72"/>
    <mergeCell ref="AC69:AC70"/>
    <mergeCell ref="AD69:AD70"/>
    <mergeCell ref="AE69:AE70"/>
    <mergeCell ref="AF69:AF70"/>
    <mergeCell ref="AG69:AG70"/>
    <mergeCell ref="AH69:AH70"/>
    <mergeCell ref="S69:S70"/>
    <mergeCell ref="X69:X70"/>
    <mergeCell ref="Y69:Y70"/>
    <mergeCell ref="Z69:Z70"/>
    <mergeCell ref="AA69:AA70"/>
    <mergeCell ref="AB69:AB70"/>
    <mergeCell ref="M69:M70"/>
    <mergeCell ref="N69:N70"/>
    <mergeCell ref="O69:O70"/>
    <mergeCell ref="P69:P70"/>
    <mergeCell ref="Q69:Q70"/>
    <mergeCell ref="R69:R70"/>
    <mergeCell ref="F76:F80"/>
    <mergeCell ref="G76:G80"/>
    <mergeCell ref="H76:H78"/>
    <mergeCell ref="I76:I78"/>
    <mergeCell ref="J76:J78"/>
    <mergeCell ref="K76:K78"/>
    <mergeCell ref="B76:B80"/>
    <mergeCell ref="C76:C80"/>
    <mergeCell ref="D76:D80"/>
    <mergeCell ref="E76:E78"/>
    <mergeCell ref="AJ71:AJ72"/>
    <mergeCell ref="A74:A75"/>
    <mergeCell ref="H74:H75"/>
    <mergeCell ref="I74:I75"/>
    <mergeCell ref="W74:W75"/>
    <mergeCell ref="AJ74:AJ76"/>
    <mergeCell ref="A76:A80"/>
    <mergeCell ref="AD71:AD72"/>
    <mergeCell ref="AE71:AE72"/>
    <mergeCell ref="AF71:AF72"/>
    <mergeCell ref="AG71:AG72"/>
    <mergeCell ref="AH71:AH72"/>
    <mergeCell ref="AI71:AI72"/>
    <mergeCell ref="X71:X72"/>
    <mergeCell ref="Y71:Y72"/>
    <mergeCell ref="Z71:Z72"/>
    <mergeCell ref="AA71:AA72"/>
    <mergeCell ref="AB71:AB72"/>
    <mergeCell ref="AC71:AC72"/>
    <mergeCell ref="K71:K72"/>
    <mergeCell ref="L71:L72"/>
    <mergeCell ref="M71:M72"/>
    <mergeCell ref="AE79:AE80"/>
    <mergeCell ref="A81:A82"/>
    <mergeCell ref="B81:B82"/>
    <mergeCell ref="C81:C82"/>
    <mergeCell ref="D81:D82"/>
    <mergeCell ref="AE76:AE78"/>
    <mergeCell ref="AF76:AF80"/>
    <mergeCell ref="AG76:AG80"/>
    <mergeCell ref="AH76:AH80"/>
    <mergeCell ref="AI76:AI80"/>
    <mergeCell ref="E79:E80"/>
    <mergeCell ref="H79:H80"/>
    <mergeCell ref="I79:I80"/>
    <mergeCell ref="J79:J80"/>
    <mergeCell ref="K79:K80"/>
    <mergeCell ref="Y76:Y80"/>
    <mergeCell ref="Z76:Z80"/>
    <mergeCell ref="AA76:AA80"/>
    <mergeCell ref="AB76:AB80"/>
    <mergeCell ref="AC76:AC78"/>
    <mergeCell ref="AD76:AD78"/>
    <mergeCell ref="AC79:AC80"/>
    <mergeCell ref="AD79:AD80"/>
    <mergeCell ref="L76:L80"/>
    <mergeCell ref="M76:M78"/>
    <mergeCell ref="Q76:Q78"/>
    <mergeCell ref="R76:R80"/>
    <mergeCell ref="S76:S80"/>
    <mergeCell ref="X76:X78"/>
    <mergeCell ref="M79:M80"/>
    <mergeCell ref="Q79:Q80"/>
    <mergeCell ref="X79:X80"/>
    <mergeCell ref="AH81:AH82"/>
    <mergeCell ref="AI81:AI82"/>
    <mergeCell ref="X81:X82"/>
    <mergeCell ref="Y81:Y82"/>
    <mergeCell ref="Z81:Z82"/>
    <mergeCell ref="AA81:AA82"/>
    <mergeCell ref="AB81:AB82"/>
    <mergeCell ref="AC81:AC82"/>
    <mergeCell ref="K81:K82"/>
    <mergeCell ref="L81:L82"/>
    <mergeCell ref="M81:M82"/>
    <mergeCell ref="Q81:Q82"/>
    <mergeCell ref="R81:R82"/>
    <mergeCell ref="S81:S82"/>
    <mergeCell ref="E81:E82"/>
    <mergeCell ref="F81:F82"/>
    <mergeCell ref="G81:G82"/>
    <mergeCell ref="H81:H82"/>
    <mergeCell ref="I81:I82"/>
    <mergeCell ref="J81:J82"/>
    <mergeCell ref="K83:K86"/>
    <mergeCell ref="L83:L94"/>
    <mergeCell ref="M83:M86"/>
    <mergeCell ref="H87:H90"/>
    <mergeCell ref="I87:I89"/>
    <mergeCell ref="J87:J89"/>
    <mergeCell ref="K87:K90"/>
    <mergeCell ref="AF83:AF94"/>
    <mergeCell ref="AG83:AG94"/>
    <mergeCell ref="E83:E94"/>
    <mergeCell ref="F83:F94"/>
    <mergeCell ref="G83:G94"/>
    <mergeCell ref="A83:A94"/>
    <mergeCell ref="AD81:AD82"/>
    <mergeCell ref="AE81:AE82"/>
    <mergeCell ref="AF81:AF82"/>
    <mergeCell ref="AG81:AG82"/>
    <mergeCell ref="N83:N86"/>
    <mergeCell ref="O83:O85"/>
    <mergeCell ref="P83:P85"/>
    <mergeCell ref="Q83:Q85"/>
    <mergeCell ref="B83:B94"/>
    <mergeCell ref="C83:C94"/>
    <mergeCell ref="D83:D94"/>
    <mergeCell ref="AA91:AA93"/>
    <mergeCell ref="AB91:AB94"/>
    <mergeCell ref="AC91:AC93"/>
    <mergeCell ref="H91:H94"/>
    <mergeCell ref="I91:I93"/>
    <mergeCell ref="J91:J93"/>
    <mergeCell ref="K91:K94"/>
    <mergeCell ref="M91:M94"/>
    <mergeCell ref="AI83:AI94"/>
    <mergeCell ref="T85:T86"/>
    <mergeCell ref="U87:U88"/>
    <mergeCell ref="W87:W88"/>
    <mergeCell ref="X87:X90"/>
    <mergeCell ref="Z83:Z84"/>
    <mergeCell ref="AA83:AA85"/>
    <mergeCell ref="AB83:AB86"/>
    <mergeCell ref="AC83:AC86"/>
    <mergeCell ref="AD83:AD86"/>
    <mergeCell ref="AE83:AE86"/>
    <mergeCell ref="T83:T84"/>
    <mergeCell ref="U83:U84"/>
    <mergeCell ref="W83:W84"/>
    <mergeCell ref="X83:X86"/>
    <mergeCell ref="Y83:Y94"/>
    <mergeCell ref="T91:T92"/>
    <mergeCell ref="U91:U92"/>
    <mergeCell ref="AD91:AD94"/>
    <mergeCell ref="AE91:AE94"/>
    <mergeCell ref="T93:T94"/>
    <mergeCell ref="AD87:AD90"/>
    <mergeCell ref="AE87:AE90"/>
    <mergeCell ref="W91:W92"/>
    <mergeCell ref="X91:X94"/>
    <mergeCell ref="Z91:Z92"/>
    <mergeCell ref="O87:O89"/>
    <mergeCell ref="P87:P89"/>
    <mergeCell ref="Q87:Q89"/>
    <mergeCell ref="T87:T88"/>
    <mergeCell ref="T89:T90"/>
    <mergeCell ref="V93:V94"/>
    <mergeCell ref="R83:R94"/>
    <mergeCell ref="S83:S94"/>
    <mergeCell ref="O91:O93"/>
    <mergeCell ref="P91:P93"/>
    <mergeCell ref="Q91:Q93"/>
    <mergeCell ref="Q95:Q97"/>
    <mergeCell ref="R95:R106"/>
    <mergeCell ref="S95:S106"/>
    <mergeCell ref="X95:X99"/>
    <mergeCell ref="Y95:Y106"/>
    <mergeCell ref="AH83:AH94"/>
    <mergeCell ref="AG95:AG106"/>
    <mergeCell ref="AH95:AH106"/>
    <mergeCell ref="H83:H86"/>
    <mergeCell ref="I83:I85"/>
    <mergeCell ref="J83:J85"/>
    <mergeCell ref="AE98:AE99"/>
    <mergeCell ref="AA95:AA97"/>
    <mergeCell ref="AB95:AB106"/>
    <mergeCell ref="AC95:AC97"/>
    <mergeCell ref="AD95:AD99"/>
    <mergeCell ref="AE95:AE97"/>
    <mergeCell ref="AF95:AF106"/>
    <mergeCell ref="AA100:AA102"/>
    <mergeCell ref="AC100:AC104"/>
    <mergeCell ref="AD100:AD104"/>
    <mergeCell ref="AE100:AE104"/>
    <mergeCell ref="AD105:AD106"/>
    <mergeCell ref="AE105:AE106"/>
    <mergeCell ref="AA105:AA106"/>
    <mergeCell ref="AC105:AC106"/>
    <mergeCell ref="AA103:AA104"/>
    <mergeCell ref="J103:J104"/>
    <mergeCell ref="H100:H104"/>
    <mergeCell ref="I100:I102"/>
    <mergeCell ref="J100:J102"/>
    <mergeCell ref="K100:K104"/>
    <mergeCell ref="M100:M104"/>
    <mergeCell ref="N91:N94"/>
    <mergeCell ref="Z87:Z88"/>
    <mergeCell ref="AA87:AA89"/>
    <mergeCell ref="AB87:AB90"/>
    <mergeCell ref="AC87:AC90"/>
    <mergeCell ref="M87:M90"/>
    <mergeCell ref="N87:N90"/>
    <mergeCell ref="A95:A106"/>
    <mergeCell ref="B95:B106"/>
    <mergeCell ref="C95:C106"/>
    <mergeCell ref="D95:D106"/>
    <mergeCell ref="E95:E104"/>
    <mergeCell ref="F95:F106"/>
    <mergeCell ref="G95:G106"/>
    <mergeCell ref="Z95:Z99"/>
    <mergeCell ref="Q98:Q99"/>
    <mergeCell ref="Q100:Q104"/>
    <mergeCell ref="X100:X104"/>
    <mergeCell ref="Z100:Z104"/>
    <mergeCell ref="H95:H99"/>
    <mergeCell ref="I95:I97"/>
    <mergeCell ref="J95:J97"/>
    <mergeCell ref="K95:K99"/>
    <mergeCell ref="L95:L106"/>
    <mergeCell ref="M95:M99"/>
    <mergeCell ref="I98:I99"/>
    <mergeCell ref="J98:J99"/>
    <mergeCell ref="X105:X106"/>
    <mergeCell ref="Z105:Z106"/>
    <mergeCell ref="E105:E106"/>
    <mergeCell ref="H105:H106"/>
    <mergeCell ref="I105:I106"/>
    <mergeCell ref="J105:J106"/>
    <mergeCell ref="K105:K106"/>
    <mergeCell ref="M105:M106"/>
    <mergeCell ref="Q105:Q106"/>
    <mergeCell ref="T105:T106"/>
    <mergeCell ref="T101:T104"/>
    <mergeCell ref="I103:I104"/>
    <mergeCell ref="AF107:AF114"/>
    <mergeCell ref="AG107:AG114"/>
    <mergeCell ref="AH107:AH114"/>
    <mergeCell ref="AI107:AI114"/>
    <mergeCell ref="X107:X114"/>
    <mergeCell ref="Y107:Y114"/>
    <mergeCell ref="Z107:Z114"/>
    <mergeCell ref="AA107:AA110"/>
    <mergeCell ref="AB107:AB114"/>
    <mergeCell ref="AC107:AC114"/>
    <mergeCell ref="AA111:AA114"/>
    <mergeCell ref="S107:S114"/>
    <mergeCell ref="T107:T108"/>
    <mergeCell ref="T109:T110"/>
    <mergeCell ref="J107:J110"/>
    <mergeCell ref="K107:K114"/>
    <mergeCell ref="L107:L114"/>
    <mergeCell ref="M107:M114"/>
    <mergeCell ref="Q107:Q114"/>
    <mergeCell ref="R107:R114"/>
    <mergeCell ref="AI95:AI106"/>
    <mergeCell ref="T96:T99"/>
    <mergeCell ref="AA98:AA99"/>
    <mergeCell ref="AC98:AC99"/>
    <mergeCell ref="C115:C119"/>
    <mergeCell ref="D115:D119"/>
    <mergeCell ref="E115:E118"/>
    <mergeCell ref="F115:F119"/>
    <mergeCell ref="G115:G119"/>
    <mergeCell ref="H115:H118"/>
    <mergeCell ref="A115:A119"/>
    <mergeCell ref="B115:B119"/>
    <mergeCell ref="I111:I114"/>
    <mergeCell ref="J111:J114"/>
    <mergeCell ref="T111:T112"/>
    <mergeCell ref="T113:T114"/>
    <mergeCell ref="AD107:AD114"/>
    <mergeCell ref="D107:D114"/>
    <mergeCell ref="E107:E114"/>
    <mergeCell ref="F107:F114"/>
    <mergeCell ref="G107:G114"/>
    <mergeCell ref="H107:H114"/>
    <mergeCell ref="I107:I110"/>
    <mergeCell ref="V107:V108"/>
    <mergeCell ref="V109:V110"/>
    <mergeCell ref="V111:V112"/>
    <mergeCell ref="V113:V114"/>
    <mergeCell ref="V115:V116"/>
    <mergeCell ref="A107:A114"/>
    <mergeCell ref="B107:B114"/>
    <mergeCell ref="C107:C114"/>
    <mergeCell ref="AE107:AE114"/>
    <mergeCell ref="A120:A142"/>
    <mergeCell ref="AI115:AI119"/>
    <mergeCell ref="AJ115:AJ119"/>
    <mergeCell ref="I117:I118"/>
    <mergeCell ref="J117:J118"/>
    <mergeCell ref="Q117:Q118"/>
    <mergeCell ref="T117:T118"/>
    <mergeCell ref="AC115:AC116"/>
    <mergeCell ref="AD115:AD116"/>
    <mergeCell ref="AE115:AE116"/>
    <mergeCell ref="AF115:AF119"/>
    <mergeCell ref="AG115:AG119"/>
    <mergeCell ref="AH115:AH119"/>
    <mergeCell ref="AC117:AC118"/>
    <mergeCell ref="AD117:AD118"/>
    <mergeCell ref="AE117:AE118"/>
    <mergeCell ref="X115:X118"/>
    <mergeCell ref="Y115:Y119"/>
    <mergeCell ref="Z115:Z118"/>
    <mergeCell ref="AA115:AA116"/>
    <mergeCell ref="AB115:AB119"/>
    <mergeCell ref="AA117:AA118"/>
    <mergeCell ref="V117:V118"/>
    <mergeCell ref="R115:R119"/>
    <mergeCell ref="S115:S119"/>
    <mergeCell ref="T115:T116"/>
    <mergeCell ref="I115:I116"/>
    <mergeCell ref="J115:J116"/>
    <mergeCell ref="K115:K118"/>
    <mergeCell ref="L115:L119"/>
    <mergeCell ref="M115:M118"/>
    <mergeCell ref="Q115:Q116"/>
    <mergeCell ref="N124:N126"/>
    <mergeCell ref="O124:O125"/>
    <mergeCell ref="P124:P125"/>
    <mergeCell ref="Q124:Q125"/>
    <mergeCell ref="H120:H123"/>
    <mergeCell ref="I120:I122"/>
    <mergeCell ref="J120:J122"/>
    <mergeCell ref="K120:K123"/>
    <mergeCell ref="L120:L142"/>
    <mergeCell ref="M120:M142"/>
    <mergeCell ref="H124:H126"/>
    <mergeCell ref="I124:I125"/>
    <mergeCell ref="J124:J125"/>
    <mergeCell ref="K124:K126"/>
    <mergeCell ref="Q131:Q133"/>
    <mergeCell ref="H131:H134"/>
    <mergeCell ref="I131:I133"/>
    <mergeCell ref="J131:J133"/>
    <mergeCell ref="K131:K134"/>
    <mergeCell ref="N131:N134"/>
    <mergeCell ref="O131:O133"/>
    <mergeCell ref="P131:P133"/>
    <mergeCell ref="H127:H130"/>
    <mergeCell ref="I127:I129"/>
    <mergeCell ref="J127:J129"/>
    <mergeCell ref="K127:K130"/>
    <mergeCell ref="AE120:AE123"/>
    <mergeCell ref="AF120:AF142"/>
    <mergeCell ref="AG120:AG142"/>
    <mergeCell ref="AH120:AH142"/>
    <mergeCell ref="AI120:AI142"/>
    <mergeCell ref="T121:T122"/>
    <mergeCell ref="X124:X126"/>
    <mergeCell ref="AA124:AA125"/>
    <mergeCell ref="AC124:AC126"/>
    <mergeCell ref="X120:X123"/>
    <mergeCell ref="Y120:Y142"/>
    <mergeCell ref="AA120:AA122"/>
    <mergeCell ref="AB120:AB142"/>
    <mergeCell ref="AC120:AC123"/>
    <mergeCell ref="AD120:AD123"/>
    <mergeCell ref="AD124:AD126"/>
    <mergeCell ref="AA127:AA129"/>
    <mergeCell ref="AC127:AC130"/>
    <mergeCell ref="AD127:AD130"/>
    <mergeCell ref="X131:X134"/>
    <mergeCell ref="AA131:AA133"/>
    <mergeCell ref="AC131:AC134"/>
    <mergeCell ref="AD131:AD134"/>
    <mergeCell ref="AE131:AE134"/>
    <mergeCell ref="T133:T134"/>
    <mergeCell ref="AE127:AE130"/>
    <mergeCell ref="T129:T130"/>
    <mergeCell ref="AE124:AE126"/>
    <mergeCell ref="X127:X130"/>
    <mergeCell ref="AE139:AE142"/>
    <mergeCell ref="T140:T141"/>
    <mergeCell ref="A143:A159"/>
    <mergeCell ref="B143:B159"/>
    <mergeCell ref="P139:P141"/>
    <mergeCell ref="Q139:Q141"/>
    <mergeCell ref="X139:X142"/>
    <mergeCell ref="AA139:AA141"/>
    <mergeCell ref="AC139:AC142"/>
    <mergeCell ref="AD139:AD142"/>
    <mergeCell ref="AE135:AE138"/>
    <mergeCell ref="T137:T138"/>
    <mergeCell ref="H139:H142"/>
    <mergeCell ref="I139:I141"/>
    <mergeCell ref="J139:J141"/>
    <mergeCell ref="K139:K142"/>
    <mergeCell ref="N139:N142"/>
    <mergeCell ref="O139:O141"/>
    <mergeCell ref="P135:P137"/>
    <mergeCell ref="Q135:Q137"/>
    <mergeCell ref="X135:X138"/>
    <mergeCell ref="AA135:AA137"/>
    <mergeCell ref="AC135:AC138"/>
    <mergeCell ref="AD135:AD138"/>
    <mergeCell ref="H135:H138"/>
    <mergeCell ref="I135:I137"/>
    <mergeCell ref="J135:J137"/>
    <mergeCell ref="D120:D142"/>
    <mergeCell ref="E120:E142"/>
    <mergeCell ref="F120:F142"/>
    <mergeCell ref="G120:G142"/>
    <mergeCell ref="K135:K138"/>
    <mergeCell ref="N135:N138"/>
    <mergeCell ref="O135:O137"/>
    <mergeCell ref="B120:B142"/>
    <mergeCell ref="C120:C142"/>
    <mergeCell ref="O143:O146"/>
    <mergeCell ref="P143:P146"/>
    <mergeCell ref="Q143:Q146"/>
    <mergeCell ref="R143:R159"/>
    <mergeCell ref="S143:S159"/>
    <mergeCell ref="T143:T144"/>
    <mergeCell ref="T145:T146"/>
    <mergeCell ref="O147:O150"/>
    <mergeCell ref="P147:P150"/>
    <mergeCell ref="Q147:Q150"/>
    <mergeCell ref="I143:I146"/>
    <mergeCell ref="J143:J146"/>
    <mergeCell ref="K143:K150"/>
    <mergeCell ref="L143:L159"/>
    <mergeCell ref="M143:M150"/>
    <mergeCell ref="N143:N150"/>
    <mergeCell ref="I147:I150"/>
    <mergeCell ref="J147:J150"/>
    <mergeCell ref="I155:I158"/>
    <mergeCell ref="J155:J158"/>
    <mergeCell ref="N127:N130"/>
    <mergeCell ref="O127:O129"/>
    <mergeCell ref="P127:P129"/>
    <mergeCell ref="Q127:Q129"/>
    <mergeCell ref="N120:N123"/>
    <mergeCell ref="O120:O122"/>
    <mergeCell ref="P120:P122"/>
    <mergeCell ref="Q120:Q122"/>
    <mergeCell ref="R120:R142"/>
    <mergeCell ref="S120:S142"/>
    <mergeCell ref="AD143:AD150"/>
    <mergeCell ref="AE143:AE150"/>
    <mergeCell ref="AF143:AF159"/>
    <mergeCell ref="AG143:AG159"/>
    <mergeCell ref="AH143:AH159"/>
    <mergeCell ref="AI143:AI159"/>
    <mergeCell ref="AD151:AD158"/>
    <mergeCell ref="AE151:AE158"/>
    <mergeCell ref="W143:W146"/>
    <mergeCell ref="X143:X150"/>
    <mergeCell ref="Y143:Y159"/>
    <mergeCell ref="AA143:AA146"/>
    <mergeCell ref="AB143:AB150"/>
    <mergeCell ref="AC143:AC150"/>
    <mergeCell ref="AB151:AB158"/>
    <mergeCell ref="AC151:AC158"/>
    <mergeCell ref="AA155:AA158"/>
    <mergeCell ref="A160:A164"/>
    <mergeCell ref="O151:O154"/>
    <mergeCell ref="P151:P154"/>
    <mergeCell ref="Q151:Q154"/>
    <mergeCell ref="W151:W154"/>
    <mergeCell ref="X151:X158"/>
    <mergeCell ref="AA151:AA154"/>
    <mergeCell ref="O155:O158"/>
    <mergeCell ref="P155:P158"/>
    <mergeCell ref="Q155:Q158"/>
    <mergeCell ref="W155:W158"/>
    <mergeCell ref="T147:T148"/>
    <mergeCell ref="W147:W150"/>
    <mergeCell ref="AA147:AA150"/>
    <mergeCell ref="T149:T150"/>
    <mergeCell ref="H151:H158"/>
    <mergeCell ref="I151:I154"/>
    <mergeCell ref="J151:J154"/>
    <mergeCell ref="K151:K158"/>
    <mergeCell ref="M151:M158"/>
    <mergeCell ref="N151:N158"/>
    <mergeCell ref="C143:C159"/>
    <mergeCell ref="D143:D159"/>
    <mergeCell ref="E143:E158"/>
    <mergeCell ref="F143:F159"/>
    <mergeCell ref="G143:G159"/>
    <mergeCell ref="H143:H150"/>
    <mergeCell ref="Z160:Z163"/>
    <mergeCell ref="AA160:AA161"/>
    <mergeCell ref="AA162:AA163"/>
    <mergeCell ref="V162:V163"/>
    <mergeCell ref="Q160:Q161"/>
    <mergeCell ref="R160:R164"/>
    <mergeCell ref="S160:S164"/>
    <mergeCell ref="T160:T161"/>
    <mergeCell ref="H160:H163"/>
    <mergeCell ref="I160:I161"/>
    <mergeCell ref="J160:J161"/>
    <mergeCell ref="K160:K163"/>
    <mergeCell ref="L160:L164"/>
    <mergeCell ref="M160:M163"/>
    <mergeCell ref="B160:B164"/>
    <mergeCell ref="C160:C164"/>
    <mergeCell ref="D160:D164"/>
    <mergeCell ref="E160:E163"/>
    <mergeCell ref="F160:F164"/>
    <mergeCell ref="G160:G164"/>
    <mergeCell ref="H165:H172"/>
    <mergeCell ref="I165:I168"/>
    <mergeCell ref="J165:J168"/>
    <mergeCell ref="K165:K172"/>
    <mergeCell ref="L165:L174"/>
    <mergeCell ref="M165:M172"/>
    <mergeCell ref="I169:I172"/>
    <mergeCell ref="J169:J172"/>
    <mergeCell ref="B165:B174"/>
    <mergeCell ref="C165:C174"/>
    <mergeCell ref="D165:D174"/>
    <mergeCell ref="E165:E172"/>
    <mergeCell ref="F165:F174"/>
    <mergeCell ref="G165:G174"/>
    <mergeCell ref="A165:A174"/>
    <mergeCell ref="AH160:AH164"/>
    <mergeCell ref="AI160:AI164"/>
    <mergeCell ref="I162:I163"/>
    <mergeCell ref="J162:J163"/>
    <mergeCell ref="Q162:Q163"/>
    <mergeCell ref="T162:T163"/>
    <mergeCell ref="AB160:AB164"/>
    <mergeCell ref="AC160:AC161"/>
    <mergeCell ref="AD160:AD161"/>
    <mergeCell ref="AE160:AE161"/>
    <mergeCell ref="AF160:AF164"/>
    <mergeCell ref="AG160:AG164"/>
    <mergeCell ref="AC162:AC163"/>
    <mergeCell ref="AD162:AD163"/>
    <mergeCell ref="AE162:AE163"/>
    <mergeCell ref="X160:X163"/>
    <mergeCell ref="Y160:Y164"/>
    <mergeCell ref="AH165:AH174"/>
    <mergeCell ref="AI165:AI174"/>
    <mergeCell ref="T167:T168"/>
    <mergeCell ref="T169:T170"/>
    <mergeCell ref="AB165:AB174"/>
    <mergeCell ref="AC165:AC172"/>
    <mergeCell ref="AD165:AD172"/>
    <mergeCell ref="AE165:AE172"/>
    <mergeCell ref="AF165:AF174"/>
    <mergeCell ref="AG165:AG174"/>
    <mergeCell ref="X165:X172"/>
    <mergeCell ref="Y165:Y174"/>
    <mergeCell ref="Z165:Z172"/>
    <mergeCell ref="AA165:AA168"/>
    <mergeCell ref="AA169:AA172"/>
    <mergeCell ref="Q165:Q168"/>
    <mergeCell ref="R165:R174"/>
    <mergeCell ref="S165:S174"/>
    <mergeCell ref="T165:T166"/>
    <mergeCell ref="Q169:Q172"/>
    <mergeCell ref="T171:T172"/>
    <mergeCell ref="AF175:AF200"/>
    <mergeCell ref="AG175:AG200"/>
    <mergeCell ref="AH175:AH200"/>
    <mergeCell ref="AI175:AI200"/>
    <mergeCell ref="AJ175:AJ200"/>
    <mergeCell ref="AE183:AE190"/>
    <mergeCell ref="Y175:Y200"/>
    <mergeCell ref="Z175:Z182"/>
    <mergeCell ref="AA175:AA182"/>
    <mergeCell ref="AB175:AB182"/>
    <mergeCell ref="AC175:AC182"/>
    <mergeCell ref="AD175:AD182"/>
    <mergeCell ref="AA183:AA190"/>
    <mergeCell ref="AB183:AB190"/>
    <mergeCell ref="AC183:AC190"/>
    <mergeCell ref="AD183:AD190"/>
    <mergeCell ref="T175:T176"/>
    <mergeCell ref="X175:X182"/>
    <mergeCell ref="T177:T178"/>
    <mergeCell ref="T179:T180"/>
    <mergeCell ref="T185:T186"/>
    <mergeCell ref="AD191:AD198"/>
    <mergeCell ref="AE191:AE198"/>
    <mergeCell ref="T193:T194"/>
    <mergeCell ref="V191:V192"/>
    <mergeCell ref="AE175:AE182"/>
    <mergeCell ref="K175:K182"/>
    <mergeCell ref="L175:L200"/>
    <mergeCell ref="M175:M182"/>
    <mergeCell ref="Q175:Q178"/>
    <mergeCell ref="R175:R200"/>
    <mergeCell ref="S175:S200"/>
    <mergeCell ref="Q179:Q182"/>
    <mergeCell ref="H175:H182"/>
    <mergeCell ref="I175:I178"/>
    <mergeCell ref="J175:J178"/>
    <mergeCell ref="I179:I182"/>
    <mergeCell ref="J179:J182"/>
    <mergeCell ref="H191:H198"/>
    <mergeCell ref="I191:I194"/>
    <mergeCell ref="AB191:AB198"/>
    <mergeCell ref="AC191:AC198"/>
    <mergeCell ref="F201:F207"/>
    <mergeCell ref="G201:G207"/>
    <mergeCell ref="H201:H202"/>
    <mergeCell ref="K201:K202"/>
    <mergeCell ref="L201:L207"/>
    <mergeCell ref="E199:E200"/>
    <mergeCell ref="I187:I190"/>
    <mergeCell ref="J187:J190"/>
    <mergeCell ref="Q187:Q190"/>
    <mergeCell ref="T187:T188"/>
    <mergeCell ref="T189:T190"/>
    <mergeCell ref="X183:X190"/>
    <mergeCell ref="Z183:Z190"/>
    <mergeCell ref="T181:T182"/>
    <mergeCell ref="H183:H190"/>
    <mergeCell ref="I183:I186"/>
    <mergeCell ref="J183:J186"/>
    <mergeCell ref="K183:K190"/>
    <mergeCell ref="M183:M190"/>
    <mergeCell ref="Q183:Q186"/>
    <mergeCell ref="T183:T184"/>
    <mergeCell ref="A201:A207"/>
    <mergeCell ref="B201:B207"/>
    <mergeCell ref="C201:C207"/>
    <mergeCell ref="D201:D207"/>
    <mergeCell ref="I195:I198"/>
    <mergeCell ref="J195:J198"/>
    <mergeCell ref="Q195:Q198"/>
    <mergeCell ref="T195:T196"/>
    <mergeCell ref="T197:T198"/>
    <mergeCell ref="E175:E198"/>
    <mergeCell ref="F175:F200"/>
    <mergeCell ref="G175:G200"/>
    <mergeCell ref="A175:A200"/>
    <mergeCell ref="B175:B200"/>
    <mergeCell ref="C175:C200"/>
    <mergeCell ref="D175:D200"/>
    <mergeCell ref="AD205:AD206"/>
    <mergeCell ref="V193:V194"/>
    <mergeCell ref="V195:V196"/>
    <mergeCell ref="V197:V198"/>
    <mergeCell ref="X191:X198"/>
    <mergeCell ref="Z191:Z198"/>
    <mergeCell ref="AA191:AA198"/>
    <mergeCell ref="J191:J194"/>
    <mergeCell ref="K191:K198"/>
    <mergeCell ref="M191:M198"/>
    <mergeCell ref="Q191:Q194"/>
    <mergeCell ref="T191:T192"/>
    <mergeCell ref="S201:S207"/>
    <mergeCell ref="X201:X202"/>
    <mergeCell ref="Y201:Y207"/>
    <mergeCell ref="E201:E206"/>
    <mergeCell ref="AE205:AE206"/>
    <mergeCell ref="A208:A239"/>
    <mergeCell ref="B208:B239"/>
    <mergeCell ref="C208:C239"/>
    <mergeCell ref="H205:H206"/>
    <mergeCell ref="K205:K206"/>
    <mergeCell ref="M205:M206"/>
    <mergeCell ref="N205:N206"/>
    <mergeCell ref="X205:X206"/>
    <mergeCell ref="AH201:AH207"/>
    <mergeCell ref="AI201:AI207"/>
    <mergeCell ref="H203:H204"/>
    <mergeCell ref="K203:K204"/>
    <mergeCell ref="M203:M204"/>
    <mergeCell ref="N203:N204"/>
    <mergeCell ref="X203:X204"/>
    <mergeCell ref="AB203:AB204"/>
    <mergeCell ref="AC203:AC204"/>
    <mergeCell ref="AB201:AB202"/>
    <mergeCell ref="AC201:AC202"/>
    <mergeCell ref="AD201:AD202"/>
    <mergeCell ref="AE201:AE202"/>
    <mergeCell ref="AF201:AF207"/>
    <mergeCell ref="AG201:AG207"/>
    <mergeCell ref="AD203:AD204"/>
    <mergeCell ref="AE203:AE204"/>
    <mergeCell ref="AB205:AB206"/>
    <mergeCell ref="AC205:AC206"/>
    <mergeCell ref="M201:M202"/>
    <mergeCell ref="N201:N202"/>
    <mergeCell ref="R201:R207"/>
    <mergeCell ref="AG208:AG239"/>
    <mergeCell ref="J208:J209"/>
    <mergeCell ref="K208:K211"/>
    <mergeCell ref="L208:L239"/>
    <mergeCell ref="M208:M211"/>
    <mergeCell ref="Q208:Q209"/>
    <mergeCell ref="R208:R239"/>
    <mergeCell ref="J210:J211"/>
    <mergeCell ref="Q210:Q211"/>
    <mergeCell ref="Q212:Q213"/>
    <mergeCell ref="Q214:Q215"/>
    <mergeCell ref="AA212:AA213"/>
    <mergeCell ref="AB212:AB215"/>
    <mergeCell ref="AC212:AC215"/>
    <mergeCell ref="AD212:AD215"/>
    <mergeCell ref="AE212:AE215"/>
    <mergeCell ref="T213:T214"/>
    <mergeCell ref="AA214:AA215"/>
    <mergeCell ref="Q218:Q219"/>
    <mergeCell ref="AB216:AB219"/>
    <mergeCell ref="AC216:AC219"/>
    <mergeCell ref="AD216:AD219"/>
    <mergeCell ref="T217:T218"/>
    <mergeCell ref="M228:M231"/>
    <mergeCell ref="AH208:AH239"/>
    <mergeCell ref="AI208:AI239"/>
    <mergeCell ref="AE216:AE219"/>
    <mergeCell ref="AE220:AE223"/>
    <mergeCell ref="AE232:AE235"/>
    <mergeCell ref="S208:S239"/>
    <mergeCell ref="X208:X211"/>
    <mergeCell ref="Y208:Y239"/>
    <mergeCell ref="AA208:AA209"/>
    <mergeCell ref="AB208:AB211"/>
    <mergeCell ref="AC208:AC211"/>
    <mergeCell ref="T209:T210"/>
    <mergeCell ref="AA210:AA211"/>
    <mergeCell ref="X212:X215"/>
    <mergeCell ref="AD220:AD223"/>
    <mergeCell ref="T221:T222"/>
    <mergeCell ref="Q222:Q223"/>
    <mergeCell ref="AA222:AA223"/>
    <mergeCell ref="Q228:Q229"/>
    <mergeCell ref="X228:X231"/>
    <mergeCell ref="AA228:AA229"/>
    <mergeCell ref="X237:X239"/>
    <mergeCell ref="AA237:AA239"/>
    <mergeCell ref="H212:H215"/>
    <mergeCell ref="I212:I213"/>
    <mergeCell ref="J212:J213"/>
    <mergeCell ref="K212:K215"/>
    <mergeCell ref="M212:M215"/>
    <mergeCell ref="I214:I215"/>
    <mergeCell ref="J214:J215"/>
    <mergeCell ref="AD208:AD211"/>
    <mergeCell ref="AE208:AE211"/>
    <mergeCell ref="AF208:AF239"/>
    <mergeCell ref="H208:H211"/>
    <mergeCell ref="I208:I209"/>
    <mergeCell ref="I210:I211"/>
    <mergeCell ref="I226:I227"/>
    <mergeCell ref="H228:H231"/>
    <mergeCell ref="I228:I229"/>
    <mergeCell ref="H220:H223"/>
    <mergeCell ref="I220:I221"/>
    <mergeCell ref="J220:J221"/>
    <mergeCell ref="K220:K223"/>
    <mergeCell ref="M220:M223"/>
    <mergeCell ref="I222:I223"/>
    <mergeCell ref="J222:J223"/>
    <mergeCell ref="H224:H227"/>
    <mergeCell ref="I224:I225"/>
    <mergeCell ref="Q216:Q217"/>
    <mergeCell ref="X216:X219"/>
    <mergeCell ref="AA216:AA217"/>
    <mergeCell ref="AE228:AE231"/>
    <mergeCell ref="T229:T230"/>
    <mergeCell ref="J228:J229"/>
    <mergeCell ref="K228:K231"/>
    <mergeCell ref="I218:I219"/>
    <mergeCell ref="J218:J219"/>
    <mergeCell ref="AB224:AB227"/>
    <mergeCell ref="AC224:AC227"/>
    <mergeCell ref="AD224:AD227"/>
    <mergeCell ref="AE224:AE227"/>
    <mergeCell ref="T225:T226"/>
    <mergeCell ref="AA226:AA227"/>
    <mergeCell ref="J224:J225"/>
    <mergeCell ref="K224:K227"/>
    <mergeCell ref="M224:M227"/>
    <mergeCell ref="Q224:Q225"/>
    <mergeCell ref="X224:X227"/>
    <mergeCell ref="AA224:AA225"/>
    <mergeCell ref="Q232:Q233"/>
    <mergeCell ref="X232:X235"/>
    <mergeCell ref="AA232:AA233"/>
    <mergeCell ref="AB232:AB235"/>
    <mergeCell ref="AC232:AC235"/>
    <mergeCell ref="AD232:AD235"/>
    <mergeCell ref="T233:T234"/>
    <mergeCell ref="V233:V234"/>
    <mergeCell ref="E208:E235"/>
    <mergeCell ref="F208:F239"/>
    <mergeCell ref="G208:G239"/>
    <mergeCell ref="I230:I231"/>
    <mergeCell ref="J230:J231"/>
    <mergeCell ref="Q230:Q231"/>
    <mergeCell ref="AA230:AA231"/>
    <mergeCell ref="H232:H235"/>
    <mergeCell ref="I232:I233"/>
    <mergeCell ref="J232:J233"/>
    <mergeCell ref="K232:K235"/>
    <mergeCell ref="M232:M235"/>
    <mergeCell ref="AB228:AB231"/>
    <mergeCell ref="AC228:AC231"/>
    <mergeCell ref="AD228:AD231"/>
    <mergeCell ref="J226:J227"/>
    <mergeCell ref="Q226:Q227"/>
    <mergeCell ref="Q220:Q221"/>
    <mergeCell ref="X220:X223"/>
    <mergeCell ref="AA220:AA221"/>
    <mergeCell ref="AB220:AB223"/>
    <mergeCell ref="AC220:AC223"/>
    <mergeCell ref="I234:I235"/>
    <mergeCell ref="J234:J235"/>
    <mergeCell ref="Q234:Q235"/>
    <mergeCell ref="AA234:AA235"/>
    <mergeCell ref="AA218:AA219"/>
    <mergeCell ref="H216:H219"/>
    <mergeCell ref="I216:I217"/>
    <mergeCell ref="J216:J217"/>
    <mergeCell ref="K216:K219"/>
    <mergeCell ref="M216:M219"/>
    <mergeCell ref="B240:B258"/>
    <mergeCell ref="C240:C258"/>
    <mergeCell ref="D240:D258"/>
    <mergeCell ref="E240:E257"/>
    <mergeCell ref="F240:F258"/>
    <mergeCell ref="G240:G258"/>
    <mergeCell ref="A240:A258"/>
    <mergeCell ref="AB237:AB239"/>
    <mergeCell ref="AC237:AC239"/>
    <mergeCell ref="AD237:AD239"/>
    <mergeCell ref="AE237:AE239"/>
    <mergeCell ref="J238:J239"/>
    <mergeCell ref="K238:K239"/>
    <mergeCell ref="Q238:Q239"/>
    <mergeCell ref="D208:D239"/>
    <mergeCell ref="AE249:AE251"/>
    <mergeCell ref="T250:T251"/>
    <mergeCell ref="H252:H254"/>
    <mergeCell ref="K252:K254"/>
    <mergeCell ref="M252:M254"/>
    <mergeCell ref="X252:X254"/>
    <mergeCell ref="AB252:AB254"/>
    <mergeCell ref="AC252:AC254"/>
    <mergeCell ref="AD252:AD254"/>
    <mergeCell ref="AE252:AE254"/>
    <mergeCell ref="Q249:Q250"/>
    <mergeCell ref="X249:X251"/>
    <mergeCell ref="AA249:AA250"/>
    <mergeCell ref="E237:E238"/>
    <mergeCell ref="H237:H239"/>
    <mergeCell ref="I237:I239"/>
    <mergeCell ref="M237:M239"/>
    <mergeCell ref="AH240:AH258"/>
    <mergeCell ref="AI240:AI258"/>
    <mergeCell ref="T241:T242"/>
    <mergeCell ref="H243:H245"/>
    <mergeCell ref="K243:K245"/>
    <mergeCell ref="M243:M245"/>
    <mergeCell ref="X243:X245"/>
    <mergeCell ref="AB243:AB245"/>
    <mergeCell ref="AC243:AC245"/>
    <mergeCell ref="AB240:AB242"/>
    <mergeCell ref="AC240:AC242"/>
    <mergeCell ref="AD240:AD242"/>
    <mergeCell ref="AE240:AE242"/>
    <mergeCell ref="AF240:AF258"/>
    <mergeCell ref="AG240:AG258"/>
    <mergeCell ref="AD243:AD245"/>
    <mergeCell ref="AE243:AE245"/>
    <mergeCell ref="AB246:AB248"/>
    <mergeCell ref="AC246:AC248"/>
    <mergeCell ref="Q240:Q241"/>
    <mergeCell ref="R240:R258"/>
    <mergeCell ref="S240:S257"/>
    <mergeCell ref="X240:X242"/>
    <mergeCell ref="Y240:Y258"/>
    <mergeCell ref="AA240:AA241"/>
    <mergeCell ref="Q244:Q245"/>
    <mergeCell ref="T244:T245"/>
    <mergeCell ref="AA244:AA245"/>
    <mergeCell ref="H240:H242"/>
    <mergeCell ref="I240:I241"/>
    <mergeCell ref="J240:J241"/>
    <mergeCell ref="K240:K242"/>
    <mergeCell ref="AB249:AB251"/>
    <mergeCell ref="AC249:AC251"/>
    <mergeCell ref="AD249:AD251"/>
    <mergeCell ref="AD246:AD248"/>
    <mergeCell ref="AE246:AE248"/>
    <mergeCell ref="T247:T248"/>
    <mergeCell ref="H249:H251"/>
    <mergeCell ref="I249:I250"/>
    <mergeCell ref="J249:J250"/>
    <mergeCell ref="K249:K251"/>
    <mergeCell ref="M249:M251"/>
    <mergeCell ref="J246:J247"/>
    <mergeCell ref="K246:K248"/>
    <mergeCell ref="M246:M248"/>
    <mergeCell ref="Q246:Q247"/>
    <mergeCell ref="X246:X248"/>
    <mergeCell ref="AA246:AA247"/>
    <mergeCell ref="L240:L258"/>
    <mergeCell ref="M240:M242"/>
    <mergeCell ref="T256:T257"/>
    <mergeCell ref="I244:I245"/>
    <mergeCell ref="J244:J245"/>
    <mergeCell ref="H246:H248"/>
    <mergeCell ref="I246:I247"/>
    <mergeCell ref="A259:A288"/>
    <mergeCell ref="B259:B288"/>
    <mergeCell ref="C259:C288"/>
    <mergeCell ref="X255:X257"/>
    <mergeCell ref="AA255:AA256"/>
    <mergeCell ref="AB255:AB257"/>
    <mergeCell ref="AC255:AC257"/>
    <mergeCell ref="AD255:AD257"/>
    <mergeCell ref="AE255:AE257"/>
    <mergeCell ref="H255:H257"/>
    <mergeCell ref="I255:I256"/>
    <mergeCell ref="J255:J256"/>
    <mergeCell ref="K255:K257"/>
    <mergeCell ref="M255:M257"/>
    <mergeCell ref="Q255:Q256"/>
    <mergeCell ref="I253:I254"/>
    <mergeCell ref="J253:J254"/>
    <mergeCell ref="Q253:Q254"/>
    <mergeCell ref="T253:T254"/>
    <mergeCell ref="AA253:AA254"/>
    <mergeCell ref="K259:K263"/>
    <mergeCell ref="L259:L288"/>
    <mergeCell ref="M259:M263"/>
    <mergeCell ref="N259:N263"/>
    <mergeCell ref="O259:O261"/>
    <mergeCell ref="J264:J267"/>
    <mergeCell ref="K264:K270"/>
    <mergeCell ref="M264:M270"/>
    <mergeCell ref="N264:N270"/>
    <mergeCell ref="D259:D288"/>
    <mergeCell ref="E259:E284"/>
    <mergeCell ref="F259:F288"/>
    <mergeCell ref="AG259:AG288"/>
    <mergeCell ref="AH259:AH288"/>
    <mergeCell ref="AI259:AI288"/>
    <mergeCell ref="T260:T261"/>
    <mergeCell ref="I262:I263"/>
    <mergeCell ref="J262:J263"/>
    <mergeCell ref="O262:O263"/>
    <mergeCell ref="P262:P263"/>
    <mergeCell ref="Q262:Q263"/>
    <mergeCell ref="AA259:AA261"/>
    <mergeCell ref="AB259:AB288"/>
    <mergeCell ref="AC259:AC263"/>
    <mergeCell ref="AD259:AD263"/>
    <mergeCell ref="AE259:AE263"/>
    <mergeCell ref="AF259:AF288"/>
    <mergeCell ref="AA262:AA263"/>
    <mergeCell ref="AD264:AD270"/>
    <mergeCell ref="AE264:AE270"/>
    <mergeCell ref="AC271:AC277"/>
    <mergeCell ref="P259:P261"/>
    <mergeCell ref="Q259:Q261"/>
    <mergeCell ref="R259:R288"/>
    <mergeCell ref="S259:S288"/>
    <mergeCell ref="X259:X263"/>
    <mergeCell ref="Y259:Y288"/>
    <mergeCell ref="T262:T263"/>
    <mergeCell ref="V262:V263"/>
    <mergeCell ref="V265:V266"/>
    <mergeCell ref="J259:J261"/>
    <mergeCell ref="AA285:AA286"/>
    <mergeCell ref="AC278:AC284"/>
    <mergeCell ref="AD278:AD284"/>
    <mergeCell ref="AD271:AD277"/>
    <mergeCell ref="AE271:AE277"/>
    <mergeCell ref="T272:T273"/>
    <mergeCell ref="I274:I277"/>
    <mergeCell ref="J274:J277"/>
    <mergeCell ref="O274:O277"/>
    <mergeCell ref="P274:P277"/>
    <mergeCell ref="Q274:Q277"/>
    <mergeCell ref="T274:T275"/>
    <mergeCell ref="N271:N277"/>
    <mergeCell ref="O271:O273"/>
    <mergeCell ref="P271:P273"/>
    <mergeCell ref="Q271:Q273"/>
    <mergeCell ref="X271:X277"/>
    <mergeCell ref="AA271:AA273"/>
    <mergeCell ref="AA274:AA277"/>
    <mergeCell ref="T276:T277"/>
    <mergeCell ref="V272:V273"/>
    <mergeCell ref="I271:I273"/>
    <mergeCell ref="J271:J273"/>
    <mergeCell ref="K271:K277"/>
    <mergeCell ref="M271:M277"/>
    <mergeCell ref="AA278:AA281"/>
    <mergeCell ref="O282:O284"/>
    <mergeCell ref="P282:P284"/>
    <mergeCell ref="Q282:Q284"/>
    <mergeCell ref="H278:H284"/>
    <mergeCell ref="I278:I281"/>
    <mergeCell ref="J278:J281"/>
    <mergeCell ref="K278:K284"/>
    <mergeCell ref="M278:M284"/>
    <mergeCell ref="I282:I284"/>
    <mergeCell ref="J282:J284"/>
    <mergeCell ref="H259:H263"/>
    <mergeCell ref="I259:I261"/>
    <mergeCell ref="H264:H270"/>
    <mergeCell ref="I264:I267"/>
    <mergeCell ref="I268:I270"/>
    <mergeCell ref="T265:T266"/>
    <mergeCell ref="T267:T268"/>
    <mergeCell ref="H271:H277"/>
    <mergeCell ref="J268:J270"/>
    <mergeCell ref="O268:O270"/>
    <mergeCell ref="P268:P270"/>
    <mergeCell ref="Q268:Q270"/>
    <mergeCell ref="AA268:AA270"/>
    <mergeCell ref="T269:T270"/>
    <mergeCell ref="V267:V268"/>
    <mergeCell ref="O264:O267"/>
    <mergeCell ref="P264:P267"/>
    <mergeCell ref="Q264:Q267"/>
    <mergeCell ref="X264:X270"/>
    <mergeCell ref="AA264:AA267"/>
    <mergeCell ref="AC285:AC286"/>
    <mergeCell ref="AD285:AD286"/>
    <mergeCell ref="AE285:AE286"/>
    <mergeCell ref="E287:E288"/>
    <mergeCell ref="H287:H288"/>
    <mergeCell ref="I287:I288"/>
    <mergeCell ref="J287:J288"/>
    <mergeCell ref="K287:K288"/>
    <mergeCell ref="M287:M288"/>
    <mergeCell ref="M285:M286"/>
    <mergeCell ref="N285:N286"/>
    <mergeCell ref="O285:O286"/>
    <mergeCell ref="P285:P286"/>
    <mergeCell ref="Q285:Q286"/>
    <mergeCell ref="X285:X286"/>
    <mergeCell ref="E285:E286"/>
    <mergeCell ref="H285:H286"/>
    <mergeCell ref="I285:I286"/>
    <mergeCell ref="J285:J286"/>
    <mergeCell ref="K285:K286"/>
    <mergeCell ref="G259:G288"/>
    <mergeCell ref="AC264:AC270"/>
    <mergeCell ref="AE278:AE284"/>
    <mergeCell ref="T279:T280"/>
    <mergeCell ref="T281:T282"/>
    <mergeCell ref="AA282:AA284"/>
    <mergeCell ref="T283:T284"/>
    <mergeCell ref="N278:N284"/>
    <mergeCell ref="O278:O281"/>
    <mergeCell ref="P278:P281"/>
    <mergeCell ref="Q278:Q281"/>
    <mergeCell ref="X278:X284"/>
    <mergeCell ref="N289:N291"/>
    <mergeCell ref="R289:R301"/>
    <mergeCell ref="S289:S301"/>
    <mergeCell ref="K292:K294"/>
    <mergeCell ref="M292:M294"/>
    <mergeCell ref="N292:N294"/>
    <mergeCell ref="C289:C301"/>
    <mergeCell ref="D289:D301"/>
    <mergeCell ref="E289:E300"/>
    <mergeCell ref="F289:F301"/>
    <mergeCell ref="G289:G301"/>
    <mergeCell ref="H289:H291"/>
    <mergeCell ref="H292:H294"/>
    <mergeCell ref="AC287:AC288"/>
    <mergeCell ref="AD287:AD288"/>
    <mergeCell ref="AE287:AE288"/>
    <mergeCell ref="A289:A301"/>
    <mergeCell ref="B289:B301"/>
    <mergeCell ref="N287:N288"/>
    <mergeCell ref="O287:O288"/>
    <mergeCell ref="P287:P288"/>
    <mergeCell ref="Q287:Q288"/>
    <mergeCell ref="X287:X288"/>
    <mergeCell ref="AA287:AA288"/>
    <mergeCell ref="AD292:AD294"/>
    <mergeCell ref="AE292:AE294"/>
    <mergeCell ref="I293:I294"/>
    <mergeCell ref="J293:J294"/>
    <mergeCell ref="O293:O294"/>
    <mergeCell ref="P293:P294"/>
    <mergeCell ref="Q293:Q294"/>
    <mergeCell ref="T293:T294"/>
    <mergeCell ref="AA293:AA294"/>
    <mergeCell ref="AF289:AF301"/>
    <mergeCell ref="AG289:AG301"/>
    <mergeCell ref="AH289:AH301"/>
    <mergeCell ref="AI289:AI301"/>
    <mergeCell ref="I290:I291"/>
    <mergeCell ref="J290:J291"/>
    <mergeCell ref="O290:O291"/>
    <mergeCell ref="P290:P291"/>
    <mergeCell ref="Q290:Q291"/>
    <mergeCell ref="T290:T291"/>
    <mergeCell ref="X289:X291"/>
    <mergeCell ref="Y289:Y301"/>
    <mergeCell ref="AB289:AB291"/>
    <mergeCell ref="AC289:AC291"/>
    <mergeCell ref="AD289:AD291"/>
    <mergeCell ref="AE289:AE291"/>
    <mergeCell ref="AA290:AA291"/>
    <mergeCell ref="X292:X294"/>
    <mergeCell ref="AB292:AB294"/>
    <mergeCell ref="AC292:AC294"/>
    <mergeCell ref="K289:K291"/>
    <mergeCell ref="L289:L301"/>
    <mergeCell ref="M289:M291"/>
    <mergeCell ref="AB298:AB300"/>
    <mergeCell ref="AC298:AC300"/>
    <mergeCell ref="AD298:AD300"/>
    <mergeCell ref="AE298:AE300"/>
    <mergeCell ref="I299:I300"/>
    <mergeCell ref="J299:J300"/>
    <mergeCell ref="O299:O300"/>
    <mergeCell ref="P299:P300"/>
    <mergeCell ref="Q299:Q300"/>
    <mergeCell ref="T299:T300"/>
    <mergeCell ref="AA296:AA297"/>
    <mergeCell ref="H298:H300"/>
    <mergeCell ref="K298:K300"/>
    <mergeCell ref="M298:M300"/>
    <mergeCell ref="N298:N300"/>
    <mergeCell ref="X298:X300"/>
    <mergeCell ref="AA299:AA300"/>
    <mergeCell ref="AB295:AB297"/>
    <mergeCell ref="AC295:AC297"/>
    <mergeCell ref="AD295:AD297"/>
    <mergeCell ref="AE295:AE297"/>
    <mergeCell ref="I296:I297"/>
    <mergeCell ref="J296:J297"/>
    <mergeCell ref="O296:O297"/>
    <mergeCell ref="P296:P297"/>
    <mergeCell ref="Q296:Q297"/>
    <mergeCell ref="T296:T297"/>
    <mergeCell ref="H295:H297"/>
    <mergeCell ref="K295:K297"/>
    <mergeCell ref="M295:M297"/>
    <mergeCell ref="N295:N297"/>
    <mergeCell ref="X295:X297"/>
    <mergeCell ref="W306:W307"/>
    <mergeCell ref="X306:X307"/>
    <mergeCell ref="W314:W315"/>
    <mergeCell ref="H302:H305"/>
    <mergeCell ref="I302:I303"/>
    <mergeCell ref="J302:J303"/>
    <mergeCell ref="K302:K305"/>
    <mergeCell ref="L302:L330"/>
    <mergeCell ref="M302:M305"/>
    <mergeCell ref="H306:H309"/>
    <mergeCell ref="J306:J307"/>
    <mergeCell ref="K306:K309"/>
    <mergeCell ref="M306:M309"/>
    <mergeCell ref="B302:B330"/>
    <mergeCell ref="C302:C330"/>
    <mergeCell ref="D302:D330"/>
    <mergeCell ref="E302:E326"/>
    <mergeCell ref="F302:F330"/>
    <mergeCell ref="G302:G330"/>
    <mergeCell ref="E327:E330"/>
    <mergeCell ref="I308:I309"/>
    <mergeCell ref="J308:J309"/>
    <mergeCell ref="Q308:Q309"/>
    <mergeCell ref="W308:W309"/>
    <mergeCell ref="X308:X309"/>
    <mergeCell ref="H310:H313"/>
    <mergeCell ref="I310:I311"/>
    <mergeCell ref="J310:J311"/>
    <mergeCell ref="K310:K313"/>
    <mergeCell ref="H314:H317"/>
    <mergeCell ref="M314:M317"/>
    <mergeCell ref="Q314:Q315"/>
    <mergeCell ref="AF302:AF330"/>
    <mergeCell ref="AG302:AG330"/>
    <mergeCell ref="AH302:AH330"/>
    <mergeCell ref="AI302:AI330"/>
    <mergeCell ref="I304:I305"/>
    <mergeCell ref="J304:J305"/>
    <mergeCell ref="Q304:Q305"/>
    <mergeCell ref="W304:W305"/>
    <mergeCell ref="X304:X305"/>
    <mergeCell ref="I306:I307"/>
    <mergeCell ref="Z302:Z330"/>
    <mergeCell ref="AA302:AA330"/>
    <mergeCell ref="AB302:AB330"/>
    <mergeCell ref="AC302:AC330"/>
    <mergeCell ref="AD302:AD330"/>
    <mergeCell ref="AE302:AE330"/>
    <mergeCell ref="Q302:Q303"/>
    <mergeCell ref="R302:R330"/>
    <mergeCell ref="S302:S330"/>
    <mergeCell ref="W302:W303"/>
    <mergeCell ref="X302:X303"/>
    <mergeCell ref="Y302:Y330"/>
    <mergeCell ref="Q306:Q307"/>
    <mergeCell ref="X314:X315"/>
    <mergeCell ref="I316:I317"/>
    <mergeCell ref="J316:J317"/>
    <mergeCell ref="Q316:Q317"/>
    <mergeCell ref="W316:W317"/>
    <mergeCell ref="X316:X317"/>
    <mergeCell ref="I314:I315"/>
    <mergeCell ref="J314:J315"/>
    <mergeCell ref="K314:K317"/>
    <mergeCell ref="Q312:Q313"/>
    <mergeCell ref="W312:W313"/>
    <mergeCell ref="X312:X313"/>
    <mergeCell ref="W322:W323"/>
    <mergeCell ref="X322:X323"/>
    <mergeCell ref="I324:I325"/>
    <mergeCell ref="J324:J325"/>
    <mergeCell ref="Q324:Q325"/>
    <mergeCell ref="W324:W325"/>
    <mergeCell ref="X324:X325"/>
    <mergeCell ref="H322:H325"/>
    <mergeCell ref="I322:I323"/>
    <mergeCell ref="J322:J323"/>
    <mergeCell ref="K322:K325"/>
    <mergeCell ref="M322:M325"/>
    <mergeCell ref="Q322:Q323"/>
    <mergeCell ref="W318:W319"/>
    <mergeCell ref="X318:X319"/>
    <mergeCell ref="I320:I321"/>
    <mergeCell ref="J320:J321"/>
    <mergeCell ref="Q320:Q321"/>
    <mergeCell ref="W320:W321"/>
    <mergeCell ref="X320:X321"/>
    <mergeCell ref="H318:H321"/>
    <mergeCell ref="I318:I319"/>
    <mergeCell ref="J318:J319"/>
    <mergeCell ref="K318:K321"/>
    <mergeCell ref="M318:M321"/>
    <mergeCell ref="Q318:Q319"/>
    <mergeCell ref="M331:M336"/>
    <mergeCell ref="B331:B337"/>
    <mergeCell ref="C331:C337"/>
    <mergeCell ref="D331:D337"/>
    <mergeCell ref="E331:E336"/>
    <mergeCell ref="F331:F337"/>
    <mergeCell ref="G331:G337"/>
    <mergeCell ref="A331:A337"/>
    <mergeCell ref="W327:W328"/>
    <mergeCell ref="X327:X328"/>
    <mergeCell ref="H329:H330"/>
    <mergeCell ref="I329:I330"/>
    <mergeCell ref="J329:J330"/>
    <mergeCell ref="K329:K330"/>
    <mergeCell ref="M329:M330"/>
    <mergeCell ref="Q329:Q330"/>
    <mergeCell ref="W329:W330"/>
    <mergeCell ref="X329:X330"/>
    <mergeCell ref="H327:H328"/>
    <mergeCell ref="I327:I328"/>
    <mergeCell ref="J327:J328"/>
    <mergeCell ref="K327:K328"/>
    <mergeCell ref="M327:M328"/>
    <mergeCell ref="Q327:Q328"/>
    <mergeCell ref="A302:A330"/>
    <mergeCell ref="V335:V336"/>
    <mergeCell ref="M310:M313"/>
    <mergeCell ref="Q310:Q311"/>
    <mergeCell ref="W310:W311"/>
    <mergeCell ref="X310:X311"/>
    <mergeCell ref="I312:I313"/>
    <mergeCell ref="J312:J313"/>
    <mergeCell ref="A338:A345"/>
    <mergeCell ref="AI331:AI337"/>
    <mergeCell ref="T333:T334"/>
    <mergeCell ref="I334:I336"/>
    <mergeCell ref="J334:J336"/>
    <mergeCell ref="O334:O336"/>
    <mergeCell ref="P334:P336"/>
    <mergeCell ref="Q334:Q336"/>
    <mergeCell ref="AA334:AA336"/>
    <mergeCell ref="T335:T336"/>
    <mergeCell ref="AC331:AC336"/>
    <mergeCell ref="AD331:AD336"/>
    <mergeCell ref="AE331:AE336"/>
    <mergeCell ref="AF331:AF337"/>
    <mergeCell ref="AG331:AG337"/>
    <mergeCell ref="AH331:AH337"/>
    <mergeCell ref="T331:T332"/>
    <mergeCell ref="X331:X336"/>
    <mergeCell ref="Y331:Y337"/>
    <mergeCell ref="AA331:AA333"/>
    <mergeCell ref="AB331:AB336"/>
    <mergeCell ref="N331:N336"/>
    <mergeCell ref="O331:O333"/>
    <mergeCell ref="P331:P333"/>
    <mergeCell ref="Q331:Q333"/>
    <mergeCell ref="R331:R337"/>
    <mergeCell ref="S331:S337"/>
    <mergeCell ref="H331:H336"/>
    <mergeCell ref="I331:I333"/>
    <mergeCell ref="J331:J333"/>
    <mergeCell ref="K331:K336"/>
    <mergeCell ref="L331:L337"/>
    <mergeCell ref="AF338:AF345"/>
    <mergeCell ref="AG338:AG345"/>
    <mergeCell ref="AH338:AH345"/>
    <mergeCell ref="AI338:AI345"/>
    <mergeCell ref="T338:T339"/>
    <mergeCell ref="X338:X345"/>
    <mergeCell ref="Y338:Y345"/>
    <mergeCell ref="Z338:Z345"/>
    <mergeCell ref="V340:V341"/>
    <mergeCell ref="V342:V343"/>
    <mergeCell ref="V344:V345"/>
    <mergeCell ref="N338:N345"/>
    <mergeCell ref="O338:O342"/>
    <mergeCell ref="P338:P345"/>
    <mergeCell ref="Q338:Q342"/>
    <mergeCell ref="R338:R345"/>
    <mergeCell ref="S338:S345"/>
    <mergeCell ref="O343:O345"/>
    <mergeCell ref="Q343:Q345"/>
    <mergeCell ref="L346:L349"/>
    <mergeCell ref="M346:M349"/>
    <mergeCell ref="B346:B349"/>
    <mergeCell ref="C346:C349"/>
    <mergeCell ref="D346:D349"/>
    <mergeCell ref="E346:E349"/>
    <mergeCell ref="F346:F349"/>
    <mergeCell ref="G346:G349"/>
    <mergeCell ref="A346:A349"/>
    <mergeCell ref="AA339:AA345"/>
    <mergeCell ref="AC339:AC345"/>
    <mergeCell ref="AE339:AE345"/>
    <mergeCell ref="T340:T341"/>
    <mergeCell ref="T342:T343"/>
    <mergeCell ref="T344:T345"/>
    <mergeCell ref="V338:V339"/>
    <mergeCell ref="AB338:AB345"/>
    <mergeCell ref="AD338:AD345"/>
    <mergeCell ref="H338:H345"/>
    <mergeCell ref="I338:I342"/>
    <mergeCell ref="J338:J342"/>
    <mergeCell ref="K338:K345"/>
    <mergeCell ref="L338:L345"/>
    <mergeCell ref="M338:M345"/>
    <mergeCell ref="I343:I345"/>
    <mergeCell ref="J343:J345"/>
    <mergeCell ref="B338:B345"/>
    <mergeCell ref="C338:C345"/>
    <mergeCell ref="D338:D345"/>
    <mergeCell ref="E338:E345"/>
    <mergeCell ref="F338:F345"/>
    <mergeCell ref="G338:G345"/>
    <mergeCell ref="A350:A353"/>
    <mergeCell ref="AI346:AI349"/>
    <mergeCell ref="AJ346:AJ349"/>
    <mergeCell ref="I348:I349"/>
    <mergeCell ref="J348:J349"/>
    <mergeCell ref="O348:O349"/>
    <mergeCell ref="P348:P349"/>
    <mergeCell ref="Q348:Q349"/>
    <mergeCell ref="T348:T349"/>
    <mergeCell ref="AA348:AA349"/>
    <mergeCell ref="V346:V347"/>
    <mergeCell ref="AC346:AC349"/>
    <mergeCell ref="AD346:AD349"/>
    <mergeCell ref="AE346:AE349"/>
    <mergeCell ref="AF346:AF349"/>
    <mergeCell ref="AG346:AG349"/>
    <mergeCell ref="AH346:AH349"/>
    <mergeCell ref="T346:T347"/>
    <mergeCell ref="X346:X349"/>
    <mergeCell ref="Y346:Y349"/>
    <mergeCell ref="AA346:AA347"/>
    <mergeCell ref="AB346:AB349"/>
    <mergeCell ref="N346:N349"/>
    <mergeCell ref="O346:O347"/>
    <mergeCell ref="P346:P347"/>
    <mergeCell ref="Q346:Q347"/>
    <mergeCell ref="R346:R347"/>
    <mergeCell ref="S346:S347"/>
    <mergeCell ref="H346:H349"/>
    <mergeCell ref="I346:I347"/>
    <mergeCell ref="J346:J347"/>
    <mergeCell ref="K346:K349"/>
    <mergeCell ref="AA350:AA351"/>
    <mergeCell ref="N350:N353"/>
    <mergeCell ref="O350:O351"/>
    <mergeCell ref="P350:P351"/>
    <mergeCell ref="Q350:Q351"/>
    <mergeCell ref="R350:R351"/>
    <mergeCell ref="S350:S351"/>
    <mergeCell ref="H350:H353"/>
    <mergeCell ref="I350:I351"/>
    <mergeCell ref="J350:J351"/>
    <mergeCell ref="K350:K353"/>
    <mergeCell ref="L350:L353"/>
    <mergeCell ref="M350:M353"/>
    <mergeCell ref="B350:B353"/>
    <mergeCell ref="C350:C353"/>
    <mergeCell ref="D350:D353"/>
    <mergeCell ref="E350:E353"/>
    <mergeCell ref="F350:F353"/>
    <mergeCell ref="G350:G353"/>
    <mergeCell ref="H354:H358"/>
    <mergeCell ref="I354:I355"/>
    <mergeCell ref="J354:J355"/>
    <mergeCell ref="K354:K358"/>
    <mergeCell ref="L354:L359"/>
    <mergeCell ref="M354:M358"/>
    <mergeCell ref="B354:B359"/>
    <mergeCell ref="C354:C359"/>
    <mergeCell ref="D354:D359"/>
    <mergeCell ref="E354:E358"/>
    <mergeCell ref="F354:F359"/>
    <mergeCell ref="G354:G359"/>
    <mergeCell ref="A354:A359"/>
    <mergeCell ref="AH350:AH353"/>
    <mergeCell ref="AI350:AI353"/>
    <mergeCell ref="I352:I353"/>
    <mergeCell ref="J352:J353"/>
    <mergeCell ref="O352:O353"/>
    <mergeCell ref="P352:P353"/>
    <mergeCell ref="Q352:Q353"/>
    <mergeCell ref="T352:T353"/>
    <mergeCell ref="V350:V351"/>
    <mergeCell ref="AB350:AB353"/>
    <mergeCell ref="AC350:AC353"/>
    <mergeCell ref="AD350:AD353"/>
    <mergeCell ref="AE350:AE353"/>
    <mergeCell ref="AF350:AF353"/>
    <mergeCell ref="AG350:AG353"/>
    <mergeCell ref="T350:T351"/>
    <mergeCell ref="X350:X353"/>
    <mergeCell ref="Y350:Y353"/>
    <mergeCell ref="Z350:Z351"/>
    <mergeCell ref="AI354:AI359"/>
    <mergeCell ref="I356:I358"/>
    <mergeCell ref="J356:J358"/>
    <mergeCell ref="O356:O358"/>
    <mergeCell ref="P356:P358"/>
    <mergeCell ref="Q356:Q358"/>
    <mergeCell ref="T356:T357"/>
    <mergeCell ref="AA356:AA358"/>
    <mergeCell ref="V354:V355"/>
    <mergeCell ref="AC354:AC358"/>
    <mergeCell ref="AD354:AD358"/>
    <mergeCell ref="AE354:AE358"/>
    <mergeCell ref="AF354:AF359"/>
    <mergeCell ref="AG354:AG359"/>
    <mergeCell ref="AH354:AH359"/>
    <mergeCell ref="T354:T355"/>
    <mergeCell ref="X354:X358"/>
    <mergeCell ref="Y354:Y359"/>
    <mergeCell ref="AA354:AA355"/>
    <mergeCell ref="AB354:AB358"/>
    <mergeCell ref="V356:V357"/>
    <mergeCell ref="N354:N358"/>
    <mergeCell ref="O354:O355"/>
    <mergeCell ref="P354:P355"/>
    <mergeCell ref="Q354:Q355"/>
    <mergeCell ref="R354:R359"/>
    <mergeCell ref="S354:S359"/>
    <mergeCell ref="AH365:AH368"/>
    <mergeCell ref="AI365:AI368"/>
    <mergeCell ref="X365:X368"/>
    <mergeCell ref="F362:F364"/>
    <mergeCell ref="AE360:AE361"/>
    <mergeCell ref="AF360:AF361"/>
    <mergeCell ref="AG360:AG361"/>
    <mergeCell ref="AH360:AH361"/>
    <mergeCell ref="AI360:AI361"/>
    <mergeCell ref="A362:A364"/>
    <mergeCell ref="T360:T361"/>
    <mergeCell ref="X360:X361"/>
    <mergeCell ref="AB360:AB361"/>
    <mergeCell ref="AC360:AC361"/>
    <mergeCell ref="AD360:AD361"/>
    <mergeCell ref="V360:V361"/>
    <mergeCell ref="H360:H361"/>
    <mergeCell ref="K360:K361"/>
    <mergeCell ref="M360:M361"/>
    <mergeCell ref="N360:N361"/>
    <mergeCell ref="R360:R361"/>
    <mergeCell ref="S360:S361"/>
    <mergeCell ref="B360:B361"/>
    <mergeCell ref="C360:C361"/>
    <mergeCell ref="D360:D361"/>
    <mergeCell ref="E360:E361"/>
    <mergeCell ref="F360:F361"/>
    <mergeCell ref="G360:G361"/>
    <mergeCell ref="A360:A361"/>
    <mergeCell ref="O363:O364"/>
    <mergeCell ref="P363:P364"/>
    <mergeCell ref="Q363:Q364"/>
    <mergeCell ref="AF362:AF364"/>
    <mergeCell ref="AG362:AG364"/>
    <mergeCell ref="AH362:AH364"/>
    <mergeCell ref="AI362:AI364"/>
    <mergeCell ref="X362:X364"/>
    <mergeCell ref="Y362:Y364"/>
    <mergeCell ref="Z362:Z364"/>
    <mergeCell ref="AA362:AA364"/>
    <mergeCell ref="AB362:AB364"/>
    <mergeCell ref="AC362:AC364"/>
    <mergeCell ref="R362:R364"/>
    <mergeCell ref="S362:S364"/>
    <mergeCell ref="T362:T363"/>
    <mergeCell ref="G362:G364"/>
    <mergeCell ref="H362:H364"/>
    <mergeCell ref="K362:K364"/>
    <mergeCell ref="L362:L364"/>
    <mergeCell ref="M362:M364"/>
    <mergeCell ref="N362:N364"/>
    <mergeCell ref="I363:I364"/>
    <mergeCell ref="J363:J364"/>
    <mergeCell ref="H369:H374"/>
    <mergeCell ref="I369:I370"/>
    <mergeCell ref="J369:J370"/>
    <mergeCell ref="K369:K374"/>
    <mergeCell ref="L369:L374"/>
    <mergeCell ref="M369:M374"/>
    <mergeCell ref="A365:A368"/>
    <mergeCell ref="B365:B368"/>
    <mergeCell ref="AD362:AD364"/>
    <mergeCell ref="AE362:AE364"/>
    <mergeCell ref="B362:B364"/>
    <mergeCell ref="C362:C364"/>
    <mergeCell ref="D362:D364"/>
    <mergeCell ref="E362:E364"/>
    <mergeCell ref="B369:B374"/>
    <mergeCell ref="C369:C374"/>
    <mergeCell ref="D369:D374"/>
    <mergeCell ref="E369:E374"/>
    <mergeCell ref="F369:F374"/>
    <mergeCell ref="G369:G374"/>
    <mergeCell ref="A369:A374"/>
    <mergeCell ref="AD365:AD368"/>
    <mergeCell ref="AE365:AE368"/>
    <mergeCell ref="AF365:AF368"/>
    <mergeCell ref="AG365:AG368"/>
    <mergeCell ref="I365:I366"/>
    <mergeCell ref="J365:J366"/>
    <mergeCell ref="K365:K368"/>
    <mergeCell ref="L365:L368"/>
    <mergeCell ref="M365:M368"/>
    <mergeCell ref="N365:N368"/>
    <mergeCell ref="I367:I368"/>
    <mergeCell ref="J367:J368"/>
    <mergeCell ref="C365:C368"/>
    <mergeCell ref="D365:D368"/>
    <mergeCell ref="E365:E368"/>
    <mergeCell ref="F365:F368"/>
    <mergeCell ref="G365:G368"/>
    <mergeCell ref="H365:H368"/>
    <mergeCell ref="Y365:Y368"/>
    <mergeCell ref="AA365:AA368"/>
    <mergeCell ref="AB365:AB368"/>
    <mergeCell ref="AC365:AC368"/>
    <mergeCell ref="O365:O366"/>
    <mergeCell ref="P365:P366"/>
    <mergeCell ref="Q365:Q366"/>
    <mergeCell ref="R365:R368"/>
    <mergeCell ref="S365:S368"/>
    <mergeCell ref="T365:T366"/>
    <mergeCell ref="O367:O368"/>
    <mergeCell ref="P367:P368"/>
    <mergeCell ref="Q367:Q368"/>
    <mergeCell ref="T367:T368"/>
    <mergeCell ref="AI369:AI374"/>
    <mergeCell ref="I371:I374"/>
    <mergeCell ref="J371:J374"/>
    <mergeCell ref="O371:O374"/>
    <mergeCell ref="P371:P374"/>
    <mergeCell ref="Q371:Q374"/>
    <mergeCell ref="T371:T372"/>
    <mergeCell ref="AA371:AA374"/>
    <mergeCell ref="AC371:AC374"/>
    <mergeCell ref="AC369:AC370"/>
    <mergeCell ref="AD369:AD374"/>
    <mergeCell ref="AE369:AE374"/>
    <mergeCell ref="AF369:AF374"/>
    <mergeCell ref="AG369:AG374"/>
    <mergeCell ref="AH369:AH374"/>
    <mergeCell ref="T369:T370"/>
    <mergeCell ref="X369:X374"/>
    <mergeCell ref="Y369:Y374"/>
    <mergeCell ref="AA369:AA370"/>
    <mergeCell ref="AB369:AB374"/>
    <mergeCell ref="N369:N374"/>
    <mergeCell ref="O369:O370"/>
    <mergeCell ref="P369:P370"/>
    <mergeCell ref="Q369:Q370"/>
    <mergeCell ref="R369:R374"/>
    <mergeCell ref="S369:S374"/>
    <mergeCell ref="O383:O384"/>
    <mergeCell ref="P383:P384"/>
    <mergeCell ref="Q383:Q384"/>
    <mergeCell ref="H375:H380"/>
    <mergeCell ref="I375:I377"/>
    <mergeCell ref="J375:J377"/>
    <mergeCell ref="K375:K380"/>
    <mergeCell ref="L375:L384"/>
    <mergeCell ref="M375:M380"/>
    <mergeCell ref="H381:H382"/>
    <mergeCell ref="I381:I382"/>
    <mergeCell ref="J381:J382"/>
    <mergeCell ref="K381:K382"/>
    <mergeCell ref="B375:B384"/>
    <mergeCell ref="C375:C384"/>
    <mergeCell ref="D375:D384"/>
    <mergeCell ref="E375:E380"/>
    <mergeCell ref="F375:F384"/>
    <mergeCell ref="G375:G384"/>
    <mergeCell ref="E381:E382"/>
    <mergeCell ref="E383:E384"/>
    <mergeCell ref="AD383:AD384"/>
    <mergeCell ref="AE383:AE384"/>
    <mergeCell ref="H383:H384"/>
    <mergeCell ref="I383:I384"/>
    <mergeCell ref="J383:J384"/>
    <mergeCell ref="K383:K384"/>
    <mergeCell ref="M383:M384"/>
    <mergeCell ref="N383:N384"/>
    <mergeCell ref="M381:M382"/>
    <mergeCell ref="N381:N382"/>
    <mergeCell ref="O381:O382"/>
    <mergeCell ref="P381:P382"/>
    <mergeCell ref="Q381:Q382"/>
    <mergeCell ref="X381:X382"/>
    <mergeCell ref="AI375:AI384"/>
    <mergeCell ref="T377:T378"/>
    <mergeCell ref="I378:I380"/>
    <mergeCell ref="J378:J380"/>
    <mergeCell ref="O378:O380"/>
    <mergeCell ref="P378:P380"/>
    <mergeCell ref="Q378:Q380"/>
    <mergeCell ref="AA378:AA380"/>
    <mergeCell ref="AC378:AC380"/>
    <mergeCell ref="AC375:AC377"/>
    <mergeCell ref="AD375:AD380"/>
    <mergeCell ref="AE375:AE380"/>
    <mergeCell ref="AF375:AF384"/>
    <mergeCell ref="AG375:AG384"/>
    <mergeCell ref="AH375:AH384"/>
    <mergeCell ref="AC381:AC382"/>
    <mergeCell ref="AD381:AD382"/>
    <mergeCell ref="AE381:AE382"/>
    <mergeCell ref="H385:H388"/>
    <mergeCell ref="I385:I386"/>
    <mergeCell ref="J385:J386"/>
    <mergeCell ref="K385:K388"/>
    <mergeCell ref="L385:L388"/>
    <mergeCell ref="M385:M388"/>
    <mergeCell ref="B385:B388"/>
    <mergeCell ref="C385:C388"/>
    <mergeCell ref="D385:D388"/>
    <mergeCell ref="E385:E388"/>
    <mergeCell ref="F385:F388"/>
    <mergeCell ref="G385:G388"/>
    <mergeCell ref="A385:A388"/>
    <mergeCell ref="X383:X384"/>
    <mergeCell ref="AA383:AA384"/>
    <mergeCell ref="AB383:AB384"/>
    <mergeCell ref="AC383:AC384"/>
    <mergeCell ref="A375:A384"/>
    <mergeCell ref="T375:T376"/>
    <mergeCell ref="X375:X380"/>
    <mergeCell ref="Y375:Y384"/>
    <mergeCell ref="AA375:AA377"/>
    <mergeCell ref="AB375:AB380"/>
    <mergeCell ref="T379:T380"/>
    <mergeCell ref="AA381:AA382"/>
    <mergeCell ref="AB381:AB382"/>
    <mergeCell ref="N375:N380"/>
    <mergeCell ref="O375:O377"/>
    <mergeCell ref="P375:P377"/>
    <mergeCell ref="Q375:Q377"/>
    <mergeCell ref="R375:R384"/>
    <mergeCell ref="S375:S384"/>
    <mergeCell ref="AI385:AI388"/>
    <mergeCell ref="I387:I388"/>
    <mergeCell ref="J387:J388"/>
    <mergeCell ref="O387:O388"/>
    <mergeCell ref="P387:P388"/>
    <mergeCell ref="Q387:Q388"/>
    <mergeCell ref="T387:T388"/>
    <mergeCell ref="AA387:AA388"/>
    <mergeCell ref="AC385:AC388"/>
    <mergeCell ref="AD385:AD388"/>
    <mergeCell ref="AE385:AE388"/>
    <mergeCell ref="AF385:AF388"/>
    <mergeCell ref="AG385:AG388"/>
    <mergeCell ref="AH385:AH388"/>
    <mergeCell ref="T385:T386"/>
    <mergeCell ref="X385:X388"/>
    <mergeCell ref="Y385:Y388"/>
    <mergeCell ref="AA385:AA386"/>
    <mergeCell ref="AB385:AB388"/>
    <mergeCell ref="N385:N388"/>
    <mergeCell ref="O385:O386"/>
    <mergeCell ref="P385:P386"/>
    <mergeCell ref="Q385:Q386"/>
    <mergeCell ref="R385:R388"/>
    <mergeCell ref="S385:S388"/>
    <mergeCell ref="AC390:AC391"/>
    <mergeCell ref="E392:E393"/>
    <mergeCell ref="H392:H393"/>
    <mergeCell ref="I392:I393"/>
    <mergeCell ref="J392:J393"/>
    <mergeCell ref="K392:K393"/>
    <mergeCell ref="M392:M393"/>
    <mergeCell ref="N392:N393"/>
    <mergeCell ref="AD389:AD391"/>
    <mergeCell ref="AE389:AE391"/>
    <mergeCell ref="AF389:AF393"/>
    <mergeCell ref="AG389:AG393"/>
    <mergeCell ref="AH389:AH393"/>
    <mergeCell ref="AI389:AI393"/>
    <mergeCell ref="S389:S393"/>
    <mergeCell ref="T389:T390"/>
    <mergeCell ref="X389:X391"/>
    <mergeCell ref="Y389:Y393"/>
    <mergeCell ref="AB389:AB391"/>
    <mergeCell ref="H389:H391"/>
    <mergeCell ref="K389:K391"/>
    <mergeCell ref="L389:L393"/>
    <mergeCell ref="M389:M391"/>
    <mergeCell ref="N389:N391"/>
    <mergeCell ref="R389:R393"/>
    <mergeCell ref="I390:I391"/>
    <mergeCell ref="J390:J391"/>
    <mergeCell ref="O390:O391"/>
    <mergeCell ref="P390:P391"/>
    <mergeCell ref="E389:E391"/>
    <mergeCell ref="W397:W399"/>
    <mergeCell ref="I394:I396"/>
    <mergeCell ref="J394:J396"/>
    <mergeCell ref="K394:K399"/>
    <mergeCell ref="L394:L400"/>
    <mergeCell ref="M394:M399"/>
    <mergeCell ref="N394:N399"/>
    <mergeCell ref="C394:C400"/>
    <mergeCell ref="D394:D400"/>
    <mergeCell ref="E394:E399"/>
    <mergeCell ref="F394:F400"/>
    <mergeCell ref="G394:G400"/>
    <mergeCell ref="H394:H399"/>
    <mergeCell ref="AC392:AC393"/>
    <mergeCell ref="AD392:AD393"/>
    <mergeCell ref="AE392:AE393"/>
    <mergeCell ref="A394:A400"/>
    <mergeCell ref="B394:B400"/>
    <mergeCell ref="O392:O393"/>
    <mergeCell ref="P392:P393"/>
    <mergeCell ref="Q392:Q393"/>
    <mergeCell ref="X392:X393"/>
    <mergeCell ref="AA392:AA393"/>
    <mergeCell ref="AB392:AB393"/>
    <mergeCell ref="B389:B393"/>
    <mergeCell ref="C389:C393"/>
    <mergeCell ref="D389:D393"/>
    <mergeCell ref="F389:F393"/>
    <mergeCell ref="G389:G393"/>
    <mergeCell ref="A389:A393"/>
    <mergeCell ref="Q390:Q391"/>
    <mergeCell ref="AA390:AA391"/>
    <mergeCell ref="I403:I404"/>
    <mergeCell ref="J403:J404"/>
    <mergeCell ref="B401:B404"/>
    <mergeCell ref="C401:C404"/>
    <mergeCell ref="D401:D404"/>
    <mergeCell ref="E401:E404"/>
    <mergeCell ref="F401:F404"/>
    <mergeCell ref="G401:G404"/>
    <mergeCell ref="A401:A404"/>
    <mergeCell ref="AE394:AE399"/>
    <mergeCell ref="AF394:AF400"/>
    <mergeCell ref="AG394:AG400"/>
    <mergeCell ref="AH394:AH400"/>
    <mergeCell ref="AI394:AI400"/>
    <mergeCell ref="I397:I399"/>
    <mergeCell ref="J397:J399"/>
    <mergeCell ref="O397:O399"/>
    <mergeCell ref="P397:P399"/>
    <mergeCell ref="Q397:Q399"/>
    <mergeCell ref="X394:X399"/>
    <mergeCell ref="Y394:Y400"/>
    <mergeCell ref="AA394:AA396"/>
    <mergeCell ref="AB394:AB400"/>
    <mergeCell ref="AC394:AC399"/>
    <mergeCell ref="AD394:AD399"/>
    <mergeCell ref="AA397:AA399"/>
    <mergeCell ref="O394:O396"/>
    <mergeCell ref="P394:P396"/>
    <mergeCell ref="Q394:Q396"/>
    <mergeCell ref="R394:R400"/>
    <mergeCell ref="S394:S400"/>
    <mergeCell ref="W394:W396"/>
    <mergeCell ref="E405:E406"/>
    <mergeCell ref="F405:F406"/>
    <mergeCell ref="G405:G406"/>
    <mergeCell ref="A405:A406"/>
    <mergeCell ref="AD401:AD404"/>
    <mergeCell ref="AE401:AE404"/>
    <mergeCell ref="AF401:AF404"/>
    <mergeCell ref="AG401:AG404"/>
    <mergeCell ref="AH401:AH404"/>
    <mergeCell ref="AI401:AI404"/>
    <mergeCell ref="T401:T402"/>
    <mergeCell ref="X401:X404"/>
    <mergeCell ref="Y401:Y404"/>
    <mergeCell ref="AB401:AB404"/>
    <mergeCell ref="AC401:AC404"/>
    <mergeCell ref="T403:T404"/>
    <mergeCell ref="V403:V404"/>
    <mergeCell ref="N401:N404"/>
    <mergeCell ref="O401:O402"/>
    <mergeCell ref="P401:P402"/>
    <mergeCell ref="Q401:Q402"/>
    <mergeCell ref="R401:R404"/>
    <mergeCell ref="S401:S404"/>
    <mergeCell ref="O403:O404"/>
    <mergeCell ref="P403:P404"/>
    <mergeCell ref="Q403:Q404"/>
    <mergeCell ref="H401:H404"/>
    <mergeCell ref="I401:I402"/>
    <mergeCell ref="J401:J402"/>
    <mergeCell ref="K401:K404"/>
    <mergeCell ref="L401:L404"/>
    <mergeCell ref="M401:M404"/>
    <mergeCell ref="D407:D411"/>
    <mergeCell ref="E407:E410"/>
    <mergeCell ref="F407:F411"/>
    <mergeCell ref="G407:G411"/>
    <mergeCell ref="H407:H410"/>
    <mergeCell ref="I407:I408"/>
    <mergeCell ref="AH405:AH406"/>
    <mergeCell ref="AI405:AI406"/>
    <mergeCell ref="A407:A411"/>
    <mergeCell ref="B407:B411"/>
    <mergeCell ref="C407:C411"/>
    <mergeCell ref="AA405:AA406"/>
    <mergeCell ref="AB405:AB406"/>
    <mergeCell ref="AC405:AC406"/>
    <mergeCell ref="AE405:AE406"/>
    <mergeCell ref="AF405:AF406"/>
    <mergeCell ref="AG405:AG406"/>
    <mergeCell ref="S405:S406"/>
    <mergeCell ref="T405:T406"/>
    <mergeCell ref="X405:X406"/>
    <mergeCell ref="Y405:Y406"/>
    <mergeCell ref="Z405:Z406"/>
    <mergeCell ref="V405:V406"/>
    <mergeCell ref="H405:H406"/>
    <mergeCell ref="K405:K406"/>
    <mergeCell ref="L405:L406"/>
    <mergeCell ref="M405:M406"/>
    <mergeCell ref="N405:N406"/>
    <mergeCell ref="R405:R406"/>
    <mergeCell ref="B405:B406"/>
    <mergeCell ref="C405:C406"/>
    <mergeCell ref="D405:D406"/>
    <mergeCell ref="AE407:AE410"/>
    <mergeCell ref="AF407:AF411"/>
    <mergeCell ref="AG407:AG411"/>
    <mergeCell ref="AH407:AH411"/>
    <mergeCell ref="AI407:AI411"/>
    <mergeCell ref="I409:I410"/>
    <mergeCell ref="J409:J410"/>
    <mergeCell ref="O409:O410"/>
    <mergeCell ref="P409:P410"/>
    <mergeCell ref="Q409:Q410"/>
    <mergeCell ref="X407:X410"/>
    <mergeCell ref="Y407:Y411"/>
    <mergeCell ref="AA407:AA408"/>
    <mergeCell ref="AB407:AB410"/>
    <mergeCell ref="AC407:AC410"/>
    <mergeCell ref="AD407:AD410"/>
    <mergeCell ref="AA409:AA410"/>
    <mergeCell ref="P407:P408"/>
    <mergeCell ref="Q407:Q408"/>
    <mergeCell ref="R407:R411"/>
    <mergeCell ref="S407:S411"/>
    <mergeCell ref="T407:T408"/>
    <mergeCell ref="T409:T410"/>
    <mergeCell ref="J407:J408"/>
    <mergeCell ref="K407:K410"/>
    <mergeCell ref="L407:L411"/>
    <mergeCell ref="M407:M410"/>
    <mergeCell ref="N407:N410"/>
    <mergeCell ref="O407:O408"/>
    <mergeCell ref="V407:V408"/>
    <mergeCell ref="V409:V410"/>
    <mergeCell ref="P412:P413"/>
    <mergeCell ref="Q412:Q413"/>
    <mergeCell ref="R412:R417"/>
    <mergeCell ref="S412:S417"/>
    <mergeCell ref="H412:H417"/>
    <mergeCell ref="I412:I413"/>
    <mergeCell ref="J412:J413"/>
    <mergeCell ref="K412:K417"/>
    <mergeCell ref="L412:L417"/>
    <mergeCell ref="M412:M417"/>
    <mergeCell ref="B412:B417"/>
    <mergeCell ref="C412:C417"/>
    <mergeCell ref="D412:D417"/>
    <mergeCell ref="E412:E417"/>
    <mergeCell ref="F412:F417"/>
    <mergeCell ref="G412:G417"/>
    <mergeCell ref="A412:A417"/>
    <mergeCell ref="L418:L421"/>
    <mergeCell ref="M418:M421"/>
    <mergeCell ref="B418:B421"/>
    <mergeCell ref="C418:C421"/>
    <mergeCell ref="D418:D421"/>
    <mergeCell ref="E418:E421"/>
    <mergeCell ref="F418:F421"/>
    <mergeCell ref="G418:G421"/>
    <mergeCell ref="A418:A421"/>
    <mergeCell ref="AI412:AI417"/>
    <mergeCell ref="I414:I417"/>
    <mergeCell ref="J414:J417"/>
    <mergeCell ref="O414:O417"/>
    <mergeCell ref="P414:P417"/>
    <mergeCell ref="Q414:Q417"/>
    <mergeCell ref="T414:T415"/>
    <mergeCell ref="AA414:AA417"/>
    <mergeCell ref="AC414:AC417"/>
    <mergeCell ref="AC412:AC413"/>
    <mergeCell ref="AD412:AD417"/>
    <mergeCell ref="AE412:AE417"/>
    <mergeCell ref="AF412:AF417"/>
    <mergeCell ref="AG412:AG417"/>
    <mergeCell ref="AH412:AH417"/>
    <mergeCell ref="T412:T413"/>
    <mergeCell ref="X412:X417"/>
    <mergeCell ref="Y412:Y417"/>
    <mergeCell ref="AA412:AA413"/>
    <mergeCell ref="AB412:AB417"/>
    <mergeCell ref="T416:T417"/>
    <mergeCell ref="N412:N417"/>
    <mergeCell ref="O412:O413"/>
    <mergeCell ref="A422:A425"/>
    <mergeCell ref="AI418:AI421"/>
    <mergeCell ref="AJ418:AJ421"/>
    <mergeCell ref="I420:I421"/>
    <mergeCell ref="J420:J421"/>
    <mergeCell ref="O420:O421"/>
    <mergeCell ref="P420:P421"/>
    <mergeCell ref="Q420:Q421"/>
    <mergeCell ref="T420:T421"/>
    <mergeCell ref="AA420:AA421"/>
    <mergeCell ref="AC420:AC421"/>
    <mergeCell ref="AC418:AC419"/>
    <mergeCell ref="AD418:AD421"/>
    <mergeCell ref="AE418:AE421"/>
    <mergeCell ref="AF418:AF421"/>
    <mergeCell ref="AG418:AG421"/>
    <mergeCell ref="AH418:AH421"/>
    <mergeCell ref="T418:T419"/>
    <mergeCell ref="X418:X421"/>
    <mergeCell ref="Y418:Y421"/>
    <mergeCell ref="AA418:AA419"/>
    <mergeCell ref="AB418:AB421"/>
    <mergeCell ref="N418:N421"/>
    <mergeCell ref="O418:O419"/>
    <mergeCell ref="P418:P419"/>
    <mergeCell ref="Q418:Q419"/>
    <mergeCell ref="R418:R421"/>
    <mergeCell ref="S418:S421"/>
    <mergeCell ref="H418:H421"/>
    <mergeCell ref="I418:I419"/>
    <mergeCell ref="J418:J419"/>
    <mergeCell ref="K418:K421"/>
    <mergeCell ref="O422:O423"/>
    <mergeCell ref="P422:P423"/>
    <mergeCell ref="Q422:Q423"/>
    <mergeCell ref="R422:R425"/>
    <mergeCell ref="S422:S425"/>
    <mergeCell ref="H422:H425"/>
    <mergeCell ref="I422:I423"/>
    <mergeCell ref="J422:J423"/>
    <mergeCell ref="K422:K425"/>
    <mergeCell ref="L422:L425"/>
    <mergeCell ref="M422:M425"/>
    <mergeCell ref="B422:B425"/>
    <mergeCell ref="C422:C425"/>
    <mergeCell ref="D422:D425"/>
    <mergeCell ref="E422:E425"/>
    <mergeCell ref="F422:F425"/>
    <mergeCell ref="G422:G425"/>
    <mergeCell ref="L426:L430"/>
    <mergeCell ref="M426:M430"/>
    <mergeCell ref="B426:B430"/>
    <mergeCell ref="C426:C430"/>
    <mergeCell ref="D426:D430"/>
    <mergeCell ref="E426:E430"/>
    <mergeCell ref="F426:F430"/>
    <mergeCell ref="G426:G430"/>
    <mergeCell ref="A426:A430"/>
    <mergeCell ref="AH422:AH425"/>
    <mergeCell ref="AI422:AI425"/>
    <mergeCell ref="I424:I425"/>
    <mergeCell ref="J424:J425"/>
    <mergeCell ref="O424:O425"/>
    <mergeCell ref="P424:P425"/>
    <mergeCell ref="Q424:Q425"/>
    <mergeCell ref="T424:T425"/>
    <mergeCell ref="AC424:AC425"/>
    <mergeCell ref="AB422:AB425"/>
    <mergeCell ref="AC422:AC423"/>
    <mergeCell ref="AD422:AD425"/>
    <mergeCell ref="AE422:AE425"/>
    <mergeCell ref="AF422:AF425"/>
    <mergeCell ref="AG422:AG425"/>
    <mergeCell ref="T422:T423"/>
    <mergeCell ref="X422:X425"/>
    <mergeCell ref="Y422:Y425"/>
    <mergeCell ref="Z422:Z425"/>
    <mergeCell ref="AA422:AA425"/>
    <mergeCell ref="V422:V423"/>
    <mergeCell ref="V424:V425"/>
    <mergeCell ref="N422:N425"/>
    <mergeCell ref="A431:A435"/>
    <mergeCell ref="AI426:AI430"/>
    <mergeCell ref="I428:I430"/>
    <mergeCell ref="J428:J430"/>
    <mergeCell ref="O428:O430"/>
    <mergeCell ref="P428:P430"/>
    <mergeCell ref="Q428:Q430"/>
    <mergeCell ref="AA428:AA430"/>
    <mergeCell ref="T429:T430"/>
    <mergeCell ref="V426:V427"/>
    <mergeCell ref="AC426:AC430"/>
    <mergeCell ref="AD426:AD430"/>
    <mergeCell ref="AE426:AE430"/>
    <mergeCell ref="AF426:AF430"/>
    <mergeCell ref="AG426:AG430"/>
    <mergeCell ref="AH426:AH430"/>
    <mergeCell ref="T426:T427"/>
    <mergeCell ref="X426:X430"/>
    <mergeCell ref="Y426:Y430"/>
    <mergeCell ref="AA426:AA427"/>
    <mergeCell ref="AB426:AB430"/>
    <mergeCell ref="V429:V430"/>
    <mergeCell ref="N426:N430"/>
    <mergeCell ref="O426:O427"/>
    <mergeCell ref="P426:P427"/>
    <mergeCell ref="Q426:Q427"/>
    <mergeCell ref="R426:R430"/>
    <mergeCell ref="S426:S430"/>
    <mergeCell ref="H426:H430"/>
    <mergeCell ref="I426:I427"/>
    <mergeCell ref="J426:J427"/>
    <mergeCell ref="K426:K430"/>
    <mergeCell ref="O431:O432"/>
    <mergeCell ref="P431:P432"/>
    <mergeCell ref="Q431:Q432"/>
    <mergeCell ref="R431:R435"/>
    <mergeCell ref="S431:S435"/>
    <mergeCell ref="H431:H434"/>
    <mergeCell ref="I431:I432"/>
    <mergeCell ref="J431:J432"/>
    <mergeCell ref="K431:K434"/>
    <mergeCell ref="L431:L435"/>
    <mergeCell ref="M431:M434"/>
    <mergeCell ref="B431:B435"/>
    <mergeCell ref="C431:C435"/>
    <mergeCell ref="D431:D435"/>
    <mergeCell ref="E431:E435"/>
    <mergeCell ref="F431:F435"/>
    <mergeCell ref="G431:G435"/>
    <mergeCell ref="K436:K441"/>
    <mergeCell ref="L436:L441"/>
    <mergeCell ref="M436:M441"/>
    <mergeCell ref="B436:B441"/>
    <mergeCell ref="C436:C441"/>
    <mergeCell ref="D436:D441"/>
    <mergeCell ref="E436:E441"/>
    <mergeCell ref="F436:F441"/>
    <mergeCell ref="G436:G441"/>
    <mergeCell ref="A436:A441"/>
    <mergeCell ref="AH431:AH435"/>
    <mergeCell ref="AI431:AI435"/>
    <mergeCell ref="I433:I434"/>
    <mergeCell ref="J433:J434"/>
    <mergeCell ref="O433:O434"/>
    <mergeCell ref="P433:P434"/>
    <mergeCell ref="Q433:Q434"/>
    <mergeCell ref="T433:T434"/>
    <mergeCell ref="V431:V432"/>
    <mergeCell ref="AB431:AB435"/>
    <mergeCell ref="AC431:AC435"/>
    <mergeCell ref="AD431:AD435"/>
    <mergeCell ref="AE431:AE435"/>
    <mergeCell ref="AF431:AF435"/>
    <mergeCell ref="AG431:AG435"/>
    <mergeCell ref="T431:T432"/>
    <mergeCell ref="X431:X434"/>
    <mergeCell ref="Y431:Y435"/>
    <mergeCell ref="Z431:Z435"/>
    <mergeCell ref="AA431:AA435"/>
    <mergeCell ref="V433:V434"/>
    <mergeCell ref="N431:N434"/>
    <mergeCell ref="A442:A445"/>
    <mergeCell ref="AI436:AI441"/>
    <mergeCell ref="T438:T439"/>
    <mergeCell ref="I439:I441"/>
    <mergeCell ref="J439:J441"/>
    <mergeCell ref="O439:O441"/>
    <mergeCell ref="P439:P441"/>
    <mergeCell ref="Q439:Q441"/>
    <mergeCell ref="AA439:AA441"/>
    <mergeCell ref="T440:T441"/>
    <mergeCell ref="AC436:AC441"/>
    <mergeCell ref="AD436:AD441"/>
    <mergeCell ref="AE436:AE441"/>
    <mergeCell ref="AF436:AF441"/>
    <mergeCell ref="AG436:AG441"/>
    <mergeCell ref="AH436:AH441"/>
    <mergeCell ref="T436:T437"/>
    <mergeCell ref="X436:X441"/>
    <mergeCell ref="Y436:Y441"/>
    <mergeCell ref="AA436:AA438"/>
    <mergeCell ref="AB436:AB441"/>
    <mergeCell ref="V436:V437"/>
    <mergeCell ref="V438:V439"/>
    <mergeCell ref="N436:N441"/>
    <mergeCell ref="O436:O438"/>
    <mergeCell ref="P436:P438"/>
    <mergeCell ref="Q436:Q438"/>
    <mergeCell ref="R436:R441"/>
    <mergeCell ref="S436:S441"/>
    <mergeCell ref="H436:H441"/>
    <mergeCell ref="I436:I438"/>
    <mergeCell ref="J436:J438"/>
    <mergeCell ref="AA442:AA443"/>
    <mergeCell ref="AB442:AB445"/>
    <mergeCell ref="N442:N445"/>
    <mergeCell ref="O442:O443"/>
    <mergeCell ref="P442:P443"/>
    <mergeCell ref="Q442:Q443"/>
    <mergeCell ref="R442:R445"/>
    <mergeCell ref="S442:S445"/>
    <mergeCell ref="H442:H445"/>
    <mergeCell ref="I442:I443"/>
    <mergeCell ref="J442:J443"/>
    <mergeCell ref="K442:K445"/>
    <mergeCell ref="L442:L445"/>
    <mergeCell ref="M442:M445"/>
    <mergeCell ref="B442:B445"/>
    <mergeCell ref="C442:C445"/>
    <mergeCell ref="D442:D445"/>
    <mergeCell ref="E442:E445"/>
    <mergeCell ref="F442:F445"/>
    <mergeCell ref="G442:G445"/>
    <mergeCell ref="H446:H449"/>
    <mergeCell ref="I446:I447"/>
    <mergeCell ref="J446:J447"/>
    <mergeCell ref="K446:K449"/>
    <mergeCell ref="L446:L449"/>
    <mergeCell ref="M446:M449"/>
    <mergeCell ref="B446:B449"/>
    <mergeCell ref="C446:C449"/>
    <mergeCell ref="D446:D449"/>
    <mergeCell ref="E446:E449"/>
    <mergeCell ref="F446:F449"/>
    <mergeCell ref="G446:G449"/>
    <mergeCell ref="A446:A449"/>
    <mergeCell ref="AI442:AI445"/>
    <mergeCell ref="AJ442:AJ445"/>
    <mergeCell ref="I444:I445"/>
    <mergeCell ref="J444:J445"/>
    <mergeCell ref="O444:O445"/>
    <mergeCell ref="P444:P445"/>
    <mergeCell ref="Q444:Q445"/>
    <mergeCell ref="T444:T445"/>
    <mergeCell ref="AA444:AA445"/>
    <mergeCell ref="V442:V443"/>
    <mergeCell ref="AC442:AC445"/>
    <mergeCell ref="AD442:AD445"/>
    <mergeCell ref="AE442:AE445"/>
    <mergeCell ref="AF442:AF445"/>
    <mergeCell ref="AG442:AG445"/>
    <mergeCell ref="AH442:AH445"/>
    <mergeCell ref="T442:T443"/>
    <mergeCell ref="X442:X445"/>
    <mergeCell ref="Y442:Y445"/>
    <mergeCell ref="AI446:AI449"/>
    <mergeCell ref="I448:I449"/>
    <mergeCell ref="J448:J449"/>
    <mergeCell ref="O448:O449"/>
    <mergeCell ref="P448:P449"/>
    <mergeCell ref="Q448:Q449"/>
    <mergeCell ref="T448:T449"/>
    <mergeCell ref="AA448:AA449"/>
    <mergeCell ref="AC448:AC449"/>
    <mergeCell ref="V446:V447"/>
    <mergeCell ref="AC446:AC447"/>
    <mergeCell ref="AD446:AD449"/>
    <mergeCell ref="AE446:AE449"/>
    <mergeCell ref="AF446:AF449"/>
    <mergeCell ref="AG446:AG449"/>
    <mergeCell ref="AH446:AH449"/>
    <mergeCell ref="T446:T447"/>
    <mergeCell ref="X446:X449"/>
    <mergeCell ref="Y446:Y449"/>
    <mergeCell ref="AA446:AA447"/>
    <mergeCell ref="AB446:AB449"/>
    <mergeCell ref="N446:N449"/>
    <mergeCell ref="O446:O447"/>
    <mergeCell ref="P446:P447"/>
    <mergeCell ref="Q446:Q447"/>
    <mergeCell ref="R446:R449"/>
    <mergeCell ref="S446:S449"/>
    <mergeCell ref="Q450:Q452"/>
    <mergeCell ref="R450:R456"/>
    <mergeCell ref="S450:S456"/>
    <mergeCell ref="H450:H454"/>
    <mergeCell ref="I450:I452"/>
    <mergeCell ref="J450:J452"/>
    <mergeCell ref="K450:K454"/>
    <mergeCell ref="L450:L456"/>
    <mergeCell ref="M450:M454"/>
    <mergeCell ref="H455:H456"/>
    <mergeCell ref="I455:I456"/>
    <mergeCell ref="J455:J456"/>
    <mergeCell ref="K455:K456"/>
    <mergeCell ref="B450:B456"/>
    <mergeCell ref="C450:C456"/>
    <mergeCell ref="D450:D456"/>
    <mergeCell ref="E450:E456"/>
    <mergeCell ref="F450:F456"/>
    <mergeCell ref="G450:G456"/>
    <mergeCell ref="Q455:Q456"/>
    <mergeCell ref="X455:X456"/>
    <mergeCell ref="AI450:AI456"/>
    <mergeCell ref="AJ450:AJ456"/>
    <mergeCell ref="T452:T453"/>
    <mergeCell ref="I453:I454"/>
    <mergeCell ref="J453:J454"/>
    <mergeCell ref="O453:O454"/>
    <mergeCell ref="P453:P454"/>
    <mergeCell ref="Q453:Q454"/>
    <mergeCell ref="AA453:AA454"/>
    <mergeCell ref="AC450:AC452"/>
    <mergeCell ref="AD450:AD454"/>
    <mergeCell ref="AE450:AE454"/>
    <mergeCell ref="AF450:AF456"/>
    <mergeCell ref="AG450:AG456"/>
    <mergeCell ref="AH450:AH456"/>
    <mergeCell ref="AC453:AC454"/>
    <mergeCell ref="AC455:AC456"/>
    <mergeCell ref="AD455:AD456"/>
    <mergeCell ref="AE455:AE456"/>
    <mergeCell ref="T450:T451"/>
    <mergeCell ref="X450:X454"/>
    <mergeCell ref="Y450:Y456"/>
    <mergeCell ref="AA450:AA452"/>
    <mergeCell ref="AB450:AB454"/>
    <mergeCell ref="AA455:AA456"/>
    <mergeCell ref="AB455:AB456"/>
    <mergeCell ref="V450:V451"/>
    <mergeCell ref="V452:V453"/>
    <mergeCell ref="N450:N454"/>
    <mergeCell ref="O450:O452"/>
    <mergeCell ref="P450:P452"/>
    <mergeCell ref="H457:H460"/>
    <mergeCell ref="I457:I458"/>
    <mergeCell ref="J457:J458"/>
    <mergeCell ref="K457:K460"/>
    <mergeCell ref="L457:L460"/>
    <mergeCell ref="M457:M460"/>
    <mergeCell ref="B457:B460"/>
    <mergeCell ref="C457:C460"/>
    <mergeCell ref="D457:D460"/>
    <mergeCell ref="E457:E460"/>
    <mergeCell ref="F457:F460"/>
    <mergeCell ref="G457:G460"/>
    <mergeCell ref="A457:A460"/>
    <mergeCell ref="M455:M456"/>
    <mergeCell ref="N455:N456"/>
    <mergeCell ref="O455:O456"/>
    <mergeCell ref="P455:P456"/>
    <mergeCell ref="A450:A456"/>
    <mergeCell ref="D461:D470"/>
    <mergeCell ref="E461:E468"/>
    <mergeCell ref="F461:F470"/>
    <mergeCell ref="G461:G470"/>
    <mergeCell ref="E469:E470"/>
    <mergeCell ref="AI457:AI460"/>
    <mergeCell ref="I459:I460"/>
    <mergeCell ref="J459:J460"/>
    <mergeCell ref="O459:O460"/>
    <mergeCell ref="P459:P460"/>
    <mergeCell ref="Q459:Q460"/>
    <mergeCell ref="T459:T460"/>
    <mergeCell ref="AA459:AA460"/>
    <mergeCell ref="V457:V458"/>
    <mergeCell ref="AC457:AC460"/>
    <mergeCell ref="AD457:AD460"/>
    <mergeCell ref="AE457:AE460"/>
    <mergeCell ref="AF457:AF460"/>
    <mergeCell ref="AG457:AG460"/>
    <mergeCell ref="AH457:AH460"/>
    <mergeCell ref="T457:T458"/>
    <mergeCell ref="X457:X460"/>
    <mergeCell ref="Y457:Y460"/>
    <mergeCell ref="AA457:AA458"/>
    <mergeCell ref="AB457:AB460"/>
    <mergeCell ref="V459:V460"/>
    <mergeCell ref="N457:N460"/>
    <mergeCell ref="O457:O458"/>
    <mergeCell ref="P457:P458"/>
    <mergeCell ref="Q457:Q458"/>
    <mergeCell ref="R457:R460"/>
    <mergeCell ref="S457:S460"/>
    <mergeCell ref="AI461:AI470"/>
    <mergeCell ref="T463:T464"/>
    <mergeCell ref="T465:T466"/>
    <mergeCell ref="I466:I468"/>
    <mergeCell ref="J466:J468"/>
    <mergeCell ref="O466:O468"/>
    <mergeCell ref="P466:P468"/>
    <mergeCell ref="Q466:Q468"/>
    <mergeCell ref="AC461:AC468"/>
    <mergeCell ref="AD461:AD468"/>
    <mergeCell ref="AE461:AE468"/>
    <mergeCell ref="AF461:AF470"/>
    <mergeCell ref="AG461:AG470"/>
    <mergeCell ref="AH461:AH470"/>
    <mergeCell ref="T461:T462"/>
    <mergeCell ref="X461:X468"/>
    <mergeCell ref="Y461:Y470"/>
    <mergeCell ref="AA461:AA465"/>
    <mergeCell ref="AB461:AB468"/>
    <mergeCell ref="AA466:AA468"/>
    <mergeCell ref="T467:T468"/>
    <mergeCell ref="AA469:AA470"/>
    <mergeCell ref="N461:N468"/>
    <mergeCell ref="O461:O465"/>
    <mergeCell ref="P461:P465"/>
    <mergeCell ref="Q461:Q465"/>
    <mergeCell ref="R461:R470"/>
    <mergeCell ref="S461:S470"/>
    <mergeCell ref="I461:I465"/>
    <mergeCell ref="J461:J465"/>
    <mergeCell ref="K461:K468"/>
    <mergeCell ref="L461:L470"/>
    <mergeCell ref="H471:H475"/>
    <mergeCell ref="I471:I473"/>
    <mergeCell ref="J471:J473"/>
    <mergeCell ref="K471:K475"/>
    <mergeCell ref="L471:L475"/>
    <mergeCell ref="M471:M475"/>
    <mergeCell ref="B471:B475"/>
    <mergeCell ref="C471:C475"/>
    <mergeCell ref="D471:D475"/>
    <mergeCell ref="E471:E475"/>
    <mergeCell ref="F471:F475"/>
    <mergeCell ref="G471:G475"/>
    <mergeCell ref="AB469:AB470"/>
    <mergeCell ref="AC469:AC470"/>
    <mergeCell ref="AD469:AD470"/>
    <mergeCell ref="AE469:AE470"/>
    <mergeCell ref="A471:A475"/>
    <mergeCell ref="M469:M470"/>
    <mergeCell ref="N469:N470"/>
    <mergeCell ref="O469:O470"/>
    <mergeCell ref="P469:P470"/>
    <mergeCell ref="Q469:Q470"/>
    <mergeCell ref="X469:X470"/>
    <mergeCell ref="A461:A470"/>
    <mergeCell ref="H461:H468"/>
    <mergeCell ref="M461:M468"/>
    <mergeCell ref="H469:H470"/>
    <mergeCell ref="I469:I470"/>
    <mergeCell ref="J469:J470"/>
    <mergeCell ref="K469:K470"/>
    <mergeCell ref="B461:B470"/>
    <mergeCell ref="C461:C470"/>
    <mergeCell ref="AI471:AI475"/>
    <mergeCell ref="T473:T474"/>
    <mergeCell ref="I474:I475"/>
    <mergeCell ref="J474:J475"/>
    <mergeCell ref="O474:O475"/>
    <mergeCell ref="P474:P475"/>
    <mergeCell ref="Q474:Q475"/>
    <mergeCell ref="AA474:AA475"/>
    <mergeCell ref="AC471:AC475"/>
    <mergeCell ref="AD471:AD475"/>
    <mergeCell ref="AE471:AE475"/>
    <mergeCell ref="AF471:AF475"/>
    <mergeCell ref="AG471:AG475"/>
    <mergeCell ref="AH471:AH475"/>
    <mergeCell ref="T471:T472"/>
    <mergeCell ref="X471:X475"/>
    <mergeCell ref="Y471:Y475"/>
    <mergeCell ref="AA471:AA473"/>
    <mergeCell ref="AB471:AB475"/>
    <mergeCell ref="N471:N475"/>
    <mergeCell ref="O471:O473"/>
    <mergeCell ref="P471:P473"/>
    <mergeCell ref="Q471:Q473"/>
    <mergeCell ref="R471:R475"/>
    <mergeCell ref="S471:S475"/>
    <mergeCell ref="P476:P479"/>
    <mergeCell ref="Q476:Q479"/>
    <mergeCell ref="R476:R484"/>
    <mergeCell ref="S476:S484"/>
    <mergeCell ref="H476:H483"/>
    <mergeCell ref="I476:I479"/>
    <mergeCell ref="J476:J479"/>
    <mergeCell ref="K476:K483"/>
    <mergeCell ref="L476:L484"/>
    <mergeCell ref="M476:M483"/>
    <mergeCell ref="B476:B484"/>
    <mergeCell ref="C476:C484"/>
    <mergeCell ref="D476:D484"/>
    <mergeCell ref="E476:E483"/>
    <mergeCell ref="F476:F484"/>
    <mergeCell ref="G476:G484"/>
    <mergeCell ref="A476:A484"/>
    <mergeCell ref="B485:B492"/>
    <mergeCell ref="C485:C492"/>
    <mergeCell ref="D485:D492"/>
    <mergeCell ref="E485:E490"/>
    <mergeCell ref="F485:F492"/>
    <mergeCell ref="G485:G492"/>
    <mergeCell ref="E491:E492"/>
    <mergeCell ref="A485:A492"/>
    <mergeCell ref="AI476:AI484"/>
    <mergeCell ref="T478:T479"/>
    <mergeCell ref="I480:I483"/>
    <mergeCell ref="J480:J483"/>
    <mergeCell ref="O480:O483"/>
    <mergeCell ref="P480:P483"/>
    <mergeCell ref="Q480:Q483"/>
    <mergeCell ref="T480:T481"/>
    <mergeCell ref="AC476:AC483"/>
    <mergeCell ref="AD476:AD483"/>
    <mergeCell ref="AE476:AE483"/>
    <mergeCell ref="AF476:AF484"/>
    <mergeCell ref="AG476:AG484"/>
    <mergeCell ref="AH476:AH484"/>
    <mergeCell ref="T476:T477"/>
    <mergeCell ref="X476:X483"/>
    <mergeCell ref="Y476:Y484"/>
    <mergeCell ref="AA476:AA479"/>
    <mergeCell ref="AB476:AB483"/>
    <mergeCell ref="AA480:AA483"/>
    <mergeCell ref="T482:T483"/>
    <mergeCell ref="V476:V477"/>
    <mergeCell ref="N476:N483"/>
    <mergeCell ref="O476:O479"/>
    <mergeCell ref="AB491:AB492"/>
    <mergeCell ref="N485:N490"/>
    <mergeCell ref="O485:O488"/>
    <mergeCell ref="P485:P488"/>
    <mergeCell ref="Q485:Q488"/>
    <mergeCell ref="R485:R492"/>
    <mergeCell ref="S485:S492"/>
    <mergeCell ref="N491:N492"/>
    <mergeCell ref="O491:O492"/>
    <mergeCell ref="P491:P492"/>
    <mergeCell ref="Q491:Q492"/>
    <mergeCell ref="H485:H490"/>
    <mergeCell ref="I485:I488"/>
    <mergeCell ref="J485:J488"/>
    <mergeCell ref="K485:K490"/>
    <mergeCell ref="L485:L492"/>
    <mergeCell ref="M485:M490"/>
    <mergeCell ref="H491:H492"/>
    <mergeCell ref="I491:I492"/>
    <mergeCell ref="J491:J492"/>
    <mergeCell ref="K491:K492"/>
    <mergeCell ref="B493:B502"/>
    <mergeCell ref="C493:C502"/>
    <mergeCell ref="D493:D502"/>
    <mergeCell ref="E493:E502"/>
    <mergeCell ref="F493:F502"/>
    <mergeCell ref="G493:G502"/>
    <mergeCell ref="A493:A502"/>
    <mergeCell ref="AI485:AI492"/>
    <mergeCell ref="T487:T488"/>
    <mergeCell ref="I489:I490"/>
    <mergeCell ref="J489:J490"/>
    <mergeCell ref="O489:O490"/>
    <mergeCell ref="P489:P490"/>
    <mergeCell ref="Q489:Q490"/>
    <mergeCell ref="T489:T490"/>
    <mergeCell ref="AC485:AC490"/>
    <mergeCell ref="AD485:AD490"/>
    <mergeCell ref="AE485:AE490"/>
    <mergeCell ref="AF485:AF492"/>
    <mergeCell ref="AG485:AG492"/>
    <mergeCell ref="AH485:AH492"/>
    <mergeCell ref="AC491:AC492"/>
    <mergeCell ref="AD491:AD492"/>
    <mergeCell ref="AE491:AE492"/>
    <mergeCell ref="T485:T486"/>
    <mergeCell ref="X485:X490"/>
    <mergeCell ref="Y485:Y492"/>
    <mergeCell ref="AA485:AA488"/>
    <mergeCell ref="AB485:AB490"/>
    <mergeCell ref="AA489:AA490"/>
    <mergeCell ref="X491:X492"/>
    <mergeCell ref="AA491:AA492"/>
    <mergeCell ref="AA498:AA500"/>
    <mergeCell ref="T499:T500"/>
    <mergeCell ref="AA501:AA502"/>
    <mergeCell ref="N493:N500"/>
    <mergeCell ref="O493:O497"/>
    <mergeCell ref="P493:P497"/>
    <mergeCell ref="Q493:Q497"/>
    <mergeCell ref="R493:R502"/>
    <mergeCell ref="S493:S502"/>
    <mergeCell ref="H493:H500"/>
    <mergeCell ref="I493:I497"/>
    <mergeCell ref="J493:J497"/>
    <mergeCell ref="K493:K500"/>
    <mergeCell ref="L493:L502"/>
    <mergeCell ref="M493:M500"/>
    <mergeCell ref="H501:H502"/>
    <mergeCell ref="I501:I502"/>
    <mergeCell ref="J501:J502"/>
    <mergeCell ref="K501:K502"/>
    <mergeCell ref="V495:V496"/>
    <mergeCell ref="V497:V498"/>
    <mergeCell ref="V499:V500"/>
    <mergeCell ref="F503:F505"/>
    <mergeCell ref="G503:G505"/>
    <mergeCell ref="AB501:AB502"/>
    <mergeCell ref="AC501:AC502"/>
    <mergeCell ref="AD501:AD502"/>
    <mergeCell ref="AE501:AE502"/>
    <mergeCell ref="A503:A505"/>
    <mergeCell ref="M501:M502"/>
    <mergeCell ref="N501:N502"/>
    <mergeCell ref="O501:O502"/>
    <mergeCell ref="P501:P502"/>
    <mergeCell ref="Q501:Q502"/>
    <mergeCell ref="X501:X502"/>
    <mergeCell ref="AI493:AI502"/>
    <mergeCell ref="T495:T496"/>
    <mergeCell ref="T497:T498"/>
    <mergeCell ref="I498:I500"/>
    <mergeCell ref="J498:J500"/>
    <mergeCell ref="O498:O500"/>
    <mergeCell ref="P498:P500"/>
    <mergeCell ref="Q498:Q500"/>
    <mergeCell ref="AC493:AC500"/>
    <mergeCell ref="AD493:AD500"/>
    <mergeCell ref="AE493:AE500"/>
    <mergeCell ref="AF493:AF502"/>
    <mergeCell ref="AG493:AG502"/>
    <mergeCell ref="AH493:AH502"/>
    <mergeCell ref="T493:T494"/>
    <mergeCell ref="X493:X500"/>
    <mergeCell ref="Y493:Y502"/>
    <mergeCell ref="AA493:AA497"/>
    <mergeCell ref="AB493:AB500"/>
    <mergeCell ref="C506:C525"/>
    <mergeCell ref="D506:D525"/>
    <mergeCell ref="E506:E523"/>
    <mergeCell ref="F506:F525"/>
    <mergeCell ref="AE503:AE505"/>
    <mergeCell ref="AF503:AF505"/>
    <mergeCell ref="AG503:AG505"/>
    <mergeCell ref="AH503:AH505"/>
    <mergeCell ref="AI503:AI505"/>
    <mergeCell ref="A506:A525"/>
    <mergeCell ref="X503:X505"/>
    <mergeCell ref="Y503:Y505"/>
    <mergeCell ref="AA503:AA505"/>
    <mergeCell ref="AB503:AB505"/>
    <mergeCell ref="AC503:AC505"/>
    <mergeCell ref="AD503:AD505"/>
    <mergeCell ref="N503:N505"/>
    <mergeCell ref="O503:O505"/>
    <mergeCell ref="P503:P505"/>
    <mergeCell ref="Q503:Q505"/>
    <mergeCell ref="R503:R505"/>
    <mergeCell ref="S503:S505"/>
    <mergeCell ref="H503:H505"/>
    <mergeCell ref="I503:I505"/>
    <mergeCell ref="J503:J505"/>
    <mergeCell ref="K503:K505"/>
    <mergeCell ref="L503:L505"/>
    <mergeCell ref="M503:M505"/>
    <mergeCell ref="B503:B505"/>
    <mergeCell ref="C503:C505"/>
    <mergeCell ref="D503:D505"/>
    <mergeCell ref="E503:E505"/>
    <mergeCell ref="M506:M508"/>
    <mergeCell ref="N506:N508"/>
    <mergeCell ref="O506:O508"/>
    <mergeCell ref="P506:P508"/>
    <mergeCell ref="Q506:Q508"/>
    <mergeCell ref="R506:R525"/>
    <mergeCell ref="M509:M514"/>
    <mergeCell ref="N509:N514"/>
    <mergeCell ref="O509:O511"/>
    <mergeCell ref="P509:P511"/>
    <mergeCell ref="G506:G525"/>
    <mergeCell ref="H506:H508"/>
    <mergeCell ref="I506:I508"/>
    <mergeCell ref="J506:J508"/>
    <mergeCell ref="K506:K508"/>
    <mergeCell ref="L506:L525"/>
    <mergeCell ref="H509:H514"/>
    <mergeCell ref="I509:I511"/>
    <mergeCell ref="J509:J511"/>
    <mergeCell ref="K509:K514"/>
    <mergeCell ref="Q509:Q511"/>
    <mergeCell ref="O515:O517"/>
    <mergeCell ref="P515:P517"/>
    <mergeCell ref="Q515:Q517"/>
    <mergeCell ref="H515:H517"/>
    <mergeCell ref="I515:I517"/>
    <mergeCell ref="J515:J517"/>
    <mergeCell ref="K515:K517"/>
    <mergeCell ref="M515:M517"/>
    <mergeCell ref="N515:N517"/>
    <mergeCell ref="I512:I514"/>
    <mergeCell ref="J512:J514"/>
    <mergeCell ref="T509:T510"/>
    <mergeCell ref="X509:X514"/>
    <mergeCell ref="AA509:AA511"/>
    <mergeCell ref="AC509:AC514"/>
    <mergeCell ref="T511:T512"/>
    <mergeCell ref="AD506:AD525"/>
    <mergeCell ref="AE506:AE525"/>
    <mergeCell ref="AF506:AF525"/>
    <mergeCell ref="AG506:AG525"/>
    <mergeCell ref="AH506:AH525"/>
    <mergeCell ref="AI506:AI525"/>
    <mergeCell ref="S506:S525"/>
    <mergeCell ref="X506:X508"/>
    <mergeCell ref="Y506:Y525"/>
    <mergeCell ref="AA506:AA508"/>
    <mergeCell ref="AB506:AB525"/>
    <mergeCell ref="AC506:AC508"/>
    <mergeCell ref="AC518:AC523"/>
    <mergeCell ref="V518:V519"/>
    <mergeCell ref="V520:V521"/>
    <mergeCell ref="V522:V523"/>
    <mergeCell ref="X515:X517"/>
    <mergeCell ref="AA515:AA517"/>
    <mergeCell ref="AC515:AC517"/>
    <mergeCell ref="V509:V510"/>
    <mergeCell ref="V511:V512"/>
    <mergeCell ref="O512:O514"/>
    <mergeCell ref="P512:P514"/>
    <mergeCell ref="Q512:Q514"/>
    <mergeCell ref="AA512:AA514"/>
    <mergeCell ref="T513:T514"/>
    <mergeCell ref="V513:V514"/>
    <mergeCell ref="O524:O525"/>
    <mergeCell ref="P524:P525"/>
    <mergeCell ref="Q524:Q525"/>
    <mergeCell ref="X524:X525"/>
    <mergeCell ref="AC524:AC525"/>
    <mergeCell ref="A526:A548"/>
    <mergeCell ref="Q522:Q523"/>
    <mergeCell ref="T522:T523"/>
    <mergeCell ref="E524:E525"/>
    <mergeCell ref="H524:H525"/>
    <mergeCell ref="I524:I525"/>
    <mergeCell ref="J524:J525"/>
    <mergeCell ref="K524:K525"/>
    <mergeCell ref="M524:M525"/>
    <mergeCell ref="N524:N525"/>
    <mergeCell ref="O518:O521"/>
    <mergeCell ref="P518:P521"/>
    <mergeCell ref="Q518:Q521"/>
    <mergeCell ref="T518:T519"/>
    <mergeCell ref="X518:X523"/>
    <mergeCell ref="T520:T521"/>
    <mergeCell ref="O522:O523"/>
    <mergeCell ref="P522:P523"/>
    <mergeCell ref="H518:H523"/>
    <mergeCell ref="I518:I521"/>
    <mergeCell ref="J518:J521"/>
    <mergeCell ref="K518:K523"/>
    <mergeCell ref="M518:M523"/>
    <mergeCell ref="N518:N523"/>
    <mergeCell ref="I522:I523"/>
    <mergeCell ref="J522:J523"/>
    <mergeCell ref="B506:B525"/>
    <mergeCell ref="M526:M533"/>
    <mergeCell ref="N526:N533"/>
    <mergeCell ref="O526:O529"/>
    <mergeCell ref="P526:P529"/>
    <mergeCell ref="Q526:Q529"/>
    <mergeCell ref="R526:R548"/>
    <mergeCell ref="M534:M537"/>
    <mergeCell ref="N534:N537"/>
    <mergeCell ref="O534:O537"/>
    <mergeCell ref="P534:P537"/>
    <mergeCell ref="G526:G548"/>
    <mergeCell ref="H526:H533"/>
    <mergeCell ref="I526:I529"/>
    <mergeCell ref="J526:J529"/>
    <mergeCell ref="K526:K533"/>
    <mergeCell ref="L526:L548"/>
    <mergeCell ref="H534:H537"/>
    <mergeCell ref="I534:I537"/>
    <mergeCell ref="J534:J537"/>
    <mergeCell ref="K534:K537"/>
    <mergeCell ref="Q534:Q537"/>
    <mergeCell ref="H541:H546"/>
    <mergeCell ref="I541:I543"/>
    <mergeCell ref="J541:J543"/>
    <mergeCell ref="K541:K546"/>
    <mergeCell ref="M541:M546"/>
    <mergeCell ref="AC534:AC537"/>
    <mergeCell ref="AD534:AD537"/>
    <mergeCell ref="AH526:AH548"/>
    <mergeCell ref="AI526:AI548"/>
    <mergeCell ref="T528:T529"/>
    <mergeCell ref="I530:I533"/>
    <mergeCell ref="J530:J533"/>
    <mergeCell ref="O530:O533"/>
    <mergeCell ref="P530:P533"/>
    <mergeCell ref="Q530:Q533"/>
    <mergeCell ref="T530:T531"/>
    <mergeCell ref="AB526:AB533"/>
    <mergeCell ref="AC526:AC529"/>
    <mergeCell ref="AD526:AD533"/>
    <mergeCell ref="AE526:AE533"/>
    <mergeCell ref="AF526:AF548"/>
    <mergeCell ref="AG526:AG548"/>
    <mergeCell ref="AC530:AC533"/>
    <mergeCell ref="AE534:AE537"/>
    <mergeCell ref="AC538:AC540"/>
    <mergeCell ref="AD538:AD540"/>
    <mergeCell ref="S526:S548"/>
    <mergeCell ref="T526:T527"/>
    <mergeCell ref="X526:X533"/>
    <mergeCell ref="Y526:Y548"/>
    <mergeCell ref="AA526:AA529"/>
    <mergeCell ref="AA530:AA533"/>
    <mergeCell ref="T532:T533"/>
    <mergeCell ref="AE538:AE540"/>
    <mergeCell ref="AC541:AC543"/>
    <mergeCell ref="AC544:AC546"/>
    <mergeCell ref="V545:V546"/>
    <mergeCell ref="O547:O548"/>
    <mergeCell ref="P547:P548"/>
    <mergeCell ref="Q547:Q548"/>
    <mergeCell ref="X547:X548"/>
    <mergeCell ref="AA547:AA548"/>
    <mergeCell ref="AB547:AB548"/>
    <mergeCell ref="H547:H548"/>
    <mergeCell ref="I547:I548"/>
    <mergeCell ref="J547:J548"/>
    <mergeCell ref="K547:K548"/>
    <mergeCell ref="M547:M548"/>
    <mergeCell ref="N547:N548"/>
    <mergeCell ref="B526:B548"/>
    <mergeCell ref="Q549:Q550"/>
    <mergeCell ref="X534:X537"/>
    <mergeCell ref="AA534:AA537"/>
    <mergeCell ref="AB534:AB537"/>
    <mergeCell ref="Q544:Q546"/>
    <mergeCell ref="AA544:AA546"/>
    <mergeCell ref="T541:T542"/>
    <mergeCell ref="X541:X546"/>
    <mergeCell ref="AA541:AA543"/>
    <mergeCell ref="AB541:AB546"/>
    <mergeCell ref="T545:T546"/>
    <mergeCell ref="I556:I557"/>
    <mergeCell ref="C549:C561"/>
    <mergeCell ref="D549:D561"/>
    <mergeCell ref="E549:E557"/>
    <mergeCell ref="F549:F561"/>
    <mergeCell ref="G549:G561"/>
    <mergeCell ref="H549:H554"/>
    <mergeCell ref="H556:H557"/>
    <mergeCell ref="E558:E561"/>
    <mergeCell ref="H558:H559"/>
    <mergeCell ref="H538:H540"/>
    <mergeCell ref="I538:I540"/>
    <mergeCell ref="J538:J540"/>
    <mergeCell ref="K538:K540"/>
    <mergeCell ref="M538:M540"/>
    <mergeCell ref="N538:N540"/>
    <mergeCell ref="A549:A561"/>
    <mergeCell ref="B549:B561"/>
    <mergeCell ref="AC547:AC548"/>
    <mergeCell ref="AD547:AD548"/>
    <mergeCell ref="AE547:AE548"/>
    <mergeCell ref="C526:C548"/>
    <mergeCell ref="D526:D548"/>
    <mergeCell ref="E526:E537"/>
    <mergeCell ref="F526:F548"/>
    <mergeCell ref="E538:E546"/>
    <mergeCell ref="E547:E548"/>
    <mergeCell ref="K558:K559"/>
    <mergeCell ref="M558:M559"/>
    <mergeCell ref="X558:X559"/>
    <mergeCell ref="AD541:AD546"/>
    <mergeCell ref="AE541:AE546"/>
    <mergeCell ref="T543:T544"/>
    <mergeCell ref="I544:I546"/>
    <mergeCell ref="J544:J546"/>
    <mergeCell ref="O544:O546"/>
    <mergeCell ref="P544:P546"/>
    <mergeCell ref="N541:N546"/>
    <mergeCell ref="O541:O543"/>
    <mergeCell ref="P541:P543"/>
    <mergeCell ref="Q541:Q543"/>
    <mergeCell ref="O538:O540"/>
    <mergeCell ref="P538:P540"/>
    <mergeCell ref="Q538:Q540"/>
    <mergeCell ref="X538:X540"/>
    <mergeCell ref="AA538:AA540"/>
    <mergeCell ref="AB538:AB540"/>
    <mergeCell ref="I551:I554"/>
    <mergeCell ref="J551:J554"/>
    <mergeCell ref="Q551:Q554"/>
    <mergeCell ref="A562:A578"/>
    <mergeCell ref="B562:B578"/>
    <mergeCell ref="J556:J557"/>
    <mergeCell ref="K556:K557"/>
    <mergeCell ref="M556:M557"/>
    <mergeCell ref="Q556:Q557"/>
    <mergeCell ref="W556:W557"/>
    <mergeCell ref="X556:X557"/>
    <mergeCell ref="AB549:AB561"/>
    <mergeCell ref="AD549:AD561"/>
    <mergeCell ref="AE549:AE561"/>
    <mergeCell ref="AF549:AF561"/>
    <mergeCell ref="AH549:AH561"/>
    <mergeCell ref="AI549:AI561"/>
    <mergeCell ref="AG550:AG552"/>
    <mergeCell ref="R549:R561"/>
    <mergeCell ref="S549:S561"/>
    <mergeCell ref="W549:W550"/>
    <mergeCell ref="X549:X554"/>
    <mergeCell ref="Y549:Y559"/>
    <mergeCell ref="AA549:AA550"/>
    <mergeCell ref="W551:W554"/>
    <mergeCell ref="AA551:AA554"/>
    <mergeCell ref="AA556:AA557"/>
    <mergeCell ref="I549:I550"/>
    <mergeCell ref="J549:J550"/>
    <mergeCell ref="K549:K554"/>
    <mergeCell ref="L549:L561"/>
    <mergeCell ref="M549:M554"/>
    <mergeCell ref="AF562:AF578"/>
    <mergeCell ref="AG562:AG578"/>
    <mergeCell ref="AH562:AH578"/>
    <mergeCell ref="AI562:AI578"/>
    <mergeCell ref="H564:H567"/>
    <mergeCell ref="K564:K567"/>
    <mergeCell ref="M564:M567"/>
    <mergeCell ref="N564:N567"/>
    <mergeCell ref="T564:T565"/>
    <mergeCell ref="Y562:Y578"/>
    <mergeCell ref="AA562:AA563"/>
    <mergeCell ref="AB562:AB563"/>
    <mergeCell ref="AC562:AC563"/>
    <mergeCell ref="AD562:AD563"/>
    <mergeCell ref="AE562:AE563"/>
    <mergeCell ref="AB564:AB567"/>
    <mergeCell ref="AC564:AC567"/>
    <mergeCell ref="AD564:AD567"/>
    <mergeCell ref="AE564:AE567"/>
    <mergeCell ref="O562:O563"/>
    <mergeCell ref="P562:P563"/>
    <mergeCell ref="Q562:Q563"/>
    <mergeCell ref="R562:R578"/>
    <mergeCell ref="S562:S578"/>
    <mergeCell ref="X562:X563"/>
    <mergeCell ref="X564:X567"/>
    <mergeCell ref="O565:O567"/>
    <mergeCell ref="P565:P567"/>
    <mergeCell ref="Q565:Q567"/>
    <mergeCell ref="I562:I563"/>
    <mergeCell ref="J562:J563"/>
    <mergeCell ref="K562:K563"/>
    <mergeCell ref="AC568:AC569"/>
    <mergeCell ref="AD568:AD569"/>
    <mergeCell ref="AE568:AE569"/>
    <mergeCell ref="AA565:AA567"/>
    <mergeCell ref="T566:T567"/>
    <mergeCell ref="H568:H569"/>
    <mergeCell ref="I568:I569"/>
    <mergeCell ref="J568:J569"/>
    <mergeCell ref="K568:K569"/>
    <mergeCell ref="M568:M569"/>
    <mergeCell ref="N568:N569"/>
    <mergeCell ref="L562:L578"/>
    <mergeCell ref="M562:M563"/>
    <mergeCell ref="N562:N563"/>
    <mergeCell ref="I565:I567"/>
    <mergeCell ref="J565:J567"/>
    <mergeCell ref="H562:H563"/>
    <mergeCell ref="AA571:AA573"/>
    <mergeCell ref="T572:T573"/>
    <mergeCell ref="H574:H575"/>
    <mergeCell ref="I574:I575"/>
    <mergeCell ref="J574:J575"/>
    <mergeCell ref="K574:K575"/>
    <mergeCell ref="M574:M575"/>
    <mergeCell ref="P571:P573"/>
    <mergeCell ref="Q571:Q573"/>
    <mergeCell ref="H570:H573"/>
    <mergeCell ref="K570:K573"/>
    <mergeCell ref="M570:M573"/>
    <mergeCell ref="N570:N573"/>
    <mergeCell ref="T570:T571"/>
    <mergeCell ref="O568:O569"/>
    <mergeCell ref="P568:P569"/>
    <mergeCell ref="Q568:Q569"/>
    <mergeCell ref="I571:I573"/>
    <mergeCell ref="C579:C584"/>
    <mergeCell ref="D579:D584"/>
    <mergeCell ref="E579:E584"/>
    <mergeCell ref="F579:F584"/>
    <mergeCell ref="G579:G584"/>
    <mergeCell ref="H579:H581"/>
    <mergeCell ref="X568:X569"/>
    <mergeCell ref="AA568:AA569"/>
    <mergeCell ref="AB568:AB569"/>
    <mergeCell ref="AD574:AD575"/>
    <mergeCell ref="AE574:AE575"/>
    <mergeCell ref="E576:E578"/>
    <mergeCell ref="A579:A584"/>
    <mergeCell ref="B579:B584"/>
    <mergeCell ref="P574:P575"/>
    <mergeCell ref="Q574:Q575"/>
    <mergeCell ref="X574:X575"/>
    <mergeCell ref="AA574:AA575"/>
    <mergeCell ref="AB574:AB575"/>
    <mergeCell ref="AC574:AC575"/>
    <mergeCell ref="C562:C578"/>
    <mergeCell ref="D562:D578"/>
    <mergeCell ref="E562:E575"/>
    <mergeCell ref="F562:F578"/>
    <mergeCell ref="G562:G578"/>
    <mergeCell ref="N574:N575"/>
    <mergeCell ref="O574:O575"/>
    <mergeCell ref="X570:X573"/>
    <mergeCell ref="AB570:AB573"/>
    <mergeCell ref="AC570:AC573"/>
    <mergeCell ref="AD570:AD573"/>
    <mergeCell ref="AE570:AE573"/>
    <mergeCell ref="J571:J573"/>
    <mergeCell ref="O571:O573"/>
    <mergeCell ref="I579:I581"/>
    <mergeCell ref="J579:J581"/>
    <mergeCell ref="K579:K581"/>
    <mergeCell ref="L579:L584"/>
    <mergeCell ref="M579:M581"/>
    <mergeCell ref="N579:N581"/>
    <mergeCell ref="A585:A590"/>
    <mergeCell ref="B585:B590"/>
    <mergeCell ref="C585:C590"/>
    <mergeCell ref="D585:D590"/>
    <mergeCell ref="AF579:AF584"/>
    <mergeCell ref="AG579:AG584"/>
    <mergeCell ref="AH579:AH584"/>
    <mergeCell ref="AI579:AI584"/>
    <mergeCell ref="AJ579:AJ584"/>
    <mergeCell ref="H582:H584"/>
    <mergeCell ref="I582:I584"/>
    <mergeCell ref="J582:J584"/>
    <mergeCell ref="K582:K584"/>
    <mergeCell ref="M582:M584"/>
    <mergeCell ref="Y579:Y584"/>
    <mergeCell ref="AA579:AA581"/>
    <mergeCell ref="AB579:AB581"/>
    <mergeCell ref="AC579:AC581"/>
    <mergeCell ref="AD579:AD581"/>
    <mergeCell ref="AE579:AE581"/>
    <mergeCell ref="AA582:AA584"/>
    <mergeCell ref="AB582:AB584"/>
    <mergeCell ref="AC582:AC584"/>
    <mergeCell ref="AD582:AD584"/>
    <mergeCell ref="O579:O581"/>
    <mergeCell ref="P579:P581"/>
    <mergeCell ref="Q579:Q581"/>
    <mergeCell ref="R579:R584"/>
    <mergeCell ref="S579:S584"/>
    <mergeCell ref="X579:X581"/>
    <mergeCell ref="O582:O584"/>
    <mergeCell ref="P582:P584"/>
    <mergeCell ref="K585:K590"/>
    <mergeCell ref="L585:L590"/>
    <mergeCell ref="M585:M590"/>
    <mergeCell ref="N585:N590"/>
    <mergeCell ref="O585:O587"/>
    <mergeCell ref="P585:P587"/>
    <mergeCell ref="O588:O590"/>
    <mergeCell ref="P588:P590"/>
    <mergeCell ref="E585:E590"/>
    <mergeCell ref="F585:F590"/>
    <mergeCell ref="G585:G590"/>
    <mergeCell ref="H585:H590"/>
    <mergeCell ref="I585:I587"/>
    <mergeCell ref="J585:J587"/>
    <mergeCell ref="I588:I590"/>
    <mergeCell ref="J588:J590"/>
    <mergeCell ref="AE582:AE584"/>
    <mergeCell ref="Q582:Q584"/>
    <mergeCell ref="X582:X584"/>
    <mergeCell ref="N582:N584"/>
    <mergeCell ref="AF585:AF590"/>
    <mergeCell ref="AG585:AG590"/>
    <mergeCell ref="AH585:AH590"/>
    <mergeCell ref="AI585:AI590"/>
    <mergeCell ref="T587:T588"/>
    <mergeCell ref="AA588:AA590"/>
    <mergeCell ref="T589:T590"/>
    <mergeCell ref="V589:V590"/>
    <mergeCell ref="Y585:Y590"/>
    <mergeCell ref="AA585:AA587"/>
    <mergeCell ref="AB585:AB590"/>
    <mergeCell ref="AC585:AC590"/>
    <mergeCell ref="AD585:AD590"/>
    <mergeCell ref="AE585:AE590"/>
    <mergeCell ref="Q585:Q587"/>
    <mergeCell ref="R585:R590"/>
    <mergeCell ref="S585:S590"/>
    <mergeCell ref="T585:T586"/>
    <mergeCell ref="X585:X590"/>
    <mergeCell ref="Q588:Q590"/>
    <mergeCell ref="AE591:AE596"/>
    <mergeCell ref="AF591:AF596"/>
    <mergeCell ref="AG591:AG596"/>
    <mergeCell ref="AH591:AH596"/>
    <mergeCell ref="AI591:AI596"/>
    <mergeCell ref="A597:A598"/>
    <mergeCell ref="X591:X596"/>
    <mergeCell ref="Y591:Y596"/>
    <mergeCell ref="AA591:AA596"/>
    <mergeCell ref="AB591:AB596"/>
    <mergeCell ref="AC591:AC596"/>
    <mergeCell ref="AD591:AD596"/>
    <mergeCell ref="N591:N596"/>
    <mergeCell ref="O591:O596"/>
    <mergeCell ref="P591:P596"/>
    <mergeCell ref="Q591:Q596"/>
    <mergeCell ref="R591:R596"/>
    <mergeCell ref="S591:S596"/>
    <mergeCell ref="H591:H596"/>
    <mergeCell ref="I591:I596"/>
    <mergeCell ref="J591:J596"/>
    <mergeCell ref="K591:K596"/>
    <mergeCell ref="L591:L596"/>
    <mergeCell ref="M591:M596"/>
    <mergeCell ref="B591:B596"/>
    <mergeCell ref="C591:C596"/>
    <mergeCell ref="D591:D596"/>
    <mergeCell ref="E591:E596"/>
    <mergeCell ref="F591:F596"/>
    <mergeCell ref="G591:G596"/>
    <mergeCell ref="A591:A596"/>
    <mergeCell ref="AE597:AE598"/>
    <mergeCell ref="AF597:AF598"/>
    <mergeCell ref="AG597:AG598"/>
    <mergeCell ref="AH597:AH598"/>
    <mergeCell ref="AI597:AI598"/>
    <mergeCell ref="S597:S598"/>
    <mergeCell ref="X597:X598"/>
    <mergeCell ref="Y597:Y598"/>
    <mergeCell ref="AA597:AA598"/>
    <mergeCell ref="AB597:AB598"/>
    <mergeCell ref="AC597:AC598"/>
    <mergeCell ref="M597:M598"/>
    <mergeCell ref="N597:N598"/>
    <mergeCell ref="O597:O598"/>
    <mergeCell ref="P597:P598"/>
    <mergeCell ref="Q597:Q598"/>
    <mergeCell ref="R597:R598"/>
    <mergeCell ref="J599:J601"/>
    <mergeCell ref="K599:K601"/>
    <mergeCell ref="L599:L603"/>
    <mergeCell ref="M599:M601"/>
    <mergeCell ref="H602:H603"/>
    <mergeCell ref="I602:I603"/>
    <mergeCell ref="J602:J603"/>
    <mergeCell ref="K602:K603"/>
    <mergeCell ref="B599:B603"/>
    <mergeCell ref="C599:C603"/>
    <mergeCell ref="D599:D603"/>
    <mergeCell ref="E599:E601"/>
    <mergeCell ref="F599:F603"/>
    <mergeCell ref="G599:G603"/>
    <mergeCell ref="E602:E603"/>
    <mergeCell ref="A599:A603"/>
    <mergeCell ref="AD597:AD598"/>
    <mergeCell ref="G597:G598"/>
    <mergeCell ref="H597:H598"/>
    <mergeCell ref="I597:I598"/>
    <mergeCell ref="J597:J598"/>
    <mergeCell ref="K597:K598"/>
    <mergeCell ref="L597:L598"/>
    <mergeCell ref="B597:B598"/>
    <mergeCell ref="C597:C598"/>
    <mergeCell ref="D597:D598"/>
    <mergeCell ref="E597:E598"/>
    <mergeCell ref="F597:F598"/>
    <mergeCell ref="A604:A608"/>
    <mergeCell ref="M602:M603"/>
    <mergeCell ref="N602:N603"/>
    <mergeCell ref="O602:O603"/>
    <mergeCell ref="P602:P603"/>
    <mergeCell ref="Q602:Q603"/>
    <mergeCell ref="X602:X603"/>
    <mergeCell ref="AE599:AE601"/>
    <mergeCell ref="AF599:AF603"/>
    <mergeCell ref="AG599:AG603"/>
    <mergeCell ref="AH599:AH603"/>
    <mergeCell ref="AI599:AI603"/>
    <mergeCell ref="AJ599:AJ603"/>
    <mergeCell ref="AE602:AE603"/>
    <mergeCell ref="X599:X601"/>
    <mergeCell ref="Y599:Y603"/>
    <mergeCell ref="AA599:AA601"/>
    <mergeCell ref="AB599:AB601"/>
    <mergeCell ref="AC599:AC601"/>
    <mergeCell ref="AD599:AD601"/>
    <mergeCell ref="AA602:AA603"/>
    <mergeCell ref="AB602:AB603"/>
    <mergeCell ref="AC602:AC603"/>
    <mergeCell ref="AD602:AD603"/>
    <mergeCell ref="N599:N601"/>
    <mergeCell ref="O599:O601"/>
    <mergeCell ref="P599:P601"/>
    <mergeCell ref="Q599:Q601"/>
    <mergeCell ref="R599:R603"/>
    <mergeCell ref="S599:S603"/>
    <mergeCell ref="H599:H601"/>
    <mergeCell ref="I599:I601"/>
    <mergeCell ref="Q604:Q606"/>
    <mergeCell ref="R604:R608"/>
    <mergeCell ref="S604:S608"/>
    <mergeCell ref="N607:N608"/>
    <mergeCell ref="O607:O608"/>
    <mergeCell ref="P607:P608"/>
    <mergeCell ref="Q607:Q608"/>
    <mergeCell ref="H604:H606"/>
    <mergeCell ref="I604:I606"/>
    <mergeCell ref="J604:J606"/>
    <mergeCell ref="K604:K606"/>
    <mergeCell ref="L604:L608"/>
    <mergeCell ref="M604:M606"/>
    <mergeCell ref="B604:B608"/>
    <mergeCell ref="C604:C608"/>
    <mergeCell ref="D604:D608"/>
    <mergeCell ref="E604:E608"/>
    <mergeCell ref="F604:F608"/>
    <mergeCell ref="G604:G608"/>
    <mergeCell ref="G609:G611"/>
    <mergeCell ref="H609:H611"/>
    <mergeCell ref="I609:I611"/>
    <mergeCell ref="J609:J611"/>
    <mergeCell ref="AE607:AE608"/>
    <mergeCell ref="A609:A611"/>
    <mergeCell ref="B609:B611"/>
    <mergeCell ref="C609:C611"/>
    <mergeCell ref="D609:D611"/>
    <mergeCell ref="AE604:AE606"/>
    <mergeCell ref="AF604:AF608"/>
    <mergeCell ref="AG604:AG608"/>
    <mergeCell ref="AH604:AH608"/>
    <mergeCell ref="AI604:AI608"/>
    <mergeCell ref="H607:H608"/>
    <mergeCell ref="I607:I608"/>
    <mergeCell ref="J607:J608"/>
    <mergeCell ref="K607:K608"/>
    <mergeCell ref="M607:M608"/>
    <mergeCell ref="X604:X606"/>
    <mergeCell ref="Y604:Y608"/>
    <mergeCell ref="AA604:AA606"/>
    <mergeCell ref="AB604:AB608"/>
    <mergeCell ref="AC604:AC606"/>
    <mergeCell ref="AD604:AD606"/>
    <mergeCell ref="X607:X608"/>
    <mergeCell ref="AA607:AA608"/>
    <mergeCell ref="AC607:AC608"/>
    <mergeCell ref="AD607:AD608"/>
    <mergeCell ref="N604:N606"/>
    <mergeCell ref="O604:O606"/>
    <mergeCell ref="P604:P606"/>
    <mergeCell ref="O612:O615"/>
    <mergeCell ref="D612:D615"/>
    <mergeCell ref="E612:E615"/>
    <mergeCell ref="F612:F615"/>
    <mergeCell ref="G612:G615"/>
    <mergeCell ref="H612:H615"/>
    <mergeCell ref="I612:I615"/>
    <mergeCell ref="AH609:AH611"/>
    <mergeCell ref="AI609:AI611"/>
    <mergeCell ref="A612:A615"/>
    <mergeCell ref="B612:B615"/>
    <mergeCell ref="C612:C615"/>
    <mergeCell ref="AB609:AB611"/>
    <mergeCell ref="AC609:AC611"/>
    <mergeCell ref="AD609:AD611"/>
    <mergeCell ref="AE609:AE611"/>
    <mergeCell ref="AF609:AF611"/>
    <mergeCell ref="AG609:AG611"/>
    <mergeCell ref="Q609:Q611"/>
    <mergeCell ref="R609:R611"/>
    <mergeCell ref="S609:S611"/>
    <mergeCell ref="X609:X611"/>
    <mergeCell ref="Y609:Y611"/>
    <mergeCell ref="AA609:AA611"/>
    <mergeCell ref="K609:K611"/>
    <mergeCell ref="L609:L611"/>
    <mergeCell ref="M609:M611"/>
    <mergeCell ref="N609:N611"/>
    <mergeCell ref="O609:O611"/>
    <mergeCell ref="P609:P611"/>
    <mergeCell ref="E609:E611"/>
    <mergeCell ref="F609:F611"/>
    <mergeCell ref="N616:N618"/>
    <mergeCell ref="C616:C618"/>
    <mergeCell ref="D616:D618"/>
    <mergeCell ref="E616:E618"/>
    <mergeCell ref="F616:F618"/>
    <mergeCell ref="G616:G618"/>
    <mergeCell ref="H616:H618"/>
    <mergeCell ref="AG612:AG615"/>
    <mergeCell ref="AH612:AH615"/>
    <mergeCell ref="AI612:AI615"/>
    <mergeCell ref="A616:A618"/>
    <mergeCell ref="B616:B618"/>
    <mergeCell ref="AA612:AA615"/>
    <mergeCell ref="AB612:AB615"/>
    <mergeCell ref="AC612:AC615"/>
    <mergeCell ref="AD612:AD615"/>
    <mergeCell ref="AE612:AE615"/>
    <mergeCell ref="AF612:AF615"/>
    <mergeCell ref="X612:X615"/>
    <mergeCell ref="Y612:Y615"/>
    <mergeCell ref="Z612:Z613"/>
    <mergeCell ref="V612:V613"/>
    <mergeCell ref="P612:P615"/>
    <mergeCell ref="Q612:Q615"/>
    <mergeCell ref="R612:R615"/>
    <mergeCell ref="S612:S615"/>
    <mergeCell ref="T612:T613"/>
    <mergeCell ref="J612:J615"/>
    <mergeCell ref="K612:K615"/>
    <mergeCell ref="L612:L615"/>
    <mergeCell ref="M612:M615"/>
    <mergeCell ref="N612:N615"/>
    <mergeCell ref="K619:K621"/>
    <mergeCell ref="L619:L627"/>
    <mergeCell ref="M619:M621"/>
    <mergeCell ref="M622:M624"/>
    <mergeCell ref="B619:B627"/>
    <mergeCell ref="C619:C627"/>
    <mergeCell ref="D619:D627"/>
    <mergeCell ref="E619:E627"/>
    <mergeCell ref="F619:F627"/>
    <mergeCell ref="G619:G627"/>
    <mergeCell ref="AF616:AF618"/>
    <mergeCell ref="AG616:AG618"/>
    <mergeCell ref="AH616:AH618"/>
    <mergeCell ref="AI616:AI618"/>
    <mergeCell ref="A619:A627"/>
    <mergeCell ref="Y616:Y618"/>
    <mergeCell ref="AA616:AA618"/>
    <mergeCell ref="AB616:AB618"/>
    <mergeCell ref="AC616:AC618"/>
    <mergeCell ref="AD616:AD618"/>
    <mergeCell ref="AE616:AE618"/>
    <mergeCell ref="O616:O618"/>
    <mergeCell ref="P616:P618"/>
    <mergeCell ref="Q616:Q618"/>
    <mergeCell ref="R616:R618"/>
    <mergeCell ref="S616:S618"/>
    <mergeCell ref="X616:X618"/>
    <mergeCell ref="I616:I618"/>
    <mergeCell ref="J616:J618"/>
    <mergeCell ref="K616:K618"/>
    <mergeCell ref="L616:L618"/>
    <mergeCell ref="M616:M618"/>
    <mergeCell ref="AE619:AE621"/>
    <mergeCell ref="AF619:AF627"/>
    <mergeCell ref="AG619:AG627"/>
    <mergeCell ref="AH619:AH627"/>
    <mergeCell ref="AI619:AI627"/>
    <mergeCell ref="H622:H624"/>
    <mergeCell ref="I622:I624"/>
    <mergeCell ref="J622:J624"/>
    <mergeCell ref="K622:K624"/>
    <mergeCell ref="X619:X621"/>
    <mergeCell ref="Y619:Y627"/>
    <mergeCell ref="AA619:AA621"/>
    <mergeCell ref="AB619:AB621"/>
    <mergeCell ref="AC619:AC621"/>
    <mergeCell ref="AD619:AD621"/>
    <mergeCell ref="X622:X624"/>
    <mergeCell ref="AA622:AA624"/>
    <mergeCell ref="AB622:AB624"/>
    <mergeCell ref="AC622:AC624"/>
    <mergeCell ref="N619:N621"/>
    <mergeCell ref="O619:O621"/>
    <mergeCell ref="P619:P621"/>
    <mergeCell ref="Q619:Q621"/>
    <mergeCell ref="R619:R627"/>
    <mergeCell ref="S619:S627"/>
    <mergeCell ref="N622:N624"/>
    <mergeCell ref="O622:O624"/>
    <mergeCell ref="P622:P624"/>
    <mergeCell ref="Q622:Q624"/>
    <mergeCell ref="H619:H621"/>
    <mergeCell ref="I619:I621"/>
    <mergeCell ref="J619:J621"/>
    <mergeCell ref="I628:I632"/>
    <mergeCell ref="J628:J632"/>
    <mergeCell ref="AE625:AE627"/>
    <mergeCell ref="A628:A632"/>
    <mergeCell ref="B628:B632"/>
    <mergeCell ref="C628:C632"/>
    <mergeCell ref="D628:D632"/>
    <mergeCell ref="Q625:Q627"/>
    <mergeCell ref="X625:X627"/>
    <mergeCell ref="AA625:AA627"/>
    <mergeCell ref="AB625:AB627"/>
    <mergeCell ref="AC625:AC627"/>
    <mergeCell ref="AD625:AD627"/>
    <mergeCell ref="AD622:AD624"/>
    <mergeCell ref="AE622:AE624"/>
    <mergeCell ref="H625:H627"/>
    <mergeCell ref="I625:I627"/>
    <mergeCell ref="J625:J627"/>
    <mergeCell ref="K625:K627"/>
    <mergeCell ref="M625:M627"/>
    <mergeCell ref="N625:N627"/>
    <mergeCell ref="O625:O627"/>
    <mergeCell ref="P625:P627"/>
    <mergeCell ref="D633:D635"/>
    <mergeCell ref="E633:E635"/>
    <mergeCell ref="F633:F635"/>
    <mergeCell ref="G633:G635"/>
    <mergeCell ref="A633:A635"/>
    <mergeCell ref="AH628:AH632"/>
    <mergeCell ref="AI628:AI632"/>
    <mergeCell ref="AJ628:AJ632"/>
    <mergeCell ref="T629:T631"/>
    <mergeCell ref="V629:V631"/>
    <mergeCell ref="AB628:AB632"/>
    <mergeCell ref="AC628:AC632"/>
    <mergeCell ref="AD628:AD632"/>
    <mergeCell ref="AE628:AE632"/>
    <mergeCell ref="AF628:AF632"/>
    <mergeCell ref="AG628:AG632"/>
    <mergeCell ref="Q628:Q632"/>
    <mergeCell ref="R628:R632"/>
    <mergeCell ref="S628:S632"/>
    <mergeCell ref="X628:X632"/>
    <mergeCell ref="Y628:Y632"/>
    <mergeCell ref="AA628:AA632"/>
    <mergeCell ref="K628:K632"/>
    <mergeCell ref="L628:L632"/>
    <mergeCell ref="M628:M632"/>
    <mergeCell ref="N628:N632"/>
    <mergeCell ref="O628:O632"/>
    <mergeCell ref="P628:P632"/>
    <mergeCell ref="E628:E632"/>
    <mergeCell ref="F628:F632"/>
    <mergeCell ref="G628:G632"/>
    <mergeCell ref="H628:H632"/>
    <mergeCell ref="L636:L637"/>
    <mergeCell ref="B636:B637"/>
    <mergeCell ref="C636:C637"/>
    <mergeCell ref="D636:D637"/>
    <mergeCell ref="E636:E637"/>
    <mergeCell ref="F636:F637"/>
    <mergeCell ref="AE633:AE635"/>
    <mergeCell ref="AF633:AF635"/>
    <mergeCell ref="AG633:AG635"/>
    <mergeCell ref="AH633:AH635"/>
    <mergeCell ref="AI633:AI635"/>
    <mergeCell ref="A636:A637"/>
    <mergeCell ref="X633:X635"/>
    <mergeCell ref="Y633:Y635"/>
    <mergeCell ref="AA633:AA635"/>
    <mergeCell ref="AB633:AB635"/>
    <mergeCell ref="AC633:AC635"/>
    <mergeCell ref="AD633:AD635"/>
    <mergeCell ref="N633:N635"/>
    <mergeCell ref="O633:O635"/>
    <mergeCell ref="P633:P635"/>
    <mergeCell ref="Q633:Q635"/>
    <mergeCell ref="R633:R635"/>
    <mergeCell ref="S633:S635"/>
    <mergeCell ref="H633:H635"/>
    <mergeCell ref="I633:I635"/>
    <mergeCell ref="J633:J635"/>
    <mergeCell ref="K633:K635"/>
    <mergeCell ref="L633:L635"/>
    <mergeCell ref="M633:M635"/>
    <mergeCell ref="B633:B635"/>
    <mergeCell ref="C633:C635"/>
    <mergeCell ref="J644:J646"/>
    <mergeCell ref="K644:K646"/>
    <mergeCell ref="B638:B655"/>
    <mergeCell ref="C638:C655"/>
    <mergeCell ref="D638:D655"/>
    <mergeCell ref="E638:E655"/>
    <mergeCell ref="F638:F655"/>
    <mergeCell ref="G638:G655"/>
    <mergeCell ref="A638:A655"/>
    <mergeCell ref="AD636:AD637"/>
    <mergeCell ref="AE636:AE637"/>
    <mergeCell ref="AF636:AF637"/>
    <mergeCell ref="AG636:AG637"/>
    <mergeCell ref="AH636:AH637"/>
    <mergeCell ref="AI636:AI637"/>
    <mergeCell ref="S636:S637"/>
    <mergeCell ref="X636:X637"/>
    <mergeCell ref="Y636:Y637"/>
    <mergeCell ref="AA636:AA637"/>
    <mergeCell ref="AB636:AB637"/>
    <mergeCell ref="AC636:AC637"/>
    <mergeCell ref="M636:M637"/>
    <mergeCell ref="N636:N637"/>
    <mergeCell ref="O636:O637"/>
    <mergeCell ref="P636:P637"/>
    <mergeCell ref="Q636:Q637"/>
    <mergeCell ref="R636:R637"/>
    <mergeCell ref="G636:G637"/>
    <mergeCell ref="H636:H637"/>
    <mergeCell ref="I636:I637"/>
    <mergeCell ref="J636:J637"/>
    <mergeCell ref="K636:K637"/>
    <mergeCell ref="AI638:AI655"/>
    <mergeCell ref="T640:T641"/>
    <mergeCell ref="I641:I643"/>
    <mergeCell ref="J641:J643"/>
    <mergeCell ref="O641:O643"/>
    <mergeCell ref="P641:P643"/>
    <mergeCell ref="Q641:Q643"/>
    <mergeCell ref="AA641:AA643"/>
    <mergeCell ref="AC641:AC643"/>
    <mergeCell ref="AC638:AC640"/>
    <mergeCell ref="AD638:AD643"/>
    <mergeCell ref="AE638:AE643"/>
    <mergeCell ref="AF638:AF655"/>
    <mergeCell ref="AG638:AG655"/>
    <mergeCell ref="AH638:AH655"/>
    <mergeCell ref="AC644:AC646"/>
    <mergeCell ref="AD644:AD646"/>
    <mergeCell ref="AE644:AE646"/>
    <mergeCell ref="AD650:AD652"/>
    <mergeCell ref="T638:T639"/>
    <mergeCell ref="X638:X643"/>
    <mergeCell ref="Y638:Y655"/>
    <mergeCell ref="AA638:AA640"/>
    <mergeCell ref="AB638:AB643"/>
    <mergeCell ref="T642:T643"/>
    <mergeCell ref="AA644:AA646"/>
    <mergeCell ref="AB644:AB646"/>
    <mergeCell ref="N638:N643"/>
    <mergeCell ref="O638:O640"/>
    <mergeCell ref="P638:P640"/>
    <mergeCell ref="Q638:Q640"/>
    <mergeCell ref="R638:R655"/>
    <mergeCell ref="N650:N652"/>
    <mergeCell ref="X647:X649"/>
    <mergeCell ref="AA647:AA649"/>
    <mergeCell ref="AB647:AB649"/>
    <mergeCell ref="AC647:AC649"/>
    <mergeCell ref="AD647:AD649"/>
    <mergeCell ref="AE647:AE649"/>
    <mergeCell ref="H647:H649"/>
    <mergeCell ref="I647:I649"/>
    <mergeCell ref="J647:J649"/>
    <mergeCell ref="K647:K649"/>
    <mergeCell ref="M647:M649"/>
    <mergeCell ref="N647:N649"/>
    <mergeCell ref="M644:M646"/>
    <mergeCell ref="N644:N646"/>
    <mergeCell ref="O644:O646"/>
    <mergeCell ref="P644:P646"/>
    <mergeCell ref="Q644:Q646"/>
    <mergeCell ref="X644:X646"/>
    <mergeCell ref="S638:S655"/>
    <mergeCell ref="O647:O649"/>
    <mergeCell ref="P647:P649"/>
    <mergeCell ref="Q647:Q649"/>
    <mergeCell ref="O650:O652"/>
    <mergeCell ref="H638:H643"/>
    <mergeCell ref="I638:I640"/>
    <mergeCell ref="J638:J640"/>
    <mergeCell ref="K638:K643"/>
    <mergeCell ref="L638:L655"/>
    <mergeCell ref="M638:M643"/>
    <mergeCell ref="H644:H646"/>
    <mergeCell ref="I644:I646"/>
    <mergeCell ref="J656:J658"/>
    <mergeCell ref="AE653:AE655"/>
    <mergeCell ref="A656:A658"/>
    <mergeCell ref="B656:B658"/>
    <mergeCell ref="C656:C658"/>
    <mergeCell ref="D656:D658"/>
    <mergeCell ref="Q653:Q655"/>
    <mergeCell ref="X653:X655"/>
    <mergeCell ref="AA653:AA655"/>
    <mergeCell ref="AB653:AB655"/>
    <mergeCell ref="AC653:AC655"/>
    <mergeCell ref="AD653:AD655"/>
    <mergeCell ref="AE650:AE652"/>
    <mergeCell ref="H653:H655"/>
    <mergeCell ref="I653:I655"/>
    <mergeCell ref="J653:J655"/>
    <mergeCell ref="K653:K655"/>
    <mergeCell ref="M653:M655"/>
    <mergeCell ref="N653:N655"/>
    <mergeCell ref="O653:O655"/>
    <mergeCell ref="P653:P655"/>
    <mergeCell ref="P650:P652"/>
    <mergeCell ref="Q650:Q652"/>
    <mergeCell ref="X650:X652"/>
    <mergeCell ref="AA650:AA652"/>
    <mergeCell ref="AB650:AB652"/>
    <mergeCell ref="AC650:AC652"/>
    <mergeCell ref="H650:H652"/>
    <mergeCell ref="I650:I652"/>
    <mergeCell ref="J650:J652"/>
    <mergeCell ref="K650:K652"/>
    <mergeCell ref="M650:M652"/>
    <mergeCell ref="F659:F663"/>
    <mergeCell ref="G659:G663"/>
    <mergeCell ref="H659:H663"/>
    <mergeCell ref="I659:I663"/>
    <mergeCell ref="AH656:AH658"/>
    <mergeCell ref="AI656:AI658"/>
    <mergeCell ref="A659:A663"/>
    <mergeCell ref="B659:B663"/>
    <mergeCell ref="C659:C663"/>
    <mergeCell ref="AB656:AB658"/>
    <mergeCell ref="AC656:AC658"/>
    <mergeCell ref="AD656:AD658"/>
    <mergeCell ref="AE656:AE658"/>
    <mergeCell ref="AF656:AF658"/>
    <mergeCell ref="AG656:AG658"/>
    <mergeCell ref="Q656:Q658"/>
    <mergeCell ref="R656:R658"/>
    <mergeCell ref="S656:S658"/>
    <mergeCell ref="X656:X658"/>
    <mergeCell ref="Y656:Y658"/>
    <mergeCell ref="AA656:AA658"/>
    <mergeCell ref="K656:K658"/>
    <mergeCell ref="L656:L658"/>
    <mergeCell ref="M656:M658"/>
    <mergeCell ref="N656:N658"/>
    <mergeCell ref="O656:O658"/>
    <mergeCell ref="P656:P658"/>
    <mergeCell ref="E656:E658"/>
    <mergeCell ref="F656:F658"/>
    <mergeCell ref="G656:G658"/>
    <mergeCell ref="H656:H658"/>
    <mergeCell ref="I656:I658"/>
    <mergeCell ref="C664:C665"/>
    <mergeCell ref="D664:D665"/>
    <mergeCell ref="E664:E665"/>
    <mergeCell ref="F664:F665"/>
    <mergeCell ref="G664:G665"/>
    <mergeCell ref="A664:A665"/>
    <mergeCell ref="AG659:AG663"/>
    <mergeCell ref="AH659:AH663"/>
    <mergeCell ref="AI659:AI663"/>
    <mergeCell ref="AJ659:AJ663"/>
    <mergeCell ref="T660:T662"/>
    <mergeCell ref="Z660:Z662"/>
    <mergeCell ref="AA659:AA663"/>
    <mergeCell ref="AB659:AB663"/>
    <mergeCell ref="AC659:AC663"/>
    <mergeCell ref="AD659:AD663"/>
    <mergeCell ref="AE659:AE663"/>
    <mergeCell ref="AF659:AF663"/>
    <mergeCell ref="P659:P663"/>
    <mergeCell ref="Q659:Q663"/>
    <mergeCell ref="R659:R663"/>
    <mergeCell ref="S659:S663"/>
    <mergeCell ref="X659:X663"/>
    <mergeCell ref="Y659:Y663"/>
    <mergeCell ref="J659:J663"/>
    <mergeCell ref="K659:K663"/>
    <mergeCell ref="L659:L663"/>
    <mergeCell ref="M659:M663"/>
    <mergeCell ref="N659:N663"/>
    <mergeCell ref="O659:O663"/>
    <mergeCell ref="D659:D663"/>
    <mergeCell ref="E659:E663"/>
    <mergeCell ref="K666:K668"/>
    <mergeCell ref="L666:L668"/>
    <mergeCell ref="B666:B668"/>
    <mergeCell ref="C666:C668"/>
    <mergeCell ref="D666:D668"/>
    <mergeCell ref="E666:E668"/>
    <mergeCell ref="F666:F668"/>
    <mergeCell ref="AE664:AE665"/>
    <mergeCell ref="AF664:AF665"/>
    <mergeCell ref="AG664:AG665"/>
    <mergeCell ref="AH664:AH665"/>
    <mergeCell ref="AI664:AI665"/>
    <mergeCell ref="A666:A668"/>
    <mergeCell ref="X664:X665"/>
    <mergeCell ref="Y664:Y665"/>
    <mergeCell ref="AA664:AA665"/>
    <mergeCell ref="AB664:AB665"/>
    <mergeCell ref="AC664:AC665"/>
    <mergeCell ref="AD664:AD665"/>
    <mergeCell ref="N664:N665"/>
    <mergeCell ref="O664:O665"/>
    <mergeCell ref="P664:P665"/>
    <mergeCell ref="Q664:Q665"/>
    <mergeCell ref="R664:R665"/>
    <mergeCell ref="S664:S665"/>
    <mergeCell ref="H664:H665"/>
    <mergeCell ref="I664:I665"/>
    <mergeCell ref="J664:J665"/>
    <mergeCell ref="K664:K665"/>
    <mergeCell ref="L664:L665"/>
    <mergeCell ref="M664:M665"/>
    <mergeCell ref="B664:B665"/>
    <mergeCell ref="K669:K671"/>
    <mergeCell ref="L669:L671"/>
    <mergeCell ref="M669:M671"/>
    <mergeCell ref="B669:B671"/>
    <mergeCell ref="C669:C671"/>
    <mergeCell ref="D669:D671"/>
    <mergeCell ref="E669:E671"/>
    <mergeCell ref="F669:F671"/>
    <mergeCell ref="G669:G671"/>
    <mergeCell ref="A669:A671"/>
    <mergeCell ref="AD666:AD668"/>
    <mergeCell ref="AE666:AE668"/>
    <mergeCell ref="AF666:AF668"/>
    <mergeCell ref="AG666:AG668"/>
    <mergeCell ref="AH666:AH668"/>
    <mergeCell ref="AI666:AI668"/>
    <mergeCell ref="S666:S668"/>
    <mergeCell ref="X666:X668"/>
    <mergeCell ref="Y666:Y668"/>
    <mergeCell ref="AA666:AA668"/>
    <mergeCell ref="AB666:AB668"/>
    <mergeCell ref="AC666:AC668"/>
    <mergeCell ref="M666:M668"/>
    <mergeCell ref="N666:N668"/>
    <mergeCell ref="O666:O668"/>
    <mergeCell ref="P666:P668"/>
    <mergeCell ref="Q666:Q668"/>
    <mergeCell ref="R666:R668"/>
    <mergeCell ref="G666:G668"/>
    <mergeCell ref="H666:H668"/>
    <mergeCell ref="I666:I668"/>
    <mergeCell ref="J666:J668"/>
    <mergeCell ref="G672:G674"/>
    <mergeCell ref="H672:H674"/>
    <mergeCell ref="I672:I674"/>
    <mergeCell ref="J672:J674"/>
    <mergeCell ref="K672:K674"/>
    <mergeCell ref="L672:L674"/>
    <mergeCell ref="B672:B674"/>
    <mergeCell ref="C672:C674"/>
    <mergeCell ref="D672:D674"/>
    <mergeCell ref="E672:E674"/>
    <mergeCell ref="F672:F674"/>
    <mergeCell ref="AE669:AE671"/>
    <mergeCell ref="AF669:AF671"/>
    <mergeCell ref="AG669:AG671"/>
    <mergeCell ref="AH669:AH671"/>
    <mergeCell ref="AI669:AI671"/>
    <mergeCell ref="A672:A674"/>
    <mergeCell ref="X669:X671"/>
    <mergeCell ref="Y669:Y671"/>
    <mergeCell ref="AA669:AA671"/>
    <mergeCell ref="AB669:AB671"/>
    <mergeCell ref="AC669:AC671"/>
    <mergeCell ref="AD669:AD671"/>
    <mergeCell ref="N669:N671"/>
    <mergeCell ref="O669:O671"/>
    <mergeCell ref="P669:P671"/>
    <mergeCell ref="Q669:Q671"/>
    <mergeCell ref="R669:R671"/>
    <mergeCell ref="S669:S671"/>
    <mergeCell ref="H669:H671"/>
    <mergeCell ref="I669:I671"/>
    <mergeCell ref="J669:J671"/>
    <mergeCell ref="AD672:AD674"/>
    <mergeCell ref="AE672:AE674"/>
    <mergeCell ref="AF672:AF674"/>
    <mergeCell ref="AG672:AG674"/>
    <mergeCell ref="AH672:AH674"/>
    <mergeCell ref="AI672:AI674"/>
    <mergeCell ref="S672:S674"/>
    <mergeCell ref="X672:X674"/>
    <mergeCell ref="Y672:Y674"/>
    <mergeCell ref="AA672:AA674"/>
    <mergeCell ref="AB672:AB674"/>
    <mergeCell ref="AC672:AC674"/>
    <mergeCell ref="M672:M674"/>
    <mergeCell ref="N672:N674"/>
    <mergeCell ref="O672:O674"/>
    <mergeCell ref="P672:P674"/>
    <mergeCell ref="Q672:Q674"/>
    <mergeCell ref="R672:R674"/>
    <mergeCell ref="O679:O680"/>
    <mergeCell ref="P679:P680"/>
    <mergeCell ref="Q679:Q680"/>
    <mergeCell ref="H675:H678"/>
    <mergeCell ref="I675:I678"/>
    <mergeCell ref="J675:J678"/>
    <mergeCell ref="K675:K678"/>
    <mergeCell ref="L675:L680"/>
    <mergeCell ref="M675:M678"/>
    <mergeCell ref="M679:M680"/>
    <mergeCell ref="B675:B680"/>
    <mergeCell ref="C675:C680"/>
    <mergeCell ref="D675:D680"/>
    <mergeCell ref="E675:E678"/>
    <mergeCell ref="F675:F680"/>
    <mergeCell ref="G675:G680"/>
    <mergeCell ref="A675:A680"/>
    <mergeCell ref="AE679:AE680"/>
    <mergeCell ref="A681:A698"/>
    <mergeCell ref="B681:B698"/>
    <mergeCell ref="C681:C698"/>
    <mergeCell ref="D681:D698"/>
    <mergeCell ref="AE675:AE678"/>
    <mergeCell ref="AF675:AF680"/>
    <mergeCell ref="AG675:AG680"/>
    <mergeCell ref="AH675:AH680"/>
    <mergeCell ref="AI675:AI680"/>
    <mergeCell ref="E679:E680"/>
    <mergeCell ref="H679:H680"/>
    <mergeCell ref="I679:I680"/>
    <mergeCell ref="J679:J680"/>
    <mergeCell ref="K679:K680"/>
    <mergeCell ref="X675:X678"/>
    <mergeCell ref="Y675:Y680"/>
    <mergeCell ref="AA675:AA678"/>
    <mergeCell ref="AB675:AB680"/>
    <mergeCell ref="AC675:AC678"/>
    <mergeCell ref="AD675:AD678"/>
    <mergeCell ref="X679:X680"/>
    <mergeCell ref="AA679:AA680"/>
    <mergeCell ref="AC679:AC680"/>
    <mergeCell ref="AD679:AD680"/>
    <mergeCell ref="N675:N678"/>
    <mergeCell ref="O675:O678"/>
    <mergeCell ref="P675:P678"/>
    <mergeCell ref="Q675:Q678"/>
    <mergeCell ref="R675:R680"/>
    <mergeCell ref="S675:S680"/>
    <mergeCell ref="N679:N680"/>
    <mergeCell ref="W681:W688"/>
    <mergeCell ref="X681:X696"/>
    <mergeCell ref="Q689:Q696"/>
    <mergeCell ref="T691:T692"/>
    <mergeCell ref="T693:T694"/>
    <mergeCell ref="Q697:Q698"/>
    <mergeCell ref="K681:K696"/>
    <mergeCell ref="L681:L698"/>
    <mergeCell ref="M681:M696"/>
    <mergeCell ref="N681:N696"/>
    <mergeCell ref="O681:O686"/>
    <mergeCell ref="P681:P686"/>
    <mergeCell ref="O689:O696"/>
    <mergeCell ref="P689:P696"/>
    <mergeCell ref="E681:E698"/>
    <mergeCell ref="F681:F698"/>
    <mergeCell ref="G681:G698"/>
    <mergeCell ref="H681:H696"/>
    <mergeCell ref="I681:I688"/>
    <mergeCell ref="J681:J686"/>
    <mergeCell ref="I689:I696"/>
    <mergeCell ref="J689:J696"/>
    <mergeCell ref="H697:H698"/>
    <mergeCell ref="I697:I698"/>
    <mergeCell ref="W697:W698"/>
    <mergeCell ref="X697:X698"/>
    <mergeCell ref="AA697:AA698"/>
    <mergeCell ref="AB697:AB698"/>
    <mergeCell ref="AC697:AC698"/>
    <mergeCell ref="AD697:AD698"/>
    <mergeCell ref="J697:J698"/>
    <mergeCell ref="K697:K698"/>
    <mergeCell ref="M697:M698"/>
    <mergeCell ref="N697:N698"/>
    <mergeCell ref="O697:O698"/>
    <mergeCell ref="P697:P698"/>
    <mergeCell ref="AF681:AF698"/>
    <mergeCell ref="AG681:AG698"/>
    <mergeCell ref="AH681:AH698"/>
    <mergeCell ref="AI681:AI698"/>
    <mergeCell ref="AJ681:AJ698"/>
    <mergeCell ref="T683:T684"/>
    <mergeCell ref="T685:T686"/>
    <mergeCell ref="T689:T690"/>
    <mergeCell ref="W689:W696"/>
    <mergeCell ref="AA689:AA696"/>
    <mergeCell ref="Y681:Y698"/>
    <mergeCell ref="AA681:AA686"/>
    <mergeCell ref="AB681:AB696"/>
    <mergeCell ref="AC681:AC686"/>
    <mergeCell ref="AD681:AD696"/>
    <mergeCell ref="AE681:AE696"/>
    <mergeCell ref="AC689:AC696"/>
    <mergeCell ref="AE697:AE698"/>
    <mergeCell ref="Q681:Q686"/>
    <mergeCell ref="R681:R698"/>
    <mergeCell ref="S681:S698"/>
    <mergeCell ref="T681:T682"/>
    <mergeCell ref="O704:O705"/>
    <mergeCell ref="P704:P705"/>
    <mergeCell ref="Q704:Q705"/>
    <mergeCell ref="H699:H703"/>
    <mergeCell ref="I699:I703"/>
    <mergeCell ref="J699:J703"/>
    <mergeCell ref="K699:K703"/>
    <mergeCell ref="L699:L705"/>
    <mergeCell ref="M699:M703"/>
    <mergeCell ref="M704:M705"/>
    <mergeCell ref="B699:B705"/>
    <mergeCell ref="C699:C705"/>
    <mergeCell ref="D699:D705"/>
    <mergeCell ref="E699:E703"/>
    <mergeCell ref="F699:F705"/>
    <mergeCell ref="G699:G705"/>
    <mergeCell ref="A699:A705"/>
    <mergeCell ref="AE704:AE705"/>
    <mergeCell ref="A706:A709"/>
    <mergeCell ref="B706:B709"/>
    <mergeCell ref="C706:C709"/>
    <mergeCell ref="D706:D709"/>
    <mergeCell ref="AE699:AE703"/>
    <mergeCell ref="AF699:AF705"/>
    <mergeCell ref="AG699:AG705"/>
    <mergeCell ref="AH699:AH705"/>
    <mergeCell ref="AI699:AI705"/>
    <mergeCell ref="E704:E705"/>
    <mergeCell ref="H704:H705"/>
    <mergeCell ref="I704:I705"/>
    <mergeCell ref="J704:J705"/>
    <mergeCell ref="K704:K705"/>
    <mergeCell ref="X699:X703"/>
    <mergeCell ref="Y699:Y705"/>
    <mergeCell ref="AA699:AA703"/>
    <mergeCell ref="AB699:AB705"/>
    <mergeCell ref="AC699:AC703"/>
    <mergeCell ref="AD699:AD703"/>
    <mergeCell ref="X704:X705"/>
    <mergeCell ref="AA704:AA705"/>
    <mergeCell ref="AC704:AC705"/>
    <mergeCell ref="AD704:AD705"/>
    <mergeCell ref="N699:N703"/>
    <mergeCell ref="O699:O703"/>
    <mergeCell ref="P699:P703"/>
    <mergeCell ref="Q699:Q703"/>
    <mergeCell ref="R699:R705"/>
    <mergeCell ref="S699:S705"/>
    <mergeCell ref="N704:N705"/>
    <mergeCell ref="AH706:AH709"/>
    <mergeCell ref="AI706:AI709"/>
    <mergeCell ref="A710:A711"/>
    <mergeCell ref="B710:B711"/>
    <mergeCell ref="C710:C711"/>
    <mergeCell ref="AB706:AB709"/>
    <mergeCell ref="AC706:AC709"/>
    <mergeCell ref="AD706:AD709"/>
    <mergeCell ref="AE706:AE709"/>
    <mergeCell ref="AF706:AF709"/>
    <mergeCell ref="AG706:AG709"/>
    <mergeCell ref="Q706:Q709"/>
    <mergeCell ref="R706:R709"/>
    <mergeCell ref="S706:S709"/>
    <mergeCell ref="X706:X709"/>
    <mergeCell ref="Y706:Y709"/>
    <mergeCell ref="AA706:AA709"/>
    <mergeCell ref="K706:K709"/>
    <mergeCell ref="L706:L709"/>
    <mergeCell ref="M706:M709"/>
    <mergeCell ref="N706:N709"/>
    <mergeCell ref="O706:O709"/>
    <mergeCell ref="P706:P709"/>
    <mergeCell ref="E706:E709"/>
    <mergeCell ref="F706:F709"/>
    <mergeCell ref="G706:G709"/>
    <mergeCell ref="H706:H709"/>
    <mergeCell ref="I706:I709"/>
    <mergeCell ref="J706:J709"/>
    <mergeCell ref="G712:G713"/>
    <mergeCell ref="H712:H713"/>
    <mergeCell ref="AG710:AG711"/>
    <mergeCell ref="AH710:AH711"/>
    <mergeCell ref="AI710:AI711"/>
    <mergeCell ref="A712:A713"/>
    <mergeCell ref="B712:B713"/>
    <mergeCell ref="AA710:AA711"/>
    <mergeCell ref="AB710:AB711"/>
    <mergeCell ref="AC710:AC711"/>
    <mergeCell ref="AD710:AD711"/>
    <mergeCell ref="AE710:AE711"/>
    <mergeCell ref="AF710:AF711"/>
    <mergeCell ref="P710:P711"/>
    <mergeCell ref="Q710:Q711"/>
    <mergeCell ref="R710:R711"/>
    <mergeCell ref="S710:S711"/>
    <mergeCell ref="X710:X711"/>
    <mergeCell ref="Y710:Y711"/>
    <mergeCell ref="J710:J711"/>
    <mergeCell ref="K710:K711"/>
    <mergeCell ref="L710:L711"/>
    <mergeCell ref="M710:M711"/>
    <mergeCell ref="N710:N711"/>
    <mergeCell ref="O710:O711"/>
    <mergeCell ref="D710:D711"/>
    <mergeCell ref="E710:E711"/>
    <mergeCell ref="F710:F711"/>
    <mergeCell ref="G710:G711"/>
    <mergeCell ref="H710:H711"/>
    <mergeCell ref="I710:I711"/>
    <mergeCell ref="C714:C716"/>
    <mergeCell ref="D714:D716"/>
    <mergeCell ref="E714:E716"/>
    <mergeCell ref="F714:F716"/>
    <mergeCell ref="G714:G716"/>
    <mergeCell ref="AF712:AF713"/>
    <mergeCell ref="AG712:AG713"/>
    <mergeCell ref="AH712:AH713"/>
    <mergeCell ref="AI712:AI713"/>
    <mergeCell ref="A714:A716"/>
    <mergeCell ref="Y712:Y713"/>
    <mergeCell ref="AA712:AA713"/>
    <mergeCell ref="AB712:AB713"/>
    <mergeCell ref="AC712:AC713"/>
    <mergeCell ref="AD712:AD713"/>
    <mergeCell ref="AE712:AE713"/>
    <mergeCell ref="O712:O713"/>
    <mergeCell ref="P712:P713"/>
    <mergeCell ref="Q712:Q713"/>
    <mergeCell ref="R712:R713"/>
    <mergeCell ref="S712:S713"/>
    <mergeCell ref="X712:X713"/>
    <mergeCell ref="I712:I713"/>
    <mergeCell ref="J712:J713"/>
    <mergeCell ref="K712:K713"/>
    <mergeCell ref="L712:L713"/>
    <mergeCell ref="M712:M713"/>
    <mergeCell ref="N712:N713"/>
    <mergeCell ref="C712:C713"/>
    <mergeCell ref="D712:D713"/>
    <mergeCell ref="E712:E713"/>
    <mergeCell ref="F712:F713"/>
    <mergeCell ref="K717:K718"/>
    <mergeCell ref="L717:L719"/>
    <mergeCell ref="B717:B719"/>
    <mergeCell ref="C717:C719"/>
    <mergeCell ref="D717:D719"/>
    <mergeCell ref="E717:E718"/>
    <mergeCell ref="F717:F719"/>
    <mergeCell ref="AE714:AE716"/>
    <mergeCell ref="AF714:AF716"/>
    <mergeCell ref="AG714:AG716"/>
    <mergeCell ref="AH714:AH716"/>
    <mergeCell ref="AI714:AI716"/>
    <mergeCell ref="A717:A719"/>
    <mergeCell ref="X714:X716"/>
    <mergeCell ref="Y714:Y716"/>
    <mergeCell ref="AA714:AA716"/>
    <mergeCell ref="AB714:AB716"/>
    <mergeCell ref="AC714:AC716"/>
    <mergeCell ref="AD714:AD716"/>
    <mergeCell ref="N714:N716"/>
    <mergeCell ref="O714:O716"/>
    <mergeCell ref="P714:P716"/>
    <mergeCell ref="Q714:Q716"/>
    <mergeCell ref="R714:R716"/>
    <mergeCell ref="S714:S716"/>
    <mergeCell ref="H714:H716"/>
    <mergeCell ref="I714:I716"/>
    <mergeCell ref="J714:J716"/>
    <mergeCell ref="K714:K716"/>
    <mergeCell ref="L714:L716"/>
    <mergeCell ref="M714:M716"/>
    <mergeCell ref="B714:B716"/>
    <mergeCell ref="K720:K722"/>
    <mergeCell ref="L720:L723"/>
    <mergeCell ref="M720:M722"/>
    <mergeCell ref="B720:B723"/>
    <mergeCell ref="C720:C723"/>
    <mergeCell ref="D720:D723"/>
    <mergeCell ref="E720:E722"/>
    <mergeCell ref="F720:F723"/>
    <mergeCell ref="G720:G723"/>
    <mergeCell ref="A720:A723"/>
    <mergeCell ref="AD717:AD718"/>
    <mergeCell ref="AE717:AE718"/>
    <mergeCell ref="AF717:AF719"/>
    <mergeCell ref="AG717:AG719"/>
    <mergeCell ref="AH717:AH719"/>
    <mergeCell ref="AI717:AI719"/>
    <mergeCell ref="S717:S719"/>
    <mergeCell ref="X717:X718"/>
    <mergeCell ref="Y717:Y719"/>
    <mergeCell ref="AA717:AA718"/>
    <mergeCell ref="AB717:AB719"/>
    <mergeCell ref="AC717:AC718"/>
    <mergeCell ref="M717:M718"/>
    <mergeCell ref="N717:N718"/>
    <mergeCell ref="O717:O718"/>
    <mergeCell ref="P717:P718"/>
    <mergeCell ref="Q717:Q718"/>
    <mergeCell ref="R717:R719"/>
    <mergeCell ref="G717:G719"/>
    <mergeCell ref="H717:H718"/>
    <mergeCell ref="I717:I718"/>
    <mergeCell ref="J717:J718"/>
    <mergeCell ref="G724:G726"/>
    <mergeCell ref="H724:H726"/>
    <mergeCell ref="I724:I726"/>
    <mergeCell ref="J724:J726"/>
    <mergeCell ref="K724:K726"/>
    <mergeCell ref="L724:L726"/>
    <mergeCell ref="B724:B726"/>
    <mergeCell ref="C724:C726"/>
    <mergeCell ref="D724:D726"/>
    <mergeCell ref="E724:E726"/>
    <mergeCell ref="F724:F726"/>
    <mergeCell ref="AE720:AE722"/>
    <mergeCell ref="AF720:AF723"/>
    <mergeCell ref="AG720:AG723"/>
    <mergeCell ref="AH720:AH723"/>
    <mergeCell ref="AI720:AI723"/>
    <mergeCell ref="A724:A726"/>
    <mergeCell ref="X720:X722"/>
    <mergeCell ref="Y720:Y723"/>
    <mergeCell ref="AA720:AA722"/>
    <mergeCell ref="AB720:AB723"/>
    <mergeCell ref="AC720:AC722"/>
    <mergeCell ref="AD720:AD722"/>
    <mergeCell ref="N720:N722"/>
    <mergeCell ref="O720:O722"/>
    <mergeCell ref="P720:P722"/>
    <mergeCell ref="Q720:Q722"/>
    <mergeCell ref="R720:R723"/>
    <mergeCell ref="S720:S723"/>
    <mergeCell ref="H720:H722"/>
    <mergeCell ref="I720:I722"/>
    <mergeCell ref="J720:J722"/>
    <mergeCell ref="AD724:AD726"/>
    <mergeCell ref="AE724:AE726"/>
    <mergeCell ref="AF724:AF726"/>
    <mergeCell ref="AG724:AG726"/>
    <mergeCell ref="AH724:AH726"/>
    <mergeCell ref="AI724:AI726"/>
    <mergeCell ref="S724:S726"/>
    <mergeCell ref="X724:X726"/>
    <mergeCell ref="Y724:Y726"/>
    <mergeCell ref="AA724:AA726"/>
    <mergeCell ref="AB724:AB726"/>
    <mergeCell ref="AC724:AC726"/>
    <mergeCell ref="M724:M726"/>
    <mergeCell ref="N724:N726"/>
    <mergeCell ref="O724:O726"/>
    <mergeCell ref="P724:P726"/>
    <mergeCell ref="Q724:Q726"/>
    <mergeCell ref="R724:R726"/>
    <mergeCell ref="S727:S738"/>
    <mergeCell ref="H727:H734"/>
    <mergeCell ref="I727:I732"/>
    <mergeCell ref="J727:J732"/>
    <mergeCell ref="K727:K734"/>
    <mergeCell ref="L727:L738"/>
    <mergeCell ref="M727:M734"/>
    <mergeCell ref="H735:H738"/>
    <mergeCell ref="I735:I738"/>
    <mergeCell ref="J735:J738"/>
    <mergeCell ref="K735:K738"/>
    <mergeCell ref="B727:B738"/>
    <mergeCell ref="C727:C738"/>
    <mergeCell ref="D727:D738"/>
    <mergeCell ref="E727:E738"/>
    <mergeCell ref="F727:F738"/>
    <mergeCell ref="G727:G738"/>
    <mergeCell ref="X735:X738"/>
    <mergeCell ref="AI727:AI738"/>
    <mergeCell ref="T729:T730"/>
    <mergeCell ref="T731:T732"/>
    <mergeCell ref="I733:I734"/>
    <mergeCell ref="J733:J734"/>
    <mergeCell ref="O733:O734"/>
    <mergeCell ref="P733:P734"/>
    <mergeCell ref="Q733:Q734"/>
    <mergeCell ref="AC727:AC732"/>
    <mergeCell ref="AD727:AD734"/>
    <mergeCell ref="AE727:AE734"/>
    <mergeCell ref="AF727:AF738"/>
    <mergeCell ref="AG727:AG738"/>
    <mergeCell ref="AH727:AH738"/>
    <mergeCell ref="AC733:AC734"/>
    <mergeCell ref="AC735:AC738"/>
    <mergeCell ref="AD735:AD738"/>
    <mergeCell ref="AE735:AE738"/>
    <mergeCell ref="T727:T728"/>
    <mergeCell ref="X727:X734"/>
    <mergeCell ref="Y727:Y738"/>
    <mergeCell ref="AA727:AA732"/>
    <mergeCell ref="AB727:AB738"/>
    <mergeCell ref="T733:T734"/>
    <mergeCell ref="AA733:AA734"/>
    <mergeCell ref="AA735:AA738"/>
    <mergeCell ref="N727:N734"/>
    <mergeCell ref="O727:O732"/>
    <mergeCell ref="P727:P732"/>
    <mergeCell ref="Q727:Q732"/>
    <mergeCell ref="R727:R738"/>
    <mergeCell ref="O742:O744"/>
    <mergeCell ref="P742:P744"/>
    <mergeCell ref="Q742:Q744"/>
    <mergeCell ref="H739:H741"/>
    <mergeCell ref="I739:I741"/>
    <mergeCell ref="J739:J741"/>
    <mergeCell ref="K739:K741"/>
    <mergeCell ref="L739:L744"/>
    <mergeCell ref="M739:M741"/>
    <mergeCell ref="B739:B744"/>
    <mergeCell ref="C739:C744"/>
    <mergeCell ref="D739:D744"/>
    <mergeCell ref="E739:E744"/>
    <mergeCell ref="F739:F744"/>
    <mergeCell ref="G739:G744"/>
    <mergeCell ref="A739:A744"/>
    <mergeCell ref="M735:M738"/>
    <mergeCell ref="N735:N738"/>
    <mergeCell ref="O735:O738"/>
    <mergeCell ref="P735:P738"/>
    <mergeCell ref="Q735:Q738"/>
    <mergeCell ref="A727:A738"/>
    <mergeCell ref="AE742:AE744"/>
    <mergeCell ref="A745:A760"/>
    <mergeCell ref="B745:B760"/>
    <mergeCell ref="C745:C760"/>
    <mergeCell ref="D745:D760"/>
    <mergeCell ref="AE739:AE741"/>
    <mergeCell ref="AF739:AF744"/>
    <mergeCell ref="AG739:AG744"/>
    <mergeCell ref="AH739:AH744"/>
    <mergeCell ref="AI739:AI744"/>
    <mergeCell ref="H742:H744"/>
    <mergeCell ref="I742:I744"/>
    <mergeCell ref="J742:J744"/>
    <mergeCell ref="K742:K744"/>
    <mergeCell ref="M742:M744"/>
    <mergeCell ref="X739:X741"/>
    <mergeCell ref="Y739:Y744"/>
    <mergeCell ref="AA739:AA741"/>
    <mergeCell ref="AB739:AB744"/>
    <mergeCell ref="AC739:AC741"/>
    <mergeCell ref="AD739:AD741"/>
    <mergeCell ref="X742:X744"/>
    <mergeCell ref="AA742:AA744"/>
    <mergeCell ref="AC742:AC744"/>
    <mergeCell ref="AD742:AD744"/>
    <mergeCell ref="N739:N741"/>
    <mergeCell ref="O739:O741"/>
    <mergeCell ref="P739:P741"/>
    <mergeCell ref="Q739:Q741"/>
    <mergeCell ref="R739:R744"/>
    <mergeCell ref="S739:S744"/>
    <mergeCell ref="N742:N744"/>
    <mergeCell ref="Q753:Q754"/>
    <mergeCell ref="T753:T754"/>
    <mergeCell ref="Q755:Q759"/>
    <mergeCell ref="K745:K754"/>
    <mergeCell ref="L745:L760"/>
    <mergeCell ref="M745:M754"/>
    <mergeCell ref="N745:N754"/>
    <mergeCell ref="O745:O752"/>
    <mergeCell ref="P745:P752"/>
    <mergeCell ref="O753:O754"/>
    <mergeCell ref="P753:P754"/>
    <mergeCell ref="E745:E759"/>
    <mergeCell ref="F745:F760"/>
    <mergeCell ref="G745:G760"/>
    <mergeCell ref="H745:H754"/>
    <mergeCell ref="I745:I752"/>
    <mergeCell ref="J745:J752"/>
    <mergeCell ref="I753:I754"/>
    <mergeCell ref="J753:J754"/>
    <mergeCell ref="H755:H759"/>
    <mergeCell ref="I755:I759"/>
    <mergeCell ref="X755:X759"/>
    <mergeCell ref="AA755:AA759"/>
    <mergeCell ref="AC755:AC759"/>
    <mergeCell ref="AD755:AD759"/>
    <mergeCell ref="AE755:AE759"/>
    <mergeCell ref="A761:A780"/>
    <mergeCell ref="J755:J759"/>
    <mergeCell ref="K755:K759"/>
    <mergeCell ref="M755:M759"/>
    <mergeCell ref="N755:N759"/>
    <mergeCell ref="O755:O759"/>
    <mergeCell ref="P755:P759"/>
    <mergeCell ref="AF745:AF760"/>
    <mergeCell ref="AG745:AG760"/>
    <mergeCell ref="AH745:AH760"/>
    <mergeCell ref="AI745:AI760"/>
    <mergeCell ref="T747:T748"/>
    <mergeCell ref="T749:T750"/>
    <mergeCell ref="T751:T752"/>
    <mergeCell ref="Y745:Y760"/>
    <mergeCell ref="AA745:AA752"/>
    <mergeCell ref="AB745:AB760"/>
    <mergeCell ref="AC745:AC752"/>
    <mergeCell ref="AD745:AD754"/>
    <mergeCell ref="AE745:AE754"/>
    <mergeCell ref="AA753:AA754"/>
    <mergeCell ref="AC753:AC754"/>
    <mergeCell ref="Q745:Q752"/>
    <mergeCell ref="R745:R760"/>
    <mergeCell ref="S745:S760"/>
    <mergeCell ref="T745:T746"/>
    <mergeCell ref="X745:X754"/>
    <mergeCell ref="AF761:AF780"/>
    <mergeCell ref="AG761:AG780"/>
    <mergeCell ref="AH761:AH780"/>
    <mergeCell ref="AI761:AI780"/>
    <mergeCell ref="AE767:AE771"/>
    <mergeCell ref="S761:S780"/>
    <mergeCell ref="X761:X766"/>
    <mergeCell ref="Y761:Y780"/>
    <mergeCell ref="AA761:AA766"/>
    <mergeCell ref="AB761:AB780"/>
    <mergeCell ref="AC761:AC766"/>
    <mergeCell ref="T765:T766"/>
    <mergeCell ref="M761:M766"/>
    <mergeCell ref="N761:N766"/>
    <mergeCell ref="O761:O766"/>
    <mergeCell ref="P761:P766"/>
    <mergeCell ref="Q761:Q766"/>
    <mergeCell ref="R761:R780"/>
    <mergeCell ref="Q767:Q771"/>
    <mergeCell ref="O772:O776"/>
    <mergeCell ref="P772:P776"/>
    <mergeCell ref="Q772:Q776"/>
    <mergeCell ref="AA772:AA776"/>
    <mergeCell ref="AC772:AC776"/>
    <mergeCell ref="AD772:AD776"/>
    <mergeCell ref="AE772:AE776"/>
    <mergeCell ref="T773:T774"/>
    <mergeCell ref="T775:T776"/>
    <mergeCell ref="V775:V776"/>
    <mergeCell ref="T767:T768"/>
    <mergeCell ref="X767:X776"/>
    <mergeCell ref="AA767:AA771"/>
    <mergeCell ref="AD767:AD771"/>
    <mergeCell ref="T769:T770"/>
    <mergeCell ref="T771:T772"/>
    <mergeCell ref="Z765:Z766"/>
    <mergeCell ref="H767:H776"/>
    <mergeCell ref="I767:I771"/>
    <mergeCell ref="J767:J771"/>
    <mergeCell ref="K767:K776"/>
    <mergeCell ref="M767:M776"/>
    <mergeCell ref="N767:N776"/>
    <mergeCell ref="O767:O771"/>
    <mergeCell ref="P767:P771"/>
    <mergeCell ref="AD761:AD766"/>
    <mergeCell ref="AE761:AE766"/>
    <mergeCell ref="H761:H766"/>
    <mergeCell ref="I761:I766"/>
    <mergeCell ref="J761:J766"/>
    <mergeCell ref="K761:K766"/>
    <mergeCell ref="L761:L780"/>
    <mergeCell ref="I772:I776"/>
    <mergeCell ref="J772:J776"/>
    <mergeCell ref="K781:K788"/>
    <mergeCell ref="L781:L788"/>
    <mergeCell ref="M781:M788"/>
    <mergeCell ref="B781:B788"/>
    <mergeCell ref="C781:C788"/>
    <mergeCell ref="D781:D788"/>
    <mergeCell ref="E781:E788"/>
    <mergeCell ref="F781:F788"/>
    <mergeCell ref="G781:G788"/>
    <mergeCell ref="A781:A788"/>
    <mergeCell ref="Q777:Q780"/>
    <mergeCell ref="X777:X780"/>
    <mergeCell ref="AA777:AA780"/>
    <mergeCell ref="AC777:AC780"/>
    <mergeCell ref="AD777:AD780"/>
    <mergeCell ref="AE777:AE780"/>
    <mergeCell ref="J777:J780"/>
    <mergeCell ref="K777:K780"/>
    <mergeCell ref="M777:M780"/>
    <mergeCell ref="N777:N780"/>
    <mergeCell ref="O777:O780"/>
    <mergeCell ref="P777:P780"/>
    <mergeCell ref="G761:G780"/>
    <mergeCell ref="H777:H780"/>
    <mergeCell ref="I777:I780"/>
    <mergeCell ref="B761:B780"/>
    <mergeCell ref="C761:C780"/>
    <mergeCell ref="D761:D780"/>
    <mergeCell ref="E761:E776"/>
    <mergeCell ref="F761:F780"/>
    <mergeCell ref="E777:E780"/>
    <mergeCell ref="AC767:AC771"/>
    <mergeCell ref="G789:G796"/>
    <mergeCell ref="H789:H796"/>
    <mergeCell ref="I789:I796"/>
    <mergeCell ref="J789:J796"/>
    <mergeCell ref="K789:K796"/>
    <mergeCell ref="L789:L796"/>
    <mergeCell ref="B789:B796"/>
    <mergeCell ref="C789:C796"/>
    <mergeCell ref="D789:D796"/>
    <mergeCell ref="E789:E796"/>
    <mergeCell ref="F789:F796"/>
    <mergeCell ref="AE781:AE788"/>
    <mergeCell ref="AF781:AF788"/>
    <mergeCell ref="AG781:AG788"/>
    <mergeCell ref="AH781:AH788"/>
    <mergeCell ref="AI781:AI788"/>
    <mergeCell ref="A789:A796"/>
    <mergeCell ref="X781:X788"/>
    <mergeCell ref="Y781:Y788"/>
    <mergeCell ref="AA781:AA788"/>
    <mergeCell ref="AB781:AB788"/>
    <mergeCell ref="AC781:AC788"/>
    <mergeCell ref="AD781:AD788"/>
    <mergeCell ref="N781:N788"/>
    <mergeCell ref="O781:O788"/>
    <mergeCell ref="P781:P788"/>
    <mergeCell ref="Q781:Q788"/>
    <mergeCell ref="R781:R788"/>
    <mergeCell ref="S781:S788"/>
    <mergeCell ref="H781:H788"/>
    <mergeCell ref="I781:I788"/>
    <mergeCell ref="J781:J788"/>
    <mergeCell ref="AD789:AD796"/>
    <mergeCell ref="AE789:AE796"/>
    <mergeCell ref="AF789:AF796"/>
    <mergeCell ref="AG789:AG796"/>
    <mergeCell ref="AH789:AH796"/>
    <mergeCell ref="AI789:AI796"/>
    <mergeCell ref="S789:S796"/>
    <mergeCell ref="X789:X796"/>
    <mergeCell ref="Y789:Y796"/>
    <mergeCell ref="AA789:AA796"/>
    <mergeCell ref="AB789:AB796"/>
    <mergeCell ref="AC789:AC796"/>
    <mergeCell ref="V791:V792"/>
    <mergeCell ref="V794:V795"/>
    <mergeCell ref="M789:M796"/>
    <mergeCell ref="N789:N796"/>
    <mergeCell ref="O789:O796"/>
    <mergeCell ref="P789:P796"/>
    <mergeCell ref="Q789:Q796"/>
    <mergeCell ref="R789:R796"/>
    <mergeCell ref="E797:E812"/>
    <mergeCell ref="F797:F816"/>
    <mergeCell ref="G797:G816"/>
    <mergeCell ref="AH797:AH816"/>
    <mergeCell ref="AI797:AI816"/>
    <mergeCell ref="AA805:AA812"/>
    <mergeCell ref="AC805:AC812"/>
    <mergeCell ref="AD805:AD812"/>
    <mergeCell ref="X797:X804"/>
    <mergeCell ref="Y797:Y816"/>
    <mergeCell ref="AA797:AA804"/>
    <mergeCell ref="AB797:AB816"/>
    <mergeCell ref="AC797:AC804"/>
    <mergeCell ref="AD797:AD804"/>
    <mergeCell ref="X813:X814"/>
    <mergeCell ref="AA813:AA814"/>
    <mergeCell ref="AC813:AC814"/>
    <mergeCell ref="AD813:AD814"/>
    <mergeCell ref="N797:N804"/>
    <mergeCell ref="O797:O804"/>
    <mergeCell ref="P797:P804"/>
    <mergeCell ref="Q797:Q804"/>
    <mergeCell ref="R797:R816"/>
    <mergeCell ref="S797:S816"/>
    <mergeCell ref="O813:O814"/>
    <mergeCell ref="P813:P814"/>
    <mergeCell ref="Q813:Q814"/>
    <mergeCell ref="P815:P816"/>
    <mergeCell ref="AE805:AE812"/>
    <mergeCell ref="N813:N814"/>
    <mergeCell ref="M805:M812"/>
    <mergeCell ref="N805:N812"/>
    <mergeCell ref="O805:O812"/>
    <mergeCell ref="P805:P812"/>
    <mergeCell ref="Q805:Q812"/>
    <mergeCell ref="X805:X812"/>
    <mergeCell ref="AE797:AE804"/>
    <mergeCell ref="AF797:AF816"/>
    <mergeCell ref="AG797:AG816"/>
    <mergeCell ref="H797:H804"/>
    <mergeCell ref="I797:I804"/>
    <mergeCell ref="J797:J804"/>
    <mergeCell ref="K797:K804"/>
    <mergeCell ref="L797:L816"/>
    <mergeCell ref="M797:M804"/>
    <mergeCell ref="H805:H812"/>
    <mergeCell ref="I805:I812"/>
    <mergeCell ref="J805:J812"/>
    <mergeCell ref="K805:K812"/>
    <mergeCell ref="F817:F818"/>
    <mergeCell ref="G817:G818"/>
    <mergeCell ref="A817:A818"/>
    <mergeCell ref="Q815:Q816"/>
    <mergeCell ref="X815:X816"/>
    <mergeCell ref="AA815:AA816"/>
    <mergeCell ref="AC815:AC816"/>
    <mergeCell ref="AD815:AD816"/>
    <mergeCell ref="AE815:AE816"/>
    <mergeCell ref="AE813:AE814"/>
    <mergeCell ref="E815:E816"/>
    <mergeCell ref="H815:H816"/>
    <mergeCell ref="I815:I816"/>
    <mergeCell ref="J815:J816"/>
    <mergeCell ref="K815:K816"/>
    <mergeCell ref="M815:M816"/>
    <mergeCell ref="N815:N816"/>
    <mergeCell ref="O815:O816"/>
    <mergeCell ref="B797:B816"/>
    <mergeCell ref="C797:C816"/>
    <mergeCell ref="D797:D816"/>
    <mergeCell ref="A797:A816"/>
    <mergeCell ref="V798:V800"/>
    <mergeCell ref="V801:V803"/>
    <mergeCell ref="V806:V808"/>
    <mergeCell ref="V809:V811"/>
    <mergeCell ref="E813:E814"/>
    <mergeCell ref="H813:H814"/>
    <mergeCell ref="I813:I814"/>
    <mergeCell ref="J813:J814"/>
    <mergeCell ref="K813:K814"/>
    <mergeCell ref="M813:M814"/>
    <mergeCell ref="C819:C821"/>
    <mergeCell ref="D819:D821"/>
    <mergeCell ref="E819:E821"/>
    <mergeCell ref="F819:F821"/>
    <mergeCell ref="AE817:AE818"/>
    <mergeCell ref="AF817:AF818"/>
    <mergeCell ref="AG817:AG818"/>
    <mergeCell ref="AH817:AH818"/>
    <mergeCell ref="AI817:AI818"/>
    <mergeCell ref="A819:A821"/>
    <mergeCell ref="X817:X818"/>
    <mergeCell ref="Y817:Y818"/>
    <mergeCell ref="AA817:AA818"/>
    <mergeCell ref="AB817:AB818"/>
    <mergeCell ref="AC817:AC818"/>
    <mergeCell ref="AD817:AD818"/>
    <mergeCell ref="N817:N818"/>
    <mergeCell ref="O817:O818"/>
    <mergeCell ref="P817:P818"/>
    <mergeCell ref="Q817:Q818"/>
    <mergeCell ref="R817:R818"/>
    <mergeCell ref="S817:S818"/>
    <mergeCell ref="H817:H818"/>
    <mergeCell ref="I817:I818"/>
    <mergeCell ref="J817:J818"/>
    <mergeCell ref="K817:K818"/>
    <mergeCell ref="L817:L818"/>
    <mergeCell ref="M817:M818"/>
    <mergeCell ref="B817:B818"/>
    <mergeCell ref="C817:C818"/>
    <mergeCell ref="D817:D818"/>
    <mergeCell ref="E817:E818"/>
    <mergeCell ref="C822:C824"/>
    <mergeCell ref="D822:D824"/>
    <mergeCell ref="E822:E824"/>
    <mergeCell ref="F822:F824"/>
    <mergeCell ref="G822:G824"/>
    <mergeCell ref="A822:A824"/>
    <mergeCell ref="AD819:AD821"/>
    <mergeCell ref="AE819:AE821"/>
    <mergeCell ref="AF819:AF821"/>
    <mergeCell ref="AG819:AG821"/>
    <mergeCell ref="AH819:AH821"/>
    <mergeCell ref="AI819:AI821"/>
    <mergeCell ref="S819:S821"/>
    <mergeCell ref="X819:X821"/>
    <mergeCell ref="Y819:Y821"/>
    <mergeCell ref="AA819:AA821"/>
    <mergeCell ref="AB819:AB821"/>
    <mergeCell ref="AC819:AC821"/>
    <mergeCell ref="T820:T821"/>
    <mergeCell ref="M819:M821"/>
    <mergeCell ref="N819:N821"/>
    <mergeCell ref="O819:O821"/>
    <mergeCell ref="P819:P821"/>
    <mergeCell ref="Q819:Q821"/>
    <mergeCell ref="R819:R821"/>
    <mergeCell ref="G819:G821"/>
    <mergeCell ref="H819:H821"/>
    <mergeCell ref="I819:I821"/>
    <mergeCell ref="J819:J821"/>
    <mergeCell ref="K819:K821"/>
    <mergeCell ref="L819:L821"/>
    <mergeCell ref="B819:B821"/>
    <mergeCell ref="K825:K826"/>
    <mergeCell ref="L825:L826"/>
    <mergeCell ref="B825:B826"/>
    <mergeCell ref="C825:C826"/>
    <mergeCell ref="D825:D826"/>
    <mergeCell ref="E825:E826"/>
    <mergeCell ref="F825:F826"/>
    <mergeCell ref="AE822:AE824"/>
    <mergeCell ref="AF822:AF824"/>
    <mergeCell ref="AG822:AG824"/>
    <mergeCell ref="AH822:AH824"/>
    <mergeCell ref="AI822:AI824"/>
    <mergeCell ref="A825:A826"/>
    <mergeCell ref="X822:X824"/>
    <mergeCell ref="Y822:Y824"/>
    <mergeCell ref="AA822:AA824"/>
    <mergeCell ref="AB822:AB824"/>
    <mergeCell ref="AC822:AC824"/>
    <mergeCell ref="AD822:AD824"/>
    <mergeCell ref="N822:N824"/>
    <mergeCell ref="O822:O824"/>
    <mergeCell ref="P822:P824"/>
    <mergeCell ref="Q822:Q824"/>
    <mergeCell ref="R822:R824"/>
    <mergeCell ref="S822:S824"/>
    <mergeCell ref="H822:H824"/>
    <mergeCell ref="I822:I824"/>
    <mergeCell ref="J822:J824"/>
    <mergeCell ref="K822:K824"/>
    <mergeCell ref="L822:L824"/>
    <mergeCell ref="M822:M824"/>
    <mergeCell ref="B822:B824"/>
    <mergeCell ref="K827:K828"/>
    <mergeCell ref="L827:L829"/>
    <mergeCell ref="M827:M828"/>
    <mergeCell ref="B827:B829"/>
    <mergeCell ref="C827:C829"/>
    <mergeCell ref="D827:D829"/>
    <mergeCell ref="E827:E828"/>
    <mergeCell ref="F827:F829"/>
    <mergeCell ref="G827:G829"/>
    <mergeCell ref="A827:A829"/>
    <mergeCell ref="AD825:AD826"/>
    <mergeCell ref="AE825:AE826"/>
    <mergeCell ref="AF825:AF826"/>
    <mergeCell ref="AG825:AG826"/>
    <mergeCell ref="AH825:AH826"/>
    <mergeCell ref="AI825:AI826"/>
    <mergeCell ref="S825:S826"/>
    <mergeCell ref="X825:X826"/>
    <mergeCell ref="Y825:Y826"/>
    <mergeCell ref="AA825:AA826"/>
    <mergeCell ref="AB825:AB826"/>
    <mergeCell ref="AC825:AC826"/>
    <mergeCell ref="M825:M826"/>
    <mergeCell ref="N825:N826"/>
    <mergeCell ref="O825:O826"/>
    <mergeCell ref="P825:P826"/>
    <mergeCell ref="Q825:Q826"/>
    <mergeCell ref="R825:R826"/>
    <mergeCell ref="G825:G826"/>
    <mergeCell ref="H825:H826"/>
    <mergeCell ref="I825:I826"/>
    <mergeCell ref="J825:J826"/>
    <mergeCell ref="G831:G833"/>
    <mergeCell ref="H831:H833"/>
    <mergeCell ref="I831:I833"/>
    <mergeCell ref="J831:J833"/>
    <mergeCell ref="K831:K833"/>
    <mergeCell ref="L831:L833"/>
    <mergeCell ref="B831:B833"/>
    <mergeCell ref="C831:C833"/>
    <mergeCell ref="D831:D833"/>
    <mergeCell ref="E831:E833"/>
    <mergeCell ref="F831:F833"/>
    <mergeCell ref="AE827:AE828"/>
    <mergeCell ref="AF827:AF829"/>
    <mergeCell ref="AG827:AG829"/>
    <mergeCell ref="AH827:AH829"/>
    <mergeCell ref="AI827:AI829"/>
    <mergeCell ref="A831:A833"/>
    <mergeCell ref="X827:X828"/>
    <mergeCell ref="Y827:Y829"/>
    <mergeCell ref="AA827:AA828"/>
    <mergeCell ref="AB827:AB829"/>
    <mergeCell ref="AC827:AC828"/>
    <mergeCell ref="AD827:AD828"/>
    <mergeCell ref="N827:N828"/>
    <mergeCell ref="O827:O828"/>
    <mergeCell ref="P827:P828"/>
    <mergeCell ref="Q827:Q828"/>
    <mergeCell ref="R827:R829"/>
    <mergeCell ref="S827:S829"/>
    <mergeCell ref="H827:H828"/>
    <mergeCell ref="I827:I828"/>
    <mergeCell ref="J827:J828"/>
    <mergeCell ref="AD831:AD833"/>
    <mergeCell ref="AE831:AE833"/>
    <mergeCell ref="AF831:AF833"/>
    <mergeCell ref="AG831:AG833"/>
    <mergeCell ref="AH831:AH833"/>
    <mergeCell ref="AI831:AI833"/>
    <mergeCell ref="S831:S833"/>
    <mergeCell ref="X831:X833"/>
    <mergeCell ref="Y831:Y833"/>
    <mergeCell ref="AA831:AA833"/>
    <mergeCell ref="AB831:AB833"/>
    <mergeCell ref="AC831:AC833"/>
    <mergeCell ref="M831:M833"/>
    <mergeCell ref="N831:N833"/>
    <mergeCell ref="O831:O833"/>
    <mergeCell ref="P831:P833"/>
    <mergeCell ref="Q831:Q833"/>
    <mergeCell ref="R831:R833"/>
    <mergeCell ref="AE834:AE835"/>
    <mergeCell ref="AF834:AF835"/>
    <mergeCell ref="AG834:AG835"/>
    <mergeCell ref="AH834:AH835"/>
    <mergeCell ref="AI834:AI835"/>
    <mergeCell ref="A836:A838"/>
    <mergeCell ref="X834:X835"/>
    <mergeCell ref="Y834:Y835"/>
    <mergeCell ref="AA834:AA835"/>
    <mergeCell ref="AB834:AB835"/>
    <mergeCell ref="AC834:AC835"/>
    <mergeCell ref="AD834:AD835"/>
    <mergeCell ref="N834:N835"/>
    <mergeCell ref="O834:O835"/>
    <mergeCell ref="P834:P835"/>
    <mergeCell ref="Q834:Q835"/>
    <mergeCell ref="R834:R835"/>
    <mergeCell ref="S834:S835"/>
    <mergeCell ref="H834:H835"/>
    <mergeCell ref="I834:I835"/>
    <mergeCell ref="J834:J835"/>
    <mergeCell ref="K834:K835"/>
    <mergeCell ref="L834:L835"/>
    <mergeCell ref="M834:M835"/>
    <mergeCell ref="B834:B835"/>
    <mergeCell ref="C834:C835"/>
    <mergeCell ref="D834:D835"/>
    <mergeCell ref="E834:E835"/>
    <mergeCell ref="F834:F835"/>
    <mergeCell ref="G834:G835"/>
    <mergeCell ref="A834:A835"/>
    <mergeCell ref="F839:F843"/>
    <mergeCell ref="G839:G843"/>
    <mergeCell ref="A839:A843"/>
    <mergeCell ref="AD836:AD838"/>
    <mergeCell ref="AE836:AE838"/>
    <mergeCell ref="AF836:AF838"/>
    <mergeCell ref="AG836:AG838"/>
    <mergeCell ref="AH836:AH838"/>
    <mergeCell ref="AI836:AI838"/>
    <mergeCell ref="S836:S838"/>
    <mergeCell ref="X836:X838"/>
    <mergeCell ref="Y836:Y838"/>
    <mergeCell ref="AA836:AA838"/>
    <mergeCell ref="AB836:AB838"/>
    <mergeCell ref="AC836:AC838"/>
    <mergeCell ref="M836:M838"/>
    <mergeCell ref="N836:N838"/>
    <mergeCell ref="O836:O838"/>
    <mergeCell ref="P836:P838"/>
    <mergeCell ref="Q836:Q838"/>
    <mergeCell ref="R836:R838"/>
    <mergeCell ref="G836:G838"/>
    <mergeCell ref="H836:H838"/>
    <mergeCell ref="I836:I838"/>
    <mergeCell ref="J836:J838"/>
    <mergeCell ref="K836:K838"/>
    <mergeCell ref="L836:L838"/>
    <mergeCell ref="B836:B838"/>
    <mergeCell ref="C836:C838"/>
    <mergeCell ref="D836:D838"/>
    <mergeCell ref="E836:E838"/>
    <mergeCell ref="F836:F838"/>
    <mergeCell ref="A844:A847"/>
    <mergeCell ref="T841:T842"/>
    <mergeCell ref="E842:E843"/>
    <mergeCell ref="Q842:Q843"/>
    <mergeCell ref="AE839:AE843"/>
    <mergeCell ref="AF839:AF843"/>
    <mergeCell ref="AG839:AG843"/>
    <mergeCell ref="AH839:AH843"/>
    <mergeCell ref="AI839:AI843"/>
    <mergeCell ref="AJ839:AJ843"/>
    <mergeCell ref="X839:X843"/>
    <mergeCell ref="Y839:Y843"/>
    <mergeCell ref="AA839:AA843"/>
    <mergeCell ref="AB839:AB843"/>
    <mergeCell ref="AC839:AC843"/>
    <mergeCell ref="AD839:AD843"/>
    <mergeCell ref="N839:N843"/>
    <mergeCell ref="O839:O843"/>
    <mergeCell ref="P839:P843"/>
    <mergeCell ref="Q839:Q841"/>
    <mergeCell ref="R839:R843"/>
    <mergeCell ref="S839:S843"/>
    <mergeCell ref="H839:H843"/>
    <mergeCell ref="I839:I843"/>
    <mergeCell ref="J839:J843"/>
    <mergeCell ref="K839:K843"/>
    <mergeCell ref="L839:L843"/>
    <mergeCell ref="M839:M843"/>
    <mergeCell ref="B839:B843"/>
    <mergeCell ref="C839:C843"/>
    <mergeCell ref="D839:D843"/>
    <mergeCell ref="E839:E841"/>
    <mergeCell ref="E848:E851"/>
    <mergeCell ref="F848:F851"/>
    <mergeCell ref="AE844:AE847"/>
    <mergeCell ref="AF844:AF847"/>
    <mergeCell ref="AG844:AG847"/>
    <mergeCell ref="AH844:AH847"/>
    <mergeCell ref="AI844:AI847"/>
    <mergeCell ref="A848:A851"/>
    <mergeCell ref="X844:X847"/>
    <mergeCell ref="Y844:Y847"/>
    <mergeCell ref="AA844:AA847"/>
    <mergeCell ref="AB844:AB847"/>
    <mergeCell ref="AC844:AC847"/>
    <mergeCell ref="AD844:AD847"/>
    <mergeCell ref="N844:N847"/>
    <mergeCell ref="O844:O847"/>
    <mergeCell ref="P844:P847"/>
    <mergeCell ref="Q844:Q847"/>
    <mergeCell ref="R844:R847"/>
    <mergeCell ref="S844:S847"/>
    <mergeCell ref="H844:H847"/>
    <mergeCell ref="I844:I847"/>
    <mergeCell ref="J844:J847"/>
    <mergeCell ref="K844:K847"/>
    <mergeCell ref="L844:L847"/>
    <mergeCell ref="M844:M847"/>
    <mergeCell ref="B844:B847"/>
    <mergeCell ref="C844:C847"/>
    <mergeCell ref="D844:D847"/>
    <mergeCell ref="E844:E847"/>
    <mergeCell ref="F844:F847"/>
    <mergeCell ref="G844:G847"/>
    <mergeCell ref="AJ848:AJ851"/>
    <mergeCell ref="A852:A854"/>
    <mergeCell ref="B852:B854"/>
    <mergeCell ref="C852:C854"/>
    <mergeCell ref="D852:D854"/>
    <mergeCell ref="AD848:AD851"/>
    <mergeCell ref="AE848:AE851"/>
    <mergeCell ref="AF848:AF851"/>
    <mergeCell ref="AG848:AG851"/>
    <mergeCell ref="AH848:AH851"/>
    <mergeCell ref="AI848:AI851"/>
    <mergeCell ref="S848:S851"/>
    <mergeCell ref="X848:X851"/>
    <mergeCell ref="Y848:Y851"/>
    <mergeCell ref="AA848:AA851"/>
    <mergeCell ref="AB848:AB851"/>
    <mergeCell ref="AC848:AC851"/>
    <mergeCell ref="M848:M851"/>
    <mergeCell ref="N848:N851"/>
    <mergeCell ref="O848:O851"/>
    <mergeCell ref="P848:P851"/>
    <mergeCell ref="Q848:Q851"/>
    <mergeCell ref="R848:R851"/>
    <mergeCell ref="G848:G851"/>
    <mergeCell ref="H848:H851"/>
    <mergeCell ref="I848:I851"/>
    <mergeCell ref="J848:J851"/>
    <mergeCell ref="K848:K851"/>
    <mergeCell ref="L848:L851"/>
    <mergeCell ref="B848:B851"/>
    <mergeCell ref="C848:C851"/>
    <mergeCell ref="D848:D851"/>
    <mergeCell ref="I855:I857"/>
    <mergeCell ref="AH852:AH854"/>
    <mergeCell ref="AI852:AI854"/>
    <mergeCell ref="A855:A857"/>
    <mergeCell ref="B855:B857"/>
    <mergeCell ref="C855:C857"/>
    <mergeCell ref="AB852:AB854"/>
    <mergeCell ref="AC852:AC854"/>
    <mergeCell ref="AD852:AD854"/>
    <mergeCell ref="AE852:AE854"/>
    <mergeCell ref="AF852:AF854"/>
    <mergeCell ref="AG852:AG854"/>
    <mergeCell ref="Q852:Q854"/>
    <mergeCell ref="R852:R854"/>
    <mergeCell ref="S852:S854"/>
    <mergeCell ref="X852:X854"/>
    <mergeCell ref="Y852:Y854"/>
    <mergeCell ref="AA852:AA854"/>
    <mergeCell ref="K852:K854"/>
    <mergeCell ref="L852:L854"/>
    <mergeCell ref="M852:M854"/>
    <mergeCell ref="N852:N854"/>
    <mergeCell ref="O852:O854"/>
    <mergeCell ref="P852:P854"/>
    <mergeCell ref="E852:E854"/>
    <mergeCell ref="F852:F854"/>
    <mergeCell ref="G852:G854"/>
    <mergeCell ref="H852:H854"/>
    <mergeCell ref="I852:I854"/>
    <mergeCell ref="J852:J854"/>
    <mergeCell ref="E858:E860"/>
    <mergeCell ref="F858:F860"/>
    <mergeCell ref="G858:G860"/>
    <mergeCell ref="H858:H860"/>
    <mergeCell ref="AG855:AG857"/>
    <mergeCell ref="AH855:AH857"/>
    <mergeCell ref="AI855:AI857"/>
    <mergeCell ref="A858:A860"/>
    <mergeCell ref="B858:B860"/>
    <mergeCell ref="AA855:AA857"/>
    <mergeCell ref="AB855:AB857"/>
    <mergeCell ref="AC855:AC857"/>
    <mergeCell ref="AD855:AD857"/>
    <mergeCell ref="AE855:AE857"/>
    <mergeCell ref="AF855:AF857"/>
    <mergeCell ref="P855:P857"/>
    <mergeCell ref="Q855:Q857"/>
    <mergeCell ref="R855:R857"/>
    <mergeCell ref="S855:S857"/>
    <mergeCell ref="X855:X857"/>
    <mergeCell ref="Y855:Y857"/>
    <mergeCell ref="J855:J857"/>
    <mergeCell ref="K855:K857"/>
    <mergeCell ref="L855:L857"/>
    <mergeCell ref="M855:M857"/>
    <mergeCell ref="N855:N857"/>
    <mergeCell ref="O855:O857"/>
    <mergeCell ref="D855:D857"/>
    <mergeCell ref="E855:E857"/>
    <mergeCell ref="F855:F857"/>
    <mergeCell ref="G855:G857"/>
    <mergeCell ref="H855:H857"/>
    <mergeCell ref="M862:M864"/>
    <mergeCell ref="B862:B872"/>
    <mergeCell ref="C862:C872"/>
    <mergeCell ref="D862:D872"/>
    <mergeCell ref="E862:E870"/>
    <mergeCell ref="F862:F872"/>
    <mergeCell ref="G862:G872"/>
    <mergeCell ref="AF858:AF860"/>
    <mergeCell ref="AG858:AG860"/>
    <mergeCell ref="AH858:AH860"/>
    <mergeCell ref="AI858:AI860"/>
    <mergeCell ref="A862:A872"/>
    <mergeCell ref="Y858:Y860"/>
    <mergeCell ref="AA858:AA860"/>
    <mergeCell ref="AB858:AB860"/>
    <mergeCell ref="AC858:AC860"/>
    <mergeCell ref="AD858:AD860"/>
    <mergeCell ref="AE858:AE860"/>
    <mergeCell ref="O858:O860"/>
    <mergeCell ref="P858:P860"/>
    <mergeCell ref="Q858:Q860"/>
    <mergeCell ref="R858:R860"/>
    <mergeCell ref="S858:S860"/>
    <mergeCell ref="X858:X860"/>
    <mergeCell ref="I858:I860"/>
    <mergeCell ref="J858:J860"/>
    <mergeCell ref="K858:K860"/>
    <mergeCell ref="L858:L860"/>
    <mergeCell ref="M858:M860"/>
    <mergeCell ref="N858:N860"/>
    <mergeCell ref="C858:C860"/>
    <mergeCell ref="D858:D860"/>
    <mergeCell ref="AE862:AE864"/>
    <mergeCell ref="AF862:AF872"/>
    <mergeCell ref="AG862:AG872"/>
    <mergeCell ref="AH862:AH872"/>
    <mergeCell ref="AI862:AI872"/>
    <mergeCell ref="H865:H870"/>
    <mergeCell ref="I865:I867"/>
    <mergeCell ref="J865:J867"/>
    <mergeCell ref="K865:K870"/>
    <mergeCell ref="M865:M870"/>
    <mergeCell ref="X862:X864"/>
    <mergeCell ref="Y862:Y872"/>
    <mergeCell ref="AA862:AA864"/>
    <mergeCell ref="AB862:AB872"/>
    <mergeCell ref="AC862:AC864"/>
    <mergeCell ref="AD862:AD864"/>
    <mergeCell ref="AD871:AD872"/>
    <mergeCell ref="N862:N864"/>
    <mergeCell ref="O862:O864"/>
    <mergeCell ref="P862:P864"/>
    <mergeCell ref="Q862:Q864"/>
    <mergeCell ref="R862:R872"/>
    <mergeCell ref="S862:S872"/>
    <mergeCell ref="N865:N870"/>
    <mergeCell ref="O865:O867"/>
    <mergeCell ref="P865:P867"/>
    <mergeCell ref="Q865:Q867"/>
    <mergeCell ref="H862:H864"/>
    <mergeCell ref="I862:I864"/>
    <mergeCell ref="J862:J864"/>
    <mergeCell ref="K862:K864"/>
    <mergeCell ref="L862:L872"/>
    <mergeCell ref="AE868:AE870"/>
    <mergeCell ref="T869:T870"/>
    <mergeCell ref="E871:E872"/>
    <mergeCell ref="H871:H872"/>
    <mergeCell ref="I871:I872"/>
    <mergeCell ref="J871:J872"/>
    <mergeCell ref="K871:K872"/>
    <mergeCell ref="M871:M872"/>
    <mergeCell ref="N871:N872"/>
    <mergeCell ref="AE865:AE867"/>
    <mergeCell ref="T867:T868"/>
    <mergeCell ref="I868:I870"/>
    <mergeCell ref="J868:J870"/>
    <mergeCell ref="O868:O870"/>
    <mergeCell ref="P868:P870"/>
    <mergeCell ref="Q868:Q870"/>
    <mergeCell ref="AA868:AA870"/>
    <mergeCell ref="AC868:AC870"/>
    <mergeCell ref="T865:T866"/>
    <mergeCell ref="X865:X870"/>
    <mergeCell ref="AA865:AA867"/>
    <mergeCell ref="AC865:AC867"/>
    <mergeCell ref="AD865:AD867"/>
    <mergeCell ref="AD868:AD870"/>
    <mergeCell ref="V867:V868"/>
    <mergeCell ref="V869:V870"/>
    <mergeCell ref="N873:N877"/>
    <mergeCell ref="O873:O877"/>
    <mergeCell ref="P873:P877"/>
    <mergeCell ref="E873:E882"/>
    <mergeCell ref="F873:F882"/>
    <mergeCell ref="G873:G882"/>
    <mergeCell ref="H873:H877"/>
    <mergeCell ref="I873:I877"/>
    <mergeCell ref="J873:J877"/>
    <mergeCell ref="AE871:AE872"/>
    <mergeCell ref="A873:A882"/>
    <mergeCell ref="B873:B882"/>
    <mergeCell ref="C873:C882"/>
    <mergeCell ref="D873:D882"/>
    <mergeCell ref="O871:O872"/>
    <mergeCell ref="P871:P872"/>
    <mergeCell ref="Q871:Q872"/>
    <mergeCell ref="X871:X872"/>
    <mergeCell ref="AA871:AA872"/>
    <mergeCell ref="AC871:AC872"/>
    <mergeCell ref="AH873:AH882"/>
    <mergeCell ref="AI873:AI882"/>
    <mergeCell ref="H878:H882"/>
    <mergeCell ref="I878:I882"/>
    <mergeCell ref="J878:J882"/>
    <mergeCell ref="K878:K882"/>
    <mergeCell ref="M878:M882"/>
    <mergeCell ref="N878:N882"/>
    <mergeCell ref="O878:O882"/>
    <mergeCell ref="P878:P882"/>
    <mergeCell ref="AB873:AB877"/>
    <mergeCell ref="AC873:AC877"/>
    <mergeCell ref="AD873:AD877"/>
    <mergeCell ref="AE873:AE877"/>
    <mergeCell ref="AF873:AF882"/>
    <mergeCell ref="AG873:AG882"/>
    <mergeCell ref="AB878:AB882"/>
    <mergeCell ref="AC878:AC882"/>
    <mergeCell ref="AD878:AD882"/>
    <mergeCell ref="AE878:AE882"/>
    <mergeCell ref="Q873:Q877"/>
    <mergeCell ref="R873:R882"/>
    <mergeCell ref="S873:S882"/>
    <mergeCell ref="X873:X877"/>
    <mergeCell ref="Y873:Y882"/>
    <mergeCell ref="AA873:AA877"/>
    <mergeCell ref="Q878:Q882"/>
    <mergeCell ref="X878:X882"/>
    <mergeCell ref="AA878:AA882"/>
    <mergeCell ref="K873:K877"/>
    <mergeCell ref="L873:L882"/>
    <mergeCell ref="M873:M877"/>
    <mergeCell ref="AI883:AI891"/>
    <mergeCell ref="H886:H888"/>
    <mergeCell ref="I886:I888"/>
    <mergeCell ref="J886:J888"/>
    <mergeCell ref="K886:K888"/>
    <mergeCell ref="M886:M888"/>
    <mergeCell ref="X883:X885"/>
    <mergeCell ref="Y883:Y891"/>
    <mergeCell ref="AA883:AA885"/>
    <mergeCell ref="AB883:AB891"/>
    <mergeCell ref="AC883:AC885"/>
    <mergeCell ref="AD883:AD885"/>
    <mergeCell ref="X886:X888"/>
    <mergeCell ref="AA886:AA888"/>
    <mergeCell ref="AC886:AC888"/>
    <mergeCell ref="AD886:AD888"/>
    <mergeCell ref="N883:N885"/>
    <mergeCell ref="O883:O885"/>
    <mergeCell ref="P883:P885"/>
    <mergeCell ref="Q883:Q885"/>
    <mergeCell ref="R883:R891"/>
    <mergeCell ref="S883:S891"/>
    <mergeCell ref="N886:N888"/>
    <mergeCell ref="O886:O888"/>
    <mergeCell ref="P886:P888"/>
    <mergeCell ref="Q886:Q888"/>
    <mergeCell ref="H883:H885"/>
    <mergeCell ref="I883:I885"/>
    <mergeCell ref="J883:J885"/>
    <mergeCell ref="K883:K885"/>
    <mergeCell ref="L883:L891"/>
    <mergeCell ref="AC889:AC891"/>
    <mergeCell ref="AD889:AD891"/>
    <mergeCell ref="AE889:AE891"/>
    <mergeCell ref="AE886:AE888"/>
    <mergeCell ref="H889:H891"/>
    <mergeCell ref="I889:I891"/>
    <mergeCell ref="J889:J891"/>
    <mergeCell ref="K889:K891"/>
    <mergeCell ref="M889:M891"/>
    <mergeCell ref="N889:N891"/>
    <mergeCell ref="O889:O891"/>
    <mergeCell ref="P889:P891"/>
    <mergeCell ref="AE883:AE885"/>
    <mergeCell ref="AF883:AF891"/>
    <mergeCell ref="AG883:AG891"/>
    <mergeCell ref="M883:M885"/>
    <mergeCell ref="AH883:AH891"/>
    <mergeCell ref="B892:B896"/>
    <mergeCell ref="C892:C896"/>
    <mergeCell ref="D892:D896"/>
    <mergeCell ref="E892:E895"/>
    <mergeCell ref="F892:F896"/>
    <mergeCell ref="G892:G896"/>
    <mergeCell ref="A892:A896"/>
    <mergeCell ref="Q889:Q891"/>
    <mergeCell ref="B883:B891"/>
    <mergeCell ref="C883:C891"/>
    <mergeCell ref="D883:D891"/>
    <mergeCell ref="E883:E891"/>
    <mergeCell ref="F883:F891"/>
    <mergeCell ref="G883:G891"/>
    <mergeCell ref="A883:A891"/>
    <mergeCell ref="X889:X891"/>
    <mergeCell ref="AA889:AA891"/>
    <mergeCell ref="N892:N893"/>
    <mergeCell ref="O892:O893"/>
    <mergeCell ref="P892:P893"/>
    <mergeCell ref="Q892:Q893"/>
    <mergeCell ref="R892:R896"/>
    <mergeCell ref="S892:S896"/>
    <mergeCell ref="N894:N895"/>
    <mergeCell ref="O894:O895"/>
    <mergeCell ref="P894:P895"/>
    <mergeCell ref="Q894:Q895"/>
    <mergeCell ref="H892:H893"/>
    <mergeCell ref="I892:I893"/>
    <mergeCell ref="J892:J893"/>
    <mergeCell ref="K892:K893"/>
    <mergeCell ref="L892:L896"/>
    <mergeCell ref="M892:M893"/>
    <mergeCell ref="M894:M895"/>
    <mergeCell ref="F897:F899"/>
    <mergeCell ref="G897:G899"/>
    <mergeCell ref="H897:H899"/>
    <mergeCell ref="I897:I899"/>
    <mergeCell ref="J897:J899"/>
    <mergeCell ref="AH900:AH916"/>
    <mergeCell ref="AI900:AI916"/>
    <mergeCell ref="H909:H916"/>
    <mergeCell ref="AE894:AE895"/>
    <mergeCell ref="A897:A899"/>
    <mergeCell ref="B897:B899"/>
    <mergeCell ref="C897:C899"/>
    <mergeCell ref="D897:D899"/>
    <mergeCell ref="AE892:AE893"/>
    <mergeCell ref="AF892:AF896"/>
    <mergeCell ref="AG892:AG896"/>
    <mergeCell ref="AH892:AH896"/>
    <mergeCell ref="AI892:AI896"/>
    <mergeCell ref="H894:H895"/>
    <mergeCell ref="I894:I895"/>
    <mergeCell ref="J894:J895"/>
    <mergeCell ref="K894:K895"/>
    <mergeCell ref="X892:X893"/>
    <mergeCell ref="Y892:Y896"/>
    <mergeCell ref="AA892:AA893"/>
    <mergeCell ref="AB892:AB896"/>
    <mergeCell ref="AC892:AC893"/>
    <mergeCell ref="AD892:AD893"/>
    <mergeCell ref="X894:X895"/>
    <mergeCell ref="AA894:AA895"/>
    <mergeCell ref="AC894:AC895"/>
    <mergeCell ref="AD894:AD895"/>
    <mergeCell ref="P909:P916"/>
    <mergeCell ref="Q909:Q916"/>
    <mergeCell ref="X909:X916"/>
    <mergeCell ref="J900:J908"/>
    <mergeCell ref="K900:K908"/>
    <mergeCell ref="L900:L916"/>
    <mergeCell ref="M900:M908"/>
    <mergeCell ref="N900:N908"/>
    <mergeCell ref="AH897:AH899"/>
    <mergeCell ref="AI897:AI899"/>
    <mergeCell ref="A900:A916"/>
    <mergeCell ref="B900:B916"/>
    <mergeCell ref="C900:C916"/>
    <mergeCell ref="AB897:AB899"/>
    <mergeCell ref="AC897:AC899"/>
    <mergeCell ref="AD897:AD899"/>
    <mergeCell ref="AE897:AE899"/>
    <mergeCell ref="AF897:AF899"/>
    <mergeCell ref="AG897:AG899"/>
    <mergeCell ref="Q897:Q899"/>
    <mergeCell ref="R897:R899"/>
    <mergeCell ref="S897:S899"/>
    <mergeCell ref="X897:X899"/>
    <mergeCell ref="Y897:Y899"/>
    <mergeCell ref="AA897:AA899"/>
    <mergeCell ref="K897:K899"/>
    <mergeCell ref="L897:L899"/>
    <mergeCell ref="M897:M899"/>
    <mergeCell ref="N897:N899"/>
    <mergeCell ref="O897:O899"/>
    <mergeCell ref="P897:P899"/>
    <mergeCell ref="E897:E899"/>
    <mergeCell ref="A917:A920"/>
    <mergeCell ref="AG900:AG916"/>
    <mergeCell ref="O900:O908"/>
    <mergeCell ref="O909:O916"/>
    <mergeCell ref="D900:D916"/>
    <mergeCell ref="E900:E916"/>
    <mergeCell ref="F900:F916"/>
    <mergeCell ref="G900:G916"/>
    <mergeCell ref="H900:H908"/>
    <mergeCell ref="I900:I908"/>
    <mergeCell ref="AE919:AE920"/>
    <mergeCell ref="I909:I916"/>
    <mergeCell ref="J909:J916"/>
    <mergeCell ref="K909:K916"/>
    <mergeCell ref="M909:M916"/>
    <mergeCell ref="N909:N916"/>
    <mergeCell ref="AA900:AA908"/>
    <mergeCell ref="AB900:AB916"/>
    <mergeCell ref="AC900:AC908"/>
    <mergeCell ref="AD900:AD908"/>
    <mergeCell ref="AE900:AE908"/>
    <mergeCell ref="AF900:AF916"/>
    <mergeCell ref="AA909:AA916"/>
    <mergeCell ref="AC909:AC916"/>
    <mergeCell ref="AD909:AD916"/>
    <mergeCell ref="AE909:AE916"/>
    <mergeCell ref="P900:P908"/>
    <mergeCell ref="Q900:Q908"/>
    <mergeCell ref="R900:R916"/>
    <mergeCell ref="S900:S916"/>
    <mergeCell ref="X900:X908"/>
    <mergeCell ref="Y900:Y916"/>
    <mergeCell ref="O919:O920"/>
    <mergeCell ref="P919:P920"/>
    <mergeCell ref="Q919:Q920"/>
    <mergeCell ref="H917:H918"/>
    <mergeCell ref="I917:I918"/>
    <mergeCell ref="J917:J918"/>
    <mergeCell ref="K917:K918"/>
    <mergeCell ref="L917:L920"/>
    <mergeCell ref="M917:M918"/>
    <mergeCell ref="B917:B920"/>
    <mergeCell ref="C917:C920"/>
    <mergeCell ref="D917:D920"/>
    <mergeCell ref="E917:E920"/>
    <mergeCell ref="F917:F920"/>
    <mergeCell ref="G917:G920"/>
    <mergeCell ref="G921:G926"/>
    <mergeCell ref="H921:H926"/>
    <mergeCell ref="I921:I926"/>
    <mergeCell ref="J921:J926"/>
    <mergeCell ref="A921:A926"/>
    <mergeCell ref="B921:B926"/>
    <mergeCell ref="C921:C926"/>
    <mergeCell ref="D921:D926"/>
    <mergeCell ref="AE917:AE918"/>
    <mergeCell ref="AF917:AF920"/>
    <mergeCell ref="AG917:AG920"/>
    <mergeCell ref="AH917:AH920"/>
    <mergeCell ref="AI917:AI920"/>
    <mergeCell ref="H919:H920"/>
    <mergeCell ref="I919:I920"/>
    <mergeCell ref="J919:J920"/>
    <mergeCell ref="K919:K920"/>
    <mergeCell ref="M919:M920"/>
    <mergeCell ref="X917:X918"/>
    <mergeCell ref="Y917:Y920"/>
    <mergeCell ref="AA917:AA918"/>
    <mergeCell ref="AB917:AB920"/>
    <mergeCell ref="AC917:AC918"/>
    <mergeCell ref="AD917:AD918"/>
    <mergeCell ref="X919:X920"/>
    <mergeCell ref="AA919:AA920"/>
    <mergeCell ref="AC919:AC920"/>
    <mergeCell ref="AD919:AD920"/>
    <mergeCell ref="N917:N918"/>
    <mergeCell ref="O917:O918"/>
    <mergeCell ref="P917:P918"/>
    <mergeCell ref="Q917:Q918"/>
    <mergeCell ref="R917:R920"/>
    <mergeCell ref="S917:S920"/>
    <mergeCell ref="N919:N920"/>
    <mergeCell ref="AH921:AH926"/>
    <mergeCell ref="M927:M953"/>
    <mergeCell ref="N927:N953"/>
    <mergeCell ref="O927:O953"/>
    <mergeCell ref="D927:D953"/>
    <mergeCell ref="E927:E953"/>
    <mergeCell ref="F927:F953"/>
    <mergeCell ref="G927:G953"/>
    <mergeCell ref="H927:H953"/>
    <mergeCell ref="AI921:AI926"/>
    <mergeCell ref="A927:A953"/>
    <mergeCell ref="B927:B953"/>
    <mergeCell ref="C927:C953"/>
    <mergeCell ref="AB921:AB926"/>
    <mergeCell ref="AC921:AC926"/>
    <mergeCell ref="AD921:AD926"/>
    <mergeCell ref="AE921:AE926"/>
    <mergeCell ref="AF921:AF926"/>
    <mergeCell ref="AG921:AG926"/>
    <mergeCell ref="Q921:Q926"/>
    <mergeCell ref="R921:R926"/>
    <mergeCell ref="S921:S926"/>
    <mergeCell ref="X921:X926"/>
    <mergeCell ref="Y921:Y926"/>
    <mergeCell ref="AA921:AA926"/>
    <mergeCell ref="K921:K926"/>
    <mergeCell ref="L921:L926"/>
    <mergeCell ref="M921:M926"/>
    <mergeCell ref="N921:N926"/>
    <mergeCell ref="O921:O926"/>
    <mergeCell ref="P921:P926"/>
    <mergeCell ref="E921:E926"/>
    <mergeCell ref="F921:F926"/>
    <mergeCell ref="B954:B959"/>
    <mergeCell ref="C954:C959"/>
    <mergeCell ref="D954:D959"/>
    <mergeCell ref="E954:E957"/>
    <mergeCell ref="F954:F959"/>
    <mergeCell ref="E958:E959"/>
    <mergeCell ref="T949:T953"/>
    <mergeCell ref="I927:I953"/>
    <mergeCell ref="A954:A959"/>
    <mergeCell ref="AI927:AI953"/>
    <mergeCell ref="T936:T942"/>
    <mergeCell ref="AC927:AC953"/>
    <mergeCell ref="AD927:AD953"/>
    <mergeCell ref="AE927:AE953"/>
    <mergeCell ref="AF927:AF953"/>
    <mergeCell ref="AG927:AG953"/>
    <mergeCell ref="AH927:AH953"/>
    <mergeCell ref="X927:X953"/>
    <mergeCell ref="Y927:Y953"/>
    <mergeCell ref="AA927:AA953"/>
    <mergeCell ref="AB927:AB953"/>
    <mergeCell ref="V927:V935"/>
    <mergeCell ref="V936:V942"/>
    <mergeCell ref="P927:P953"/>
    <mergeCell ref="Q927:Q953"/>
    <mergeCell ref="R927:R953"/>
    <mergeCell ref="S927:S953"/>
    <mergeCell ref="T927:T935"/>
    <mergeCell ref="T944:T948"/>
    <mergeCell ref="J927:J953"/>
    <mergeCell ref="K927:K953"/>
    <mergeCell ref="L927:L953"/>
    <mergeCell ref="M954:M957"/>
    <mergeCell ref="N954:N957"/>
    <mergeCell ref="O954:O957"/>
    <mergeCell ref="P954:P957"/>
    <mergeCell ref="Q954:Q957"/>
    <mergeCell ref="R954:R959"/>
    <mergeCell ref="M958:M959"/>
    <mergeCell ref="N958:N959"/>
    <mergeCell ref="O958:O959"/>
    <mergeCell ref="P958:P959"/>
    <mergeCell ref="G954:G959"/>
    <mergeCell ref="H954:H957"/>
    <mergeCell ref="I954:I957"/>
    <mergeCell ref="J954:J957"/>
    <mergeCell ref="K954:K957"/>
    <mergeCell ref="L954:L959"/>
    <mergeCell ref="H958:H959"/>
    <mergeCell ref="I958:I959"/>
    <mergeCell ref="J958:J959"/>
    <mergeCell ref="K958:K959"/>
    <mergeCell ref="Q958:Q959"/>
    <mergeCell ref="X958:X959"/>
    <mergeCell ref="AA958:AA959"/>
    <mergeCell ref="AC958:AC959"/>
    <mergeCell ref="AD958:AD959"/>
    <mergeCell ref="AE958:AE959"/>
    <mergeCell ref="AD954:AD957"/>
    <mergeCell ref="AE954:AE957"/>
    <mergeCell ref="AF954:AF959"/>
    <mergeCell ref="AG954:AG959"/>
    <mergeCell ref="AH954:AH959"/>
    <mergeCell ref="AI954:AI959"/>
    <mergeCell ref="S954:S959"/>
    <mergeCell ref="X954:X957"/>
    <mergeCell ref="Y954:Y959"/>
    <mergeCell ref="AA954:AA957"/>
    <mergeCell ref="AB954:AB959"/>
    <mergeCell ref="AC954:AC957"/>
    <mergeCell ref="AH960:AH964"/>
    <mergeCell ref="AI960:AI964"/>
    <mergeCell ref="AJ960:AJ964"/>
    <mergeCell ref="X960:X964"/>
    <mergeCell ref="Y960:Y964"/>
    <mergeCell ref="AA960:AA964"/>
    <mergeCell ref="AB960:AB964"/>
    <mergeCell ref="AC960:AC964"/>
    <mergeCell ref="AD960:AD964"/>
    <mergeCell ref="N960:N964"/>
    <mergeCell ref="O960:O964"/>
    <mergeCell ref="P960:P964"/>
    <mergeCell ref="Q960:Q964"/>
    <mergeCell ref="R960:R964"/>
    <mergeCell ref="S960:S964"/>
    <mergeCell ref="H960:H964"/>
    <mergeCell ref="I960:I964"/>
    <mergeCell ref="J960:J964"/>
    <mergeCell ref="K960:K964"/>
    <mergeCell ref="L960:L964"/>
    <mergeCell ref="M960:M964"/>
    <mergeCell ref="I968:I974"/>
    <mergeCell ref="J968:J974"/>
    <mergeCell ref="K968:K974"/>
    <mergeCell ref="L968:L983"/>
    <mergeCell ref="H975:H981"/>
    <mergeCell ref="I975:I981"/>
    <mergeCell ref="J975:J981"/>
    <mergeCell ref="K975:K981"/>
    <mergeCell ref="Q975:Q981"/>
    <mergeCell ref="A965:A966"/>
    <mergeCell ref="B965:B966"/>
    <mergeCell ref="H965:H966"/>
    <mergeCell ref="I965:I966"/>
    <mergeCell ref="A968:A983"/>
    <mergeCell ref="AE960:AE964"/>
    <mergeCell ref="AF960:AF964"/>
    <mergeCell ref="AG960:AG964"/>
    <mergeCell ref="B960:B964"/>
    <mergeCell ref="C960:C964"/>
    <mergeCell ref="D960:D964"/>
    <mergeCell ref="E960:E964"/>
    <mergeCell ref="F960:F964"/>
    <mergeCell ref="G960:G964"/>
    <mergeCell ref="A960:A964"/>
    <mergeCell ref="AD975:AD981"/>
    <mergeCell ref="AE975:AE981"/>
    <mergeCell ref="AD968:AD974"/>
    <mergeCell ref="AE968:AE974"/>
    <mergeCell ref="AF968:AF983"/>
    <mergeCell ref="AG968:AG983"/>
    <mergeCell ref="AH968:AH983"/>
    <mergeCell ref="AI968:AI983"/>
    <mergeCell ref="AD982:AD983"/>
    <mergeCell ref="AE982:AE983"/>
    <mergeCell ref="S968:S983"/>
    <mergeCell ref="X968:X974"/>
    <mergeCell ref="Y968:Y983"/>
    <mergeCell ref="AA968:AA974"/>
    <mergeCell ref="AB968:AB983"/>
    <mergeCell ref="AC968:AC974"/>
    <mergeCell ref="M968:M974"/>
    <mergeCell ref="N968:N974"/>
    <mergeCell ref="O968:O974"/>
    <mergeCell ref="P968:P974"/>
    <mergeCell ref="Q968:Q974"/>
    <mergeCell ref="R968:R983"/>
    <mergeCell ref="M975:M981"/>
    <mergeCell ref="N975:N981"/>
    <mergeCell ref="O975:O981"/>
    <mergeCell ref="P975:P981"/>
    <mergeCell ref="B984:B989"/>
    <mergeCell ref="C984:C989"/>
    <mergeCell ref="D984:D989"/>
    <mergeCell ref="E984:E987"/>
    <mergeCell ref="F984:F989"/>
    <mergeCell ref="G984:G989"/>
    <mergeCell ref="E988:E989"/>
    <mergeCell ref="A984:A989"/>
    <mergeCell ref="O982:O983"/>
    <mergeCell ref="P982:P983"/>
    <mergeCell ref="Q982:Q983"/>
    <mergeCell ref="X982:X983"/>
    <mergeCell ref="AA982:AA983"/>
    <mergeCell ref="AC982:AC983"/>
    <mergeCell ref="H982:H983"/>
    <mergeCell ref="I982:I983"/>
    <mergeCell ref="J982:J983"/>
    <mergeCell ref="K982:K983"/>
    <mergeCell ref="M982:M983"/>
    <mergeCell ref="N982:N983"/>
    <mergeCell ref="B968:B983"/>
    <mergeCell ref="C968:C983"/>
    <mergeCell ref="D968:D983"/>
    <mergeCell ref="E968:E981"/>
    <mergeCell ref="F968:F983"/>
    <mergeCell ref="E982:E983"/>
    <mergeCell ref="AC988:AC989"/>
    <mergeCell ref="X975:X981"/>
    <mergeCell ref="AA975:AA981"/>
    <mergeCell ref="AC975:AC981"/>
    <mergeCell ref="G968:G983"/>
    <mergeCell ref="H968:H974"/>
    <mergeCell ref="AD988:AD989"/>
    <mergeCell ref="AE988:AE989"/>
    <mergeCell ref="T984:T985"/>
    <mergeCell ref="X984:X987"/>
    <mergeCell ref="Y984:Y989"/>
    <mergeCell ref="AA984:AA985"/>
    <mergeCell ref="AB984:AB989"/>
    <mergeCell ref="AA988:AA989"/>
    <mergeCell ref="N984:N987"/>
    <mergeCell ref="O984:O985"/>
    <mergeCell ref="P984:P985"/>
    <mergeCell ref="Q984:Q985"/>
    <mergeCell ref="R984:R989"/>
    <mergeCell ref="S984:S989"/>
    <mergeCell ref="H984:H987"/>
    <mergeCell ref="I984:I985"/>
    <mergeCell ref="J984:J985"/>
    <mergeCell ref="K984:K987"/>
    <mergeCell ref="L984:L989"/>
    <mergeCell ref="M984:M987"/>
    <mergeCell ref="H988:H989"/>
    <mergeCell ref="I988:I989"/>
    <mergeCell ref="J988:J989"/>
    <mergeCell ref="K988:K989"/>
    <mergeCell ref="K990:K995"/>
    <mergeCell ref="L990:L995"/>
    <mergeCell ref="M990:M995"/>
    <mergeCell ref="B990:B995"/>
    <mergeCell ref="C990:C995"/>
    <mergeCell ref="D990:D995"/>
    <mergeCell ref="E990:E995"/>
    <mergeCell ref="F990:F995"/>
    <mergeCell ref="G990:G995"/>
    <mergeCell ref="A990:A995"/>
    <mergeCell ref="M988:M989"/>
    <mergeCell ref="N988:N989"/>
    <mergeCell ref="O988:O989"/>
    <mergeCell ref="P988:P989"/>
    <mergeCell ref="Q988:Q989"/>
    <mergeCell ref="X988:X989"/>
    <mergeCell ref="AI984:AI989"/>
    <mergeCell ref="I986:I987"/>
    <mergeCell ref="J986:J987"/>
    <mergeCell ref="O986:O987"/>
    <mergeCell ref="P986:P987"/>
    <mergeCell ref="Q986:Q987"/>
    <mergeCell ref="T986:T987"/>
    <mergeCell ref="AA986:AA987"/>
    <mergeCell ref="AC986:AC987"/>
    <mergeCell ref="AC984:AC985"/>
    <mergeCell ref="AD984:AD987"/>
    <mergeCell ref="AE984:AE985"/>
    <mergeCell ref="AF984:AF989"/>
    <mergeCell ref="AG984:AG989"/>
    <mergeCell ref="AH984:AH989"/>
    <mergeCell ref="AE986:AE987"/>
    <mergeCell ref="G996:G997"/>
    <mergeCell ref="H996:H997"/>
    <mergeCell ref="I996:I997"/>
    <mergeCell ref="J996:J997"/>
    <mergeCell ref="K996:K997"/>
    <mergeCell ref="L996:L997"/>
    <mergeCell ref="B996:B997"/>
    <mergeCell ref="C996:C997"/>
    <mergeCell ref="D996:D997"/>
    <mergeCell ref="E996:E997"/>
    <mergeCell ref="F996:F997"/>
    <mergeCell ref="AE990:AE995"/>
    <mergeCell ref="AF990:AF995"/>
    <mergeCell ref="AG990:AG995"/>
    <mergeCell ref="AH990:AH995"/>
    <mergeCell ref="AI990:AI995"/>
    <mergeCell ref="A996:A997"/>
    <mergeCell ref="X990:X995"/>
    <mergeCell ref="Y990:Y995"/>
    <mergeCell ref="AA990:AA995"/>
    <mergeCell ref="AB990:AB995"/>
    <mergeCell ref="AC990:AC995"/>
    <mergeCell ref="AD990:AD995"/>
    <mergeCell ref="N990:N995"/>
    <mergeCell ref="O990:O995"/>
    <mergeCell ref="P990:P995"/>
    <mergeCell ref="Q990:Q995"/>
    <mergeCell ref="R990:R995"/>
    <mergeCell ref="S990:S995"/>
    <mergeCell ref="H990:H995"/>
    <mergeCell ref="I990:I995"/>
    <mergeCell ref="J990:J995"/>
    <mergeCell ref="AD996:AD997"/>
    <mergeCell ref="AE996:AE997"/>
    <mergeCell ref="AF996:AF997"/>
    <mergeCell ref="AG996:AG997"/>
    <mergeCell ref="AH996:AH997"/>
    <mergeCell ref="AI996:AI997"/>
    <mergeCell ref="S996:S997"/>
    <mergeCell ref="X996:X997"/>
    <mergeCell ref="Y996:Y997"/>
    <mergeCell ref="AA996:AA997"/>
    <mergeCell ref="AB996:AB997"/>
    <mergeCell ref="AC996:AC997"/>
    <mergeCell ref="M996:M997"/>
    <mergeCell ref="N996:N997"/>
    <mergeCell ref="O996:O997"/>
    <mergeCell ref="P996:P997"/>
    <mergeCell ref="Q996:Q997"/>
    <mergeCell ref="R996:R997"/>
    <mergeCell ref="O1002:O1003"/>
    <mergeCell ref="P1002:P1003"/>
    <mergeCell ref="Q1002:Q1003"/>
    <mergeCell ref="H998:H1001"/>
    <mergeCell ref="I998:I1001"/>
    <mergeCell ref="J998:J1001"/>
    <mergeCell ref="K998:K1001"/>
    <mergeCell ref="L998:L1003"/>
    <mergeCell ref="M998:M1001"/>
    <mergeCell ref="M1002:M1003"/>
    <mergeCell ref="B998:B1003"/>
    <mergeCell ref="C998:C1003"/>
    <mergeCell ref="D998:D1003"/>
    <mergeCell ref="E998:E1001"/>
    <mergeCell ref="F998:F1003"/>
    <mergeCell ref="G998:G1003"/>
    <mergeCell ref="A998:A1003"/>
    <mergeCell ref="AE1002:AE1003"/>
    <mergeCell ref="A1004:A1006"/>
    <mergeCell ref="B1004:B1006"/>
    <mergeCell ref="C1004:C1006"/>
    <mergeCell ref="D1004:D1006"/>
    <mergeCell ref="AE998:AE1001"/>
    <mergeCell ref="AF998:AF1003"/>
    <mergeCell ref="AG998:AG1003"/>
    <mergeCell ref="AH998:AH1003"/>
    <mergeCell ref="AI998:AI1003"/>
    <mergeCell ref="E1002:E1003"/>
    <mergeCell ref="H1002:H1003"/>
    <mergeCell ref="I1002:I1003"/>
    <mergeCell ref="J1002:J1003"/>
    <mergeCell ref="K1002:K1003"/>
    <mergeCell ref="X998:X1001"/>
    <mergeCell ref="Y998:Y1003"/>
    <mergeCell ref="AA998:AA1001"/>
    <mergeCell ref="AB998:AB1003"/>
    <mergeCell ref="AC998:AC1001"/>
    <mergeCell ref="AD998:AD1001"/>
    <mergeCell ref="X1002:X1003"/>
    <mergeCell ref="AA1002:AA1003"/>
    <mergeCell ref="AC1002:AC1003"/>
    <mergeCell ref="AD1002:AD1003"/>
    <mergeCell ref="N998:N1001"/>
    <mergeCell ref="O998:O1001"/>
    <mergeCell ref="P998:P1001"/>
    <mergeCell ref="Q998:Q1001"/>
    <mergeCell ref="R998:R1003"/>
    <mergeCell ref="S998:S1003"/>
    <mergeCell ref="N1002:N1003"/>
    <mergeCell ref="AH1004:AH1006"/>
    <mergeCell ref="AI1004:AI1006"/>
    <mergeCell ref="A1007:A1034"/>
    <mergeCell ref="B1007:B1034"/>
    <mergeCell ref="C1007:C1034"/>
    <mergeCell ref="AB1004:AB1006"/>
    <mergeCell ref="AC1004:AC1005"/>
    <mergeCell ref="AD1004:AD1005"/>
    <mergeCell ref="AE1004:AE1005"/>
    <mergeCell ref="AF1004:AF1006"/>
    <mergeCell ref="AG1004:AG1006"/>
    <mergeCell ref="Q1004:Q1005"/>
    <mergeCell ref="R1004:R1006"/>
    <mergeCell ref="S1004:S1006"/>
    <mergeCell ref="X1004:X1005"/>
    <mergeCell ref="Y1004:Y1006"/>
    <mergeCell ref="AA1004:AA1005"/>
    <mergeCell ref="K1004:K1005"/>
    <mergeCell ref="L1004:L1006"/>
    <mergeCell ref="M1004:M1005"/>
    <mergeCell ref="N1004:N1005"/>
    <mergeCell ref="O1004:O1005"/>
    <mergeCell ref="P1004:P1005"/>
    <mergeCell ref="E1004:E1005"/>
    <mergeCell ref="F1004:F1006"/>
    <mergeCell ref="G1004:G1006"/>
    <mergeCell ref="H1004:H1005"/>
    <mergeCell ref="I1004:I1005"/>
    <mergeCell ref="J1004:J1005"/>
    <mergeCell ref="P1012:P1016"/>
    <mergeCell ref="Q1012:Q1016"/>
    <mergeCell ref="T1013:T1014"/>
    <mergeCell ref="J1007:J1011"/>
    <mergeCell ref="K1007:K1016"/>
    <mergeCell ref="L1007:L1034"/>
    <mergeCell ref="M1007:M1016"/>
    <mergeCell ref="N1007:N1016"/>
    <mergeCell ref="O1007:O1011"/>
    <mergeCell ref="J1012:J1016"/>
    <mergeCell ref="O1012:O1016"/>
    <mergeCell ref="J1032:J1034"/>
    <mergeCell ref="K1032:K1034"/>
    <mergeCell ref="D1007:D1034"/>
    <mergeCell ref="E1007:E1031"/>
    <mergeCell ref="F1007:F1034"/>
    <mergeCell ref="G1007:G1034"/>
    <mergeCell ref="H1007:H1016"/>
    <mergeCell ref="I1007:I1011"/>
    <mergeCell ref="I1012:I1016"/>
    <mergeCell ref="E1032:E1034"/>
    <mergeCell ref="H1032:H1034"/>
    <mergeCell ref="I1032:I1034"/>
    <mergeCell ref="T1015:T1016"/>
    <mergeCell ref="H1017:H1026"/>
    <mergeCell ref="I1017:I1021"/>
    <mergeCell ref="J1017:J1021"/>
    <mergeCell ref="K1017:K1026"/>
    <mergeCell ref="M1017:M1026"/>
    <mergeCell ref="N1017:N1026"/>
    <mergeCell ref="O1017:O1021"/>
    <mergeCell ref="P1017:P1021"/>
    <mergeCell ref="AE1007:AE1016"/>
    <mergeCell ref="AF1007:AF1034"/>
    <mergeCell ref="AG1007:AG1034"/>
    <mergeCell ref="AH1007:AH1034"/>
    <mergeCell ref="AI1007:AI1034"/>
    <mergeCell ref="T1009:T1010"/>
    <mergeCell ref="T1011:T1012"/>
    <mergeCell ref="AA1012:AA1016"/>
    <mergeCell ref="X1007:X1016"/>
    <mergeCell ref="Y1007:Y1034"/>
    <mergeCell ref="AA1007:AA1011"/>
    <mergeCell ref="AB1007:AB1034"/>
    <mergeCell ref="AC1007:AC1011"/>
    <mergeCell ref="AD1007:AD1016"/>
    <mergeCell ref="AC1012:AC1016"/>
    <mergeCell ref="AD1017:AD1026"/>
    <mergeCell ref="AA1032:AA1034"/>
    <mergeCell ref="AC1032:AC1034"/>
    <mergeCell ref="P1007:P1011"/>
    <mergeCell ref="Q1007:Q1011"/>
    <mergeCell ref="R1007:R1034"/>
    <mergeCell ref="S1007:S1034"/>
    <mergeCell ref="T1007:T1008"/>
    <mergeCell ref="T1025:T1026"/>
    <mergeCell ref="H1027:H1031"/>
    <mergeCell ref="I1027:I1031"/>
    <mergeCell ref="J1027:J1031"/>
    <mergeCell ref="K1027:K1031"/>
    <mergeCell ref="M1027:M1031"/>
    <mergeCell ref="N1027:N1031"/>
    <mergeCell ref="O1027:O1031"/>
    <mergeCell ref="P1027:P1031"/>
    <mergeCell ref="AE1017:AE1026"/>
    <mergeCell ref="T1019:T1020"/>
    <mergeCell ref="T1021:T1022"/>
    <mergeCell ref="I1022:I1026"/>
    <mergeCell ref="J1022:J1026"/>
    <mergeCell ref="O1022:O1026"/>
    <mergeCell ref="P1022:P1026"/>
    <mergeCell ref="Q1022:Q1026"/>
    <mergeCell ref="Q1017:Q1021"/>
    <mergeCell ref="T1017:T1018"/>
    <mergeCell ref="X1017:X1026"/>
    <mergeCell ref="AA1017:AA1021"/>
    <mergeCell ref="AC1017:AC1021"/>
    <mergeCell ref="AA1022:AA1026"/>
    <mergeCell ref="AC1022:AC1026"/>
    <mergeCell ref="T1023:T1024"/>
    <mergeCell ref="AD1032:AD1034"/>
    <mergeCell ref="AE1032:AE1034"/>
    <mergeCell ref="A1035:A1036"/>
    <mergeCell ref="B1035:B1036"/>
    <mergeCell ref="C1035:C1036"/>
    <mergeCell ref="M1032:M1034"/>
    <mergeCell ref="N1032:N1034"/>
    <mergeCell ref="O1032:O1034"/>
    <mergeCell ref="P1032:P1034"/>
    <mergeCell ref="Q1032:Q1034"/>
    <mergeCell ref="X1032:X1034"/>
    <mergeCell ref="F1037:F1039"/>
    <mergeCell ref="G1037:G1039"/>
    <mergeCell ref="H1037:H1039"/>
    <mergeCell ref="Q1027:Q1031"/>
    <mergeCell ref="X1027:X1031"/>
    <mergeCell ref="AA1027:AA1031"/>
    <mergeCell ref="AC1027:AC1031"/>
    <mergeCell ref="AD1027:AD1031"/>
    <mergeCell ref="AE1027:AE1031"/>
    <mergeCell ref="AG1035:AG1036"/>
    <mergeCell ref="AH1035:AH1036"/>
    <mergeCell ref="AI1035:AI1036"/>
    <mergeCell ref="A1037:A1039"/>
    <mergeCell ref="B1037:B1039"/>
    <mergeCell ref="AA1035:AA1036"/>
    <mergeCell ref="AB1035:AB1036"/>
    <mergeCell ref="AC1035:AC1036"/>
    <mergeCell ref="AD1035:AD1036"/>
    <mergeCell ref="AE1035:AE1036"/>
    <mergeCell ref="AF1035:AF1036"/>
    <mergeCell ref="P1035:P1036"/>
    <mergeCell ref="Q1035:Q1036"/>
    <mergeCell ref="R1035:R1036"/>
    <mergeCell ref="S1035:S1036"/>
    <mergeCell ref="X1035:X1036"/>
    <mergeCell ref="Y1035:Y1036"/>
    <mergeCell ref="J1035:J1036"/>
    <mergeCell ref="K1035:K1036"/>
    <mergeCell ref="L1035:L1036"/>
    <mergeCell ref="M1035:M1036"/>
    <mergeCell ref="N1035:N1036"/>
    <mergeCell ref="O1035:O1036"/>
    <mergeCell ref="D1035:D1036"/>
    <mergeCell ref="E1035:E1036"/>
    <mergeCell ref="F1035:F1036"/>
    <mergeCell ref="G1035:G1036"/>
    <mergeCell ref="H1035:H1036"/>
    <mergeCell ref="I1035:I1036"/>
    <mergeCell ref="AF1037:AF1039"/>
    <mergeCell ref="AG1037:AG1039"/>
    <mergeCell ref="AH1037:AH1039"/>
    <mergeCell ref="AI1037:AI1039"/>
    <mergeCell ref="A1040:A1064"/>
    <mergeCell ref="Y1037:Y1039"/>
    <mergeCell ref="AA1037:AA1039"/>
    <mergeCell ref="AB1037:AB1039"/>
    <mergeCell ref="AC1037:AC1039"/>
    <mergeCell ref="AD1037:AD1039"/>
    <mergeCell ref="AE1037:AE1039"/>
    <mergeCell ref="O1037:O1039"/>
    <mergeCell ref="P1037:P1039"/>
    <mergeCell ref="Q1037:Q1039"/>
    <mergeCell ref="R1037:R1039"/>
    <mergeCell ref="S1037:S1039"/>
    <mergeCell ref="X1037:X1039"/>
    <mergeCell ref="I1037:I1039"/>
    <mergeCell ref="J1037:J1039"/>
    <mergeCell ref="K1037:K1039"/>
    <mergeCell ref="L1037:L1039"/>
    <mergeCell ref="M1037:M1039"/>
    <mergeCell ref="N1037:N1039"/>
    <mergeCell ref="C1037:C1039"/>
    <mergeCell ref="D1037:D1039"/>
    <mergeCell ref="E1037:E1039"/>
    <mergeCell ref="I1040:I1042"/>
    <mergeCell ref="J1040:J1042"/>
    <mergeCell ref="K1040:K1042"/>
    <mergeCell ref="AG1040:AG1064"/>
    <mergeCell ref="AH1040:AH1064"/>
    <mergeCell ref="AI1040:AI1064"/>
    <mergeCell ref="H1043:H1047"/>
    <mergeCell ref="I1043:I1047"/>
    <mergeCell ref="J1043:J1047"/>
    <mergeCell ref="AE1040:AE1042"/>
    <mergeCell ref="K1043:K1047"/>
    <mergeCell ref="X1040:X1042"/>
    <mergeCell ref="Y1040:Y1064"/>
    <mergeCell ref="AA1040:AA1042"/>
    <mergeCell ref="AB1040:AB1064"/>
    <mergeCell ref="AC1040:AC1042"/>
    <mergeCell ref="AD1040:AD1042"/>
    <mergeCell ref="X1043:X1047"/>
    <mergeCell ref="AA1043:AA1047"/>
    <mergeCell ref="AC1043:AC1047"/>
    <mergeCell ref="AD1043:AD1047"/>
    <mergeCell ref="N1040:N1042"/>
    <mergeCell ref="O1062:O1063"/>
    <mergeCell ref="P1062:P1063"/>
    <mergeCell ref="Q1062:Q1063"/>
    <mergeCell ref="R1040:R1064"/>
    <mergeCell ref="S1040:S1064"/>
    <mergeCell ref="N1043:N1047"/>
    <mergeCell ref="O1043:O1047"/>
    <mergeCell ref="P1043:P1047"/>
    <mergeCell ref="Q1043:Q1047"/>
    <mergeCell ref="O1040:O1042"/>
    <mergeCell ref="P1040:P1042"/>
    <mergeCell ref="Q1040:Q1042"/>
    <mergeCell ref="X1062:X1063"/>
    <mergeCell ref="AA1062:AA1063"/>
    <mergeCell ref="AC1062:AC1063"/>
    <mergeCell ref="AD1057:AD1060"/>
    <mergeCell ref="AE1057:AE1060"/>
    <mergeCell ref="B1040:B1064"/>
    <mergeCell ref="C1040:C1064"/>
    <mergeCell ref="D1040:D1064"/>
    <mergeCell ref="E1040:E1060"/>
    <mergeCell ref="F1040:F1064"/>
    <mergeCell ref="G1040:G1064"/>
    <mergeCell ref="AF1040:AF1064"/>
    <mergeCell ref="M1040:M1042"/>
    <mergeCell ref="M1043:M1047"/>
    <mergeCell ref="AC1052:AC1056"/>
    <mergeCell ref="AD1052:AD1056"/>
    <mergeCell ref="AE1052:AE1056"/>
    <mergeCell ref="H1057:H1060"/>
    <mergeCell ref="I1057:I1060"/>
    <mergeCell ref="J1057:J1060"/>
    <mergeCell ref="K1057:K1060"/>
    <mergeCell ref="M1057:M1060"/>
    <mergeCell ref="N1057:N1060"/>
    <mergeCell ref="N1052:N1056"/>
    <mergeCell ref="O1052:O1056"/>
    <mergeCell ref="P1052:P1056"/>
    <mergeCell ref="Q1052:Q1056"/>
    <mergeCell ref="X1052:X1056"/>
    <mergeCell ref="AA1052:AA1056"/>
    <mergeCell ref="H1052:H1056"/>
    <mergeCell ref="I1052:I1056"/>
    <mergeCell ref="J1052:J1056"/>
    <mergeCell ref="K1052:K1056"/>
    <mergeCell ref="M1052:M1056"/>
    <mergeCell ref="AD1062:AD1063"/>
    <mergeCell ref="AE1062:AE1063"/>
    <mergeCell ref="H1040:H1042"/>
    <mergeCell ref="E1062:E1063"/>
    <mergeCell ref="H1062:H1063"/>
    <mergeCell ref="I1062:I1063"/>
    <mergeCell ref="J1062:J1063"/>
    <mergeCell ref="K1062:K1063"/>
    <mergeCell ref="M1062:M1063"/>
    <mergeCell ref="N1062:N1063"/>
    <mergeCell ref="O1057:O1060"/>
    <mergeCell ref="P1057:P1060"/>
    <mergeCell ref="Q1057:Q1060"/>
    <mergeCell ref="X1057:X1060"/>
    <mergeCell ref="AA1057:AA1060"/>
    <mergeCell ref="AC1057:AC1060"/>
    <mergeCell ref="L1040:L1064"/>
    <mergeCell ref="Q1048:Q1051"/>
    <mergeCell ref="X1048:X1051"/>
    <mergeCell ref="AA1048:AA1051"/>
    <mergeCell ref="AC1048:AC1051"/>
    <mergeCell ref="O1048:O1051"/>
    <mergeCell ref="P1048:P1051"/>
    <mergeCell ref="AI1065:AI1069"/>
    <mergeCell ref="H1067:H1068"/>
    <mergeCell ref="I1067:I1068"/>
    <mergeCell ref="J1067:J1068"/>
    <mergeCell ref="K1067:K1068"/>
    <mergeCell ref="M1067:M1068"/>
    <mergeCell ref="N1067:N1068"/>
    <mergeCell ref="AA1065:AA1066"/>
    <mergeCell ref="AB1065:AB1069"/>
    <mergeCell ref="AC1065:AC1066"/>
    <mergeCell ref="AD1065:AD1066"/>
    <mergeCell ref="AE1065:AE1066"/>
    <mergeCell ref="AF1065:AF1069"/>
    <mergeCell ref="AA1067:AA1068"/>
    <mergeCell ref="AC1067:AC1068"/>
    <mergeCell ref="AD1067:AD1068"/>
    <mergeCell ref="AE1067:AE1068"/>
    <mergeCell ref="P1065:P1066"/>
    <mergeCell ref="Q1065:Q1066"/>
    <mergeCell ref="R1065:R1069"/>
    <mergeCell ref="S1065:S1069"/>
    <mergeCell ref="X1065:X1066"/>
    <mergeCell ref="Y1065:Y1069"/>
    <mergeCell ref="H1070:H1076"/>
    <mergeCell ref="I1070:I1074"/>
    <mergeCell ref="J1070:J1074"/>
    <mergeCell ref="K1070:K1076"/>
    <mergeCell ref="L1070:L1076"/>
    <mergeCell ref="M1070:M1076"/>
    <mergeCell ref="I1075:I1076"/>
    <mergeCell ref="J1075:J1076"/>
    <mergeCell ref="AD1048:AD1051"/>
    <mergeCell ref="AE1048:AE1051"/>
    <mergeCell ref="AE1043:AE1047"/>
    <mergeCell ref="H1048:H1051"/>
    <mergeCell ref="I1048:I1051"/>
    <mergeCell ref="J1048:J1051"/>
    <mergeCell ref="K1048:K1051"/>
    <mergeCell ref="M1048:M1051"/>
    <mergeCell ref="N1048:N1051"/>
    <mergeCell ref="B1070:B1076"/>
    <mergeCell ref="C1070:C1076"/>
    <mergeCell ref="D1070:D1076"/>
    <mergeCell ref="E1070:E1076"/>
    <mergeCell ref="F1070:F1076"/>
    <mergeCell ref="G1070:G1076"/>
    <mergeCell ref="A1070:A1076"/>
    <mergeCell ref="AG1065:AG1069"/>
    <mergeCell ref="AH1065:AH1069"/>
    <mergeCell ref="O1067:O1068"/>
    <mergeCell ref="D1065:D1069"/>
    <mergeCell ref="E1065:E1068"/>
    <mergeCell ref="F1065:F1069"/>
    <mergeCell ref="G1065:G1069"/>
    <mergeCell ref="H1065:H1066"/>
    <mergeCell ref="I1065:I1066"/>
    <mergeCell ref="AE1070:AE1076"/>
    <mergeCell ref="AF1070:AF1076"/>
    <mergeCell ref="AG1070:AG1076"/>
    <mergeCell ref="AH1070:AH1076"/>
    <mergeCell ref="A1065:A1069"/>
    <mergeCell ref="B1065:B1069"/>
    <mergeCell ref="C1065:C1069"/>
    <mergeCell ref="P1067:P1068"/>
    <mergeCell ref="Q1067:Q1068"/>
    <mergeCell ref="X1067:X1068"/>
    <mergeCell ref="J1065:J1066"/>
    <mergeCell ref="K1065:K1066"/>
    <mergeCell ref="L1065:L1069"/>
    <mergeCell ref="M1065:M1066"/>
    <mergeCell ref="N1065:N1066"/>
    <mergeCell ref="O1065:O1066"/>
    <mergeCell ref="AI1070:AI1076"/>
    <mergeCell ref="T1073:T1074"/>
    <mergeCell ref="T1075:T1076"/>
    <mergeCell ref="X1070:X1076"/>
    <mergeCell ref="Y1070:Y1076"/>
    <mergeCell ref="AA1070:AA1076"/>
    <mergeCell ref="AB1070:AB1076"/>
    <mergeCell ref="AC1070:AC1076"/>
    <mergeCell ref="AD1070:AD1076"/>
    <mergeCell ref="N1070:N1076"/>
    <mergeCell ref="O1070:O1076"/>
    <mergeCell ref="P1070:P1076"/>
    <mergeCell ref="Q1070:Q1074"/>
    <mergeCell ref="R1070:R1076"/>
    <mergeCell ref="S1070:S1076"/>
    <mergeCell ref="Q1075:Q1076"/>
    <mergeCell ref="H1080:H1082"/>
    <mergeCell ref="I1080:I1082"/>
    <mergeCell ref="J1080:J1081"/>
    <mergeCell ref="K1080:K1081"/>
    <mergeCell ref="M1080:M1081"/>
    <mergeCell ref="X1077:X1079"/>
    <mergeCell ref="Y1077:Y1102"/>
    <mergeCell ref="AF1077:AF1102"/>
    <mergeCell ref="AG1077:AG1078"/>
    <mergeCell ref="AH1077:AH1102"/>
    <mergeCell ref="AI1077:AI1102"/>
    <mergeCell ref="AG1079:AG1088"/>
    <mergeCell ref="X1080:X1082"/>
    <mergeCell ref="X1088:X1091"/>
    <mergeCell ref="X1099:X1100"/>
    <mergeCell ref="O1077:O1079"/>
    <mergeCell ref="Q1077:Q1079"/>
    <mergeCell ref="R1077:R1102"/>
    <mergeCell ref="S1077:S1102"/>
    <mergeCell ref="W1077:W1079"/>
    <mergeCell ref="O1080:O1081"/>
    <mergeCell ref="P1080:P1081"/>
    <mergeCell ref="Q1080:Q1081"/>
    <mergeCell ref="W1080:W1082"/>
    <mergeCell ref="I1077:I1079"/>
    <mergeCell ref="J1077:J1079"/>
    <mergeCell ref="K1077:K1079"/>
    <mergeCell ref="L1077:L1102"/>
    <mergeCell ref="M1077:M1079"/>
    <mergeCell ref="N1077:N1079"/>
    <mergeCell ref="N1080:N1081"/>
    <mergeCell ref="O1086:O1087"/>
    <mergeCell ref="P1086:P1087"/>
    <mergeCell ref="Q1086:Q1087"/>
    <mergeCell ref="W1086:W1087"/>
    <mergeCell ref="N1092:N1094"/>
    <mergeCell ref="O1092:O1094"/>
    <mergeCell ref="P1092:P1094"/>
    <mergeCell ref="Q1092:Q1094"/>
    <mergeCell ref="W1092:W1094"/>
    <mergeCell ref="N1099:N1100"/>
    <mergeCell ref="O1099:O1100"/>
    <mergeCell ref="X1086:X1087"/>
    <mergeCell ref="H1088:H1091"/>
    <mergeCell ref="I1088:I1091"/>
    <mergeCell ref="J1088:J1091"/>
    <mergeCell ref="K1088:K1091"/>
    <mergeCell ref="O1083:O1085"/>
    <mergeCell ref="P1083:P1085"/>
    <mergeCell ref="Q1083:Q1085"/>
    <mergeCell ref="W1083:W1085"/>
    <mergeCell ref="X1083:X1085"/>
    <mergeCell ref="H1086:H1087"/>
    <mergeCell ref="I1086:I1087"/>
    <mergeCell ref="J1086:J1087"/>
    <mergeCell ref="K1086:K1087"/>
    <mergeCell ref="H1083:H1085"/>
    <mergeCell ref="I1083:I1085"/>
    <mergeCell ref="J1083:J1085"/>
    <mergeCell ref="K1083:K1085"/>
    <mergeCell ref="M1083:M1085"/>
    <mergeCell ref="N1083:N1085"/>
    <mergeCell ref="M1086:M1087"/>
    <mergeCell ref="N1086:N1087"/>
    <mergeCell ref="A1103:A1120"/>
    <mergeCell ref="M1099:M1100"/>
    <mergeCell ref="C1077:C1102"/>
    <mergeCell ref="D1077:D1102"/>
    <mergeCell ref="A1077:A1102"/>
    <mergeCell ref="B1077:B1102"/>
    <mergeCell ref="X1092:X1094"/>
    <mergeCell ref="H1092:H1094"/>
    <mergeCell ref="I1092:I1094"/>
    <mergeCell ref="J1092:J1094"/>
    <mergeCell ref="K1092:K1094"/>
    <mergeCell ref="M1092:M1094"/>
    <mergeCell ref="M1088:M1091"/>
    <mergeCell ref="N1088:N1091"/>
    <mergeCell ref="O1088:O1091"/>
    <mergeCell ref="P1088:P1091"/>
    <mergeCell ref="Q1088:Q1091"/>
    <mergeCell ref="W1088:W1091"/>
    <mergeCell ref="P1099:P1100"/>
    <mergeCell ref="Q1099:Q1100"/>
    <mergeCell ref="W1099:W1100"/>
    <mergeCell ref="E1099:E1100"/>
    <mergeCell ref="H1099:H1100"/>
    <mergeCell ref="I1099:I1100"/>
    <mergeCell ref="J1099:J1100"/>
    <mergeCell ref="K1099:K1100"/>
    <mergeCell ref="N1095:N1098"/>
    <mergeCell ref="O1095:O1098"/>
    <mergeCell ref="P1095:P1098"/>
    <mergeCell ref="Q1095:Q1098"/>
    <mergeCell ref="W1095:W1098"/>
    <mergeCell ref="X1095:X1098"/>
    <mergeCell ref="O1118:O1120"/>
    <mergeCell ref="P1118:P1120"/>
    <mergeCell ref="F1077:F1102"/>
    <mergeCell ref="G1077:G1102"/>
    <mergeCell ref="H1077:H1079"/>
    <mergeCell ref="H1103:H1112"/>
    <mergeCell ref="I1103:I1108"/>
    <mergeCell ref="J1103:J1108"/>
    <mergeCell ref="K1103:K1112"/>
    <mergeCell ref="L1103:L1120"/>
    <mergeCell ref="M1103:M1112"/>
    <mergeCell ref="M1118:M1120"/>
    <mergeCell ref="B1103:B1120"/>
    <mergeCell ref="C1103:C1120"/>
    <mergeCell ref="D1103:D1120"/>
    <mergeCell ref="E1103:E1117"/>
    <mergeCell ref="F1103:F1120"/>
    <mergeCell ref="G1103:G1120"/>
    <mergeCell ref="H1095:H1098"/>
    <mergeCell ref="I1095:I1098"/>
    <mergeCell ref="J1095:J1098"/>
    <mergeCell ref="K1095:K1098"/>
    <mergeCell ref="M1095:M1098"/>
    <mergeCell ref="E1077:E1098"/>
    <mergeCell ref="P1077:P1079"/>
    <mergeCell ref="O1124:O1126"/>
    <mergeCell ref="P1124:P1126"/>
    <mergeCell ref="AI1103:AI1120"/>
    <mergeCell ref="T1105:T1106"/>
    <mergeCell ref="T1107:T1108"/>
    <mergeCell ref="I1109:I1112"/>
    <mergeCell ref="J1109:J1112"/>
    <mergeCell ref="O1109:O1112"/>
    <mergeCell ref="P1109:P1112"/>
    <mergeCell ref="Q1109:Q1112"/>
    <mergeCell ref="AC1103:AC1108"/>
    <mergeCell ref="AD1103:AD1112"/>
    <mergeCell ref="AE1103:AE1112"/>
    <mergeCell ref="AF1103:AF1120"/>
    <mergeCell ref="AG1103:AG1120"/>
    <mergeCell ref="AH1103:AH1120"/>
    <mergeCell ref="AC1109:AC1112"/>
    <mergeCell ref="T1103:T1104"/>
    <mergeCell ref="X1103:X1112"/>
    <mergeCell ref="Y1103:Y1120"/>
    <mergeCell ref="AA1103:AA1108"/>
    <mergeCell ref="AB1103:AB1120"/>
    <mergeCell ref="T1109:T1110"/>
    <mergeCell ref="AA1109:AA1112"/>
    <mergeCell ref="T1111:T1112"/>
    <mergeCell ref="N1103:N1112"/>
    <mergeCell ref="O1103:O1108"/>
    <mergeCell ref="P1103:P1108"/>
    <mergeCell ref="Q1103:Q1108"/>
    <mergeCell ref="R1103:R1120"/>
    <mergeCell ref="S1103:S1120"/>
    <mergeCell ref="N1118:N1120"/>
    <mergeCell ref="AE1121:AE1123"/>
    <mergeCell ref="AA1136:AA1143"/>
    <mergeCell ref="A1121:A1127"/>
    <mergeCell ref="X1118:X1120"/>
    <mergeCell ref="AA1118:AA1120"/>
    <mergeCell ref="AC1118:AC1120"/>
    <mergeCell ref="AD1118:AD1120"/>
    <mergeCell ref="AE1118:AE1120"/>
    <mergeCell ref="T1119:T1120"/>
    <mergeCell ref="X1113:X1117"/>
    <mergeCell ref="AA1113:AA1117"/>
    <mergeCell ref="AC1113:AC1117"/>
    <mergeCell ref="AD1113:AD1117"/>
    <mergeCell ref="AE1113:AE1117"/>
    <mergeCell ref="E1118:E1120"/>
    <mergeCell ref="H1118:H1120"/>
    <mergeCell ref="I1118:I1120"/>
    <mergeCell ref="J1118:J1120"/>
    <mergeCell ref="K1118:K1120"/>
    <mergeCell ref="H1113:H1117"/>
    <mergeCell ref="I1113:I1117"/>
    <mergeCell ref="J1113:J1117"/>
    <mergeCell ref="K1113:K1117"/>
    <mergeCell ref="M1113:M1117"/>
    <mergeCell ref="N1113:N1117"/>
    <mergeCell ref="O1113:O1117"/>
    <mergeCell ref="P1113:P1117"/>
    <mergeCell ref="Q1113:Q1117"/>
    <mergeCell ref="Q1118:Q1120"/>
    <mergeCell ref="R1121:R1127"/>
    <mergeCell ref="S1121:S1127"/>
    <mergeCell ref="N1124:N1126"/>
    <mergeCell ref="Q1124:Q1126"/>
    <mergeCell ref="H1121:H1123"/>
    <mergeCell ref="I1121:I1123"/>
    <mergeCell ref="J1121:J1123"/>
    <mergeCell ref="K1121:K1123"/>
    <mergeCell ref="L1121:L1127"/>
    <mergeCell ref="M1121:M1123"/>
    <mergeCell ref="B1121:B1127"/>
    <mergeCell ref="C1121:C1127"/>
    <mergeCell ref="D1121:D1127"/>
    <mergeCell ref="E1121:E1126"/>
    <mergeCell ref="F1121:F1127"/>
    <mergeCell ref="G1121:G1127"/>
    <mergeCell ref="Q1144:Q1146"/>
    <mergeCell ref="X1144:X1146"/>
    <mergeCell ref="AA1144:AA1146"/>
    <mergeCell ref="AE1124:AE1126"/>
    <mergeCell ref="O1128:O1135"/>
    <mergeCell ref="P1128:P1135"/>
    <mergeCell ref="K1144:K1146"/>
    <mergeCell ref="M1144:M1146"/>
    <mergeCell ref="N1144:N1146"/>
    <mergeCell ref="O1144:O1146"/>
    <mergeCell ref="E1128:E1143"/>
    <mergeCell ref="F1128:F1148"/>
    <mergeCell ref="G1128:G1148"/>
    <mergeCell ref="H1128:H1135"/>
    <mergeCell ref="I1128:I1135"/>
    <mergeCell ref="J1128:J1135"/>
    <mergeCell ref="E1144:E1146"/>
    <mergeCell ref="H1144:H1146"/>
    <mergeCell ref="I1144:I1146"/>
    <mergeCell ref="X1128:X1135"/>
    <mergeCell ref="Y1128:Y1148"/>
    <mergeCell ref="AA1128:AA1135"/>
    <mergeCell ref="Q1136:Q1143"/>
    <mergeCell ref="K1128:K1135"/>
    <mergeCell ref="L1128:L1148"/>
    <mergeCell ref="M1128:M1135"/>
    <mergeCell ref="N1128:N1135"/>
    <mergeCell ref="X1136:X1143"/>
    <mergeCell ref="AF1121:AF1127"/>
    <mergeCell ref="AG1121:AG1127"/>
    <mergeCell ref="AH1121:AH1127"/>
    <mergeCell ref="AI1121:AI1127"/>
    <mergeCell ref="H1124:H1126"/>
    <mergeCell ref="I1124:I1126"/>
    <mergeCell ref="J1124:J1126"/>
    <mergeCell ref="K1124:K1126"/>
    <mergeCell ref="M1124:M1126"/>
    <mergeCell ref="X1121:X1123"/>
    <mergeCell ref="Y1121:Y1127"/>
    <mergeCell ref="AA1121:AA1123"/>
    <mergeCell ref="AB1121:AB1127"/>
    <mergeCell ref="AC1121:AC1123"/>
    <mergeCell ref="AD1121:AD1123"/>
    <mergeCell ref="X1124:X1126"/>
    <mergeCell ref="AA1124:AA1126"/>
    <mergeCell ref="AC1124:AC1126"/>
    <mergeCell ref="AD1124:AD1126"/>
    <mergeCell ref="N1121:N1123"/>
    <mergeCell ref="O1121:O1123"/>
    <mergeCell ref="P1121:P1123"/>
    <mergeCell ref="Q1121:Q1123"/>
    <mergeCell ref="AD1147:AD1148"/>
    <mergeCell ref="AE1147:AE1148"/>
    <mergeCell ref="J1144:J1146"/>
    <mergeCell ref="P1144:P1146"/>
    <mergeCell ref="AC1144:AC1146"/>
    <mergeCell ref="AD1144:AD1146"/>
    <mergeCell ref="W1145:W1146"/>
    <mergeCell ref="C1128:C1148"/>
    <mergeCell ref="D1128:D1148"/>
    <mergeCell ref="AH1128:AH1148"/>
    <mergeCell ref="AI1128:AI1148"/>
    <mergeCell ref="H1136:H1143"/>
    <mergeCell ref="I1136:I1143"/>
    <mergeCell ref="J1136:J1143"/>
    <mergeCell ref="K1136:K1143"/>
    <mergeCell ref="M1136:M1143"/>
    <mergeCell ref="N1136:N1143"/>
    <mergeCell ref="O1136:O1143"/>
    <mergeCell ref="P1136:P1143"/>
    <mergeCell ref="AB1128:AB1148"/>
    <mergeCell ref="AC1128:AC1135"/>
    <mergeCell ref="AD1128:AD1135"/>
    <mergeCell ref="AE1128:AE1135"/>
    <mergeCell ref="AF1128:AF1148"/>
    <mergeCell ref="AG1128:AG1148"/>
    <mergeCell ref="AC1136:AC1143"/>
    <mergeCell ref="AD1136:AD1143"/>
    <mergeCell ref="AE1136:AE1143"/>
    <mergeCell ref="AE1144:AE1146"/>
    <mergeCell ref="Q1128:Q1135"/>
    <mergeCell ref="R1128:R1148"/>
    <mergeCell ref="S1128:S1148"/>
    <mergeCell ref="A1149:A1150"/>
    <mergeCell ref="B1149:B1150"/>
    <mergeCell ref="N1147:N1148"/>
    <mergeCell ref="O1147:O1148"/>
    <mergeCell ref="P1147:P1148"/>
    <mergeCell ref="Q1147:Q1148"/>
    <mergeCell ref="W1147:W1148"/>
    <mergeCell ref="X1147:X1148"/>
    <mergeCell ref="E1147:E1148"/>
    <mergeCell ref="H1147:H1148"/>
    <mergeCell ref="I1147:I1148"/>
    <mergeCell ref="J1147:J1148"/>
    <mergeCell ref="K1147:K1148"/>
    <mergeCell ref="M1147:M1148"/>
    <mergeCell ref="AD1149:AD1150"/>
    <mergeCell ref="AE1149:AE1150"/>
    <mergeCell ref="AA1147:AA1148"/>
    <mergeCell ref="A1128:A1148"/>
    <mergeCell ref="B1128:B1148"/>
    <mergeCell ref="I1149:I1150"/>
    <mergeCell ref="J1149:J1150"/>
    <mergeCell ref="K1149:K1150"/>
    <mergeCell ref="L1149:L1150"/>
    <mergeCell ref="M1149:M1150"/>
    <mergeCell ref="N1149:N1150"/>
    <mergeCell ref="C1149:C1150"/>
    <mergeCell ref="D1149:D1150"/>
    <mergeCell ref="E1149:E1150"/>
    <mergeCell ref="F1149:F1150"/>
    <mergeCell ref="G1149:G1150"/>
    <mergeCell ref="H1149:H1150"/>
    <mergeCell ref="AC1147:AC1148"/>
    <mergeCell ref="AF1149:AF1150"/>
    <mergeCell ref="AG1149:AG1150"/>
    <mergeCell ref="AH1149:AH1150"/>
    <mergeCell ref="AI1149:AI1150"/>
    <mergeCell ref="X1149:X1150"/>
    <mergeCell ref="Y1149:Y1150"/>
    <mergeCell ref="Z1149:Z1150"/>
    <mergeCell ref="AA1149:AA1150"/>
    <mergeCell ref="AB1149:AB1150"/>
    <mergeCell ref="AC1149:AC1150"/>
    <mergeCell ref="O1149:O1150"/>
    <mergeCell ref="P1149:P1150"/>
    <mergeCell ref="Q1149:Q1150"/>
    <mergeCell ref="R1149:R1150"/>
    <mergeCell ref="S1149:S1150"/>
    <mergeCell ref="W1149:W1150"/>
    <mergeCell ref="AI1151:AI1175"/>
    <mergeCell ref="T1153:T1154"/>
    <mergeCell ref="T1155:T1156"/>
    <mergeCell ref="AD1164:AD1169"/>
    <mergeCell ref="AE1164:AE1169"/>
    <mergeCell ref="AA1173:AA1175"/>
    <mergeCell ref="AC1173:AC1175"/>
    <mergeCell ref="AD1173:AD1175"/>
    <mergeCell ref="AE1173:AE1175"/>
    <mergeCell ref="AC1151:AC1156"/>
    <mergeCell ref="AD1151:AD1163"/>
    <mergeCell ref="AE1151:AE1163"/>
    <mergeCell ref="AF1151:AF1175"/>
    <mergeCell ref="AG1151:AG1175"/>
    <mergeCell ref="AH1151:AH1175"/>
    <mergeCell ref="AC1157:AC1163"/>
    <mergeCell ref="AE1170:AE1172"/>
    <mergeCell ref="T1151:T1152"/>
    <mergeCell ref="X1151:X1163"/>
    <mergeCell ref="Y1151:Y1175"/>
    <mergeCell ref="AA1151:AA1156"/>
    <mergeCell ref="AB1151:AB1175"/>
    <mergeCell ref="T1157:T1158"/>
    <mergeCell ref="AA1157:AA1163"/>
    <mergeCell ref="T1160:T1161"/>
    <mergeCell ref="N1151:N1163"/>
    <mergeCell ref="O1151:O1156"/>
    <mergeCell ref="P1151:P1156"/>
    <mergeCell ref="Q1151:Q1156"/>
    <mergeCell ref="R1151:R1175"/>
    <mergeCell ref="S1151:S1175"/>
    <mergeCell ref="P1164:P1169"/>
    <mergeCell ref="Q1164:Q1169"/>
    <mergeCell ref="X1164:X1169"/>
    <mergeCell ref="AA1164:AA1169"/>
    <mergeCell ref="AC1164:AC1169"/>
    <mergeCell ref="E1170:E1175"/>
    <mergeCell ref="H1170:H1172"/>
    <mergeCell ref="I1170:I1172"/>
    <mergeCell ref="J1170:J1172"/>
    <mergeCell ref="K1170:K1172"/>
    <mergeCell ref="T1162:T1163"/>
    <mergeCell ref="H1164:H1169"/>
    <mergeCell ref="I1164:I1169"/>
    <mergeCell ref="J1164:J1169"/>
    <mergeCell ref="K1164:K1169"/>
    <mergeCell ref="M1164:M1169"/>
    <mergeCell ref="N1164:N1169"/>
    <mergeCell ref="O1164:O1169"/>
    <mergeCell ref="N1170:N1172"/>
    <mergeCell ref="O1170:O1172"/>
    <mergeCell ref="H1151:H1163"/>
    <mergeCell ref="I1151:I1156"/>
    <mergeCell ref="J1151:J1156"/>
    <mergeCell ref="K1151:K1163"/>
    <mergeCell ref="L1151:L1175"/>
    <mergeCell ref="M1151:M1163"/>
    <mergeCell ref="M1170:M1172"/>
    <mergeCell ref="H1173:H1175"/>
    <mergeCell ref="I1173:I1175"/>
    <mergeCell ref="J1173:J1175"/>
    <mergeCell ref="E1151:E1169"/>
    <mergeCell ref="F1151:F1175"/>
    <mergeCell ref="I1157:I1163"/>
    <mergeCell ref="J1157:J1163"/>
    <mergeCell ref="O1157:O1163"/>
    <mergeCell ref="P1157:P1163"/>
    <mergeCell ref="Q1157:Q1163"/>
    <mergeCell ref="A1176:A1190"/>
    <mergeCell ref="K1173:K1175"/>
    <mergeCell ref="M1173:M1175"/>
    <mergeCell ref="N1173:N1175"/>
    <mergeCell ref="O1173:O1175"/>
    <mergeCell ref="P1173:P1175"/>
    <mergeCell ref="Q1173:Q1175"/>
    <mergeCell ref="P1170:P1172"/>
    <mergeCell ref="Q1170:Q1172"/>
    <mergeCell ref="X1170:X1172"/>
    <mergeCell ref="AA1170:AA1172"/>
    <mergeCell ref="AC1170:AC1172"/>
    <mergeCell ref="AD1170:AD1172"/>
    <mergeCell ref="B1151:B1175"/>
    <mergeCell ref="C1151:C1175"/>
    <mergeCell ref="D1151:D1175"/>
    <mergeCell ref="G1151:G1175"/>
    <mergeCell ref="A1151:A1175"/>
    <mergeCell ref="G1176:G1190"/>
    <mergeCell ref="H1176:H1183"/>
    <mergeCell ref="I1176:I1179"/>
    <mergeCell ref="J1176:J1179"/>
    <mergeCell ref="K1176:K1183"/>
    <mergeCell ref="L1176:L1190"/>
    <mergeCell ref="H1184:H1187"/>
    <mergeCell ref="I1184:I1187"/>
    <mergeCell ref="J1184:J1187"/>
    <mergeCell ref="K1184:K1187"/>
    <mergeCell ref="B1176:B1190"/>
    <mergeCell ref="C1176:C1190"/>
    <mergeCell ref="D1176:D1190"/>
    <mergeCell ref="E1176:E1187"/>
    <mergeCell ref="F1176:F1190"/>
    <mergeCell ref="E1188:E1190"/>
    <mergeCell ref="X1173:X1175"/>
    <mergeCell ref="AE1184:AE1187"/>
    <mergeCell ref="AH1176:AH1190"/>
    <mergeCell ref="AI1176:AI1190"/>
    <mergeCell ref="T1178:T1179"/>
    <mergeCell ref="I1180:I1183"/>
    <mergeCell ref="J1180:J1183"/>
    <mergeCell ref="O1180:O1183"/>
    <mergeCell ref="P1180:P1183"/>
    <mergeCell ref="Q1180:Q1183"/>
    <mergeCell ref="T1180:T1181"/>
    <mergeCell ref="AB1176:AB1190"/>
    <mergeCell ref="AC1176:AC1179"/>
    <mergeCell ref="AD1176:AD1183"/>
    <mergeCell ref="AE1176:AE1183"/>
    <mergeCell ref="AF1176:AF1190"/>
    <mergeCell ref="AG1176:AG1190"/>
    <mergeCell ref="AC1180:AC1183"/>
    <mergeCell ref="AD1188:AD1190"/>
    <mergeCell ref="AE1188:AE1190"/>
    <mergeCell ref="S1176:S1190"/>
    <mergeCell ref="T1176:T1177"/>
    <mergeCell ref="X1176:X1183"/>
    <mergeCell ref="Y1176:Y1190"/>
    <mergeCell ref="AA1176:AA1179"/>
    <mergeCell ref="AA1180:AA1183"/>
    <mergeCell ref="T1182:T1183"/>
    <mergeCell ref="M1176:M1183"/>
    <mergeCell ref="N1176:N1183"/>
    <mergeCell ref="O1176:O1179"/>
    <mergeCell ref="P1176:P1179"/>
    <mergeCell ref="Q1176:Q1179"/>
    <mergeCell ref="R1176:R1190"/>
    <mergeCell ref="O1188:O1190"/>
    <mergeCell ref="P1188:P1190"/>
    <mergeCell ref="Q1188:Q1190"/>
    <mergeCell ref="X1188:X1190"/>
    <mergeCell ref="AA1188:AA1190"/>
    <mergeCell ref="AC1188:AC1190"/>
    <mergeCell ref="H1188:H1190"/>
    <mergeCell ref="I1188:I1190"/>
    <mergeCell ref="J1188:J1190"/>
    <mergeCell ref="K1188:K1190"/>
    <mergeCell ref="M1188:M1190"/>
    <mergeCell ref="N1188:N1190"/>
    <mergeCell ref="Q1184:Q1187"/>
    <mergeCell ref="X1184:X1187"/>
    <mergeCell ref="AA1184:AA1187"/>
    <mergeCell ref="AC1184:AC1187"/>
    <mergeCell ref="AD1184:AD1187"/>
    <mergeCell ref="M1184:M1187"/>
    <mergeCell ref="N1184:N1187"/>
    <mergeCell ref="O1184:O1187"/>
    <mergeCell ref="P1184:P1187"/>
    <mergeCell ref="AE1191:AE1192"/>
    <mergeCell ref="AF1191:AF1192"/>
    <mergeCell ref="AG1191:AG1192"/>
    <mergeCell ref="AH1191:AH1192"/>
    <mergeCell ref="AI1191:AI1192"/>
    <mergeCell ref="A1193:A1203"/>
    <mergeCell ref="X1191:X1192"/>
    <mergeCell ref="Y1191:Y1192"/>
    <mergeCell ref="AA1191:AA1192"/>
    <mergeCell ref="AB1191:AB1192"/>
    <mergeCell ref="AC1191:AC1192"/>
    <mergeCell ref="AD1191:AD1192"/>
    <mergeCell ref="N1191:N1192"/>
    <mergeCell ref="O1191:O1192"/>
    <mergeCell ref="P1191:P1192"/>
    <mergeCell ref="Q1191:Q1192"/>
    <mergeCell ref="R1191:R1192"/>
    <mergeCell ref="S1191:S1192"/>
    <mergeCell ref="H1191:H1192"/>
    <mergeCell ref="I1191:I1192"/>
    <mergeCell ref="J1191:J1192"/>
    <mergeCell ref="K1191:K1192"/>
    <mergeCell ref="L1191:L1192"/>
    <mergeCell ref="M1191:M1192"/>
    <mergeCell ref="B1191:B1192"/>
    <mergeCell ref="C1191:C1192"/>
    <mergeCell ref="D1191:D1192"/>
    <mergeCell ref="A1191:A1192"/>
    <mergeCell ref="M1193:M1197"/>
    <mergeCell ref="N1193:N1197"/>
    <mergeCell ref="O1193:O1197"/>
    <mergeCell ref="P1193:P1197"/>
    <mergeCell ref="Q1193:Q1197"/>
    <mergeCell ref="R1193:R1203"/>
    <mergeCell ref="M1198:M1201"/>
    <mergeCell ref="N1198:N1201"/>
    <mergeCell ref="O1198:O1201"/>
    <mergeCell ref="P1198:P1201"/>
    <mergeCell ref="G1193:G1203"/>
    <mergeCell ref="H1193:H1197"/>
    <mergeCell ref="I1193:I1197"/>
    <mergeCell ref="J1193:J1197"/>
    <mergeCell ref="K1193:K1197"/>
    <mergeCell ref="L1193:L1203"/>
    <mergeCell ref="H1198:H1201"/>
    <mergeCell ref="I1198:I1201"/>
    <mergeCell ref="J1198:J1201"/>
    <mergeCell ref="K1198:K1201"/>
    <mergeCell ref="Q1198:Q1201"/>
    <mergeCell ref="AD1198:AD1201"/>
    <mergeCell ref="AE1198:AE1201"/>
    <mergeCell ref="AD1193:AD1197"/>
    <mergeCell ref="AE1193:AE1197"/>
    <mergeCell ref="AF1193:AF1203"/>
    <mergeCell ref="AG1193:AG1203"/>
    <mergeCell ref="AH1193:AH1203"/>
    <mergeCell ref="AI1193:AI1203"/>
    <mergeCell ref="AD1202:AD1203"/>
    <mergeCell ref="AE1202:AE1203"/>
    <mergeCell ref="S1193:S1203"/>
    <mergeCell ref="X1193:X1197"/>
    <mergeCell ref="Y1193:Y1203"/>
    <mergeCell ref="AA1193:AA1197"/>
    <mergeCell ref="AB1193:AB1203"/>
    <mergeCell ref="AC1193:AC1197"/>
    <mergeCell ref="E1191:E1192"/>
    <mergeCell ref="F1191:F1192"/>
    <mergeCell ref="G1191:G1192"/>
    <mergeCell ref="K1204:K1205"/>
    <mergeCell ref="L1204:L1209"/>
    <mergeCell ref="M1204:M1205"/>
    <mergeCell ref="B1204:B1209"/>
    <mergeCell ref="C1204:C1209"/>
    <mergeCell ref="D1204:D1209"/>
    <mergeCell ref="E1204:E1207"/>
    <mergeCell ref="F1204:F1209"/>
    <mergeCell ref="G1204:G1209"/>
    <mergeCell ref="A1204:A1209"/>
    <mergeCell ref="O1202:O1203"/>
    <mergeCell ref="P1202:P1203"/>
    <mergeCell ref="Q1202:Q1203"/>
    <mergeCell ref="X1202:X1203"/>
    <mergeCell ref="AA1202:AA1203"/>
    <mergeCell ref="AC1202:AC1203"/>
    <mergeCell ref="H1202:H1203"/>
    <mergeCell ref="I1202:I1203"/>
    <mergeCell ref="J1202:J1203"/>
    <mergeCell ref="K1202:K1203"/>
    <mergeCell ref="M1202:M1203"/>
    <mergeCell ref="N1202:N1203"/>
    <mergeCell ref="B1193:B1203"/>
    <mergeCell ref="C1193:C1203"/>
    <mergeCell ref="D1193:D1203"/>
    <mergeCell ref="E1193:E1201"/>
    <mergeCell ref="F1193:F1203"/>
    <mergeCell ref="E1202:E1203"/>
    <mergeCell ref="X1198:X1201"/>
    <mergeCell ref="AA1198:AA1201"/>
    <mergeCell ref="AC1198:AC1201"/>
    <mergeCell ref="X1208:X1209"/>
    <mergeCell ref="AF1204:AF1209"/>
    <mergeCell ref="AG1204:AG1209"/>
    <mergeCell ref="AH1204:AH1209"/>
    <mergeCell ref="AI1204:AI1209"/>
    <mergeCell ref="H1206:H1207"/>
    <mergeCell ref="I1206:I1207"/>
    <mergeCell ref="J1206:J1207"/>
    <mergeCell ref="K1206:K1207"/>
    <mergeCell ref="M1206:M1207"/>
    <mergeCell ref="N1206:N1207"/>
    <mergeCell ref="X1204:X1205"/>
    <mergeCell ref="AA1204:AA1205"/>
    <mergeCell ref="AB1204:AB1209"/>
    <mergeCell ref="AC1204:AC1205"/>
    <mergeCell ref="AD1204:AD1205"/>
    <mergeCell ref="AE1204:AE1205"/>
    <mergeCell ref="X1206:X1207"/>
    <mergeCell ref="AA1206:AA1207"/>
    <mergeCell ref="AC1206:AC1207"/>
    <mergeCell ref="AD1206:AD1207"/>
    <mergeCell ref="N1204:N1205"/>
    <mergeCell ref="O1204:O1205"/>
    <mergeCell ref="P1204:P1205"/>
    <mergeCell ref="Q1204:Q1207"/>
    <mergeCell ref="R1204:R1209"/>
    <mergeCell ref="S1204:S1209"/>
    <mergeCell ref="O1206:O1207"/>
    <mergeCell ref="P1206:P1207"/>
    <mergeCell ref="Q1208:Q1209"/>
    <mergeCell ref="H1204:H1205"/>
    <mergeCell ref="I1204:I1205"/>
    <mergeCell ref="J1204:J1205"/>
    <mergeCell ref="AA1208:AA1209"/>
    <mergeCell ref="AC1208:AC1209"/>
    <mergeCell ref="AD1208:AD1209"/>
    <mergeCell ref="AE1208:AE1209"/>
    <mergeCell ref="A1210:A1224"/>
    <mergeCell ref="AE1206:AE1207"/>
    <mergeCell ref="E1208:E1209"/>
    <mergeCell ref="H1208:H1209"/>
    <mergeCell ref="I1208:I1209"/>
    <mergeCell ref="J1208:J1209"/>
    <mergeCell ref="K1208:K1209"/>
    <mergeCell ref="M1208:M1209"/>
    <mergeCell ref="N1208:N1209"/>
    <mergeCell ref="O1208:O1209"/>
    <mergeCell ref="P1208:P1209"/>
    <mergeCell ref="AD1216:AD1221"/>
    <mergeCell ref="AE1216:AE1221"/>
    <mergeCell ref="AD1210:AD1215"/>
    <mergeCell ref="AE1210:AE1215"/>
    <mergeCell ref="H1222:H1224"/>
    <mergeCell ref="I1222:I1224"/>
    <mergeCell ref="J1222:J1224"/>
    <mergeCell ref="K1222:K1224"/>
    <mergeCell ref="G1210:G1224"/>
    <mergeCell ref="H1210:H1215"/>
    <mergeCell ref="I1210:I1215"/>
    <mergeCell ref="J1210:J1215"/>
    <mergeCell ref="K1210:K1215"/>
    <mergeCell ref="L1210:L1224"/>
    <mergeCell ref="H1216:H1221"/>
    <mergeCell ref="I1216:I1221"/>
    <mergeCell ref="J1216:J1221"/>
    <mergeCell ref="AF1210:AF1224"/>
    <mergeCell ref="AG1210:AG1224"/>
    <mergeCell ref="AH1210:AH1224"/>
    <mergeCell ref="AI1210:AI1224"/>
    <mergeCell ref="AD1222:AD1224"/>
    <mergeCell ref="AE1222:AE1224"/>
    <mergeCell ref="S1210:S1224"/>
    <mergeCell ref="X1210:X1215"/>
    <mergeCell ref="Y1210:Y1224"/>
    <mergeCell ref="AA1210:AA1215"/>
    <mergeCell ref="AB1210:AB1224"/>
    <mergeCell ref="AC1210:AC1215"/>
    <mergeCell ref="M1210:M1215"/>
    <mergeCell ref="N1210:N1215"/>
    <mergeCell ref="O1210:O1215"/>
    <mergeCell ref="P1210:P1215"/>
    <mergeCell ref="Q1210:Q1215"/>
    <mergeCell ref="R1210:R1224"/>
    <mergeCell ref="M1216:M1221"/>
    <mergeCell ref="N1216:N1221"/>
    <mergeCell ref="O1216:O1221"/>
    <mergeCell ref="P1216:P1221"/>
    <mergeCell ref="X1222:X1224"/>
    <mergeCell ref="AA1222:AA1224"/>
    <mergeCell ref="AC1222:AC1224"/>
    <mergeCell ref="M1222:M1224"/>
    <mergeCell ref="N1222:N1224"/>
    <mergeCell ref="Q1216:Q1221"/>
    <mergeCell ref="X1216:X1221"/>
    <mergeCell ref="AA1216:AA1221"/>
    <mergeCell ref="AC1216:AC1221"/>
    <mergeCell ref="K1216:K1221"/>
    <mergeCell ref="Q1236:Q1237"/>
    <mergeCell ref="H1234:H1235"/>
    <mergeCell ref="I1234:I1235"/>
    <mergeCell ref="J1234:J1235"/>
    <mergeCell ref="K1234:K1235"/>
    <mergeCell ref="L1234:L1237"/>
    <mergeCell ref="M1234:M1235"/>
    <mergeCell ref="B1234:B1237"/>
    <mergeCell ref="C1234:C1237"/>
    <mergeCell ref="D1234:D1237"/>
    <mergeCell ref="E1234:E1235"/>
    <mergeCell ref="F1234:F1237"/>
    <mergeCell ref="G1234:G1237"/>
    <mergeCell ref="A1226:A1232"/>
    <mergeCell ref="B1226:B1232"/>
    <mergeCell ref="A1234:A1237"/>
    <mergeCell ref="O1222:O1224"/>
    <mergeCell ref="P1222:P1224"/>
    <mergeCell ref="Q1222:Q1224"/>
    <mergeCell ref="B1210:B1224"/>
    <mergeCell ref="C1210:C1224"/>
    <mergeCell ref="D1210:D1224"/>
    <mergeCell ref="E1210:E1221"/>
    <mergeCell ref="F1210:F1224"/>
    <mergeCell ref="E1222:E1224"/>
    <mergeCell ref="F1238:F1243"/>
    <mergeCell ref="G1238:G1243"/>
    <mergeCell ref="A1238:A1243"/>
    <mergeCell ref="AG1234:AG1237"/>
    <mergeCell ref="AH1234:AH1237"/>
    <mergeCell ref="AI1234:AI1237"/>
    <mergeCell ref="E1236:E1237"/>
    <mergeCell ref="H1236:H1237"/>
    <mergeCell ref="I1236:I1237"/>
    <mergeCell ref="J1236:J1237"/>
    <mergeCell ref="K1236:K1237"/>
    <mergeCell ref="M1236:M1237"/>
    <mergeCell ref="N1236:N1237"/>
    <mergeCell ref="AA1234:AA1235"/>
    <mergeCell ref="AB1234:AB1237"/>
    <mergeCell ref="AC1234:AC1235"/>
    <mergeCell ref="AD1234:AD1235"/>
    <mergeCell ref="AE1234:AE1235"/>
    <mergeCell ref="AF1234:AF1237"/>
    <mergeCell ref="AA1236:AA1237"/>
    <mergeCell ref="AC1236:AC1237"/>
    <mergeCell ref="AD1236:AD1237"/>
    <mergeCell ref="AE1236:AE1237"/>
    <mergeCell ref="N1234:N1235"/>
    <mergeCell ref="O1234:O1235"/>
    <mergeCell ref="P1234:P1235"/>
    <mergeCell ref="Q1234:Q1235"/>
    <mergeCell ref="R1234:R1237"/>
    <mergeCell ref="S1234:S1237"/>
    <mergeCell ref="O1236:O1237"/>
    <mergeCell ref="P1236:P1237"/>
    <mergeCell ref="E1244:E1250"/>
    <mergeCell ref="F1244:F1250"/>
    <mergeCell ref="G1244:G1250"/>
    <mergeCell ref="A1244:A1250"/>
    <mergeCell ref="AD1238:AD1242"/>
    <mergeCell ref="AE1238:AE1242"/>
    <mergeCell ref="AF1238:AF1243"/>
    <mergeCell ref="AG1238:AG1243"/>
    <mergeCell ref="AH1238:AH1243"/>
    <mergeCell ref="AI1238:AI1243"/>
    <mergeCell ref="W1238:W1242"/>
    <mergeCell ref="X1238:X1242"/>
    <mergeCell ref="Y1238:Y1243"/>
    <mergeCell ref="AA1238:AA1242"/>
    <mergeCell ref="AB1238:AB1243"/>
    <mergeCell ref="AC1238:AC1242"/>
    <mergeCell ref="N1238:N1242"/>
    <mergeCell ref="O1238:O1242"/>
    <mergeCell ref="P1238:P1242"/>
    <mergeCell ref="Q1238:Q1242"/>
    <mergeCell ref="R1238:R1243"/>
    <mergeCell ref="S1238:S1243"/>
    <mergeCell ref="H1238:H1242"/>
    <mergeCell ref="I1238:I1242"/>
    <mergeCell ref="J1238:J1242"/>
    <mergeCell ref="K1238:K1242"/>
    <mergeCell ref="L1238:L1243"/>
    <mergeCell ref="M1238:M1242"/>
    <mergeCell ref="B1238:B1243"/>
    <mergeCell ref="C1238:C1243"/>
    <mergeCell ref="D1238:D1243"/>
    <mergeCell ref="E1238:E1242"/>
    <mergeCell ref="B1252:B1255"/>
    <mergeCell ref="C1252:C1255"/>
    <mergeCell ref="D1252:D1255"/>
    <mergeCell ref="E1252:E1255"/>
    <mergeCell ref="F1252:F1255"/>
    <mergeCell ref="AE1244:AE1250"/>
    <mergeCell ref="AF1244:AF1250"/>
    <mergeCell ref="AG1244:AG1250"/>
    <mergeCell ref="AH1244:AH1250"/>
    <mergeCell ref="AI1244:AI1250"/>
    <mergeCell ref="A1252:A1255"/>
    <mergeCell ref="X1244:X1250"/>
    <mergeCell ref="Y1244:Y1250"/>
    <mergeCell ref="AA1244:AA1250"/>
    <mergeCell ref="AB1244:AB1250"/>
    <mergeCell ref="AC1244:AC1250"/>
    <mergeCell ref="AD1244:AD1250"/>
    <mergeCell ref="N1244:N1250"/>
    <mergeCell ref="O1244:O1250"/>
    <mergeCell ref="P1244:P1250"/>
    <mergeCell ref="Q1244:Q1250"/>
    <mergeCell ref="R1244:R1250"/>
    <mergeCell ref="S1244:S1250"/>
    <mergeCell ref="H1244:H1250"/>
    <mergeCell ref="I1244:I1250"/>
    <mergeCell ref="J1244:J1250"/>
    <mergeCell ref="K1244:K1250"/>
    <mergeCell ref="L1244:L1250"/>
    <mergeCell ref="M1244:M1250"/>
    <mergeCell ref="B1244:B1250"/>
    <mergeCell ref="C1244:C1250"/>
    <mergeCell ref="D1244:D1250"/>
    <mergeCell ref="C1256:C1268"/>
    <mergeCell ref="D1256:D1268"/>
    <mergeCell ref="E1256:E1268"/>
    <mergeCell ref="F1256:F1268"/>
    <mergeCell ref="G1256:G1268"/>
    <mergeCell ref="AD1252:AD1255"/>
    <mergeCell ref="AE1252:AE1255"/>
    <mergeCell ref="AF1252:AF1255"/>
    <mergeCell ref="AG1252:AG1255"/>
    <mergeCell ref="AH1252:AH1255"/>
    <mergeCell ref="AI1252:AI1255"/>
    <mergeCell ref="S1252:S1255"/>
    <mergeCell ref="X1252:X1255"/>
    <mergeCell ref="Y1252:Y1255"/>
    <mergeCell ref="AA1252:AA1255"/>
    <mergeCell ref="AB1252:AB1255"/>
    <mergeCell ref="AC1252:AC1255"/>
    <mergeCell ref="M1252:M1255"/>
    <mergeCell ref="N1252:N1255"/>
    <mergeCell ref="O1252:O1255"/>
    <mergeCell ref="P1252:P1255"/>
    <mergeCell ref="Q1252:Q1255"/>
    <mergeCell ref="R1252:R1255"/>
    <mergeCell ref="G1252:G1255"/>
    <mergeCell ref="H1252:H1255"/>
    <mergeCell ref="I1252:I1255"/>
    <mergeCell ref="J1252:J1255"/>
    <mergeCell ref="K1252:K1255"/>
    <mergeCell ref="L1252:L1255"/>
    <mergeCell ref="AD1266:AD1268"/>
    <mergeCell ref="AE1266:AE1268"/>
    <mergeCell ref="H1266:H1268"/>
    <mergeCell ref="I1266:I1268"/>
    <mergeCell ref="J1266:J1268"/>
    <mergeCell ref="K1266:K1268"/>
    <mergeCell ref="M1266:M1268"/>
    <mergeCell ref="N1266:N1268"/>
    <mergeCell ref="O1266:O1268"/>
    <mergeCell ref="P1266:P1268"/>
    <mergeCell ref="Q1266:Q1268"/>
    <mergeCell ref="AI1256:AI1268"/>
    <mergeCell ref="T1258:T1259"/>
    <mergeCell ref="T1260:T1261"/>
    <mergeCell ref="I1261:I1265"/>
    <mergeCell ref="J1261:J1265"/>
    <mergeCell ref="O1261:O1265"/>
    <mergeCell ref="P1261:P1265"/>
    <mergeCell ref="Q1261:Q1265"/>
    <mergeCell ref="AC1256:AC1260"/>
    <mergeCell ref="AD1256:AD1265"/>
    <mergeCell ref="AE1256:AE1265"/>
    <mergeCell ref="AF1256:AF1268"/>
    <mergeCell ref="AG1256:AG1268"/>
    <mergeCell ref="AH1256:AH1268"/>
    <mergeCell ref="AC1261:AC1265"/>
    <mergeCell ref="T1256:T1257"/>
    <mergeCell ref="X1256:X1265"/>
    <mergeCell ref="Y1256:Y1268"/>
    <mergeCell ref="AA1256:AA1260"/>
    <mergeCell ref="AB1256:AB1268"/>
    <mergeCell ref="AA1261:AA1265"/>
    <mergeCell ref="B1269:B1273"/>
    <mergeCell ref="C1269:C1273"/>
    <mergeCell ref="D1269:D1273"/>
    <mergeCell ref="E1269:E1270"/>
    <mergeCell ref="F1269:F1273"/>
    <mergeCell ref="G1269:G1273"/>
    <mergeCell ref="A1269:A1273"/>
    <mergeCell ref="W1266:W1268"/>
    <mergeCell ref="X1266:X1268"/>
    <mergeCell ref="AA1266:AA1268"/>
    <mergeCell ref="AC1266:AC1268"/>
    <mergeCell ref="A1256:A1268"/>
    <mergeCell ref="X1272:X1273"/>
    <mergeCell ref="AA1272:AA1273"/>
    <mergeCell ref="AC1272:AC1273"/>
    <mergeCell ref="V1262:V1263"/>
    <mergeCell ref="V1264:V1265"/>
    <mergeCell ref="T1262:T1263"/>
    <mergeCell ref="T1264:T1265"/>
    <mergeCell ref="N1256:N1265"/>
    <mergeCell ref="O1256:O1260"/>
    <mergeCell ref="P1256:P1260"/>
    <mergeCell ref="Q1256:Q1260"/>
    <mergeCell ref="R1256:R1268"/>
    <mergeCell ref="S1256:S1268"/>
    <mergeCell ref="H1256:H1265"/>
    <mergeCell ref="I1256:I1260"/>
    <mergeCell ref="J1256:J1260"/>
    <mergeCell ref="K1256:K1265"/>
    <mergeCell ref="L1256:L1268"/>
    <mergeCell ref="M1256:M1265"/>
    <mergeCell ref="B1256:B1268"/>
    <mergeCell ref="AE1272:AE1273"/>
    <mergeCell ref="AE1269:AE1270"/>
    <mergeCell ref="AF1269:AF1273"/>
    <mergeCell ref="AG1269:AG1273"/>
    <mergeCell ref="AH1269:AH1273"/>
    <mergeCell ref="AI1269:AI1273"/>
    <mergeCell ref="E1272:E1273"/>
    <mergeCell ref="H1272:H1273"/>
    <mergeCell ref="I1272:I1273"/>
    <mergeCell ref="J1272:J1273"/>
    <mergeCell ref="K1272:K1273"/>
    <mergeCell ref="X1269:X1270"/>
    <mergeCell ref="Y1269:Y1273"/>
    <mergeCell ref="AA1269:AA1270"/>
    <mergeCell ref="AB1269:AB1273"/>
    <mergeCell ref="AC1269:AC1270"/>
    <mergeCell ref="AD1269:AD1270"/>
    <mergeCell ref="N1269:N1270"/>
    <mergeCell ref="O1269:O1270"/>
    <mergeCell ref="P1269:P1270"/>
    <mergeCell ref="Q1269:Q1270"/>
    <mergeCell ref="R1269:R1273"/>
    <mergeCell ref="S1269:S1273"/>
    <mergeCell ref="N1272:N1273"/>
    <mergeCell ref="O1272:O1273"/>
    <mergeCell ref="P1272:P1273"/>
    <mergeCell ref="Q1272:Q1273"/>
    <mergeCell ref="H1269:H1270"/>
    <mergeCell ref="V1272:V1273"/>
    <mergeCell ref="I1269:I1270"/>
    <mergeCell ref="J1269:J1270"/>
    <mergeCell ref="K1269:K1270"/>
    <mergeCell ref="O1274:O1280"/>
    <mergeCell ref="P1274:P1280"/>
    <mergeCell ref="Q1274:Q1280"/>
    <mergeCell ref="R1274:R1294"/>
    <mergeCell ref="S1274:S1294"/>
    <mergeCell ref="O1281:O1287"/>
    <mergeCell ref="P1281:P1287"/>
    <mergeCell ref="Q1281:Q1287"/>
    <mergeCell ref="H1274:H1287"/>
    <mergeCell ref="I1274:I1280"/>
    <mergeCell ref="J1274:J1280"/>
    <mergeCell ref="K1274:K1287"/>
    <mergeCell ref="L1274:L1294"/>
    <mergeCell ref="M1274:M1287"/>
    <mergeCell ref="I1281:I1287"/>
    <mergeCell ref="J1281:J1287"/>
    <mergeCell ref="AD1272:AD1273"/>
    <mergeCell ref="L1269:L1273"/>
    <mergeCell ref="M1269:M1270"/>
    <mergeCell ref="M1272:M1273"/>
    <mergeCell ref="AI1274:AI1294"/>
    <mergeCell ref="T1276:T1277"/>
    <mergeCell ref="T1278:T1279"/>
    <mergeCell ref="T1280:T1281"/>
    <mergeCell ref="AA1281:AA1287"/>
    <mergeCell ref="AC1281:AC1287"/>
    <mergeCell ref="T1282:T1283"/>
    <mergeCell ref="AC1274:AC1280"/>
    <mergeCell ref="AD1274:AD1287"/>
    <mergeCell ref="AE1274:AE1287"/>
    <mergeCell ref="AF1274:AF1294"/>
    <mergeCell ref="AG1274:AG1294"/>
    <mergeCell ref="AH1274:AH1294"/>
    <mergeCell ref="T1274:T1275"/>
    <mergeCell ref="X1274:X1287"/>
    <mergeCell ref="Y1274:Y1294"/>
    <mergeCell ref="AA1274:AA1280"/>
    <mergeCell ref="AB1274:AB1294"/>
    <mergeCell ref="T1284:T1285"/>
    <mergeCell ref="T1286:T1287"/>
    <mergeCell ref="E1295:E1300"/>
    <mergeCell ref="F1295:F1300"/>
    <mergeCell ref="X1288:X1294"/>
    <mergeCell ref="AA1288:AA1294"/>
    <mergeCell ref="AC1288:AC1294"/>
    <mergeCell ref="AD1288:AD1294"/>
    <mergeCell ref="AE1288:AE1294"/>
    <mergeCell ref="A1295:A1300"/>
    <mergeCell ref="H1288:H1294"/>
    <mergeCell ref="I1288:I1294"/>
    <mergeCell ref="J1288:J1294"/>
    <mergeCell ref="K1288:K1294"/>
    <mergeCell ref="M1288:M1294"/>
    <mergeCell ref="N1288:N1294"/>
    <mergeCell ref="O1288:O1294"/>
    <mergeCell ref="P1288:P1294"/>
    <mergeCell ref="Q1288:Q1294"/>
    <mergeCell ref="B1274:B1294"/>
    <mergeCell ref="C1274:C1294"/>
    <mergeCell ref="D1274:D1294"/>
    <mergeCell ref="E1274:E1294"/>
    <mergeCell ref="F1274:F1294"/>
    <mergeCell ref="G1274:G1294"/>
    <mergeCell ref="A1274:A1294"/>
    <mergeCell ref="V1274:V1275"/>
    <mergeCell ref="V1276:V1277"/>
    <mergeCell ref="V1278:V1279"/>
    <mergeCell ref="V1280:V1281"/>
    <mergeCell ref="V1282:V1283"/>
    <mergeCell ref="V1284:V1285"/>
    <mergeCell ref="V1286:V1287"/>
    <mergeCell ref="N1274:N1287"/>
    <mergeCell ref="B1301:B1304"/>
    <mergeCell ref="C1301:C1304"/>
    <mergeCell ref="D1301:D1304"/>
    <mergeCell ref="E1301:E1304"/>
    <mergeCell ref="F1301:F1304"/>
    <mergeCell ref="G1301:G1304"/>
    <mergeCell ref="A1301:A1308"/>
    <mergeCell ref="AG1295:AG1300"/>
    <mergeCell ref="AH1295:AH1300"/>
    <mergeCell ref="AI1295:AI1300"/>
    <mergeCell ref="H1298:H1300"/>
    <mergeCell ref="I1298:I1300"/>
    <mergeCell ref="J1298:J1300"/>
    <mergeCell ref="K1298:K1300"/>
    <mergeCell ref="M1298:M1300"/>
    <mergeCell ref="Q1298:Q1300"/>
    <mergeCell ref="W1298:W1300"/>
    <mergeCell ref="M1295:M1297"/>
    <mergeCell ref="Q1295:Q1297"/>
    <mergeCell ref="R1295:R1300"/>
    <mergeCell ref="S1295:S1300"/>
    <mergeCell ref="W1295:W1297"/>
    <mergeCell ref="AF1295:AF1300"/>
    <mergeCell ref="G1295:G1300"/>
    <mergeCell ref="H1295:H1297"/>
    <mergeCell ref="I1295:I1297"/>
    <mergeCell ref="J1295:J1297"/>
    <mergeCell ref="K1295:K1297"/>
    <mergeCell ref="L1295:L1300"/>
    <mergeCell ref="B1295:B1300"/>
    <mergeCell ref="C1295:C1300"/>
    <mergeCell ref="D1295:D1300"/>
    <mergeCell ref="AE1301:AE1304"/>
    <mergeCell ref="AF1301:AF1304"/>
    <mergeCell ref="AG1301:AG1304"/>
    <mergeCell ref="AH1301:AH1304"/>
    <mergeCell ref="AI1301:AI1304"/>
    <mergeCell ref="H1305:H1308"/>
    <mergeCell ref="I1305:I1308"/>
    <mergeCell ref="X1301:X1304"/>
    <mergeCell ref="Y1301:Y1304"/>
    <mergeCell ref="AA1301:AA1304"/>
    <mergeCell ref="AB1301:AB1304"/>
    <mergeCell ref="AC1301:AC1304"/>
    <mergeCell ref="AD1301:AD1304"/>
    <mergeCell ref="N1301:N1304"/>
    <mergeCell ref="O1301:O1304"/>
    <mergeCell ref="P1301:P1304"/>
    <mergeCell ref="Q1301:Q1304"/>
    <mergeCell ref="R1301:R1304"/>
    <mergeCell ref="S1301:S1304"/>
    <mergeCell ref="H1301:H1304"/>
    <mergeCell ref="I1301:I1304"/>
    <mergeCell ref="J1301:J1304"/>
    <mergeCell ref="K1301:K1304"/>
    <mergeCell ref="L1301:L1304"/>
    <mergeCell ref="M1301:M1304"/>
    <mergeCell ref="A1310:A1324"/>
    <mergeCell ref="AE1310:AE1317"/>
    <mergeCell ref="H1310:H1317"/>
    <mergeCell ref="AF1310:AF1321"/>
    <mergeCell ref="AG1310:AG1321"/>
    <mergeCell ref="AH1310:AH1321"/>
    <mergeCell ref="AI1310:AI1321"/>
    <mergeCell ref="T1312:T1313"/>
    <mergeCell ref="T1314:T1315"/>
    <mergeCell ref="AA1314:AA1317"/>
    <mergeCell ref="T1310:T1311"/>
    <mergeCell ref="X1310:X1317"/>
    <mergeCell ref="AA1310:AA1313"/>
    <mergeCell ref="AC1310:AC1317"/>
    <mergeCell ref="AD1310:AD1317"/>
    <mergeCell ref="T1316:T1317"/>
    <mergeCell ref="V1310:V1311"/>
    <mergeCell ref="V1312:V1313"/>
    <mergeCell ref="V1314:V1315"/>
    <mergeCell ref="N1310:N1317"/>
    <mergeCell ref="O1310:O1313"/>
    <mergeCell ref="P1310:P1313"/>
    <mergeCell ref="Q1310:Q1313"/>
    <mergeCell ref="R1310:R1321"/>
    <mergeCell ref="S1310:S1321"/>
    <mergeCell ref="O1314:O1317"/>
    <mergeCell ref="P1314:P1317"/>
    <mergeCell ref="Q1314:Q1317"/>
    <mergeCell ref="Q1318:Q1321"/>
    <mergeCell ref="I1310:I1313"/>
    <mergeCell ref="J1310:J1313"/>
    <mergeCell ref="K1310:K1317"/>
    <mergeCell ref="X1318:X1321"/>
    <mergeCell ref="AA1318:AA1321"/>
    <mergeCell ref="AC1318:AC1321"/>
    <mergeCell ref="AD1318:AD1321"/>
    <mergeCell ref="AE1318:AE1321"/>
    <mergeCell ref="H1322:H1324"/>
    <mergeCell ref="I1322:I1324"/>
    <mergeCell ref="M1322:M1324"/>
    <mergeCell ref="W1322:W1324"/>
    <mergeCell ref="X1322:X1324"/>
    <mergeCell ref="J1318:J1321"/>
    <mergeCell ref="K1318:K1321"/>
    <mergeCell ref="M1318:M1321"/>
    <mergeCell ref="N1318:N1321"/>
    <mergeCell ref="O1318:O1321"/>
    <mergeCell ref="P1318:P1321"/>
    <mergeCell ref="B1310:B1321"/>
    <mergeCell ref="C1310:C1321"/>
    <mergeCell ref="D1310:D1321"/>
    <mergeCell ref="E1310:E1321"/>
    <mergeCell ref="F1310:F1321"/>
    <mergeCell ref="G1310:G1321"/>
    <mergeCell ref="L1310:L1321"/>
    <mergeCell ref="M1310:M1317"/>
    <mergeCell ref="I1314:I1317"/>
    <mergeCell ref="J1314:J1317"/>
    <mergeCell ref="H1318:H1321"/>
    <mergeCell ref="I1318:I1321"/>
    <mergeCell ref="J1337:J1338"/>
    <mergeCell ref="K1337:K1338"/>
    <mergeCell ref="L1337:L1338"/>
    <mergeCell ref="M1337:M1338"/>
    <mergeCell ref="B1337:B1338"/>
    <mergeCell ref="C1337:C1338"/>
    <mergeCell ref="D1337:D1338"/>
    <mergeCell ref="E1337:E1338"/>
    <mergeCell ref="F1337:F1338"/>
    <mergeCell ref="G1337:G1338"/>
    <mergeCell ref="A1337:A1338"/>
    <mergeCell ref="K1339:K1345"/>
    <mergeCell ref="L1339:L1351"/>
    <mergeCell ref="M1347:M1349"/>
    <mergeCell ref="N1347:N1349"/>
    <mergeCell ref="A1325:A1336"/>
    <mergeCell ref="H1325:H1327"/>
    <mergeCell ref="I1325:I1327"/>
    <mergeCell ref="H1328:H1330"/>
    <mergeCell ref="I1328:I1330"/>
    <mergeCell ref="H1331:H1333"/>
    <mergeCell ref="I1331:I1333"/>
    <mergeCell ref="G1339:G1351"/>
    <mergeCell ref="H1339:H1346"/>
    <mergeCell ref="I1339:I1342"/>
    <mergeCell ref="H1347:H1350"/>
    <mergeCell ref="I1347:I1350"/>
    <mergeCell ref="D1339:D1351"/>
    <mergeCell ref="E1339:E1351"/>
    <mergeCell ref="F1339:F1351"/>
    <mergeCell ref="D1352:D1356"/>
    <mergeCell ref="E1352:E1355"/>
    <mergeCell ref="F1352:F1356"/>
    <mergeCell ref="G1352:G1356"/>
    <mergeCell ref="O1347:O1349"/>
    <mergeCell ref="AH1337:AH1338"/>
    <mergeCell ref="AI1337:AI1338"/>
    <mergeCell ref="P1347:P1349"/>
    <mergeCell ref="W1347:W1350"/>
    <mergeCell ref="X1347:X1350"/>
    <mergeCell ref="A1339:A1351"/>
    <mergeCell ref="B1339:B1351"/>
    <mergeCell ref="C1339:C1351"/>
    <mergeCell ref="AB1337:AB1338"/>
    <mergeCell ref="AC1337:AC1338"/>
    <mergeCell ref="AD1337:AD1338"/>
    <mergeCell ref="AE1337:AE1338"/>
    <mergeCell ref="AF1337:AF1338"/>
    <mergeCell ref="AG1337:AG1338"/>
    <mergeCell ref="N1337:N1338"/>
    <mergeCell ref="O1337:O1338"/>
    <mergeCell ref="P1337:P1338"/>
    <mergeCell ref="Q1337:Q1338"/>
    <mergeCell ref="R1337:R1338"/>
    <mergeCell ref="S1337:S1338"/>
    <mergeCell ref="H1337:H1338"/>
    <mergeCell ref="I1337:I1338"/>
    <mergeCell ref="A1352:A1356"/>
    <mergeCell ref="AE1339:AE1351"/>
    <mergeCell ref="AF1339:AF1351"/>
    <mergeCell ref="AG1339:AG1351"/>
    <mergeCell ref="AH1339:AH1351"/>
    <mergeCell ref="AI1339:AI1351"/>
    <mergeCell ref="I1343:I1346"/>
    <mergeCell ref="J1343:J1345"/>
    <mergeCell ref="O1343:O1345"/>
    <mergeCell ref="P1343:P1345"/>
    <mergeCell ref="W1343:W1346"/>
    <mergeCell ref="Y1339:Y1351"/>
    <mergeCell ref="Z1339:Z1351"/>
    <mergeCell ref="AA1339:AA1351"/>
    <mergeCell ref="AB1339:AB1351"/>
    <mergeCell ref="AC1339:AC1351"/>
    <mergeCell ref="AD1339:AD1351"/>
    <mergeCell ref="P1339:P1341"/>
    <mergeCell ref="Q1339:Q1351"/>
    <mergeCell ref="R1339:R1351"/>
    <mergeCell ref="S1339:S1351"/>
    <mergeCell ref="W1339:W1342"/>
    <mergeCell ref="X1339:X1346"/>
    <mergeCell ref="J1339:J1341"/>
    <mergeCell ref="M1339:M1345"/>
    <mergeCell ref="N1339:N1345"/>
    <mergeCell ref="O1339:O1341"/>
    <mergeCell ref="J1347:J1349"/>
    <mergeCell ref="K1347:K1349"/>
    <mergeCell ref="B1357:B1362"/>
    <mergeCell ref="C1357:C1362"/>
    <mergeCell ref="D1357:D1362"/>
    <mergeCell ref="E1357:E1360"/>
    <mergeCell ref="F1357:F1362"/>
    <mergeCell ref="E1361:E1362"/>
    <mergeCell ref="AE1352:AE1355"/>
    <mergeCell ref="AF1352:AF1356"/>
    <mergeCell ref="AG1352:AG1356"/>
    <mergeCell ref="AH1352:AH1356"/>
    <mergeCell ref="AI1352:AI1356"/>
    <mergeCell ref="A1357:A1362"/>
    <mergeCell ref="X1352:X1355"/>
    <mergeCell ref="Y1352:Y1356"/>
    <mergeCell ref="AA1352:AA1355"/>
    <mergeCell ref="AB1352:AB1356"/>
    <mergeCell ref="AC1352:AC1355"/>
    <mergeCell ref="AD1352:AD1355"/>
    <mergeCell ref="N1352:N1355"/>
    <mergeCell ref="O1352:O1355"/>
    <mergeCell ref="P1352:P1355"/>
    <mergeCell ref="Q1352:Q1355"/>
    <mergeCell ref="R1352:R1356"/>
    <mergeCell ref="S1352:S1356"/>
    <mergeCell ref="H1352:H1355"/>
    <mergeCell ref="I1352:I1355"/>
    <mergeCell ref="J1352:J1355"/>
    <mergeCell ref="K1352:K1355"/>
    <mergeCell ref="L1352:L1356"/>
    <mergeCell ref="M1352:M1355"/>
    <mergeCell ref="B1352:B1356"/>
    <mergeCell ref="C1352:C1356"/>
    <mergeCell ref="M1357:M1360"/>
    <mergeCell ref="N1357:N1360"/>
    <mergeCell ref="O1357:O1360"/>
    <mergeCell ref="P1357:P1360"/>
    <mergeCell ref="Q1357:Q1360"/>
    <mergeCell ref="R1357:R1362"/>
    <mergeCell ref="M1361:M1362"/>
    <mergeCell ref="N1361:N1362"/>
    <mergeCell ref="O1361:O1362"/>
    <mergeCell ref="P1361:P1362"/>
    <mergeCell ref="G1357:G1362"/>
    <mergeCell ref="H1357:H1360"/>
    <mergeCell ref="I1357:I1360"/>
    <mergeCell ref="J1357:J1360"/>
    <mergeCell ref="K1357:K1360"/>
    <mergeCell ref="L1357:L1362"/>
    <mergeCell ref="H1361:H1362"/>
    <mergeCell ref="I1361:I1362"/>
    <mergeCell ref="J1361:J1362"/>
    <mergeCell ref="K1361:K1362"/>
    <mergeCell ref="Q1361:Q1362"/>
    <mergeCell ref="X1361:X1362"/>
    <mergeCell ref="AA1361:AA1362"/>
    <mergeCell ref="AC1361:AC1362"/>
    <mergeCell ref="AD1361:AD1362"/>
    <mergeCell ref="AE1361:AE1362"/>
    <mergeCell ref="AD1357:AD1360"/>
    <mergeCell ref="AE1357:AE1360"/>
    <mergeCell ref="AF1357:AF1362"/>
    <mergeCell ref="AG1357:AG1362"/>
    <mergeCell ref="AH1357:AH1362"/>
    <mergeCell ref="AI1357:AI1362"/>
    <mergeCell ref="S1357:S1362"/>
    <mergeCell ref="X1357:X1360"/>
    <mergeCell ref="Y1357:Y1362"/>
    <mergeCell ref="AA1357:AA1360"/>
    <mergeCell ref="AB1357:AB1362"/>
    <mergeCell ref="AC1357:AC1360"/>
    <mergeCell ref="K1367:K1371"/>
    <mergeCell ref="L1367:L1371"/>
    <mergeCell ref="M1367:M1371"/>
    <mergeCell ref="B1367:B1371"/>
    <mergeCell ref="C1367:C1371"/>
    <mergeCell ref="D1367:D1371"/>
    <mergeCell ref="E1367:E1371"/>
    <mergeCell ref="F1367:F1371"/>
    <mergeCell ref="G1367:G1371"/>
    <mergeCell ref="A1367:A1371"/>
    <mergeCell ref="A1363:A1366"/>
    <mergeCell ref="H1363:H1364"/>
    <mergeCell ref="I1363:I1364"/>
    <mergeCell ref="J1363:J1364"/>
    <mergeCell ref="K1363:K1364"/>
    <mergeCell ref="W1363:W1364"/>
    <mergeCell ref="H1365:H1366"/>
    <mergeCell ref="I1365:I1366"/>
    <mergeCell ref="G1372:G1374"/>
    <mergeCell ref="H1372:H1373"/>
    <mergeCell ref="I1372:I1373"/>
    <mergeCell ref="J1372:J1373"/>
    <mergeCell ref="K1372:K1373"/>
    <mergeCell ref="L1372:L1374"/>
    <mergeCell ref="B1372:B1374"/>
    <mergeCell ref="C1372:C1374"/>
    <mergeCell ref="D1372:D1374"/>
    <mergeCell ref="E1372:E1373"/>
    <mergeCell ref="F1372:F1374"/>
    <mergeCell ref="AE1367:AE1371"/>
    <mergeCell ref="AF1367:AF1371"/>
    <mergeCell ref="AG1367:AG1371"/>
    <mergeCell ref="AH1367:AH1371"/>
    <mergeCell ref="AI1367:AI1371"/>
    <mergeCell ref="A1372:A1374"/>
    <mergeCell ref="X1367:X1371"/>
    <mergeCell ref="Y1367:Y1371"/>
    <mergeCell ref="AA1367:AA1371"/>
    <mergeCell ref="AB1367:AB1371"/>
    <mergeCell ref="AC1367:AC1371"/>
    <mergeCell ref="AD1367:AD1371"/>
    <mergeCell ref="N1367:N1371"/>
    <mergeCell ref="O1367:O1371"/>
    <mergeCell ref="P1367:P1371"/>
    <mergeCell ref="Q1367:Q1371"/>
    <mergeCell ref="R1367:R1371"/>
    <mergeCell ref="S1367:S1371"/>
    <mergeCell ref="H1367:H1371"/>
    <mergeCell ref="I1367:I1371"/>
    <mergeCell ref="J1367:J1371"/>
    <mergeCell ref="AD1372:AD1373"/>
    <mergeCell ref="AE1372:AE1373"/>
    <mergeCell ref="AF1372:AF1374"/>
    <mergeCell ref="AG1372:AG1374"/>
    <mergeCell ref="AH1372:AH1374"/>
    <mergeCell ref="AI1372:AI1374"/>
    <mergeCell ref="S1372:S1374"/>
    <mergeCell ref="X1372:X1373"/>
    <mergeCell ref="Y1372:Y1374"/>
    <mergeCell ref="AA1372:AA1373"/>
    <mergeCell ref="AB1372:AB1374"/>
    <mergeCell ref="AC1372:AC1373"/>
    <mergeCell ref="M1372:M1373"/>
    <mergeCell ref="N1372:N1373"/>
    <mergeCell ref="O1372:O1373"/>
    <mergeCell ref="P1372:P1373"/>
    <mergeCell ref="Q1372:Q1373"/>
    <mergeCell ref="R1372:R1374"/>
    <mergeCell ref="B1403:B1409"/>
    <mergeCell ref="C1403:C1409"/>
    <mergeCell ref="D1403:D1409"/>
    <mergeCell ref="E1403:E1405"/>
    <mergeCell ref="F1403:F1409"/>
    <mergeCell ref="I1391:I1398"/>
    <mergeCell ref="J1391:J1396"/>
    <mergeCell ref="Q1391:Q1396"/>
    <mergeCell ref="W1391:W1396"/>
    <mergeCell ref="X1391:X1396"/>
    <mergeCell ref="A1403:A1409"/>
    <mergeCell ref="A1375:A1402"/>
    <mergeCell ref="H1375:H1390"/>
    <mergeCell ref="I1375:I1382"/>
    <mergeCell ref="J1375:J1380"/>
    <mergeCell ref="W1375:W1380"/>
    <mergeCell ref="X1375:X1390"/>
    <mergeCell ref="I1383:I1390"/>
    <mergeCell ref="J1383:J1390"/>
    <mergeCell ref="W1383:W1390"/>
    <mergeCell ref="H1391:H1398"/>
    <mergeCell ref="M1403:M1405"/>
    <mergeCell ref="N1403:N1405"/>
    <mergeCell ref="O1403:O1405"/>
    <mergeCell ref="P1403:P1405"/>
    <mergeCell ref="Q1403:Q1405"/>
    <mergeCell ref="R1403:R1409"/>
    <mergeCell ref="M1406:M1407"/>
    <mergeCell ref="N1406:N1407"/>
    <mergeCell ref="O1406:O1407"/>
    <mergeCell ref="P1406:P1407"/>
    <mergeCell ref="G1403:G1409"/>
    <mergeCell ref="H1403:H1405"/>
    <mergeCell ref="I1403:I1405"/>
    <mergeCell ref="J1403:J1405"/>
    <mergeCell ref="K1403:K1405"/>
    <mergeCell ref="L1403:L1409"/>
    <mergeCell ref="K1408:K1409"/>
    <mergeCell ref="AD1403:AD1405"/>
    <mergeCell ref="AE1403:AE1405"/>
    <mergeCell ref="AF1403:AF1409"/>
    <mergeCell ref="AG1403:AG1409"/>
    <mergeCell ref="AH1403:AH1409"/>
    <mergeCell ref="AI1403:AI1409"/>
    <mergeCell ref="AE1406:AE1407"/>
    <mergeCell ref="AD1408:AD1409"/>
    <mergeCell ref="AE1408:AE1409"/>
    <mergeCell ref="S1403:S1409"/>
    <mergeCell ref="X1403:X1405"/>
    <mergeCell ref="Y1403:Y1409"/>
    <mergeCell ref="AA1403:AA1405"/>
    <mergeCell ref="AB1403:AB1405"/>
    <mergeCell ref="AC1403:AC1405"/>
    <mergeCell ref="AA1408:AA1409"/>
    <mergeCell ref="AB1408:AB1409"/>
    <mergeCell ref="AC1408:AC1409"/>
    <mergeCell ref="M1408:M1409"/>
    <mergeCell ref="N1408:N1409"/>
    <mergeCell ref="O1408:O1409"/>
    <mergeCell ref="P1408:P1409"/>
    <mergeCell ref="Q1408:Q1409"/>
    <mergeCell ref="X1408:X1409"/>
    <mergeCell ref="Q1406:Q1407"/>
    <mergeCell ref="X1406:X1407"/>
    <mergeCell ref="AA1406:AA1407"/>
    <mergeCell ref="AB1406:AB1407"/>
    <mergeCell ref="AC1406:AC1407"/>
    <mergeCell ref="AD1406:AD1407"/>
    <mergeCell ref="E1406:E1409"/>
    <mergeCell ref="H1406:H1407"/>
    <mergeCell ref="I1406:I1407"/>
    <mergeCell ref="J1406:J1407"/>
    <mergeCell ref="K1406:K1407"/>
    <mergeCell ref="H1408:H1409"/>
    <mergeCell ref="I1408:I1409"/>
    <mergeCell ref="J1408:J1409"/>
    <mergeCell ref="AE1410:AE1413"/>
    <mergeCell ref="AF1410:AF1413"/>
    <mergeCell ref="AG1410:AG1413"/>
    <mergeCell ref="AH1410:AH1413"/>
    <mergeCell ref="AI1410:AI1413"/>
    <mergeCell ref="A1414:A1435"/>
    <mergeCell ref="X1410:X1413"/>
    <mergeCell ref="Y1410:Y1413"/>
    <mergeCell ref="AA1410:AA1413"/>
    <mergeCell ref="AB1410:AB1413"/>
    <mergeCell ref="AC1410:AC1413"/>
    <mergeCell ref="AD1410:AD1413"/>
    <mergeCell ref="N1410:N1413"/>
    <mergeCell ref="O1410:O1413"/>
    <mergeCell ref="P1410:P1413"/>
    <mergeCell ref="Q1410:Q1413"/>
    <mergeCell ref="R1410:R1413"/>
    <mergeCell ref="S1410:S1413"/>
    <mergeCell ref="H1410:H1413"/>
    <mergeCell ref="I1410:I1413"/>
    <mergeCell ref="J1410:J1413"/>
    <mergeCell ref="K1410:K1413"/>
    <mergeCell ref="L1410:L1413"/>
    <mergeCell ref="M1410:M1413"/>
    <mergeCell ref="B1410:B1413"/>
    <mergeCell ref="C1410:C1413"/>
    <mergeCell ref="D1410:D1413"/>
    <mergeCell ref="E1410:E1413"/>
    <mergeCell ref="F1410:F1413"/>
    <mergeCell ref="G1410:G1413"/>
    <mergeCell ref="A1410:A1413"/>
    <mergeCell ref="Q1414:Q1415"/>
    <mergeCell ref="R1414:R1435"/>
    <mergeCell ref="P1416:P1417"/>
    <mergeCell ref="Q1416:Q1417"/>
    <mergeCell ref="N1418:N1419"/>
    <mergeCell ref="O1418:O1419"/>
    <mergeCell ref="AI1414:AI1435"/>
    <mergeCell ref="H1416:H1417"/>
    <mergeCell ref="I1416:I1417"/>
    <mergeCell ref="J1416:J1417"/>
    <mergeCell ref="K1416:K1417"/>
    <mergeCell ref="M1416:M1417"/>
    <mergeCell ref="N1416:N1417"/>
    <mergeCell ref="O1416:O1417"/>
    <mergeCell ref="AB1414:AB1435"/>
    <mergeCell ref="AC1414:AC1415"/>
    <mergeCell ref="AD1414:AD1435"/>
    <mergeCell ref="AE1414:AE1435"/>
    <mergeCell ref="AF1414:AF1435"/>
    <mergeCell ref="AG1414:AG1435"/>
    <mergeCell ref="AC1416:AC1417"/>
    <mergeCell ref="AC1420:AC1421"/>
    <mergeCell ref="AC1422:AC1423"/>
    <mergeCell ref="AC1424:AC1425"/>
    <mergeCell ref="S1414:S1435"/>
    <mergeCell ref="W1414:W1415"/>
    <mergeCell ref="X1414:X1415"/>
    <mergeCell ref="Y1414:Y1435"/>
    <mergeCell ref="P1420:P1421"/>
    <mergeCell ref="Q1420:Q1421"/>
    <mergeCell ref="W1420:W1421"/>
    <mergeCell ref="P1418:P1419"/>
    <mergeCell ref="Q1418:Q1419"/>
    <mergeCell ref="W1418:W1419"/>
    <mergeCell ref="X1418:X1419"/>
    <mergeCell ref="I1414:I1415"/>
    <mergeCell ref="J1414:J1415"/>
    <mergeCell ref="K1414:K1415"/>
    <mergeCell ref="AH1414:AH1435"/>
    <mergeCell ref="AC1418:AC1419"/>
    <mergeCell ref="H1420:H1421"/>
    <mergeCell ref="I1420:I1421"/>
    <mergeCell ref="J1420:J1421"/>
    <mergeCell ref="K1420:K1421"/>
    <mergeCell ref="H1418:H1419"/>
    <mergeCell ref="I1418:I1419"/>
    <mergeCell ref="J1418:J1419"/>
    <mergeCell ref="K1418:K1419"/>
    <mergeCell ref="M1418:M1419"/>
    <mergeCell ref="N1424:N1425"/>
    <mergeCell ref="O1424:O1425"/>
    <mergeCell ref="P1424:P1425"/>
    <mergeCell ref="Q1424:Q1425"/>
    <mergeCell ref="W1424:W1425"/>
    <mergeCell ref="X1424:X1425"/>
    <mergeCell ref="H1424:H1425"/>
    <mergeCell ref="I1424:I1425"/>
    <mergeCell ref="J1424:J1425"/>
    <mergeCell ref="K1424:K1425"/>
    <mergeCell ref="M1424:M1425"/>
    <mergeCell ref="N1422:N1423"/>
    <mergeCell ref="O1422:O1423"/>
    <mergeCell ref="P1422:P1423"/>
    <mergeCell ref="Q1422:Q1423"/>
    <mergeCell ref="X1422:X1423"/>
    <mergeCell ref="Z1414:Z1435"/>
    <mergeCell ref="AA1414:AA1435"/>
    <mergeCell ref="W1416:W1417"/>
    <mergeCell ref="X1416:X1417"/>
    <mergeCell ref="X1420:X1421"/>
    <mergeCell ref="L1414:L1435"/>
    <mergeCell ref="M1414:M1415"/>
    <mergeCell ref="N1414:N1415"/>
    <mergeCell ref="O1414:O1415"/>
    <mergeCell ref="P1414:P1415"/>
    <mergeCell ref="M1420:M1421"/>
    <mergeCell ref="N1420:N1421"/>
    <mergeCell ref="B1414:B1435"/>
    <mergeCell ref="C1414:C1435"/>
    <mergeCell ref="D1414:D1435"/>
    <mergeCell ref="E1414:E1435"/>
    <mergeCell ref="F1414:F1435"/>
    <mergeCell ref="H1428:H1429"/>
    <mergeCell ref="I1428:I1429"/>
    <mergeCell ref="J1428:J1429"/>
    <mergeCell ref="K1428:K1429"/>
    <mergeCell ref="M1428:M1429"/>
    <mergeCell ref="N1428:N1429"/>
    <mergeCell ref="O1428:O1429"/>
    <mergeCell ref="P1428:P1429"/>
    <mergeCell ref="N1426:N1427"/>
    <mergeCell ref="O1426:O1427"/>
    <mergeCell ref="P1426:P1427"/>
    <mergeCell ref="Q1426:Q1427"/>
    <mergeCell ref="W1426:W1427"/>
    <mergeCell ref="X1426:X1427"/>
    <mergeCell ref="H1426:H1427"/>
    <mergeCell ref="I1426:I1427"/>
    <mergeCell ref="J1426:J1427"/>
    <mergeCell ref="K1426:K1427"/>
    <mergeCell ref="M1426:M1427"/>
    <mergeCell ref="O1420:O1421"/>
    <mergeCell ref="AC1430:AC1431"/>
    <mergeCell ref="H1432:H1433"/>
    <mergeCell ref="I1432:I1433"/>
    <mergeCell ref="J1432:J1433"/>
    <mergeCell ref="K1432:K1433"/>
    <mergeCell ref="M1432:M1433"/>
    <mergeCell ref="N1432:N1433"/>
    <mergeCell ref="O1432:O1433"/>
    <mergeCell ref="P1432:P1433"/>
    <mergeCell ref="N1430:N1431"/>
    <mergeCell ref="O1430:O1431"/>
    <mergeCell ref="P1430:P1431"/>
    <mergeCell ref="Q1430:Q1431"/>
    <mergeCell ref="W1430:W1431"/>
    <mergeCell ref="X1430:X1431"/>
    <mergeCell ref="Q1428:Q1429"/>
    <mergeCell ref="W1428:W1429"/>
    <mergeCell ref="X1428:X1429"/>
    <mergeCell ref="AC1428:AC1429"/>
    <mergeCell ref="H1430:H1431"/>
    <mergeCell ref="I1430:I1431"/>
    <mergeCell ref="J1430:J1431"/>
    <mergeCell ref="K1430:K1431"/>
    <mergeCell ref="M1430:M1431"/>
    <mergeCell ref="W1422:W1423"/>
    <mergeCell ref="H1422:H1423"/>
    <mergeCell ref="I1422:I1423"/>
    <mergeCell ref="J1422:J1423"/>
    <mergeCell ref="K1422:K1423"/>
    <mergeCell ref="M1422:M1423"/>
    <mergeCell ref="AC1426:AC1427"/>
    <mergeCell ref="AC1434:AC1435"/>
    <mergeCell ref="A1436:A1457"/>
    <mergeCell ref="B1436:B1457"/>
    <mergeCell ref="C1436:C1457"/>
    <mergeCell ref="D1436:D1457"/>
    <mergeCell ref="N1434:N1435"/>
    <mergeCell ref="O1434:O1435"/>
    <mergeCell ref="P1434:P1435"/>
    <mergeCell ref="Q1434:Q1435"/>
    <mergeCell ref="W1434:W1435"/>
    <mergeCell ref="X1434:X1435"/>
    <mergeCell ref="Q1432:Q1433"/>
    <mergeCell ref="W1432:W1433"/>
    <mergeCell ref="X1432:X1433"/>
    <mergeCell ref="AC1432:AC1433"/>
    <mergeCell ref="H1434:H1435"/>
    <mergeCell ref="I1434:I1435"/>
    <mergeCell ref="J1434:J1435"/>
    <mergeCell ref="K1434:K1435"/>
    <mergeCell ref="M1434:M1435"/>
    <mergeCell ref="H1444:H1445"/>
    <mergeCell ref="I1444:I1445"/>
    <mergeCell ref="J1444:J1445"/>
    <mergeCell ref="K1444:K1445"/>
    <mergeCell ref="Q1444:Q1445"/>
    <mergeCell ref="H1446:H1447"/>
    <mergeCell ref="I1446:I1447"/>
    <mergeCell ref="J1446:J1447"/>
    <mergeCell ref="K1446:K1447"/>
    <mergeCell ref="Q1446:Q1447"/>
    <mergeCell ref="G1414:G1435"/>
    <mergeCell ref="H1414:H1415"/>
    <mergeCell ref="AG1436:AG1457"/>
    <mergeCell ref="AH1436:AH1457"/>
    <mergeCell ref="AI1436:AI1457"/>
    <mergeCell ref="H1438:H1439"/>
    <mergeCell ref="I1438:I1439"/>
    <mergeCell ref="J1438:J1439"/>
    <mergeCell ref="K1438:K1439"/>
    <mergeCell ref="Q1438:Q1439"/>
    <mergeCell ref="H1440:H1441"/>
    <mergeCell ref="I1440:I1441"/>
    <mergeCell ref="K1436:K1437"/>
    <mergeCell ref="L1436:L1457"/>
    <mergeCell ref="M1436:M1457"/>
    <mergeCell ref="Q1436:Q1437"/>
    <mergeCell ref="R1436:R1457"/>
    <mergeCell ref="S1436:S1457"/>
    <mergeCell ref="K1440:K1441"/>
    <mergeCell ref="Q1440:Q1441"/>
    <mergeCell ref="K1442:K1443"/>
    <mergeCell ref="Q1442:Q1443"/>
    <mergeCell ref="H1436:H1437"/>
    <mergeCell ref="I1436:I1437"/>
    <mergeCell ref="H1456:H1457"/>
    <mergeCell ref="I1456:I1457"/>
    <mergeCell ref="J1456:J1457"/>
    <mergeCell ref="K1456:K1457"/>
    <mergeCell ref="Q1456:Q1457"/>
    <mergeCell ref="I1442:I1443"/>
    <mergeCell ref="J1442:J1443"/>
    <mergeCell ref="A1459:A1494"/>
    <mergeCell ref="H1452:H1453"/>
    <mergeCell ref="I1452:I1453"/>
    <mergeCell ref="J1452:J1453"/>
    <mergeCell ref="K1452:K1453"/>
    <mergeCell ref="Q1452:Q1453"/>
    <mergeCell ref="H1454:H1455"/>
    <mergeCell ref="I1454:I1455"/>
    <mergeCell ref="J1454:J1455"/>
    <mergeCell ref="K1454:K1455"/>
    <mergeCell ref="Q1454:Q1455"/>
    <mergeCell ref="H1448:H1449"/>
    <mergeCell ref="I1448:I1449"/>
    <mergeCell ref="J1448:J1449"/>
    <mergeCell ref="K1448:K1449"/>
    <mergeCell ref="Q1448:Q1449"/>
    <mergeCell ref="H1450:H1451"/>
    <mergeCell ref="I1450:I1451"/>
    <mergeCell ref="J1450:J1451"/>
    <mergeCell ref="K1450:K1451"/>
    <mergeCell ref="Q1450:Q1451"/>
    <mergeCell ref="E1436:E1457"/>
    <mergeCell ref="F1436:F1457"/>
    <mergeCell ref="G1436:G1457"/>
    <mergeCell ref="J1436:J1437"/>
    <mergeCell ref="J1440:J1441"/>
    <mergeCell ref="H1442:H1443"/>
    <mergeCell ref="M1459:M1462"/>
    <mergeCell ref="N1459:N1462"/>
    <mergeCell ref="O1459:O1462"/>
    <mergeCell ref="P1459:P1462"/>
    <mergeCell ref="Q1459:Q1462"/>
    <mergeCell ref="G1459:G1494"/>
    <mergeCell ref="H1459:H1462"/>
    <mergeCell ref="I1459:I1462"/>
    <mergeCell ref="J1459:J1462"/>
    <mergeCell ref="K1459:K1462"/>
    <mergeCell ref="L1459:L1494"/>
    <mergeCell ref="B1459:B1494"/>
    <mergeCell ref="C1459:C1494"/>
    <mergeCell ref="D1459:D1494"/>
    <mergeCell ref="E1459:E1494"/>
    <mergeCell ref="F1459:F1494"/>
    <mergeCell ref="AD1459:AD1462"/>
    <mergeCell ref="J1471:J1474"/>
    <mergeCell ref="K1471:K1474"/>
    <mergeCell ref="M1471:M1474"/>
    <mergeCell ref="N1467:N1470"/>
    <mergeCell ref="O1467:O1470"/>
    <mergeCell ref="P1467:P1470"/>
    <mergeCell ref="Q1467:Q1470"/>
    <mergeCell ref="H1467:H1470"/>
    <mergeCell ref="I1467:I1470"/>
    <mergeCell ref="J1467:J1470"/>
    <mergeCell ref="K1467:K1470"/>
    <mergeCell ref="M1467:M1470"/>
    <mergeCell ref="H1463:H1466"/>
    <mergeCell ref="I1463:I1466"/>
    <mergeCell ref="J1463:J1466"/>
    <mergeCell ref="K1463:K1466"/>
    <mergeCell ref="M1463:M1466"/>
    <mergeCell ref="H1479:H1482"/>
    <mergeCell ref="I1479:I1482"/>
    <mergeCell ref="J1479:J1482"/>
    <mergeCell ref="AE1459:AE1462"/>
    <mergeCell ref="AF1459:AF1494"/>
    <mergeCell ref="AG1459:AG1494"/>
    <mergeCell ref="AH1459:AH1494"/>
    <mergeCell ref="AI1459:AI1494"/>
    <mergeCell ref="AD1463:AD1466"/>
    <mergeCell ref="AE1463:AE1466"/>
    <mergeCell ref="AD1467:AD1470"/>
    <mergeCell ref="AE1467:AE1470"/>
    <mergeCell ref="S1459:S1494"/>
    <mergeCell ref="X1459:X1462"/>
    <mergeCell ref="Y1459:Y1494"/>
    <mergeCell ref="AA1459:AA1462"/>
    <mergeCell ref="AB1459:AB1494"/>
    <mergeCell ref="AC1459:AC1462"/>
    <mergeCell ref="X1463:X1466"/>
    <mergeCell ref="AA1463:AA1466"/>
    <mergeCell ref="AC1463:AC1466"/>
    <mergeCell ref="AC1467:AC1470"/>
    <mergeCell ref="X1467:X1470"/>
    <mergeCell ref="AA1467:AA1470"/>
    <mergeCell ref="AD1475:AD1478"/>
    <mergeCell ref="AE1475:AE1478"/>
    <mergeCell ref="O1475:O1478"/>
    <mergeCell ref="P1475:P1478"/>
    <mergeCell ref="Q1475:Q1478"/>
    <mergeCell ref="X1475:X1478"/>
    <mergeCell ref="AA1475:AA1478"/>
    <mergeCell ref="AC1475:AC1478"/>
    <mergeCell ref="AC1471:AC1474"/>
    <mergeCell ref="AD1471:AD1474"/>
    <mergeCell ref="AE1471:AE1474"/>
    <mergeCell ref="H1475:H1478"/>
    <mergeCell ref="I1475:I1478"/>
    <mergeCell ref="J1475:J1478"/>
    <mergeCell ref="K1475:K1478"/>
    <mergeCell ref="M1475:M1478"/>
    <mergeCell ref="N1475:N1478"/>
    <mergeCell ref="N1471:N1474"/>
    <mergeCell ref="O1471:O1474"/>
    <mergeCell ref="P1471:P1474"/>
    <mergeCell ref="Q1471:Q1474"/>
    <mergeCell ref="X1471:X1474"/>
    <mergeCell ref="AA1471:AA1474"/>
    <mergeCell ref="H1471:H1474"/>
    <mergeCell ref="I1471:I1474"/>
    <mergeCell ref="K1487:K1490"/>
    <mergeCell ref="M1487:M1490"/>
    <mergeCell ref="Q1483:Q1486"/>
    <mergeCell ref="X1483:X1486"/>
    <mergeCell ref="AA1483:AA1486"/>
    <mergeCell ref="AC1483:AC1486"/>
    <mergeCell ref="AD1483:AD1486"/>
    <mergeCell ref="AE1483:AE1486"/>
    <mergeCell ref="AE1479:AE1482"/>
    <mergeCell ref="H1483:H1486"/>
    <mergeCell ref="I1483:I1486"/>
    <mergeCell ref="J1483:J1486"/>
    <mergeCell ref="K1483:K1486"/>
    <mergeCell ref="M1483:M1486"/>
    <mergeCell ref="N1483:N1486"/>
    <mergeCell ref="O1483:O1486"/>
    <mergeCell ref="P1483:P1486"/>
    <mergeCell ref="P1479:P1482"/>
    <mergeCell ref="Q1479:Q1482"/>
    <mergeCell ref="X1479:X1482"/>
    <mergeCell ref="AA1479:AA1482"/>
    <mergeCell ref="AC1479:AC1482"/>
    <mergeCell ref="AD1479:AD1482"/>
    <mergeCell ref="R1459:R1494"/>
    <mergeCell ref="N1463:N1466"/>
    <mergeCell ref="O1463:O1466"/>
    <mergeCell ref="P1463:P1466"/>
    <mergeCell ref="Q1463:Q1466"/>
    <mergeCell ref="K1479:K1482"/>
    <mergeCell ref="M1479:M1482"/>
    <mergeCell ref="N1479:N1482"/>
    <mergeCell ref="O1479:O1482"/>
    <mergeCell ref="G1495:G1498"/>
    <mergeCell ref="H1495:H1498"/>
    <mergeCell ref="I1495:I1498"/>
    <mergeCell ref="AD1491:AD1494"/>
    <mergeCell ref="AE1491:AE1494"/>
    <mergeCell ref="A1495:A1498"/>
    <mergeCell ref="B1495:B1498"/>
    <mergeCell ref="C1495:C1498"/>
    <mergeCell ref="O1491:O1494"/>
    <mergeCell ref="P1491:P1494"/>
    <mergeCell ref="Q1491:Q1494"/>
    <mergeCell ref="X1491:X1494"/>
    <mergeCell ref="AA1491:AA1494"/>
    <mergeCell ref="AC1491:AC1494"/>
    <mergeCell ref="AC1487:AC1490"/>
    <mergeCell ref="AD1487:AD1490"/>
    <mergeCell ref="AE1487:AE1490"/>
    <mergeCell ref="H1491:H1494"/>
    <mergeCell ref="I1491:I1494"/>
    <mergeCell ref="J1491:J1494"/>
    <mergeCell ref="K1491:K1494"/>
    <mergeCell ref="M1491:M1494"/>
    <mergeCell ref="N1491:N1494"/>
    <mergeCell ref="N1487:N1490"/>
    <mergeCell ref="O1487:O1490"/>
    <mergeCell ref="P1487:P1490"/>
    <mergeCell ref="Q1487:Q1490"/>
    <mergeCell ref="X1487:X1490"/>
    <mergeCell ref="AA1487:AA1490"/>
    <mergeCell ref="H1487:H1490"/>
    <mergeCell ref="I1487:I1490"/>
    <mergeCell ref="J1487:J1490"/>
    <mergeCell ref="C1499:C1502"/>
    <mergeCell ref="D1499:D1502"/>
    <mergeCell ref="E1499:E1502"/>
    <mergeCell ref="F1499:F1502"/>
    <mergeCell ref="G1499:G1502"/>
    <mergeCell ref="H1499:H1500"/>
    <mergeCell ref="AG1495:AG1498"/>
    <mergeCell ref="AH1495:AH1498"/>
    <mergeCell ref="AI1495:AI1498"/>
    <mergeCell ref="A1499:A1502"/>
    <mergeCell ref="B1499:B1502"/>
    <mergeCell ref="AA1495:AA1498"/>
    <mergeCell ref="AB1495:AB1498"/>
    <mergeCell ref="AC1495:AC1498"/>
    <mergeCell ref="AD1495:AD1498"/>
    <mergeCell ref="AE1495:AE1498"/>
    <mergeCell ref="AF1495:AF1498"/>
    <mergeCell ref="P1495:P1498"/>
    <mergeCell ref="Q1495:Q1498"/>
    <mergeCell ref="R1495:R1498"/>
    <mergeCell ref="S1495:S1498"/>
    <mergeCell ref="X1495:X1498"/>
    <mergeCell ref="Y1495:Y1498"/>
    <mergeCell ref="J1495:J1498"/>
    <mergeCell ref="K1495:K1498"/>
    <mergeCell ref="L1495:L1498"/>
    <mergeCell ref="M1495:M1498"/>
    <mergeCell ref="N1495:N1498"/>
    <mergeCell ref="O1495:O1498"/>
    <mergeCell ref="D1495:D1498"/>
    <mergeCell ref="E1495:E1498"/>
    <mergeCell ref="F1495:F1498"/>
    <mergeCell ref="AE1501:AE1502"/>
    <mergeCell ref="O1499:O1500"/>
    <mergeCell ref="P1499:P1500"/>
    <mergeCell ref="Q1499:Q1500"/>
    <mergeCell ref="R1499:R1502"/>
    <mergeCell ref="S1499:S1502"/>
    <mergeCell ref="X1499:X1500"/>
    <mergeCell ref="O1501:O1502"/>
    <mergeCell ref="P1501:P1502"/>
    <mergeCell ref="Q1501:Q1502"/>
    <mergeCell ref="X1501:X1502"/>
    <mergeCell ref="I1499:I1500"/>
    <mergeCell ref="J1499:J1500"/>
    <mergeCell ref="K1499:K1500"/>
    <mergeCell ref="L1499:L1502"/>
    <mergeCell ref="M1499:M1500"/>
    <mergeCell ref="N1499:N1500"/>
    <mergeCell ref="H1503:H1504"/>
    <mergeCell ref="I1503:I1504"/>
    <mergeCell ref="J1503:J1504"/>
    <mergeCell ref="K1503:K1504"/>
    <mergeCell ref="L1503:L1505"/>
    <mergeCell ref="M1503:M1504"/>
    <mergeCell ref="B1503:B1505"/>
    <mergeCell ref="C1503:C1505"/>
    <mergeCell ref="D1503:D1505"/>
    <mergeCell ref="E1503:E1504"/>
    <mergeCell ref="F1503:F1505"/>
    <mergeCell ref="G1503:G1505"/>
    <mergeCell ref="A1503:A1505"/>
    <mergeCell ref="AF1499:AF1502"/>
    <mergeCell ref="AG1499:AG1502"/>
    <mergeCell ref="AH1499:AH1502"/>
    <mergeCell ref="AI1499:AI1502"/>
    <mergeCell ref="H1501:H1502"/>
    <mergeCell ref="I1501:I1502"/>
    <mergeCell ref="J1501:J1502"/>
    <mergeCell ref="K1501:K1502"/>
    <mergeCell ref="M1501:M1502"/>
    <mergeCell ref="N1501:N1502"/>
    <mergeCell ref="Y1499:Y1502"/>
    <mergeCell ref="AA1499:AA1500"/>
    <mergeCell ref="AB1499:AB1502"/>
    <mergeCell ref="AC1499:AC1500"/>
    <mergeCell ref="AD1499:AD1500"/>
    <mergeCell ref="AE1499:AE1500"/>
    <mergeCell ref="AA1501:AA1502"/>
    <mergeCell ref="AC1501:AC1502"/>
    <mergeCell ref="AD1501:AD1502"/>
    <mergeCell ref="AD1503:AD1504"/>
    <mergeCell ref="AE1503:AE1504"/>
    <mergeCell ref="AF1503:AF1505"/>
    <mergeCell ref="AG1503:AG1505"/>
    <mergeCell ref="AH1503:AH1505"/>
    <mergeCell ref="AI1503:AI1505"/>
    <mergeCell ref="W1503:W1504"/>
    <mergeCell ref="X1503:X1504"/>
    <mergeCell ref="Y1503:Y1505"/>
    <mergeCell ref="AA1503:AA1504"/>
    <mergeCell ref="AB1503:AB1505"/>
    <mergeCell ref="AC1503:AC1504"/>
    <mergeCell ref="N1503:N1504"/>
    <mergeCell ref="O1503:O1504"/>
    <mergeCell ref="P1503:P1504"/>
    <mergeCell ref="Q1503:Q1504"/>
    <mergeCell ref="R1503:R1505"/>
    <mergeCell ref="S1503:S1505"/>
    <mergeCell ref="AF1506:AF1514"/>
    <mergeCell ref="AG1506:AG1514"/>
    <mergeCell ref="AH1506:AH1514"/>
    <mergeCell ref="AI1506:AI1514"/>
    <mergeCell ref="H1509:H1514"/>
    <mergeCell ref="I1509:I1511"/>
    <mergeCell ref="J1509:J1511"/>
    <mergeCell ref="K1509:K1514"/>
    <mergeCell ref="M1509:M1514"/>
    <mergeCell ref="X1506:X1508"/>
    <mergeCell ref="Y1506:Y1514"/>
    <mergeCell ref="AA1506:AA1508"/>
    <mergeCell ref="AB1506:AB1508"/>
    <mergeCell ref="AC1506:AC1508"/>
    <mergeCell ref="AD1506:AD1508"/>
    <mergeCell ref="N1506:N1508"/>
    <mergeCell ref="O1506:O1508"/>
    <mergeCell ref="P1506:P1508"/>
    <mergeCell ref="Q1506:Q1508"/>
    <mergeCell ref="R1506:R1514"/>
    <mergeCell ref="S1506:S1514"/>
    <mergeCell ref="N1509:N1514"/>
    <mergeCell ref="O1509:O1511"/>
    <mergeCell ref="P1509:P1511"/>
    <mergeCell ref="Q1509:Q1511"/>
    <mergeCell ref="H1506:H1508"/>
    <mergeCell ref="I1506:I1508"/>
    <mergeCell ref="J1506:J1508"/>
    <mergeCell ref="K1506:K1508"/>
    <mergeCell ref="L1506:L1514"/>
    <mergeCell ref="M1506:M1508"/>
    <mergeCell ref="E1515:E1516"/>
    <mergeCell ref="F1515:F1517"/>
    <mergeCell ref="G1515:G1517"/>
    <mergeCell ref="A1515:A1517"/>
    <mergeCell ref="AE1509:AE1514"/>
    <mergeCell ref="T1511:T1512"/>
    <mergeCell ref="I1512:I1514"/>
    <mergeCell ref="J1512:J1514"/>
    <mergeCell ref="O1512:O1514"/>
    <mergeCell ref="P1512:P1514"/>
    <mergeCell ref="Q1512:Q1514"/>
    <mergeCell ref="AA1512:AA1514"/>
    <mergeCell ref="AC1512:AC1514"/>
    <mergeCell ref="T1513:T1514"/>
    <mergeCell ref="T1509:T1510"/>
    <mergeCell ref="X1509:X1514"/>
    <mergeCell ref="AA1509:AA1511"/>
    <mergeCell ref="AB1509:AB1514"/>
    <mergeCell ref="AC1509:AC1511"/>
    <mergeCell ref="AD1509:AD1514"/>
    <mergeCell ref="B1506:B1514"/>
    <mergeCell ref="C1506:C1514"/>
    <mergeCell ref="D1506:D1514"/>
    <mergeCell ref="E1506:E1514"/>
    <mergeCell ref="F1506:F1514"/>
    <mergeCell ref="G1506:G1514"/>
    <mergeCell ref="A1506:A1514"/>
    <mergeCell ref="AE1506:AE1508"/>
    <mergeCell ref="B1518:B1535"/>
    <mergeCell ref="C1518:C1535"/>
    <mergeCell ref="D1518:D1535"/>
    <mergeCell ref="E1518:E1535"/>
    <mergeCell ref="F1518:F1535"/>
    <mergeCell ref="AE1515:AE1516"/>
    <mergeCell ref="AF1515:AF1517"/>
    <mergeCell ref="AG1515:AG1517"/>
    <mergeCell ref="AH1515:AH1517"/>
    <mergeCell ref="AI1515:AI1517"/>
    <mergeCell ref="A1518:A1540"/>
    <mergeCell ref="X1515:X1516"/>
    <mergeCell ref="Y1515:Y1517"/>
    <mergeCell ref="AA1515:AA1516"/>
    <mergeCell ref="AB1515:AB1517"/>
    <mergeCell ref="AC1515:AC1516"/>
    <mergeCell ref="AD1515:AD1516"/>
    <mergeCell ref="N1515:N1516"/>
    <mergeCell ref="O1515:O1516"/>
    <mergeCell ref="P1515:P1516"/>
    <mergeCell ref="Q1515:Q1516"/>
    <mergeCell ref="R1515:R1517"/>
    <mergeCell ref="S1515:S1517"/>
    <mergeCell ref="H1515:H1516"/>
    <mergeCell ref="I1515:I1516"/>
    <mergeCell ref="J1515:J1516"/>
    <mergeCell ref="K1515:K1516"/>
    <mergeCell ref="L1515:L1517"/>
    <mergeCell ref="M1515:M1516"/>
    <mergeCell ref="B1515:B1517"/>
    <mergeCell ref="C1515:C1517"/>
    <mergeCell ref="D1515:D1517"/>
    <mergeCell ref="S1518:S1535"/>
    <mergeCell ref="W1518:W1523"/>
    <mergeCell ref="X1518:X1530"/>
    <mergeCell ref="Y1518:Y1535"/>
    <mergeCell ref="AA1518:AA1522"/>
    <mergeCell ref="AB1518:AB1535"/>
    <mergeCell ref="M1518:M1530"/>
    <mergeCell ref="N1518:N1530"/>
    <mergeCell ref="O1518:O1522"/>
    <mergeCell ref="P1518:P1522"/>
    <mergeCell ref="Q1518:Q1522"/>
    <mergeCell ref="R1518:R1535"/>
    <mergeCell ref="M1531:M1535"/>
    <mergeCell ref="N1531:N1535"/>
    <mergeCell ref="O1531:O1535"/>
    <mergeCell ref="P1531:P1535"/>
    <mergeCell ref="G1518:G1535"/>
    <mergeCell ref="H1518:H1530"/>
    <mergeCell ref="I1518:I1523"/>
    <mergeCell ref="J1518:J1522"/>
    <mergeCell ref="K1518:K1530"/>
    <mergeCell ref="L1518:L1535"/>
    <mergeCell ref="H1531:H1537"/>
    <mergeCell ref="J1531:J1537"/>
    <mergeCell ref="K1531:K1535"/>
    <mergeCell ref="K1541:K1543"/>
    <mergeCell ref="L1541:L1544"/>
    <mergeCell ref="M1541:M1543"/>
    <mergeCell ref="B1541:B1544"/>
    <mergeCell ref="C1541:C1544"/>
    <mergeCell ref="D1541:D1544"/>
    <mergeCell ref="E1541:E1543"/>
    <mergeCell ref="F1541:F1544"/>
    <mergeCell ref="G1541:G1544"/>
    <mergeCell ref="A1541:A1544"/>
    <mergeCell ref="Q1531:Q1535"/>
    <mergeCell ref="X1531:X1535"/>
    <mergeCell ref="AA1531:AA1535"/>
    <mergeCell ref="AC1531:AC1535"/>
    <mergeCell ref="AD1531:AD1535"/>
    <mergeCell ref="AE1531:AE1535"/>
    <mergeCell ref="AI1518:AI1535"/>
    <mergeCell ref="I1524:I1530"/>
    <mergeCell ref="J1524:J1530"/>
    <mergeCell ref="O1524:O1530"/>
    <mergeCell ref="P1524:P1530"/>
    <mergeCell ref="Q1524:Q1530"/>
    <mergeCell ref="W1524:W1530"/>
    <mergeCell ref="AA1524:AA1530"/>
    <mergeCell ref="AC1524:AC1530"/>
    <mergeCell ref="I1531:I1537"/>
    <mergeCell ref="AC1518:AC1522"/>
    <mergeCell ref="AD1518:AD1530"/>
    <mergeCell ref="AE1518:AE1530"/>
    <mergeCell ref="AF1518:AF1535"/>
    <mergeCell ref="AG1518:AG1535"/>
    <mergeCell ref="AH1518:AH1535"/>
    <mergeCell ref="G1545:G1547"/>
    <mergeCell ref="H1545:H1547"/>
    <mergeCell ref="I1545:I1547"/>
    <mergeCell ref="J1545:J1547"/>
    <mergeCell ref="K1545:K1547"/>
    <mergeCell ref="L1545:L1547"/>
    <mergeCell ref="B1545:B1547"/>
    <mergeCell ref="C1545:C1547"/>
    <mergeCell ref="D1545:D1547"/>
    <mergeCell ref="E1545:E1547"/>
    <mergeCell ref="F1545:F1547"/>
    <mergeCell ref="AE1541:AE1543"/>
    <mergeCell ref="AF1541:AF1544"/>
    <mergeCell ref="AG1541:AG1544"/>
    <mergeCell ref="AH1541:AH1544"/>
    <mergeCell ref="AI1541:AI1544"/>
    <mergeCell ref="A1545:A1547"/>
    <mergeCell ref="X1541:X1543"/>
    <mergeCell ref="Y1541:Y1544"/>
    <mergeCell ref="AA1541:AA1543"/>
    <mergeCell ref="AB1541:AB1544"/>
    <mergeCell ref="AC1541:AC1543"/>
    <mergeCell ref="AD1541:AD1543"/>
    <mergeCell ref="N1541:N1543"/>
    <mergeCell ref="O1541:O1543"/>
    <mergeCell ref="P1541:P1543"/>
    <mergeCell ref="Q1541:Q1543"/>
    <mergeCell ref="R1541:R1544"/>
    <mergeCell ref="S1541:S1544"/>
    <mergeCell ref="H1541:H1543"/>
    <mergeCell ref="I1541:I1543"/>
    <mergeCell ref="J1541:J1543"/>
    <mergeCell ref="AD1545:AD1547"/>
    <mergeCell ref="AE1545:AE1547"/>
    <mergeCell ref="AF1545:AF1547"/>
    <mergeCell ref="AG1545:AG1547"/>
    <mergeCell ref="AH1545:AH1547"/>
    <mergeCell ref="AI1545:AI1547"/>
    <mergeCell ref="S1545:S1547"/>
    <mergeCell ref="X1545:X1547"/>
    <mergeCell ref="Y1545:Y1547"/>
    <mergeCell ref="AA1545:AA1547"/>
    <mergeCell ref="AB1545:AB1547"/>
    <mergeCell ref="AC1545:AC1547"/>
    <mergeCell ref="M1545:M1547"/>
    <mergeCell ref="N1545:N1547"/>
    <mergeCell ref="O1545:O1547"/>
    <mergeCell ref="P1545:P1547"/>
    <mergeCell ref="Q1545:Q1547"/>
    <mergeCell ref="R1545:R1547"/>
    <mergeCell ref="AE1548:AE1549"/>
    <mergeCell ref="AF1548:AF1549"/>
    <mergeCell ref="AG1548:AG1549"/>
    <mergeCell ref="AH1548:AH1549"/>
    <mergeCell ref="AI1548:AI1549"/>
    <mergeCell ref="A1550:A1585"/>
    <mergeCell ref="X1548:X1549"/>
    <mergeCell ref="Y1548:Y1549"/>
    <mergeCell ref="AA1548:AA1549"/>
    <mergeCell ref="AB1548:AB1549"/>
    <mergeCell ref="AC1548:AC1549"/>
    <mergeCell ref="AD1548:AD1549"/>
    <mergeCell ref="N1548:N1549"/>
    <mergeCell ref="O1548:O1549"/>
    <mergeCell ref="P1548:P1549"/>
    <mergeCell ref="Q1548:Q1549"/>
    <mergeCell ref="R1548:R1549"/>
    <mergeCell ref="S1548:S1549"/>
    <mergeCell ref="H1548:H1549"/>
    <mergeCell ref="I1548:I1549"/>
    <mergeCell ref="J1548:J1549"/>
    <mergeCell ref="K1548:K1549"/>
    <mergeCell ref="L1548:L1549"/>
    <mergeCell ref="M1548:M1549"/>
    <mergeCell ref="B1548:B1549"/>
    <mergeCell ref="C1548:C1549"/>
    <mergeCell ref="D1548:D1549"/>
    <mergeCell ref="E1548:E1549"/>
    <mergeCell ref="F1548:F1549"/>
    <mergeCell ref="G1548:G1549"/>
    <mergeCell ref="A1548:A1549"/>
    <mergeCell ref="M1550:M1553"/>
    <mergeCell ref="N1550:N1553"/>
    <mergeCell ref="O1550:O1553"/>
    <mergeCell ref="P1550:P1553"/>
    <mergeCell ref="Q1550:Q1553"/>
    <mergeCell ref="R1550:R1585"/>
    <mergeCell ref="N1554:N1557"/>
    <mergeCell ref="O1554:O1557"/>
    <mergeCell ref="P1554:P1557"/>
    <mergeCell ref="Q1554:Q1557"/>
    <mergeCell ref="G1550:G1585"/>
    <mergeCell ref="H1550:H1553"/>
    <mergeCell ref="I1550:I1553"/>
    <mergeCell ref="J1550:J1553"/>
    <mergeCell ref="K1550:K1553"/>
    <mergeCell ref="L1550:L1585"/>
    <mergeCell ref="B1550:B1585"/>
    <mergeCell ref="C1550:C1585"/>
    <mergeCell ref="D1550:D1585"/>
    <mergeCell ref="E1550:E1585"/>
    <mergeCell ref="F1550:F1585"/>
    <mergeCell ref="M1562:M1565"/>
    <mergeCell ref="Q1558:Q1561"/>
    <mergeCell ref="H1558:H1561"/>
    <mergeCell ref="I1558:I1561"/>
    <mergeCell ref="J1558:J1561"/>
    <mergeCell ref="K1558:K1561"/>
    <mergeCell ref="M1558:M1561"/>
    <mergeCell ref="N1558:N1561"/>
    <mergeCell ref="O1558:O1561"/>
    <mergeCell ref="P1558:P1561"/>
    <mergeCell ref="H1554:H1557"/>
    <mergeCell ref="I1554:I1557"/>
    <mergeCell ref="AD1550:AD1553"/>
    <mergeCell ref="AE1550:AE1553"/>
    <mergeCell ref="AF1550:AF1585"/>
    <mergeCell ref="AG1550:AG1585"/>
    <mergeCell ref="AH1550:AH1585"/>
    <mergeCell ref="AI1550:AI1585"/>
    <mergeCell ref="AD1554:AD1557"/>
    <mergeCell ref="AE1554:AE1557"/>
    <mergeCell ref="S1550:S1585"/>
    <mergeCell ref="X1550:X1553"/>
    <mergeCell ref="Y1550:Y1585"/>
    <mergeCell ref="AA1550:AA1553"/>
    <mergeCell ref="AB1550:AB1585"/>
    <mergeCell ref="AC1550:AC1553"/>
    <mergeCell ref="X1554:X1557"/>
    <mergeCell ref="AA1554:AA1557"/>
    <mergeCell ref="AC1554:AC1557"/>
    <mergeCell ref="X1558:X1561"/>
    <mergeCell ref="AA1558:AA1561"/>
    <mergeCell ref="AC1558:AC1561"/>
    <mergeCell ref="AD1558:AD1561"/>
    <mergeCell ref="AE1558:AE1561"/>
    <mergeCell ref="AC1582:AC1585"/>
    <mergeCell ref="AD1582:AD1585"/>
    <mergeCell ref="AE1582:AE1585"/>
    <mergeCell ref="V1551:V1552"/>
    <mergeCell ref="V1555:V1556"/>
    <mergeCell ref="V1559:V1560"/>
    <mergeCell ref="V1563:V1564"/>
    <mergeCell ref="V1567:V1568"/>
    <mergeCell ref="V1571:V1572"/>
    <mergeCell ref="J1554:J1557"/>
    <mergeCell ref="K1554:K1557"/>
    <mergeCell ref="M1554:M1557"/>
    <mergeCell ref="AC1566:AC1569"/>
    <mergeCell ref="AD1566:AD1569"/>
    <mergeCell ref="AE1566:AE1569"/>
    <mergeCell ref="H1570:H1573"/>
    <mergeCell ref="I1570:I1573"/>
    <mergeCell ref="J1570:J1573"/>
    <mergeCell ref="K1570:K1573"/>
    <mergeCell ref="M1570:M1573"/>
    <mergeCell ref="N1566:N1569"/>
    <mergeCell ref="O1566:O1569"/>
    <mergeCell ref="P1566:P1569"/>
    <mergeCell ref="Q1566:Q1569"/>
    <mergeCell ref="X1566:X1569"/>
    <mergeCell ref="AA1566:AA1569"/>
    <mergeCell ref="AC1562:AC1565"/>
    <mergeCell ref="AD1562:AD1565"/>
    <mergeCell ref="AE1562:AE1565"/>
    <mergeCell ref="H1566:H1569"/>
    <mergeCell ref="I1566:I1569"/>
    <mergeCell ref="J1566:J1569"/>
    <mergeCell ref="K1566:K1569"/>
    <mergeCell ref="M1566:M1569"/>
    <mergeCell ref="N1562:N1565"/>
    <mergeCell ref="O1562:O1565"/>
    <mergeCell ref="P1562:P1565"/>
    <mergeCell ref="Q1562:Q1565"/>
    <mergeCell ref="X1562:X1565"/>
    <mergeCell ref="AA1562:AA1565"/>
    <mergeCell ref="H1562:H1565"/>
    <mergeCell ref="I1562:I1565"/>
    <mergeCell ref="J1562:J1565"/>
    <mergeCell ref="K1562:K1565"/>
    <mergeCell ref="AC1574:AC1577"/>
    <mergeCell ref="AD1574:AD1577"/>
    <mergeCell ref="AE1574:AE1577"/>
    <mergeCell ref="H1578:H1581"/>
    <mergeCell ref="I1578:I1581"/>
    <mergeCell ref="J1578:J1581"/>
    <mergeCell ref="K1578:K1581"/>
    <mergeCell ref="M1578:M1581"/>
    <mergeCell ref="N1574:N1577"/>
    <mergeCell ref="O1574:O1577"/>
    <mergeCell ref="P1574:P1577"/>
    <mergeCell ref="Q1574:Q1577"/>
    <mergeCell ref="X1574:X1577"/>
    <mergeCell ref="AA1574:AA1577"/>
    <mergeCell ref="V1575:V1576"/>
    <mergeCell ref="AC1570:AC1573"/>
    <mergeCell ref="AD1570:AD1573"/>
    <mergeCell ref="AE1570:AE1573"/>
    <mergeCell ref="H1574:H1577"/>
    <mergeCell ref="I1574:I1577"/>
    <mergeCell ref="J1574:J1577"/>
    <mergeCell ref="K1574:K1577"/>
    <mergeCell ref="M1574:M1577"/>
    <mergeCell ref="N1570:N1573"/>
    <mergeCell ref="O1570:O1573"/>
    <mergeCell ref="P1570:P1573"/>
    <mergeCell ref="Q1570:Q1573"/>
    <mergeCell ref="X1570:X1573"/>
    <mergeCell ref="AA1570:AA1573"/>
    <mergeCell ref="N1582:N1585"/>
    <mergeCell ref="O1582:O1585"/>
    <mergeCell ref="P1582:P1585"/>
    <mergeCell ref="Q1582:Q1585"/>
    <mergeCell ref="X1582:X1585"/>
    <mergeCell ref="AA1582:AA1585"/>
    <mergeCell ref="V1583:V1584"/>
    <mergeCell ref="AC1578:AC1581"/>
    <mergeCell ref="AD1578:AD1581"/>
    <mergeCell ref="AE1578:AE1581"/>
    <mergeCell ref="H1582:H1585"/>
    <mergeCell ref="I1582:I1585"/>
    <mergeCell ref="J1582:J1585"/>
    <mergeCell ref="K1582:K1585"/>
    <mergeCell ref="M1582:M1585"/>
    <mergeCell ref="N1578:N1581"/>
    <mergeCell ref="O1578:O1581"/>
    <mergeCell ref="P1578:P1581"/>
    <mergeCell ref="Q1578:Q1581"/>
    <mergeCell ref="X1578:X1581"/>
    <mergeCell ref="AA1578:AA1581"/>
    <mergeCell ref="V1579:V1580"/>
    <mergeCell ref="AH1586:AH1587"/>
    <mergeCell ref="AI1586:AI1587"/>
    <mergeCell ref="A1588:A1599"/>
    <mergeCell ref="X1586:X1587"/>
    <mergeCell ref="Y1586:Y1587"/>
    <mergeCell ref="AA1586:AA1587"/>
    <mergeCell ref="AB1586:AB1587"/>
    <mergeCell ref="AC1586:AC1587"/>
    <mergeCell ref="AD1586:AD1587"/>
    <mergeCell ref="N1586:N1587"/>
    <mergeCell ref="O1586:O1587"/>
    <mergeCell ref="P1586:P1587"/>
    <mergeCell ref="Q1586:Q1587"/>
    <mergeCell ref="R1586:R1587"/>
    <mergeCell ref="S1586:S1587"/>
    <mergeCell ref="H1586:H1587"/>
    <mergeCell ref="I1586:I1587"/>
    <mergeCell ref="J1586:J1587"/>
    <mergeCell ref="K1586:K1587"/>
    <mergeCell ref="L1586:L1587"/>
    <mergeCell ref="M1586:M1587"/>
    <mergeCell ref="B1586:B1587"/>
    <mergeCell ref="C1586:C1587"/>
    <mergeCell ref="D1586:D1587"/>
    <mergeCell ref="E1586:E1587"/>
    <mergeCell ref="F1586:F1587"/>
    <mergeCell ref="G1586:G1587"/>
    <mergeCell ref="G1588:G1599"/>
    <mergeCell ref="H1588:H1591"/>
    <mergeCell ref="I1588:I1591"/>
    <mergeCell ref="J1588:J1591"/>
    <mergeCell ref="A1586:A1587"/>
    <mergeCell ref="K1588:K1591"/>
    <mergeCell ref="L1588:L1599"/>
    <mergeCell ref="H1592:H1599"/>
    <mergeCell ref="I1592:I1595"/>
    <mergeCell ref="J1592:J1595"/>
    <mergeCell ref="K1592:K1599"/>
    <mergeCell ref="B1588:B1599"/>
    <mergeCell ref="C1588:C1599"/>
    <mergeCell ref="D1588:D1599"/>
    <mergeCell ref="E1588:E1599"/>
    <mergeCell ref="F1588:F1599"/>
    <mergeCell ref="AE1586:AE1587"/>
    <mergeCell ref="AF1586:AF1587"/>
    <mergeCell ref="AD1588:AD1591"/>
    <mergeCell ref="AE1588:AE1591"/>
    <mergeCell ref="AF1588:AF1599"/>
    <mergeCell ref="AG1588:AG1599"/>
    <mergeCell ref="I1596:I1599"/>
    <mergeCell ref="J1596:J1599"/>
    <mergeCell ref="W1596:W1599"/>
    <mergeCell ref="AA1596:AA1599"/>
    <mergeCell ref="AC1596:AC1599"/>
    <mergeCell ref="AG1586:AG1587"/>
    <mergeCell ref="AH1588:AH1599"/>
    <mergeCell ref="AI1588:AI1599"/>
    <mergeCell ref="AD1592:AD1599"/>
    <mergeCell ref="AE1592:AE1599"/>
    <mergeCell ref="S1588:S1599"/>
    <mergeCell ref="X1588:X1591"/>
    <mergeCell ref="Y1588:Y1599"/>
    <mergeCell ref="AA1588:AA1591"/>
    <mergeCell ref="AB1588:AB1599"/>
    <mergeCell ref="AC1588:AC1591"/>
    <mergeCell ref="M1588:M1591"/>
    <mergeCell ref="N1588:N1591"/>
    <mergeCell ref="O1588:O1591"/>
    <mergeCell ref="P1588:P1591"/>
    <mergeCell ref="Q1588:Q1591"/>
    <mergeCell ref="R1588:R1599"/>
    <mergeCell ref="M1592:M1599"/>
    <mergeCell ref="N1592:N1599"/>
    <mergeCell ref="O1592:O1595"/>
    <mergeCell ref="P1592:P1595"/>
    <mergeCell ref="O1596:O1599"/>
    <mergeCell ref="P1596:P1599"/>
    <mergeCell ref="Q1596:Q1599"/>
    <mergeCell ref="T1596:T1597"/>
    <mergeCell ref="T1598:T1599"/>
    <mergeCell ref="Q1592:Q1595"/>
    <mergeCell ref="T1592:T1593"/>
    <mergeCell ref="W1592:W1595"/>
    <mergeCell ref="X1592:X1599"/>
    <mergeCell ref="AA1592:AA1595"/>
    <mergeCell ref="AC1592:AC1595"/>
    <mergeCell ref="T1594:T1595"/>
    <mergeCell ref="R1609:R1623"/>
    <mergeCell ref="W1609:W1613"/>
    <mergeCell ref="X1609:X1611"/>
    <mergeCell ref="M1619:M1621"/>
    <mergeCell ref="W1619:W1623"/>
    <mergeCell ref="X1619:X1621"/>
    <mergeCell ref="D1609:D1621"/>
    <mergeCell ref="E1609:E1621"/>
    <mergeCell ref="F1609:F1621"/>
    <mergeCell ref="H1609:H1618"/>
    <mergeCell ref="I1609:I1613"/>
    <mergeCell ref="J1609:J1611"/>
    <mergeCell ref="H1619:H1623"/>
    <mergeCell ref="I1600:I1601"/>
    <mergeCell ref="J1600:J1601"/>
    <mergeCell ref="A1609:A1623"/>
    <mergeCell ref="B1609:B1621"/>
    <mergeCell ref="C1609:C1621"/>
    <mergeCell ref="M1624:M1626"/>
    <mergeCell ref="M1627:M1628"/>
    <mergeCell ref="H1635:H1637"/>
    <mergeCell ref="I1635:I1637"/>
    <mergeCell ref="J1635:J1637"/>
    <mergeCell ref="B1624:B1674"/>
    <mergeCell ref="C1624:C1674"/>
    <mergeCell ref="D1624:D1674"/>
    <mergeCell ref="E1624:E1674"/>
    <mergeCell ref="F1624:F1674"/>
    <mergeCell ref="G1624:G1674"/>
    <mergeCell ref="A1624:A1674"/>
    <mergeCell ref="AH1609:AH1621"/>
    <mergeCell ref="AI1609:AI1621"/>
    <mergeCell ref="I1614:I1618"/>
    <mergeCell ref="J1614:J1616"/>
    <mergeCell ref="W1614:W1618"/>
    <mergeCell ref="X1614:X1616"/>
    <mergeCell ref="AC1614:AC1616"/>
    <mergeCell ref="I1619:I1623"/>
    <mergeCell ref="J1619:J1620"/>
    <mergeCell ref="K1619:K1620"/>
    <mergeCell ref="Y1609:Y1621"/>
    <mergeCell ref="Z1609:Z1621"/>
    <mergeCell ref="AA1609:AA1621"/>
    <mergeCell ref="AB1609:AB1621"/>
    <mergeCell ref="AC1609:AC1611"/>
    <mergeCell ref="AG1609:AG1621"/>
    <mergeCell ref="AC1619:AC1621"/>
    <mergeCell ref="K1609:K1616"/>
    <mergeCell ref="L1609:L1620"/>
    <mergeCell ref="M1609:M1616"/>
    <mergeCell ref="AE1627:AE1628"/>
    <mergeCell ref="AJ1627:AJ1628"/>
    <mergeCell ref="H1629:H1631"/>
    <mergeCell ref="I1629:I1631"/>
    <mergeCell ref="J1629:J1631"/>
    <mergeCell ref="K1629:K1631"/>
    <mergeCell ref="M1629:M1631"/>
    <mergeCell ref="N1629:N1631"/>
    <mergeCell ref="O1629:O1631"/>
    <mergeCell ref="AE1624:AE1626"/>
    <mergeCell ref="AF1624:AF1674"/>
    <mergeCell ref="AG1624:AG1674"/>
    <mergeCell ref="AH1624:AH1674"/>
    <mergeCell ref="AI1624:AI1674"/>
    <mergeCell ref="H1627:H1628"/>
    <mergeCell ref="I1627:I1628"/>
    <mergeCell ref="J1627:J1628"/>
    <mergeCell ref="K1627:K1628"/>
    <mergeCell ref="X1624:X1626"/>
    <mergeCell ref="Y1624:Y1674"/>
    <mergeCell ref="AA1624:AA1626"/>
    <mergeCell ref="AB1624:AB1674"/>
    <mergeCell ref="AC1624:AC1626"/>
    <mergeCell ref="AD1624:AD1626"/>
    <mergeCell ref="X1627:X1628"/>
    <mergeCell ref="AA1627:AA1628"/>
    <mergeCell ref="AC1627:AC1628"/>
    <mergeCell ref="AD1627:AD1628"/>
    <mergeCell ref="N1624:N1626"/>
    <mergeCell ref="O1624:O1626"/>
    <mergeCell ref="P1624:P1626"/>
    <mergeCell ref="Q1624:Q1626"/>
    <mergeCell ref="Q1632:Q1634"/>
    <mergeCell ref="X1632:X1634"/>
    <mergeCell ref="AA1632:AA1634"/>
    <mergeCell ref="AC1632:AC1634"/>
    <mergeCell ref="AD1632:AD1634"/>
    <mergeCell ref="AE1632:AE1634"/>
    <mergeCell ref="AE1629:AE1631"/>
    <mergeCell ref="H1632:H1634"/>
    <mergeCell ref="I1632:I1634"/>
    <mergeCell ref="J1632:J1634"/>
    <mergeCell ref="K1632:K1634"/>
    <mergeCell ref="M1632:M1634"/>
    <mergeCell ref="N1632:N1634"/>
    <mergeCell ref="O1632:O1634"/>
    <mergeCell ref="P1632:P1634"/>
    <mergeCell ref="P1629:P1631"/>
    <mergeCell ref="Q1629:Q1631"/>
    <mergeCell ref="X1629:X1631"/>
    <mergeCell ref="AA1629:AA1631"/>
    <mergeCell ref="AC1629:AC1631"/>
    <mergeCell ref="AD1629:AD1631"/>
    <mergeCell ref="R1624:R1674"/>
    <mergeCell ref="S1624:S1674"/>
    <mergeCell ref="N1627:N1628"/>
    <mergeCell ref="O1627:O1628"/>
    <mergeCell ref="P1627:P1628"/>
    <mergeCell ref="Q1627:Q1628"/>
    <mergeCell ref="H1624:H1626"/>
    <mergeCell ref="I1624:I1626"/>
    <mergeCell ref="J1624:J1626"/>
    <mergeCell ref="K1624:K1626"/>
    <mergeCell ref="L1624:L1674"/>
    <mergeCell ref="AA1638:AA1640"/>
    <mergeCell ref="AC1638:AC1640"/>
    <mergeCell ref="AD1638:AD1640"/>
    <mergeCell ref="AE1638:AE1640"/>
    <mergeCell ref="H1641:H1642"/>
    <mergeCell ref="I1641:I1642"/>
    <mergeCell ref="J1641:J1642"/>
    <mergeCell ref="K1641:K1642"/>
    <mergeCell ref="M1641:M1642"/>
    <mergeCell ref="M1638:M1640"/>
    <mergeCell ref="N1638:N1640"/>
    <mergeCell ref="O1638:O1640"/>
    <mergeCell ref="P1638:P1640"/>
    <mergeCell ref="Q1638:Q1640"/>
    <mergeCell ref="X1638:X1640"/>
    <mergeCell ref="X1635:X1637"/>
    <mergeCell ref="AA1635:AA1637"/>
    <mergeCell ref="AC1635:AC1637"/>
    <mergeCell ref="AD1635:AD1637"/>
    <mergeCell ref="AE1635:AE1637"/>
    <mergeCell ref="H1638:H1640"/>
    <mergeCell ref="I1638:I1640"/>
    <mergeCell ref="J1638:J1640"/>
    <mergeCell ref="K1638:K1640"/>
    <mergeCell ref="K1635:K1637"/>
    <mergeCell ref="M1635:M1637"/>
    <mergeCell ref="N1635:N1637"/>
    <mergeCell ref="O1635:O1637"/>
    <mergeCell ref="P1635:P1637"/>
    <mergeCell ref="Q1635:Q1637"/>
    <mergeCell ref="AD1643:AD1644"/>
    <mergeCell ref="AE1643:AE1644"/>
    <mergeCell ref="AJ1643:AJ1644"/>
    <mergeCell ref="H1645:H1647"/>
    <mergeCell ref="I1645:I1647"/>
    <mergeCell ref="J1645:J1647"/>
    <mergeCell ref="K1645:K1647"/>
    <mergeCell ref="M1645:M1647"/>
    <mergeCell ref="N1645:N1647"/>
    <mergeCell ref="O1643:O1644"/>
    <mergeCell ref="P1643:P1644"/>
    <mergeCell ref="Q1643:Q1644"/>
    <mergeCell ref="X1643:X1644"/>
    <mergeCell ref="AA1643:AA1644"/>
    <mergeCell ref="AC1643:AC1644"/>
    <mergeCell ref="AC1641:AC1642"/>
    <mergeCell ref="AD1641:AD1642"/>
    <mergeCell ref="AE1641:AE1642"/>
    <mergeCell ref="H1643:H1644"/>
    <mergeCell ref="I1643:I1644"/>
    <mergeCell ref="J1643:J1644"/>
    <mergeCell ref="K1643:K1644"/>
    <mergeCell ref="M1643:M1644"/>
    <mergeCell ref="N1643:N1644"/>
    <mergeCell ref="N1641:N1642"/>
    <mergeCell ref="O1641:O1642"/>
    <mergeCell ref="P1641:P1642"/>
    <mergeCell ref="Q1641:Q1642"/>
    <mergeCell ref="X1641:X1642"/>
    <mergeCell ref="AA1641:AA1642"/>
    <mergeCell ref="AE1648:AE1650"/>
    <mergeCell ref="H1651:H1653"/>
    <mergeCell ref="I1651:I1653"/>
    <mergeCell ref="J1651:J1653"/>
    <mergeCell ref="K1651:K1653"/>
    <mergeCell ref="M1651:M1653"/>
    <mergeCell ref="N1651:N1653"/>
    <mergeCell ref="O1651:O1653"/>
    <mergeCell ref="P1651:P1653"/>
    <mergeCell ref="P1648:P1650"/>
    <mergeCell ref="Q1648:Q1650"/>
    <mergeCell ref="X1648:X1650"/>
    <mergeCell ref="AA1648:AA1650"/>
    <mergeCell ref="AC1648:AC1650"/>
    <mergeCell ref="AD1648:AD1650"/>
    <mergeCell ref="AD1645:AD1647"/>
    <mergeCell ref="AE1645:AE1647"/>
    <mergeCell ref="H1648:H1650"/>
    <mergeCell ref="I1648:I1650"/>
    <mergeCell ref="J1648:J1650"/>
    <mergeCell ref="K1648:K1650"/>
    <mergeCell ref="M1648:M1650"/>
    <mergeCell ref="N1648:N1650"/>
    <mergeCell ref="O1648:O1650"/>
    <mergeCell ref="O1645:O1647"/>
    <mergeCell ref="P1645:P1647"/>
    <mergeCell ref="Q1645:Q1647"/>
    <mergeCell ref="X1645:X1647"/>
    <mergeCell ref="AA1645:AA1647"/>
    <mergeCell ref="AC1645:AC1647"/>
    <mergeCell ref="AJ1654:AJ1656"/>
    <mergeCell ref="H1657:H1659"/>
    <mergeCell ref="I1657:I1659"/>
    <mergeCell ref="J1657:J1659"/>
    <mergeCell ref="K1657:K1659"/>
    <mergeCell ref="M1657:M1659"/>
    <mergeCell ref="N1657:N1659"/>
    <mergeCell ref="O1657:O1659"/>
    <mergeCell ref="P1657:P1659"/>
    <mergeCell ref="Q1654:Q1656"/>
    <mergeCell ref="X1654:X1656"/>
    <mergeCell ref="AA1654:AA1656"/>
    <mergeCell ref="AC1654:AC1656"/>
    <mergeCell ref="AD1654:AD1656"/>
    <mergeCell ref="AE1654:AE1656"/>
    <mergeCell ref="AJ1651:AJ1653"/>
    <mergeCell ref="H1654:H1656"/>
    <mergeCell ref="I1654:I1656"/>
    <mergeCell ref="J1654:J1656"/>
    <mergeCell ref="K1654:K1656"/>
    <mergeCell ref="M1654:M1656"/>
    <mergeCell ref="N1654:N1656"/>
    <mergeCell ref="O1654:O1656"/>
    <mergeCell ref="P1654:P1656"/>
    <mergeCell ref="Q1651:Q1653"/>
    <mergeCell ref="X1651:X1653"/>
    <mergeCell ref="AA1651:AA1653"/>
    <mergeCell ref="AC1651:AC1653"/>
    <mergeCell ref="AD1651:AD1653"/>
    <mergeCell ref="AE1651:AE1653"/>
    <mergeCell ref="AJ1660:AJ1662"/>
    <mergeCell ref="AL1660:AL1662"/>
    <mergeCell ref="H1663:H1665"/>
    <mergeCell ref="I1663:I1665"/>
    <mergeCell ref="J1663:J1665"/>
    <mergeCell ref="K1663:K1665"/>
    <mergeCell ref="M1663:M1665"/>
    <mergeCell ref="N1663:N1665"/>
    <mergeCell ref="O1663:O1665"/>
    <mergeCell ref="Q1660:Q1662"/>
    <mergeCell ref="X1660:X1662"/>
    <mergeCell ref="AA1660:AA1662"/>
    <mergeCell ref="AC1660:AC1662"/>
    <mergeCell ref="AD1660:AD1662"/>
    <mergeCell ref="AE1660:AE1662"/>
    <mergeCell ref="AJ1657:AJ1659"/>
    <mergeCell ref="H1660:H1662"/>
    <mergeCell ref="I1660:I1662"/>
    <mergeCell ref="J1660:J1662"/>
    <mergeCell ref="K1660:K1662"/>
    <mergeCell ref="M1660:M1662"/>
    <mergeCell ref="N1660:N1662"/>
    <mergeCell ref="O1660:O1662"/>
    <mergeCell ref="P1660:P1662"/>
    <mergeCell ref="Q1657:Q1659"/>
    <mergeCell ref="X1657:X1659"/>
    <mergeCell ref="AA1657:AA1659"/>
    <mergeCell ref="AC1657:AC1659"/>
    <mergeCell ref="AD1657:AD1659"/>
    <mergeCell ref="AE1657:AE1659"/>
    <mergeCell ref="AE1666:AE1668"/>
    <mergeCell ref="AJ1666:AJ1668"/>
    <mergeCell ref="H1669:H1671"/>
    <mergeCell ref="I1669:I1671"/>
    <mergeCell ref="J1669:J1671"/>
    <mergeCell ref="K1669:K1671"/>
    <mergeCell ref="M1669:M1671"/>
    <mergeCell ref="N1669:N1671"/>
    <mergeCell ref="O1669:O1671"/>
    <mergeCell ref="P1666:P1668"/>
    <mergeCell ref="Q1666:Q1668"/>
    <mergeCell ref="X1666:X1668"/>
    <mergeCell ref="AA1666:AA1668"/>
    <mergeCell ref="AC1666:AC1668"/>
    <mergeCell ref="AD1666:AD1668"/>
    <mergeCell ref="AE1663:AE1665"/>
    <mergeCell ref="AJ1663:AJ1665"/>
    <mergeCell ref="H1666:H1668"/>
    <mergeCell ref="I1666:I1668"/>
    <mergeCell ref="J1666:J1668"/>
    <mergeCell ref="K1666:K1668"/>
    <mergeCell ref="M1666:M1668"/>
    <mergeCell ref="N1666:N1668"/>
    <mergeCell ref="O1666:O1668"/>
    <mergeCell ref="P1663:P1665"/>
    <mergeCell ref="Q1663:Q1665"/>
    <mergeCell ref="X1663:X1665"/>
    <mergeCell ref="AA1663:AA1665"/>
    <mergeCell ref="AC1663:AC1665"/>
    <mergeCell ref="AD1663:AD1665"/>
    <mergeCell ref="AE1672:AE1674"/>
    <mergeCell ref="AJ1672:AJ1674"/>
    <mergeCell ref="A1676:A1679"/>
    <mergeCell ref="B1676:B1679"/>
    <mergeCell ref="C1676:C1679"/>
    <mergeCell ref="P1672:P1674"/>
    <mergeCell ref="Q1672:Q1674"/>
    <mergeCell ref="X1672:X1674"/>
    <mergeCell ref="AA1672:AA1674"/>
    <mergeCell ref="AC1672:AC1674"/>
    <mergeCell ref="AD1672:AD1674"/>
    <mergeCell ref="AE1669:AE1671"/>
    <mergeCell ref="AJ1669:AJ1671"/>
    <mergeCell ref="H1672:H1674"/>
    <mergeCell ref="I1672:I1674"/>
    <mergeCell ref="J1672:J1674"/>
    <mergeCell ref="K1672:K1674"/>
    <mergeCell ref="M1672:M1674"/>
    <mergeCell ref="N1672:N1674"/>
    <mergeCell ref="O1672:O1674"/>
    <mergeCell ref="P1669:P1671"/>
    <mergeCell ref="Q1669:Q1671"/>
    <mergeCell ref="X1669:X1671"/>
    <mergeCell ref="AA1669:AA1671"/>
    <mergeCell ref="AC1669:AC1671"/>
    <mergeCell ref="AD1669:AD1671"/>
    <mergeCell ref="AG1676:AG1679"/>
    <mergeCell ref="AH1676:AH1679"/>
    <mergeCell ref="AI1676:AI1679"/>
    <mergeCell ref="A1680:A1682"/>
    <mergeCell ref="B1680:B1682"/>
    <mergeCell ref="AA1676:AA1679"/>
    <mergeCell ref="AB1676:AB1679"/>
    <mergeCell ref="AC1676:AC1679"/>
    <mergeCell ref="AD1676:AD1679"/>
    <mergeCell ref="AE1676:AE1679"/>
    <mergeCell ref="AF1676:AF1679"/>
    <mergeCell ref="P1676:P1679"/>
    <mergeCell ref="Q1676:Q1679"/>
    <mergeCell ref="R1676:R1679"/>
    <mergeCell ref="S1676:S1679"/>
    <mergeCell ref="X1676:X1679"/>
    <mergeCell ref="Y1676:Y1679"/>
    <mergeCell ref="J1676:J1679"/>
    <mergeCell ref="K1676:K1679"/>
    <mergeCell ref="L1676:L1679"/>
    <mergeCell ref="M1676:M1679"/>
    <mergeCell ref="N1676:N1679"/>
    <mergeCell ref="O1676:O1679"/>
    <mergeCell ref="D1676:D1679"/>
    <mergeCell ref="E1676:E1679"/>
    <mergeCell ref="F1676:F1679"/>
    <mergeCell ref="G1676:G1679"/>
    <mergeCell ref="H1676:H1679"/>
    <mergeCell ref="I1676:I1679"/>
    <mergeCell ref="AF1680:AF1682"/>
    <mergeCell ref="AG1680:AG1682"/>
    <mergeCell ref="AH1680:AH1682"/>
    <mergeCell ref="AI1680:AI1682"/>
    <mergeCell ref="AJ1680:AJ1682"/>
    <mergeCell ref="A1683:A1685"/>
    <mergeCell ref="Y1680:Y1682"/>
    <mergeCell ref="AA1680:AA1682"/>
    <mergeCell ref="AB1680:AB1682"/>
    <mergeCell ref="AC1680:AC1682"/>
    <mergeCell ref="AD1680:AD1682"/>
    <mergeCell ref="AE1680:AE1682"/>
    <mergeCell ref="O1680:O1682"/>
    <mergeCell ref="P1680:P1682"/>
    <mergeCell ref="Q1680:Q1682"/>
    <mergeCell ref="R1680:R1682"/>
    <mergeCell ref="S1680:S1682"/>
    <mergeCell ref="X1680:X1682"/>
    <mergeCell ref="I1680:I1682"/>
    <mergeCell ref="J1680:J1682"/>
    <mergeCell ref="K1680:K1682"/>
    <mergeCell ref="L1680:L1682"/>
    <mergeCell ref="M1680:M1682"/>
    <mergeCell ref="N1680:N1682"/>
    <mergeCell ref="C1680:C1682"/>
    <mergeCell ref="D1680:D1682"/>
    <mergeCell ref="E1680:E1682"/>
    <mergeCell ref="F1680:F1682"/>
    <mergeCell ref="G1680:G1682"/>
    <mergeCell ref="H1680:H1682"/>
    <mergeCell ref="AE1683:AE1685"/>
    <mergeCell ref="AF1683:AF1685"/>
    <mergeCell ref="AG1683:AG1685"/>
    <mergeCell ref="AI1683:AI1685"/>
    <mergeCell ref="S1683:S1685"/>
    <mergeCell ref="X1683:X1685"/>
    <mergeCell ref="Y1683:Y1685"/>
    <mergeCell ref="AA1683:AA1685"/>
    <mergeCell ref="AB1683:AB1685"/>
    <mergeCell ref="AC1683:AC1685"/>
    <mergeCell ref="M1683:M1685"/>
    <mergeCell ref="N1683:N1685"/>
    <mergeCell ref="O1683:O1685"/>
    <mergeCell ref="P1683:P1685"/>
    <mergeCell ref="Q1683:Q1685"/>
    <mergeCell ref="R1683:R1685"/>
    <mergeCell ref="O1689:O1691"/>
    <mergeCell ref="P1689:P1691"/>
    <mergeCell ref="Q1689:Q1691"/>
    <mergeCell ref="Q1686:Q1688"/>
    <mergeCell ref="P1686:P1688"/>
    <mergeCell ref="AG1695:AG1698"/>
    <mergeCell ref="AH1695:AH1698"/>
    <mergeCell ref="A1686:A1691"/>
    <mergeCell ref="AD1683:AD1685"/>
    <mergeCell ref="G1683:G1685"/>
    <mergeCell ref="H1683:H1685"/>
    <mergeCell ref="I1683:I1685"/>
    <mergeCell ref="J1683:J1685"/>
    <mergeCell ref="K1683:K1685"/>
    <mergeCell ref="L1683:L1685"/>
    <mergeCell ref="B1683:B1685"/>
    <mergeCell ref="C1683:C1685"/>
    <mergeCell ref="D1683:D1685"/>
    <mergeCell ref="E1683:E1685"/>
    <mergeCell ref="F1683:F1685"/>
    <mergeCell ref="AD1689:AD1691"/>
    <mergeCell ref="AH1683:AH1685"/>
    <mergeCell ref="R1686:R1691"/>
    <mergeCell ref="S1686:S1691"/>
    <mergeCell ref="N1689:N1691"/>
    <mergeCell ref="AH1693:AH1694"/>
    <mergeCell ref="H1686:H1688"/>
    <mergeCell ref="I1686:I1688"/>
    <mergeCell ref="J1686:J1688"/>
    <mergeCell ref="K1686:K1688"/>
    <mergeCell ref="L1686:L1691"/>
    <mergeCell ref="M1686:M1688"/>
    <mergeCell ref="B1686:B1691"/>
    <mergeCell ref="C1686:C1691"/>
    <mergeCell ref="D1686:D1691"/>
    <mergeCell ref="E1686:E1691"/>
    <mergeCell ref="F1686:F1691"/>
    <mergeCell ref="G1686:G1691"/>
    <mergeCell ref="I1693:I1694"/>
    <mergeCell ref="J1693:J1694"/>
    <mergeCell ref="G1693:G1694"/>
    <mergeCell ref="H1693:H1694"/>
    <mergeCell ref="AI1695:AI1698"/>
    <mergeCell ref="A1693:A1694"/>
    <mergeCell ref="B1693:B1694"/>
    <mergeCell ref="C1693:C1694"/>
    <mergeCell ref="D1693:D1694"/>
    <mergeCell ref="AE1686:AE1691"/>
    <mergeCell ref="AF1686:AF1691"/>
    <mergeCell ref="AG1686:AG1691"/>
    <mergeCell ref="AH1686:AH1691"/>
    <mergeCell ref="AI1686:AI1691"/>
    <mergeCell ref="H1689:H1691"/>
    <mergeCell ref="I1689:I1691"/>
    <mergeCell ref="J1689:J1691"/>
    <mergeCell ref="K1689:K1691"/>
    <mergeCell ref="M1689:M1691"/>
    <mergeCell ref="X1686:X1688"/>
    <mergeCell ref="Y1686:Y1691"/>
    <mergeCell ref="AA1686:AA1688"/>
    <mergeCell ref="AB1686:AB1688"/>
    <mergeCell ref="AC1686:AC1688"/>
    <mergeCell ref="AD1686:AD1688"/>
    <mergeCell ref="X1689:X1691"/>
    <mergeCell ref="AA1689:AA1691"/>
    <mergeCell ref="AB1689:AB1691"/>
    <mergeCell ref="AC1689:AC1691"/>
    <mergeCell ref="N1686:N1688"/>
    <mergeCell ref="O1686:O1688"/>
    <mergeCell ref="H1695:H1698"/>
    <mergeCell ref="I1695:I1698"/>
    <mergeCell ref="AF1695:AF1698"/>
    <mergeCell ref="P1695:P1698"/>
    <mergeCell ref="AF1699:AF1722"/>
    <mergeCell ref="H1715:H1724"/>
    <mergeCell ref="I1715:I1724"/>
    <mergeCell ref="J1715:J1724"/>
    <mergeCell ref="K1715:K1722"/>
    <mergeCell ref="M1715:M1724"/>
    <mergeCell ref="AI1693:AI1694"/>
    <mergeCell ref="A1695:A1698"/>
    <mergeCell ref="B1695:B1698"/>
    <mergeCell ref="C1695:C1698"/>
    <mergeCell ref="AB1693:AB1694"/>
    <mergeCell ref="AC1693:AC1694"/>
    <mergeCell ref="AD1693:AD1694"/>
    <mergeCell ref="AE1693:AE1694"/>
    <mergeCell ref="AF1693:AF1694"/>
    <mergeCell ref="AG1693:AG1694"/>
    <mergeCell ref="Q1693:Q1694"/>
    <mergeCell ref="R1693:R1694"/>
    <mergeCell ref="S1693:S1694"/>
    <mergeCell ref="X1693:X1694"/>
    <mergeCell ref="Y1693:Y1694"/>
    <mergeCell ref="AA1693:AA1694"/>
    <mergeCell ref="K1693:K1694"/>
    <mergeCell ref="L1693:L1694"/>
    <mergeCell ref="M1693:M1694"/>
    <mergeCell ref="N1693:N1694"/>
    <mergeCell ref="O1693:O1694"/>
    <mergeCell ref="P1693:P1694"/>
    <mergeCell ref="E1693:E1694"/>
    <mergeCell ref="F1693:F1694"/>
    <mergeCell ref="T1709:T1710"/>
    <mergeCell ref="AA1709:AA1714"/>
    <mergeCell ref="V1711:V1712"/>
    <mergeCell ref="V1713:V1714"/>
    <mergeCell ref="AD1699:AD1714"/>
    <mergeCell ref="AE1699:AE1714"/>
    <mergeCell ref="AB1715:AB1722"/>
    <mergeCell ref="AC1715:AC1722"/>
    <mergeCell ref="A1699:A1724"/>
    <mergeCell ref="B1699:B1722"/>
    <mergeCell ref="AA1695:AA1698"/>
    <mergeCell ref="AB1695:AB1698"/>
    <mergeCell ref="AC1695:AC1698"/>
    <mergeCell ref="AD1695:AD1698"/>
    <mergeCell ref="AE1695:AE1698"/>
    <mergeCell ref="H1699:H1714"/>
    <mergeCell ref="AE1715:AE1722"/>
    <mergeCell ref="Q1695:Q1698"/>
    <mergeCell ref="R1695:R1698"/>
    <mergeCell ref="S1695:S1698"/>
    <mergeCell ref="X1695:X1698"/>
    <mergeCell ref="Y1695:Y1698"/>
    <mergeCell ref="J1695:J1698"/>
    <mergeCell ref="K1695:K1698"/>
    <mergeCell ref="L1695:L1698"/>
    <mergeCell ref="M1695:M1698"/>
    <mergeCell ref="N1695:N1698"/>
    <mergeCell ref="O1695:O1698"/>
    <mergeCell ref="D1695:D1698"/>
    <mergeCell ref="E1695:E1698"/>
    <mergeCell ref="F1695:F1698"/>
    <mergeCell ref="G1695:G1698"/>
    <mergeCell ref="M1727:M1728"/>
    <mergeCell ref="B1725:B1728"/>
    <mergeCell ref="C1725:C1728"/>
    <mergeCell ref="D1725:D1728"/>
    <mergeCell ref="E1725:E1726"/>
    <mergeCell ref="F1725:F1728"/>
    <mergeCell ref="G1725:G1728"/>
    <mergeCell ref="AG1699:AG1722"/>
    <mergeCell ref="AH1699:AH1722"/>
    <mergeCell ref="AI1699:AI1722"/>
    <mergeCell ref="X1699:X1714"/>
    <mergeCell ref="Y1699:Y1722"/>
    <mergeCell ref="AA1699:AA1708"/>
    <mergeCell ref="AB1699:AB1714"/>
    <mergeCell ref="AC1699:AC1708"/>
    <mergeCell ref="O1699:O1708"/>
    <mergeCell ref="P1699:P1708"/>
    <mergeCell ref="Q1699:Q1708"/>
    <mergeCell ref="R1699:R1724"/>
    <mergeCell ref="S1699:S1722"/>
    <mergeCell ref="T1699:T1700"/>
    <mergeCell ref="T1701:T1702"/>
    <mergeCell ref="T1703:T1704"/>
    <mergeCell ref="T1705:T1706"/>
    <mergeCell ref="T1707:T1708"/>
    <mergeCell ref="AC1709:AC1714"/>
    <mergeCell ref="AD1715:AD1722"/>
    <mergeCell ref="T1711:T1712"/>
    <mergeCell ref="T1713:T1714"/>
    <mergeCell ref="O1709:O1714"/>
    <mergeCell ref="P1709:P1714"/>
    <mergeCell ref="Q1709:Q1714"/>
    <mergeCell ref="A1725:A1728"/>
    <mergeCell ref="O1715:O1722"/>
    <mergeCell ref="P1715:P1722"/>
    <mergeCell ref="Q1715:Q1724"/>
    <mergeCell ref="W1715:W1724"/>
    <mergeCell ref="X1715:X1722"/>
    <mergeCell ref="AA1715:AA1722"/>
    <mergeCell ref="C1699:C1722"/>
    <mergeCell ref="D1699:D1722"/>
    <mergeCell ref="E1699:E1722"/>
    <mergeCell ref="F1699:F1722"/>
    <mergeCell ref="G1699:G1722"/>
    <mergeCell ref="A1729:A1734"/>
    <mergeCell ref="AE1725:AE1728"/>
    <mergeCell ref="AF1725:AF1728"/>
    <mergeCell ref="V1699:V1700"/>
    <mergeCell ref="V1701:V1702"/>
    <mergeCell ref="V1703:V1704"/>
    <mergeCell ref="V1705:V1706"/>
    <mergeCell ref="V1707:V1708"/>
    <mergeCell ref="V1709:V1710"/>
    <mergeCell ref="I1699:I1708"/>
    <mergeCell ref="J1699:J1708"/>
    <mergeCell ref="K1699:K1714"/>
    <mergeCell ref="L1699:L1722"/>
    <mergeCell ref="M1699:M1714"/>
    <mergeCell ref="N1699:N1714"/>
    <mergeCell ref="I1709:I1714"/>
    <mergeCell ref="J1709:J1714"/>
    <mergeCell ref="N1715:N1722"/>
    <mergeCell ref="I1725:I1726"/>
    <mergeCell ref="J1725:J1726"/>
    <mergeCell ref="AG1725:AG1728"/>
    <mergeCell ref="AH1725:AH1728"/>
    <mergeCell ref="AI1725:AI1728"/>
    <mergeCell ref="E1727:E1728"/>
    <mergeCell ref="H1727:H1728"/>
    <mergeCell ref="I1727:I1728"/>
    <mergeCell ref="J1727:J1728"/>
    <mergeCell ref="K1727:K1728"/>
    <mergeCell ref="X1725:X1726"/>
    <mergeCell ref="Y1725:Y1728"/>
    <mergeCell ref="AA1725:AA1726"/>
    <mergeCell ref="AB1725:AB1728"/>
    <mergeCell ref="AC1725:AC1726"/>
    <mergeCell ref="AD1725:AD1726"/>
    <mergeCell ref="X1727:X1728"/>
    <mergeCell ref="AA1727:AA1728"/>
    <mergeCell ref="AC1727:AC1728"/>
    <mergeCell ref="AD1727:AD1728"/>
    <mergeCell ref="N1725:N1726"/>
    <mergeCell ref="O1725:O1726"/>
    <mergeCell ref="P1725:P1726"/>
    <mergeCell ref="Q1725:Q1726"/>
    <mergeCell ref="R1725:R1728"/>
    <mergeCell ref="S1725:S1728"/>
    <mergeCell ref="N1727:N1728"/>
    <mergeCell ref="O1727:O1728"/>
    <mergeCell ref="P1727:P1728"/>
    <mergeCell ref="Q1727:Q1728"/>
    <mergeCell ref="H1725:H1726"/>
    <mergeCell ref="K1725:K1726"/>
    <mergeCell ref="L1725:L1728"/>
    <mergeCell ref="M1725:M1726"/>
    <mergeCell ref="AG1741:AG1743"/>
    <mergeCell ref="A1744:A1749"/>
    <mergeCell ref="H1744:H1749"/>
    <mergeCell ref="I1744:I1749"/>
    <mergeCell ref="J1744:J1749"/>
    <mergeCell ref="Q1744:Q1749"/>
    <mergeCell ref="F1741:F1743"/>
    <mergeCell ref="H1741:H1743"/>
    <mergeCell ref="I1741:I1743"/>
    <mergeCell ref="J1741:J1743"/>
    <mergeCell ref="M1741:M1743"/>
    <mergeCell ref="Q1741:Q1743"/>
    <mergeCell ref="W1735:W1736"/>
    <mergeCell ref="A1741:A1743"/>
    <mergeCell ref="B1741:B1743"/>
    <mergeCell ref="C1741:C1743"/>
    <mergeCell ref="D1741:D1743"/>
    <mergeCell ref="E1741:E1743"/>
    <mergeCell ref="A1735:A1740"/>
    <mergeCell ref="B1735:B1740"/>
    <mergeCell ref="H1735:H1736"/>
    <mergeCell ref="I1735:I1736"/>
    <mergeCell ref="AG1729:AG1735"/>
    <mergeCell ref="E1732:E1734"/>
    <mergeCell ref="H1732:H1733"/>
    <mergeCell ref="I1732:I1733"/>
    <mergeCell ref="J1732:J1733"/>
    <mergeCell ref="K1732:K1733"/>
    <mergeCell ref="J1735:J1736"/>
    <mergeCell ref="B1729:B1734"/>
    <mergeCell ref="C1729:C1734"/>
    <mergeCell ref="D1729:D1734"/>
    <mergeCell ref="AJ1744:AJ1748"/>
    <mergeCell ref="AK1744:AK1748"/>
    <mergeCell ref="AL1744:AL1748"/>
    <mergeCell ref="AM1744:AM1748"/>
    <mergeCell ref="AN1744:AN1748"/>
    <mergeCell ref="A1752:A1757"/>
    <mergeCell ref="B1752:B1757"/>
    <mergeCell ref="AD1744:AD1748"/>
    <mergeCell ref="AE1744:AE1748"/>
    <mergeCell ref="AF1744:AF1748"/>
    <mergeCell ref="AG1744:AG1748"/>
    <mergeCell ref="AH1744:AH1748"/>
    <mergeCell ref="AI1744:AI1748"/>
    <mergeCell ref="X1744:X1748"/>
    <mergeCell ref="Y1744:Y1748"/>
    <mergeCell ref="Z1744:Z1748"/>
    <mergeCell ref="AA1744:AA1748"/>
    <mergeCell ref="AB1744:AB1748"/>
    <mergeCell ref="AC1744:AC1748"/>
    <mergeCell ref="R1772:R1774"/>
    <mergeCell ref="A1784:A1785"/>
    <mergeCell ref="H1784:H1785"/>
    <mergeCell ref="I1784:I1785"/>
    <mergeCell ref="J1784:J1785"/>
    <mergeCell ref="V83:V84"/>
    <mergeCell ref="V85:V86"/>
    <mergeCell ref="V87:V88"/>
    <mergeCell ref="V89:V90"/>
    <mergeCell ref="V91:V92"/>
    <mergeCell ref="A1772:A1774"/>
    <mergeCell ref="B1772:B1774"/>
    <mergeCell ref="D1772:D1774"/>
    <mergeCell ref="L1772:L1774"/>
    <mergeCell ref="L1752:L1757"/>
    <mergeCell ref="A1759:A1762"/>
    <mergeCell ref="R1759:R1761"/>
    <mergeCell ref="A1763:A1768"/>
    <mergeCell ref="B1763:B1766"/>
    <mergeCell ref="R1763:R1766"/>
    <mergeCell ref="I1729:I1731"/>
    <mergeCell ref="J1729:J1731"/>
    <mergeCell ref="K1729:K1731"/>
    <mergeCell ref="E1729:E1731"/>
    <mergeCell ref="F1729:F1734"/>
    <mergeCell ref="H1729:H1731"/>
    <mergeCell ref="V179:V180"/>
    <mergeCell ref="V181:V182"/>
    <mergeCell ref="V183:V184"/>
    <mergeCell ref="V185:V186"/>
    <mergeCell ref="V187:V188"/>
    <mergeCell ref="V189:V190"/>
    <mergeCell ref="V165:V166"/>
    <mergeCell ref="V167:V168"/>
    <mergeCell ref="V169:V170"/>
    <mergeCell ref="V171:V172"/>
    <mergeCell ref="V175:V176"/>
    <mergeCell ref="V177:V178"/>
    <mergeCell ref="V121:V122"/>
    <mergeCell ref="V129:V130"/>
    <mergeCell ref="V133:V134"/>
    <mergeCell ref="V137:V138"/>
    <mergeCell ref="V140:V141"/>
    <mergeCell ref="V160:V161"/>
    <mergeCell ref="V274:V275"/>
    <mergeCell ref="V279:V280"/>
    <mergeCell ref="V281:V282"/>
    <mergeCell ref="V331:V332"/>
    <mergeCell ref="V333:V334"/>
    <mergeCell ref="V241:V242"/>
    <mergeCell ref="V244:V245"/>
    <mergeCell ref="V247:V248"/>
    <mergeCell ref="V253:V254"/>
    <mergeCell ref="V256:V257"/>
    <mergeCell ref="V260:V261"/>
    <mergeCell ref="V209:V210"/>
    <mergeCell ref="V213:V214"/>
    <mergeCell ref="V217:V218"/>
    <mergeCell ref="V221:V222"/>
    <mergeCell ref="V225:V226"/>
    <mergeCell ref="V229:V230"/>
    <mergeCell ref="V412:V413"/>
    <mergeCell ref="V414:V415"/>
    <mergeCell ref="V416:V417"/>
    <mergeCell ref="V418:V419"/>
    <mergeCell ref="V377:V378"/>
    <mergeCell ref="V379:V380"/>
    <mergeCell ref="V385:V386"/>
    <mergeCell ref="V387:V388"/>
    <mergeCell ref="V389:V390"/>
    <mergeCell ref="V401:V402"/>
    <mergeCell ref="V362:V363"/>
    <mergeCell ref="V365:V366"/>
    <mergeCell ref="V367:V368"/>
    <mergeCell ref="V369:V370"/>
    <mergeCell ref="V371:V372"/>
    <mergeCell ref="V375:V376"/>
    <mergeCell ref="V493:V494"/>
    <mergeCell ref="V478:V479"/>
    <mergeCell ref="V480:V481"/>
    <mergeCell ref="V482:V483"/>
    <mergeCell ref="V485:V486"/>
    <mergeCell ref="V487:V488"/>
    <mergeCell ref="V489:V490"/>
    <mergeCell ref="V461:V462"/>
    <mergeCell ref="V463:V464"/>
    <mergeCell ref="V465:V466"/>
    <mergeCell ref="V467:V468"/>
    <mergeCell ref="V471:V472"/>
    <mergeCell ref="V473:V474"/>
    <mergeCell ref="V638:V639"/>
    <mergeCell ref="V640:V641"/>
    <mergeCell ref="V642:V643"/>
    <mergeCell ref="V660:V662"/>
    <mergeCell ref="V727:V728"/>
    <mergeCell ref="V729:V730"/>
    <mergeCell ref="V564:V565"/>
    <mergeCell ref="V566:V567"/>
    <mergeCell ref="V570:V571"/>
    <mergeCell ref="V572:V573"/>
    <mergeCell ref="V585:V586"/>
    <mergeCell ref="V587:V588"/>
    <mergeCell ref="V526:V527"/>
    <mergeCell ref="V528:V529"/>
    <mergeCell ref="V530:V531"/>
    <mergeCell ref="V532:V533"/>
    <mergeCell ref="V541:V542"/>
    <mergeCell ref="V543:V544"/>
    <mergeCell ref="V841:V842"/>
    <mergeCell ref="V865:V866"/>
    <mergeCell ref="V753:V754"/>
    <mergeCell ref="V765:V766"/>
    <mergeCell ref="V767:V768"/>
    <mergeCell ref="V769:V770"/>
    <mergeCell ref="V771:V772"/>
    <mergeCell ref="V773:V774"/>
    <mergeCell ref="V731:V732"/>
    <mergeCell ref="V733:V734"/>
    <mergeCell ref="V745:V746"/>
    <mergeCell ref="V747:V748"/>
    <mergeCell ref="V749:V750"/>
    <mergeCell ref="V751:V752"/>
    <mergeCell ref="V1023:V1024"/>
    <mergeCell ref="V1025:V1026"/>
    <mergeCell ref="V1103:V1104"/>
    <mergeCell ref="V1105:V1106"/>
    <mergeCell ref="V1107:V1108"/>
    <mergeCell ref="V1109:V1110"/>
    <mergeCell ref="V1011:V1012"/>
    <mergeCell ref="V1013:V1014"/>
    <mergeCell ref="V1015:V1016"/>
    <mergeCell ref="V1017:V1018"/>
    <mergeCell ref="V1019:V1020"/>
    <mergeCell ref="V1021:V1022"/>
    <mergeCell ref="V944:V948"/>
    <mergeCell ref="V949:V953"/>
    <mergeCell ref="V984:V985"/>
    <mergeCell ref="V986:V987"/>
    <mergeCell ref="V1007:V1008"/>
    <mergeCell ref="V1009:V1010"/>
    <mergeCell ref="V1258:V1259"/>
    <mergeCell ref="V1260:V1261"/>
    <mergeCell ref="V1162:V1163"/>
    <mergeCell ref="V1176:V1177"/>
    <mergeCell ref="V1178:V1179"/>
    <mergeCell ref="V1180:V1181"/>
    <mergeCell ref="V1182:V1183"/>
    <mergeCell ref="V1256:V1257"/>
    <mergeCell ref="V1111:V1112"/>
    <mergeCell ref="V1151:V1152"/>
    <mergeCell ref="V1153:V1154"/>
    <mergeCell ref="V1155:V1156"/>
    <mergeCell ref="V1157:V1158"/>
    <mergeCell ref="V1160:V1161"/>
  </mergeCells>
  <hyperlinks>
    <hyperlink ref="U9" r:id="rId1" display="http://consorciofia.info/cdr/ver_fuentes_w.php?NumCDR=001&amp;codEntidad=19999"/>
    <hyperlink ref="U10" r:id="rId2" display="http://consorciofia.info/cdr/ver_fuentes_w.php?NumCDR=001&amp;codEntidad=19999"/>
    <hyperlink ref="U11" r:id="rId3" display="http://consorciofia.info/cdr/ver_fuentes_w.php?NumCDR=001&amp;codEntidad=19999"/>
    <hyperlink ref="U12" r:id="rId4" display="http://consorciofia.info/cdr/ver_fuentes_w.php?NumCDR=174&amp;codEntidad=19999"/>
    <hyperlink ref="U13" r:id="rId5" display="http://consorciofia.info/cdr/ver_fuentes_w.php?NumCDR=174&amp;codEntidad=19999"/>
    <hyperlink ref="U15" r:id="rId6" display="http://consorciofia.info/cdr/ver_fuentes_w.php?NumCDR=002&amp;codEntidad=19999"/>
    <hyperlink ref="U16" r:id="rId7" display="http://consorciofia.info/cdr/ver_fuentes_w.php?NumCDR=187&amp;codEntidad=19999"/>
    <hyperlink ref="U4" r:id="rId8" display="http://consorciofia.info/cdr/ver_fuentes_w.php?NumCDR=029&amp;codEntidad=19999"/>
    <hyperlink ref="U5" r:id="rId9" display="http://consorciofia.info/cdr/ver_fuentes_w.php?NumCDR=029&amp;codEntidad=19999"/>
    <hyperlink ref="U6" r:id="rId10" display="http://consorciofia.info/cdr/ver_fuentes_w.php?NumCDR=029&amp;codEntidad=19999"/>
    <hyperlink ref="U7" r:id="rId11" display="http://consorciofia.info/cdr/ver_fuentes_w.php?NumCDR=190&amp;codEntidad=19999"/>
    <hyperlink ref="U8" r:id="rId12" display="http://consorciofia.info/cdr/ver_fuentes_w.php?NumCDR=190&amp;codEntidad=19999"/>
    <hyperlink ref="U22" r:id="rId13" display="http://consorciofia.info/cdr/ver_fuentes_w.php?NumCDR=005&amp;codEntidad=19999"/>
    <hyperlink ref="U23" r:id="rId14" display="http://consorciofia.info/cdr/ver_fuentes_w.php?NumCDR=005&amp;codEntidad=19999"/>
    <hyperlink ref="U24" r:id="rId15" display="http://consorciofia.info/cdr/ver_fuentes_w.php?NumCDR=193&amp;codEntidad=19999"/>
    <hyperlink ref="U25" r:id="rId16" display="http://consorciofia.info/cdr/ver_fuentes_w.php?NumCDR=008&amp;codEntidad=19999"/>
    <hyperlink ref="U26" r:id="rId17" display="http://consorciofia.info/cdr/ver_fuentes_w.php?NumCDR=008&amp;codEntidad=19999"/>
    <hyperlink ref="U27" r:id="rId18" display="http://consorciofia.info/cdr/ver_fuentes_w.php?NumCDR=008&amp;codEntidad=19999"/>
    <hyperlink ref="U28" r:id="rId19" display="http://consorciofia.info/cdr/ver_fuentes_w.php?NumCDR=164&amp;codEntidad=19999"/>
    <hyperlink ref="U45" r:id="rId20" display="http://consorciofia.info/cdr/ver_fuentes_w.php?NumCDR=014&amp;codEntidad=19999"/>
    <hyperlink ref="U46" r:id="rId21" display="http://consorciofia.info/cdr/ver_fuentes_w.php?NumCDR=014&amp;codEntidad=19999"/>
    <hyperlink ref="U47" r:id="rId22" display="http://consorciofia.info/cdr/ver_fuentes_w.php?NumCDR=014&amp;codEntidad=19999"/>
    <hyperlink ref="U48" r:id="rId23" display="http://consorciofia.info/cdr/ver_fuentes_w.php?NumCDR=014&amp;codEntidad=19999"/>
    <hyperlink ref="U53" r:id="rId24" display="http://consorciofia.info/cdr/ver_fuentes_w.php?NumCDR=019&amp;codEntidad=19999"/>
    <hyperlink ref="U54" r:id="rId25" display="http://consorciofia.info/cdr/ver_fuentes_w.php?NumCDR=019&amp;codEntidad=19999"/>
    <hyperlink ref="U14" r:id="rId26" display="http://consorciofia.info/cdr/ver_fuentes_w.php?NumCDR=002&amp;codEntidad=19999"/>
    <hyperlink ref="U43" r:id="rId27" display="http://consorciofia.info/cdr/ver_fuentes_w.php?NumCDR=012&amp;codEntidad=19999"/>
    <hyperlink ref="U50" r:id="rId28" display="http://consorciofia.info/cdr/ver_fuentes_w.php?NumCDR=017&amp;codEntidad=19999"/>
    <hyperlink ref="U55" r:id="rId29" display="http://consorciofia.info/cdr/ver_fuentes_w.php?NumCDR=020&amp;codEntidad=19999"/>
    <hyperlink ref="U56" r:id="rId30" display="http://consorciofia.info/cdr/ver_fuentes_w.php?NumCDR=020&amp;codEntidad=19999"/>
    <hyperlink ref="U57" r:id="rId31" display="http://consorciofia.info/cdr/ver_fuentes_w.php?NumCDR=020&amp;codEntidad=19999"/>
    <hyperlink ref="U71" r:id="rId32" display="http://consorciofia.info/cdr/ver_fuentes_w.php?NumCDR=013&amp;codEntidad=19999"/>
    <hyperlink ref="U72" r:id="rId33" display="http://consorciofia.info/cdr/ver_fuentes_w.php?NumCDR=013&amp;codEntidad=19999"/>
    <hyperlink ref="U3" r:id="rId34" display="http://consorciofia.info/cdr/ver_fuentes_w.php?NumCDR=029&amp;codEntidad=19999"/>
    <hyperlink ref="U76" r:id="rId35" display="http://consorciofia.info/cdr/ver_fuentes_w.php?NumCDR=021&amp;codEntidad=19999"/>
    <hyperlink ref="U77" r:id="rId36" display="http://consorciofia.info/cdr/ver_fuentes_w.php?NumCDR=021&amp;codEntidad=19999"/>
    <hyperlink ref="U78" r:id="rId37" display="http://consorciofia.info/cdr/ver_fuentes_w.php?NumCDR=021&amp;codEntidad=19999"/>
    <hyperlink ref="U79" r:id="rId38" display="http://consorciofia.info/cdr/ver_fuentes_w.php?NumCDR=224&amp;codEntidad=19999"/>
    <hyperlink ref="U80" r:id="rId39" display="http://consorciofia.info/cdr/ver_fuentes_w.php?NumCDR=224&amp;codEntidad=19999"/>
    <hyperlink ref="U81" r:id="rId40" display="http://consorciofia.info/cdr/ver_fuentes_w.php?NumCDR=025&amp;codEntidad=19999"/>
    <hyperlink ref="U82" r:id="rId41" display="http://consorciofia.info/cdr/ver_fuentes_w.php?NumCDR=025&amp;codEntidad=19999"/>
    <hyperlink ref="U74" r:id="rId42" display="http://consorciofia.info/cdr/ver_fuentes_w.php?NumCDR=016&amp;codEntidad=19999"/>
    <hyperlink ref="U100" r:id="rId43" display="http://consorciofia.info/cdr/ver_fuentes_w.php?NumCDR=036&amp;codEntidad=19999"/>
    <hyperlink ref="U95" r:id="rId44" display="http://consorciofia.info/cdr/ver_fuentes_w.php?NumCDR=037&amp;codEntidad=19999"/>
    <hyperlink ref="U96" r:id="rId45" display="http://consorciofia.info/cdr/ver_fuentes_w.php?NumCDR=037&amp;codEntidad=19999"/>
    <hyperlink ref="U97" r:id="rId46" display="http://consorciofia.info/cdr/ver_fuentes_w.php?NumCDR=037&amp;codEntidad=19999"/>
    <hyperlink ref="U98" r:id="rId47" display="http://consorciofia.info/cdr/ver_fuentes_w.php?NumCDR=037&amp;codEntidad=19999"/>
    <hyperlink ref="U99" r:id="rId48" display="http://consorciofia.info/cdr/ver_fuentes_w.php?NumCDR=037&amp;codEntidad=19999"/>
    <hyperlink ref="U101" r:id="rId49" display="http://consorciofia.info/cdr/ver_fuentes_w.php?NumCDR=036&amp;codEntidad=19999"/>
    <hyperlink ref="U102" r:id="rId50" display="http://consorciofia.info/cdr/ver_fuentes_w.php?NumCDR=036&amp;codEntidad=19999"/>
    <hyperlink ref="U103" r:id="rId51" display="http://consorciofia.info/cdr/ver_fuentes_w.php?NumCDR=036&amp;codEntidad=19999"/>
    <hyperlink ref="U104" r:id="rId52" display="http://consorciofia.info/cdr/ver_fuentes_w.php?NumCDR=036&amp;codEntidad=19999"/>
    <hyperlink ref="U105" r:id="rId53" display="http://consorciofia.info/cdr/ver_fuentes_w.php?NumCDR=165&amp;codEntidad=19999"/>
    <hyperlink ref="U106" r:id="rId54" display="http://consorciofia.info/cdr/ver_fuentes_w.php?NumCDR=165&amp;codEntidad=19999"/>
    <hyperlink ref="U107" r:id="rId55" display="http://consorciofia.info/cdr/ver_fuentes_w.php?NumCDR=038&amp;codEntidad=19999"/>
    <hyperlink ref="U108" r:id="rId56" display="http://consorciofia.info/cdr/ver_fuentes_w.php?NumCDR=038&amp;codEntidad=19999"/>
    <hyperlink ref="U109" r:id="rId57" display="http://consorciofia.info/cdr/ver_fuentes_w.php?NumCDR=038&amp;codEntidad=19999"/>
    <hyperlink ref="U110" r:id="rId58" display="http://consorciofia.info/cdr/ver_fuentes_w.php?NumCDR=038&amp;codEntidad=19999"/>
    <hyperlink ref="U111" r:id="rId59" display="http://consorciofia.info/cdr/ver_fuentes_w.php?NumCDR=038&amp;codEntidad=19999"/>
    <hyperlink ref="U112" r:id="rId60" display="http://consorciofia.info/cdr/ver_fuentes_w.php?NumCDR=038&amp;codEntidad=19999"/>
    <hyperlink ref="U113" r:id="rId61" display="http://consorciofia.info/cdr/ver_fuentes_w.php?NumCDR=038&amp;codEntidad=19999"/>
    <hyperlink ref="U114" r:id="rId62" display="http://consorciofia.info/cdr/ver_fuentes_w.php?NumCDR=038&amp;codEntidad=19999"/>
    <hyperlink ref="U115" r:id="rId63" display="http://consorciofia.info/cdr/ver_fuentes_w.php?NumCDR=040&amp;codEntidad=19999"/>
    <hyperlink ref="U116" r:id="rId64" display="http://consorciofia.info/cdr/ver_fuentes_w.php?NumCDR=040&amp;codEntidad=19999"/>
    <hyperlink ref="U117" r:id="rId65" display="http://consorciofia.info/cdr/ver_fuentes_w.php?NumCDR=040&amp;codEntidad=19999"/>
    <hyperlink ref="U118" r:id="rId66" display="http://consorciofia.info/cdr/ver_fuentes_w.php?NumCDR=040&amp;codEntidad=19999"/>
    <hyperlink ref="U119" r:id="rId67" display="http://consorciofia.info/cdr/ver_fuentes_w.php?NumCDR=158&amp;codEntidad=19999"/>
    <hyperlink ref="U160" r:id="rId68" display="http://consorciofia.info/cdr/ver_fuentes_w.php?NumCDR=049&amp;codEntidad=19999"/>
    <hyperlink ref="U161" r:id="rId69" display="http://consorciofia.info/cdr/ver_fuentes_w.php?NumCDR=049&amp;codEntidad=19999"/>
    <hyperlink ref="U162" r:id="rId70" display="http://consorciofia.info/cdr/ver_fuentes_w.php?NumCDR=049&amp;codEntidad=19999"/>
    <hyperlink ref="U163" r:id="rId71" display="http://consorciofia.info/cdr/ver_fuentes_w.php?NumCDR=049&amp;codEntidad=19999"/>
    <hyperlink ref="U164" r:id="rId72" display="http://consorciofia.info/cdr/ver_fuentes_w.php?NumCDR=140&amp;codEntidad=19999"/>
    <hyperlink ref="U166" r:id="rId73" display="http://consorciofia.info/cdr/ver_fuentes_w.php?NumCDR=051&amp;codEntidad=19999"/>
    <hyperlink ref="U167" r:id="rId74" display="http://consorciofia.info/cdr/ver_fuentes_w.php?NumCDR=051&amp;codEntidad=19999"/>
    <hyperlink ref="U168" r:id="rId75" display="http://consorciofia.info/cdr/ver_fuentes_w.php?NumCDR=051&amp;codEntidad=19999"/>
    <hyperlink ref="U169" r:id="rId76" display="http://consorciofia.info/cdr/ver_fuentes_w.php?NumCDR=051&amp;codEntidad=19999"/>
    <hyperlink ref="U170" r:id="rId77" display="http://consorciofia.info/cdr/ver_fuentes_w.php?NumCDR=051&amp;codEntidad=19999"/>
    <hyperlink ref="U171" r:id="rId78" display="http://consorciofia.info/cdr/ver_fuentes_w.php?NumCDR=051&amp;codEntidad=19999"/>
    <hyperlink ref="U172" r:id="rId79" display="http://consorciofia.info/cdr/ver_fuentes_w.php?NumCDR=051&amp;codEntidad=19999"/>
    <hyperlink ref="U173" r:id="rId80" display="http://consorciofia.info/cdr/ver_fuentes_w.php?NumCDR=207&amp;codEntidad=19999"/>
    <hyperlink ref="U174" r:id="rId81" display="http://consorciofia.info/cdr/ver_fuentes_w.php?NumCDR=208&amp;codEntidad=19999"/>
    <hyperlink ref="U49" r:id="rId82" display="http://consorciofia.info/cdr/ver_fuentes_w.php?NumCDR=017&amp;codEntidad=19999"/>
    <hyperlink ref="U52" r:id="rId83" display="http://consorciofia.info/cdr/ver_fuentes_w.php?NumCDR=160&amp;codEntidad=19999"/>
    <hyperlink ref="U165" r:id="rId84" display="http://consorciofia.info/cdr/ver_fuentes_w.php?NumCDR=051&amp;codEntidad=19999"/>
    <hyperlink ref="H175:H182" r:id="rId85" display="http://consorciofia.info/cdr/ver_fuentes_w.php?NumCDR=033&amp;codEntidad=19999"/>
    <hyperlink ref="H183:H190" r:id="rId86" display="http://consorciofia.info/cdr/ver_fuentes_w.php?NumCDR=034&amp;codEntidad=19999"/>
    <hyperlink ref="H191:H198" r:id="rId87" display="http://consorciofia.info/cdr/ver_fuentes_w.php?NumCDR=035&amp;codEntidad=19999"/>
    <hyperlink ref="H199" r:id="rId88" display="http://consorciofia.info/cdr/ver_fuentes_w.php?NumCDR=192&amp;codEntidad=19999"/>
    <hyperlink ref="H200" r:id="rId89" display="http://consorciofia.info/cdr/ver_fuentes_w.php?NumCDR=194&amp;codEntidad=19999"/>
    <hyperlink ref="H120" r:id="rId90" display="http://consorciofia.info/cdr/ver_fuentes_w.php?NumCDR=039&amp;codEntidad=19999"/>
    <hyperlink ref="H124" r:id="rId91" display="http://consorciofia.info/cdr/ver_fuentes_w.php?NumCDR=041&amp;codEntidad=19999"/>
    <hyperlink ref="H127" r:id="rId92" display="http://consorciofia.info/cdr/ver_fuentes_w.php?NumCDR=042&amp;codEntidad=19999"/>
    <hyperlink ref="H131" r:id="rId93" display="http://consorciofia.info/cdr/ver_fuentes_w.php?NumCDR=043&amp;codEntidad=19999"/>
    <hyperlink ref="H135" r:id="rId94" display="http://consorciofia.info/cdr/ver_fuentes_w.php?NumCDR=044&amp;codEntidad=19999"/>
    <hyperlink ref="H139" r:id="rId95" display="http://consorciofia.info/cdr/ver_fuentes_w.php?NumCDR=050&amp;codEntidad=19999"/>
    <hyperlink ref="H201" r:id="rId96" display="http://consorciofia.info/cdr/ver_fuentes_w.php?NumCDR=065&amp;codEntidad=19999"/>
    <hyperlink ref="H203:H204" r:id="rId97" display="http://consorciofia.info/cdr/ver_fuentes_w.php?NumCDR=066&amp;codEntidad=19999"/>
    <hyperlink ref="H205:H206" r:id="rId98" display="http://consorciofia.info/cdr/ver_fuentes_w.php?NumCDR=067&amp;codEntidad=19999"/>
    <hyperlink ref="H207" r:id="rId99" display="http://consorciofia.info/cdr/ver_fuentes_w.php?NumCDR=163&amp;codEntidad=19999"/>
    <hyperlink ref="H208:H209" r:id="rId100" display="http://consorciofia.info/cdr/ver_fuentes_w.php?NumCDR=058&amp;codEntidad=19999"/>
    <hyperlink ref="H212:H213" r:id="rId101" display="http://consorciofia.info/cdr/ver_fuentes_w.php?NumCDR=059&amp;codEntidad=19999"/>
    <hyperlink ref="H216:H217" r:id="rId102" display="http://consorciofia.info/cdr/ver_fuentes_w.php?NumCDR=060&amp;codEntidad=19999"/>
    <hyperlink ref="H220:H221" r:id="rId103" display="http://consorciofia.info/cdr/ver_fuentes_w.php?NumCDR=061&amp;codEntidad=19999"/>
    <hyperlink ref="H224:H225" r:id="rId104" display="http://consorciofia.info/cdr/ver_fuentes_w.php?NumCDR=062&amp;codEntidad=19999"/>
    <hyperlink ref="H228:H230" r:id="rId105" display="http://consorciofia.info/cdr/ver_fuentes_w.php?NumCDR=063&amp;codEntidad=19999"/>
    <hyperlink ref="H232:H234" r:id="rId106" display="http://consorciofia.info/cdr/ver_fuentes_w.php?NumCDR=064&amp;codEntidad=19999"/>
    <hyperlink ref="H236" r:id="rId107" display="http://consorciofia.info/cdr/ver_fuentes_w.php?NumCDR=196&amp;codEntidad=19999"/>
    <hyperlink ref="H237" r:id="rId108" display="http://consorciofia.info/cdr/ver_fuentes_w.php?NumCDR=174&amp;codEntidad=19999"/>
    <hyperlink ref="H243:H245" r:id="rId109" display="http://consorciofia.info/cdr/ver_fuentes_w.php?NumCDR=053&amp;codEntidad=19999"/>
    <hyperlink ref="H240:H242" r:id="rId110" display="http://consorciofia.info/cdr/ver_fuentes_w.php?NumCDR=052&amp;codEntidad=19999"/>
    <hyperlink ref="H246:H248" r:id="rId111" display="http://consorciofia.info/cdr/ver_fuentes_w.php?NumCDR=054&amp;codEntidad=19999"/>
    <hyperlink ref="H249:H251" r:id="rId112" display="http://consorciofia.info/cdr/ver_fuentes_w.php?NumCDR=055&amp;codEntidad=19999"/>
    <hyperlink ref="H252:H254" r:id="rId113" display="http://consorciofia.info/cdr/ver_fuentes_w.php?NumCDR=056&amp;codEntidad=19999"/>
    <hyperlink ref="H255:H257" r:id="rId114" display="http://consorciofia.info/cdr/ver_fuentes_w.php?NumCDR=057&amp;codEntidad=19999"/>
    <hyperlink ref="H258" r:id="rId115" display="http://consorciofia.info/cdr/ver_fuentes_w.php?NumCDR=197&amp;codEntidad=19999"/>
    <hyperlink ref="H331:H336" r:id="rId116" display="http://consorciofia.info/cdr/ver_fuentes_w.php?NumCDR=081&amp;codEntidad=19999"/>
    <hyperlink ref="H337" r:id="rId117" display="http://consorciofia.info/cdr/ver_fuentes_w.php?NumCDR=174&amp;codEntidad=19999"/>
    <hyperlink ref="H301" r:id="rId118" display="http://consorciofia.info/cdr/ver_fuentes_w.php?NumCDR=200&amp;codEntidad=19999"/>
    <hyperlink ref="H298:H299" r:id="rId119" display="http://consorciofia.info/cdr/ver_fuentes_w.php?NumCDR=075&amp;codEntidad=19999"/>
    <hyperlink ref="H295:H296" r:id="rId120" display="http://consorciofia.info/cdr/ver_fuentes_w.php?NumCDR=074&amp;codEntidad=19999"/>
    <hyperlink ref="H289:H290" r:id="rId121" display="http://consorciofia.info/cdr/ver_fuentes_w.php?NumCDR=072&amp;codEntidad=19999"/>
    <hyperlink ref="H292:H293" r:id="rId122" display="http://consorciofia.info/cdr/ver_fuentes_w.php?NumCDR=073&amp;codEntidad=19999"/>
    <hyperlink ref="U18" r:id="rId123" display="Pagos CDRs FIA\CDR 004 - Contrato 008-2010.jpg"/>
    <hyperlink ref="U19" r:id="rId124" display="Pagos CDRs FIA\CDR 004 - Contrato 008-2010.jpg"/>
    <hyperlink ref="U20" r:id="rId125" display="Pagos CDRs FIA\CDR 004 - Contrato 008-2010.jpg"/>
    <hyperlink ref="U21" r:id="rId126" display="Pagos CDRs FIA\CDR 191 - Contrato 008-2010.jpg"/>
    <hyperlink ref="H18:H20" r:id="rId127" display="http://consorciofia.info/cdr/ver_fuentes_w.php?NumCDR=004&amp;codEntidad=19999"/>
    <hyperlink ref="H21" r:id="rId128" display="http://consorciofia.info/cdr/ver_fuentes_w.php?NumCDR=191&amp;codEntidad=19999"/>
    <hyperlink ref="U17" r:id="rId129" display="Pagos CDRs FIA\CDR 003 - Contrato 007-2010.jpg"/>
    <hyperlink ref="H17" r:id="rId130" display="http://consorciofia.info/cdr/ver_fuentes_w.php?NumCDR=003&amp;codEntidad=19999"/>
    <hyperlink ref="H338" r:id="rId131" display="http://consorciofia.info/cdr/ver_fuentes_w.php?NumCDR=084&amp;codEntidad=19999"/>
    <hyperlink ref="H346" r:id="rId132" display="http://consorciofia.info/cdr/ver_fuentes_w.php?NumCDR=085&amp;codEntidad=19999"/>
    <hyperlink ref="H354" r:id="rId133" display="http://consorciofia.info/cdr/ver_fuentes_w.php?NumCDR=087&amp;codEntidad=19999"/>
    <hyperlink ref="H359" r:id="rId134" display="http://consorciofia.info/cdr/ver_fuentes_w.php?NumCDR=162&amp;codEntidad=19999"/>
    <hyperlink ref="H360:H361" r:id="rId135" display="http://consorciofia.info/cdr/ver_fuentes_w.php?NumCDR=088&amp;codEntidad=19999"/>
    <hyperlink ref="H401:H404" r:id="rId136" display="http://consorciofia.info/cdr/ver_fuentes_w.php?NumCDR=095&amp;codEntidad=19999"/>
    <hyperlink ref="H362:H363" r:id="rId137" display="http://consorciofia.info/cdr/ver_fuentes_w.php?NumCDR=089&amp;codEntidad=19999"/>
    <hyperlink ref="H407" r:id="rId138" display="http://consorciofia.info/cdr/ver_fuentes_w.php?NumCDR=097&amp;codEntidad=19999"/>
    <hyperlink ref="H411" r:id="rId139" display="http://consorciofia.info/cdr/ver_fuentes_w.php?NumCDR=201&amp;codEntidad=19999"/>
    <hyperlink ref="H405:H406" r:id="rId140" display="http://consorciofia.info/cdr/ver_fuentes_w.php?NumCDR=096&amp;codEntidad=19999"/>
    <hyperlink ref="H418" r:id="rId141" display="http://consorciofia.info/cdr/ver_fuentes_w.php?NumCDR=099&amp;codEntidad=19999"/>
    <hyperlink ref="H426" r:id="rId142" display="http://consorciofia.info/cdr/ver_fuentes_w.php?NumCDR=101&amp;codEntidad=19999"/>
    <hyperlink ref="H422" r:id="rId143" display="http://consorciofia.info/cdr/ver_fuentes_w.php?NumCDR=100&amp;codEntidad=19999"/>
    <hyperlink ref="H435" r:id="rId144" display="http://consorciofia.info/cdr/ver_fuentes_w.php?NumCDR=205&amp;codEntidad=19999"/>
    <hyperlink ref="H431:H434" r:id="rId145" display="http://consorciofia.info/cdr/ver_fuentes_w.php?NumCDR=102&amp;codEntidad=19999"/>
    <hyperlink ref="H436:H439" r:id="rId146" display="http://consorciofia.info/cdr/ver_fuentes_w.php?NumCDR=103&amp;codEntidad=19999"/>
    <hyperlink ref="H442" r:id="rId147" display="http://consorciofia.info/cdr/ver_fuentes_w.php?NumCDR=104&amp;codEntidad=19999"/>
    <hyperlink ref="H350:H353" r:id="rId148" display="http://consorciofia.info/cdr/ver_fuentes_w.php?NumCDR=086&amp;codEntidad=19999"/>
    <hyperlink ref="H503:H505" r:id="rId149" display="http://consorciofia.info/cdr/ver_fuentes_w.php?NumCDR=022&amp;codEntidad=19999"/>
    <hyperlink ref="H476:H483" r:id="rId150" display="http://consorciofia.info/cdr/ver_fuentes_w.php?NumCDR=110&amp;codEntidad=19999"/>
    <hyperlink ref="H491:H492" r:id="rId151" display="http://consorciofia.info/cdr/ver_fuentes_w.php?NumCDR=174&amp;codEntidad=19999"/>
    <hyperlink ref="H485:H490" r:id="rId152" display="http://consorciofia.info/cdr/ver_fuentes_w.php?NumCDR=111&amp;codEntidad=19999"/>
    <hyperlink ref="H484" r:id="rId153" display="http://consorciofia.info/cdr/ver_fuentes_w.php?NumCDR=202&amp;codEntidad=19999"/>
    <hyperlink ref="H471:H475" r:id="rId154" display="http://consorciofia.info/cdr/ver_fuentes_w.php?NumCDR=109&amp;codEntidad=19999"/>
    <hyperlink ref="H469:H470" r:id="rId155" display="http://consorciofia.info/cdr/ver_fuentes_w.php?NumCDR=203&amp;codEntidad=19999"/>
    <hyperlink ref="H461:H468" r:id="rId156" display="http://consorciofia.info/cdr/ver_fuentes_w.php?NumCDR=108&amp;codEntidad=19999"/>
    <hyperlink ref="H457:H460" r:id="rId157" display="http://consorciofia.info/cdr/ver_fuentes_w.php?NumCDR=107&amp;codEntidad=19999"/>
    <hyperlink ref="H455:H456" r:id="rId158" display="http://consorciofia.info/cdr/ver_fuentes_w.php?NumCDR=188&amp;codEntidad=19999"/>
    <hyperlink ref="H450:H454" r:id="rId159" display="http://consorciofia.info/cdr/ver_fuentes_w.php?NumCDR=106&amp;codEntidad=19999"/>
    <hyperlink ref="H446:H449" r:id="rId160" display="http://consorciofia.info/cdr/ver_fuentes_w.php?NumCDR=105&amp;codEntidad=19999"/>
    <hyperlink ref="H493:H500" r:id="rId161" display="http://consorciofia.info/cdr/ver_fuentes_w.php?NumCDR=112&amp;codEntidad=19999%7d"/>
    <hyperlink ref="H501:H502" r:id="rId162" display="http://consorciofia.info/cdr/ver_fuentes_w.php?NumCDR=174&amp;codEntidad=19999"/>
    <hyperlink ref="H369" r:id="rId163" display="http://consorciofia.info/cdr/ver_fuentes_w.php?NumCDR=090&amp;codEntidad=19999"/>
    <hyperlink ref="H365" r:id="rId164" display="http://consorciofia.info/cdr/ver_fuentes_w.php?NumCDR=113&amp;codEntidad=19999"/>
    <hyperlink ref="H381" r:id="rId165" display="http://consorciofia.info/cdr/ver_fuentes_w.php?NumCDR=167&amp;codEntidad=19999"/>
    <hyperlink ref="H375:H380" r:id="rId166" display="http://consorciofia.info/cdr/ver_fuentes_w.php?NumCDR=091&amp;codEntidad=19999"/>
    <hyperlink ref="H383:H384" r:id="rId167" display="http://consorciofia.info/cdr/ver_fuentes_w.php?NumCDR=174&amp;codEntidad=19999"/>
    <hyperlink ref="H385" r:id="rId168" display="http://consorciofia.info/cdr/ver_fuentes_w.php?NumCDR=092&amp;codEntidad=19999"/>
    <hyperlink ref="H394" r:id="rId169" display="http://consorciofia.info/cdr/ver_fuentes_w.php?NumCDR=094&amp;codEntidad=19999"/>
    <hyperlink ref="H389:H390" r:id="rId170" display="http://consorciofia.info/cdr/ver_fuentes_w.php?NumCDR=093&amp;codEntidad=19999"/>
    <hyperlink ref="H392:H393" r:id="rId171" display="http://consorciofia.info/cdr/ver_fuentes_w.php?NumCDR=174&amp;codEntidad=19999"/>
    <hyperlink ref="H400" r:id="rId172" display="http://consorciofia.info/cdr/ver_fuentes_w.php?NumCDR=204&amp;codEntidad=19999"/>
    <hyperlink ref="H143:H148" r:id="rId173" display="http://consorciofia.info/cdr/ver_fuentes_w.php?NumCDR=045&amp;codEntidad=19999"/>
    <hyperlink ref="H151:H155" r:id="rId174" display="http://consorciofia.info/cdr/ver_fuentes_w.php?NumCDR=046&amp;codEntidad=19999"/>
    <hyperlink ref="H159" r:id="rId175" display="http://consorciofia.info/cdr/ver_fuentes_w.php?NumCDR=161&amp;codEntidad=19999"/>
    <hyperlink ref="H412:H417" r:id="rId176" display="http://consorciofia.info/cdr/ver_fuentes_w.php?NumCDR=098&amp;codEntidad=19999"/>
    <hyperlink ref="H506" r:id="rId177" display="http://consorciofia.info/cdr/ver_fuentes_w.php?NumCDR=001&amp;codEntidad=19397"/>
    <hyperlink ref="H515" r:id="rId178" display="http://consorciofia.info/cdr/ver_fuentes_w.php?NumCDR=002&amp;codEntidad=19397"/>
    <hyperlink ref="H509" r:id="rId179" display="http://consorciofia.info/cdr/ver_fuentes_w.php?NumCDR=118&amp;codEntidad=19999"/>
    <hyperlink ref="H518:H523" r:id="rId180" display="http://consorciofia.info/cdr/ver_fuentes_w.php?NumCDR=150&amp;codEntidad=19999"/>
    <hyperlink ref="H524:H525" r:id="rId181" display="http://consorciofia.info/cdr/ver_fuentes_w.php?NumCDR=233&amp;codEntidad=19999"/>
    <hyperlink ref="H562" r:id="rId182" display="http://consorciofia.info/cdr/ver_fuentes_w.php?NumCDR=003&amp;codEntidad=19050"/>
    <hyperlink ref="H568:H569" r:id="rId183" display="http://consorciofia.info/cdr/ver_fuentes_w.php?NumCDR=003&amp;codEntidad=19397"/>
    <hyperlink ref="H570:H573" r:id="rId184" display="http://consorciofia.info/cdr/ver_fuentes_w.php?NumCDR=157&amp;codEntidad=19999"/>
    <hyperlink ref="H574:H575" r:id="rId185" display="http://consorciofia.info/cdr/ver_fuentes_w.php?NumCDR=003&amp;codEntidad=19585"/>
    <hyperlink ref="H576" r:id="rId186" display="http://consorciofia.info/cdr/ver_fuentes_w.php?NumCDR=005&amp;codEntidad=19585"/>
    <hyperlink ref="H577" r:id="rId187" display="http://consorciofia.info/cdr/ver_fuentes_w.php?NumCDR=237&amp;codEntidad=19999"/>
    <hyperlink ref="H578" r:id="rId188" display="http://consorciofia.info/cdr/ver_fuentes_w.php?NumCDR=234&amp;codEntidad=19999"/>
    <hyperlink ref="H564:H567" r:id="rId189" display="http://consorciofia.info/cdr/ver_fuentes_w.php?NumCDR=156&amp;codEntidad=19999"/>
    <hyperlink ref="H579:H580" r:id="rId190" display="http://consorciofia.info/cdr/ver_fuentes_w.php?NumCDR=223&amp;codEntidad=19999"/>
    <hyperlink ref="H582:H584" r:id="rId191" display="http://consorciofia.info/cdr/ver_fuentes_w.php?NumCDR=002&amp;codEntidad=19698"/>
    <hyperlink ref="H585:H590" r:id="rId192" display="http://consorciofia.info/cdr/ver_fuentes_w.php?NumCDR=175&amp;codEntidad=19999"/>
    <hyperlink ref="H591:H596" r:id="rId193" display="http://consorciofia.info/cdr/ver_fuentes_w.php?NumCDR=124&amp;codEntidad=19999"/>
    <hyperlink ref="H599" r:id="rId194" display="http://consorciofia.info/cdr/ver_fuentes_w.php?NumCDR=144&amp;codEntidad=19999"/>
    <hyperlink ref="H602:H603" r:id="rId195" display="http://consorciofia.info/cdr/ver_fuentes_w.php?NumCDR=174&amp;codEntidad=19999"/>
    <hyperlink ref="H609:H611" r:id="rId196" display="http://consorciofia.info/cdr/ver_fuentes_w.php?NumCDR=149&amp;codEntidad=19999"/>
    <hyperlink ref="H612" r:id="rId197" display="http://consorciofia.info/cdr/ver_fuentes_w.php?NumCDR=141&amp;codEntidad=19999"/>
    <hyperlink ref="H616:H618" r:id="rId198" display="http://consorciofia.info/cdr/ver_fuentes_w.php?NumCDR=142&amp;codEntidad=19999"/>
    <hyperlink ref="H619:H621" r:id="rId199" display="http://consorciofia.info/cdr/ver_fuentes_w.php?NumCDR=170&amp;codEntidad=19999"/>
    <hyperlink ref="H622:H624" r:id="rId200" display="http://consorciofia.info/cdr/ver_fuentes_w.php?NumCDR=171&amp;codEntidad=19999"/>
    <hyperlink ref="H625:H627" r:id="rId201" display="http://consorciofia.info/cdr/ver_fuentes_w.php?NumCDR=172&amp;codEntidad=19999"/>
    <hyperlink ref="H628:H632" r:id="rId202" display="http://consorciofia.info/cdr/ver_fuentes_w.php?NumCDR=138&amp;codEntidad=19999"/>
    <hyperlink ref="H633:H635" r:id="rId203" display="http://consorciofia.info/cdr/ver_fuentes_w.php?NumCDR=189&amp;codEntidad=19999"/>
    <hyperlink ref="H636:H637" r:id="rId204" display="http://consorciofia.info/cdr/ver_fuentes_w.php?NumCDR=173&amp;codEntidad=19999"/>
    <hyperlink ref="H638:H643" r:id="rId205" display="http://consorciofia.info/cdr/ver_fuentes_w.php?NumCDR=047&amp;codEntidad=19999"/>
    <hyperlink ref="H644:H646" r:id="rId206" display="http://consorciofia.info/cdr/ver_fuentes_w.php?NumCDR=195&amp;codEntidad=19999"/>
    <hyperlink ref="H647:H649" r:id="rId207" display="http://consorciofia.info/cdr/ver_fuentes_w.php?NumCDR=210&amp;codEntidad=19999"/>
    <hyperlink ref="H650:H652" r:id="rId208" display="http://consorciofia.info/cdr/ver_fuentes_w.php?NumCDR=209&amp;codEntidad=19999"/>
    <hyperlink ref="H653:H655" r:id="rId209" display="http://consorciofia.info/cdr/ver_fuentes_w.php?NumCDR=145&amp;codEntidad=19999"/>
    <hyperlink ref="H656:H658" r:id="rId210" display="http://consorciofia.info/cdr/ver_fuentes_w.php?NumCDR=169&amp;codEntidad=19999"/>
    <hyperlink ref="H659:H663" r:id="rId211" display="http://consorciofia.info/cdr/ver_fuentes_w.php?NumCDR=137&amp;codEntidad=19999"/>
    <hyperlink ref="H33:H36" r:id="rId212" display="http://consorciofia.info/cdr/ver_fuentes_w.php?NumCDR=010&amp;codEntidad=19999"/>
    <hyperlink ref="H37:H40" r:id="rId213" display="http://consorciofia.info/cdr/ver_fuentes_w.php?NumCDR=011&amp;codEntidad=19999"/>
    <hyperlink ref="H41:H42" r:id="rId214" display="http://consorciofia.info/cdr/ver_fuentes_w.php?NumCDR=159&amp;codEntidad=19999"/>
    <hyperlink ref="U37" r:id="rId215" display="http://consorciofia.info/cdr/ver_fuentes_w.php?NumCDR=011&amp;codEntidad=19999"/>
    <hyperlink ref="U41" r:id="rId216" display="Documentos soportes para la conciliación"/>
    <hyperlink ref="U39" r:id="rId217" display="http://consorciofia.info/cdr/ver_fuentes_w.php?NumCDR=0011&amp;codEntidad=19999"/>
    <hyperlink ref="U38" r:id="rId218" display="http://consorciofia.info/cdr/ver_fuentes_w.php?NumCDR=023&amp;codEntidad=19999"/>
    <hyperlink ref="H58" r:id="rId219" display="http://consorciofia.info/cdr/ver_fuentes_w.php?NumCDR=023&amp;codEntidad=19999"/>
    <hyperlink ref="H62:H64" r:id="rId220" display="http://consorciofia.info/cdr/ver_fuentes_w.php?NumCDR=139&amp;codEntidad=19999"/>
    <hyperlink ref="U58" r:id="rId221" display="http://consorciofia.info/cdr/ver_fuentes_w.php?NumCDR=023&amp;codEntidad=19999"/>
    <hyperlink ref="U59" r:id="rId222" display="http://consorciofia.info/cdr/ver_fuentes_w.php?NumCDR=0011&amp;codEntidad=19999"/>
    <hyperlink ref="U60" r:id="rId223" display="http://consorciofia.info/cdr/ver_fuentes_w.php?NumCDR=0011&amp;codEntidad=19999"/>
    <hyperlink ref="H65:H67" r:id="rId224" display="http://consorciofia.info/cdr/ver_fuentes_w.php?NumCDR=028&amp;codEntidad=19999"/>
    <hyperlink ref="H68" r:id="rId225" display="http://consorciofia.info/cdr/ver_fuentes_w.php?NumCDR=206&amp;codEntidad=19999"/>
    <hyperlink ref="H69:H70" r:id="rId226" display="http://consorciofia.info/cdr/ver_fuentes_w.php?NumCDR=006&amp;codEntidad=19999"/>
    <hyperlink ref="H83:H86" r:id="rId227" display="http://consorciofia.info/cdr/ver_fuentes_w.php?NumCDR=031&amp;codEntidad=19999"/>
    <hyperlink ref="H87:H90" r:id="rId228" display="http://consorciofia.info/cdr/ver_fuentes_w.php?NumCDR=032&amp;codEntidad=19999"/>
    <hyperlink ref="H91:H94" r:id="rId229" display="http://consorciofia.info/cdr/ver_fuentes_w.php?NumCDR=048&amp;codEntidad=19999"/>
    <hyperlink ref="H526:H533" r:id="rId230" display="http://consorciofia.info/cdr/ver_fuentes_w.php?NumCDR=117&amp;codEntidad=19999"/>
    <hyperlink ref="H534:H537" r:id="rId231" display="http://consorciofia.info/cdr/ver_fuentes_w.php?NumCDR=001&amp;codEntidad=19050"/>
    <hyperlink ref="H538:H540" r:id="rId232" display="http://consorciofia.info/cdr/ver_fuentes_w.php?NumCDR=005&amp;codEntidad=19050"/>
    <hyperlink ref="H541:H546" r:id="rId233" display="http://consorciofia.info/cdr/ver_fuentes_w.php?NumCDR=227&amp;codEntidad=19999"/>
    <hyperlink ref="H547" r:id="rId234" display="http://consorciofia.info/cdr/ver_fuentes_w.php?NumCDR=236&amp;codEntidad=19999"/>
    <hyperlink ref="H664:H665" r:id="rId235" display="http://consorciofia.info/cdr/ver_fuentes_w.php?NumCDR=001&amp;codEntidad=19110"/>
    <hyperlink ref="H666:H668" r:id="rId236" display="133"/>
    <hyperlink ref="H669:H671" r:id="rId237" display="http://consorciofia.info/cdr/ver_fuentes_w.php?NumCDR=131&amp;codEntidad=19999"/>
    <hyperlink ref="H675:H678" r:id="rId238" display="http://consorciofia.info/cdr/ver_fuentes_w.php?NumCDR=127&amp;codEntidad=19999"/>
    <hyperlink ref="H679:H680" r:id="rId239" display="http://consorciofia.info/cdr/ver_fuentes_w.php?NumCDR=241&amp;codEntidad=19999"/>
    <hyperlink ref="H672:H674" r:id="rId240" display="http://consorciofia.info/cdr/ver_fuentes_w.php?NumCDR=135&amp;codEntidad=19999"/>
    <hyperlink ref="H710:H711" r:id="rId241" display="http://consorciofia.info/cdr/ver_fuentes_w.php?NumCDR=136&amp;codEntidad=19999"/>
    <hyperlink ref="H712:H713" r:id="rId242" display="http://consorciofia.info/cdr/ver_fuentes_w.php?NumCDR=132&amp;codEntidad=19999"/>
    <hyperlink ref="H724:H726" r:id="rId243" display="http://consorciofia.info/cdr/ver_fuentes_w.php?NumCDR=002&amp;codEntidad=19110"/>
    <hyperlink ref="H714:H716" r:id="rId244" display="http://consorciofia.info/cdr/ver_fuentes_w.php?NumCDR=134&amp;codEntidad=19999"/>
    <hyperlink ref="H29:H32" r:id="rId245" display="http://consorciofia.info/cdr/ver_fuentes_w.php?NumCDR=009&amp;codEntidad=19999"/>
    <hyperlink ref="H699:H703" r:id="rId246" display="http://consorciofia.info/cdr/ver_fuentes_w.php?NumCDR=129&amp;codEntidad=19999"/>
    <hyperlink ref="H704:H705" r:id="rId247" display="http://consorciofia.info/cdr/ver_fuentes_w.php?NumCDR=243&amp;codEntidad=19999"/>
    <hyperlink ref="H720:H722" r:id="rId248" display="http://consorciofia.info/cdr/ver_fuentes_w.php?NumCDR=130&amp;codEntidad=19999"/>
    <hyperlink ref="H723" r:id="rId249" display="http://consorciofia.info/cdr/ver_fuentes_w.php?NumCDR=244&amp;codEntidad=19999"/>
    <hyperlink ref="H717:H718" r:id="rId250" display="http://consorciofia.info/cdr/ver_fuentes_w.php?NumCDR=128&amp;codEntidad=19999"/>
    <hyperlink ref="H719" r:id="rId251" display="http://consorciofia.info/cdr/ver_fuentes_w.php?NumCDR=242&amp;codEntidad=19999"/>
    <hyperlink ref="H259:H263" r:id="rId252" display="http://consorciofia.info/cdr/ver_fuentes_w.php?NumCDR=068&amp;codEntidad=19999"/>
    <hyperlink ref="H264:H270" r:id="rId253" display="http://consorciofia.info/cdr/ver_fuentes_w.php?NumCDR=069&amp;codEntidad=19999"/>
    <hyperlink ref="H271:H277" r:id="rId254" display="http://consorciofia.info/cdr/ver_fuentes_w.php?NumCDR=070&amp;codEntidad=19999"/>
    <hyperlink ref="H278:H284" r:id="rId255" display="http://consorciofia.info/cdr/ver_fuentes_w.php?NumCDR=071&amp;codEntidad=19999"/>
    <hyperlink ref="H285:H286" r:id="rId256" display="http://consorciofia.info/cdr/ver_fuentes_w.php?NumCDR=168&amp;codEntidad=19999"/>
    <hyperlink ref="H287:H288" r:id="rId257" display="http://consorciofia.info/cdr/ver_fuentes_w.php?NumCDR=174&amp;codEntidad=19999"/>
    <hyperlink ref="H560" r:id="rId258" display="http://consorciofia.info/cdr/ver_fuentes_w.php?NumCDR=006&amp;codEntidad=19585"/>
    <hyperlink ref="H558:H559" r:id="rId259" display="http://consorciofia.info/cdr/ver_fuentes_w.php?NumCDR=119&amp;codEntidad=19999"/>
    <hyperlink ref="H549:H554" r:id="rId260" display="http://consorciofia.info/cdr/ver_fuentes_w.php?NumCDR=151&amp;codEntidad=19999"/>
    <hyperlink ref="H555" r:id="rId261" display="http://consorciofia.info/cdr/ver_fuentes_w.php?NumCDR=001&amp;codEntidad=19585"/>
    <hyperlink ref="H556:H557" r:id="rId262" display="http://consorciofia.info/cdr/ver_fuentes_w.php?NumCDR=002&amp;codEntidad=19585"/>
    <hyperlink ref="H561" r:id="rId263" display="http://consorciofia.info/cdr/ver_fuentes_w.php?NumCDR=004&amp;codEntidad=19585"/>
    <hyperlink ref="H681" r:id="rId264" display="http://consorciofia.info/cdr/ver_fuentes_w.php?NumCDR=125&amp;codEntidad=19999"/>
    <hyperlink ref="H697" r:id="rId265" display="http://consorciofia.info/cdr/ver_fuentes_w.php?NumCDR=001&amp;codEntidad=19513"/>
    <hyperlink ref="H681:H694" r:id="rId266" display="http://consorciofia.info/cdr/ver_fuentes_w.php?NumCDR=125&amp;codEntidad=19999"/>
    <hyperlink ref="H727:H734" r:id="rId267" display="http://consorciofia.info/cdr/ver_fuentes_w.php?NumCDR=152&amp;codEntidad=19999"/>
    <hyperlink ref="H735:H738" r:id="rId268" display="http://consorciofia.info/cdr/ver_fuentes_w.php?NumCDR=002&amp;codEntidad=19050"/>
    <hyperlink ref="H742:H744" r:id="rId269" display="http://consorciofia.info/cdr/ver_fuentes_w.php?NumCDR=176&amp;codEntidad=19999"/>
    <hyperlink ref="H739:H741" r:id="rId270" display="http://consorciofia.info/cdr/ver_fuentes_w.php?NumCDR=001&amp;codEntidad=19318"/>
    <hyperlink ref="H761:H766" r:id="rId271" display="http://consorciofia.info/cdr/ver_fuentes_w.php?NumCDR=001&amp;codEntidad=19821"/>
    <hyperlink ref="H767:H776" r:id="rId272" display="http://consorciofia.info/cdr/ver_fuentes_w.php?NumCDR=180&amp;codEntidad=19999"/>
    <hyperlink ref="H777:H780" r:id="rId273" display="http://consorciofia.info/cdr/ver_fuentes_w.php?NumCDR=298&amp;codEntidad=19999"/>
    <hyperlink ref="H789" r:id="rId274" display="http://consorciofia.info/cdr/ver_fuentes_w.php?NumCDR=178&amp;codEntidad=19999"/>
    <hyperlink ref="H755" r:id="rId275" display="http://consorciofia.info/cdr/ver_fuentes_w.php?NumCDR=001&amp;codEntidad=19824"/>
    <hyperlink ref="H760" r:id="rId276" display="http://consorciofia.info/cdr/ver_fuentes_w.php?NumCDR=005&amp;codEntidad=19824"/>
    <hyperlink ref="H745:H754" r:id="rId277" display="http://consorciofia.info/cdr/ver_fuentes_w.php?NumCDR=183&amp;codEntidad=19999"/>
    <hyperlink ref="H781:H788" r:id="rId278" display="http://consorciofia.info/cdr/ver_fuentes_w.php?NumCDR=177&amp;codEntidad=19999"/>
    <hyperlink ref="H817" r:id="rId279" display="http://consorciofia.info/cdr/ver_fuentes_w.php?NumCDR=221&amp;codEntidad=19999"/>
    <hyperlink ref="H797:H804" r:id="rId280" display="http://consorciofia.info/cdr/ver_fuentes_w.php?NumCDR=181&amp;codEntidad=19999"/>
    <hyperlink ref="H805:H812" r:id="rId281" display="http://consorciofia.info/cdr/ver_fuentes_w.php?NumCDR=182&amp;codEntidad=19999"/>
    <hyperlink ref="H813:H814" r:id="rId282" display="http://consorciofia.info/cdr/ver_fuentes_w.php?NumCDR=006&amp;codEntidad=19824"/>
    <hyperlink ref="H815:H816" r:id="rId283" display="http://consorciofia.info/cdr/ver_fuentes_w.php?NumCDR=299&amp;codEntidad=19999"/>
    <hyperlink ref="H831" r:id="rId284" display="http://consorciofia.info/cdr/ver_fuentes_w.php?NumCDR=174&amp;codEntidad=19999"/>
    <hyperlink ref="H819" r:id="rId285" display="http://consorciofia.info/cdr/ver_fuentes_w.php?NumCDR=219&amp;codEntidad=19999"/>
    <hyperlink ref="H822:H824" r:id="rId286" display="http://consorciofia.info/cdr/ver_fuentes_w.php?NumCDR=213&amp;codEntidad=19999"/>
    <hyperlink ref="H825" r:id="rId287" display="http://consorciofia.info/cdr/ver_fuentes_w.php?NumCDR=211&amp;codEntidad=19999"/>
    <hyperlink ref="H827" r:id="rId288" display="http://consorciofia.info/cdr/ver_fuentes_w.php?NumCDR=215&amp;codEntidad=19999"/>
    <hyperlink ref="H829" r:id="rId289" display="http://consorciofia.info/cdr/ver_fuentes_w.php?NumCDR=306&amp;codEntidad=19999"/>
    <hyperlink ref="H834" r:id="rId290" display="http://consorciofia.info/cdr/ver_fuentes_w.php?NumCDR=174&amp;codEntidad=19999"/>
    <hyperlink ref="H836" r:id="rId291" display="http://consorciofia.info/cdr/ver_fuentes_w.php?NumCDR=174&amp;codEntidad=19999"/>
    <hyperlink ref="H830" r:id="rId292" display="http://consorciofia.info/cdr/ver_fuentes_w.php?NumCDR=174&amp;codEntidad=19999"/>
    <hyperlink ref="H844" r:id="rId293" display="http://consorciofia.info/cdr/ver_fuentes_w.php?NumCDR=174&amp;codEntidad=19999"/>
    <hyperlink ref="H848" r:id="rId294" display="http://consorciofia.info/cdr/ver_fuentes_w.php?NumCDR=174&amp;codEntidad=19999"/>
    <hyperlink ref="H852" r:id="rId295" display="http://consorciofia.info/cdr/ver_fuentes_w.php?NumCDR=174&amp;codEntidad=19999"/>
    <hyperlink ref="H855" r:id="rId296" display="https://www.youtube.com/watch?v=cdLhtafylgE&amp;index=2&amp;list=RDMMnt1d8X_meEg"/>
    <hyperlink ref="H858" r:id="rId297" display="http://consorciofia.info/cdr/ver_fuentes_w.php?NumCDR=174&amp;codEntidad=19999"/>
    <hyperlink ref="H861" r:id="rId298" display="http://consorciofia.info/cdr/ver_fuentes_w.php?NumCDR=174&amp;codEntidad=19999"/>
    <hyperlink ref="H873:H877" r:id="rId299" display="http://consorciofia.info/cdr/ver_fuentes_w.php?NumCDR=001&amp;codEntidad=19392"/>
    <hyperlink ref="H878:H882" r:id="rId300" display="http://consorciofia.info/cdr/ver_fuentes_w.php?NumCDR=235&amp;codEntidad=19999"/>
    <hyperlink ref="H883:H885" r:id="rId301" display="http://consorciofia.info/cdr/ver_fuentes_w.php?NumCDR=212&amp;codEntidad=19999"/>
    <hyperlink ref="H886:H888" r:id="rId302" display="http://consorciofia.info/cdr/ver_fuentes_w.php?NumCDR=214&amp;codEntidad=19999"/>
    <hyperlink ref="H889:H891" r:id="rId303" display="http://consorciofia.info/cdr/ver_fuentes_w.php?NumCDR=220&amp;codEntidad=19999"/>
    <hyperlink ref="H871:H872" r:id="rId304" display="http://consorciofia.info/cdr/ver_fuentes_w.php?NumCDR=12&amp;codEntidad=19532"/>
    <hyperlink ref="H862:H864" r:id="rId305" display="http://consorciofia.info/cdr/ver_fuentes_w.php?NumCDR=001&amp;codEntidad=19532"/>
    <hyperlink ref="H865:H870" r:id="rId306" display="http://consorciofia.info/cdr/ver_fuentes_w.php?NumCDR=185&amp;codEntidad=19999"/>
    <hyperlink ref="H896" r:id="rId307" display="http://consorciofia.info/cdr/ver_fuentes_w.php?NumCDR=307&amp;codEntidad=19999"/>
    <hyperlink ref="H892:H893" r:id="rId308" display="http://consorciofia.info/cdr/ver_fuentes_w.php?NumCDR=216&amp;codEntidad=19999"/>
    <hyperlink ref="H894:H895" r:id="rId309" display="http://consorciofia.info/cdr/ver_fuentes_w.php?NumCDR=222&amp;codEntidad=19999"/>
    <hyperlink ref="H897" r:id="rId310" display="http://consorciofia.info/cdr/ver_fuentes_w.php?NumCDR=002&amp;codEntidad=19001"/>
    <hyperlink ref="H900:H908" r:id="rId311" display="http://consorciofia.info/cdr/ver_fuentes_w.php?NumCDR=230&amp;codEntidad=19999"/>
    <hyperlink ref="H909:H916" r:id="rId312" display="http://consorciofia.info/cdr/ver_fuentes_w.php?NumCDR=004&amp;codEntidad=19473"/>
    <hyperlink ref="H917:H918" r:id="rId313" display="http://consorciofia.info/cdr/ver_fuentes_w.php?NumCDR=228&amp;codEntidad=19999"/>
    <hyperlink ref="H919:H920" r:id="rId314" display="http://consorciofia.info/cdr/ver_fuentes_w.php?NumCDR=003&amp;codEntidad=19473"/>
    <hyperlink ref="H921:H926" r:id="rId315" display="http://consorciofia.info/cdr/ver_fuentes_w.php?NumCDR=229&amp;codEntidad=19999"/>
    <hyperlink ref="H927" r:id="rId316" display="http://consorciofia.info/cdr/ver_fuentes_w.php?NumCDR=174&amp;codEntidad=19999"/>
    <hyperlink ref="H954" r:id="rId317" display="http://consorciofia.info/cdr/ver_fuentes_w.php?NumCDR=186&amp;codEntidad=19999"/>
    <hyperlink ref="H958" r:id="rId318" display="http://consorciofia.info/cdr/ver_fuentes_w.php?NumCDR=13&amp;codEntidad=19532"/>
    <hyperlink ref="H960:H964" r:id="rId319" display="http://consorciofia.info/cdr/ver_fuentes_w.php?NumCDR=002&amp;codEntidad=19392"/>
    <hyperlink ref="H968:H974" r:id="rId320" display="http://consorciofia.info/cdr/ver_fuentes_w.php?NumCDR=261&amp;codEntidad=19999"/>
    <hyperlink ref="H975:H981" r:id="rId321" display="http://consorciofia.info/cdr/ver_fuentes_w.php?NumCDR=004&amp;codEntidad=19780"/>
    <hyperlink ref="H982:H983" r:id="rId322" display="http://consorciofia.info/cdr/ver_fuentes_w.php?NumCDR=5&amp;codEntidad=19780"/>
    <hyperlink ref="H984" r:id="rId323" display="http://consorciofia.info/cdr/ver_fuentes_w.php?NumCDR=253&amp;codEntidad=19999"/>
    <hyperlink ref="H988:H989" r:id="rId324" display="http://consorciofia.info/cdr/ver_fuentes_w.php?NumCDR=003&amp;codEntidad=19100"/>
    <hyperlink ref="H996:H997" r:id="rId325" display="http://consorciofia.info/cdr/ver_fuentes_w.php?NumCDR=251&amp;codEntidad=19999"/>
    <hyperlink ref="H1004:H1005" r:id="rId326" display="http://consorciofia.info/cdr/ver_fuentes_w.php?NumCDR=259&amp;codEntidad=19999"/>
    <hyperlink ref="H1006" r:id="rId327" display="http://consorciofia.info/cdr/ver_fuentes_w.php?NumCDR=10&amp;codEntidad=19450"/>
    <hyperlink ref="H1007:H1016" r:id="rId328" display="http://consorciofia.info/cdr/ver_fuentes_w.php?NumCDR=240&amp;codEntidad=19999"/>
    <hyperlink ref="H1017:H1026" r:id="rId329" display="http://consorciofia.info/cdr/ver_fuentes_w.php?NumCDR=239&amp;codEntidad=19999"/>
    <hyperlink ref="H1027:H1031" r:id="rId330" display="http://consorciofia.info/cdr/ver_fuentes_w.php?NumCDR=004&amp;codEntidad=19532"/>
    <hyperlink ref="H1032:H1034" r:id="rId331" display="http://consorciofia.info/cdr/ver_fuentes_w.php?NumCDR=310&amp;codEntidad=19999"/>
    <hyperlink ref="H998" r:id="rId332" display="http://consorciofia.info/cdr/ver_fuentes_w.php?NumCDR=263&amp;codEntidad=19999"/>
    <hyperlink ref="H1002:H1003" r:id="rId333" display="http://consorciofia.info/cdr/ver_fuentes_w.php?NumCDR=14&amp;codEntidad=19050"/>
    <hyperlink ref="H1035:H1036" r:id="rId334" display="http://consorciofia.info/cdr/ver_fuentes_w.php?NumCDR=257&amp;codEntidad=19999"/>
    <hyperlink ref="H1037:H1039" r:id="rId335" display="http://consorciofia.info/cdr/ver_fuentes_w.php?NumCDR=255&amp;codEntidad=19999"/>
    <hyperlink ref="H1065:H1066" r:id="rId336" display="http://consorciofia.info/cdr/ver_fuentes_w.php?NumCDR=275&amp;codEntidad=19999"/>
    <hyperlink ref="H1067:H1068" r:id="rId337" display="http://consorciofia.info/cdr/ver_fuentes_w.php?NumCDR=249&amp;codEntidad=19999"/>
    <hyperlink ref="H1069" r:id="rId338" display="http://consorciofia.info/cdr/ver_fuentes_w.php?NumCDR=7&amp;codEntidad=19392"/>
    <hyperlink ref="H1040:H1042" r:id="rId339" display="http://consorciofia.info/cdr/ver_fuentes_w.php?NumCDR=254&amp;codEntidad=19999"/>
    <hyperlink ref="H1043:H1047" r:id="rId340" display="http://consorciofia.info/cdr/ver_fuentes_w.php?NumCDR=232&amp;codEntidad=19999"/>
    <hyperlink ref="H1048:H1051" r:id="rId341" display="http://consorciofia.info/cdr/ver_fuentes_w.php?NumCDR=260&amp;codEntidad=19999"/>
    <hyperlink ref="H1052:H1056" r:id="rId342" display="http://consorciofia.info/cdr/ver_fuentes_w.php?NumCDR=005&amp;codEntidad=19532"/>
    <hyperlink ref="H1057:H1060" r:id="rId343" display="http://consorciofia.info/cdr/ver_fuentes_w.php?NumCDR=258&amp;codEntidad=19999"/>
    <hyperlink ref="H1061" r:id="rId344" display="http://consorciofia.info/cdr/ver_fuentes_w.php?NumCDR=004&amp;codEntidad=19100"/>
    <hyperlink ref="H1062:H1063" r:id="rId345" display="http://consorciofia.info/cdr/ver_fuentes_w.php?NumCDR=311&amp;codEntidad=19999"/>
    <hyperlink ref="H1121:H1123" r:id="rId346" display="http://consorciofia.info/cdr/ver_fuentes_w.php?NumCDR=290&amp;codEntidad=19999"/>
    <hyperlink ref="H1124:H1126" r:id="rId347" display="http://consorciofia.info/cdr/ver_fuentes_w.php?NumCDR=004&amp;codEntidad=19513"/>
    <hyperlink ref="H1127" r:id="rId348" display="http://consorciofia.info/cdr/ver_fuentes_w.php?NumCDR=8&amp;codEntidad=19513"/>
    <hyperlink ref="H1103:H1112" r:id="rId349" display="http://consorciofia.info/cdr/ver_fuentes_w.php?NumCDR=271&amp;codEntidad=19999"/>
    <hyperlink ref="H1113:H1117" r:id="rId350" display="http://consorciofia.info/cdr/ver_fuentes_w.php?NumCDR=007&amp;codEntidad=19050"/>
    <hyperlink ref="H1118:H1120" r:id="rId351" display="http://consorciofia.info/cdr/ver_fuentes_w.php?NumCDR=20&amp;codEntidad=19050"/>
    <hyperlink ref="H1092" r:id="rId352" display="http://consorciofia.info/cdr/ver_fuentes_w.php?NumCDR=252&amp;codEntidad=19999"/>
    <hyperlink ref="H1088" r:id="rId353" display="http://consorciofia.info/cdr/ver_fuentes_w.php?NumCDR=262&amp;codEntidad=19999"/>
    <hyperlink ref="H1086" r:id="rId354" display="http://consorciofia.info/cdr/ver_fuentes_w.php?NumCDR=250&amp;codEntidad=19999"/>
    <hyperlink ref="H1083" r:id="rId355" display="http://consorciofia.info/cdr/ver_fuentes_w.php?NumCDR=256&amp;codEntidad=19999"/>
    <hyperlink ref="H1080" r:id="rId356" display="http://consorciofia.info/cdr/ver_fuentes_w.php?NumCDR=278&amp;codEntidad=19999"/>
    <hyperlink ref="H1077" r:id="rId357" display="http://consorciofia.info/cdr/ver_fuentes_w.php?NumCDR=276&amp;codEntidad=19999"/>
    <hyperlink ref="H1099" r:id="rId358" display="http://consorciofia.info/cdr/ver_fuentes_w.php?NumCDR=6&amp;codEntidad=19780"/>
    <hyperlink ref="H1101" r:id="rId359" display="http://consorciofia.info/cdr/ver_fuentes_w.php?NumCDR=9&amp;codEntidad=19513"/>
    <hyperlink ref="H1102" r:id="rId360" display="http://consorciofia.info/cdr/ver_fuentes_w.php?NumCDR=8&amp;codEntidad=19392"/>
    <hyperlink ref="H1128:H1135" r:id="rId361" display="http://consorciofia.info/cdr/ver_fuentes_w.php?NumCDR=264&amp;codEntidad=19999"/>
    <hyperlink ref="H1136:H1143" r:id="rId362" display="http://consorciofia.info/cdr/ver_fuentes_w.php?NumCDR=272&amp;codEntidad=19999"/>
    <hyperlink ref="H1144:H1146" r:id="rId363" display="http://consorciofia.info/cdr/ver_fuentes_w.php?NumCDR=15&amp;codEntidad=19050"/>
    <hyperlink ref="H1147:H1148" r:id="rId364" display="http://consorciofia.info/cdr/ver_fuentes_w.php?NumCDR=21&amp;codEntidad=19050"/>
    <hyperlink ref="H1149:H1150" r:id="rId365" display="http://consorciofia.info/cdr/ver_fuentes_w.php?NumCDR=277&amp;codEntidad=19999"/>
    <hyperlink ref="H1176:H1183" r:id="rId366" display="http://consorciofia.info/cdr/ver_fuentes_w.php?NumCDR=283&amp;codEntidad=19999"/>
    <hyperlink ref="H1184:H1187" r:id="rId367" display="http://consorciofia.info/cdr/ver_fuentes_w.php?NumCDR=002&amp;codEntidad=19450"/>
    <hyperlink ref="H1188:H1190" r:id="rId368" display="http://consorciofia.info/cdr/ver_fuentes_w.php?NumCDR=317&amp;codEntidad=19999"/>
    <hyperlink ref="H1151" r:id="rId369" display="http://consorciofia.info/cdr/ver_fuentes_w.php?NumCDR=288&amp;codEntidad=19999"/>
    <hyperlink ref="H1164" r:id="rId370" display="http://consorciofia.info/cdr/ver_fuentes_w.php?NumCDR=003&amp;codEntidad=19743"/>
    <hyperlink ref="H1170:H1172" r:id="rId371" display="http://consorciofia.info/cdr/ver_fuentes_w.php?NumCDR=341&amp;codEntidad=19999"/>
    <hyperlink ref="H1173:H1175" r:id="rId372" display="http://consorciofia.info/cdr/ver_fuentes_w.php?NumCDR=12&amp;codEntidad=19743"/>
    <hyperlink ref="H1191:H1192" r:id="rId373" display="http://consorciofia.info/cdr/ver_fuentes_w.php?NumCDR=296&amp;codEntidad=19999"/>
    <hyperlink ref="H1210:H1215" r:id="rId374" display="http://consorciofia.info/cdr/ver_fuentes_w.php?NumCDR=284&amp;codEntidad=19999"/>
    <hyperlink ref="H1216:H1221" r:id="rId375" display="http://consorciofia.info/cdr/ver_fuentes_w.php?NumCDR=285&amp;codEntidad=19999"/>
    <hyperlink ref="H1222:H1224" r:id="rId376" display="http://consorciofia.info/cdr/ver_fuentes_w.php?NumCDR=318&amp;codEntidad=19999"/>
    <hyperlink ref="H1225" r:id="rId377" display="http://consorciofia.info/cdr/ver_fuentes_w.php?NumCDR=269&amp;codEntidad=19999"/>
    <hyperlink ref="H1238:H1242" r:id="rId378" display="http://consorciofia.info/cdr/ver_fuentes_w.php?NumCDR=005&amp;codEntidad=19807"/>
    <hyperlink ref="H1243" r:id="rId379" display="http://consorciofia.info/cdr/ver_fuentes_w.php?NumCDR=14&amp;codEntidad=19807"/>
    <hyperlink ref="H1233" r:id="rId380" display="http://consorciofia.info/cdr/ver_fuentes_w.php?NumCDR=297&amp;codEntidad=19999"/>
    <hyperlink ref="H1234" r:id="rId381" display="http://consorciofia.info/cdr/ver_fuentes_w.php?NumCDR=292&amp;codEntidad=19999"/>
    <hyperlink ref="H1236" r:id="rId382" display="http://consorciofia.info/cdr/ver_fuentes_w.php?NumCDR=2647&amp;codEntidad=19693"/>
    <hyperlink ref="H1193:H1197" r:id="rId383" display="http://consorciofia.info/cdr/ver_fuentes_w.php?NumCDR=004&amp;codEntidad=19743"/>
    <hyperlink ref="H1198:H1201" r:id="rId384" display="http://consorciofia.info/cdr/ver_fuentes_w.php?NumCDR=289&amp;codEntidad=19999"/>
    <hyperlink ref="H1202:H1203" r:id="rId385" display="http://consorciofia.info/cdr/ver_fuentes_w.php?NumCDR=342&amp;codEntidad=19999"/>
    <hyperlink ref="H1244:H1250" r:id="rId386" display="http://consorciofia.info/cdr/ver_fuentes_w.php?NumCDR=294&amp;codEntidad=19999"/>
    <hyperlink ref="H1251" r:id="rId387" display="http://consorciofia.info/cdr/ver_fuentes_w.php?NumCDR=301&amp;codEntidad=19999"/>
    <hyperlink ref="H1252" r:id="rId388" display="http://consorciofia.info/cdr/ver_fuentes_w.php?NumCDR=267&amp;codEntidad=19999"/>
    <hyperlink ref="H1274:H1287" r:id="rId389" display="http://consorciofia.info/cdr/ver_fuentes_w.php?NumCDR=293&amp;codEntidad=19999"/>
    <hyperlink ref="H1288:H1294" r:id="rId390" display="http://consorciofia.info/cdr/ver_fuentes_w.php?NumCDR=002&amp;codEntidad=19075"/>
    <hyperlink ref="H1295" r:id="rId391" display="http://consorciofia.info/cdr/ver_fuentes_w.php?NumCDR=300&amp;codEntidad=19999"/>
    <hyperlink ref="H1298" r:id="rId392" display="http://consorciofia.info/cdr/ver_fuentes_w.php?NumCDR=002&amp;codEntidad=19100"/>
    <hyperlink ref="H1309" r:id="rId393" display="http://consorciofia.info/cdr/ver_fuentes_w.php?NumCDR=268&amp;codEntidad=19999"/>
    <hyperlink ref="H1310:H1317" r:id="rId394" display="http://consorciofia.info/cdr/ver_fuentes_w.php?NumCDR=304&amp;codEntidad=19999"/>
    <hyperlink ref="H1318:H1321" r:id="rId395" display="http://consorciofia.info/cdr/ver_fuentes_w.php?NumCDR=008&amp;codEntidad=19585"/>
    <hyperlink ref="H1352" r:id="rId396" display="http://consorciofia.info/cdr/ver_fuentes_w.php?NumCDR=004&amp;codEntidad=19418"/>
    <hyperlink ref="H1356" r:id="rId397" display="http://consorciofia.info/cdr/ver_fuentes_w.php?NumCDR=174&amp;codEntidad=19999"/>
    <hyperlink ref="H1357" r:id="rId398" display="http://consorciofia.info/cdr/ver_fuentes_w.php?NumCDR=005&amp;codEntidad=19318"/>
    <hyperlink ref="H1361:H1362" r:id="rId399" display="http://consorciofia.info/cdr/ver_fuentes_w.php?NumCDR=2295&amp;codEntidad=19318"/>
    <hyperlink ref="H1372:H1373" r:id="rId400" display="http://consorciofia.info/cdr/ver_fuentes_w.php?NumCDR=005&amp;codEntidad=19418"/>
    <hyperlink ref="H1374" r:id="rId401" display="http://consorciofia.info/cdr/ver_fuentes_w.php?NumCDR=174&amp;codEntidad=19999"/>
    <hyperlink ref="H1410:H1413" r:id="rId402" display="http://consorciofia.info/cdr/ver_fuentes_w.php?NumCDR=009&amp;codEntidad=19698"/>
    <hyperlink ref="H1545" r:id="rId403" display="http://consorciofia.info/cdr/ver_fuentes_w.php?NumCDR=9&amp;codEntidad=19100"/>
    <hyperlink ref="H1347:H1349" r:id="rId404" display="http://consorciofia.info/cdr/ver_fuentes_w.php?NumCDR=007&amp;codEntidad=19807"/>
    <hyperlink ref="H1339:H1345" r:id="rId405" display="http://consorciofia.info/cdr/ver_fuentes_w.php?NumCDR=308&amp;codEntidad=19999"/>
    <hyperlink ref="H1351" r:id="rId406" display="http://consorciofia.info/cdr/ver_fuentes_w.php?NumCDR=3562&amp;codEntidad=19807"/>
    <hyperlink ref="H1363" r:id="rId407" display="http://consorciofia.info/cdr/ver_fuentes_w.php?NumCDR=309&amp;codEntidad=19999"/>
    <hyperlink ref="H1438" r:id="rId408" display="http://consorciofia.info/cdr/ver_fuentes_w.php?NumCDR=7&amp;codEntidad=19355"/>
    <hyperlink ref="H1436" r:id="rId409" display="http://consorciofia.info/cdr/ver_fuentes_w.php?NumCDR=17&amp;codEntidad=19050"/>
    <hyperlink ref="H1440" r:id="rId410" display="http://consorciofia.info/cdr/ver_fuentes_w.php?NumCDR=6&amp;codEntidad=19760"/>
    <hyperlink ref="H1442" r:id="rId411" display="http://consorciofia.info/cdr/ver_fuentes_w.php?NumCDR=16&amp;codEntidad=19585"/>
    <hyperlink ref="H1444" r:id="rId412" display="http://consorciofia.info/cdr/ver_fuentes_w.php?NumCDR=13&amp;codEntidad=19450"/>
    <hyperlink ref="H1456" r:id="rId413" display="http://consorciofia.info/cdr/ver_fuentes_w.php?NumCDR=15&amp;codEntidad=19450"/>
    <hyperlink ref="H1446" r:id="rId414" display="http://consorciofia.info/cdr/ver_fuentes_w.php?NumCDR=8&amp;codEntidad=19397"/>
    <hyperlink ref="H1448" r:id="rId415" display="http://consorciofia.info/cdr/ver_fuentes_w.php?NumCDR=5&amp;codEntidad=19142"/>
    <hyperlink ref="H1450" r:id="rId416" display="http://consorciofia.info/cdr/ver_fuentes_w.php?NumCDR=5&amp;codEntidad=19573"/>
    <hyperlink ref="H1452" r:id="rId417" display="http://consorciofia.info/cdr/ver_fuentes_w.php?NumCDR=6&amp;codEntidad=19364"/>
    <hyperlink ref="H1454" r:id="rId418" display="http://consorciofia.info/cdr/ver_fuentes_w.php?NumCDR=15&amp;codEntidad=19532"/>
    <hyperlink ref="H302:H305" r:id="rId419" display="http://consorciofia.info/cdr/ver_fuentes_w.php?NumCDR=076&amp;codEntidad=19999"/>
    <hyperlink ref="H306:H309" r:id="rId420" display="http://consorciofia.info/cdr/ver_fuentes_w.php?NumCDR=077&amp;codEntidad=19999"/>
    <hyperlink ref="H310:H313" r:id="rId421" display="http://consorciofia.info/cdr/ver_fuentes_w.php?NumCDR=078&amp;codEntidad=19999"/>
    <hyperlink ref="H314:H317" r:id="rId422" display="http://consorciofia.info/cdr/ver_fuentes_w.php?NumCDR=079&amp;codEntidad=19999"/>
    <hyperlink ref="H318:H321" r:id="rId423" display="http://consorciofia.info/cdr/ver_fuentes_w.php?NumCDR=080&amp;codEntidad=19999"/>
    <hyperlink ref="H322:H325" r:id="rId424" display="http://consorciofia.info/cdr/ver_fuentes_w.php?NumCDR=083&amp;codEntidad=19999"/>
    <hyperlink ref="H327:H328" r:id="rId425" display="http://consorciofia.info/cdr/ver_fuentes_w.php?NumCDR=199&amp;codEntidad=19999"/>
    <hyperlink ref="H329:H330" r:id="rId426" display="http://consorciofia.info/cdr/ver_fuentes_w.php?NumCDR=198&amp;codEntidad=19999"/>
    <hyperlink ref="H597:H598" r:id="rId427" display="http://consorciofia.info/cdr/ver_fuentes_w.php?NumCDR=143&amp;codEntidad=19999"/>
    <hyperlink ref="H604:H606" r:id="rId428" display="http://consorciofia.info/cdr/ver_fuentes_w.php?NumCDR=166&amp;codEntidad=19999"/>
    <hyperlink ref="H607" r:id="rId429" display="http://consorciofia.info/cdr/ver_fuentes_w.php?NumCDR=174&amp;codEntidad=19999"/>
    <hyperlink ref="H706:H709" r:id="rId430" display="http://consorciofia.info/cdr/ver_fuentes_w.php?NumCDR=126&amp;codEntidad=19999"/>
    <hyperlink ref="H990:H995" r:id="rId431" display="http://consorciofia.info/cdr/ver_fuentes_w.php?NumCDR=231&amp;codEntidad=19999"/>
    <hyperlink ref="H1070:H1076" r:id="rId432" display="http://consorciofia.info/cdr/ver_fuentes_w.php?NumCDR=273&amp;codEntidad=19999"/>
    <hyperlink ref="H1204:H1205" r:id="rId433" display="http://consorciofia.info/cdr/ver_fuentes_w.php?NumCDR=291&amp;codEntidad=19999"/>
    <hyperlink ref="H1206:H1207" r:id="rId434" display="http://consorciofia.info/cdr/ver_fuentes_w.php?NumCDR=003&amp;codEntidad=19693"/>
    <hyperlink ref="H1208:H1209" r:id="rId435" display="http://consorciofia.info/cdr/ver_fuentes_w.php?NumCDR=2646&amp;codEntidad=19693"/>
    <hyperlink ref="H1256:H1264" r:id="rId436" display="http://consorciofia.info/cdr/ver_fuentes_w.php?NumCDR=273&amp;codEntidad=19999"/>
    <hyperlink ref="H1266:H1268" r:id="rId437" display="http://consorciofia.info/cdr/ver_fuentes_w.php?NumCDR=6&amp;codEntidad=19001"/>
    <hyperlink ref="H1271" r:id="rId438" display="http://consorciofia.info/cdr/ver_fuentes_w.php?NumCDR=6&amp;codEntidad=19001"/>
    <hyperlink ref="H1272:H1273" r:id="rId439" display="http://consorciofia.info/cdr/ver_fuentes_w.php?NumCDR=7&amp;codEntidad=19001%7d"/>
    <hyperlink ref="H1301:H1304" r:id="rId440" display="http://consorciofia.info/cdr/ver_fuentes_w.php?NumCDR=009&amp;codEntidad=19585"/>
    <hyperlink ref="H1367" r:id="rId441" display="http://consorciofia.info/cdr/ver_fuentes_w.php?NumCDR=313&amp;codEntidad=19999"/>
    <hyperlink ref="H1403:H1405" r:id="rId442" display="http://consorciofia.info/cdr/ver_fuentes_w.php?NumCDR=6&amp;codEntidad=19473"/>
    <hyperlink ref="H1406:H1407" r:id="rId443" display="http://consorciofia.info/cdr/ver_fuentes_w.php?NumCDR=8&amp;codEntidad=19548"/>
    <hyperlink ref="H1408:H1409" r:id="rId444" display="http://consorciofia.info/cdr/ver_fuentes_w.php?NumCDR=13&amp;codEntidad=19780"/>
    <hyperlink ref="H1414:H1415" r:id="rId445" display="http://consorciofia.info/cdr/ver_fuentes_w.php?NumCDR=16&amp;codEntidad=19050"/>
    <hyperlink ref="H1416:H1417" r:id="rId446" display="http://consorciofia.info/cdr/ver_fuentes_w.php?NumCDR=5&amp;codEntidad=19364"/>
    <hyperlink ref="H1418:H1419" r:id="rId447" display="http://consorciofia.info/cdr/ver_fuentes_w.php?NumCDR=14&amp;codEntidad=19450"/>
    <hyperlink ref="H1420:H1421" r:id="rId448" display="http://consorciofia.info/cdr/ver_fuentes_w.php?NumCDR=12&amp;codEntidad=19450"/>
    <hyperlink ref="H1422:H1423" r:id="rId449" display="http://consorciofia.info/cdr/ver_fuentes_w.php?NumCDR=15&amp;codEntidad=19585"/>
    <hyperlink ref="H1424:H1425" r:id="rId450" display="http://consorciofia.info/cdr/ver_fuentes_w.php?NumCDR=5&amp;codEntidad=19760"/>
    <hyperlink ref="H1426:H1427" r:id="rId451" display="http://consorciofia.info/cdr/ver_fuentes_w.php?NumCDR=6&amp;codEntidad=19355"/>
    <hyperlink ref="H1428:H1429" r:id="rId452" display="http://consorciofia.info/cdr/ver_fuentes_w.php?NumCDR=4&amp;codEntidad=19142"/>
    <hyperlink ref="H1430:H1431" r:id="rId453" display="http://consorciofia.info/cdr/ver_fuentes_w.php?NumCDR=14&amp;codEntidad=19532"/>
    <hyperlink ref="H1432:H1433" r:id="rId454" display="http://consorciofia.info/cdr/ver_fuentes_w.php?NumCDR=4&amp;codEntidad=19573"/>
    <hyperlink ref="H1434:H1435" r:id="rId455" display="http://consorciofia.info/cdr/ver_fuentes_w.php?NumCDR=7&amp;codEntidad=19397"/>
    <hyperlink ref="H1459:H1462" r:id="rId456" display="http://consorciofia.info/cdr/ver_fuentes_w.php?NumCDR=9&amp;codEntidad=19780"/>
    <hyperlink ref="H1463:H1466" r:id="rId457" display="http://consorciofia.info/cdr/ver_fuentes_w.php?NumCDR=8&amp;codEntidad=19418"/>
    <hyperlink ref="H1467:H1470" r:id="rId458" display="http://consorciofia.info/cdr/ver_fuentes_w.php?NumCDR=10&amp;codEntidad=19110"/>
    <hyperlink ref="H1471:H1474" r:id="rId459" display="http://consorciofia.info/cdr/ver_fuentes_w.php?NumCDR=7&amp;codEntidad=19130"/>
    <hyperlink ref="H1475:H1478" r:id="rId460" display="http://consorciofia.info/cdr/ver_fuentes_w.php?NumCDR=2&amp;codEntidad=19548"/>
    <hyperlink ref="H1479:H1482" r:id="rId461" display="http://consorciofia.info/cdr/ver_fuentes_w.php?NumCDR=10&amp;codEntidad=19355"/>
    <hyperlink ref="H1483:H1486" r:id="rId462" display="http://consorciofia.info/cdr/ver_fuentes_w.php?NumCDR=6&amp;codEntidad=19533"/>
    <hyperlink ref="H1487:H1490" r:id="rId463" display="http://consorciofia.info/cdr/ver_fuentes_w.php?NumCDR=9&amp;codEntidad=19130"/>
    <hyperlink ref="H1491:H1494" r:id="rId464" display="http://consorciofia.info/cdr/ver_fuentes_w.php?NumCDR=9&amp;codEntidad=19318"/>
    <hyperlink ref="H1495:H1498" r:id="rId465" display="http://consorciofia.info/cdr/ver_fuentes_w.php?NumCDR=6&amp;codEntidad=19821"/>
    <hyperlink ref="H1499" r:id="rId466" display="http://consorciofia.info/cdr/ver_fuentes_w.php?NumCDR=325&amp;codEntidad=19999"/>
    <hyperlink ref="H1501:H1502" r:id="rId467" display="http://consorciofia.info/cdr/ver_fuentes_w.php?NumCDR=8&amp;codEntidad=19364"/>
    <hyperlink ref="H1505" r:id="rId468" display="http://consorciofia.info/cdr/ver_fuentes_w.php?NumCDR=2296&amp;codEntidad=19318"/>
    <hyperlink ref="H1503:H1504" r:id="rId469" display="http://consorciofia.info/cdr/ver_fuentes_w.php?NumCDR=13&amp;codEntidad=19318"/>
    <hyperlink ref="H1515:H1516" r:id="rId470" display="http://consorciofia.info/cdr/ver_fuentes_w.php?NumCDR=12&amp;codEntidad=19318"/>
    <hyperlink ref="H1517" r:id="rId471" display="http://consorciofia.info/cdr/ver_fuentes_w.php?NumCDR=15&amp;codEntidad=19318"/>
    <hyperlink ref="H1506:H1508" r:id="rId472" display="http://consorciofia.info/cdr/ver_fuentes_w.php?NumCDR=5&amp;codEntidad=19821"/>
    <hyperlink ref="H1509" r:id="rId473" display="http://consorciofia.info/cdr/ver_fuentes_w.php?NumCDR=316&amp;codEntidad=19999"/>
    <hyperlink ref="H1518:H1530" r:id="rId474" display="http://consorciofia.info/cdr/ver_fuentes_w.php?NumCDR=322&amp;codEntidad=19999"/>
    <hyperlink ref="H1531:H1535" r:id="rId475" display="http://consorciofia.info/cdr/ver_fuentes_w.php?NumCDR=6&amp;codEntidad=19100"/>
    <hyperlink ref="H1548:H1549" r:id="rId476" display="http://consorciofia.info/cdr/ver_fuentes_w.php?NumCDR=11&amp;codEntidad=19698"/>
    <hyperlink ref="H1541:H1543" r:id="rId477" display="http://consorciofia.info/cdr/ver_fuentes_w.php?NumCDR=11&amp;codEntidad=19318"/>
    <hyperlink ref="H1544" r:id="rId478" display="http://consorciofia.info/cdr/ver_fuentes_w.php?NumCDR=14&amp;codEntidad=19318"/>
    <hyperlink ref="H1550:H1553" r:id="rId479" display="http://consorciofia.info/cdr/ver_fuentes_w.php?NumCDR=10&amp;codEntidad=19780"/>
    <hyperlink ref="H1554:H1557" r:id="rId480" display="http://consorciofia.info/cdr/ver_fuentes_w.php?NumCDR=9&amp;codEntidad=19418"/>
    <hyperlink ref="H1558:H1561" r:id="rId481" display="http://consorciofia.info/cdr/ver_fuentes_w.php?NumCDR=11&amp;codEntidad=19110"/>
    <hyperlink ref="H1562:H1565" r:id="rId482" display="http://consorciofia.info/cdr/ver_fuentes_w.php?NumCDR=8&amp;codEntidad=19130"/>
    <hyperlink ref="H1566:H1569" r:id="rId483" display="http://consorciofia.info/cdr/ver_fuentes_w.php?NumCDR=3&amp;codEntidad=19548"/>
    <hyperlink ref="H1570:H1573" r:id="rId484" display="http://consorciofia.info/cdr/ver_fuentes_w.php?NumCDR=11&amp;codEntidad=19355"/>
    <hyperlink ref="H1574:H1577" r:id="rId485" display="http://consorciofia.info/cdr/ver_fuentes_w.php?NumCDR=7&amp;codEntidad=19533"/>
    <hyperlink ref="H1578:H1581" r:id="rId486" display="http://consorciofia.info/cdr/ver_fuentes_w.php?NumCDR=10&amp;codEntidad=19130"/>
    <hyperlink ref="H1582:H1585" r:id="rId487" display="http://consorciofia.info/cdr/ver_fuentes_w.php?NumCDR=10&amp;codEntidad=19318"/>
    <hyperlink ref="H1586" r:id="rId488" display="http://consorciofia.info/cdr/ver_fuentes_w.php?NumCDR=4&amp;codEntidad=19701"/>
    <hyperlink ref="H1592:H1598" r:id="rId489" display="http://consorciofia.info/cdr/ver_fuentes_w.php?NumCDR=324&amp;codEntidad=19999"/>
    <hyperlink ref="H1588" r:id="rId490" display="http://consorciofia.info/cdr/ver_fuentes_w.php?NumCDR=7&amp;codEntidad=19364"/>
    <hyperlink ref="H1675" r:id="rId491" display="http://consorciofia.info/cdr/ver_fuentes_w.php?NumCDR=5&amp;codEntidad=19701"/>
    <hyperlink ref="H1609:H1616" r:id="rId492" display="http://consorciofia.info/cdr/ver_fuentes_w.php?NumCDR=333&amp;codEntidad=19999"/>
    <hyperlink ref="H1619:H1620" r:id="rId493" display="http://consorciofia.info/cdr/ver_fuentes_w.php?NumCDR=9&amp;codEntidad=19392"/>
    <hyperlink ref="H1624:H1626" r:id="rId494" display="http://consorciofia.info/cdr/ver_fuentes_w.php?NumCDR=6&amp;codEntidad=19701"/>
    <hyperlink ref="H1627:H1628" r:id="rId495" display="http://consorciofia.info/cdr/ver_fuentes_w.php?NumCDR=5&amp;codEntidad=19130"/>
    <hyperlink ref="H1629:H1631" r:id="rId496" display="http://consorciofia.info/cdr/ver_fuentes_w.php?NumCDR=6&amp;codEntidad=19418"/>
    <hyperlink ref="H1632:H1634" r:id="rId497" display="http://consorciofia.info/cdr/ver_fuentes_w.php?NumCDR=7&amp;codEntidad=19780"/>
    <hyperlink ref="H1635:H1637" r:id="rId498" display="http://consorciofia.info/cdr/ver_fuentes_w.php?NumCDR=8&amp;codEntidad=19807"/>
    <hyperlink ref="H1638:H1640" r:id="rId499" display="http://consorciofia.info/cdr/ver_fuentes_w.php?NumCDR=8&amp;codEntidad=19110"/>
    <hyperlink ref="H1641:H1642" r:id="rId500" display="http://consorciofia.info/cdr/ver_fuentes_w.php?NumCDR=3&amp;codEntidad=19622"/>
    <hyperlink ref="H1643:H1644" r:id="rId501" display="http://consorciofia.info/cdr/ver_fuentes_w.php?NumCDR=8&amp;codEntidad=19743"/>
    <hyperlink ref="H1645:H1647" r:id="rId502" display="http://consorciofia.info/cdr/ver_fuentes_w.php?NumCDR=16&amp;codEntidad=19532"/>
    <hyperlink ref="H1648:H1650" r:id="rId503" display="http://consorciofia.info/cdr/ver_fuentes_w.php?NumCDR=16&amp;codEntidad=19450"/>
    <hyperlink ref="H1651:H1653" r:id="rId504" display="http://consorciofia.info/cdr/ver_fuentes_w.php?NumCDR=4&amp;codEntidad=19533"/>
    <hyperlink ref="H1654:H1656" r:id="rId505" display="http://consorciofia.info/cdr/ver_fuentes_w.php?NumCDR=6&amp;codEntidad=19142"/>
    <hyperlink ref="H1657:H1659" r:id="rId506" display="http://consorciofia.info/cdr/ver_fuentes_w.php?NumCDR=18&amp;codEntidad=19050"/>
    <hyperlink ref="H1660:H1662" r:id="rId507" display="http://consorciofia.info/cdr/ver_fuentes_w.php?NumCDR=10&amp;codEntidad=19824"/>
    <hyperlink ref="H1663:H1665" r:id="rId508" display="http://consorciofia.info/cdr/ver_fuentes_w.php?NumCDR=9&amp;codEntidad=19397"/>
    <hyperlink ref="H1666:H1668" r:id="rId509" display="http://consorciofia.info/cdr/ver_fuentes_w.php?NumCDR=8&amp;codEntidad=19355"/>
    <hyperlink ref="H1669:H1671" r:id="rId510" display="http://consorciofia.info/cdr/ver_fuentes_w.php?NumCDR=7&amp;codEntidad=19760"/>
    <hyperlink ref="H1672:H1674" r:id="rId511" display="http://consorciofia.info/cdr/ver_fuentes_w.php?NumCDR=7&amp;codEntidad=19318"/>
    <hyperlink ref="H1676:H1679" r:id="rId512" display="http://consorciofia.info/cdr/ver_fuentes_w.php?NumCDR=7&amp;codEntidad=19573"/>
    <hyperlink ref="H1680:H1682" r:id="rId513" display="http://consorciofia.info/cdr/ver_fuentes_w.php?NumCDR=337&amp;codEntidad=19999"/>
    <hyperlink ref="H1683:H1685" r:id="rId514" display="http://consorciofia.info/cdr/ver_fuentes_w.php?NumCDR=15&amp;codEntidad=19110"/>
    <hyperlink ref="H1686:H1688" r:id="rId515" display="http://consorciofia.info/cdr/ver_fuentes_w.php?NumCDR=340&amp;codEntidad=19999"/>
    <hyperlink ref="H1689:H1691" r:id="rId516" display="http://consorciofia.info/cdr/ver_fuentes_w.php?NumCDR=8&amp;codEntidad=19573"/>
    <hyperlink ref="H1692" r:id="rId517" display="http://consorciofia.info/cdr/ver_fuentes_w.php?NumCDR=338&amp;codEntidad=19999"/>
    <hyperlink ref="H1693:H1694" r:id="rId518" display="http://consorciofia.info/cdr/ver_fuentes_w.php?NumCDR=16&amp;codEntidad=19110"/>
    <hyperlink ref="H1695" r:id="rId519" display="http://consorciofia.info/cdr/ver_fuentes_w.php?NumCDR=10&amp;codEntidad=19142"/>
    <hyperlink ref="H1699:H1714" r:id="rId520" display="http://consorciofia.info/cdr/ver_fuentes_w.php?NumCDR=343&amp;codEntidad=19999"/>
    <hyperlink ref="H1715" r:id="rId521" display="http://consorciofia.info/cdr/ver_fuentes_w.php?NumCDR=9&amp;codEntidad=19142"/>
    <hyperlink ref="H1725:H1726" r:id="rId522" display="http://consorciofia.info/cdr/ver_fuentes_w.php?NumCDR=11&amp;codEntidad=19397"/>
    <hyperlink ref="H1727:H1728" r:id="rId523" display="http://consorciofia.info/cdr/ver_fuentes_w.php?NumCDR=3564&amp;codEntidad=19397"/>
    <hyperlink ref="H1729:H1731" r:id="rId524" display="http://consorciofia.info/cdr/ver_fuentes_w.php?NumCDR=6&amp;codEntidad=19473"/>
    <hyperlink ref="H1732:H1733" r:id="rId525" display="http://consorciofia.info/cdr/ver_fuentes_w.php?NumCDR=9&amp;codEntidad=19548"/>
    <hyperlink ref="H1734" r:id="rId526" display="http://consorciofia.info/cdr/ver_fuentes_w.php?NumCDR=14&amp;codEntidad=19780"/>
    <hyperlink ref="H1741" r:id="rId527" display="http://consorciofia.info/cdr/ver_fuentes_w.php?NumCDR=10&amp;codEntidad=19392"/>
    <hyperlink ref="H43" r:id="rId528" display="http://consorciofia.info/cdr/ver_fuentes_w.php?NumCDR=012&amp;codEntidad=19999"/>
    <hyperlink ref="H1752" r:id="rId529" display="http://consorciofia.info/cdr/ver_fuentes_w.php?NumCDR=2379&amp;codEntidad=19050"/>
    <hyperlink ref="H1750" r:id="rId530" display="http://consorciofia.info/cdr/ver_fuentes_w.php?NumCDR=2370&amp;codEntidad=19760"/>
    <hyperlink ref="H1755" r:id="rId531" display="http://consorciofia.info/cdr/ver_fuentes_w.php?NumCDR=2380&amp;codEntidad=19999"/>
    <hyperlink ref="H1751" r:id="rId532" display="http://consorciofia.info/cdr/ver_fuentes_w.php?NumCDR=2392&amp;codEntidad=19364"/>
    <hyperlink ref="H1791" r:id="rId533" display="http://consorciofia.info/cdr/ver_fuentes_w.php?NumCDR=3986&amp;codEntidad=19050"/>
    <hyperlink ref="H1792" r:id="rId534" display="http://consorciofia.info/cdr/ver_fuentes_w.php?NumCDR=3976&amp;codEntidad=19392"/>
    <hyperlink ref="H1758" r:id="rId535" display="http://consorciofia.info/cdr/ver_fuentes_w.php?NumCDR=2394&amp;codEntidad=19300"/>
    <hyperlink ref="H1763" r:id="rId536" display="http://consorciofia.info/cdr/ver_fuentes_w.php?NumCDR=2372&amp;codEntidad=19110"/>
    <hyperlink ref="H1766" r:id="rId537" display="http://consorciofia.info/cdr/ver_fuentes_w.php?NumCDR=2373&amp;codEntidad=19999"/>
    <hyperlink ref="H1769" r:id="rId538" display="http://consorciofia.info/cdr/ver_fuentes_w.php?NumCDR=22&amp;codEntidad=19050"/>
    <hyperlink ref="H1770" r:id="rId539" display="http://consorciofia.info/cdr/ver_fuentes_w.php?NumCDR=2371&amp;codEntidad=19760"/>
    <hyperlink ref="H1771" r:id="rId540" display="http://consorciofia.info/cdr/ver_fuentes_w.php?NumCDR=2366&amp;codEntidad=19318"/>
    <hyperlink ref="H1773" r:id="rId541" display="http://consorciofia.info/cdr/ver_fuentes_w.php?NumCDR=2385&amp;codEntidad=19532"/>
    <hyperlink ref="H1772" r:id="rId542" display="http://consorciofia.info/cdr/ver_fuentes_w.php?NumCDR=2387&amp;codEntidad=19075"/>
    <hyperlink ref="H1774" r:id="rId543" display="http://consorciofia.info/cdr/ver_fuentes_w.php?NumCDR=2879&amp;codEntidad=19392"/>
    <hyperlink ref="H1775" r:id="rId544" display="http://consorciofia.info/cdr/ver_fuentes_w.php?NumCDR=2884&amp;codEntidad=19517"/>
    <hyperlink ref="H1391:H1396" r:id="rId545" display="http://consorciofia.info/cdr/ver_fuentes_w.php?NumCDR=326&amp;codEntidad=19999"/>
    <hyperlink ref="H1735:H1736" r:id="rId546" display="http://consorciofia.info/cdr/ver_fuentes_w.php?NumCDR=6&amp;codEntidad=19473"/>
    <hyperlink ref="H1737" r:id="rId547" display="http://consorciofia.info/cdr/ver_fuentes_w.php?NumCDR=8&amp;codEntidad=19548"/>
    <hyperlink ref="H1739" r:id="rId548" display="http://consorciofia.info/cdr/ver_fuentes_w.php?NumCDR=13&amp;codEntidad=19780"/>
    <hyperlink ref="H1759" r:id="rId549" display="http://consorciofia.info/cdr/ver_fuentes_w.php?NumCDR=2475&amp;codEntidad=19698"/>
    <hyperlink ref="H1760" r:id="rId550" display="http://consorciofia.info/cdr/ver_fuentes_w.php?NumCDR=2476&amp;codEntidad=19450"/>
    <hyperlink ref="H1761" r:id="rId551" display="http://consorciofia.info/cdr/ver_fuentes_w.php?NumCDR=2477&amp;codEntidad=19130"/>
    <hyperlink ref="H74:H75" r:id="rId552" display="http://consorciofia.info/cdr/ver_fuentes_w.php?NumCDR=016&amp;codEntidad=19999"/>
    <hyperlink ref="H1325:H1327" r:id="rId553" display="http://consorciofia.info/cdr/ver_fuentes_w.php?NumCDR=013&amp;codEntidad=19585"/>
    <hyperlink ref="H1328:H1330" r:id="rId554" display="http://consorciofia.info/cdr/ver_fuentes_w.php?NumCDR=006&amp;codEntidad=19743"/>
    <hyperlink ref="H965" r:id="rId555" display="http://consorciofia.info/cdr/ver_fuentes_w.php?NumCDR=006&amp;codEntidad=19698"/>
    <hyperlink ref="H49:H51" r:id="rId556" display="http://consorciofia.info/cdr/ver_fuentes_w.php?NumCDR=017&amp;codEntidad=19999"/>
    <hyperlink ref="H1365:H1366" r:id="rId557" display="http://consorciofia.info/cdr/ver_fuentes_w.php?NumCDR=3563&amp;codEntidad=19807"/>
    <hyperlink ref="H1226" r:id="rId558" display="http://consorciofia.info/cdr/ver_fuentes_w.php?NumCDR=004&amp;codEntidad=19807"/>
    <hyperlink ref="H1229" r:id="rId559" display="http://consorciofia.info/cdr/ver_fuentes_w.php?NumCDR=13&amp;codEntidad=19807"/>
    <hyperlink ref="H1777" r:id="rId560" display="http://consorciofia.info/cdr/ver_fuentes_w.php?NumCDR=2386&amp;codEntidad=19075"/>
    <hyperlink ref="H1778" r:id="rId561" display="http://consorciofia.info/cdr/ver_fuentes_w.php?NumCDR=2878&amp;codEntidad=19392"/>
    <hyperlink ref="H1782" r:id="rId562" display="http://consorciofia.info/cdr/ver_fuentes_w.php?NumCDR=2374&amp;codEntidad=19110"/>
    <hyperlink ref="H1780" r:id="rId563" display="http://consorciofia.info/cdr/ver_fuentes_w.php?NumCDR=2367&amp;codEntidad=19318"/>
    <hyperlink ref="H1784:H1785" r:id="rId564" display="http://consorciofia.info/cdr/ver_fuentes_w.php?NumCDR=4030&amp;codEntidad=19318"/>
    <hyperlink ref="H1399" r:id="rId565" display="http://consorciofia.info/cdr/ver_fuentes_w.php?NumCDR=3811&amp;codEntidad=19513"/>
    <hyperlink ref="H1401" r:id="rId566" display="http://consorciofia.info/cdr/ver_fuentes_w.php?NumCDR=3812&amp;codEntidad=19999"/>
    <hyperlink ref="H1322:H1324" r:id="rId567" display="http://consorciofia.info/cdr/ver_fuentes_w.php?NumCDR=4463&amp;codEntidad=19999"/>
    <hyperlink ref="H1538" r:id="rId568" display="http://consorciofia.info/cdr/ver_fuentes_w.php?NumCDR=4762&amp;codEntidad=19100"/>
    <hyperlink ref="H1375:H1390" r:id="rId569" display="http://consorciofia.info/cdr/ver_fuentes_w.php?NumCDR=312&amp;codEntidad=19999"/>
  </hyperlinks>
  <pageMargins left="0.37" right="0.17" top="0.74803149606299213" bottom="0.74803149606299213" header="0.31496062992125984" footer="0.31496062992125984"/>
  <pageSetup scale="24" orientation="landscape" r:id="rId570"/>
  <legacyDrawing r:id="rId57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649"/>
  <sheetViews>
    <sheetView workbookViewId="0">
      <selection sqref="A1:L1"/>
    </sheetView>
  </sheetViews>
  <sheetFormatPr baseColWidth="10" defaultColWidth="11.42578125" defaultRowHeight="15.75"/>
  <cols>
    <col min="1" max="1" width="11.85546875" style="46" customWidth="1"/>
    <col min="2" max="2" width="14.28515625" style="47" hidden="1" customWidth="1"/>
    <col min="3" max="3" width="17.140625" style="46" hidden="1" customWidth="1"/>
    <col min="4" max="4" width="12" style="46" hidden="1" customWidth="1"/>
    <col min="5" max="5" width="14.140625" style="48" hidden="1" customWidth="1"/>
    <col min="6" max="6" width="12.42578125" style="48" hidden="1" customWidth="1"/>
    <col min="7" max="7" width="43.28515625" style="46" hidden="1" customWidth="1"/>
    <col min="8" max="8" width="16.28515625" style="46" hidden="1" customWidth="1"/>
    <col min="9" max="9" width="15.7109375" style="46" hidden="1" customWidth="1"/>
    <col min="10" max="10" width="18.7109375" style="46" hidden="1" customWidth="1"/>
    <col min="11" max="11" width="16.85546875" style="46" hidden="1" customWidth="1"/>
    <col min="12" max="12" width="24" style="46" hidden="1" customWidth="1"/>
    <col min="13" max="13" width="6.5703125" style="356" customWidth="1"/>
    <col min="14" max="14" width="9" style="355" customWidth="1"/>
    <col min="15" max="15" width="19.85546875" style="357" customWidth="1"/>
    <col min="16" max="16" width="25.140625" style="357" customWidth="1"/>
    <col min="17" max="17" width="20.28515625" style="357" customWidth="1"/>
    <col min="18" max="18" width="16.5703125" style="47" customWidth="1"/>
    <col min="19" max="19" width="20.28515625" style="53" customWidth="1"/>
    <col min="20" max="20" width="23.7109375" style="357" customWidth="1"/>
    <col min="21" max="21" width="16.5703125" style="357" customWidth="1"/>
    <col min="22" max="22" width="23.28515625" style="357" customWidth="1"/>
    <col min="23" max="23" width="20.28515625" style="357" hidden="1" customWidth="1"/>
    <col min="24" max="24" width="33.5703125" style="46" hidden="1" customWidth="1"/>
    <col min="25" max="25" width="39.7109375" style="355" customWidth="1"/>
    <col min="26" max="28" width="21.7109375" style="357" customWidth="1"/>
    <col min="29" max="29" width="15.7109375" style="47" customWidth="1"/>
    <col min="30" max="30" width="21.7109375" style="59" customWidth="1"/>
    <col min="31" max="31" width="16.7109375" style="59" hidden="1" customWidth="1"/>
    <col min="32" max="32" width="21.7109375" style="359" customWidth="1"/>
    <col min="33" max="34" width="17.5703125" style="359" hidden="1" customWidth="1"/>
    <col min="35" max="35" width="19.140625" style="359" hidden="1" customWidth="1"/>
    <col min="36" max="36" width="21.5703125" style="357" hidden="1" customWidth="1"/>
    <col min="37" max="37" width="27.85546875" style="357" customWidth="1"/>
    <col min="38" max="38" width="25.5703125" style="357" customWidth="1"/>
    <col min="39" max="39" width="27.42578125" style="357" customWidth="1"/>
    <col min="40" max="40" width="35.5703125" style="50" customWidth="1"/>
    <col min="41" max="41" width="49.42578125" style="25" customWidth="1"/>
    <col min="42" max="42" width="17.42578125" style="25" hidden="1" customWidth="1"/>
    <col min="43" max="43" width="16.28515625" style="25" customWidth="1"/>
    <col min="44" max="45" width="21.85546875" style="25" customWidth="1"/>
    <col min="46" max="46" width="42.7109375" style="25" customWidth="1"/>
    <col min="47" max="16384" width="11.42578125" style="25"/>
  </cols>
  <sheetData>
    <row r="1" spans="1:45" s="4" customFormat="1" ht="15.75" customHeight="1">
      <c r="A1" s="1342" t="s">
        <v>56</v>
      </c>
      <c r="B1" s="1342"/>
      <c r="C1" s="1342"/>
      <c r="D1" s="1342"/>
      <c r="E1" s="1342"/>
      <c r="F1" s="1342"/>
      <c r="G1" s="1342"/>
      <c r="H1" s="1342"/>
      <c r="I1" s="1342"/>
      <c r="J1" s="1342"/>
      <c r="K1" s="1342"/>
      <c r="L1" s="1342"/>
      <c r="M1" s="1343" t="s">
        <v>57</v>
      </c>
      <c r="N1" s="1343"/>
      <c r="O1" s="1343"/>
      <c r="P1" s="1343"/>
      <c r="Q1" s="1343"/>
      <c r="R1" s="1343"/>
      <c r="S1" s="1344" t="s">
        <v>284</v>
      </c>
      <c r="T1" s="1344"/>
      <c r="U1" s="1344"/>
      <c r="V1" s="1345" t="s">
        <v>63</v>
      </c>
      <c r="W1" s="1345"/>
      <c r="X1" s="1345"/>
      <c r="Y1" s="1346" t="s">
        <v>190</v>
      </c>
      <c r="Z1" s="1346"/>
      <c r="AA1" s="1346"/>
      <c r="AB1" s="1346"/>
      <c r="AC1" s="1346"/>
      <c r="AD1" s="1346"/>
      <c r="AE1" s="1346"/>
      <c r="AF1" s="1346"/>
      <c r="AG1" s="1346"/>
      <c r="AH1" s="1346"/>
      <c r="AI1" s="1346"/>
      <c r="AJ1" s="1347" t="s">
        <v>202</v>
      </c>
      <c r="AK1" s="1347"/>
      <c r="AL1" s="1347"/>
      <c r="AM1" s="1347"/>
      <c r="AN1" s="1341" t="s">
        <v>203</v>
      </c>
      <c r="AO1" s="1341"/>
      <c r="AP1" s="1341"/>
      <c r="AQ1" s="1341"/>
    </row>
    <row r="2" spans="1:45" s="61" customFormat="1" ht="54" customHeight="1">
      <c r="A2" s="16" t="s">
        <v>463</v>
      </c>
      <c r="B2" s="17" t="s">
        <v>52</v>
      </c>
      <c r="C2" s="16" t="s">
        <v>64</v>
      </c>
      <c r="D2" s="16" t="s">
        <v>58</v>
      </c>
      <c r="E2" s="18" t="s">
        <v>3</v>
      </c>
      <c r="F2" s="18" t="s">
        <v>53</v>
      </c>
      <c r="G2" s="16" t="s">
        <v>2</v>
      </c>
      <c r="H2" s="16" t="s">
        <v>65</v>
      </c>
      <c r="I2" s="16" t="s">
        <v>201</v>
      </c>
      <c r="J2" s="16" t="s">
        <v>126</v>
      </c>
      <c r="K2" s="16" t="s">
        <v>68</v>
      </c>
      <c r="L2" s="16" t="s">
        <v>207</v>
      </c>
      <c r="M2" s="20" t="s">
        <v>358</v>
      </c>
      <c r="N2" s="19" t="s">
        <v>54</v>
      </c>
      <c r="O2" s="36" t="s">
        <v>60</v>
      </c>
      <c r="P2" s="36" t="s">
        <v>59</v>
      </c>
      <c r="Q2" s="36" t="s">
        <v>313</v>
      </c>
      <c r="R2" s="22" t="s">
        <v>187</v>
      </c>
      <c r="S2" s="37" t="s">
        <v>59</v>
      </c>
      <c r="T2" s="433" t="s">
        <v>60</v>
      </c>
      <c r="U2" s="433" t="s">
        <v>285</v>
      </c>
      <c r="V2" s="39" t="s">
        <v>314</v>
      </c>
      <c r="W2" s="39" t="s">
        <v>55</v>
      </c>
      <c r="X2" s="5" t="s">
        <v>61</v>
      </c>
      <c r="Y2" s="21" t="s">
        <v>315</v>
      </c>
      <c r="Z2" s="44" t="s">
        <v>371</v>
      </c>
      <c r="AA2" s="44" t="s">
        <v>189</v>
      </c>
      <c r="AB2" s="44" t="s">
        <v>316</v>
      </c>
      <c r="AC2" s="7" t="s">
        <v>179</v>
      </c>
      <c r="AD2" s="32" t="s">
        <v>330</v>
      </c>
      <c r="AE2" s="32" t="s">
        <v>395</v>
      </c>
      <c r="AF2" s="32" t="s">
        <v>317</v>
      </c>
      <c r="AG2" s="32" t="s">
        <v>328</v>
      </c>
      <c r="AH2" s="32" t="s">
        <v>318</v>
      </c>
      <c r="AI2" s="32" t="s">
        <v>293</v>
      </c>
      <c r="AJ2" s="434" t="s">
        <v>322</v>
      </c>
      <c r="AK2" s="434" t="s">
        <v>319</v>
      </c>
      <c r="AL2" s="434" t="s">
        <v>324</v>
      </c>
      <c r="AM2" s="434" t="s">
        <v>372</v>
      </c>
      <c r="AN2" s="432" t="s">
        <v>264</v>
      </c>
      <c r="AO2" s="8" t="s">
        <v>193</v>
      </c>
      <c r="AP2" s="8" t="s">
        <v>196</v>
      </c>
      <c r="AQ2" s="8" t="s">
        <v>341</v>
      </c>
      <c r="AR2" s="61" t="s">
        <v>2465</v>
      </c>
      <c r="AS2" s="61">
        <v>323890.55999999493</v>
      </c>
    </row>
    <row r="3" spans="1:45" s="6" customFormat="1">
      <c r="A3" s="1219" t="s">
        <v>232</v>
      </c>
      <c r="B3" s="1253">
        <v>40212</v>
      </c>
      <c r="C3" s="1219" t="s">
        <v>45</v>
      </c>
      <c r="D3" s="1219" t="s">
        <v>188</v>
      </c>
      <c r="E3" s="1340">
        <v>817004988</v>
      </c>
      <c r="F3" s="1340">
        <v>3</v>
      </c>
      <c r="G3" s="1219" t="s">
        <v>191</v>
      </c>
      <c r="H3" s="1219" t="s">
        <v>72</v>
      </c>
      <c r="I3" s="1329" t="s">
        <v>177</v>
      </c>
      <c r="J3" s="1219" t="s">
        <v>66</v>
      </c>
      <c r="K3" s="1219" t="s">
        <v>183</v>
      </c>
      <c r="L3" s="1219"/>
      <c r="M3" s="1318">
        <v>29</v>
      </c>
      <c r="N3" s="1219" t="s">
        <v>137</v>
      </c>
      <c r="O3" s="1084">
        <v>130000000</v>
      </c>
      <c r="P3" s="1084">
        <v>130000000</v>
      </c>
      <c r="Q3" s="1084">
        <f>P3+P7</f>
        <v>150984400</v>
      </c>
      <c r="R3" s="1253">
        <v>40211</v>
      </c>
      <c r="S3" s="412"/>
      <c r="T3" s="358"/>
      <c r="U3" s="358"/>
      <c r="V3" s="1084">
        <v>130000000</v>
      </c>
      <c r="W3" s="1084">
        <f>V3+V7</f>
        <v>150984400</v>
      </c>
      <c r="X3" s="1219" t="s">
        <v>192</v>
      </c>
      <c r="Y3" s="407">
        <v>7</v>
      </c>
      <c r="Z3" s="358">
        <v>0</v>
      </c>
      <c r="AA3" s="358">
        <v>52000000</v>
      </c>
      <c r="AB3" s="358">
        <f t="shared" ref="AB3:AB14" si="0">Z3+AA3</f>
        <v>52000000</v>
      </c>
      <c r="AC3" s="410">
        <v>40305</v>
      </c>
      <c r="AD3" s="56">
        <v>52000000</v>
      </c>
      <c r="AE3" s="56"/>
      <c r="AF3" s="1315">
        <f>SUM(AD3:AD6)</f>
        <v>130000000</v>
      </c>
      <c r="AG3" s="1315">
        <f>SUM(AD3:AD8)</f>
        <v>150984400</v>
      </c>
      <c r="AH3" s="1315">
        <f>P3-AF3</f>
        <v>0</v>
      </c>
      <c r="AI3" s="1315">
        <v>0</v>
      </c>
      <c r="AJ3" s="1084">
        <f>SUM(Z3:Z8)-SUM(AD3:AD8)</f>
        <v>0</v>
      </c>
      <c r="AK3" s="1084">
        <f>P3-V3</f>
        <v>0</v>
      </c>
      <c r="AL3" s="1084">
        <f>V3-SUM(Z3:Z6)</f>
        <v>0</v>
      </c>
      <c r="AM3" s="1084">
        <f>AK3+AL3</f>
        <v>0</v>
      </c>
      <c r="AN3" s="1328"/>
      <c r="AO3" s="1329" t="s">
        <v>320</v>
      </c>
      <c r="AP3" s="1329" t="s">
        <v>194</v>
      </c>
      <c r="AQ3" s="1329" t="s">
        <v>342</v>
      </c>
    </row>
    <row r="4" spans="1:45" s="6" customFormat="1">
      <c r="A4" s="1219"/>
      <c r="B4" s="1253"/>
      <c r="C4" s="1219"/>
      <c r="D4" s="1219"/>
      <c r="E4" s="1340"/>
      <c r="F4" s="1340"/>
      <c r="G4" s="1219"/>
      <c r="H4" s="1219"/>
      <c r="I4" s="1329"/>
      <c r="J4" s="1219"/>
      <c r="K4" s="1219"/>
      <c r="L4" s="1219"/>
      <c r="M4" s="1318"/>
      <c r="N4" s="1219"/>
      <c r="O4" s="1084"/>
      <c r="P4" s="1084"/>
      <c r="Q4" s="1084"/>
      <c r="R4" s="1253"/>
      <c r="S4" s="412"/>
      <c r="T4" s="358"/>
      <c r="U4" s="358"/>
      <c r="V4" s="1084"/>
      <c r="W4" s="1084"/>
      <c r="X4" s="1219"/>
      <c r="Y4" s="407" t="s">
        <v>180</v>
      </c>
      <c r="Z4" s="358">
        <v>65000000</v>
      </c>
      <c r="AA4" s="358">
        <v>-26000000</v>
      </c>
      <c r="AB4" s="358">
        <f t="shared" si="0"/>
        <v>39000000</v>
      </c>
      <c r="AC4" s="410">
        <v>40457</v>
      </c>
      <c r="AD4" s="56">
        <v>39000000</v>
      </c>
      <c r="AE4" s="56"/>
      <c r="AF4" s="1315"/>
      <c r="AG4" s="1315"/>
      <c r="AH4" s="1315"/>
      <c r="AI4" s="1315"/>
      <c r="AJ4" s="1084"/>
      <c r="AK4" s="1084"/>
      <c r="AL4" s="1084"/>
      <c r="AM4" s="1084"/>
      <c r="AN4" s="1328"/>
      <c r="AO4" s="1329"/>
      <c r="AP4" s="1329"/>
      <c r="AQ4" s="1329"/>
    </row>
    <row r="5" spans="1:45" s="6" customFormat="1">
      <c r="A5" s="1219"/>
      <c r="B5" s="1253"/>
      <c r="C5" s="1219"/>
      <c r="D5" s="1219"/>
      <c r="E5" s="1340"/>
      <c r="F5" s="1340"/>
      <c r="G5" s="1219"/>
      <c r="H5" s="1219"/>
      <c r="I5" s="1329"/>
      <c r="J5" s="1219"/>
      <c r="K5" s="1219"/>
      <c r="L5" s="1219"/>
      <c r="M5" s="1318"/>
      <c r="N5" s="1219"/>
      <c r="O5" s="1084"/>
      <c r="P5" s="1084"/>
      <c r="Q5" s="1084"/>
      <c r="R5" s="1253"/>
      <c r="S5" s="412"/>
      <c r="T5" s="358"/>
      <c r="U5" s="358"/>
      <c r="V5" s="1084"/>
      <c r="W5" s="1084"/>
      <c r="X5" s="1219"/>
      <c r="Y5" s="407"/>
      <c r="Z5" s="358">
        <v>43290000</v>
      </c>
      <c r="AA5" s="358">
        <v>-17316000</v>
      </c>
      <c r="AB5" s="358">
        <f t="shared" si="0"/>
        <v>25974000</v>
      </c>
      <c r="AC5" s="410">
        <v>40753</v>
      </c>
      <c r="AD5" s="56">
        <v>25974000</v>
      </c>
      <c r="AE5" s="56"/>
      <c r="AF5" s="1315"/>
      <c r="AG5" s="1315"/>
      <c r="AH5" s="1315"/>
      <c r="AI5" s="1315"/>
      <c r="AJ5" s="1084"/>
      <c r="AK5" s="1084"/>
      <c r="AL5" s="1084"/>
      <c r="AM5" s="1084"/>
      <c r="AN5" s="1328"/>
      <c r="AO5" s="1329"/>
      <c r="AP5" s="1329"/>
      <c r="AQ5" s="1329"/>
    </row>
    <row r="6" spans="1:45" s="6" customFormat="1">
      <c r="A6" s="1219"/>
      <c r="B6" s="1253"/>
      <c r="C6" s="1219"/>
      <c r="D6" s="1219"/>
      <c r="E6" s="1340"/>
      <c r="F6" s="1340"/>
      <c r="G6" s="1219"/>
      <c r="H6" s="1219"/>
      <c r="I6" s="1329"/>
      <c r="J6" s="1219"/>
      <c r="K6" s="1219"/>
      <c r="L6" s="1219"/>
      <c r="M6" s="1318"/>
      <c r="N6" s="1219"/>
      <c r="O6" s="1084"/>
      <c r="P6" s="1084"/>
      <c r="Q6" s="1084"/>
      <c r="R6" s="1253"/>
      <c r="S6" s="412"/>
      <c r="T6" s="358"/>
      <c r="U6" s="358"/>
      <c r="V6" s="1084"/>
      <c r="W6" s="1084"/>
      <c r="X6" s="1219"/>
      <c r="Y6" s="407"/>
      <c r="Z6" s="358">
        <v>21710000</v>
      </c>
      <c r="AA6" s="358">
        <v>-8684000</v>
      </c>
      <c r="AB6" s="358">
        <f t="shared" si="0"/>
        <v>13026000</v>
      </c>
      <c r="AC6" s="410">
        <v>41379</v>
      </c>
      <c r="AD6" s="56">
        <v>13026000</v>
      </c>
      <c r="AE6" s="56"/>
      <c r="AF6" s="1315"/>
      <c r="AG6" s="1315"/>
      <c r="AH6" s="1315"/>
      <c r="AI6" s="1315"/>
      <c r="AJ6" s="1084"/>
      <c r="AK6" s="1084"/>
      <c r="AL6" s="1084"/>
      <c r="AM6" s="1084"/>
      <c r="AN6" s="1328"/>
      <c r="AO6" s="1329"/>
      <c r="AP6" s="1329"/>
      <c r="AQ6" s="1329"/>
    </row>
    <row r="7" spans="1:45" s="6" customFormat="1">
      <c r="A7" s="1219"/>
      <c r="B7" s="1253"/>
      <c r="C7" s="1219"/>
      <c r="D7" s="1219"/>
      <c r="E7" s="1340"/>
      <c r="F7" s="1340"/>
      <c r="G7" s="1219"/>
      <c r="H7" s="1219" t="s">
        <v>72</v>
      </c>
      <c r="I7" s="1329"/>
      <c r="J7" s="1219" t="s">
        <v>67</v>
      </c>
      <c r="K7" s="1219"/>
      <c r="L7" s="1219"/>
      <c r="M7" s="1318">
        <v>190</v>
      </c>
      <c r="N7" s="1219" t="s">
        <v>7</v>
      </c>
      <c r="O7" s="1084">
        <v>20984400</v>
      </c>
      <c r="P7" s="1084">
        <v>20984400</v>
      </c>
      <c r="Q7" s="1084"/>
      <c r="R7" s="1253">
        <v>40759</v>
      </c>
      <c r="S7" s="412"/>
      <c r="T7" s="358"/>
      <c r="U7" s="358"/>
      <c r="V7" s="1084">
        <v>20984400</v>
      </c>
      <c r="W7" s="1084"/>
      <c r="X7" s="1219"/>
      <c r="Y7" s="407"/>
      <c r="Z7" s="358">
        <v>17480005</v>
      </c>
      <c r="AA7" s="358">
        <v>0</v>
      </c>
      <c r="AB7" s="358">
        <f t="shared" si="0"/>
        <v>17480005</v>
      </c>
      <c r="AC7" s="410">
        <v>40802</v>
      </c>
      <c r="AD7" s="56">
        <v>17480005</v>
      </c>
      <c r="AE7" s="56"/>
      <c r="AF7" s="1315">
        <f>SUM(AD7:AD8)</f>
        <v>20984400</v>
      </c>
      <c r="AG7" s="1315"/>
      <c r="AH7" s="1315">
        <f>P7-AF7</f>
        <v>0</v>
      </c>
      <c r="AI7" s="1315">
        <v>0</v>
      </c>
      <c r="AJ7" s="1084"/>
      <c r="AK7" s="1084">
        <f>P7-V7</f>
        <v>0</v>
      </c>
      <c r="AL7" s="1084">
        <f>V7-SUM(Z7:Z8)</f>
        <v>0</v>
      </c>
      <c r="AM7" s="1084">
        <f>AK7+AL7</f>
        <v>0</v>
      </c>
      <c r="AN7" s="1328"/>
      <c r="AO7" s="1329"/>
      <c r="AP7" s="1329"/>
      <c r="AQ7" s="1329"/>
    </row>
    <row r="8" spans="1:45" s="6" customFormat="1">
      <c r="A8" s="1219"/>
      <c r="B8" s="1253"/>
      <c r="C8" s="1219"/>
      <c r="D8" s="1219"/>
      <c r="E8" s="1340"/>
      <c r="F8" s="1340"/>
      <c r="G8" s="1219"/>
      <c r="H8" s="1219"/>
      <c r="I8" s="1329"/>
      <c r="J8" s="1219"/>
      <c r="K8" s="1219"/>
      <c r="L8" s="1219"/>
      <c r="M8" s="1318"/>
      <c r="N8" s="1219"/>
      <c r="O8" s="1084"/>
      <c r="P8" s="1084"/>
      <c r="Q8" s="1084"/>
      <c r="R8" s="1253"/>
      <c r="S8" s="412"/>
      <c r="T8" s="358"/>
      <c r="U8" s="358"/>
      <c r="V8" s="1084"/>
      <c r="W8" s="1084"/>
      <c r="X8" s="1219"/>
      <c r="Y8" s="407"/>
      <c r="Z8" s="358">
        <v>3504395</v>
      </c>
      <c r="AA8" s="358">
        <v>0</v>
      </c>
      <c r="AB8" s="358">
        <f t="shared" si="0"/>
        <v>3504395</v>
      </c>
      <c r="AC8" s="410">
        <v>41374</v>
      </c>
      <c r="AD8" s="56">
        <f>AB8</f>
        <v>3504395</v>
      </c>
      <c r="AE8" s="56"/>
      <c r="AF8" s="1315"/>
      <c r="AG8" s="1315"/>
      <c r="AH8" s="1315"/>
      <c r="AI8" s="1315"/>
      <c r="AJ8" s="1084"/>
      <c r="AK8" s="1084"/>
      <c r="AL8" s="1084"/>
      <c r="AM8" s="1084"/>
      <c r="AN8" s="1328"/>
      <c r="AO8" s="1329"/>
      <c r="AP8" s="1329"/>
      <c r="AQ8" s="1329"/>
    </row>
    <row r="9" spans="1:45" s="4" customFormat="1">
      <c r="A9" s="1076" t="s">
        <v>233</v>
      </c>
      <c r="B9" s="1171">
        <v>40256</v>
      </c>
      <c r="C9" s="1219" t="s">
        <v>5</v>
      </c>
      <c r="D9" s="1076" t="s">
        <v>175</v>
      </c>
      <c r="E9" s="1252">
        <v>900346392</v>
      </c>
      <c r="F9" s="1252">
        <v>2</v>
      </c>
      <c r="G9" s="1076" t="s">
        <v>176</v>
      </c>
      <c r="H9" s="1076" t="s">
        <v>72</v>
      </c>
      <c r="I9" s="1204" t="s">
        <v>177</v>
      </c>
      <c r="J9" s="1076" t="s">
        <v>66</v>
      </c>
      <c r="K9" s="1076" t="s">
        <v>183</v>
      </c>
      <c r="L9" s="1076"/>
      <c r="M9" s="1318">
        <v>1</v>
      </c>
      <c r="N9" s="1076" t="s">
        <v>137</v>
      </c>
      <c r="O9" s="1119">
        <v>82867500</v>
      </c>
      <c r="P9" s="1119">
        <v>82867500</v>
      </c>
      <c r="Q9" s="1119">
        <f>P9+O12</f>
        <v>92867500</v>
      </c>
      <c r="R9" s="1171">
        <v>40211</v>
      </c>
      <c r="S9" s="390"/>
      <c r="T9" s="386"/>
      <c r="U9" s="386"/>
      <c r="V9" s="1119">
        <v>82855436</v>
      </c>
      <c r="W9" s="1119">
        <f>V9+V12</f>
        <v>92855436</v>
      </c>
      <c r="X9" s="1076" t="s">
        <v>178</v>
      </c>
      <c r="Y9" s="372">
        <v>15</v>
      </c>
      <c r="Z9" s="386">
        <v>0</v>
      </c>
      <c r="AA9" s="386">
        <v>33142174</v>
      </c>
      <c r="AB9" s="358">
        <f t="shared" si="0"/>
        <v>33142174</v>
      </c>
      <c r="AC9" s="384">
        <v>40305</v>
      </c>
      <c r="AD9" s="56">
        <v>33142174</v>
      </c>
      <c r="AE9" s="56"/>
      <c r="AF9" s="1315">
        <f>SUM(AD9:AD11)</f>
        <v>82855436</v>
      </c>
      <c r="AG9" s="1315">
        <f>SUM(AD9:AD13)</f>
        <v>92855361</v>
      </c>
      <c r="AH9" s="1315">
        <v>0</v>
      </c>
      <c r="AI9" s="1315">
        <v>0</v>
      </c>
      <c r="AJ9" s="1119">
        <f>SUM(Z9:Z13)-SUM(AD9:AD13)</f>
        <v>0</v>
      </c>
      <c r="AK9" s="1119">
        <f>P9-V9</f>
        <v>12064</v>
      </c>
      <c r="AL9" s="1119">
        <f>V9-SUM(Z9:Z11)</f>
        <v>0</v>
      </c>
      <c r="AM9" s="1119">
        <f>AK9+AL9</f>
        <v>12064</v>
      </c>
      <c r="AN9" s="1203"/>
      <c r="AO9" s="1204" t="s">
        <v>321</v>
      </c>
      <c r="AP9" s="1204" t="s">
        <v>194</v>
      </c>
      <c r="AQ9" s="1204" t="s">
        <v>342</v>
      </c>
    </row>
    <row r="10" spans="1:45" s="4" customFormat="1">
      <c r="A10" s="1076"/>
      <c r="B10" s="1171"/>
      <c r="C10" s="1219"/>
      <c r="D10" s="1076"/>
      <c r="E10" s="1252"/>
      <c r="F10" s="1252"/>
      <c r="G10" s="1076"/>
      <c r="H10" s="1076"/>
      <c r="I10" s="1204"/>
      <c r="J10" s="1076"/>
      <c r="K10" s="1076"/>
      <c r="L10" s="1076"/>
      <c r="M10" s="1318"/>
      <c r="N10" s="1076"/>
      <c r="O10" s="1119"/>
      <c r="P10" s="1119"/>
      <c r="Q10" s="1119"/>
      <c r="R10" s="1171"/>
      <c r="S10" s="390"/>
      <c r="T10" s="386"/>
      <c r="U10" s="386"/>
      <c r="V10" s="1119"/>
      <c r="W10" s="1119"/>
      <c r="X10" s="1076"/>
      <c r="Y10" s="372"/>
      <c r="Z10" s="386">
        <v>74569892</v>
      </c>
      <c r="AA10" s="386">
        <v>-29827957</v>
      </c>
      <c r="AB10" s="386">
        <f t="shared" si="0"/>
        <v>44741935</v>
      </c>
      <c r="AC10" s="384">
        <v>41129</v>
      </c>
      <c r="AD10" s="56">
        <v>44741935</v>
      </c>
      <c r="AE10" s="56"/>
      <c r="AF10" s="1315"/>
      <c r="AG10" s="1315"/>
      <c r="AH10" s="1315"/>
      <c r="AI10" s="1315"/>
      <c r="AJ10" s="1119"/>
      <c r="AK10" s="1119"/>
      <c r="AL10" s="1119"/>
      <c r="AM10" s="1119"/>
      <c r="AN10" s="1203"/>
      <c r="AO10" s="1204"/>
      <c r="AP10" s="1204"/>
      <c r="AQ10" s="1204"/>
    </row>
    <row r="11" spans="1:45" s="4" customFormat="1">
      <c r="A11" s="1076"/>
      <c r="B11" s="1171"/>
      <c r="C11" s="1219"/>
      <c r="D11" s="1076"/>
      <c r="E11" s="1252"/>
      <c r="F11" s="1252"/>
      <c r="G11" s="1076"/>
      <c r="H11" s="1076"/>
      <c r="I11" s="1204"/>
      <c r="J11" s="1076"/>
      <c r="K11" s="1076"/>
      <c r="L11" s="1076"/>
      <c r="M11" s="1318"/>
      <c r="N11" s="1076"/>
      <c r="O11" s="1119"/>
      <c r="P11" s="1119"/>
      <c r="Q11" s="1119"/>
      <c r="R11" s="1171"/>
      <c r="S11" s="390"/>
      <c r="T11" s="386"/>
      <c r="U11" s="386"/>
      <c r="V11" s="1119"/>
      <c r="W11" s="1119"/>
      <c r="X11" s="1076"/>
      <c r="Y11" s="372">
        <v>424</v>
      </c>
      <c r="Z11" s="386">
        <v>8285544</v>
      </c>
      <c r="AA11" s="386">
        <v>-3314217</v>
      </c>
      <c r="AB11" s="386">
        <f t="shared" si="0"/>
        <v>4971327</v>
      </c>
      <c r="AC11" s="384">
        <v>42478</v>
      </c>
      <c r="AD11" s="56">
        <v>4971327</v>
      </c>
      <c r="AE11" s="56"/>
      <c r="AF11" s="1315"/>
      <c r="AG11" s="1315"/>
      <c r="AH11" s="1315"/>
      <c r="AI11" s="1315"/>
      <c r="AJ11" s="1119"/>
      <c r="AK11" s="1119"/>
      <c r="AL11" s="1119"/>
      <c r="AM11" s="1119"/>
      <c r="AN11" s="1203"/>
      <c r="AO11" s="1204"/>
      <c r="AP11" s="1204"/>
      <c r="AQ11" s="1204"/>
    </row>
    <row r="12" spans="1:45" s="4" customFormat="1">
      <c r="A12" s="1076"/>
      <c r="B12" s="1171"/>
      <c r="C12" s="1219"/>
      <c r="D12" s="1076"/>
      <c r="E12" s="1252"/>
      <c r="F12" s="1252"/>
      <c r="G12" s="1076"/>
      <c r="H12" s="1076"/>
      <c r="I12" s="1204"/>
      <c r="J12" s="1076" t="s">
        <v>171</v>
      </c>
      <c r="K12" s="1076"/>
      <c r="L12" s="1076"/>
      <c r="M12" s="1318">
        <v>174</v>
      </c>
      <c r="N12" s="1076" t="s">
        <v>7</v>
      </c>
      <c r="O12" s="1119">
        <v>10000000</v>
      </c>
      <c r="P12" s="1119">
        <v>1511282659</v>
      </c>
      <c r="Q12" s="1119"/>
      <c r="R12" s="1171">
        <v>40745</v>
      </c>
      <c r="S12" s="390"/>
      <c r="T12" s="386"/>
      <c r="U12" s="386"/>
      <c r="V12" s="1119">
        <v>10000000</v>
      </c>
      <c r="W12" s="1119"/>
      <c r="X12" s="1076"/>
      <c r="Y12" s="372" t="s">
        <v>181</v>
      </c>
      <c r="Z12" s="386">
        <v>999925</v>
      </c>
      <c r="AA12" s="386">
        <v>0</v>
      </c>
      <c r="AB12" s="386">
        <f t="shared" si="0"/>
        <v>999925</v>
      </c>
      <c r="AC12" s="384">
        <v>42478</v>
      </c>
      <c r="AD12" s="56">
        <v>999925</v>
      </c>
      <c r="AE12" s="56"/>
      <c r="AF12" s="1315">
        <f>SUM(AD12:AD13)</f>
        <v>9999925</v>
      </c>
      <c r="AG12" s="1315"/>
      <c r="AH12" s="1315">
        <v>0</v>
      </c>
      <c r="AI12" s="1315">
        <v>0</v>
      </c>
      <c r="AJ12" s="1119"/>
      <c r="AK12" s="1324">
        <f>P12-V12</f>
        <v>1501282659</v>
      </c>
      <c r="AL12" s="1324">
        <f>V12-SUM(Z12:Z13)</f>
        <v>75</v>
      </c>
      <c r="AM12" s="1324">
        <f>AK12+AL12</f>
        <v>1501282734</v>
      </c>
      <c r="AN12" s="1203"/>
      <c r="AO12" s="1204"/>
      <c r="AP12" s="1204"/>
      <c r="AQ12" s="1204"/>
    </row>
    <row r="13" spans="1:45" s="4" customFormat="1">
      <c r="A13" s="1076"/>
      <c r="B13" s="1171"/>
      <c r="C13" s="1219"/>
      <c r="D13" s="1076"/>
      <c r="E13" s="1252"/>
      <c r="F13" s="1252"/>
      <c r="G13" s="1076"/>
      <c r="H13" s="1076"/>
      <c r="I13" s="1204"/>
      <c r="J13" s="1076"/>
      <c r="K13" s="1076"/>
      <c r="L13" s="1076"/>
      <c r="M13" s="1318"/>
      <c r="N13" s="1076"/>
      <c r="O13" s="1119"/>
      <c r="P13" s="1119"/>
      <c r="Q13" s="1119"/>
      <c r="R13" s="1171"/>
      <c r="S13" s="390"/>
      <c r="T13" s="386"/>
      <c r="U13" s="386"/>
      <c r="V13" s="1119"/>
      <c r="W13" s="1119"/>
      <c r="X13" s="1076"/>
      <c r="Y13" s="372">
        <v>425</v>
      </c>
      <c r="Z13" s="386">
        <v>9000000</v>
      </c>
      <c r="AA13" s="386">
        <v>0</v>
      </c>
      <c r="AB13" s="386">
        <f t="shared" si="0"/>
        <v>9000000</v>
      </c>
      <c r="AC13" s="384">
        <v>42478</v>
      </c>
      <c r="AD13" s="56">
        <v>9000000</v>
      </c>
      <c r="AE13" s="56"/>
      <c r="AF13" s="1315"/>
      <c r="AG13" s="1315"/>
      <c r="AH13" s="1315"/>
      <c r="AI13" s="1315"/>
      <c r="AJ13" s="1119"/>
      <c r="AK13" s="1324"/>
      <c r="AL13" s="1324"/>
      <c r="AM13" s="1324"/>
      <c r="AN13" s="1203"/>
      <c r="AO13" s="1204"/>
      <c r="AP13" s="1204"/>
      <c r="AQ13" s="1204"/>
    </row>
    <row r="14" spans="1:45" s="6" customFormat="1">
      <c r="A14" s="1219" t="s">
        <v>234</v>
      </c>
      <c r="B14" s="1253">
        <v>40239</v>
      </c>
      <c r="C14" s="1219" t="s">
        <v>5</v>
      </c>
      <c r="D14" s="1219" t="s">
        <v>6</v>
      </c>
      <c r="E14" s="1340">
        <v>900342899</v>
      </c>
      <c r="F14" s="1340">
        <v>6</v>
      </c>
      <c r="G14" s="1219" t="s">
        <v>174</v>
      </c>
      <c r="H14" s="1219" t="s">
        <v>72</v>
      </c>
      <c r="I14" s="1329" t="s">
        <v>177</v>
      </c>
      <c r="J14" s="1219" t="s">
        <v>66</v>
      </c>
      <c r="K14" s="1219" t="s">
        <v>183</v>
      </c>
      <c r="L14" s="1219"/>
      <c r="M14" s="1318">
        <v>2</v>
      </c>
      <c r="N14" s="1219" t="s">
        <v>137</v>
      </c>
      <c r="O14" s="1084">
        <v>96932500</v>
      </c>
      <c r="P14" s="1084">
        <v>96932500</v>
      </c>
      <c r="Q14" s="1084">
        <f>P14+P16</f>
        <v>138932500</v>
      </c>
      <c r="R14" s="1253">
        <v>40211</v>
      </c>
      <c r="S14" s="412"/>
      <c r="T14" s="358"/>
      <c r="U14" s="358"/>
      <c r="V14" s="1084">
        <v>96932500</v>
      </c>
      <c r="W14" s="1084">
        <f>V14+V16</f>
        <v>138932500</v>
      </c>
      <c r="X14" s="1219" t="s">
        <v>62</v>
      </c>
      <c r="Y14" s="407" t="s">
        <v>180</v>
      </c>
      <c r="Z14" s="358">
        <v>0</v>
      </c>
      <c r="AA14" s="358">
        <v>37572964</v>
      </c>
      <c r="AB14" s="386">
        <f t="shared" si="0"/>
        <v>37572964</v>
      </c>
      <c r="AC14" s="410">
        <v>40333</v>
      </c>
      <c r="AD14" s="56">
        <f>AB14</f>
        <v>37572964</v>
      </c>
      <c r="AE14" s="56"/>
      <c r="AF14" s="1315">
        <f>SUM(AD14:AD15)</f>
        <v>96932409</v>
      </c>
      <c r="AG14" s="1315">
        <f>SUM(AD14:AD16)</f>
        <v>138932409</v>
      </c>
      <c r="AH14" s="1315">
        <v>0</v>
      </c>
      <c r="AI14" s="1315">
        <v>0</v>
      </c>
      <c r="AJ14" s="1084">
        <f>SUM(Z14:Z16)-SUM(AD14:AD16)</f>
        <v>0</v>
      </c>
      <c r="AK14" s="1084">
        <f>P14-V14</f>
        <v>0</v>
      </c>
      <c r="AL14" s="1084">
        <f>V14-SUM(Z14:Z15)</f>
        <v>91</v>
      </c>
      <c r="AM14" s="1084">
        <f>AK14+AL14</f>
        <v>91</v>
      </c>
      <c r="AN14" s="1328"/>
      <c r="AO14" s="1329" t="s">
        <v>340</v>
      </c>
      <c r="AP14" s="1329" t="s">
        <v>194</v>
      </c>
      <c r="AQ14" s="1329" t="s">
        <v>342</v>
      </c>
    </row>
    <row r="15" spans="1:45" s="6" customFormat="1">
      <c r="A15" s="1219"/>
      <c r="B15" s="1253"/>
      <c r="C15" s="1219"/>
      <c r="D15" s="1219"/>
      <c r="E15" s="1340"/>
      <c r="F15" s="1340"/>
      <c r="G15" s="1219"/>
      <c r="H15" s="1219"/>
      <c r="I15" s="1329"/>
      <c r="J15" s="1219"/>
      <c r="K15" s="1219"/>
      <c r="L15" s="1219"/>
      <c r="M15" s="1318"/>
      <c r="N15" s="1219"/>
      <c r="O15" s="1084"/>
      <c r="P15" s="1084"/>
      <c r="Q15" s="1084"/>
      <c r="R15" s="1253"/>
      <c r="S15" s="412"/>
      <c r="T15" s="358"/>
      <c r="U15" s="358"/>
      <c r="V15" s="1084"/>
      <c r="W15" s="1084"/>
      <c r="X15" s="1219"/>
      <c r="Y15" s="407">
        <v>10</v>
      </c>
      <c r="Z15" s="358">
        <v>96932409</v>
      </c>
      <c r="AA15" s="358">
        <v>-37572963</v>
      </c>
      <c r="AB15" s="386">
        <f>Z15+AA15-1</f>
        <v>59359445</v>
      </c>
      <c r="AC15" s="410">
        <v>40816</v>
      </c>
      <c r="AD15" s="56">
        <f>56359445+3000000</f>
        <v>59359445</v>
      </c>
      <c r="AE15" s="56"/>
      <c r="AF15" s="1315"/>
      <c r="AG15" s="1315"/>
      <c r="AH15" s="1315"/>
      <c r="AI15" s="1315"/>
      <c r="AJ15" s="1084"/>
      <c r="AK15" s="1084"/>
      <c r="AL15" s="1084"/>
      <c r="AM15" s="1084"/>
      <c r="AN15" s="1328"/>
      <c r="AO15" s="1329"/>
      <c r="AP15" s="1329"/>
      <c r="AQ15" s="1329"/>
    </row>
    <row r="16" spans="1:45" s="6" customFormat="1">
      <c r="A16" s="1219"/>
      <c r="B16" s="1253"/>
      <c r="C16" s="1219"/>
      <c r="D16" s="1219"/>
      <c r="E16" s="1340"/>
      <c r="F16" s="1340"/>
      <c r="G16" s="1219"/>
      <c r="H16" s="393" t="s">
        <v>72</v>
      </c>
      <c r="I16" s="1329"/>
      <c r="J16" s="393" t="s">
        <v>67</v>
      </c>
      <c r="K16" s="1219"/>
      <c r="L16" s="1219"/>
      <c r="M16" s="409">
        <v>187</v>
      </c>
      <c r="N16" s="393" t="s">
        <v>7</v>
      </c>
      <c r="O16" s="358">
        <v>42000000</v>
      </c>
      <c r="P16" s="358">
        <v>42000000</v>
      </c>
      <c r="Q16" s="1084"/>
      <c r="R16" s="410">
        <v>40759</v>
      </c>
      <c r="S16" s="412"/>
      <c r="T16" s="358"/>
      <c r="U16" s="358"/>
      <c r="V16" s="358">
        <v>42000000</v>
      </c>
      <c r="W16" s="1084"/>
      <c r="X16" s="1219"/>
      <c r="Y16" s="407">
        <v>10</v>
      </c>
      <c r="Z16" s="358">
        <v>42000000</v>
      </c>
      <c r="AA16" s="358">
        <v>0</v>
      </c>
      <c r="AB16" s="386">
        <f t="shared" ref="AB16:AB21" si="1">Z16+AA16</f>
        <v>42000000</v>
      </c>
      <c r="AC16" s="410">
        <v>40816</v>
      </c>
      <c r="AD16" s="56">
        <v>42000000</v>
      </c>
      <c r="AE16" s="56"/>
      <c r="AF16" s="413">
        <f>AD16</f>
        <v>42000000</v>
      </c>
      <c r="AG16" s="1315"/>
      <c r="AH16" s="413">
        <v>0</v>
      </c>
      <c r="AI16" s="413">
        <v>0</v>
      </c>
      <c r="AJ16" s="1084"/>
      <c r="AK16" s="358">
        <f>P16-V16</f>
        <v>0</v>
      </c>
      <c r="AL16" s="358">
        <f>V16-Z16</f>
        <v>0</v>
      </c>
      <c r="AM16" s="358">
        <f>AK16+AL16</f>
        <v>0</v>
      </c>
      <c r="AN16" s="1328"/>
      <c r="AO16" s="1329"/>
      <c r="AP16" s="1329"/>
      <c r="AQ16" s="1329"/>
    </row>
    <row r="17" spans="1:48" s="4" customFormat="1" ht="114">
      <c r="A17" s="354" t="s">
        <v>802</v>
      </c>
      <c r="B17" s="384">
        <v>40256</v>
      </c>
      <c r="C17" s="354" t="s">
        <v>11</v>
      </c>
      <c r="D17" s="354" t="s">
        <v>447</v>
      </c>
      <c r="E17" s="406">
        <v>830040053</v>
      </c>
      <c r="F17" s="406">
        <v>2</v>
      </c>
      <c r="G17" s="354" t="s">
        <v>446</v>
      </c>
      <c r="H17" s="354" t="s">
        <v>72</v>
      </c>
      <c r="I17" s="354" t="s">
        <v>206</v>
      </c>
      <c r="J17" s="354" t="s">
        <v>66</v>
      </c>
      <c r="K17" s="354" t="s">
        <v>49</v>
      </c>
      <c r="L17" s="354" t="s">
        <v>450</v>
      </c>
      <c r="M17" s="404">
        <v>3</v>
      </c>
      <c r="N17" s="431" t="s">
        <v>137</v>
      </c>
      <c r="O17" s="386">
        <v>101703000</v>
      </c>
      <c r="P17" s="386">
        <v>101703000</v>
      </c>
      <c r="Q17" s="386">
        <v>101703000</v>
      </c>
      <c r="R17" s="384">
        <v>40211</v>
      </c>
      <c r="S17" s="386">
        <v>101703000</v>
      </c>
      <c r="T17" s="386">
        <v>101703000</v>
      </c>
      <c r="U17" s="386">
        <f>S17-P17</f>
        <v>0</v>
      </c>
      <c r="V17" s="386">
        <v>98695700</v>
      </c>
      <c r="W17" s="386">
        <v>98695700</v>
      </c>
      <c r="X17" s="354" t="s">
        <v>178</v>
      </c>
      <c r="Y17" s="372" t="s">
        <v>449</v>
      </c>
      <c r="Z17" s="386">
        <v>0</v>
      </c>
      <c r="AA17" s="386">
        <v>39478280</v>
      </c>
      <c r="AB17" s="386">
        <f t="shared" si="1"/>
        <v>39478280</v>
      </c>
      <c r="AC17" s="384">
        <v>40305</v>
      </c>
      <c r="AD17" s="166">
        <f>AB17</f>
        <v>39478280</v>
      </c>
      <c r="AE17" s="166" t="s">
        <v>137</v>
      </c>
      <c r="AF17" s="166">
        <f>AD17</f>
        <v>39478280</v>
      </c>
      <c r="AG17" s="166">
        <f>AF17</f>
        <v>39478280</v>
      </c>
      <c r="AH17" s="166">
        <f>AB17-AD17</f>
        <v>0</v>
      </c>
      <c r="AI17" s="166">
        <v>0</v>
      </c>
      <c r="AJ17" s="386">
        <f>Z17-AD17</f>
        <v>-39478280</v>
      </c>
      <c r="AK17" s="386">
        <f>P17-V17</f>
        <v>3007300</v>
      </c>
      <c r="AL17" s="386">
        <f>(V17-Z17)+AJ17</f>
        <v>59217420</v>
      </c>
      <c r="AM17" s="386">
        <f>AK17</f>
        <v>3007300</v>
      </c>
      <c r="AN17" s="391" t="s">
        <v>437</v>
      </c>
      <c r="AO17" s="392" t="s">
        <v>803</v>
      </c>
      <c r="AP17" s="392" t="s">
        <v>195</v>
      </c>
      <c r="AQ17" s="392" t="s">
        <v>368</v>
      </c>
      <c r="AR17" s="271" t="s">
        <v>2467</v>
      </c>
      <c r="AS17" s="343">
        <v>3</v>
      </c>
      <c r="AT17" s="343" t="s">
        <v>2405</v>
      </c>
      <c r="AU17" s="342" t="s">
        <v>2496</v>
      </c>
      <c r="AV17" s="342" t="s">
        <v>2497</v>
      </c>
    </row>
    <row r="18" spans="1:48" s="4" customFormat="1" ht="15.75" customHeight="1">
      <c r="A18" s="1076" t="s">
        <v>439</v>
      </c>
      <c r="B18" s="1171">
        <v>40254</v>
      </c>
      <c r="C18" s="1076" t="s">
        <v>45</v>
      </c>
      <c r="D18" s="1076" t="s">
        <v>438</v>
      </c>
      <c r="E18" s="1252">
        <v>900347487</v>
      </c>
      <c r="F18" s="1252">
        <v>8</v>
      </c>
      <c r="G18" s="1076" t="s">
        <v>440</v>
      </c>
      <c r="H18" s="1076" t="s">
        <v>72</v>
      </c>
      <c r="I18" s="1076" t="s">
        <v>206</v>
      </c>
      <c r="J18" s="1076" t="s">
        <v>66</v>
      </c>
      <c r="K18" s="1076" t="s">
        <v>183</v>
      </c>
      <c r="L18" s="1076" t="s">
        <v>448</v>
      </c>
      <c r="M18" s="1245">
        <v>4</v>
      </c>
      <c r="N18" s="1348" t="s">
        <v>137</v>
      </c>
      <c r="O18" s="1119">
        <f>P18</f>
        <v>98695700</v>
      </c>
      <c r="P18" s="1119">
        <v>98695700</v>
      </c>
      <c r="Q18" s="1119">
        <f>SUM(P18:P21)</f>
        <v>128223500</v>
      </c>
      <c r="R18" s="1253">
        <v>40211</v>
      </c>
      <c r="S18" s="1084">
        <v>98695700</v>
      </c>
      <c r="T18" s="1084">
        <v>98695700</v>
      </c>
      <c r="U18" s="1084">
        <f>P18-S18</f>
        <v>0</v>
      </c>
      <c r="V18" s="1119">
        <f>P18</f>
        <v>98695700</v>
      </c>
      <c r="W18" s="1119">
        <f>V18+V21</f>
        <v>128223500</v>
      </c>
      <c r="X18" s="1076" t="s">
        <v>178</v>
      </c>
      <c r="Y18" s="372" t="s">
        <v>441</v>
      </c>
      <c r="Z18" s="386">
        <v>0</v>
      </c>
      <c r="AA18" s="386">
        <v>39478280</v>
      </c>
      <c r="AB18" s="386">
        <f t="shared" si="1"/>
        <v>39478280</v>
      </c>
      <c r="AC18" s="384">
        <v>40305</v>
      </c>
      <c r="AD18" s="423">
        <f>AB18</f>
        <v>39478280</v>
      </c>
      <c r="AE18" s="386" t="s">
        <v>137</v>
      </c>
      <c r="AF18" s="1119">
        <f>SUM(AD18:AD20)</f>
        <v>98695700</v>
      </c>
      <c r="AG18" s="1315">
        <f>SUM(AF18:AF21)</f>
        <v>128223500</v>
      </c>
      <c r="AH18" s="1119">
        <v>0</v>
      </c>
      <c r="AI18" s="1119">
        <v>0</v>
      </c>
      <c r="AJ18" s="1084">
        <f>SUM(Z18:Z21)-SUM(AD18:AD21)</f>
        <v>0</v>
      </c>
      <c r="AK18" s="1119">
        <v>0</v>
      </c>
      <c r="AL18" s="1119">
        <f>SUM(Z18:Z20)-SUM(AD18:AD20)</f>
        <v>0</v>
      </c>
      <c r="AM18" s="1119">
        <v>0</v>
      </c>
      <c r="AN18" s="1203" t="s">
        <v>443</v>
      </c>
      <c r="AO18" s="1204" t="s">
        <v>785</v>
      </c>
      <c r="AP18" s="1204" t="s">
        <v>194</v>
      </c>
      <c r="AQ18" s="1204" t="s">
        <v>368</v>
      </c>
    </row>
    <row r="19" spans="1:48" s="4" customFormat="1" ht="47.25">
      <c r="A19" s="1076"/>
      <c r="B19" s="1171"/>
      <c r="C19" s="1076"/>
      <c r="D19" s="1076"/>
      <c r="E19" s="1252"/>
      <c r="F19" s="1252"/>
      <c r="G19" s="1076"/>
      <c r="H19" s="1076"/>
      <c r="I19" s="1076"/>
      <c r="J19" s="1076"/>
      <c r="K19" s="1076"/>
      <c r="L19" s="1076"/>
      <c r="M19" s="1245"/>
      <c r="N19" s="1348"/>
      <c r="O19" s="1119"/>
      <c r="P19" s="1119"/>
      <c r="Q19" s="1119"/>
      <c r="R19" s="1253"/>
      <c r="S19" s="1084"/>
      <c r="T19" s="1084"/>
      <c r="U19" s="1084"/>
      <c r="V19" s="1119"/>
      <c r="W19" s="1119"/>
      <c r="X19" s="1076"/>
      <c r="Y19" s="372" t="s">
        <v>442</v>
      </c>
      <c r="Z19" s="386">
        <v>82246285</v>
      </c>
      <c r="AA19" s="386">
        <v>-32898435</v>
      </c>
      <c r="AB19" s="386">
        <f t="shared" si="1"/>
        <v>49347850</v>
      </c>
      <c r="AC19" s="384">
        <v>40547</v>
      </c>
      <c r="AD19" s="423">
        <v>49347850</v>
      </c>
      <c r="AE19" s="386" t="s">
        <v>137</v>
      </c>
      <c r="AF19" s="1119"/>
      <c r="AG19" s="1315"/>
      <c r="AH19" s="1119"/>
      <c r="AI19" s="1119"/>
      <c r="AJ19" s="1084"/>
      <c r="AK19" s="1119"/>
      <c r="AL19" s="1119"/>
      <c r="AM19" s="1119"/>
      <c r="AN19" s="1203"/>
      <c r="AO19" s="1204"/>
      <c r="AP19" s="1204"/>
      <c r="AQ19" s="1204"/>
    </row>
    <row r="20" spans="1:48" s="4" customFormat="1" ht="31.5">
      <c r="A20" s="1076"/>
      <c r="B20" s="1171"/>
      <c r="C20" s="1076"/>
      <c r="D20" s="1076"/>
      <c r="E20" s="1252"/>
      <c r="F20" s="1252"/>
      <c r="G20" s="1076"/>
      <c r="H20" s="1076"/>
      <c r="I20" s="1076"/>
      <c r="J20" s="1076"/>
      <c r="K20" s="1076"/>
      <c r="L20" s="1076"/>
      <c r="M20" s="1245"/>
      <c r="N20" s="1348"/>
      <c r="O20" s="1119"/>
      <c r="P20" s="1119"/>
      <c r="Q20" s="1119"/>
      <c r="R20" s="1253"/>
      <c r="S20" s="1084"/>
      <c r="T20" s="1084"/>
      <c r="U20" s="1084"/>
      <c r="V20" s="1119"/>
      <c r="W20" s="1119"/>
      <c r="X20" s="1076"/>
      <c r="Y20" s="372" t="s">
        <v>444</v>
      </c>
      <c r="Z20" s="386">
        <v>16449415</v>
      </c>
      <c r="AA20" s="386">
        <f>-(AA18+AA19)</f>
        <v>-6579845</v>
      </c>
      <c r="AB20" s="386">
        <f t="shared" si="1"/>
        <v>9869570</v>
      </c>
      <c r="AC20" s="384">
        <v>42879</v>
      </c>
      <c r="AD20" s="423">
        <v>9869570</v>
      </c>
      <c r="AE20" s="386" t="s">
        <v>137</v>
      </c>
      <c r="AF20" s="1119"/>
      <c r="AG20" s="1315"/>
      <c r="AH20" s="1119"/>
      <c r="AI20" s="1119"/>
      <c r="AJ20" s="1084"/>
      <c r="AK20" s="1119"/>
      <c r="AL20" s="1119"/>
      <c r="AM20" s="1119"/>
      <c r="AN20" s="1203"/>
      <c r="AO20" s="1204"/>
      <c r="AP20" s="1204"/>
      <c r="AQ20" s="1204"/>
    </row>
    <row r="21" spans="1:48" s="4" customFormat="1" ht="31.5">
      <c r="A21" s="1076"/>
      <c r="B21" s="1171"/>
      <c r="C21" s="1076"/>
      <c r="D21" s="1076"/>
      <c r="E21" s="1252"/>
      <c r="F21" s="1252"/>
      <c r="G21" s="1076"/>
      <c r="H21" s="1076"/>
      <c r="I21" s="1076"/>
      <c r="J21" s="354" t="s">
        <v>171</v>
      </c>
      <c r="K21" s="1076"/>
      <c r="L21" s="1076"/>
      <c r="M21" s="404">
        <v>191</v>
      </c>
      <c r="N21" s="431" t="s">
        <v>7</v>
      </c>
      <c r="O21" s="386">
        <f>P21</f>
        <v>29527800</v>
      </c>
      <c r="P21" s="386">
        <v>29527800</v>
      </c>
      <c r="Q21" s="1119"/>
      <c r="R21" s="384">
        <v>40759</v>
      </c>
      <c r="S21" s="386">
        <v>29527800</v>
      </c>
      <c r="T21" s="386">
        <v>29527800</v>
      </c>
      <c r="U21" s="386">
        <f>O21-S21</f>
        <v>0</v>
      </c>
      <c r="V21" s="386">
        <f>P21</f>
        <v>29527800</v>
      </c>
      <c r="W21" s="1119"/>
      <c r="X21" s="1076"/>
      <c r="Y21" s="372" t="s">
        <v>445</v>
      </c>
      <c r="Z21" s="386">
        <v>29527800</v>
      </c>
      <c r="AA21" s="386">
        <v>0</v>
      </c>
      <c r="AB21" s="386">
        <f t="shared" si="1"/>
        <v>29527800</v>
      </c>
      <c r="AC21" s="384">
        <v>41491</v>
      </c>
      <c r="AD21" s="423">
        <f>AB21</f>
        <v>29527800</v>
      </c>
      <c r="AE21" s="386" t="s">
        <v>7</v>
      </c>
      <c r="AF21" s="386">
        <f>AD21</f>
        <v>29527800</v>
      </c>
      <c r="AG21" s="1315"/>
      <c r="AH21" s="1119"/>
      <c r="AI21" s="1119"/>
      <c r="AJ21" s="1084"/>
      <c r="AK21" s="1119"/>
      <c r="AL21" s="386">
        <f>Z21-AD21</f>
        <v>0</v>
      </c>
      <c r="AM21" s="1119"/>
      <c r="AN21" s="1203"/>
      <c r="AO21" s="1204"/>
      <c r="AP21" s="1204"/>
      <c r="AQ21" s="1204"/>
    </row>
    <row r="22" spans="1:48" s="4" customFormat="1" ht="31.5" customHeight="1">
      <c r="A22" s="1076" t="s">
        <v>235</v>
      </c>
      <c r="B22" s="1171">
        <v>40254</v>
      </c>
      <c r="C22" s="1076" t="s">
        <v>45</v>
      </c>
      <c r="D22" s="1076" t="s">
        <v>197</v>
      </c>
      <c r="E22" s="1252">
        <v>900347251</v>
      </c>
      <c r="F22" s="1252">
        <v>7</v>
      </c>
      <c r="G22" s="1076" t="s">
        <v>199</v>
      </c>
      <c r="H22" s="1076" t="s">
        <v>72</v>
      </c>
      <c r="I22" s="1204" t="s">
        <v>200</v>
      </c>
      <c r="J22" s="1076" t="s">
        <v>66</v>
      </c>
      <c r="K22" s="1076" t="s">
        <v>49</v>
      </c>
      <c r="L22" s="1076" t="s">
        <v>219</v>
      </c>
      <c r="M22" s="1318">
        <v>5</v>
      </c>
      <c r="N22" s="1076" t="s">
        <v>137</v>
      </c>
      <c r="O22" s="1119">
        <v>90770001</v>
      </c>
      <c r="P22" s="1119">
        <v>90770001</v>
      </c>
      <c r="Q22" s="1119">
        <f>P22+P24</f>
        <v>118002395</v>
      </c>
      <c r="R22" s="1171">
        <v>40211</v>
      </c>
      <c r="S22" s="390"/>
      <c r="T22" s="386"/>
      <c r="U22" s="386"/>
      <c r="V22" s="1119">
        <v>90770001</v>
      </c>
      <c r="W22" s="1119">
        <f>V22+V24</f>
        <v>118002395</v>
      </c>
      <c r="X22" s="1076" t="s">
        <v>198</v>
      </c>
      <c r="Y22" s="372"/>
      <c r="Z22" s="386">
        <v>0</v>
      </c>
      <c r="AA22" s="386">
        <f>V22*40%</f>
        <v>36308000.399999999</v>
      </c>
      <c r="AB22" s="386">
        <f>AA22</f>
        <v>36308000.399999999</v>
      </c>
      <c r="AC22" s="384">
        <v>40305</v>
      </c>
      <c r="AD22" s="56">
        <v>36308000.399999999</v>
      </c>
      <c r="AE22" s="56"/>
      <c r="AF22" s="1315">
        <f>SUM(AD22:AD23)</f>
        <v>52646726.399999999</v>
      </c>
      <c r="AG22" s="1315">
        <f>AF22+AF24</f>
        <v>52646726.399999999</v>
      </c>
      <c r="AH22" s="1315">
        <v>0</v>
      </c>
      <c r="AI22" s="1315">
        <v>0</v>
      </c>
      <c r="AJ22" s="1119">
        <f>SUM(Z22:Z24)-SUM(AD22:AD24)</f>
        <v>-25415516.399999999</v>
      </c>
      <c r="AK22" s="1119">
        <f>P22-V22</f>
        <v>0</v>
      </c>
      <c r="AL22" s="1324">
        <f>V22-SUM(Z22:Z23)</f>
        <v>63538791</v>
      </c>
      <c r="AM22" s="1324">
        <f>AK22+AL22</f>
        <v>63538791</v>
      </c>
      <c r="AN22" s="1203"/>
      <c r="AO22" s="1204" t="s">
        <v>323</v>
      </c>
      <c r="AP22" s="1204" t="s">
        <v>194</v>
      </c>
      <c r="AQ22" s="1204" t="s">
        <v>342</v>
      </c>
      <c r="AR22" s="1364" t="s">
        <v>2476</v>
      </c>
    </row>
    <row r="23" spans="1:48" s="4" customFormat="1">
      <c r="A23" s="1076"/>
      <c r="B23" s="1171"/>
      <c r="C23" s="1076"/>
      <c r="D23" s="1076"/>
      <c r="E23" s="1252"/>
      <c r="F23" s="1252"/>
      <c r="G23" s="1076"/>
      <c r="H23" s="1076"/>
      <c r="I23" s="1204"/>
      <c r="J23" s="1076"/>
      <c r="K23" s="1076"/>
      <c r="L23" s="1076"/>
      <c r="M23" s="1318"/>
      <c r="N23" s="1076"/>
      <c r="O23" s="1119"/>
      <c r="P23" s="1119"/>
      <c r="Q23" s="1119"/>
      <c r="R23" s="1171"/>
      <c r="S23" s="390"/>
      <c r="T23" s="386"/>
      <c r="U23" s="386"/>
      <c r="V23" s="1119"/>
      <c r="W23" s="1119"/>
      <c r="X23" s="1076"/>
      <c r="Y23" s="372"/>
      <c r="Z23" s="386">
        <v>27231210</v>
      </c>
      <c r="AA23" s="386">
        <v>-10892484</v>
      </c>
      <c r="AB23" s="386">
        <f t="shared" ref="AB23:AB41" si="2">Z23+AA23</f>
        <v>16338726</v>
      </c>
      <c r="AC23" s="384">
        <v>41012</v>
      </c>
      <c r="AD23" s="56">
        <v>16338726</v>
      </c>
      <c r="AE23" s="56"/>
      <c r="AF23" s="1315"/>
      <c r="AG23" s="1315"/>
      <c r="AH23" s="1315"/>
      <c r="AI23" s="1315"/>
      <c r="AJ23" s="1119"/>
      <c r="AK23" s="1119"/>
      <c r="AL23" s="1324"/>
      <c r="AM23" s="1324"/>
      <c r="AN23" s="1203"/>
      <c r="AO23" s="1204"/>
      <c r="AP23" s="1204"/>
      <c r="AQ23" s="1204"/>
      <c r="AR23" s="1364"/>
    </row>
    <row r="24" spans="1:48" s="4" customFormat="1">
      <c r="A24" s="1076"/>
      <c r="B24" s="1171"/>
      <c r="C24" s="1076"/>
      <c r="D24" s="1076"/>
      <c r="E24" s="1252"/>
      <c r="F24" s="1252"/>
      <c r="G24" s="1076"/>
      <c r="H24" s="354" t="s">
        <v>72</v>
      </c>
      <c r="I24" s="1204"/>
      <c r="J24" s="354" t="s">
        <v>67</v>
      </c>
      <c r="K24" s="1076"/>
      <c r="L24" s="1076"/>
      <c r="M24" s="409">
        <v>193</v>
      </c>
      <c r="N24" s="354" t="s">
        <v>7</v>
      </c>
      <c r="O24" s="386">
        <v>27232394</v>
      </c>
      <c r="P24" s="386">
        <v>27232394</v>
      </c>
      <c r="Q24" s="1119"/>
      <c r="R24" s="384">
        <v>40759</v>
      </c>
      <c r="S24" s="390"/>
      <c r="T24" s="386"/>
      <c r="U24" s="386"/>
      <c r="V24" s="386">
        <v>27232394</v>
      </c>
      <c r="W24" s="1119"/>
      <c r="X24" s="1076"/>
      <c r="Y24" s="372"/>
      <c r="Z24" s="386">
        <v>0</v>
      </c>
      <c r="AA24" s="386">
        <v>0</v>
      </c>
      <c r="AB24" s="386">
        <f t="shared" si="2"/>
        <v>0</v>
      </c>
      <c r="AC24" s="384"/>
      <c r="AD24" s="56">
        <v>0</v>
      </c>
      <c r="AE24" s="56"/>
      <c r="AF24" s="413">
        <f>AD24</f>
        <v>0</v>
      </c>
      <c r="AG24" s="1315"/>
      <c r="AH24" s="413">
        <v>0</v>
      </c>
      <c r="AI24" s="413">
        <v>0</v>
      </c>
      <c r="AJ24" s="1119"/>
      <c r="AK24" s="386">
        <f>P24-V24</f>
        <v>0</v>
      </c>
      <c r="AL24" s="430">
        <f>V24-Z24</f>
        <v>27232394</v>
      </c>
      <c r="AM24" s="430">
        <f>AK24+AL24</f>
        <v>27232394</v>
      </c>
      <c r="AN24" s="1203"/>
      <c r="AO24" s="1204"/>
      <c r="AP24" s="1204"/>
      <c r="AQ24" s="1204"/>
      <c r="AR24" s="1364"/>
    </row>
    <row r="25" spans="1:48" s="4" customFormat="1">
      <c r="A25" s="1076" t="s">
        <v>236</v>
      </c>
      <c r="B25" s="1171">
        <v>40253</v>
      </c>
      <c r="C25" s="1076" t="s">
        <v>24</v>
      </c>
      <c r="D25" s="1076" t="s">
        <v>204</v>
      </c>
      <c r="E25" s="1252">
        <v>10534582</v>
      </c>
      <c r="F25" s="1252"/>
      <c r="G25" s="1076" t="s">
        <v>205</v>
      </c>
      <c r="H25" s="1076" t="s">
        <v>72</v>
      </c>
      <c r="I25" s="1076" t="s">
        <v>206</v>
      </c>
      <c r="J25" s="1076" t="s">
        <v>66</v>
      </c>
      <c r="K25" s="1076" t="s">
        <v>183</v>
      </c>
      <c r="L25" s="1076" t="s">
        <v>220</v>
      </c>
      <c r="M25" s="1318">
        <v>8</v>
      </c>
      <c r="N25" s="1076" t="s">
        <v>137</v>
      </c>
      <c r="O25" s="1119">
        <v>145507500</v>
      </c>
      <c r="P25" s="1119">
        <v>145507500</v>
      </c>
      <c r="Q25" s="1119">
        <f>P25+P28</f>
        <v>218261250</v>
      </c>
      <c r="R25" s="1171">
        <v>43863</v>
      </c>
      <c r="S25" s="390"/>
      <c r="T25" s="386"/>
      <c r="U25" s="386"/>
      <c r="V25" s="1119">
        <v>145507500</v>
      </c>
      <c r="W25" s="1119">
        <f>V25+V28</f>
        <v>218261250</v>
      </c>
      <c r="X25" s="1076" t="s">
        <v>198</v>
      </c>
      <c r="Y25" s="372">
        <v>2</v>
      </c>
      <c r="Z25" s="386">
        <v>0</v>
      </c>
      <c r="AA25" s="386">
        <v>58203000</v>
      </c>
      <c r="AB25" s="386">
        <f t="shared" si="2"/>
        <v>58203000</v>
      </c>
      <c r="AC25" s="384">
        <v>40326</v>
      </c>
      <c r="AD25" s="56">
        <v>58203000</v>
      </c>
      <c r="AE25" s="56"/>
      <c r="AF25" s="1315">
        <f>SUM(AD25:AD27)</f>
        <v>145507500</v>
      </c>
      <c r="AG25" s="1315">
        <f>AF25+AF28</f>
        <v>218261250</v>
      </c>
      <c r="AH25" s="1315">
        <v>0</v>
      </c>
      <c r="AI25" s="1315">
        <v>0</v>
      </c>
      <c r="AJ25" s="1119">
        <f>SUM(Z25:Z28)-SUM(AD25:AD28)</f>
        <v>0</v>
      </c>
      <c r="AK25" s="1119">
        <f>P25-V25</f>
        <v>0</v>
      </c>
      <c r="AL25" s="1119">
        <f>V25-SUM(Z25:Z27)</f>
        <v>0</v>
      </c>
      <c r="AM25" s="1119">
        <f>AK25+AL25</f>
        <v>0</v>
      </c>
      <c r="AN25" s="1203"/>
      <c r="AO25" s="1204" t="s">
        <v>320</v>
      </c>
      <c r="AP25" s="1204" t="s">
        <v>194</v>
      </c>
      <c r="AQ25" s="1204" t="s">
        <v>342</v>
      </c>
    </row>
    <row r="26" spans="1:48" s="4" customFormat="1">
      <c r="A26" s="1076"/>
      <c r="B26" s="1171"/>
      <c r="C26" s="1076"/>
      <c r="D26" s="1076"/>
      <c r="E26" s="1252"/>
      <c r="F26" s="1252"/>
      <c r="G26" s="1076"/>
      <c r="H26" s="1076"/>
      <c r="I26" s="1076"/>
      <c r="J26" s="1076"/>
      <c r="K26" s="1076"/>
      <c r="L26" s="1076"/>
      <c r="M26" s="1318"/>
      <c r="N26" s="1076"/>
      <c r="O26" s="1119"/>
      <c r="P26" s="1119"/>
      <c r="Q26" s="1119"/>
      <c r="R26" s="1171"/>
      <c r="S26" s="390"/>
      <c r="T26" s="386"/>
      <c r="U26" s="386"/>
      <c r="V26" s="1119"/>
      <c r="W26" s="1119"/>
      <c r="X26" s="1076"/>
      <c r="Y26" s="372"/>
      <c r="Z26" s="386">
        <v>72753750</v>
      </c>
      <c r="AA26" s="386">
        <v>-29101500</v>
      </c>
      <c r="AB26" s="386">
        <f t="shared" si="2"/>
        <v>43652250</v>
      </c>
      <c r="AC26" s="384">
        <v>40750</v>
      </c>
      <c r="AD26" s="56">
        <v>43652250</v>
      </c>
      <c r="AE26" s="56"/>
      <c r="AF26" s="1315"/>
      <c r="AG26" s="1315"/>
      <c r="AH26" s="1315"/>
      <c r="AI26" s="1315"/>
      <c r="AJ26" s="1119"/>
      <c r="AK26" s="1119"/>
      <c r="AL26" s="1119"/>
      <c r="AM26" s="1119"/>
      <c r="AN26" s="1203"/>
      <c r="AO26" s="1204"/>
      <c r="AP26" s="1204"/>
      <c r="AQ26" s="1204"/>
    </row>
    <row r="27" spans="1:48" s="4" customFormat="1">
      <c r="A27" s="1076"/>
      <c r="B27" s="1171"/>
      <c r="C27" s="1076"/>
      <c r="D27" s="1076"/>
      <c r="E27" s="1252"/>
      <c r="F27" s="1252"/>
      <c r="G27" s="1076"/>
      <c r="H27" s="1076"/>
      <c r="I27" s="1076"/>
      <c r="J27" s="1076"/>
      <c r="K27" s="1076"/>
      <c r="L27" s="1076"/>
      <c r="M27" s="1318"/>
      <c r="N27" s="1076"/>
      <c r="O27" s="1119"/>
      <c r="P27" s="1119"/>
      <c r="Q27" s="1119"/>
      <c r="R27" s="1171"/>
      <c r="S27" s="390"/>
      <c r="T27" s="386"/>
      <c r="U27" s="386"/>
      <c r="V27" s="1119"/>
      <c r="W27" s="1119"/>
      <c r="X27" s="1076"/>
      <c r="Y27" s="372">
        <v>101</v>
      </c>
      <c r="Z27" s="386">
        <v>72753750</v>
      </c>
      <c r="AA27" s="386">
        <v>-29101500</v>
      </c>
      <c r="AB27" s="386">
        <f t="shared" si="2"/>
        <v>43652250</v>
      </c>
      <c r="AC27" s="384">
        <v>41550</v>
      </c>
      <c r="AD27" s="56">
        <v>43652250</v>
      </c>
      <c r="AE27" s="56"/>
      <c r="AF27" s="1315"/>
      <c r="AG27" s="1315"/>
      <c r="AH27" s="1315"/>
      <c r="AI27" s="1315"/>
      <c r="AJ27" s="1119"/>
      <c r="AK27" s="1119"/>
      <c r="AL27" s="1119"/>
      <c r="AM27" s="1119"/>
      <c r="AN27" s="1203"/>
      <c r="AO27" s="1204"/>
      <c r="AP27" s="1204"/>
      <c r="AQ27" s="1204"/>
    </row>
    <row r="28" spans="1:48" s="4" customFormat="1">
      <c r="A28" s="1076"/>
      <c r="B28" s="1171"/>
      <c r="C28" s="1076"/>
      <c r="D28" s="1076"/>
      <c r="E28" s="1252"/>
      <c r="F28" s="1252"/>
      <c r="G28" s="1076"/>
      <c r="H28" s="1076"/>
      <c r="I28" s="1076"/>
      <c r="J28" s="354" t="s">
        <v>67</v>
      </c>
      <c r="K28" s="1076"/>
      <c r="L28" s="1076"/>
      <c r="M28" s="409">
        <v>164</v>
      </c>
      <c r="N28" s="354" t="s">
        <v>7</v>
      </c>
      <c r="O28" s="386">
        <v>72753750</v>
      </c>
      <c r="P28" s="386">
        <v>72753750</v>
      </c>
      <c r="Q28" s="1119"/>
      <c r="R28" s="384">
        <v>40701</v>
      </c>
      <c r="S28" s="390"/>
      <c r="T28" s="386"/>
      <c r="U28" s="386"/>
      <c r="V28" s="386">
        <v>72753750</v>
      </c>
      <c r="W28" s="1119"/>
      <c r="X28" s="1076"/>
      <c r="Y28" s="372">
        <v>104</v>
      </c>
      <c r="Z28" s="386">
        <v>72753750</v>
      </c>
      <c r="AA28" s="386">
        <v>0</v>
      </c>
      <c r="AB28" s="386">
        <f t="shared" si="2"/>
        <v>72753750</v>
      </c>
      <c r="AC28" s="384">
        <v>41550</v>
      </c>
      <c r="AD28" s="56">
        <v>72753750</v>
      </c>
      <c r="AE28" s="56"/>
      <c r="AF28" s="413">
        <f>AD28</f>
        <v>72753750</v>
      </c>
      <c r="AG28" s="1315"/>
      <c r="AH28" s="413">
        <v>0</v>
      </c>
      <c r="AI28" s="413">
        <v>0</v>
      </c>
      <c r="AJ28" s="1119"/>
      <c r="AK28" s="386">
        <f>P28-V28</f>
        <v>0</v>
      </c>
      <c r="AL28" s="386">
        <f>V28-Z28</f>
        <v>0</v>
      </c>
      <c r="AM28" s="386">
        <f>AK28+AL28</f>
        <v>0</v>
      </c>
      <c r="AN28" s="1203"/>
      <c r="AO28" s="1204"/>
      <c r="AP28" s="1204"/>
      <c r="AQ28" s="1204"/>
    </row>
    <row r="29" spans="1:48" ht="63">
      <c r="A29" s="1076" t="s">
        <v>894</v>
      </c>
      <c r="B29" s="1171">
        <v>40262</v>
      </c>
      <c r="C29" s="1076" t="s">
        <v>24</v>
      </c>
      <c r="D29" s="1076" t="s">
        <v>895</v>
      </c>
      <c r="E29" s="1252">
        <v>900347149</v>
      </c>
      <c r="F29" s="1252">
        <v>3</v>
      </c>
      <c r="G29" s="1076" t="s">
        <v>896</v>
      </c>
      <c r="H29" s="1076" t="s">
        <v>72</v>
      </c>
      <c r="I29" s="1076" t="s">
        <v>177</v>
      </c>
      <c r="J29" s="1076" t="s">
        <v>66</v>
      </c>
      <c r="K29" s="1076" t="s">
        <v>183</v>
      </c>
      <c r="L29" s="1076" t="s">
        <v>898</v>
      </c>
      <c r="M29" s="1251">
        <v>9</v>
      </c>
      <c r="N29" s="1123" t="s">
        <v>137</v>
      </c>
      <c r="O29" s="1119">
        <v>206190001</v>
      </c>
      <c r="P29" s="1119">
        <v>206190001</v>
      </c>
      <c r="Q29" s="1119">
        <f>P29</f>
        <v>206190001</v>
      </c>
      <c r="R29" s="1171">
        <v>40211</v>
      </c>
      <c r="S29" s="1119">
        <v>206167031</v>
      </c>
      <c r="T29" s="1119">
        <v>206167031</v>
      </c>
      <c r="U29" s="1119">
        <f>O29-T29</f>
        <v>22970</v>
      </c>
      <c r="V29" s="1119">
        <v>206167031</v>
      </c>
      <c r="W29" s="1119">
        <v>206167031</v>
      </c>
      <c r="X29" s="1076" t="s">
        <v>897</v>
      </c>
      <c r="Y29" s="372" t="s">
        <v>899</v>
      </c>
      <c r="Z29" s="386">
        <v>0</v>
      </c>
      <c r="AA29" s="386">
        <v>82466812.400000006</v>
      </c>
      <c r="AB29" s="386">
        <f t="shared" si="2"/>
        <v>82466812.400000006</v>
      </c>
      <c r="AC29" s="384">
        <v>40326</v>
      </c>
      <c r="AD29" s="395">
        <v>82466812</v>
      </c>
      <c r="AE29" s="395" t="s">
        <v>137</v>
      </c>
      <c r="AF29" s="1084">
        <f>SUM(AD29:AD32)</f>
        <v>206167031</v>
      </c>
      <c r="AG29" s="1084">
        <f>AF29</f>
        <v>206167031</v>
      </c>
      <c r="AH29" s="358">
        <f t="shared" ref="AH29:AH42" si="3">AB29-AD29</f>
        <v>0.40000000596046448</v>
      </c>
      <c r="AI29" s="1084">
        <f>V29-AD29-AD30-AD31-AD32</f>
        <v>0</v>
      </c>
      <c r="AJ29" s="1119">
        <f>SUM(Z29:Z32)-SUM(AD29:AD32)</f>
        <v>0</v>
      </c>
      <c r="AK29" s="1119">
        <f>P29-V29</f>
        <v>22970</v>
      </c>
      <c r="AL29" s="1119">
        <f>V29-SUM(Z29:Z32)</f>
        <v>0</v>
      </c>
      <c r="AM29" s="1119">
        <v>0</v>
      </c>
      <c r="AN29" s="1249" t="s">
        <v>523</v>
      </c>
      <c r="AO29" s="1248" t="s">
        <v>903</v>
      </c>
      <c r="AP29" s="1249" t="s">
        <v>194</v>
      </c>
      <c r="AQ29" s="1249" t="s">
        <v>558</v>
      </c>
    </row>
    <row r="30" spans="1:48" ht="63">
      <c r="A30" s="1076"/>
      <c r="B30" s="1171"/>
      <c r="C30" s="1076"/>
      <c r="D30" s="1076"/>
      <c r="E30" s="1252"/>
      <c r="F30" s="1252"/>
      <c r="G30" s="1076"/>
      <c r="H30" s="1076"/>
      <c r="I30" s="1076"/>
      <c r="J30" s="1076"/>
      <c r="K30" s="1076"/>
      <c r="L30" s="1076"/>
      <c r="M30" s="1251"/>
      <c r="N30" s="1123"/>
      <c r="O30" s="1119"/>
      <c r="P30" s="1119"/>
      <c r="Q30" s="1119"/>
      <c r="R30" s="1171"/>
      <c r="S30" s="1119"/>
      <c r="T30" s="1119"/>
      <c r="U30" s="1119"/>
      <c r="V30" s="1119"/>
      <c r="W30" s="1119"/>
      <c r="X30" s="1076"/>
      <c r="Y30" s="372" t="s">
        <v>900</v>
      </c>
      <c r="Z30" s="386">
        <v>144316921</v>
      </c>
      <c r="AA30" s="386">
        <v>-57726768</v>
      </c>
      <c r="AB30" s="386">
        <f t="shared" si="2"/>
        <v>86590153</v>
      </c>
      <c r="AC30" s="384">
        <v>40548</v>
      </c>
      <c r="AD30" s="395">
        <v>86590153</v>
      </c>
      <c r="AE30" s="395" t="s">
        <v>137</v>
      </c>
      <c r="AF30" s="1084"/>
      <c r="AG30" s="1084"/>
      <c r="AH30" s="358">
        <f t="shared" si="3"/>
        <v>0</v>
      </c>
      <c r="AI30" s="1084"/>
      <c r="AJ30" s="1119"/>
      <c r="AK30" s="1119"/>
      <c r="AL30" s="1119"/>
      <c r="AM30" s="1119"/>
      <c r="AN30" s="1249"/>
      <c r="AO30" s="1249"/>
      <c r="AP30" s="1249"/>
      <c r="AQ30" s="1249"/>
    </row>
    <row r="31" spans="1:48" ht="47.25">
      <c r="A31" s="1076"/>
      <c r="B31" s="1171"/>
      <c r="C31" s="1076"/>
      <c r="D31" s="1076"/>
      <c r="E31" s="1252"/>
      <c r="F31" s="1252"/>
      <c r="G31" s="1076"/>
      <c r="H31" s="1076"/>
      <c r="I31" s="1076"/>
      <c r="J31" s="1076"/>
      <c r="K31" s="1076"/>
      <c r="L31" s="1076"/>
      <c r="M31" s="1251"/>
      <c r="N31" s="1123"/>
      <c r="O31" s="1119"/>
      <c r="P31" s="1119"/>
      <c r="Q31" s="1119"/>
      <c r="R31" s="1171"/>
      <c r="S31" s="1119"/>
      <c r="T31" s="1119"/>
      <c r="U31" s="1119"/>
      <c r="V31" s="1119"/>
      <c r="W31" s="1119"/>
      <c r="X31" s="1076"/>
      <c r="Y31" s="372" t="s">
        <v>901</v>
      </c>
      <c r="Z31" s="386">
        <v>27420215</v>
      </c>
      <c r="AA31" s="386">
        <v>-10968086</v>
      </c>
      <c r="AB31" s="386">
        <f t="shared" si="2"/>
        <v>16452129</v>
      </c>
      <c r="AC31" s="384">
        <v>40905</v>
      </c>
      <c r="AD31" s="395">
        <v>16452129</v>
      </c>
      <c r="AE31" s="395" t="s">
        <v>137</v>
      </c>
      <c r="AF31" s="1084"/>
      <c r="AG31" s="1084"/>
      <c r="AH31" s="358">
        <f t="shared" si="3"/>
        <v>0</v>
      </c>
      <c r="AI31" s="1084"/>
      <c r="AJ31" s="1119"/>
      <c r="AK31" s="1119"/>
      <c r="AL31" s="1119"/>
      <c r="AM31" s="1119"/>
      <c r="AN31" s="1249"/>
      <c r="AO31" s="1249"/>
      <c r="AP31" s="1249"/>
      <c r="AQ31" s="1249"/>
    </row>
    <row r="32" spans="1:48" ht="63">
      <c r="A32" s="1076"/>
      <c r="B32" s="1171"/>
      <c r="C32" s="1076"/>
      <c r="D32" s="1076"/>
      <c r="E32" s="1252"/>
      <c r="F32" s="1252"/>
      <c r="G32" s="1076"/>
      <c r="H32" s="1076"/>
      <c r="I32" s="1076"/>
      <c r="J32" s="1076"/>
      <c r="K32" s="1076"/>
      <c r="L32" s="1076"/>
      <c r="M32" s="1251"/>
      <c r="N32" s="1123"/>
      <c r="O32" s="1119"/>
      <c r="P32" s="1119"/>
      <c r="Q32" s="1119"/>
      <c r="R32" s="1171"/>
      <c r="S32" s="1119"/>
      <c r="T32" s="1119"/>
      <c r="U32" s="1119"/>
      <c r="V32" s="1119"/>
      <c r="W32" s="1119"/>
      <c r="X32" s="1076"/>
      <c r="Y32" s="372" t="s">
        <v>902</v>
      </c>
      <c r="Z32" s="386">
        <v>34429895</v>
      </c>
      <c r="AA32" s="386">
        <v>-13771958.4</v>
      </c>
      <c r="AB32" s="386">
        <f t="shared" si="2"/>
        <v>20657936.600000001</v>
      </c>
      <c r="AC32" s="384">
        <v>40913</v>
      </c>
      <c r="AD32" s="395">
        <v>20657937</v>
      </c>
      <c r="AE32" s="395" t="s">
        <v>137</v>
      </c>
      <c r="AF32" s="1084"/>
      <c r="AG32" s="1084"/>
      <c r="AH32" s="358">
        <f t="shared" si="3"/>
        <v>-0.39999999850988388</v>
      </c>
      <c r="AI32" s="1084"/>
      <c r="AJ32" s="1119"/>
      <c r="AK32" s="1119"/>
      <c r="AL32" s="1119"/>
      <c r="AM32" s="1119"/>
      <c r="AN32" s="1249"/>
      <c r="AO32" s="1249"/>
      <c r="AP32" s="1249"/>
      <c r="AQ32" s="1249"/>
    </row>
    <row r="33" spans="1:48" ht="79.5" thickBot="1">
      <c r="A33" s="1076" t="s">
        <v>893</v>
      </c>
      <c r="B33" s="1171">
        <v>40238</v>
      </c>
      <c r="C33" s="1076" t="s">
        <v>33</v>
      </c>
      <c r="D33" s="1076" t="s">
        <v>759</v>
      </c>
      <c r="E33" s="1252">
        <v>51978434</v>
      </c>
      <c r="F33" s="1252"/>
      <c r="G33" s="1076" t="s">
        <v>904</v>
      </c>
      <c r="H33" s="1076" t="s">
        <v>72</v>
      </c>
      <c r="I33" s="1076" t="s">
        <v>177</v>
      </c>
      <c r="J33" s="1076" t="s">
        <v>66</v>
      </c>
      <c r="K33" s="1076" t="s">
        <v>49</v>
      </c>
      <c r="L33" s="1076" t="s">
        <v>905</v>
      </c>
      <c r="M33" s="1251">
        <v>10</v>
      </c>
      <c r="N33" s="1123" t="s">
        <v>137</v>
      </c>
      <c r="O33" s="1119">
        <v>82638845</v>
      </c>
      <c r="P33" s="1119">
        <v>82638845</v>
      </c>
      <c r="Q33" s="1119">
        <f>P33</f>
        <v>82638845</v>
      </c>
      <c r="R33" s="1171">
        <v>40211</v>
      </c>
      <c r="S33" s="1119">
        <v>82638845</v>
      </c>
      <c r="T33" s="1119">
        <v>82638845</v>
      </c>
      <c r="U33" s="1119">
        <f>O33-T33</f>
        <v>0</v>
      </c>
      <c r="V33" s="1119">
        <v>82638845</v>
      </c>
      <c r="W33" s="1119">
        <v>82638845</v>
      </c>
      <c r="X33" s="1076" t="s">
        <v>897</v>
      </c>
      <c r="Y33" s="372" t="s">
        <v>906</v>
      </c>
      <c r="Z33" s="386">
        <v>0</v>
      </c>
      <c r="AA33" s="386">
        <v>33055538</v>
      </c>
      <c r="AB33" s="386">
        <f t="shared" si="2"/>
        <v>33055538</v>
      </c>
      <c r="AC33" s="384">
        <v>40325</v>
      </c>
      <c r="AD33" s="395">
        <v>33055538</v>
      </c>
      <c r="AE33" s="395" t="s">
        <v>137</v>
      </c>
      <c r="AF33" s="1084">
        <f>SUM(AD33:AD36)</f>
        <v>57847192</v>
      </c>
      <c r="AG33" s="1084">
        <f>AF33</f>
        <v>57847192</v>
      </c>
      <c r="AH33" s="358">
        <f t="shared" si="3"/>
        <v>0</v>
      </c>
      <c r="AI33" s="1084">
        <f>O33-AD33-AD34-AD35-AD36</f>
        <v>24791653</v>
      </c>
      <c r="AJ33" s="1119">
        <f>SUM(Z33:Z36)-SUM(AD33:AD36)</f>
        <v>-16527769</v>
      </c>
      <c r="AK33" s="1119">
        <f>P33-V33</f>
        <v>0</v>
      </c>
      <c r="AL33" s="1119">
        <f>V33-SUM(Z33:Z36)+AJ33</f>
        <v>24791653</v>
      </c>
      <c r="AM33" s="1119"/>
      <c r="AN33" s="1204" t="s">
        <v>883</v>
      </c>
      <c r="AO33" s="1237" t="s">
        <v>908</v>
      </c>
      <c r="AP33" s="1204" t="s">
        <v>194</v>
      </c>
      <c r="AQ33" s="1204" t="s">
        <v>558</v>
      </c>
      <c r="AR33" s="1074" t="s">
        <v>2466</v>
      </c>
      <c r="AS33" s="339" t="s">
        <v>2400</v>
      </c>
      <c r="AT33" s="339" t="s">
        <v>2401</v>
      </c>
      <c r="AU33" s="339" t="s">
        <v>2402</v>
      </c>
      <c r="AV33" s="339" t="s">
        <v>2403</v>
      </c>
    </row>
    <row r="34" spans="1:48" ht="63">
      <c r="A34" s="1076"/>
      <c r="B34" s="1171"/>
      <c r="C34" s="1076"/>
      <c r="D34" s="1076"/>
      <c r="E34" s="1252"/>
      <c r="F34" s="1252"/>
      <c r="G34" s="1076"/>
      <c r="H34" s="1076"/>
      <c r="I34" s="1076"/>
      <c r="J34" s="1076"/>
      <c r="K34" s="1076"/>
      <c r="L34" s="1076"/>
      <c r="M34" s="1251"/>
      <c r="N34" s="1123"/>
      <c r="O34" s="1119"/>
      <c r="P34" s="1119"/>
      <c r="Q34" s="1119"/>
      <c r="R34" s="1171"/>
      <c r="S34" s="1119"/>
      <c r="T34" s="1119"/>
      <c r="U34" s="1119"/>
      <c r="V34" s="1119"/>
      <c r="W34" s="1119"/>
      <c r="X34" s="1076"/>
      <c r="Y34" s="372" t="s">
        <v>907</v>
      </c>
      <c r="Z34" s="386">
        <v>41319423</v>
      </c>
      <c r="AA34" s="386">
        <v>-16527769</v>
      </c>
      <c r="AB34" s="386">
        <f t="shared" si="2"/>
        <v>24791654</v>
      </c>
      <c r="AC34" s="384">
        <v>40548</v>
      </c>
      <c r="AD34" s="395">
        <v>24791654</v>
      </c>
      <c r="AE34" s="395" t="s">
        <v>137</v>
      </c>
      <c r="AF34" s="1084"/>
      <c r="AG34" s="1084"/>
      <c r="AH34" s="358">
        <f t="shared" si="3"/>
        <v>0</v>
      </c>
      <c r="AI34" s="1084"/>
      <c r="AJ34" s="1119"/>
      <c r="AK34" s="1119"/>
      <c r="AL34" s="1119"/>
      <c r="AM34" s="1119"/>
      <c r="AN34" s="1204"/>
      <c r="AO34" s="1204"/>
      <c r="AP34" s="1204"/>
      <c r="AQ34" s="1204"/>
      <c r="AR34" s="1074"/>
      <c r="AS34" s="339" t="s">
        <v>2404</v>
      </c>
      <c r="AT34" s="340"/>
      <c r="AU34" s="341" t="s">
        <v>2490</v>
      </c>
      <c r="AV34" s="341" t="s">
        <v>2491</v>
      </c>
    </row>
    <row r="35" spans="1:48">
      <c r="A35" s="1076"/>
      <c r="B35" s="1171"/>
      <c r="C35" s="1076"/>
      <c r="D35" s="1076"/>
      <c r="E35" s="1252"/>
      <c r="F35" s="1252"/>
      <c r="G35" s="1076"/>
      <c r="H35" s="1076"/>
      <c r="I35" s="1076"/>
      <c r="J35" s="1076"/>
      <c r="K35" s="1076"/>
      <c r="L35" s="1076"/>
      <c r="M35" s="1251"/>
      <c r="N35" s="1123"/>
      <c r="O35" s="1119"/>
      <c r="P35" s="1119"/>
      <c r="Q35" s="1119"/>
      <c r="R35" s="1171"/>
      <c r="S35" s="1119"/>
      <c r="T35" s="1119"/>
      <c r="U35" s="1119"/>
      <c r="V35" s="1119"/>
      <c r="W35" s="1119"/>
      <c r="X35" s="1076"/>
      <c r="Y35" s="372"/>
      <c r="Z35" s="386"/>
      <c r="AA35" s="386"/>
      <c r="AB35" s="386">
        <f t="shared" si="2"/>
        <v>0</v>
      </c>
      <c r="AC35" s="384"/>
      <c r="AD35" s="395"/>
      <c r="AE35" s="395"/>
      <c r="AF35" s="1084"/>
      <c r="AG35" s="1084"/>
      <c r="AH35" s="358">
        <f t="shared" si="3"/>
        <v>0</v>
      </c>
      <c r="AI35" s="1084"/>
      <c r="AJ35" s="1119"/>
      <c r="AK35" s="1119"/>
      <c r="AL35" s="1119"/>
      <c r="AM35" s="1119"/>
      <c r="AN35" s="1204"/>
      <c r="AO35" s="1204"/>
      <c r="AP35" s="1204"/>
      <c r="AQ35" s="1204"/>
      <c r="AR35" s="1074"/>
    </row>
    <row r="36" spans="1:48">
      <c r="A36" s="1076"/>
      <c r="B36" s="1171"/>
      <c r="C36" s="1076"/>
      <c r="D36" s="1076"/>
      <c r="E36" s="1252"/>
      <c r="F36" s="1252"/>
      <c r="G36" s="1076"/>
      <c r="H36" s="1076"/>
      <c r="I36" s="1076"/>
      <c r="J36" s="1076"/>
      <c r="K36" s="1076"/>
      <c r="L36" s="1076"/>
      <c r="M36" s="1251"/>
      <c r="N36" s="1123"/>
      <c r="O36" s="1119"/>
      <c r="P36" s="1119"/>
      <c r="Q36" s="1119"/>
      <c r="R36" s="1171"/>
      <c r="S36" s="1119"/>
      <c r="T36" s="1119"/>
      <c r="U36" s="1119"/>
      <c r="V36" s="1119"/>
      <c r="W36" s="1119"/>
      <c r="X36" s="1076"/>
      <c r="Y36" s="372"/>
      <c r="Z36" s="386"/>
      <c r="AA36" s="386"/>
      <c r="AB36" s="386">
        <f t="shared" si="2"/>
        <v>0</v>
      </c>
      <c r="AC36" s="384"/>
      <c r="AD36" s="395"/>
      <c r="AE36" s="395"/>
      <c r="AF36" s="1084"/>
      <c r="AG36" s="1084"/>
      <c r="AH36" s="358">
        <f t="shared" si="3"/>
        <v>0</v>
      </c>
      <c r="AI36" s="1084"/>
      <c r="AJ36" s="1119"/>
      <c r="AK36" s="1119"/>
      <c r="AL36" s="1119"/>
      <c r="AM36" s="1119"/>
      <c r="AN36" s="1204"/>
      <c r="AO36" s="1204"/>
      <c r="AP36" s="1204"/>
      <c r="AQ36" s="1204"/>
      <c r="AR36" s="1074"/>
    </row>
    <row r="37" spans="1:48" ht="63">
      <c r="A37" s="1076" t="s">
        <v>909</v>
      </c>
      <c r="B37" s="1171">
        <v>40199</v>
      </c>
      <c r="C37" s="1076" t="s">
        <v>13</v>
      </c>
      <c r="D37" s="1076" t="s">
        <v>910</v>
      </c>
      <c r="E37" s="1252">
        <v>10528694</v>
      </c>
      <c r="F37" s="1252"/>
      <c r="G37" s="1076" t="s">
        <v>911</v>
      </c>
      <c r="H37" s="1076" t="s">
        <v>72</v>
      </c>
      <c r="I37" s="1076" t="s">
        <v>177</v>
      </c>
      <c r="J37" s="1076" t="s">
        <v>66</v>
      </c>
      <c r="K37" s="1076" t="s">
        <v>48</v>
      </c>
      <c r="L37" s="1076" t="s">
        <v>918</v>
      </c>
      <c r="M37" s="1268">
        <v>11</v>
      </c>
      <c r="N37" s="1123" t="s">
        <v>137</v>
      </c>
      <c r="O37" s="1119">
        <v>144797000</v>
      </c>
      <c r="P37" s="1119">
        <v>144797000</v>
      </c>
      <c r="Q37" s="1119">
        <f>P37+P41</f>
        <v>215671550</v>
      </c>
      <c r="R37" s="1171">
        <v>40211</v>
      </c>
      <c r="S37" s="1119">
        <v>56812005</v>
      </c>
      <c r="T37" s="1119">
        <v>56812005</v>
      </c>
      <c r="U37" s="1119">
        <f>O37-T37</f>
        <v>87984995</v>
      </c>
      <c r="V37" s="1119">
        <v>142030014</v>
      </c>
      <c r="W37" s="1119">
        <v>212904564</v>
      </c>
      <c r="X37" s="1076" t="s">
        <v>912</v>
      </c>
      <c r="Y37" s="372" t="s">
        <v>913</v>
      </c>
      <c r="Z37" s="386">
        <v>0</v>
      </c>
      <c r="AA37" s="386">
        <v>56812006</v>
      </c>
      <c r="AB37" s="386">
        <f t="shared" si="2"/>
        <v>56812006</v>
      </c>
      <c r="AC37" s="384">
        <v>40326</v>
      </c>
      <c r="AD37" s="167">
        <v>56812005</v>
      </c>
      <c r="AE37" s="395" t="s">
        <v>137</v>
      </c>
      <c r="AF37" s="1084">
        <f>AD37</f>
        <v>56812005</v>
      </c>
      <c r="AG37" s="1084">
        <f>SUM(AD37:AD42)</f>
        <v>197295308</v>
      </c>
      <c r="AH37" s="358">
        <f t="shared" si="3"/>
        <v>1</v>
      </c>
      <c r="AI37" s="1084"/>
      <c r="AJ37" s="1119"/>
      <c r="AK37" s="1119"/>
      <c r="AL37" s="1119"/>
      <c r="AM37" s="1119"/>
      <c r="AN37" s="1203" t="s">
        <v>512</v>
      </c>
      <c r="AO37" s="1263" t="s">
        <v>917</v>
      </c>
      <c r="AP37" s="1203" t="s">
        <v>194</v>
      </c>
      <c r="AQ37" s="1203" t="s">
        <v>558</v>
      </c>
      <c r="AR37" s="1074" t="s">
        <v>2489</v>
      </c>
    </row>
    <row r="38" spans="1:48" ht="63">
      <c r="A38" s="1076"/>
      <c r="B38" s="1171"/>
      <c r="C38" s="1076"/>
      <c r="D38" s="1076"/>
      <c r="E38" s="1252"/>
      <c r="F38" s="1252"/>
      <c r="G38" s="1076"/>
      <c r="H38" s="1076"/>
      <c r="I38" s="1076"/>
      <c r="J38" s="1076"/>
      <c r="K38" s="1076"/>
      <c r="L38" s="1076"/>
      <c r="M38" s="1268"/>
      <c r="N38" s="1123"/>
      <c r="O38" s="1119"/>
      <c r="P38" s="1119"/>
      <c r="Q38" s="1119"/>
      <c r="R38" s="1171"/>
      <c r="S38" s="1119"/>
      <c r="T38" s="1119"/>
      <c r="U38" s="1119"/>
      <c r="V38" s="1119"/>
      <c r="W38" s="1119"/>
      <c r="X38" s="1076"/>
      <c r="Y38" s="372" t="s">
        <v>914</v>
      </c>
      <c r="Z38" s="386">
        <v>118357700</v>
      </c>
      <c r="AA38" s="386">
        <v>-47343080</v>
      </c>
      <c r="AB38" s="386">
        <f t="shared" si="2"/>
        <v>71014620</v>
      </c>
      <c r="AC38" s="384">
        <v>40542</v>
      </c>
      <c r="AD38" s="168">
        <v>71014620</v>
      </c>
      <c r="AE38" s="395" t="s">
        <v>137</v>
      </c>
      <c r="AF38" s="1084"/>
      <c r="AG38" s="1084"/>
      <c r="AH38" s="358">
        <f t="shared" si="3"/>
        <v>0</v>
      </c>
      <c r="AI38" s="1084"/>
      <c r="AJ38" s="1119"/>
      <c r="AK38" s="1119"/>
      <c r="AL38" s="1119"/>
      <c r="AM38" s="1119"/>
      <c r="AN38" s="1203"/>
      <c r="AO38" s="1203"/>
      <c r="AP38" s="1203"/>
      <c r="AQ38" s="1203"/>
      <c r="AR38" s="1074"/>
    </row>
    <row r="39" spans="1:48" ht="63">
      <c r="A39" s="1076"/>
      <c r="B39" s="1171"/>
      <c r="C39" s="1076"/>
      <c r="D39" s="1076"/>
      <c r="E39" s="1252"/>
      <c r="F39" s="1252"/>
      <c r="G39" s="1076"/>
      <c r="H39" s="1076"/>
      <c r="I39" s="1076"/>
      <c r="J39" s="1076"/>
      <c r="K39" s="1076"/>
      <c r="L39" s="1076"/>
      <c r="M39" s="1268"/>
      <c r="N39" s="1123"/>
      <c r="O39" s="1119"/>
      <c r="P39" s="1119"/>
      <c r="Q39" s="1119"/>
      <c r="R39" s="1171"/>
      <c r="S39" s="1119"/>
      <c r="T39" s="1119"/>
      <c r="U39" s="1119"/>
      <c r="V39" s="1119"/>
      <c r="W39" s="1119"/>
      <c r="X39" s="1076"/>
      <c r="Y39" s="372" t="s">
        <v>915</v>
      </c>
      <c r="Z39" s="386">
        <v>9469313</v>
      </c>
      <c r="AA39" s="386">
        <v>-3787725</v>
      </c>
      <c r="AB39" s="386">
        <f t="shared" si="2"/>
        <v>5681588</v>
      </c>
      <c r="AC39" s="384">
        <v>41019</v>
      </c>
      <c r="AD39" s="168">
        <v>5681588</v>
      </c>
      <c r="AE39" s="395" t="s">
        <v>137</v>
      </c>
      <c r="AF39" s="1084"/>
      <c r="AG39" s="1084"/>
      <c r="AH39" s="358">
        <f t="shared" si="3"/>
        <v>0</v>
      </c>
      <c r="AI39" s="1084"/>
      <c r="AJ39" s="1119"/>
      <c r="AK39" s="1119"/>
      <c r="AL39" s="1119"/>
      <c r="AM39" s="1119"/>
      <c r="AN39" s="1203"/>
      <c r="AO39" s="1203"/>
      <c r="AP39" s="1203"/>
      <c r="AQ39" s="1203"/>
      <c r="AR39" s="1074"/>
    </row>
    <row r="40" spans="1:48">
      <c r="A40" s="1076"/>
      <c r="B40" s="1171"/>
      <c r="C40" s="1076"/>
      <c r="D40" s="1076"/>
      <c r="E40" s="1252"/>
      <c r="F40" s="1252"/>
      <c r="G40" s="1076"/>
      <c r="H40" s="1076"/>
      <c r="I40" s="1076"/>
      <c r="J40" s="1076"/>
      <c r="K40" s="1076"/>
      <c r="L40" s="1076"/>
      <c r="M40" s="1268"/>
      <c r="N40" s="1123"/>
      <c r="O40" s="1119"/>
      <c r="P40" s="1119"/>
      <c r="Q40" s="1119"/>
      <c r="R40" s="1171"/>
      <c r="S40" s="1119"/>
      <c r="T40" s="1119"/>
      <c r="U40" s="1119"/>
      <c r="V40" s="1119"/>
      <c r="W40" s="1119"/>
      <c r="X40" s="1076"/>
      <c r="Y40" s="372"/>
      <c r="Z40" s="386"/>
      <c r="AA40" s="386"/>
      <c r="AB40" s="386">
        <f t="shared" si="2"/>
        <v>0</v>
      </c>
      <c r="AC40" s="384"/>
      <c r="AD40" s="395">
        <v>0</v>
      </c>
      <c r="AE40" s="395"/>
      <c r="AF40" s="1084"/>
      <c r="AG40" s="1084"/>
      <c r="AH40" s="358">
        <f t="shared" si="3"/>
        <v>0</v>
      </c>
      <c r="AI40" s="1084"/>
      <c r="AJ40" s="1119"/>
      <c r="AK40" s="1119"/>
      <c r="AL40" s="1119"/>
      <c r="AM40" s="1119"/>
      <c r="AN40" s="1203"/>
      <c r="AO40" s="1203"/>
      <c r="AP40" s="1203"/>
      <c r="AQ40" s="1203"/>
      <c r="AR40" s="1074"/>
    </row>
    <row r="41" spans="1:48" ht="63">
      <c r="A41" s="1076"/>
      <c r="B41" s="1171"/>
      <c r="C41" s="1076"/>
      <c r="D41" s="1076"/>
      <c r="E41" s="1252"/>
      <c r="F41" s="1252"/>
      <c r="G41" s="1076"/>
      <c r="H41" s="1076"/>
      <c r="I41" s="1076"/>
      <c r="J41" s="1076" t="s">
        <v>67</v>
      </c>
      <c r="K41" s="1076"/>
      <c r="L41" s="1076"/>
      <c r="M41" s="1251">
        <v>159</v>
      </c>
      <c r="N41" s="1123" t="s">
        <v>137</v>
      </c>
      <c r="O41" s="1119">
        <v>70874550</v>
      </c>
      <c r="P41" s="1119">
        <v>70874550</v>
      </c>
      <c r="Q41" s="1119"/>
      <c r="R41" s="1171">
        <v>40701</v>
      </c>
      <c r="S41" s="1119">
        <v>70874550</v>
      </c>
      <c r="T41" s="1119">
        <v>70874550</v>
      </c>
      <c r="U41" s="1119">
        <f>O41-T41</f>
        <v>0</v>
      </c>
      <c r="V41" s="1119">
        <v>70874550</v>
      </c>
      <c r="W41" s="1119"/>
      <c r="X41" s="1076"/>
      <c r="Y41" s="372" t="s">
        <v>916</v>
      </c>
      <c r="Z41" s="386">
        <v>63787095</v>
      </c>
      <c r="AA41" s="386">
        <v>0</v>
      </c>
      <c r="AB41" s="386">
        <f t="shared" si="2"/>
        <v>63787095</v>
      </c>
      <c r="AC41" s="384">
        <v>41019</v>
      </c>
      <c r="AD41" s="167">
        <v>63787095</v>
      </c>
      <c r="AE41" s="395" t="s">
        <v>7</v>
      </c>
      <c r="AF41" s="1084">
        <f>SUM(AD41:AD42)</f>
        <v>63787095</v>
      </c>
      <c r="AG41" s="1084"/>
      <c r="AH41" s="358">
        <f t="shared" si="3"/>
        <v>0</v>
      </c>
      <c r="AI41" s="1084"/>
      <c r="AJ41" s="1119"/>
      <c r="AK41" s="1119"/>
      <c r="AL41" s="1119"/>
      <c r="AM41" s="1119"/>
      <c r="AN41" s="1203"/>
      <c r="AO41" s="1203"/>
      <c r="AP41" s="1203"/>
      <c r="AQ41" s="1203"/>
      <c r="AR41" s="1074"/>
    </row>
    <row r="42" spans="1:48">
      <c r="A42" s="1076"/>
      <c r="B42" s="1171"/>
      <c r="C42" s="1076"/>
      <c r="D42" s="1076"/>
      <c r="E42" s="1252"/>
      <c r="F42" s="1252"/>
      <c r="G42" s="1076"/>
      <c r="H42" s="1076"/>
      <c r="I42" s="1076"/>
      <c r="J42" s="1076"/>
      <c r="K42" s="1076"/>
      <c r="L42" s="1076"/>
      <c r="M42" s="1251"/>
      <c r="N42" s="1123"/>
      <c r="O42" s="1119"/>
      <c r="P42" s="1119"/>
      <c r="Q42" s="1119"/>
      <c r="R42" s="1171"/>
      <c r="S42" s="1119"/>
      <c r="T42" s="1119"/>
      <c r="U42" s="1119"/>
      <c r="V42" s="1119"/>
      <c r="W42" s="1119"/>
      <c r="X42" s="1076"/>
      <c r="Y42" s="372"/>
      <c r="Z42" s="386"/>
      <c r="AA42" s="386"/>
      <c r="AB42" s="386"/>
      <c r="AC42" s="384"/>
      <c r="AD42" s="395">
        <v>0</v>
      </c>
      <c r="AE42" s="395"/>
      <c r="AF42" s="1084"/>
      <c r="AG42" s="1084"/>
      <c r="AH42" s="358">
        <f t="shared" si="3"/>
        <v>0</v>
      </c>
      <c r="AI42" s="1084"/>
      <c r="AJ42" s="1119"/>
      <c r="AK42" s="1119"/>
      <c r="AL42" s="1119"/>
      <c r="AM42" s="1119"/>
      <c r="AN42" s="1203"/>
      <c r="AO42" s="1203"/>
      <c r="AP42" s="1203"/>
      <c r="AQ42" s="1203"/>
      <c r="AR42" s="1074"/>
    </row>
    <row r="43" spans="1:48" s="4" customFormat="1" ht="94.5">
      <c r="A43" s="354" t="s">
        <v>237</v>
      </c>
      <c r="B43" s="384">
        <v>40254</v>
      </c>
      <c r="C43" s="354" t="s">
        <v>9</v>
      </c>
      <c r="D43" s="354" t="s">
        <v>222</v>
      </c>
      <c r="E43" s="406">
        <v>76305303</v>
      </c>
      <c r="F43" s="406"/>
      <c r="G43" s="354" t="s">
        <v>221</v>
      </c>
      <c r="H43" s="354" t="s">
        <v>72</v>
      </c>
      <c r="I43" s="354" t="s">
        <v>177</v>
      </c>
      <c r="J43" s="354" t="s">
        <v>66</v>
      </c>
      <c r="K43" s="354" t="s">
        <v>49</v>
      </c>
      <c r="L43" s="354" t="s">
        <v>224</v>
      </c>
      <c r="M43" s="389">
        <v>12</v>
      </c>
      <c r="N43" s="354" t="s">
        <v>137</v>
      </c>
      <c r="O43" s="386">
        <v>39139451</v>
      </c>
      <c r="P43" s="386">
        <v>39139451</v>
      </c>
      <c r="Q43" s="386">
        <f>P43</f>
        <v>39139451</v>
      </c>
      <c r="R43" s="384">
        <v>40211</v>
      </c>
      <c r="S43" s="390"/>
      <c r="T43" s="386"/>
      <c r="U43" s="386"/>
      <c r="V43" s="386">
        <v>39134399</v>
      </c>
      <c r="W43" s="386">
        <v>39134399</v>
      </c>
      <c r="X43" s="354" t="s">
        <v>198</v>
      </c>
      <c r="Y43" s="372" t="s">
        <v>223</v>
      </c>
      <c r="Z43" s="386">
        <v>0</v>
      </c>
      <c r="AA43" s="386">
        <v>15653759.600000001</v>
      </c>
      <c r="AB43" s="386">
        <v>15653759.600000001</v>
      </c>
      <c r="AC43" s="384">
        <v>40305</v>
      </c>
      <c r="AD43" s="56">
        <v>15653760</v>
      </c>
      <c r="AE43" s="56"/>
      <c r="AF43" s="413">
        <v>15653760</v>
      </c>
      <c r="AG43" s="413">
        <v>15653760</v>
      </c>
      <c r="AH43" s="413">
        <v>0</v>
      </c>
      <c r="AI43" s="413">
        <v>0</v>
      </c>
      <c r="AJ43" s="386">
        <f>Z43-AD43</f>
        <v>-15653760</v>
      </c>
      <c r="AK43" s="386">
        <f>P43-V43</f>
        <v>5052</v>
      </c>
      <c r="AL43" s="430">
        <f>V43-Z43+AJ43</f>
        <v>23480639</v>
      </c>
      <c r="AM43" s="430">
        <f>AK43+AL43</f>
        <v>23485691</v>
      </c>
      <c r="AN43" s="391"/>
      <c r="AO43" s="392" t="s">
        <v>325</v>
      </c>
      <c r="AP43" s="392" t="s">
        <v>194</v>
      </c>
      <c r="AQ43" s="392" t="s">
        <v>342</v>
      </c>
      <c r="AR43" s="4" t="s">
        <v>2492</v>
      </c>
      <c r="AS43" s="342" t="s">
        <v>2493</v>
      </c>
      <c r="AT43" s="342" t="s">
        <v>2494</v>
      </c>
    </row>
    <row r="44" spans="1:48" s="4" customFormat="1">
      <c r="A44" s="1076" t="s">
        <v>238</v>
      </c>
      <c r="B44" s="1171">
        <v>40254</v>
      </c>
      <c r="C44" s="1076" t="s">
        <v>9</v>
      </c>
      <c r="D44" s="1076" t="s">
        <v>208</v>
      </c>
      <c r="E44" s="1252">
        <v>76322409</v>
      </c>
      <c r="F44" s="1252"/>
      <c r="G44" s="1076" t="s">
        <v>209</v>
      </c>
      <c r="H44" s="1076" t="s">
        <v>72</v>
      </c>
      <c r="I44" s="1076" t="s">
        <v>206</v>
      </c>
      <c r="J44" s="1076" t="s">
        <v>66</v>
      </c>
      <c r="K44" s="1076" t="s">
        <v>183</v>
      </c>
      <c r="L44" s="1076" t="s">
        <v>214</v>
      </c>
      <c r="M44" s="1318">
        <v>14</v>
      </c>
      <c r="N44" s="1076" t="s">
        <v>137</v>
      </c>
      <c r="O44" s="1119">
        <v>37241974</v>
      </c>
      <c r="P44" s="1119">
        <v>37241974</v>
      </c>
      <c r="Q44" s="1119">
        <f>P44</f>
        <v>37241974</v>
      </c>
      <c r="R44" s="1171"/>
      <c r="S44" s="390"/>
      <c r="T44" s="386"/>
      <c r="U44" s="386"/>
      <c r="V44" s="1119">
        <v>37241974</v>
      </c>
      <c r="W44" s="1119">
        <v>37241974</v>
      </c>
      <c r="X44" s="1076" t="s">
        <v>198</v>
      </c>
      <c r="Y44" s="372" t="s">
        <v>213</v>
      </c>
      <c r="Z44" s="386">
        <v>0</v>
      </c>
      <c r="AA44" s="386">
        <f>V44*40%</f>
        <v>14896789.600000001</v>
      </c>
      <c r="AB44" s="386">
        <f t="shared" ref="AB44:AB49" si="4">Z44+AA44</f>
        <v>14896789.600000001</v>
      </c>
      <c r="AC44" s="384">
        <v>40326</v>
      </c>
      <c r="AD44" s="56">
        <v>14896790</v>
      </c>
      <c r="AE44" s="56"/>
      <c r="AF44" s="1315">
        <f>SUM(AD44:AD47)</f>
        <v>37241974</v>
      </c>
      <c r="AG44" s="1315">
        <f>AF44</f>
        <v>37241974</v>
      </c>
      <c r="AH44" s="1315">
        <v>0</v>
      </c>
      <c r="AI44" s="1315">
        <v>0</v>
      </c>
      <c r="AJ44" s="1119">
        <f>SUM(Z44:Z47)-SUM(AD44:AD47)</f>
        <v>0</v>
      </c>
      <c r="AK44" s="1119">
        <f>P44-V44</f>
        <v>0</v>
      </c>
      <c r="AL44" s="1119">
        <f>V44-SUM(Z44:Z47)</f>
        <v>0</v>
      </c>
      <c r="AM44" s="1119">
        <f>AK44+AL44</f>
        <v>0</v>
      </c>
      <c r="AN44" s="1203"/>
      <c r="AO44" s="1204" t="s">
        <v>320</v>
      </c>
      <c r="AP44" s="1204" t="s">
        <v>194</v>
      </c>
      <c r="AQ44" s="1204" t="s">
        <v>342</v>
      </c>
    </row>
    <row r="45" spans="1:48" s="4" customFormat="1">
      <c r="A45" s="1076"/>
      <c r="B45" s="1171"/>
      <c r="C45" s="1076"/>
      <c r="D45" s="1076"/>
      <c r="E45" s="1252"/>
      <c r="F45" s="1252"/>
      <c r="G45" s="1076"/>
      <c r="H45" s="1076"/>
      <c r="I45" s="1076"/>
      <c r="J45" s="1076"/>
      <c r="K45" s="1076"/>
      <c r="L45" s="1076"/>
      <c r="M45" s="1318"/>
      <c r="N45" s="1076"/>
      <c r="O45" s="1119"/>
      <c r="P45" s="1119"/>
      <c r="Q45" s="1119"/>
      <c r="R45" s="1171"/>
      <c r="S45" s="390"/>
      <c r="T45" s="386"/>
      <c r="U45" s="386"/>
      <c r="V45" s="1119"/>
      <c r="W45" s="1119"/>
      <c r="X45" s="1076"/>
      <c r="Y45" s="372" t="s">
        <v>210</v>
      </c>
      <c r="Z45" s="386">
        <v>18620987</v>
      </c>
      <c r="AA45" s="386">
        <v>-7448395</v>
      </c>
      <c r="AB45" s="386">
        <f t="shared" si="4"/>
        <v>11172592</v>
      </c>
      <c r="AC45" s="384">
        <v>40494</v>
      </c>
      <c r="AD45" s="56">
        <v>11172592</v>
      </c>
      <c r="AE45" s="56"/>
      <c r="AF45" s="1315"/>
      <c r="AG45" s="1315"/>
      <c r="AH45" s="1315"/>
      <c r="AI45" s="1315"/>
      <c r="AJ45" s="1119"/>
      <c r="AK45" s="1119"/>
      <c r="AL45" s="1119"/>
      <c r="AM45" s="1119"/>
      <c r="AN45" s="1203"/>
      <c r="AO45" s="1204"/>
      <c r="AP45" s="1204"/>
      <c r="AQ45" s="1204"/>
    </row>
    <row r="46" spans="1:48" s="4" customFormat="1">
      <c r="A46" s="1076"/>
      <c r="B46" s="1171"/>
      <c r="C46" s="1076"/>
      <c r="D46" s="1076"/>
      <c r="E46" s="1252"/>
      <c r="F46" s="1252"/>
      <c r="G46" s="1076"/>
      <c r="H46" s="1076"/>
      <c r="I46" s="1076"/>
      <c r="J46" s="1076"/>
      <c r="K46" s="1076"/>
      <c r="L46" s="1076"/>
      <c r="M46" s="1318"/>
      <c r="N46" s="1076"/>
      <c r="O46" s="1119"/>
      <c r="P46" s="1119"/>
      <c r="Q46" s="1119"/>
      <c r="R46" s="1171"/>
      <c r="S46" s="390"/>
      <c r="T46" s="386"/>
      <c r="U46" s="386"/>
      <c r="V46" s="1119"/>
      <c r="W46" s="1119"/>
      <c r="X46" s="1076"/>
      <c r="Y46" s="372" t="s">
        <v>211</v>
      </c>
      <c r="Z46" s="386">
        <v>14896790</v>
      </c>
      <c r="AA46" s="386">
        <v>-5958716</v>
      </c>
      <c r="AB46" s="386">
        <f t="shared" si="4"/>
        <v>8938074</v>
      </c>
      <c r="AC46" s="384">
        <v>40548</v>
      </c>
      <c r="AD46" s="56">
        <v>8938074</v>
      </c>
      <c r="AE46" s="56"/>
      <c r="AF46" s="1315"/>
      <c r="AG46" s="1315"/>
      <c r="AH46" s="1315"/>
      <c r="AI46" s="1315"/>
      <c r="AJ46" s="1119"/>
      <c r="AK46" s="1119"/>
      <c r="AL46" s="1119"/>
      <c r="AM46" s="1119"/>
      <c r="AN46" s="1203"/>
      <c r="AO46" s="1204"/>
      <c r="AP46" s="1204"/>
      <c r="AQ46" s="1204"/>
    </row>
    <row r="47" spans="1:48" s="4" customFormat="1">
      <c r="A47" s="1076"/>
      <c r="B47" s="1171"/>
      <c r="C47" s="1076"/>
      <c r="D47" s="1076"/>
      <c r="E47" s="1252"/>
      <c r="F47" s="1252"/>
      <c r="G47" s="1076"/>
      <c r="H47" s="1076"/>
      <c r="I47" s="1076"/>
      <c r="J47" s="1076"/>
      <c r="K47" s="1076"/>
      <c r="L47" s="1076"/>
      <c r="M47" s="1318"/>
      <c r="N47" s="1076"/>
      <c r="O47" s="1119"/>
      <c r="P47" s="1119"/>
      <c r="Q47" s="1119"/>
      <c r="R47" s="1171"/>
      <c r="S47" s="390"/>
      <c r="T47" s="386"/>
      <c r="U47" s="386"/>
      <c r="V47" s="1119"/>
      <c r="W47" s="1119"/>
      <c r="X47" s="1076"/>
      <c r="Y47" s="372" t="s">
        <v>212</v>
      </c>
      <c r="Z47" s="386">
        <v>3724197</v>
      </c>
      <c r="AA47" s="386">
        <v>-1489679</v>
      </c>
      <c r="AB47" s="386">
        <f t="shared" si="4"/>
        <v>2234518</v>
      </c>
      <c r="AC47" s="384">
        <v>41051</v>
      </c>
      <c r="AD47" s="56">
        <v>2234518</v>
      </c>
      <c r="AE47" s="56"/>
      <c r="AF47" s="1315"/>
      <c r="AG47" s="1315"/>
      <c r="AH47" s="1315"/>
      <c r="AI47" s="1315"/>
      <c r="AJ47" s="1119"/>
      <c r="AK47" s="1119"/>
      <c r="AL47" s="1119"/>
      <c r="AM47" s="1119"/>
      <c r="AN47" s="1203"/>
      <c r="AO47" s="1204"/>
      <c r="AP47" s="1204"/>
      <c r="AQ47" s="1204"/>
    </row>
    <row r="48" spans="1:48" s="4" customFormat="1" ht="31.5" customHeight="1">
      <c r="A48" s="1076" t="s">
        <v>239</v>
      </c>
      <c r="B48" s="1171">
        <v>40256</v>
      </c>
      <c r="C48" s="1076" t="s">
        <v>39</v>
      </c>
      <c r="D48" s="1076" t="s">
        <v>225</v>
      </c>
      <c r="E48" s="1252">
        <v>900345960</v>
      </c>
      <c r="F48" s="1252">
        <v>1</v>
      </c>
      <c r="G48" s="1076" t="s">
        <v>309</v>
      </c>
      <c r="H48" s="1076" t="s">
        <v>72</v>
      </c>
      <c r="I48" s="1076" t="s">
        <v>206</v>
      </c>
      <c r="J48" s="1076" t="s">
        <v>66</v>
      </c>
      <c r="K48" s="1076" t="s">
        <v>49</v>
      </c>
      <c r="L48" s="1076" t="s">
        <v>326</v>
      </c>
      <c r="M48" s="1318">
        <v>17</v>
      </c>
      <c r="N48" s="1076" t="s">
        <v>137</v>
      </c>
      <c r="O48" s="1119">
        <v>115565000</v>
      </c>
      <c r="P48" s="1119">
        <v>115565000</v>
      </c>
      <c r="Q48" s="1119">
        <f>P48+P50</f>
        <v>173347500</v>
      </c>
      <c r="R48" s="1171">
        <v>40211</v>
      </c>
      <c r="S48" s="390"/>
      <c r="T48" s="386"/>
      <c r="U48" s="386"/>
      <c r="V48" s="1119">
        <v>115565000</v>
      </c>
      <c r="W48" s="1119">
        <f>V48+V50</f>
        <v>173347500</v>
      </c>
      <c r="X48" s="1076" t="s">
        <v>198</v>
      </c>
      <c r="Y48" s="372" t="s">
        <v>310</v>
      </c>
      <c r="Z48" s="386">
        <v>0</v>
      </c>
      <c r="AA48" s="386">
        <v>46226000</v>
      </c>
      <c r="AB48" s="386">
        <f t="shared" si="4"/>
        <v>46226000</v>
      </c>
      <c r="AC48" s="384">
        <v>40361</v>
      </c>
      <c r="AD48" s="56">
        <v>46226000</v>
      </c>
      <c r="AE48" s="56"/>
      <c r="AF48" s="1315">
        <f>SUM(AD48:AD49)</f>
        <v>108631100</v>
      </c>
      <c r="AG48" s="1315">
        <f>AF48+AF50</f>
        <v>108631100</v>
      </c>
      <c r="AH48" s="1315">
        <v>0</v>
      </c>
      <c r="AI48" s="1315">
        <v>0</v>
      </c>
      <c r="AJ48" s="1119">
        <f>SUM(Z48:Z50)-SUM(AD48:AD50)</f>
        <v>-4622600</v>
      </c>
      <c r="AK48" s="1119">
        <f>P48-V48</f>
        <v>0</v>
      </c>
      <c r="AL48" s="1324">
        <f>V48-SUM(Z48:Z49)+AJ48</f>
        <v>6933900</v>
      </c>
      <c r="AM48" s="1324">
        <f>AK48+AL48</f>
        <v>6933900</v>
      </c>
      <c r="AN48" s="1203" t="s">
        <v>352</v>
      </c>
      <c r="AO48" s="1325" t="s">
        <v>339</v>
      </c>
      <c r="AP48" s="1204" t="s">
        <v>194</v>
      </c>
      <c r="AQ48" s="1204" t="s">
        <v>345</v>
      </c>
      <c r="AR48" s="1074" t="s">
        <v>2501</v>
      </c>
    </row>
    <row r="49" spans="1:44" s="4" customFormat="1" ht="31.5">
      <c r="A49" s="1076"/>
      <c r="B49" s="1171"/>
      <c r="C49" s="1076"/>
      <c r="D49" s="1076"/>
      <c r="E49" s="1252"/>
      <c r="F49" s="1252"/>
      <c r="G49" s="1076"/>
      <c r="H49" s="1076"/>
      <c r="I49" s="1076"/>
      <c r="J49" s="1076"/>
      <c r="K49" s="1076"/>
      <c r="L49" s="1076"/>
      <c r="M49" s="1318"/>
      <c r="N49" s="1076"/>
      <c r="O49" s="1119"/>
      <c r="P49" s="1119"/>
      <c r="Q49" s="1119"/>
      <c r="R49" s="1171"/>
      <c r="S49" s="390"/>
      <c r="T49" s="386"/>
      <c r="U49" s="386"/>
      <c r="V49" s="1119"/>
      <c r="W49" s="1119"/>
      <c r="X49" s="1076"/>
      <c r="Y49" s="372" t="s">
        <v>312</v>
      </c>
      <c r="Z49" s="386">
        <v>104008500</v>
      </c>
      <c r="AA49" s="386">
        <v>-41603400</v>
      </c>
      <c r="AB49" s="386">
        <f t="shared" si="4"/>
        <v>62405100</v>
      </c>
      <c r="AC49" s="384">
        <v>40847</v>
      </c>
      <c r="AD49" s="56">
        <v>62405100</v>
      </c>
      <c r="AE49" s="56"/>
      <c r="AF49" s="1315"/>
      <c r="AG49" s="1315"/>
      <c r="AH49" s="1315"/>
      <c r="AI49" s="1315"/>
      <c r="AJ49" s="1119"/>
      <c r="AK49" s="1119"/>
      <c r="AL49" s="1324"/>
      <c r="AM49" s="1324"/>
      <c r="AN49" s="1203"/>
      <c r="AO49" s="1204"/>
      <c r="AP49" s="1204"/>
      <c r="AQ49" s="1204"/>
      <c r="AR49" s="1074"/>
    </row>
    <row r="50" spans="1:44" s="4" customFormat="1">
      <c r="A50" s="1076"/>
      <c r="B50" s="1171"/>
      <c r="C50" s="1076"/>
      <c r="D50" s="1076"/>
      <c r="E50" s="1252"/>
      <c r="F50" s="1252"/>
      <c r="G50" s="1076"/>
      <c r="H50" s="1076"/>
      <c r="I50" s="1076"/>
      <c r="J50" s="354" t="s">
        <v>311</v>
      </c>
      <c r="K50" s="1076"/>
      <c r="L50" s="1076"/>
      <c r="M50" s="409">
        <v>160</v>
      </c>
      <c r="N50" s="354" t="s">
        <v>7</v>
      </c>
      <c r="O50" s="386">
        <v>57782500</v>
      </c>
      <c r="P50" s="386">
        <v>57782500</v>
      </c>
      <c r="Q50" s="1119"/>
      <c r="R50" s="384">
        <v>40701</v>
      </c>
      <c r="S50" s="390"/>
      <c r="T50" s="386"/>
      <c r="U50" s="386"/>
      <c r="V50" s="386">
        <v>57782500</v>
      </c>
      <c r="W50" s="1119"/>
      <c r="X50" s="1076"/>
      <c r="Y50" s="372"/>
      <c r="Z50" s="386">
        <v>0</v>
      </c>
      <c r="AA50" s="386">
        <v>0</v>
      </c>
      <c r="AB50" s="386">
        <v>0</v>
      </c>
      <c r="AC50" s="384"/>
      <c r="AD50" s="56">
        <v>0</v>
      </c>
      <c r="AE50" s="56"/>
      <c r="AF50" s="413">
        <f>AD50</f>
        <v>0</v>
      </c>
      <c r="AG50" s="1315"/>
      <c r="AH50" s="413">
        <v>0</v>
      </c>
      <c r="AI50" s="413">
        <v>0</v>
      </c>
      <c r="AJ50" s="1119"/>
      <c r="AK50" s="386">
        <f>P50-V50</f>
        <v>0</v>
      </c>
      <c r="AL50" s="430">
        <f>V50-Z50</f>
        <v>57782500</v>
      </c>
      <c r="AM50" s="430">
        <f>AK50+AL50</f>
        <v>57782500</v>
      </c>
      <c r="AN50" s="1203"/>
      <c r="AO50" s="1204"/>
      <c r="AP50" s="1204"/>
      <c r="AQ50" s="1204"/>
      <c r="AR50" s="1074"/>
    </row>
    <row r="51" spans="1:44" s="4" customFormat="1">
      <c r="A51" s="1076" t="s">
        <v>240</v>
      </c>
      <c r="B51" s="1171">
        <v>40254</v>
      </c>
      <c r="C51" s="1076" t="s">
        <v>39</v>
      </c>
      <c r="D51" s="1076" t="s">
        <v>175</v>
      </c>
      <c r="E51" s="1252">
        <v>900346392</v>
      </c>
      <c r="F51" s="1252">
        <v>2</v>
      </c>
      <c r="G51" s="1076" t="s">
        <v>215</v>
      </c>
      <c r="H51" s="1076" t="s">
        <v>72</v>
      </c>
      <c r="I51" s="1076" t="s">
        <v>177</v>
      </c>
      <c r="J51" s="1076" t="s">
        <v>66</v>
      </c>
      <c r="K51" s="1076" t="s">
        <v>217</v>
      </c>
      <c r="L51" s="1076" t="s">
        <v>218</v>
      </c>
      <c r="M51" s="1318">
        <v>19</v>
      </c>
      <c r="N51" s="1076" t="s">
        <v>137</v>
      </c>
      <c r="O51" s="1119">
        <v>83995000</v>
      </c>
      <c r="P51" s="1119">
        <v>83995000</v>
      </c>
      <c r="Q51" s="1119">
        <f>P51</f>
        <v>83995000</v>
      </c>
      <c r="R51" s="1171">
        <v>40211</v>
      </c>
      <c r="S51" s="390"/>
      <c r="T51" s="386"/>
      <c r="U51" s="386"/>
      <c r="V51" s="1119">
        <v>83971240</v>
      </c>
      <c r="W51" s="1119">
        <v>83971240</v>
      </c>
      <c r="X51" s="1076" t="s">
        <v>198</v>
      </c>
      <c r="Y51" s="372" t="s">
        <v>216</v>
      </c>
      <c r="Z51" s="386">
        <v>0</v>
      </c>
      <c r="AA51" s="386">
        <v>33588496</v>
      </c>
      <c r="AB51" s="386">
        <f t="shared" ref="AB51:AB58" si="5">Z51+AA51</f>
        <v>33588496</v>
      </c>
      <c r="AC51" s="384">
        <v>40476</v>
      </c>
      <c r="AD51" s="56">
        <v>33588496</v>
      </c>
      <c r="AE51" s="56"/>
      <c r="AF51" s="1315">
        <f>SUM(AD51:AD52)</f>
        <v>58779652</v>
      </c>
      <c r="AG51" s="1315">
        <f>AF51</f>
        <v>58779652</v>
      </c>
      <c r="AH51" s="1315">
        <v>0</v>
      </c>
      <c r="AI51" s="1315">
        <v>0</v>
      </c>
      <c r="AJ51" s="1119">
        <f>SUM(Z51:Z52)-SUM(AD51:AD52)</f>
        <v>25191588</v>
      </c>
      <c r="AK51" s="1119">
        <f>P51-V51</f>
        <v>23760</v>
      </c>
      <c r="AL51" s="1119">
        <f>V51-SUM(Z51:Z52)</f>
        <v>0</v>
      </c>
      <c r="AM51" s="1119">
        <f>AK51+AL51</f>
        <v>23760</v>
      </c>
      <c r="AN51" s="1203"/>
      <c r="AO51" s="1204" t="s">
        <v>327</v>
      </c>
      <c r="AP51" s="1204" t="s">
        <v>194</v>
      </c>
      <c r="AQ51" s="1204" t="s">
        <v>342</v>
      </c>
    </row>
    <row r="52" spans="1:44" s="4" customFormat="1">
      <c r="A52" s="1076"/>
      <c r="B52" s="1171"/>
      <c r="C52" s="1076"/>
      <c r="D52" s="1076"/>
      <c r="E52" s="1252"/>
      <c r="F52" s="1252"/>
      <c r="G52" s="1076"/>
      <c r="H52" s="1076"/>
      <c r="I52" s="1076"/>
      <c r="J52" s="1076"/>
      <c r="K52" s="1076"/>
      <c r="L52" s="1076"/>
      <c r="M52" s="1318"/>
      <c r="N52" s="1076"/>
      <c r="O52" s="1119"/>
      <c r="P52" s="1119"/>
      <c r="Q52" s="1119"/>
      <c r="R52" s="1171"/>
      <c r="S52" s="390"/>
      <c r="T52" s="386"/>
      <c r="U52" s="386"/>
      <c r="V52" s="1119"/>
      <c r="W52" s="1119"/>
      <c r="X52" s="1076"/>
      <c r="Y52" s="372"/>
      <c r="Z52" s="386">
        <f>V51</f>
        <v>83971240</v>
      </c>
      <c r="AA52" s="386">
        <v>-33588496</v>
      </c>
      <c r="AB52" s="386">
        <f t="shared" si="5"/>
        <v>50382744</v>
      </c>
      <c r="AC52" s="384">
        <v>40473</v>
      </c>
      <c r="AD52" s="56">
        <v>25191156</v>
      </c>
      <c r="AE52" s="56"/>
      <c r="AF52" s="1315"/>
      <c r="AG52" s="1315"/>
      <c r="AH52" s="1315"/>
      <c r="AI52" s="1315"/>
      <c r="AJ52" s="1119"/>
      <c r="AK52" s="1119"/>
      <c r="AL52" s="1119"/>
      <c r="AM52" s="1119"/>
      <c r="AN52" s="1203"/>
      <c r="AO52" s="1204"/>
      <c r="AP52" s="1204"/>
      <c r="AQ52" s="1204"/>
    </row>
    <row r="53" spans="1:44" s="4" customFormat="1">
      <c r="A53" s="1076" t="s">
        <v>241</v>
      </c>
      <c r="B53" s="1171">
        <v>40253</v>
      </c>
      <c r="C53" s="1076" t="s">
        <v>39</v>
      </c>
      <c r="D53" s="1076" t="s">
        <v>6</v>
      </c>
      <c r="E53" s="1252">
        <v>900342899</v>
      </c>
      <c r="F53" s="1252">
        <v>6</v>
      </c>
      <c r="G53" s="1076" t="s">
        <v>226</v>
      </c>
      <c r="H53" s="1076" t="s">
        <v>72</v>
      </c>
      <c r="I53" s="1076" t="s">
        <v>177</v>
      </c>
      <c r="J53" s="1076" t="s">
        <v>66</v>
      </c>
      <c r="K53" s="1076" t="s">
        <v>183</v>
      </c>
      <c r="L53" s="1076" t="s">
        <v>230</v>
      </c>
      <c r="M53" s="1318">
        <v>20</v>
      </c>
      <c r="N53" s="1076" t="s">
        <v>137</v>
      </c>
      <c r="O53" s="1119">
        <v>52562500</v>
      </c>
      <c r="P53" s="1084">
        <v>52562500</v>
      </c>
      <c r="Q53" s="1084">
        <f>P53</f>
        <v>52562500</v>
      </c>
      <c r="R53" s="1171">
        <v>40211</v>
      </c>
      <c r="S53" s="390"/>
      <c r="T53" s="386"/>
      <c r="U53" s="386"/>
      <c r="V53" s="1119">
        <v>52562354</v>
      </c>
      <c r="W53" s="1119">
        <v>52562354</v>
      </c>
      <c r="X53" s="1076" t="s">
        <v>198</v>
      </c>
      <c r="Y53" s="372" t="s">
        <v>227</v>
      </c>
      <c r="Z53" s="386">
        <v>0</v>
      </c>
      <c r="AA53" s="386">
        <v>21024941.600000001</v>
      </c>
      <c r="AB53" s="386">
        <f t="shared" si="5"/>
        <v>21024941.600000001</v>
      </c>
      <c r="AC53" s="384">
        <v>40381</v>
      </c>
      <c r="AD53" s="56">
        <v>21024942</v>
      </c>
      <c r="AE53" s="56"/>
      <c r="AF53" s="1315">
        <f>SUM(AD53:AD55)</f>
        <v>52562354</v>
      </c>
      <c r="AG53" s="1315">
        <f>AF53</f>
        <v>52562354</v>
      </c>
      <c r="AH53" s="1315">
        <v>0</v>
      </c>
      <c r="AI53" s="1315">
        <v>0</v>
      </c>
      <c r="AJ53" s="1119">
        <f>SUM(Z53:Z55)-SUM(AD53:AD55)</f>
        <v>0</v>
      </c>
      <c r="AK53" s="1119">
        <f>P53-V53</f>
        <v>146</v>
      </c>
      <c r="AL53" s="1119">
        <f>V53-SUM(Z53:Z55)</f>
        <v>0</v>
      </c>
      <c r="AM53" s="1119">
        <f>AK53-AL53</f>
        <v>146</v>
      </c>
      <c r="AN53" s="1203"/>
      <c r="AO53" s="1325" t="s">
        <v>229</v>
      </c>
      <c r="AP53" s="1204" t="s">
        <v>194</v>
      </c>
      <c r="AQ53" s="1204" t="s">
        <v>342</v>
      </c>
    </row>
    <row r="54" spans="1:44" s="4" customFormat="1" ht="31.5">
      <c r="A54" s="1076"/>
      <c r="B54" s="1171"/>
      <c r="C54" s="1076"/>
      <c r="D54" s="1076"/>
      <c r="E54" s="1252"/>
      <c r="F54" s="1252"/>
      <c r="G54" s="1076"/>
      <c r="H54" s="1076"/>
      <c r="I54" s="1076"/>
      <c r="J54" s="1076"/>
      <c r="K54" s="1076"/>
      <c r="L54" s="1076"/>
      <c r="M54" s="1318"/>
      <c r="N54" s="1076"/>
      <c r="O54" s="1119"/>
      <c r="P54" s="1084"/>
      <c r="Q54" s="1084"/>
      <c r="R54" s="1171"/>
      <c r="S54" s="390"/>
      <c r="T54" s="386"/>
      <c r="U54" s="386"/>
      <c r="V54" s="1119"/>
      <c r="W54" s="1119"/>
      <c r="X54" s="1076"/>
      <c r="Y54" s="372" t="s">
        <v>228</v>
      </c>
      <c r="Z54" s="386">
        <v>47306118.600000001</v>
      </c>
      <c r="AA54" s="386">
        <v>-18922447</v>
      </c>
      <c r="AB54" s="386">
        <f t="shared" si="5"/>
        <v>28383671.600000001</v>
      </c>
      <c r="AC54" s="384">
        <v>40830</v>
      </c>
      <c r="AD54" s="56">
        <v>28383672</v>
      </c>
      <c r="AE54" s="56"/>
      <c r="AF54" s="1315"/>
      <c r="AG54" s="1315"/>
      <c r="AH54" s="1315"/>
      <c r="AI54" s="1315"/>
      <c r="AJ54" s="1119"/>
      <c r="AK54" s="1119"/>
      <c r="AL54" s="1119"/>
      <c r="AM54" s="1119"/>
      <c r="AN54" s="1203"/>
      <c r="AO54" s="1204"/>
      <c r="AP54" s="1204"/>
      <c r="AQ54" s="1204"/>
    </row>
    <row r="55" spans="1:44" s="4" customFormat="1" ht="31.5">
      <c r="A55" s="1076"/>
      <c r="B55" s="1171"/>
      <c r="C55" s="1076"/>
      <c r="D55" s="1076"/>
      <c r="E55" s="1252"/>
      <c r="F55" s="1252"/>
      <c r="G55" s="1076"/>
      <c r="H55" s="1076"/>
      <c r="I55" s="1076"/>
      <c r="J55" s="1076"/>
      <c r="K55" s="1076"/>
      <c r="L55" s="1076"/>
      <c r="M55" s="1318"/>
      <c r="N55" s="1076"/>
      <c r="O55" s="1119"/>
      <c r="P55" s="1084"/>
      <c r="Q55" s="1084"/>
      <c r="R55" s="1171"/>
      <c r="S55" s="390"/>
      <c r="T55" s="386"/>
      <c r="U55" s="386"/>
      <c r="V55" s="1119"/>
      <c r="W55" s="1119"/>
      <c r="X55" s="1076"/>
      <c r="Y55" s="372" t="s">
        <v>231</v>
      </c>
      <c r="Z55" s="386">
        <v>5256235.4000000004</v>
      </c>
      <c r="AA55" s="386">
        <v>-2102494.16</v>
      </c>
      <c r="AB55" s="386">
        <f t="shared" si="5"/>
        <v>3153741.24</v>
      </c>
      <c r="AC55" s="384">
        <v>41271</v>
      </c>
      <c r="AD55" s="56">
        <v>3153740</v>
      </c>
      <c r="AE55" s="56"/>
      <c r="AF55" s="1315"/>
      <c r="AG55" s="1315"/>
      <c r="AH55" s="1315"/>
      <c r="AI55" s="1315"/>
      <c r="AJ55" s="1119"/>
      <c r="AK55" s="1119"/>
      <c r="AL55" s="1119"/>
      <c r="AM55" s="1119"/>
      <c r="AN55" s="1203"/>
      <c r="AO55" s="1204"/>
      <c r="AP55" s="1204"/>
      <c r="AQ55" s="1204"/>
    </row>
    <row r="56" spans="1:44" ht="63">
      <c r="A56" s="1076" t="s">
        <v>919</v>
      </c>
      <c r="B56" s="1171">
        <v>40254</v>
      </c>
      <c r="C56" s="1076" t="s">
        <v>31</v>
      </c>
      <c r="D56" s="1076" t="s">
        <v>910</v>
      </c>
      <c r="E56" s="1252">
        <v>10528694</v>
      </c>
      <c r="F56" s="1252"/>
      <c r="G56" s="1076" t="s">
        <v>920</v>
      </c>
      <c r="H56" s="1076" t="s">
        <v>72</v>
      </c>
      <c r="I56" s="1076" t="s">
        <v>177</v>
      </c>
      <c r="J56" s="1076" t="s">
        <v>66</v>
      </c>
      <c r="K56" s="1076" t="s">
        <v>250</v>
      </c>
      <c r="L56" s="1076" t="s">
        <v>927</v>
      </c>
      <c r="M56" s="1251">
        <v>23</v>
      </c>
      <c r="N56" s="1123" t="s">
        <v>137</v>
      </c>
      <c r="O56" s="1119">
        <v>172332500</v>
      </c>
      <c r="P56" s="1119">
        <v>172332500</v>
      </c>
      <c r="Q56" s="1119">
        <f>P56+P60</f>
        <v>257705983</v>
      </c>
      <c r="R56" s="1171">
        <v>40211</v>
      </c>
      <c r="S56" s="1196">
        <v>139321078</v>
      </c>
      <c r="T56" s="1196">
        <v>139321078</v>
      </c>
      <c r="U56" s="1119">
        <f>O56-T56</f>
        <v>33011422</v>
      </c>
      <c r="V56" s="1119">
        <v>170766144</v>
      </c>
      <c r="W56" s="1119">
        <v>256139627</v>
      </c>
      <c r="X56" s="1076" t="s">
        <v>897</v>
      </c>
      <c r="Y56" s="372" t="s">
        <v>921</v>
      </c>
      <c r="Z56" s="386">
        <v>0</v>
      </c>
      <c r="AA56" s="386">
        <v>68306457.600000009</v>
      </c>
      <c r="AB56" s="386">
        <f t="shared" si="5"/>
        <v>68306457.600000009</v>
      </c>
      <c r="AC56" s="384">
        <v>40326</v>
      </c>
      <c r="AD56" s="167">
        <v>68306458</v>
      </c>
      <c r="AE56" s="395" t="s">
        <v>137</v>
      </c>
      <c r="AF56" s="1084">
        <f>SUM(AD56:AE58)</f>
        <v>160520298</v>
      </c>
      <c r="AG56" s="1084">
        <f>SUM(AD56:AD62)</f>
        <v>211744388</v>
      </c>
      <c r="AH56" s="358">
        <f t="shared" ref="AH56:AH67" si="6">AB56-AD56</f>
        <v>-0.39999999105930328</v>
      </c>
      <c r="AI56" s="358"/>
      <c r="AJ56" s="1119"/>
      <c r="AK56" s="1119"/>
      <c r="AL56" s="1119"/>
      <c r="AM56" s="1119"/>
      <c r="AN56" s="1204" t="s">
        <v>926</v>
      </c>
      <c r="AO56" s="1262" t="s">
        <v>928</v>
      </c>
      <c r="AP56" s="1204" t="s">
        <v>194</v>
      </c>
      <c r="AQ56" s="1204" t="s">
        <v>558</v>
      </c>
    </row>
    <row r="57" spans="1:44" ht="63">
      <c r="A57" s="1076"/>
      <c r="B57" s="1171"/>
      <c r="C57" s="1076"/>
      <c r="D57" s="1076"/>
      <c r="E57" s="1252"/>
      <c r="F57" s="1252"/>
      <c r="G57" s="1076"/>
      <c r="H57" s="1076"/>
      <c r="I57" s="1076"/>
      <c r="J57" s="1076"/>
      <c r="K57" s="1076"/>
      <c r="L57" s="1076"/>
      <c r="M57" s="1251"/>
      <c r="N57" s="1123"/>
      <c r="O57" s="1119"/>
      <c r="P57" s="1119"/>
      <c r="Q57" s="1119"/>
      <c r="R57" s="1171"/>
      <c r="S57" s="1196"/>
      <c r="T57" s="1196"/>
      <c r="U57" s="1119"/>
      <c r="V57" s="1119"/>
      <c r="W57" s="1119"/>
      <c r="X57" s="1076"/>
      <c r="Y57" s="372" t="s">
        <v>922</v>
      </c>
      <c r="Z57" s="386">
        <v>119536504</v>
      </c>
      <c r="AA57" s="386">
        <v>-47814601</v>
      </c>
      <c r="AB57" s="386">
        <f t="shared" si="5"/>
        <v>71721903</v>
      </c>
      <c r="AC57" s="384">
        <v>40707</v>
      </c>
      <c r="AD57" s="168">
        <v>71721903</v>
      </c>
      <c r="AE57" s="395" t="s">
        <v>137</v>
      </c>
      <c r="AF57" s="1084"/>
      <c r="AG57" s="1084"/>
      <c r="AH57" s="358">
        <f t="shared" si="6"/>
        <v>0</v>
      </c>
      <c r="AI57" s="358"/>
      <c r="AJ57" s="1119"/>
      <c r="AK57" s="1119"/>
      <c r="AL57" s="1119"/>
      <c r="AM57" s="1119"/>
      <c r="AN57" s="1204"/>
      <c r="AO57" s="1262"/>
      <c r="AP57" s="1204"/>
      <c r="AQ57" s="1204"/>
    </row>
    <row r="58" spans="1:44" ht="63">
      <c r="A58" s="1076"/>
      <c r="B58" s="1171"/>
      <c r="C58" s="1076"/>
      <c r="D58" s="1076"/>
      <c r="E58" s="1252"/>
      <c r="F58" s="1252"/>
      <c r="G58" s="1076"/>
      <c r="H58" s="1076"/>
      <c r="I58" s="1076"/>
      <c r="J58" s="1076"/>
      <c r="K58" s="1076"/>
      <c r="L58" s="1076"/>
      <c r="M58" s="1251"/>
      <c r="N58" s="1123"/>
      <c r="O58" s="1119"/>
      <c r="P58" s="1119"/>
      <c r="Q58" s="1119"/>
      <c r="R58" s="1171"/>
      <c r="S58" s="1196"/>
      <c r="T58" s="1196"/>
      <c r="U58" s="1119"/>
      <c r="V58" s="1119"/>
      <c r="W58" s="1119"/>
      <c r="X58" s="1076"/>
      <c r="Y58" s="372" t="s">
        <v>923</v>
      </c>
      <c r="Z58" s="386">
        <v>34153229</v>
      </c>
      <c r="AA58" s="386">
        <v>-13661292</v>
      </c>
      <c r="AB58" s="386">
        <f t="shared" si="5"/>
        <v>20491937</v>
      </c>
      <c r="AC58" s="384">
        <v>41583</v>
      </c>
      <c r="AD58" s="168">
        <v>20491937</v>
      </c>
      <c r="AE58" s="395" t="s">
        <v>137</v>
      </c>
      <c r="AF58" s="1084"/>
      <c r="AG58" s="1084"/>
      <c r="AH58" s="358">
        <f t="shared" si="6"/>
        <v>0</v>
      </c>
      <c r="AI58" s="358"/>
      <c r="AJ58" s="1119"/>
      <c r="AK58" s="1119"/>
      <c r="AL58" s="1119"/>
      <c r="AM58" s="1119"/>
      <c r="AN58" s="1204"/>
      <c r="AO58" s="1262"/>
      <c r="AP58" s="1204"/>
      <c r="AQ58" s="1204"/>
    </row>
    <row r="59" spans="1:44">
      <c r="A59" s="1076"/>
      <c r="B59" s="1171"/>
      <c r="C59" s="1076"/>
      <c r="D59" s="1076"/>
      <c r="E59" s="1252"/>
      <c r="F59" s="1252"/>
      <c r="G59" s="1076"/>
      <c r="H59" s="1076"/>
      <c r="I59" s="1076"/>
      <c r="J59" s="1076"/>
      <c r="K59" s="1076"/>
      <c r="L59" s="1076"/>
      <c r="M59" s="1251"/>
      <c r="N59" s="1123"/>
      <c r="O59" s="1119"/>
      <c r="P59" s="1119"/>
      <c r="Q59" s="1119"/>
      <c r="R59" s="1171"/>
      <c r="S59" s="1196"/>
      <c r="T59" s="1196"/>
      <c r="U59" s="1119"/>
      <c r="V59" s="1119"/>
      <c r="W59" s="1119"/>
      <c r="X59" s="1076"/>
      <c r="Y59" s="372"/>
      <c r="Z59" s="386"/>
      <c r="AA59" s="386"/>
      <c r="AB59" s="386"/>
      <c r="AC59" s="384"/>
      <c r="AD59" s="395"/>
      <c r="AE59" s="395"/>
      <c r="AF59" s="1084"/>
      <c r="AG59" s="1084"/>
      <c r="AH59" s="358">
        <f t="shared" si="6"/>
        <v>0</v>
      </c>
      <c r="AI59" s="358"/>
      <c r="AJ59" s="1119"/>
      <c r="AK59" s="1119"/>
      <c r="AL59" s="1119"/>
      <c r="AM59" s="1119"/>
      <c r="AN59" s="1204"/>
      <c r="AO59" s="1262"/>
      <c r="AP59" s="1204"/>
      <c r="AQ59" s="1204"/>
    </row>
    <row r="60" spans="1:44" ht="63">
      <c r="A60" s="1076"/>
      <c r="B60" s="1171"/>
      <c r="C60" s="1076"/>
      <c r="D60" s="1076"/>
      <c r="E60" s="1252"/>
      <c r="F60" s="1252"/>
      <c r="G60" s="1076"/>
      <c r="H60" s="1076"/>
      <c r="I60" s="1076"/>
      <c r="J60" s="1076" t="s">
        <v>67</v>
      </c>
      <c r="K60" s="1076"/>
      <c r="L60" s="1076"/>
      <c r="M60" s="1251">
        <v>139</v>
      </c>
      <c r="N60" s="1123" t="s">
        <v>7</v>
      </c>
      <c r="O60" s="1119">
        <v>85373483</v>
      </c>
      <c r="P60" s="1119">
        <v>85373483</v>
      </c>
      <c r="Q60" s="1119"/>
      <c r="R60" s="1171">
        <v>40647</v>
      </c>
      <c r="S60" s="1196">
        <v>85373483</v>
      </c>
      <c r="T60" s="1196">
        <v>85373483</v>
      </c>
      <c r="U60" s="1196">
        <f>O60-T60</f>
        <v>0</v>
      </c>
      <c r="V60" s="1119">
        <v>85373483</v>
      </c>
      <c r="W60" s="1119"/>
      <c r="X60" s="1076"/>
      <c r="Y60" s="372" t="s">
        <v>924</v>
      </c>
      <c r="Z60" s="386">
        <v>25612045</v>
      </c>
      <c r="AA60" s="386">
        <v>0</v>
      </c>
      <c r="AB60" s="386">
        <f t="shared" ref="AB60:AB68" si="7">Z60+AA60</f>
        <v>25612045</v>
      </c>
      <c r="AC60" s="384">
        <v>41992</v>
      </c>
      <c r="AD60" s="395">
        <v>25612045</v>
      </c>
      <c r="AE60" s="395" t="s">
        <v>7</v>
      </c>
      <c r="AF60" s="1084">
        <f>SUM(AD60:AD62)</f>
        <v>51224090</v>
      </c>
      <c r="AG60" s="1084"/>
      <c r="AH60" s="358">
        <f t="shared" si="6"/>
        <v>0</v>
      </c>
      <c r="AI60" s="358"/>
      <c r="AJ60" s="1119"/>
      <c r="AK60" s="1119"/>
      <c r="AL60" s="1119"/>
      <c r="AM60" s="1119"/>
      <c r="AN60" s="1204"/>
      <c r="AO60" s="1262"/>
      <c r="AP60" s="1204"/>
      <c r="AQ60" s="1204"/>
    </row>
    <row r="61" spans="1:44" ht="63">
      <c r="A61" s="1076"/>
      <c r="B61" s="1171"/>
      <c r="C61" s="1076"/>
      <c r="D61" s="1076"/>
      <c r="E61" s="1252"/>
      <c r="F61" s="1252"/>
      <c r="G61" s="1076"/>
      <c r="H61" s="1076"/>
      <c r="I61" s="1076"/>
      <c r="J61" s="1076"/>
      <c r="K61" s="1076"/>
      <c r="L61" s="1076"/>
      <c r="M61" s="1251"/>
      <c r="N61" s="1123"/>
      <c r="O61" s="1119"/>
      <c r="P61" s="1119"/>
      <c r="Q61" s="1119"/>
      <c r="R61" s="1171"/>
      <c r="S61" s="1196"/>
      <c r="T61" s="1196"/>
      <c r="U61" s="1196"/>
      <c r="V61" s="1119"/>
      <c r="W61" s="1119"/>
      <c r="X61" s="1076"/>
      <c r="Y61" s="372" t="s">
        <v>925</v>
      </c>
      <c r="Z61" s="386">
        <v>25612045</v>
      </c>
      <c r="AA61" s="386">
        <v>0</v>
      </c>
      <c r="AB61" s="386">
        <f t="shared" si="7"/>
        <v>25612045</v>
      </c>
      <c r="AC61" s="384">
        <v>42201</v>
      </c>
      <c r="AD61" s="395">
        <v>25612045</v>
      </c>
      <c r="AE61" s="395" t="s">
        <v>7</v>
      </c>
      <c r="AF61" s="1084"/>
      <c r="AG61" s="1084"/>
      <c r="AH61" s="358">
        <f t="shared" si="6"/>
        <v>0</v>
      </c>
      <c r="AI61" s="358"/>
      <c r="AJ61" s="1119"/>
      <c r="AK61" s="1119"/>
      <c r="AL61" s="1119"/>
      <c r="AM61" s="1119"/>
      <c r="AN61" s="1204"/>
      <c r="AO61" s="1262"/>
      <c r="AP61" s="1204"/>
      <c r="AQ61" s="1204"/>
    </row>
    <row r="62" spans="1:44">
      <c r="A62" s="1076"/>
      <c r="B62" s="1171"/>
      <c r="C62" s="1076"/>
      <c r="D62" s="1076"/>
      <c r="E62" s="1252"/>
      <c r="F62" s="1252"/>
      <c r="G62" s="1076"/>
      <c r="H62" s="1076"/>
      <c r="I62" s="1076"/>
      <c r="J62" s="1076"/>
      <c r="K62" s="1076"/>
      <c r="L62" s="1076"/>
      <c r="M62" s="1251"/>
      <c r="N62" s="1123"/>
      <c r="O62" s="1119"/>
      <c r="P62" s="1119"/>
      <c r="Q62" s="1119"/>
      <c r="R62" s="1171"/>
      <c r="S62" s="1196"/>
      <c r="T62" s="1196"/>
      <c r="U62" s="1196"/>
      <c r="V62" s="1119"/>
      <c r="W62" s="1119"/>
      <c r="X62" s="1076"/>
      <c r="Y62" s="372"/>
      <c r="Z62" s="386"/>
      <c r="AA62" s="386"/>
      <c r="AB62" s="386">
        <f t="shared" si="7"/>
        <v>0</v>
      </c>
      <c r="AC62" s="384"/>
      <c r="AD62" s="395"/>
      <c r="AE62" s="395"/>
      <c r="AF62" s="1084"/>
      <c r="AG62" s="1084"/>
      <c r="AH62" s="358">
        <f t="shared" si="6"/>
        <v>0</v>
      </c>
      <c r="AI62" s="358"/>
      <c r="AJ62" s="1119"/>
      <c r="AK62" s="1119"/>
      <c r="AL62" s="1119"/>
      <c r="AM62" s="1119"/>
      <c r="AN62" s="1204"/>
      <c r="AO62" s="1262"/>
      <c r="AP62" s="1204"/>
      <c r="AQ62" s="1204"/>
    </row>
    <row r="63" spans="1:44" ht="78.75">
      <c r="A63" s="1076" t="s">
        <v>929</v>
      </c>
      <c r="B63" s="1171">
        <v>40254</v>
      </c>
      <c r="C63" s="1076" t="s">
        <v>47</v>
      </c>
      <c r="D63" s="1076" t="s">
        <v>175</v>
      </c>
      <c r="E63" s="1252">
        <v>900346392</v>
      </c>
      <c r="F63" s="1252">
        <v>2</v>
      </c>
      <c r="G63" s="1076" t="s">
        <v>930</v>
      </c>
      <c r="H63" s="1076" t="s">
        <v>72</v>
      </c>
      <c r="I63" s="1076" t="s">
        <v>177</v>
      </c>
      <c r="J63" s="1076" t="s">
        <v>66</v>
      </c>
      <c r="K63" s="1076" t="s">
        <v>183</v>
      </c>
      <c r="L63" s="1076" t="s">
        <v>935</v>
      </c>
      <c r="M63" s="1251">
        <v>28</v>
      </c>
      <c r="N63" s="1123" t="s">
        <v>137</v>
      </c>
      <c r="O63" s="1119">
        <v>150147500</v>
      </c>
      <c r="P63" s="1119">
        <v>150147500</v>
      </c>
      <c r="Q63" s="1119">
        <f>P63+P66</f>
        <v>210281900</v>
      </c>
      <c r="R63" s="1171">
        <v>40211</v>
      </c>
      <c r="S63" s="1196">
        <v>150147500</v>
      </c>
      <c r="T63" s="1196">
        <v>150147500</v>
      </c>
      <c r="U63" s="1119">
        <f>O63-T63</f>
        <v>0</v>
      </c>
      <c r="V63" s="1119">
        <v>150141120</v>
      </c>
      <c r="W63" s="1119">
        <f>SUM(V63:V66)</f>
        <v>210275520</v>
      </c>
      <c r="X63" s="1076" t="s">
        <v>897</v>
      </c>
      <c r="Y63" s="372" t="s">
        <v>931</v>
      </c>
      <c r="Z63" s="386">
        <v>0</v>
      </c>
      <c r="AA63" s="386">
        <v>60056448</v>
      </c>
      <c r="AB63" s="386">
        <f t="shared" si="7"/>
        <v>60056448</v>
      </c>
      <c r="AC63" s="384">
        <v>40326</v>
      </c>
      <c r="AD63" s="395">
        <v>60056448</v>
      </c>
      <c r="AE63" s="395" t="s">
        <v>137</v>
      </c>
      <c r="AF63" s="1084">
        <f>SUM(AD63:AD65)</f>
        <v>150141120</v>
      </c>
      <c r="AG63" s="1084">
        <f>AF63+AF66</f>
        <v>210275220</v>
      </c>
      <c r="AH63" s="358">
        <f t="shared" si="6"/>
        <v>0</v>
      </c>
      <c r="AI63" s="1084"/>
      <c r="AJ63" s="1119">
        <f>SUM(Z63:Z65)-SUM(AD63:AD65)</f>
        <v>0</v>
      </c>
      <c r="AK63" s="1119">
        <f>P63-V63</f>
        <v>6380</v>
      </c>
      <c r="AL63" s="1119">
        <f>V63-SUM(Z63:Z65)</f>
        <v>0</v>
      </c>
      <c r="AM63" s="1119">
        <f>AK63+AL63</f>
        <v>6380</v>
      </c>
      <c r="AN63" s="1204" t="s">
        <v>606</v>
      </c>
      <c r="AO63" s="1204" t="s">
        <v>936</v>
      </c>
      <c r="AP63" s="1204" t="s">
        <v>194</v>
      </c>
      <c r="AQ63" s="1204" t="s">
        <v>558</v>
      </c>
    </row>
    <row r="64" spans="1:44" ht="63">
      <c r="A64" s="1076"/>
      <c r="B64" s="1171"/>
      <c r="C64" s="1076"/>
      <c r="D64" s="1076"/>
      <c r="E64" s="1252"/>
      <c r="F64" s="1252"/>
      <c r="G64" s="1076"/>
      <c r="H64" s="1076"/>
      <c r="I64" s="1076"/>
      <c r="J64" s="1076"/>
      <c r="K64" s="1076"/>
      <c r="L64" s="1076"/>
      <c r="M64" s="1251"/>
      <c r="N64" s="1123"/>
      <c r="O64" s="1119"/>
      <c r="P64" s="1119"/>
      <c r="Q64" s="1119"/>
      <c r="R64" s="1171"/>
      <c r="S64" s="1196"/>
      <c r="T64" s="1196"/>
      <c r="U64" s="1119"/>
      <c r="V64" s="1119"/>
      <c r="W64" s="1119"/>
      <c r="X64" s="1076"/>
      <c r="Y64" s="372" t="s">
        <v>932</v>
      </c>
      <c r="Z64" s="386">
        <v>125117600</v>
      </c>
      <c r="AA64" s="386">
        <v>-50047040</v>
      </c>
      <c r="AB64" s="386">
        <f t="shared" si="7"/>
        <v>75070560</v>
      </c>
      <c r="AC64" s="384">
        <v>40548</v>
      </c>
      <c r="AD64" s="395">
        <v>75070560</v>
      </c>
      <c r="AE64" s="395" t="s">
        <v>137</v>
      </c>
      <c r="AF64" s="1084"/>
      <c r="AG64" s="1084"/>
      <c r="AH64" s="358">
        <f t="shared" si="6"/>
        <v>0</v>
      </c>
      <c r="AI64" s="1084"/>
      <c r="AJ64" s="1119"/>
      <c r="AK64" s="1119"/>
      <c r="AL64" s="1119"/>
      <c r="AM64" s="1119"/>
      <c r="AN64" s="1204"/>
      <c r="AO64" s="1204"/>
      <c r="AP64" s="1204"/>
      <c r="AQ64" s="1204"/>
    </row>
    <row r="65" spans="1:44" ht="47.25">
      <c r="A65" s="1076"/>
      <c r="B65" s="1171"/>
      <c r="C65" s="1076"/>
      <c r="D65" s="1076"/>
      <c r="E65" s="1252"/>
      <c r="F65" s="1252"/>
      <c r="G65" s="1076"/>
      <c r="H65" s="1076"/>
      <c r="I65" s="1076"/>
      <c r="J65" s="1076"/>
      <c r="K65" s="1076"/>
      <c r="L65" s="1076"/>
      <c r="M65" s="1251"/>
      <c r="N65" s="1123"/>
      <c r="O65" s="1119"/>
      <c r="P65" s="1119"/>
      <c r="Q65" s="1119"/>
      <c r="R65" s="1171"/>
      <c r="S65" s="1196"/>
      <c r="T65" s="1196"/>
      <c r="U65" s="1119"/>
      <c r="V65" s="1119"/>
      <c r="W65" s="1119"/>
      <c r="X65" s="1076"/>
      <c r="Y65" s="372" t="s">
        <v>933</v>
      </c>
      <c r="Z65" s="386">
        <v>25023520</v>
      </c>
      <c r="AA65" s="386">
        <v>-10009408</v>
      </c>
      <c r="AB65" s="386">
        <f t="shared" si="7"/>
        <v>15014112</v>
      </c>
      <c r="AC65" s="384">
        <v>40912</v>
      </c>
      <c r="AD65" s="395">
        <v>15014112</v>
      </c>
      <c r="AE65" s="395" t="s">
        <v>137</v>
      </c>
      <c r="AF65" s="1084"/>
      <c r="AG65" s="1084"/>
      <c r="AH65" s="358">
        <f t="shared" si="6"/>
        <v>0</v>
      </c>
      <c r="AI65" s="1084"/>
      <c r="AJ65" s="1119"/>
      <c r="AK65" s="1119"/>
      <c r="AL65" s="1119"/>
      <c r="AM65" s="1119"/>
      <c r="AN65" s="1204"/>
      <c r="AO65" s="1204"/>
      <c r="AP65" s="1204"/>
      <c r="AQ65" s="1204"/>
    </row>
    <row r="66" spans="1:44" ht="63">
      <c r="A66" s="1076"/>
      <c r="B66" s="1171"/>
      <c r="C66" s="354" t="s">
        <v>41</v>
      </c>
      <c r="D66" s="1076"/>
      <c r="E66" s="1252"/>
      <c r="F66" s="1252"/>
      <c r="G66" s="1076"/>
      <c r="H66" s="1076"/>
      <c r="I66" s="1076"/>
      <c r="J66" s="354" t="s">
        <v>67</v>
      </c>
      <c r="K66" s="1076"/>
      <c r="L66" s="1076"/>
      <c r="M66" s="408">
        <v>206</v>
      </c>
      <c r="N66" s="372" t="s">
        <v>7</v>
      </c>
      <c r="O66" s="386">
        <v>60134400</v>
      </c>
      <c r="P66" s="386">
        <v>60134400</v>
      </c>
      <c r="Q66" s="1119"/>
      <c r="R66" s="384">
        <v>40779</v>
      </c>
      <c r="S66" s="390">
        <v>60134400</v>
      </c>
      <c r="T66" s="390">
        <v>60134400</v>
      </c>
      <c r="U66" s="390">
        <f>P66-T66</f>
        <v>0</v>
      </c>
      <c r="V66" s="386">
        <v>60134400</v>
      </c>
      <c r="W66" s="1119"/>
      <c r="X66" s="1076"/>
      <c r="Y66" s="372" t="s">
        <v>934</v>
      </c>
      <c r="Z66" s="386">
        <v>60134100</v>
      </c>
      <c r="AA66" s="386">
        <v>0</v>
      </c>
      <c r="AB66" s="386">
        <f t="shared" si="7"/>
        <v>60134100</v>
      </c>
      <c r="AC66" s="384">
        <v>40913</v>
      </c>
      <c r="AD66" s="395">
        <v>60134100</v>
      </c>
      <c r="AE66" s="395" t="s">
        <v>7</v>
      </c>
      <c r="AF66" s="358">
        <f>SUM(AD66:AD66)</f>
        <v>60134100</v>
      </c>
      <c r="AG66" s="1084"/>
      <c r="AH66" s="358">
        <f t="shared" si="6"/>
        <v>0</v>
      </c>
      <c r="AI66" s="358"/>
      <c r="AJ66" s="386">
        <f>SUM(Z66:Z66)-SUM(AD66:AD66)</f>
        <v>0</v>
      </c>
      <c r="AK66" s="386">
        <f>P66-V66</f>
        <v>0</v>
      </c>
      <c r="AL66" s="386">
        <f>SUM(V66:V66)-SUM(Z66:Z66)</f>
        <v>300</v>
      </c>
      <c r="AM66" s="386">
        <f>AK66+AL66</f>
        <v>300</v>
      </c>
      <c r="AN66" s="1204"/>
      <c r="AO66" s="1204"/>
      <c r="AP66" s="1204"/>
      <c r="AQ66" s="1204"/>
    </row>
    <row r="67" spans="1:44" ht="78.75">
      <c r="A67" s="1076" t="s">
        <v>937</v>
      </c>
      <c r="B67" s="1171">
        <v>40254</v>
      </c>
      <c r="C67" s="1076" t="s">
        <v>35</v>
      </c>
      <c r="D67" s="1076" t="s">
        <v>938</v>
      </c>
      <c r="E67" s="1252">
        <v>900347119</v>
      </c>
      <c r="F67" s="1252">
        <v>2</v>
      </c>
      <c r="G67" s="1076" t="s">
        <v>939</v>
      </c>
      <c r="H67" s="1076" t="s">
        <v>72</v>
      </c>
      <c r="I67" s="1076" t="s">
        <v>177</v>
      </c>
      <c r="J67" s="1076" t="s">
        <v>66</v>
      </c>
      <c r="K67" s="1076" t="s">
        <v>217</v>
      </c>
      <c r="L67" s="1076" t="s">
        <v>941</v>
      </c>
      <c r="M67" s="1251">
        <v>6</v>
      </c>
      <c r="N67" s="1123" t="s">
        <v>137</v>
      </c>
      <c r="O67" s="1119">
        <v>79654300</v>
      </c>
      <c r="P67" s="1119">
        <v>79654300</v>
      </c>
      <c r="Q67" s="1119">
        <v>79654300</v>
      </c>
      <c r="R67" s="1171">
        <v>40211</v>
      </c>
      <c r="S67" s="1196">
        <v>79654300</v>
      </c>
      <c r="T67" s="1196">
        <v>79654300</v>
      </c>
      <c r="U67" s="1196">
        <f>O67-T67</f>
        <v>0</v>
      </c>
      <c r="V67" s="1119">
        <v>79641540</v>
      </c>
      <c r="W67" s="1119">
        <v>79641540</v>
      </c>
      <c r="X67" s="1076" t="s">
        <v>940</v>
      </c>
      <c r="Y67" s="372" t="s">
        <v>943</v>
      </c>
      <c r="Z67" s="386">
        <v>0</v>
      </c>
      <c r="AA67" s="386">
        <v>31856616</v>
      </c>
      <c r="AB67" s="386">
        <f t="shared" si="7"/>
        <v>31856616</v>
      </c>
      <c r="AC67" s="384">
        <v>40351</v>
      </c>
      <c r="AD67" s="395">
        <v>31856616</v>
      </c>
      <c r="AE67" s="395" t="s">
        <v>137</v>
      </c>
      <c r="AF67" s="1084">
        <f>SUM(AD67:AD68)</f>
        <v>31856616</v>
      </c>
      <c r="AG67" s="1084">
        <f>AF67</f>
        <v>31856616</v>
      </c>
      <c r="AH67" s="1084">
        <f t="shared" si="6"/>
        <v>0</v>
      </c>
      <c r="AI67" s="1084">
        <f>O67-AD67-AD68</f>
        <v>47797684</v>
      </c>
      <c r="AJ67" s="1119">
        <f>SUM(Z67:Z68)-SUM(AD67:AD68)</f>
        <v>47784924</v>
      </c>
      <c r="AK67" s="1119">
        <f>P67-V67</f>
        <v>12760</v>
      </c>
      <c r="AL67" s="1119">
        <f>V67-SUM(Z67:Z68)</f>
        <v>0</v>
      </c>
      <c r="AM67" s="1119">
        <f>AK67+AL67</f>
        <v>12760</v>
      </c>
      <c r="AN67" s="1204" t="s">
        <v>942</v>
      </c>
      <c r="AO67" s="1237" t="s">
        <v>945</v>
      </c>
      <c r="AP67" s="1204" t="s">
        <v>194</v>
      </c>
      <c r="AQ67" s="1204" t="s">
        <v>558</v>
      </c>
    </row>
    <row r="68" spans="1:44" ht="49.5" customHeight="1">
      <c r="A68" s="1076"/>
      <c r="B68" s="1171"/>
      <c r="C68" s="1076"/>
      <c r="D68" s="1076"/>
      <c r="E68" s="1252"/>
      <c r="F68" s="1252"/>
      <c r="G68" s="1076"/>
      <c r="H68" s="1076"/>
      <c r="I68" s="1076"/>
      <c r="J68" s="1076"/>
      <c r="K68" s="1076"/>
      <c r="L68" s="1076"/>
      <c r="M68" s="1251"/>
      <c r="N68" s="1123"/>
      <c r="O68" s="1119"/>
      <c r="P68" s="1119"/>
      <c r="Q68" s="1119"/>
      <c r="R68" s="1171"/>
      <c r="S68" s="1196"/>
      <c r="T68" s="1196"/>
      <c r="U68" s="1196"/>
      <c r="V68" s="1119"/>
      <c r="W68" s="1119"/>
      <c r="X68" s="1076"/>
      <c r="Y68" s="372" t="s">
        <v>944</v>
      </c>
      <c r="Z68" s="386">
        <v>79641540</v>
      </c>
      <c r="AA68" s="386">
        <v>-31856616</v>
      </c>
      <c r="AB68" s="386">
        <f t="shared" si="7"/>
        <v>47784924</v>
      </c>
      <c r="AC68" s="384"/>
      <c r="AD68" s="395">
        <v>0</v>
      </c>
      <c r="AE68" s="395"/>
      <c r="AF68" s="1084"/>
      <c r="AG68" s="1084"/>
      <c r="AH68" s="1084"/>
      <c r="AI68" s="1084"/>
      <c r="AJ68" s="1119"/>
      <c r="AK68" s="1119"/>
      <c r="AL68" s="1119"/>
      <c r="AM68" s="1119"/>
      <c r="AN68" s="1204"/>
      <c r="AO68" s="1204"/>
      <c r="AP68" s="1204"/>
      <c r="AQ68" s="1204"/>
    </row>
    <row r="69" spans="1:44" s="4" customFormat="1" ht="31.5" customHeight="1">
      <c r="A69" s="1076" t="s">
        <v>242</v>
      </c>
      <c r="B69" s="1171">
        <v>40254</v>
      </c>
      <c r="C69" s="1076" t="s">
        <v>9</v>
      </c>
      <c r="D69" s="1076" t="s">
        <v>244</v>
      </c>
      <c r="E69" s="1252">
        <v>900347121</v>
      </c>
      <c r="F69" s="1252">
        <v>8</v>
      </c>
      <c r="G69" s="1076" t="s">
        <v>245</v>
      </c>
      <c r="H69" s="1076" t="s">
        <v>72</v>
      </c>
      <c r="I69" s="1076" t="s">
        <v>177</v>
      </c>
      <c r="J69" s="1076" t="s">
        <v>66</v>
      </c>
      <c r="K69" s="1076" t="s">
        <v>250</v>
      </c>
      <c r="L69" s="1076" t="s">
        <v>249</v>
      </c>
      <c r="M69" s="1318">
        <v>13</v>
      </c>
      <c r="N69" s="1076" t="s">
        <v>137</v>
      </c>
      <c r="O69" s="1119">
        <v>35617606</v>
      </c>
      <c r="P69" s="1119">
        <v>35617606</v>
      </c>
      <c r="Q69" s="1119">
        <f>P69</f>
        <v>35617606</v>
      </c>
      <c r="R69" s="1171">
        <v>40211</v>
      </c>
      <c r="S69" s="390"/>
      <c r="T69" s="386"/>
      <c r="U69" s="386"/>
      <c r="V69" s="1119">
        <v>35607708</v>
      </c>
      <c r="W69" s="1119">
        <v>35607708</v>
      </c>
      <c r="X69" s="1076" t="s">
        <v>198</v>
      </c>
      <c r="Y69" s="372" t="s">
        <v>247</v>
      </c>
      <c r="Z69" s="386">
        <v>0</v>
      </c>
      <c r="AA69" s="386">
        <v>14243083.200000001</v>
      </c>
      <c r="AB69" s="386">
        <f>Z69+AA69</f>
        <v>14243083.200000001</v>
      </c>
      <c r="AC69" s="384">
        <v>40305</v>
      </c>
      <c r="AD69" s="56">
        <v>14243083</v>
      </c>
      <c r="AE69" s="56"/>
      <c r="AF69" s="1315">
        <f>SUM(AD69:AD70)</f>
        <v>24925395</v>
      </c>
      <c r="AG69" s="1315">
        <f>AF69</f>
        <v>24925395</v>
      </c>
      <c r="AH69" s="1315">
        <v>0</v>
      </c>
      <c r="AI69" s="1315">
        <v>0</v>
      </c>
      <c r="AJ69" s="1324">
        <f>SUM(Z69:Z70)-SUM(AD69:AD70)</f>
        <v>-7121541</v>
      </c>
      <c r="AK69" s="1324">
        <f>P69-V69</f>
        <v>9898</v>
      </c>
      <c r="AL69" s="1324">
        <f>V69-SUM(Z69:Z70)+AJ69</f>
        <v>10682313</v>
      </c>
      <c r="AM69" s="1324">
        <f>AK69+AL69</f>
        <v>10692211</v>
      </c>
      <c r="AN69" s="1338"/>
      <c r="AO69" s="1204" t="s">
        <v>248</v>
      </c>
      <c r="AP69" s="1204" t="s">
        <v>194</v>
      </c>
      <c r="AQ69" s="1204" t="s">
        <v>342</v>
      </c>
      <c r="AR69" s="1074" t="s">
        <v>2501</v>
      </c>
    </row>
    <row r="70" spans="1:44" s="4" customFormat="1" ht="31.5">
      <c r="A70" s="1076"/>
      <c r="B70" s="1171"/>
      <c r="C70" s="1076"/>
      <c r="D70" s="1076"/>
      <c r="E70" s="1252"/>
      <c r="F70" s="1252"/>
      <c r="G70" s="1076"/>
      <c r="H70" s="1076"/>
      <c r="I70" s="1076"/>
      <c r="J70" s="1076"/>
      <c r="K70" s="1076"/>
      <c r="L70" s="1076"/>
      <c r="M70" s="1318"/>
      <c r="N70" s="1076"/>
      <c r="O70" s="1119"/>
      <c r="P70" s="1119"/>
      <c r="Q70" s="1119"/>
      <c r="R70" s="1171"/>
      <c r="S70" s="390"/>
      <c r="T70" s="386"/>
      <c r="U70" s="386"/>
      <c r="V70" s="1119"/>
      <c r="W70" s="1119"/>
      <c r="X70" s="1076"/>
      <c r="Y70" s="372" t="s">
        <v>246</v>
      </c>
      <c r="Z70" s="386">
        <v>17803854</v>
      </c>
      <c r="AA70" s="386">
        <v>-7121542</v>
      </c>
      <c r="AB70" s="386">
        <f>Z70+AA70</f>
        <v>10682312</v>
      </c>
      <c r="AC70" s="384">
        <v>40494</v>
      </c>
      <c r="AD70" s="56">
        <v>10682312</v>
      </c>
      <c r="AE70" s="56"/>
      <c r="AF70" s="1315"/>
      <c r="AG70" s="1315"/>
      <c r="AH70" s="1315"/>
      <c r="AI70" s="1315"/>
      <c r="AJ70" s="1324"/>
      <c r="AK70" s="1324"/>
      <c r="AL70" s="1324"/>
      <c r="AM70" s="1324"/>
      <c r="AN70" s="1338"/>
      <c r="AO70" s="1204"/>
      <c r="AP70" s="1204"/>
      <c r="AQ70" s="1204"/>
      <c r="AR70" s="1074"/>
    </row>
    <row r="71" spans="1:44" s="4" customFormat="1" ht="141.75">
      <c r="A71" s="354" t="s">
        <v>265</v>
      </c>
      <c r="B71" s="384">
        <v>42811</v>
      </c>
      <c r="C71" s="354" t="s">
        <v>9</v>
      </c>
      <c r="D71" s="354" t="s">
        <v>222</v>
      </c>
      <c r="E71" s="406">
        <v>76305303</v>
      </c>
      <c r="F71" s="406"/>
      <c r="G71" s="354" t="s">
        <v>266</v>
      </c>
      <c r="H71" s="354" t="s">
        <v>72</v>
      </c>
      <c r="I71" s="354" t="s">
        <v>177</v>
      </c>
      <c r="J71" s="354" t="s">
        <v>66</v>
      </c>
      <c r="K71" s="354" t="s">
        <v>50</v>
      </c>
      <c r="L71" s="354" t="s">
        <v>269</v>
      </c>
      <c r="M71" s="409">
        <v>16</v>
      </c>
      <c r="N71" s="354" t="s">
        <v>137</v>
      </c>
      <c r="O71" s="386">
        <v>31263001</v>
      </c>
      <c r="P71" s="386">
        <v>31263001</v>
      </c>
      <c r="Q71" s="386">
        <f>P71</f>
        <v>31263001</v>
      </c>
      <c r="R71" s="384">
        <v>40211</v>
      </c>
      <c r="S71" s="390"/>
      <c r="T71" s="386"/>
      <c r="U71" s="386"/>
      <c r="V71" s="386">
        <v>31247370</v>
      </c>
      <c r="W71" s="386">
        <v>31247370</v>
      </c>
      <c r="X71" s="354" t="s">
        <v>198</v>
      </c>
      <c r="Y71" s="372" t="s">
        <v>268</v>
      </c>
      <c r="Z71" s="386">
        <v>0</v>
      </c>
      <c r="AA71" s="386">
        <v>12498948</v>
      </c>
      <c r="AB71" s="386">
        <v>12498948</v>
      </c>
      <c r="AC71" s="384">
        <v>40305</v>
      </c>
      <c r="AD71" s="56">
        <v>12498948</v>
      </c>
      <c r="AE71" s="56"/>
      <c r="AF71" s="413">
        <f>AD71</f>
        <v>12498948</v>
      </c>
      <c r="AG71" s="413">
        <f>AF71</f>
        <v>12498948</v>
      </c>
      <c r="AH71" s="413">
        <v>0</v>
      </c>
      <c r="AI71" s="413">
        <v>0</v>
      </c>
      <c r="AJ71" s="430">
        <f>Z71-AD71</f>
        <v>-12498948</v>
      </c>
      <c r="AK71" s="430">
        <f>P71-V71</f>
        <v>15631</v>
      </c>
      <c r="AL71" s="430">
        <f>V71-Z71+AJ71</f>
        <v>18748422</v>
      </c>
      <c r="AM71" s="430">
        <f>AK71+AL71</f>
        <v>18764053</v>
      </c>
      <c r="AN71" s="391" t="s">
        <v>267</v>
      </c>
      <c r="AO71" s="392" t="s">
        <v>329</v>
      </c>
      <c r="AP71" s="392" t="s">
        <v>194</v>
      </c>
      <c r="AQ71" s="392" t="s">
        <v>342</v>
      </c>
      <c r="AR71" s="1074" t="s">
        <v>2501</v>
      </c>
    </row>
    <row r="72" spans="1:44" s="4" customFormat="1">
      <c r="A72" s="1076" t="s">
        <v>243</v>
      </c>
      <c r="B72" s="1171">
        <v>40253</v>
      </c>
      <c r="C72" s="1076" t="s">
        <v>12</v>
      </c>
      <c r="D72" s="1076" t="s">
        <v>251</v>
      </c>
      <c r="E72" s="1252">
        <v>900346554</v>
      </c>
      <c r="F72" s="1252">
        <v>9</v>
      </c>
      <c r="G72" s="1076" t="s">
        <v>252</v>
      </c>
      <c r="H72" s="1076" t="s">
        <v>72</v>
      </c>
      <c r="I72" s="1076" t="s">
        <v>177</v>
      </c>
      <c r="J72" s="1076" t="s">
        <v>66</v>
      </c>
      <c r="K72" s="1076" t="s">
        <v>183</v>
      </c>
      <c r="L72" s="1076" t="s">
        <v>258</v>
      </c>
      <c r="M72" s="1318">
        <v>21</v>
      </c>
      <c r="N72" s="1076" t="s">
        <v>137</v>
      </c>
      <c r="O72" s="1119">
        <v>76270000</v>
      </c>
      <c r="P72" s="1119">
        <v>76270000</v>
      </c>
      <c r="Q72" s="1119">
        <f>P72+P75</f>
        <v>97150000</v>
      </c>
      <c r="R72" s="1171">
        <v>40211</v>
      </c>
      <c r="S72" s="390"/>
      <c r="T72" s="386"/>
      <c r="U72" s="386"/>
      <c r="V72" s="1119">
        <v>76270000</v>
      </c>
      <c r="W72" s="1119">
        <f>V72+V75</f>
        <v>97150000</v>
      </c>
      <c r="X72" s="1076" t="s">
        <v>198</v>
      </c>
      <c r="Y72" s="372" t="s">
        <v>253</v>
      </c>
      <c r="Z72" s="386">
        <v>0</v>
      </c>
      <c r="AA72" s="386">
        <v>30508000</v>
      </c>
      <c r="AB72" s="386">
        <f>Z72+AA72</f>
        <v>30508000</v>
      </c>
      <c r="AC72" s="384">
        <v>40326</v>
      </c>
      <c r="AD72" s="56">
        <v>30508000</v>
      </c>
      <c r="AE72" s="56"/>
      <c r="AF72" s="1315">
        <f>SUM(AD72:AD74)</f>
        <v>76270000</v>
      </c>
      <c r="AG72" s="1315">
        <f>AF72+AF75</f>
        <v>97150000</v>
      </c>
      <c r="AH72" s="1315">
        <v>0</v>
      </c>
      <c r="AI72" s="1315">
        <v>0</v>
      </c>
      <c r="AJ72" s="1119">
        <f>SUM(Z72:Z76)-SUM(AD72:AD76)</f>
        <v>0</v>
      </c>
      <c r="AK72" s="1119">
        <f>P72-V72</f>
        <v>0</v>
      </c>
      <c r="AL72" s="1119">
        <f>V72-SUM(Z72:Z74)</f>
        <v>0</v>
      </c>
      <c r="AM72" s="1119">
        <f>AK72+AL72</f>
        <v>0</v>
      </c>
      <c r="AN72" s="1203"/>
      <c r="AO72" s="1204" t="s">
        <v>320</v>
      </c>
      <c r="AP72" s="1204" t="s">
        <v>194</v>
      </c>
      <c r="AQ72" s="1204" t="s">
        <v>342</v>
      </c>
      <c r="AR72" s="1074"/>
    </row>
    <row r="73" spans="1:44" s="4" customFormat="1" ht="31.5">
      <c r="A73" s="1076"/>
      <c r="B73" s="1171"/>
      <c r="C73" s="1076"/>
      <c r="D73" s="1076"/>
      <c r="E73" s="1252"/>
      <c r="F73" s="1252"/>
      <c r="G73" s="1076"/>
      <c r="H73" s="1076"/>
      <c r="I73" s="1076"/>
      <c r="J73" s="1076"/>
      <c r="K73" s="1076"/>
      <c r="L73" s="1076"/>
      <c r="M73" s="1318"/>
      <c r="N73" s="1076"/>
      <c r="O73" s="1119"/>
      <c r="P73" s="1119"/>
      <c r="Q73" s="1119"/>
      <c r="R73" s="1171"/>
      <c r="S73" s="390"/>
      <c r="T73" s="386"/>
      <c r="U73" s="386"/>
      <c r="V73" s="1119"/>
      <c r="W73" s="1119"/>
      <c r="X73" s="1076"/>
      <c r="Y73" s="372" t="s">
        <v>254</v>
      </c>
      <c r="Z73" s="386">
        <v>68643000</v>
      </c>
      <c r="AA73" s="386">
        <v>-27457200</v>
      </c>
      <c r="AB73" s="386">
        <f>Z73+AA73</f>
        <v>41185800</v>
      </c>
      <c r="AC73" s="384">
        <v>40816</v>
      </c>
      <c r="AD73" s="56">
        <v>41185800</v>
      </c>
      <c r="AE73" s="56"/>
      <c r="AF73" s="1315"/>
      <c r="AG73" s="1315"/>
      <c r="AH73" s="1315"/>
      <c r="AI73" s="1315"/>
      <c r="AJ73" s="1119"/>
      <c r="AK73" s="1119"/>
      <c r="AL73" s="1119"/>
      <c r="AM73" s="1119"/>
      <c r="AN73" s="1203"/>
      <c r="AO73" s="1204"/>
      <c r="AP73" s="1204"/>
      <c r="AQ73" s="1204"/>
    </row>
    <row r="74" spans="1:44" s="4" customFormat="1" ht="31.5">
      <c r="A74" s="1076"/>
      <c r="B74" s="1171"/>
      <c r="C74" s="1076"/>
      <c r="D74" s="1076"/>
      <c r="E74" s="1252"/>
      <c r="F74" s="1252"/>
      <c r="G74" s="1076"/>
      <c r="H74" s="1076"/>
      <c r="I74" s="1076"/>
      <c r="J74" s="1076"/>
      <c r="K74" s="1076"/>
      <c r="L74" s="1076"/>
      <c r="M74" s="1318"/>
      <c r="N74" s="1076"/>
      <c r="O74" s="1119"/>
      <c r="P74" s="1119"/>
      <c r="Q74" s="1119"/>
      <c r="R74" s="1171"/>
      <c r="S74" s="390"/>
      <c r="T74" s="386"/>
      <c r="U74" s="386"/>
      <c r="V74" s="1119"/>
      <c r="W74" s="1119"/>
      <c r="X74" s="1076"/>
      <c r="Y74" s="372" t="s">
        <v>257</v>
      </c>
      <c r="Z74" s="386">
        <v>7627000</v>
      </c>
      <c r="AA74" s="386">
        <v>-3050800</v>
      </c>
      <c r="AB74" s="386">
        <v>4576200</v>
      </c>
      <c r="AC74" s="384">
        <v>41603</v>
      </c>
      <c r="AD74" s="56">
        <v>4576200</v>
      </c>
      <c r="AE74" s="56"/>
      <c r="AF74" s="1315"/>
      <c r="AG74" s="1315"/>
      <c r="AH74" s="1315"/>
      <c r="AI74" s="1315"/>
      <c r="AJ74" s="1119"/>
      <c r="AK74" s="1119"/>
      <c r="AL74" s="1119"/>
      <c r="AM74" s="1119"/>
      <c r="AN74" s="1203"/>
      <c r="AO74" s="1204"/>
      <c r="AP74" s="1204"/>
      <c r="AQ74" s="1204"/>
    </row>
    <row r="75" spans="1:44" s="4" customFormat="1" ht="31.5">
      <c r="A75" s="1076"/>
      <c r="B75" s="1171"/>
      <c r="C75" s="1076"/>
      <c r="D75" s="1076"/>
      <c r="E75" s="1252"/>
      <c r="F75" s="1252"/>
      <c r="G75" s="1076"/>
      <c r="H75" s="1076"/>
      <c r="I75" s="1076"/>
      <c r="J75" s="1076" t="s">
        <v>171</v>
      </c>
      <c r="K75" s="1076"/>
      <c r="L75" s="1076"/>
      <c r="M75" s="1318">
        <v>224</v>
      </c>
      <c r="N75" s="1076" t="s">
        <v>7</v>
      </c>
      <c r="O75" s="1119">
        <v>20880000</v>
      </c>
      <c r="P75" s="1119">
        <v>20880000</v>
      </c>
      <c r="Q75" s="1119"/>
      <c r="R75" s="1171">
        <v>40864</v>
      </c>
      <c r="S75" s="390"/>
      <c r="T75" s="386"/>
      <c r="U75" s="386"/>
      <c r="V75" s="1119">
        <v>20880000</v>
      </c>
      <c r="W75" s="1119"/>
      <c r="X75" s="1076"/>
      <c r="Y75" s="372" t="s">
        <v>255</v>
      </c>
      <c r="Z75" s="386">
        <v>18792000</v>
      </c>
      <c r="AA75" s="386">
        <v>0</v>
      </c>
      <c r="AB75" s="386">
        <v>18792000</v>
      </c>
      <c r="AC75" s="384">
        <v>40921</v>
      </c>
      <c r="AD75" s="56">
        <v>18792000</v>
      </c>
      <c r="AE75" s="56"/>
      <c r="AF75" s="1315">
        <f>SUM(AD75:AD76)</f>
        <v>20880000</v>
      </c>
      <c r="AG75" s="1315"/>
      <c r="AH75" s="1315"/>
      <c r="AI75" s="1315"/>
      <c r="AJ75" s="1119"/>
      <c r="AK75" s="1119">
        <f>P75-V75</f>
        <v>0</v>
      </c>
      <c r="AL75" s="1119">
        <f>V75-SUM(Z75:Z76)</f>
        <v>0</v>
      </c>
      <c r="AM75" s="1119">
        <f>AK75+AL75</f>
        <v>0</v>
      </c>
      <c r="AN75" s="1203"/>
      <c r="AO75" s="1204"/>
      <c r="AP75" s="1204"/>
      <c r="AQ75" s="1204"/>
    </row>
    <row r="76" spans="1:44" s="4" customFormat="1" ht="31.5">
      <c r="A76" s="1076"/>
      <c r="B76" s="1171"/>
      <c r="C76" s="1076"/>
      <c r="D76" s="1076"/>
      <c r="E76" s="1252"/>
      <c r="F76" s="1252"/>
      <c r="G76" s="1076"/>
      <c r="H76" s="1076"/>
      <c r="I76" s="1076"/>
      <c r="J76" s="1076"/>
      <c r="K76" s="1076"/>
      <c r="L76" s="1076"/>
      <c r="M76" s="1318"/>
      <c r="N76" s="1076"/>
      <c r="O76" s="1119"/>
      <c r="P76" s="1119"/>
      <c r="Q76" s="1119"/>
      <c r="R76" s="1171"/>
      <c r="S76" s="390"/>
      <c r="T76" s="386"/>
      <c r="U76" s="386"/>
      <c r="V76" s="1119"/>
      <c r="W76" s="1119"/>
      <c r="X76" s="1076"/>
      <c r="Y76" s="372" t="s">
        <v>256</v>
      </c>
      <c r="Z76" s="386">
        <v>2088000</v>
      </c>
      <c r="AA76" s="386">
        <v>0</v>
      </c>
      <c r="AB76" s="386">
        <v>2088000</v>
      </c>
      <c r="AC76" s="384">
        <v>41603</v>
      </c>
      <c r="AD76" s="56">
        <v>2088000</v>
      </c>
      <c r="AE76" s="56"/>
      <c r="AF76" s="1315"/>
      <c r="AG76" s="1315"/>
      <c r="AH76" s="1315"/>
      <c r="AI76" s="1315"/>
      <c r="AJ76" s="1119"/>
      <c r="AK76" s="1119"/>
      <c r="AL76" s="1119"/>
      <c r="AM76" s="1119"/>
      <c r="AN76" s="1203"/>
      <c r="AO76" s="1204"/>
      <c r="AP76" s="1204"/>
      <c r="AQ76" s="1204"/>
    </row>
    <row r="77" spans="1:44" s="4" customFormat="1">
      <c r="A77" s="1076" t="s">
        <v>259</v>
      </c>
      <c r="B77" s="1171">
        <v>40255</v>
      </c>
      <c r="C77" s="1076" t="s">
        <v>22</v>
      </c>
      <c r="D77" s="1076" t="s">
        <v>260</v>
      </c>
      <c r="E77" s="1252">
        <v>900346831</v>
      </c>
      <c r="F77" s="1252">
        <v>4</v>
      </c>
      <c r="G77" s="1076" t="s">
        <v>261</v>
      </c>
      <c r="H77" s="1076" t="s">
        <v>72</v>
      </c>
      <c r="I77" s="1076" t="s">
        <v>177</v>
      </c>
      <c r="J77" s="1076" t="s">
        <v>66</v>
      </c>
      <c r="K77" s="1076" t="s">
        <v>250</v>
      </c>
      <c r="L77" s="1076" t="s">
        <v>249</v>
      </c>
      <c r="M77" s="1318">
        <v>25</v>
      </c>
      <c r="N77" s="1076" t="s">
        <v>137</v>
      </c>
      <c r="O77" s="1119">
        <v>50046750</v>
      </c>
      <c r="P77" s="1119">
        <v>50046750</v>
      </c>
      <c r="Q77" s="1119">
        <f>P77</f>
        <v>50046750</v>
      </c>
      <c r="R77" s="1171">
        <v>40211</v>
      </c>
      <c r="S77" s="390"/>
      <c r="T77" s="386"/>
      <c r="U77" s="386"/>
      <c r="V77" s="1119">
        <v>50000000</v>
      </c>
      <c r="W77" s="1119">
        <v>50000000</v>
      </c>
      <c r="X77" s="1076" t="s">
        <v>198</v>
      </c>
      <c r="Y77" s="372" t="s">
        <v>262</v>
      </c>
      <c r="Z77" s="386">
        <v>0</v>
      </c>
      <c r="AA77" s="386">
        <v>20000000</v>
      </c>
      <c r="AB77" s="386">
        <v>20000000</v>
      </c>
      <c r="AC77" s="384">
        <v>40351</v>
      </c>
      <c r="AD77" s="56">
        <v>20000000</v>
      </c>
      <c r="AE77" s="56"/>
      <c r="AF77" s="1315">
        <f>SUM(AD77:AD78)</f>
        <v>47000000</v>
      </c>
      <c r="AG77" s="1315">
        <f>AF77</f>
        <v>47000000</v>
      </c>
      <c r="AH77" s="1315">
        <v>0</v>
      </c>
      <c r="AI77" s="1315">
        <v>0</v>
      </c>
      <c r="AJ77" s="1324">
        <f>SUM(Z77:Z78)-SUM(AD77:AD78)</f>
        <v>-2000000</v>
      </c>
      <c r="AK77" s="1324">
        <f>P77-V77</f>
        <v>46750</v>
      </c>
      <c r="AL77" s="1324">
        <f>V77-SUM(Z77:Z78)+AJ77</f>
        <v>3000000</v>
      </c>
      <c r="AM77" s="1324">
        <f>AK77+AL77</f>
        <v>3046750</v>
      </c>
      <c r="AN77" s="1203"/>
      <c r="AO77" s="1204" t="s">
        <v>331</v>
      </c>
      <c r="AP77" s="1204" t="s">
        <v>194</v>
      </c>
      <c r="AQ77" s="1204" t="s">
        <v>342</v>
      </c>
    </row>
    <row r="78" spans="1:44" s="4" customFormat="1" ht="47.25">
      <c r="A78" s="1076"/>
      <c r="B78" s="1171"/>
      <c r="C78" s="1076"/>
      <c r="D78" s="1076"/>
      <c r="E78" s="1252"/>
      <c r="F78" s="1252"/>
      <c r="G78" s="1076"/>
      <c r="H78" s="1076"/>
      <c r="I78" s="1076"/>
      <c r="J78" s="1076"/>
      <c r="K78" s="1076"/>
      <c r="L78" s="1076"/>
      <c r="M78" s="1318"/>
      <c r="N78" s="1076"/>
      <c r="O78" s="1119"/>
      <c r="P78" s="1119"/>
      <c r="Q78" s="1119"/>
      <c r="R78" s="1171"/>
      <c r="S78" s="390"/>
      <c r="T78" s="386"/>
      <c r="U78" s="386"/>
      <c r="V78" s="1119"/>
      <c r="W78" s="1119"/>
      <c r="X78" s="1076"/>
      <c r="Y78" s="372" t="s">
        <v>263</v>
      </c>
      <c r="Z78" s="386">
        <v>45000000</v>
      </c>
      <c r="AA78" s="386">
        <v>-18000000</v>
      </c>
      <c r="AB78" s="386">
        <v>27000000</v>
      </c>
      <c r="AC78" s="384">
        <v>40581</v>
      </c>
      <c r="AD78" s="56">
        <v>27000000</v>
      </c>
      <c r="AE78" s="56"/>
      <c r="AF78" s="1315"/>
      <c r="AG78" s="1315"/>
      <c r="AH78" s="1315"/>
      <c r="AI78" s="1315"/>
      <c r="AJ78" s="1324"/>
      <c r="AK78" s="1324"/>
      <c r="AL78" s="1324"/>
      <c r="AM78" s="1324"/>
      <c r="AN78" s="1203"/>
      <c r="AO78" s="1204"/>
      <c r="AP78" s="1204"/>
      <c r="AQ78" s="1204"/>
    </row>
    <row r="79" spans="1:44" ht="35.25" customHeight="1">
      <c r="A79" s="1076" t="s">
        <v>946</v>
      </c>
      <c r="B79" s="1171">
        <v>40298</v>
      </c>
      <c r="C79" s="1076" t="s">
        <v>5</v>
      </c>
      <c r="D79" s="1076" t="s">
        <v>947</v>
      </c>
      <c r="E79" s="1252">
        <v>4611917</v>
      </c>
      <c r="F79" s="1252"/>
      <c r="G79" s="1076" t="s">
        <v>948</v>
      </c>
      <c r="H79" s="1076" t="s">
        <v>70</v>
      </c>
      <c r="I79" s="1076" t="s">
        <v>177</v>
      </c>
      <c r="J79" s="1076" t="s">
        <v>66</v>
      </c>
      <c r="K79" s="1076" t="s">
        <v>183</v>
      </c>
      <c r="L79" s="1076" t="s">
        <v>954</v>
      </c>
      <c r="M79" s="1251">
        <v>31</v>
      </c>
      <c r="N79" s="1123" t="s">
        <v>7</v>
      </c>
      <c r="O79" s="1119">
        <v>2177441</v>
      </c>
      <c r="P79" s="1119">
        <f>O79+O82</f>
        <v>6628434</v>
      </c>
      <c r="Q79" s="1119">
        <f>P79+P83+P87</f>
        <v>20244626</v>
      </c>
      <c r="R79" s="1171">
        <v>40353</v>
      </c>
      <c r="S79" s="1196">
        <f>T79+T82</f>
        <v>6628434</v>
      </c>
      <c r="T79" s="1196">
        <v>2177441</v>
      </c>
      <c r="U79" s="1196">
        <f>O79-T79</f>
        <v>0</v>
      </c>
      <c r="V79" s="1119">
        <v>2177441</v>
      </c>
      <c r="W79" s="1119">
        <v>20000000</v>
      </c>
      <c r="X79" s="1076" t="s">
        <v>949</v>
      </c>
      <c r="Y79" s="1123" t="s">
        <v>950</v>
      </c>
      <c r="Z79" s="386">
        <v>0</v>
      </c>
      <c r="AA79" s="386">
        <v>870976.2</v>
      </c>
      <c r="AB79" s="386">
        <f t="shared" ref="AB79:AB92" si="8">Z79+AA79</f>
        <v>870976.2</v>
      </c>
      <c r="AC79" s="1171">
        <v>40388</v>
      </c>
      <c r="AD79" s="1215">
        <v>2651373</v>
      </c>
      <c r="AE79" s="1215" t="s">
        <v>7</v>
      </c>
      <c r="AF79" s="1084">
        <f>SUM(AD79:AD82)</f>
        <v>6628434</v>
      </c>
      <c r="AG79" s="1084">
        <f>AF79+AF83+AF87</f>
        <v>20000000</v>
      </c>
      <c r="AH79" s="1084">
        <f>(AB79+AB80)-AD79</f>
        <v>0</v>
      </c>
      <c r="AI79" s="1084">
        <f>O79-AD79-AD81</f>
        <v>-1780396.8</v>
      </c>
      <c r="AJ79" s="1119">
        <f>SUM(Z79:Z82)-SUM(AD79:AD82)</f>
        <v>0</v>
      </c>
      <c r="AK79" s="1119">
        <f>P79-V79-V82</f>
        <v>0</v>
      </c>
      <c r="AL79" s="1119">
        <f>SUM(V79:V82)-SUM(Z79:Z82)</f>
        <v>0</v>
      </c>
      <c r="AM79" s="1119">
        <f>AK79+AL79</f>
        <v>0</v>
      </c>
      <c r="AN79" s="1204" t="s">
        <v>953</v>
      </c>
      <c r="AO79" s="1237" t="s">
        <v>955</v>
      </c>
      <c r="AP79" s="1204" t="s">
        <v>194</v>
      </c>
      <c r="AQ79" s="1204" t="s">
        <v>558</v>
      </c>
    </row>
    <row r="80" spans="1:44" ht="27.75" customHeight="1">
      <c r="A80" s="1076"/>
      <c r="B80" s="1171"/>
      <c r="C80" s="1076"/>
      <c r="D80" s="1076"/>
      <c r="E80" s="1252"/>
      <c r="F80" s="1252"/>
      <c r="G80" s="1076"/>
      <c r="H80" s="1076"/>
      <c r="I80" s="1076"/>
      <c r="J80" s="1076"/>
      <c r="K80" s="1076"/>
      <c r="L80" s="1076"/>
      <c r="M80" s="1251"/>
      <c r="N80" s="1123"/>
      <c r="O80" s="1119"/>
      <c r="P80" s="1119"/>
      <c r="Q80" s="1119"/>
      <c r="R80" s="1171"/>
      <c r="S80" s="1196"/>
      <c r="T80" s="1196"/>
      <c r="U80" s="1196"/>
      <c r="V80" s="1119"/>
      <c r="W80" s="1119"/>
      <c r="X80" s="1076"/>
      <c r="Y80" s="1123"/>
      <c r="Z80" s="386">
        <v>0</v>
      </c>
      <c r="AA80" s="386">
        <v>1780396.8</v>
      </c>
      <c r="AB80" s="386">
        <f t="shared" si="8"/>
        <v>1780396.8</v>
      </c>
      <c r="AC80" s="1171"/>
      <c r="AD80" s="1215"/>
      <c r="AE80" s="1215"/>
      <c r="AF80" s="1084"/>
      <c r="AG80" s="1084"/>
      <c r="AH80" s="1084"/>
      <c r="AI80" s="1084"/>
      <c r="AJ80" s="1119"/>
      <c r="AK80" s="1119"/>
      <c r="AL80" s="1119"/>
      <c r="AM80" s="1119"/>
      <c r="AN80" s="1204"/>
      <c r="AO80" s="1204"/>
      <c r="AP80" s="1204"/>
      <c r="AQ80" s="1204"/>
    </row>
    <row r="81" spans="1:43" ht="46.5" customHeight="1">
      <c r="A81" s="1076"/>
      <c r="B81" s="1171"/>
      <c r="C81" s="1076"/>
      <c r="D81" s="1076"/>
      <c r="E81" s="1252"/>
      <c r="F81" s="1252"/>
      <c r="G81" s="1076"/>
      <c r="H81" s="1076"/>
      <c r="I81" s="1076"/>
      <c r="J81" s="1076"/>
      <c r="K81" s="1076"/>
      <c r="L81" s="1076"/>
      <c r="M81" s="1251"/>
      <c r="N81" s="1123"/>
      <c r="O81" s="1119"/>
      <c r="P81" s="1119"/>
      <c r="Q81" s="1119"/>
      <c r="R81" s="1171"/>
      <c r="S81" s="1196"/>
      <c r="T81" s="1196"/>
      <c r="U81" s="1196"/>
      <c r="V81" s="1119"/>
      <c r="W81" s="1119"/>
      <c r="X81" s="1076"/>
      <c r="Y81" s="1123" t="s">
        <v>951</v>
      </c>
      <c r="Z81" s="386">
        <v>2177441</v>
      </c>
      <c r="AA81" s="386">
        <v>-870976.2</v>
      </c>
      <c r="AB81" s="386">
        <f t="shared" si="8"/>
        <v>1306464.8</v>
      </c>
      <c r="AC81" s="1171">
        <v>42023</v>
      </c>
      <c r="AD81" s="395">
        <v>1306464.8</v>
      </c>
      <c r="AE81" s="395" t="s">
        <v>7</v>
      </c>
      <c r="AF81" s="1084"/>
      <c r="AG81" s="1084"/>
      <c r="AH81" s="358">
        <f>AB81-AD81</f>
        <v>0</v>
      </c>
      <c r="AI81" s="1084"/>
      <c r="AJ81" s="1119"/>
      <c r="AK81" s="1119"/>
      <c r="AL81" s="1119"/>
      <c r="AM81" s="1119"/>
      <c r="AN81" s="1204"/>
      <c r="AO81" s="1204"/>
      <c r="AP81" s="1204"/>
      <c r="AQ81" s="1204"/>
    </row>
    <row r="82" spans="1:43" ht="26.25" customHeight="1">
      <c r="A82" s="1076"/>
      <c r="B82" s="1171"/>
      <c r="C82" s="1076"/>
      <c r="D82" s="1076"/>
      <c r="E82" s="1252"/>
      <c r="F82" s="1252"/>
      <c r="G82" s="1076"/>
      <c r="H82" s="1076"/>
      <c r="I82" s="1076"/>
      <c r="J82" s="1076"/>
      <c r="K82" s="1076"/>
      <c r="L82" s="1076"/>
      <c r="M82" s="1251"/>
      <c r="N82" s="372" t="s">
        <v>137</v>
      </c>
      <c r="O82" s="386">
        <v>4450993</v>
      </c>
      <c r="P82" s="1119"/>
      <c r="Q82" s="1119"/>
      <c r="R82" s="1171"/>
      <c r="S82" s="1196"/>
      <c r="T82" s="390">
        <v>4450993</v>
      </c>
      <c r="U82" s="386">
        <f>O82-T82</f>
        <v>0</v>
      </c>
      <c r="V82" s="386">
        <v>4450993</v>
      </c>
      <c r="W82" s="1119"/>
      <c r="X82" s="1076"/>
      <c r="Y82" s="1123"/>
      <c r="Z82" s="386">
        <v>4450993</v>
      </c>
      <c r="AA82" s="386">
        <v>-1780396.8</v>
      </c>
      <c r="AB82" s="386">
        <f t="shared" si="8"/>
        <v>2670596.2000000002</v>
      </c>
      <c r="AC82" s="1171"/>
      <c r="AD82" s="395">
        <v>2670596.2000000002</v>
      </c>
      <c r="AE82" s="395" t="s">
        <v>137</v>
      </c>
      <c r="AF82" s="1084"/>
      <c r="AG82" s="1084"/>
      <c r="AH82" s="358">
        <f>AB82-AD82</f>
        <v>0</v>
      </c>
      <c r="AI82" s="358">
        <f>O82-AD82</f>
        <v>1780396.7999999998</v>
      </c>
      <c r="AJ82" s="1119"/>
      <c r="AK82" s="1119"/>
      <c r="AL82" s="1119"/>
      <c r="AM82" s="1119"/>
      <c r="AN82" s="1204"/>
      <c r="AO82" s="1204"/>
      <c r="AP82" s="1204"/>
      <c r="AQ82" s="1204"/>
    </row>
    <row r="83" spans="1:43" s="29" customFormat="1" ht="29.25" customHeight="1">
      <c r="A83" s="1076"/>
      <c r="B83" s="1171"/>
      <c r="C83" s="1076"/>
      <c r="D83" s="1076"/>
      <c r="E83" s="1252"/>
      <c r="F83" s="1252"/>
      <c r="G83" s="1076"/>
      <c r="H83" s="1076"/>
      <c r="I83" s="1076"/>
      <c r="J83" s="1076"/>
      <c r="K83" s="1076"/>
      <c r="L83" s="1076"/>
      <c r="M83" s="1251">
        <v>32</v>
      </c>
      <c r="N83" s="1254" t="s">
        <v>7</v>
      </c>
      <c r="O83" s="1084">
        <v>2468543</v>
      </c>
      <c r="P83" s="1084">
        <f>O83+O86</f>
        <v>7514592</v>
      </c>
      <c r="Q83" s="1119"/>
      <c r="R83" s="1253">
        <v>40353</v>
      </c>
      <c r="S83" s="1261">
        <f>T83+T86</f>
        <v>7514592</v>
      </c>
      <c r="T83" s="1261">
        <v>2468543</v>
      </c>
      <c r="U83" s="1261">
        <f>O83-T83</f>
        <v>0</v>
      </c>
      <c r="V83" s="1084">
        <v>2468543</v>
      </c>
      <c r="W83" s="1119"/>
      <c r="X83" s="1076"/>
      <c r="Y83" s="1254" t="s">
        <v>950</v>
      </c>
      <c r="Z83" s="358">
        <v>0</v>
      </c>
      <c r="AA83" s="358">
        <v>987417.27</v>
      </c>
      <c r="AB83" s="386">
        <f t="shared" si="8"/>
        <v>987417.27</v>
      </c>
      <c r="AC83" s="1253">
        <v>40388</v>
      </c>
      <c r="AD83" s="1215">
        <v>3005837</v>
      </c>
      <c r="AE83" s="1215" t="s">
        <v>7</v>
      </c>
      <c r="AF83" s="1084">
        <f>SUM(AD83:AD86)</f>
        <v>7514592</v>
      </c>
      <c r="AG83" s="1084"/>
      <c r="AH83" s="1084">
        <f>(AA83+AA84)-AD83</f>
        <v>0</v>
      </c>
      <c r="AI83" s="1084">
        <f>O83-AD83-AD85</f>
        <v>-2018419.73</v>
      </c>
      <c r="AJ83" s="1084">
        <f>SUM(Z83:Z86)-SUM(AD83:AD86)</f>
        <v>0</v>
      </c>
      <c r="AK83" s="1084">
        <f>P83-V83-V86</f>
        <v>0</v>
      </c>
      <c r="AL83" s="1084">
        <f>SUM(V83:V86)-SUM(Z83:Z86)</f>
        <v>0</v>
      </c>
      <c r="AM83" s="1084">
        <f>AK83+AL83</f>
        <v>0</v>
      </c>
      <c r="AN83" s="1204"/>
      <c r="AO83" s="1204"/>
      <c r="AP83" s="1204"/>
      <c r="AQ83" s="1204"/>
    </row>
    <row r="84" spans="1:43" s="29" customFormat="1" ht="33.75" customHeight="1">
      <c r="A84" s="1076"/>
      <c r="B84" s="1171"/>
      <c r="C84" s="1076"/>
      <c r="D84" s="1076"/>
      <c r="E84" s="1252"/>
      <c r="F84" s="1252"/>
      <c r="G84" s="1076"/>
      <c r="H84" s="1076"/>
      <c r="I84" s="1076"/>
      <c r="J84" s="1076"/>
      <c r="K84" s="1076"/>
      <c r="L84" s="1076"/>
      <c r="M84" s="1251"/>
      <c r="N84" s="1254"/>
      <c r="O84" s="1084"/>
      <c r="P84" s="1084"/>
      <c r="Q84" s="1119"/>
      <c r="R84" s="1253"/>
      <c r="S84" s="1261"/>
      <c r="T84" s="1261"/>
      <c r="U84" s="1261"/>
      <c r="V84" s="1084"/>
      <c r="W84" s="1119"/>
      <c r="X84" s="1076"/>
      <c r="Y84" s="1254"/>
      <c r="Z84" s="358">
        <v>0</v>
      </c>
      <c r="AA84" s="358">
        <v>2018419.73</v>
      </c>
      <c r="AB84" s="386">
        <f t="shared" si="8"/>
        <v>2018419.73</v>
      </c>
      <c r="AC84" s="1253"/>
      <c r="AD84" s="1215"/>
      <c r="AE84" s="1215"/>
      <c r="AF84" s="1084"/>
      <c r="AG84" s="1084"/>
      <c r="AH84" s="1084"/>
      <c r="AI84" s="1084"/>
      <c r="AJ84" s="1084"/>
      <c r="AK84" s="1084"/>
      <c r="AL84" s="1084"/>
      <c r="AM84" s="1084"/>
      <c r="AN84" s="1204"/>
      <c r="AO84" s="1204"/>
      <c r="AP84" s="1204"/>
      <c r="AQ84" s="1204"/>
    </row>
    <row r="85" spans="1:43" s="29" customFormat="1" ht="29.25" customHeight="1">
      <c r="A85" s="1076"/>
      <c r="B85" s="1171"/>
      <c r="C85" s="1076"/>
      <c r="D85" s="1076"/>
      <c r="E85" s="1252"/>
      <c r="F85" s="1252"/>
      <c r="G85" s="1076"/>
      <c r="H85" s="1076"/>
      <c r="I85" s="1076"/>
      <c r="J85" s="1076"/>
      <c r="K85" s="1076"/>
      <c r="L85" s="1076"/>
      <c r="M85" s="1251"/>
      <c r="N85" s="1254"/>
      <c r="O85" s="1084"/>
      <c r="P85" s="1084"/>
      <c r="Q85" s="1119"/>
      <c r="R85" s="1253"/>
      <c r="S85" s="1261"/>
      <c r="T85" s="1261"/>
      <c r="U85" s="1261"/>
      <c r="V85" s="1084"/>
      <c r="W85" s="1119"/>
      <c r="X85" s="1076"/>
      <c r="Y85" s="1254" t="s">
        <v>951</v>
      </c>
      <c r="Z85" s="358">
        <v>2468543</v>
      </c>
      <c r="AA85" s="358">
        <v>-987417.27</v>
      </c>
      <c r="AB85" s="386">
        <f t="shared" si="8"/>
        <v>1481125.73</v>
      </c>
      <c r="AC85" s="1253">
        <v>42023</v>
      </c>
      <c r="AD85" s="395">
        <v>1481125.73</v>
      </c>
      <c r="AE85" s="395" t="s">
        <v>7</v>
      </c>
      <c r="AF85" s="1084"/>
      <c r="AG85" s="1084"/>
      <c r="AH85" s="358">
        <f>AB85-AD85</f>
        <v>0</v>
      </c>
      <c r="AI85" s="1084"/>
      <c r="AJ85" s="1084"/>
      <c r="AK85" s="1084"/>
      <c r="AL85" s="1084"/>
      <c r="AM85" s="1084"/>
      <c r="AN85" s="1204"/>
      <c r="AO85" s="1204"/>
      <c r="AP85" s="1204"/>
      <c r="AQ85" s="1204"/>
    </row>
    <row r="86" spans="1:43" s="29" customFormat="1" ht="38.25" customHeight="1">
      <c r="A86" s="1076"/>
      <c r="B86" s="1171"/>
      <c r="C86" s="1076"/>
      <c r="D86" s="1076"/>
      <c r="E86" s="1252"/>
      <c r="F86" s="1252"/>
      <c r="G86" s="1076"/>
      <c r="H86" s="1076"/>
      <c r="I86" s="1076"/>
      <c r="J86" s="1076"/>
      <c r="K86" s="1076"/>
      <c r="L86" s="1076"/>
      <c r="M86" s="1251"/>
      <c r="N86" s="407" t="s">
        <v>137</v>
      </c>
      <c r="O86" s="358">
        <v>5046049</v>
      </c>
      <c r="P86" s="1084"/>
      <c r="Q86" s="1119"/>
      <c r="R86" s="1253"/>
      <c r="S86" s="1261"/>
      <c r="T86" s="358">
        <v>5046049</v>
      </c>
      <c r="U86" s="358">
        <f>O86-T86</f>
        <v>0</v>
      </c>
      <c r="V86" s="358">
        <v>5046049</v>
      </c>
      <c r="W86" s="1119"/>
      <c r="X86" s="1076"/>
      <c r="Y86" s="1254"/>
      <c r="Z86" s="358">
        <v>5046049</v>
      </c>
      <c r="AA86" s="358">
        <v>-2018419.73</v>
      </c>
      <c r="AB86" s="386">
        <f t="shared" si="8"/>
        <v>3027629.27</v>
      </c>
      <c r="AC86" s="1253"/>
      <c r="AD86" s="395">
        <v>3027629.27</v>
      </c>
      <c r="AE86" s="395" t="s">
        <v>137</v>
      </c>
      <c r="AF86" s="1084"/>
      <c r="AG86" s="1084"/>
      <c r="AH86" s="358">
        <f>AB86-AD86</f>
        <v>0</v>
      </c>
      <c r="AI86" s="358">
        <f>O86-AD86</f>
        <v>2018419.73</v>
      </c>
      <c r="AJ86" s="1084"/>
      <c r="AK86" s="1084"/>
      <c r="AL86" s="1084"/>
      <c r="AM86" s="1084"/>
      <c r="AN86" s="1204"/>
      <c r="AO86" s="1204"/>
      <c r="AP86" s="1204"/>
      <c r="AQ86" s="1204"/>
    </row>
    <row r="87" spans="1:43" ht="36.75" customHeight="1">
      <c r="A87" s="1076"/>
      <c r="B87" s="1171"/>
      <c r="C87" s="1076" t="s">
        <v>12</v>
      </c>
      <c r="D87" s="1076"/>
      <c r="E87" s="1252"/>
      <c r="F87" s="1252"/>
      <c r="G87" s="1076"/>
      <c r="H87" s="1076"/>
      <c r="I87" s="1076"/>
      <c r="J87" s="1076"/>
      <c r="K87" s="1076"/>
      <c r="L87" s="1076"/>
      <c r="M87" s="1251">
        <v>48</v>
      </c>
      <c r="N87" s="1123" t="s">
        <v>7</v>
      </c>
      <c r="O87" s="1119">
        <v>2004376</v>
      </c>
      <c r="P87" s="1119">
        <f>O87+O90</f>
        <v>6101600</v>
      </c>
      <c r="Q87" s="1119"/>
      <c r="R87" s="1171">
        <v>40353</v>
      </c>
      <c r="S87" s="1196">
        <f>T87+T90</f>
        <v>5856974</v>
      </c>
      <c r="T87" s="1196">
        <v>1932801</v>
      </c>
      <c r="U87" s="1196">
        <f>O87-T87</f>
        <v>71575</v>
      </c>
      <c r="V87" s="1119">
        <v>1932801</v>
      </c>
      <c r="W87" s="1119"/>
      <c r="X87" s="1076"/>
      <c r="Y87" s="1123" t="s">
        <v>950</v>
      </c>
      <c r="Z87" s="386">
        <v>0</v>
      </c>
      <c r="AA87" s="386">
        <v>773120.53</v>
      </c>
      <c r="AB87" s="386">
        <f t="shared" si="8"/>
        <v>773120.53</v>
      </c>
      <c r="AC87" s="1171">
        <v>40388</v>
      </c>
      <c r="AD87" s="1215">
        <v>2342790</v>
      </c>
      <c r="AE87" s="1215" t="s">
        <v>7</v>
      </c>
      <c r="AF87" s="1084">
        <f>SUM(AD87:AD90)</f>
        <v>5856974</v>
      </c>
      <c r="AG87" s="1084"/>
      <c r="AH87" s="1084">
        <f>(AA87+AA88)-AD87</f>
        <v>0</v>
      </c>
      <c r="AI87" s="1119">
        <f>O87-AD87-AD89</f>
        <v>-1498094.47</v>
      </c>
      <c r="AJ87" s="1119">
        <f>SUM(Z87:Z90)-SUM(AD87:AD90)</f>
        <v>0</v>
      </c>
      <c r="AK87" s="1119">
        <f>O87-V87</f>
        <v>71575</v>
      </c>
      <c r="AL87" s="1119">
        <f>SUM(V87:V90)-SUM(Z87:Z90)</f>
        <v>0</v>
      </c>
      <c r="AM87" s="1119">
        <v>0</v>
      </c>
      <c r="AN87" s="1204"/>
      <c r="AO87" s="1204"/>
      <c r="AP87" s="1204"/>
      <c r="AQ87" s="1204"/>
    </row>
    <row r="88" spans="1:43" ht="30" customHeight="1">
      <c r="A88" s="1076"/>
      <c r="B88" s="1171"/>
      <c r="C88" s="1076"/>
      <c r="D88" s="1076"/>
      <c r="E88" s="1252"/>
      <c r="F88" s="1252"/>
      <c r="G88" s="1076"/>
      <c r="H88" s="1076"/>
      <c r="I88" s="1076"/>
      <c r="J88" s="1076"/>
      <c r="K88" s="1076"/>
      <c r="L88" s="1076"/>
      <c r="M88" s="1251"/>
      <c r="N88" s="1123"/>
      <c r="O88" s="1119"/>
      <c r="P88" s="1119"/>
      <c r="Q88" s="1119"/>
      <c r="R88" s="1171"/>
      <c r="S88" s="1196"/>
      <c r="T88" s="1196"/>
      <c r="U88" s="1196"/>
      <c r="V88" s="1119"/>
      <c r="W88" s="1119"/>
      <c r="X88" s="1076"/>
      <c r="Y88" s="1123"/>
      <c r="Z88" s="386">
        <v>0</v>
      </c>
      <c r="AA88" s="386">
        <v>1569669.47</v>
      </c>
      <c r="AB88" s="386">
        <f t="shared" si="8"/>
        <v>1569669.47</v>
      </c>
      <c r="AC88" s="1171"/>
      <c r="AD88" s="1215"/>
      <c r="AE88" s="1215"/>
      <c r="AF88" s="1084"/>
      <c r="AG88" s="1084"/>
      <c r="AH88" s="1084"/>
      <c r="AI88" s="1119"/>
      <c r="AJ88" s="1119"/>
      <c r="AK88" s="1119"/>
      <c r="AL88" s="1119"/>
      <c r="AM88" s="1119"/>
      <c r="AN88" s="1204"/>
      <c r="AO88" s="1204"/>
      <c r="AP88" s="1204"/>
      <c r="AQ88" s="1204"/>
    </row>
    <row r="89" spans="1:43" ht="37.5" customHeight="1">
      <c r="A89" s="1076"/>
      <c r="B89" s="1171"/>
      <c r="C89" s="1076"/>
      <c r="D89" s="1076"/>
      <c r="E89" s="1252"/>
      <c r="F89" s="1252"/>
      <c r="G89" s="1076"/>
      <c r="H89" s="1076"/>
      <c r="I89" s="1076"/>
      <c r="J89" s="1076"/>
      <c r="K89" s="1076"/>
      <c r="L89" s="1076"/>
      <c r="M89" s="1251"/>
      <c r="N89" s="1123"/>
      <c r="O89" s="1119"/>
      <c r="P89" s="1119"/>
      <c r="Q89" s="1119"/>
      <c r="R89" s="1171"/>
      <c r="S89" s="1196"/>
      <c r="T89" s="1196"/>
      <c r="U89" s="1196"/>
      <c r="V89" s="1119"/>
      <c r="W89" s="1119"/>
      <c r="X89" s="1076"/>
      <c r="Y89" s="1123" t="s">
        <v>952</v>
      </c>
      <c r="Z89" s="386">
        <v>1932801</v>
      </c>
      <c r="AA89" s="386">
        <v>-773120.53</v>
      </c>
      <c r="AB89" s="386">
        <f t="shared" si="8"/>
        <v>1159680.47</v>
      </c>
      <c r="AC89" s="1171">
        <v>42023</v>
      </c>
      <c r="AD89" s="395">
        <v>1159680.47</v>
      </c>
      <c r="AE89" s="395" t="s">
        <v>7</v>
      </c>
      <c r="AF89" s="1084"/>
      <c r="AG89" s="1084"/>
      <c r="AH89" s="358">
        <f>AB89-AD89</f>
        <v>0</v>
      </c>
      <c r="AI89" s="1119"/>
      <c r="AJ89" s="1119"/>
      <c r="AK89" s="1119"/>
      <c r="AL89" s="1119"/>
      <c r="AM89" s="1119"/>
      <c r="AN89" s="1204"/>
      <c r="AO89" s="1204"/>
      <c r="AP89" s="1204"/>
      <c r="AQ89" s="1204"/>
    </row>
    <row r="90" spans="1:43" ht="36.75" customHeight="1">
      <c r="A90" s="1076"/>
      <c r="B90" s="1171"/>
      <c r="C90" s="1076"/>
      <c r="D90" s="1076"/>
      <c r="E90" s="1252"/>
      <c r="F90" s="1252"/>
      <c r="G90" s="1076"/>
      <c r="H90" s="1076"/>
      <c r="I90" s="1076"/>
      <c r="J90" s="1076"/>
      <c r="K90" s="1076"/>
      <c r="L90" s="1076"/>
      <c r="M90" s="1251"/>
      <c r="N90" s="372" t="s">
        <v>137</v>
      </c>
      <c r="O90" s="386">
        <v>4097224</v>
      </c>
      <c r="P90" s="1119"/>
      <c r="Q90" s="1119"/>
      <c r="R90" s="1171"/>
      <c r="S90" s="1196"/>
      <c r="T90" s="386">
        <v>3924173</v>
      </c>
      <c r="U90" s="386">
        <f>O90-T90</f>
        <v>173051</v>
      </c>
      <c r="V90" s="386">
        <v>3924173</v>
      </c>
      <c r="W90" s="1119"/>
      <c r="X90" s="1076"/>
      <c r="Y90" s="1123"/>
      <c r="Z90" s="386">
        <v>3924173</v>
      </c>
      <c r="AA90" s="386">
        <v>-1569669.47</v>
      </c>
      <c r="AB90" s="386">
        <f t="shared" si="8"/>
        <v>2354503.5300000003</v>
      </c>
      <c r="AC90" s="1171"/>
      <c r="AD90" s="395">
        <v>2354503.5299999998</v>
      </c>
      <c r="AE90" s="395" t="s">
        <v>137</v>
      </c>
      <c r="AF90" s="1084"/>
      <c r="AG90" s="1084"/>
      <c r="AH90" s="358">
        <f>AB90-AD90</f>
        <v>0</v>
      </c>
      <c r="AI90" s="358">
        <f>O90-AD90</f>
        <v>1742720.4700000002</v>
      </c>
      <c r="AJ90" s="1119"/>
      <c r="AK90" s="386">
        <f>O90-V90</f>
        <v>173051</v>
      </c>
      <c r="AL90" s="1119"/>
      <c r="AM90" s="1119"/>
      <c r="AN90" s="1204"/>
      <c r="AO90" s="1204"/>
      <c r="AP90" s="1204"/>
      <c r="AQ90" s="1204"/>
    </row>
    <row r="91" spans="1:43" s="4" customFormat="1">
      <c r="A91" s="1076" t="s">
        <v>270</v>
      </c>
      <c r="B91" s="1171">
        <v>40298</v>
      </c>
      <c r="C91" s="1076" t="s">
        <v>24</v>
      </c>
      <c r="D91" s="1076" t="s">
        <v>272</v>
      </c>
      <c r="E91" s="1252">
        <v>19432500</v>
      </c>
      <c r="F91" s="1252"/>
      <c r="G91" s="1076" t="s">
        <v>271</v>
      </c>
      <c r="H91" s="1076" t="s">
        <v>70</v>
      </c>
      <c r="I91" s="1076" t="s">
        <v>177</v>
      </c>
      <c r="J91" s="1076" t="s">
        <v>66</v>
      </c>
      <c r="K91" s="1076" t="s">
        <v>183</v>
      </c>
      <c r="L91" s="1076" t="s">
        <v>278</v>
      </c>
      <c r="M91" s="1318">
        <v>37</v>
      </c>
      <c r="N91" s="1076" t="s">
        <v>7</v>
      </c>
      <c r="O91" s="1119">
        <v>3823937</v>
      </c>
      <c r="P91" s="1119">
        <v>11640600</v>
      </c>
      <c r="Q91" s="1119">
        <f>P91+P96+P101</f>
        <v>23832223</v>
      </c>
      <c r="R91" s="1171">
        <v>40353</v>
      </c>
      <c r="S91" s="390"/>
      <c r="T91" s="386"/>
      <c r="U91" s="386"/>
      <c r="V91" s="1119">
        <f>O91</f>
        <v>3823937</v>
      </c>
      <c r="W91" s="1119">
        <f>V91+V94+V96+V101</f>
        <v>23832084</v>
      </c>
      <c r="X91" s="1076" t="s">
        <v>273</v>
      </c>
      <c r="Y91" s="372" t="s">
        <v>275</v>
      </c>
      <c r="Z91" s="386">
        <v>0</v>
      </c>
      <c r="AA91" s="386">
        <v>4656240</v>
      </c>
      <c r="AB91" s="386">
        <f t="shared" si="8"/>
        <v>4656240</v>
      </c>
      <c r="AC91" s="384">
        <v>40382</v>
      </c>
      <c r="AD91" s="56">
        <v>4656240</v>
      </c>
      <c r="AE91" s="56"/>
      <c r="AF91" s="1315">
        <f>SUM(AD91:AD95)</f>
        <v>11640459.26</v>
      </c>
      <c r="AG91" s="1315">
        <f>AF91+AF96+AF101</f>
        <v>23832082.260000002</v>
      </c>
      <c r="AH91" s="1315">
        <v>0</v>
      </c>
      <c r="AI91" s="1315">
        <f>O91-SUM(AD91:AD93)</f>
        <v>-3126561.8</v>
      </c>
      <c r="AJ91" s="1119">
        <f>SUM(Z91:Z102)-SUM(AD91:AD102)</f>
        <v>1.7400000020861626</v>
      </c>
      <c r="AK91" s="1119">
        <f>O91-V91</f>
        <v>0</v>
      </c>
      <c r="AL91" s="1119">
        <f>SUM(V91:V95)-SUM(Z91:Z95)</f>
        <v>0</v>
      </c>
      <c r="AM91" s="1119">
        <f>AK91+AL91</f>
        <v>0</v>
      </c>
      <c r="AN91" s="1203"/>
      <c r="AO91" s="1204" t="s">
        <v>332</v>
      </c>
      <c r="AP91" s="1204" t="s">
        <v>194</v>
      </c>
      <c r="AQ91" s="1204" t="s">
        <v>342</v>
      </c>
    </row>
    <row r="92" spans="1:43" s="4" customFormat="1">
      <c r="A92" s="1076"/>
      <c r="B92" s="1171"/>
      <c r="C92" s="1076"/>
      <c r="D92" s="1076"/>
      <c r="E92" s="1252"/>
      <c r="F92" s="1252"/>
      <c r="G92" s="1076"/>
      <c r="H92" s="1076"/>
      <c r="I92" s="1076"/>
      <c r="J92" s="1076"/>
      <c r="K92" s="1076"/>
      <c r="L92" s="1076"/>
      <c r="M92" s="1318"/>
      <c r="N92" s="1076"/>
      <c r="O92" s="1119"/>
      <c r="P92" s="1119"/>
      <c r="Q92" s="1119"/>
      <c r="R92" s="1171"/>
      <c r="S92" s="390"/>
      <c r="T92" s="386"/>
      <c r="U92" s="386"/>
      <c r="V92" s="1119"/>
      <c r="W92" s="1119"/>
      <c r="X92" s="1076"/>
      <c r="Y92" s="1123" t="s">
        <v>274</v>
      </c>
      <c r="Z92" s="1119">
        <v>11640461</v>
      </c>
      <c r="AA92" s="1119">
        <v>-4656240</v>
      </c>
      <c r="AB92" s="1119">
        <f t="shared" si="8"/>
        <v>6984221</v>
      </c>
      <c r="AC92" s="384">
        <v>41996</v>
      </c>
      <c r="AD92" s="56">
        <v>1555653.8</v>
      </c>
      <c r="AE92" s="56"/>
      <c r="AF92" s="1315"/>
      <c r="AG92" s="1315"/>
      <c r="AH92" s="1315"/>
      <c r="AI92" s="1315"/>
      <c r="AJ92" s="1119"/>
      <c r="AK92" s="1119"/>
      <c r="AL92" s="1119"/>
      <c r="AM92" s="1119"/>
      <c r="AN92" s="1203"/>
      <c r="AO92" s="1204"/>
      <c r="AP92" s="1204"/>
      <c r="AQ92" s="1204"/>
    </row>
    <row r="93" spans="1:43" s="4" customFormat="1">
      <c r="A93" s="1076"/>
      <c r="B93" s="1171"/>
      <c r="C93" s="1076"/>
      <c r="D93" s="1076"/>
      <c r="E93" s="1252"/>
      <c r="F93" s="1252"/>
      <c r="G93" s="1076"/>
      <c r="H93" s="1076"/>
      <c r="I93" s="1076"/>
      <c r="J93" s="1076"/>
      <c r="K93" s="1076"/>
      <c r="L93" s="1076"/>
      <c r="M93" s="1318"/>
      <c r="N93" s="1076"/>
      <c r="O93" s="1119"/>
      <c r="P93" s="1119"/>
      <c r="Q93" s="1119"/>
      <c r="R93" s="1171"/>
      <c r="S93" s="390"/>
      <c r="T93" s="386"/>
      <c r="U93" s="386"/>
      <c r="V93" s="1119"/>
      <c r="W93" s="1119"/>
      <c r="X93" s="1076"/>
      <c r="Y93" s="1123"/>
      <c r="Z93" s="1119"/>
      <c r="AA93" s="1119"/>
      <c r="AB93" s="1119"/>
      <c r="AC93" s="384">
        <v>41997</v>
      </c>
      <c r="AD93" s="56">
        <v>738605</v>
      </c>
      <c r="AE93" s="56"/>
      <c r="AF93" s="1315"/>
      <c r="AG93" s="1315"/>
      <c r="AH93" s="1315"/>
      <c r="AI93" s="1315"/>
      <c r="AJ93" s="1119"/>
      <c r="AK93" s="1119"/>
      <c r="AL93" s="1119"/>
      <c r="AM93" s="1119"/>
      <c r="AN93" s="1203"/>
      <c r="AO93" s="1204"/>
      <c r="AP93" s="1204"/>
      <c r="AQ93" s="1204"/>
    </row>
    <row r="94" spans="1:43" s="4" customFormat="1">
      <c r="A94" s="1076"/>
      <c r="B94" s="1171"/>
      <c r="C94" s="1076"/>
      <c r="D94" s="1076"/>
      <c r="E94" s="1252"/>
      <c r="F94" s="1252"/>
      <c r="G94" s="1076"/>
      <c r="H94" s="1076"/>
      <c r="I94" s="1076"/>
      <c r="J94" s="1076"/>
      <c r="K94" s="1076"/>
      <c r="L94" s="1076"/>
      <c r="M94" s="1318"/>
      <c r="N94" s="1076" t="s">
        <v>137</v>
      </c>
      <c r="O94" s="1119">
        <v>7816663</v>
      </c>
      <c r="P94" s="1119"/>
      <c r="Q94" s="1119"/>
      <c r="R94" s="1171"/>
      <c r="S94" s="390"/>
      <c r="T94" s="386"/>
      <c r="U94" s="386"/>
      <c r="V94" s="1119">
        <v>7816524</v>
      </c>
      <c r="W94" s="1119"/>
      <c r="X94" s="1076"/>
      <c r="Y94" s="1123"/>
      <c r="Z94" s="1119"/>
      <c r="AA94" s="1119"/>
      <c r="AB94" s="1119"/>
      <c r="AC94" s="384">
        <v>41996</v>
      </c>
      <c r="AD94" s="56">
        <v>3180093.46</v>
      </c>
      <c r="AE94" s="56"/>
      <c r="AF94" s="1315"/>
      <c r="AG94" s="1315"/>
      <c r="AH94" s="1315"/>
      <c r="AI94" s="1315">
        <f>O94-SUM(AD94:AD95)</f>
        <v>3126702.54</v>
      </c>
      <c r="AJ94" s="1119"/>
      <c r="AK94" s="1119">
        <f>O94-V94+AJ91</f>
        <v>140.74000000208616</v>
      </c>
      <c r="AL94" s="1119"/>
      <c r="AM94" s="1324">
        <f>AK94+AL91</f>
        <v>140.74000000208616</v>
      </c>
      <c r="AN94" s="1203"/>
      <c r="AO94" s="1204"/>
      <c r="AP94" s="1204"/>
      <c r="AQ94" s="1204"/>
    </row>
    <row r="95" spans="1:43" s="4" customFormat="1">
      <c r="A95" s="1076"/>
      <c r="B95" s="1171"/>
      <c r="C95" s="1076"/>
      <c r="D95" s="1076"/>
      <c r="E95" s="1252"/>
      <c r="F95" s="1252"/>
      <c r="G95" s="1076"/>
      <c r="H95" s="1076"/>
      <c r="I95" s="1076"/>
      <c r="J95" s="1076"/>
      <c r="K95" s="1076"/>
      <c r="L95" s="1076"/>
      <c r="M95" s="1318"/>
      <c r="N95" s="1076"/>
      <c r="O95" s="1119"/>
      <c r="P95" s="1119"/>
      <c r="Q95" s="1119"/>
      <c r="R95" s="1171"/>
      <c r="S95" s="390"/>
      <c r="T95" s="386"/>
      <c r="U95" s="386"/>
      <c r="V95" s="1119"/>
      <c r="W95" s="1119"/>
      <c r="X95" s="1076"/>
      <c r="Y95" s="1123"/>
      <c r="Z95" s="1119"/>
      <c r="AA95" s="1119"/>
      <c r="AB95" s="1119"/>
      <c r="AC95" s="384">
        <v>41997</v>
      </c>
      <c r="AD95" s="56">
        <v>1509867</v>
      </c>
      <c r="AE95" s="56"/>
      <c r="AF95" s="1315"/>
      <c r="AG95" s="1315"/>
      <c r="AH95" s="1315"/>
      <c r="AI95" s="1315"/>
      <c r="AJ95" s="1119"/>
      <c r="AK95" s="1119"/>
      <c r="AL95" s="1119"/>
      <c r="AM95" s="1324"/>
      <c r="AN95" s="1203"/>
      <c r="AO95" s="1204"/>
      <c r="AP95" s="1204"/>
      <c r="AQ95" s="1204"/>
    </row>
    <row r="96" spans="1:43" s="4" customFormat="1">
      <c r="A96" s="1076"/>
      <c r="B96" s="1171"/>
      <c r="C96" s="1076" t="s">
        <v>35</v>
      </c>
      <c r="D96" s="1076"/>
      <c r="E96" s="1252"/>
      <c r="F96" s="1252"/>
      <c r="G96" s="1076"/>
      <c r="H96" s="1076"/>
      <c r="I96" s="1076"/>
      <c r="J96" s="1076"/>
      <c r="K96" s="1076"/>
      <c r="L96" s="1076"/>
      <c r="M96" s="1318">
        <v>36</v>
      </c>
      <c r="N96" s="1076" t="s">
        <v>7</v>
      </c>
      <c r="O96" s="1119">
        <v>2092980</v>
      </c>
      <c r="P96" s="1119">
        <v>6371323</v>
      </c>
      <c r="Q96" s="1119"/>
      <c r="R96" s="1171">
        <v>40353</v>
      </c>
      <c r="S96" s="390"/>
      <c r="T96" s="386"/>
      <c r="U96" s="386"/>
      <c r="V96" s="1119">
        <f>P96</f>
        <v>6371323</v>
      </c>
      <c r="W96" s="1119"/>
      <c r="X96" s="1076"/>
      <c r="Y96" s="372" t="s">
        <v>275</v>
      </c>
      <c r="Z96" s="386">
        <v>0</v>
      </c>
      <c r="AA96" s="386">
        <v>2548474</v>
      </c>
      <c r="AB96" s="386">
        <f>Z96+AA96</f>
        <v>2548474</v>
      </c>
      <c r="AC96" s="384">
        <v>40382</v>
      </c>
      <c r="AD96" s="56">
        <v>2548474</v>
      </c>
      <c r="AE96" s="56"/>
      <c r="AF96" s="1315">
        <f>SUM(AD96:AD100)</f>
        <v>6371323.0000000009</v>
      </c>
      <c r="AG96" s="1315"/>
      <c r="AH96" s="1315">
        <v>0</v>
      </c>
      <c r="AI96" s="1315">
        <f>O96-SUM(AD96:AD98)</f>
        <v>-1711300.1300000004</v>
      </c>
      <c r="AJ96" s="1119"/>
      <c r="AK96" s="1119">
        <f>P96-V96</f>
        <v>0</v>
      </c>
      <c r="AL96" s="1119">
        <f>V96-SUM(Z96:Z100)</f>
        <v>0</v>
      </c>
      <c r="AM96" s="1119">
        <f>AK96+AL96</f>
        <v>0</v>
      </c>
      <c r="AN96" s="1203"/>
      <c r="AO96" s="1204"/>
      <c r="AP96" s="1204"/>
      <c r="AQ96" s="1204"/>
    </row>
    <row r="97" spans="1:44" s="4" customFormat="1">
      <c r="A97" s="1076"/>
      <c r="B97" s="1171"/>
      <c r="C97" s="1076"/>
      <c r="D97" s="1076"/>
      <c r="E97" s="1252"/>
      <c r="F97" s="1252"/>
      <c r="G97" s="1076"/>
      <c r="H97" s="1076"/>
      <c r="I97" s="1076"/>
      <c r="J97" s="1076"/>
      <c r="K97" s="1076"/>
      <c r="L97" s="1076"/>
      <c r="M97" s="1318"/>
      <c r="N97" s="1076"/>
      <c r="O97" s="1119"/>
      <c r="P97" s="1119"/>
      <c r="Q97" s="1119"/>
      <c r="R97" s="1171"/>
      <c r="S97" s="390"/>
      <c r="T97" s="386"/>
      <c r="U97" s="386"/>
      <c r="V97" s="1119"/>
      <c r="W97" s="1119"/>
      <c r="X97" s="1076"/>
      <c r="Y97" s="1123" t="s">
        <v>276</v>
      </c>
      <c r="Z97" s="1119">
        <v>6371323</v>
      </c>
      <c r="AA97" s="1119">
        <v>-2548474</v>
      </c>
      <c r="AB97" s="1119">
        <f>Z97+AA97</f>
        <v>3822849</v>
      </c>
      <c r="AC97" s="384">
        <v>41996</v>
      </c>
      <c r="AD97" s="56">
        <v>851526.03</v>
      </c>
      <c r="AE97" s="56"/>
      <c r="AF97" s="1315"/>
      <c r="AG97" s="1315"/>
      <c r="AH97" s="1315"/>
      <c r="AI97" s="1315"/>
      <c r="AJ97" s="1119"/>
      <c r="AK97" s="1119"/>
      <c r="AL97" s="1119"/>
      <c r="AM97" s="1119"/>
      <c r="AN97" s="1203"/>
      <c r="AO97" s="1204"/>
      <c r="AP97" s="1204"/>
      <c r="AQ97" s="1204"/>
    </row>
    <row r="98" spans="1:44" s="4" customFormat="1">
      <c r="A98" s="1076"/>
      <c r="B98" s="1171"/>
      <c r="C98" s="1076"/>
      <c r="D98" s="1076"/>
      <c r="E98" s="1252"/>
      <c r="F98" s="1252"/>
      <c r="G98" s="1076"/>
      <c r="H98" s="1076"/>
      <c r="I98" s="1076"/>
      <c r="J98" s="1076"/>
      <c r="K98" s="1076"/>
      <c r="L98" s="1076"/>
      <c r="M98" s="1318"/>
      <c r="N98" s="1076"/>
      <c r="O98" s="1119"/>
      <c r="P98" s="1119"/>
      <c r="Q98" s="1119"/>
      <c r="R98" s="1171"/>
      <c r="S98" s="390"/>
      <c r="T98" s="386"/>
      <c r="U98" s="386"/>
      <c r="V98" s="1119"/>
      <c r="W98" s="1119"/>
      <c r="X98" s="1076"/>
      <c r="Y98" s="1123"/>
      <c r="Z98" s="1119"/>
      <c r="AA98" s="1119"/>
      <c r="AB98" s="1119"/>
      <c r="AC98" s="384">
        <v>41997</v>
      </c>
      <c r="AD98" s="56">
        <v>404280.1</v>
      </c>
      <c r="AE98" s="56"/>
      <c r="AF98" s="1315"/>
      <c r="AG98" s="1315"/>
      <c r="AH98" s="1315"/>
      <c r="AI98" s="1315"/>
      <c r="AJ98" s="1119"/>
      <c r="AK98" s="1119"/>
      <c r="AL98" s="1119"/>
      <c r="AM98" s="1119"/>
      <c r="AN98" s="1203"/>
      <c r="AO98" s="1204"/>
      <c r="AP98" s="1204"/>
      <c r="AQ98" s="1204"/>
    </row>
    <row r="99" spans="1:44" s="4" customFormat="1">
      <c r="A99" s="1076"/>
      <c r="B99" s="1171"/>
      <c r="C99" s="1076"/>
      <c r="D99" s="1076"/>
      <c r="E99" s="1252"/>
      <c r="F99" s="1252"/>
      <c r="G99" s="1076"/>
      <c r="H99" s="1076"/>
      <c r="I99" s="1076"/>
      <c r="J99" s="1076"/>
      <c r="K99" s="1076"/>
      <c r="L99" s="1076"/>
      <c r="M99" s="1318"/>
      <c r="N99" s="1076" t="s">
        <v>137</v>
      </c>
      <c r="O99" s="1119">
        <v>4278343</v>
      </c>
      <c r="P99" s="1119"/>
      <c r="Q99" s="1119"/>
      <c r="R99" s="1171"/>
      <c r="S99" s="390"/>
      <c r="T99" s="386"/>
      <c r="U99" s="386"/>
      <c r="V99" s="1119"/>
      <c r="W99" s="1119"/>
      <c r="X99" s="1076"/>
      <c r="Y99" s="1123"/>
      <c r="Z99" s="1119"/>
      <c r="AA99" s="1119"/>
      <c r="AB99" s="1119"/>
      <c r="AC99" s="384">
        <v>41996</v>
      </c>
      <c r="AD99" s="56">
        <v>1740637.97</v>
      </c>
      <c r="AE99" s="56"/>
      <c r="AF99" s="1315"/>
      <c r="AG99" s="1315"/>
      <c r="AH99" s="1315"/>
      <c r="AI99" s="1315">
        <f>O99-SUM(AD99:AD100)</f>
        <v>1711300.13</v>
      </c>
      <c r="AJ99" s="1119"/>
      <c r="AK99" s="1119"/>
      <c r="AL99" s="1119"/>
      <c r="AM99" s="1119"/>
      <c r="AN99" s="1203"/>
      <c r="AO99" s="1204"/>
      <c r="AP99" s="1204"/>
      <c r="AQ99" s="1204"/>
    </row>
    <row r="100" spans="1:44" s="4" customFormat="1">
      <c r="A100" s="1076"/>
      <c r="B100" s="1171"/>
      <c r="C100" s="1076"/>
      <c r="D100" s="1076"/>
      <c r="E100" s="1252"/>
      <c r="F100" s="1252"/>
      <c r="G100" s="1076"/>
      <c r="H100" s="1076"/>
      <c r="I100" s="1076"/>
      <c r="J100" s="1076"/>
      <c r="K100" s="1076"/>
      <c r="L100" s="1076"/>
      <c r="M100" s="1318"/>
      <c r="N100" s="1076"/>
      <c r="O100" s="1119"/>
      <c r="P100" s="1119"/>
      <c r="Q100" s="1119"/>
      <c r="R100" s="1171"/>
      <c r="S100" s="390"/>
      <c r="T100" s="386"/>
      <c r="U100" s="386"/>
      <c r="V100" s="1119"/>
      <c r="W100" s="1119"/>
      <c r="X100" s="1076"/>
      <c r="Y100" s="1123"/>
      <c r="Z100" s="1119"/>
      <c r="AA100" s="1119"/>
      <c r="AB100" s="1119"/>
      <c r="AC100" s="384">
        <v>41997</v>
      </c>
      <c r="AD100" s="56">
        <v>826404.9</v>
      </c>
      <c r="AE100" s="56"/>
      <c r="AF100" s="1315"/>
      <c r="AG100" s="1315"/>
      <c r="AH100" s="1315"/>
      <c r="AI100" s="1315"/>
      <c r="AJ100" s="1119"/>
      <c r="AK100" s="1119"/>
      <c r="AL100" s="1119"/>
      <c r="AM100" s="1119"/>
      <c r="AN100" s="1203"/>
      <c r="AO100" s="1204"/>
      <c r="AP100" s="1204"/>
      <c r="AQ100" s="1204"/>
    </row>
    <row r="101" spans="1:44" s="4" customFormat="1">
      <c r="A101" s="1076"/>
      <c r="B101" s="1171"/>
      <c r="C101" s="1076"/>
      <c r="D101" s="1076"/>
      <c r="E101" s="1252"/>
      <c r="F101" s="1252"/>
      <c r="G101" s="1076"/>
      <c r="H101" s="1076"/>
      <c r="I101" s="1076"/>
      <c r="J101" s="1076" t="s">
        <v>67</v>
      </c>
      <c r="K101" s="1076"/>
      <c r="L101" s="1076"/>
      <c r="M101" s="1318">
        <v>165</v>
      </c>
      <c r="N101" s="1076" t="s">
        <v>7</v>
      </c>
      <c r="O101" s="1119">
        <v>5820300</v>
      </c>
      <c r="P101" s="1119">
        <v>5820300</v>
      </c>
      <c r="Q101" s="1119"/>
      <c r="R101" s="1171">
        <v>40701</v>
      </c>
      <c r="S101" s="390"/>
      <c r="T101" s="386"/>
      <c r="U101" s="386"/>
      <c r="V101" s="1119">
        <v>5820300</v>
      </c>
      <c r="W101" s="1119"/>
      <c r="X101" s="1076"/>
      <c r="Y101" s="1123" t="s">
        <v>277</v>
      </c>
      <c r="Z101" s="1119">
        <v>5820300</v>
      </c>
      <c r="AA101" s="1119">
        <v>0</v>
      </c>
      <c r="AB101" s="1119">
        <v>5820300</v>
      </c>
      <c r="AC101" s="384">
        <v>41996</v>
      </c>
      <c r="AD101" s="56">
        <v>4779440</v>
      </c>
      <c r="AE101" s="56"/>
      <c r="AF101" s="1315">
        <f>SUM(AD101:AD102)</f>
        <v>5820300</v>
      </c>
      <c r="AG101" s="1315"/>
      <c r="AH101" s="1315">
        <v>0</v>
      </c>
      <c r="AI101" s="1315">
        <f>O101-SUM(AD101:AD102)</f>
        <v>0</v>
      </c>
      <c r="AJ101" s="1119"/>
      <c r="AK101" s="1119">
        <f>P101-V101</f>
        <v>0</v>
      </c>
      <c r="AL101" s="1119">
        <f>V101-Z101</f>
        <v>0</v>
      </c>
      <c r="AM101" s="1119">
        <f>AK101+AL101</f>
        <v>0</v>
      </c>
      <c r="AN101" s="1203"/>
      <c r="AO101" s="1204"/>
      <c r="AP101" s="1204"/>
      <c r="AQ101" s="1204"/>
    </row>
    <row r="102" spans="1:44" s="4" customFormat="1">
      <c r="A102" s="1076"/>
      <c r="B102" s="1171"/>
      <c r="C102" s="1076"/>
      <c r="D102" s="1076"/>
      <c r="E102" s="1252"/>
      <c r="F102" s="1252"/>
      <c r="G102" s="1076"/>
      <c r="H102" s="1076"/>
      <c r="I102" s="1076"/>
      <c r="J102" s="1076"/>
      <c r="K102" s="1076"/>
      <c r="L102" s="1076"/>
      <c r="M102" s="1318"/>
      <c r="N102" s="1076"/>
      <c r="O102" s="1119"/>
      <c r="P102" s="1119"/>
      <c r="Q102" s="1119"/>
      <c r="R102" s="1171"/>
      <c r="S102" s="390"/>
      <c r="T102" s="386"/>
      <c r="U102" s="386"/>
      <c r="V102" s="1119"/>
      <c r="W102" s="1119"/>
      <c r="X102" s="1076"/>
      <c r="Y102" s="1123"/>
      <c r="Z102" s="1119"/>
      <c r="AA102" s="1119"/>
      <c r="AB102" s="1119"/>
      <c r="AC102" s="384">
        <v>41997</v>
      </c>
      <c r="AD102" s="56">
        <v>1040860</v>
      </c>
      <c r="AE102" s="56"/>
      <c r="AF102" s="1315"/>
      <c r="AG102" s="1315"/>
      <c r="AH102" s="1315"/>
      <c r="AI102" s="1315"/>
      <c r="AJ102" s="1119"/>
      <c r="AK102" s="1119"/>
      <c r="AL102" s="1119"/>
      <c r="AM102" s="1119"/>
      <c r="AN102" s="1203"/>
      <c r="AO102" s="1204"/>
      <c r="AP102" s="1204"/>
      <c r="AQ102" s="1204"/>
    </row>
    <row r="103" spans="1:44" s="4" customFormat="1">
      <c r="A103" s="1076" t="s">
        <v>279</v>
      </c>
      <c r="B103" s="1171">
        <v>40298</v>
      </c>
      <c r="C103" s="1076" t="s">
        <v>24</v>
      </c>
      <c r="D103" s="1076" t="s">
        <v>280</v>
      </c>
      <c r="E103" s="1252">
        <v>76304401</v>
      </c>
      <c r="F103" s="1252"/>
      <c r="G103" s="1076" t="s">
        <v>281</v>
      </c>
      <c r="H103" s="1076" t="s">
        <v>70</v>
      </c>
      <c r="I103" s="1076" t="s">
        <v>177</v>
      </c>
      <c r="J103" s="1076" t="s">
        <v>66</v>
      </c>
      <c r="K103" s="1076" t="s">
        <v>183</v>
      </c>
      <c r="L103" s="1076" t="s">
        <v>289</v>
      </c>
      <c r="M103" s="1318">
        <v>38</v>
      </c>
      <c r="N103" s="1076" t="s">
        <v>7</v>
      </c>
      <c r="O103" s="1119">
        <v>5418673</v>
      </c>
      <c r="P103" s="1119">
        <v>16495200</v>
      </c>
      <c r="Q103" s="1119">
        <f>P103</f>
        <v>16495200</v>
      </c>
      <c r="R103" s="1171">
        <v>40353</v>
      </c>
      <c r="S103" s="390"/>
      <c r="T103" s="386"/>
      <c r="U103" s="386"/>
      <c r="V103" s="1119">
        <v>16495200</v>
      </c>
      <c r="W103" s="1119">
        <v>16495200</v>
      </c>
      <c r="X103" s="1076" t="s">
        <v>282</v>
      </c>
      <c r="Y103" s="1123" t="s">
        <v>283</v>
      </c>
      <c r="Z103" s="1119">
        <v>0</v>
      </c>
      <c r="AA103" s="1119">
        <f>4430611+2167469</f>
        <v>6598080</v>
      </c>
      <c r="AB103" s="1119">
        <v>6598080</v>
      </c>
      <c r="AC103" s="1171">
        <v>40382</v>
      </c>
      <c r="AD103" s="56">
        <v>4430611</v>
      </c>
      <c r="AE103" s="56"/>
      <c r="AF103" s="1315">
        <f>SUM(AD103:AD110)</f>
        <v>16495200.000000002</v>
      </c>
      <c r="AG103" s="1315">
        <f>AF103</f>
        <v>16495200.000000002</v>
      </c>
      <c r="AH103" s="1315">
        <v>0</v>
      </c>
      <c r="AI103" s="1315">
        <f>O103-AD103-AD104-AD105-AD109-AD110</f>
        <v>-6821260.4400000004</v>
      </c>
      <c r="AJ103" s="1119">
        <f>SUM(Z103:Z110)-SUM(AD103:AD110)</f>
        <v>0</v>
      </c>
      <c r="AK103" s="1119">
        <f>P103-V103</f>
        <v>0</v>
      </c>
      <c r="AL103" s="1119">
        <f>V103-SUM(Z103:Z110)</f>
        <v>0</v>
      </c>
      <c r="AM103" s="1119">
        <f>AK103+AL103</f>
        <v>0</v>
      </c>
      <c r="AN103" s="1203"/>
      <c r="AO103" s="1204" t="s">
        <v>333</v>
      </c>
      <c r="AP103" s="1204" t="s">
        <v>194</v>
      </c>
      <c r="AQ103" s="1204" t="s">
        <v>342</v>
      </c>
    </row>
    <row r="104" spans="1:44" s="4" customFormat="1">
      <c r="A104" s="1076"/>
      <c r="B104" s="1171"/>
      <c r="C104" s="1076"/>
      <c r="D104" s="1076"/>
      <c r="E104" s="1252"/>
      <c r="F104" s="1252"/>
      <c r="G104" s="1076"/>
      <c r="H104" s="1076"/>
      <c r="I104" s="1076"/>
      <c r="J104" s="1076"/>
      <c r="K104" s="1076"/>
      <c r="L104" s="1076"/>
      <c r="M104" s="1318"/>
      <c r="N104" s="1076"/>
      <c r="O104" s="1119"/>
      <c r="P104" s="1119"/>
      <c r="Q104" s="1119"/>
      <c r="R104" s="1171"/>
      <c r="S104" s="390"/>
      <c r="T104" s="386"/>
      <c r="U104" s="386"/>
      <c r="V104" s="1119"/>
      <c r="W104" s="1119"/>
      <c r="X104" s="1076"/>
      <c r="Y104" s="1123"/>
      <c r="Z104" s="1119"/>
      <c r="AA104" s="1119"/>
      <c r="AB104" s="1119"/>
      <c r="AC104" s="1171"/>
      <c r="AD104" s="56">
        <v>2167469</v>
      </c>
      <c r="AE104" s="56"/>
      <c r="AF104" s="1315"/>
      <c r="AG104" s="1315"/>
      <c r="AH104" s="1315"/>
      <c r="AI104" s="1315"/>
      <c r="AJ104" s="1119"/>
      <c r="AK104" s="1119"/>
      <c r="AL104" s="1119"/>
      <c r="AM104" s="1119"/>
      <c r="AN104" s="1203"/>
      <c r="AO104" s="1204"/>
      <c r="AP104" s="1204"/>
      <c r="AQ104" s="1204"/>
    </row>
    <row r="105" spans="1:44" s="4" customFormat="1">
      <c r="A105" s="1076"/>
      <c r="B105" s="1171"/>
      <c r="C105" s="1076"/>
      <c r="D105" s="1076"/>
      <c r="E105" s="1252"/>
      <c r="F105" s="1252"/>
      <c r="G105" s="1076"/>
      <c r="H105" s="1076"/>
      <c r="I105" s="1076"/>
      <c r="J105" s="1076"/>
      <c r="K105" s="1076"/>
      <c r="L105" s="1076"/>
      <c r="M105" s="1318"/>
      <c r="N105" s="1076"/>
      <c r="O105" s="1119"/>
      <c r="P105" s="1119"/>
      <c r="Q105" s="1119"/>
      <c r="R105" s="1171"/>
      <c r="S105" s="390"/>
      <c r="T105" s="386"/>
      <c r="U105" s="386"/>
      <c r="V105" s="1119"/>
      <c r="W105" s="1119"/>
      <c r="X105" s="1076"/>
      <c r="Y105" s="1123" t="s">
        <v>286</v>
      </c>
      <c r="Z105" s="1119">
        <v>11546640</v>
      </c>
      <c r="AA105" s="1119">
        <v>-4618656</v>
      </c>
      <c r="AB105" s="1119">
        <f>Z105+AA105</f>
        <v>6927984</v>
      </c>
      <c r="AC105" s="1171">
        <v>40548</v>
      </c>
      <c r="AD105" s="56">
        <v>4652141.4400000004</v>
      </c>
      <c r="AE105" s="56"/>
      <c r="AF105" s="1315"/>
      <c r="AG105" s="1315"/>
      <c r="AH105" s="1315"/>
      <c r="AI105" s="1315"/>
      <c r="AJ105" s="1119"/>
      <c r="AK105" s="1119"/>
      <c r="AL105" s="1119"/>
      <c r="AM105" s="1119"/>
      <c r="AN105" s="1203"/>
      <c r="AO105" s="1204"/>
      <c r="AP105" s="1204"/>
      <c r="AQ105" s="1204"/>
    </row>
    <row r="106" spans="1:44" s="4" customFormat="1">
      <c r="A106" s="1076"/>
      <c r="B106" s="1171"/>
      <c r="C106" s="1076"/>
      <c r="D106" s="1076"/>
      <c r="E106" s="1252"/>
      <c r="F106" s="1252"/>
      <c r="G106" s="1076"/>
      <c r="H106" s="1076"/>
      <c r="I106" s="1076"/>
      <c r="J106" s="1076"/>
      <c r="K106" s="1076"/>
      <c r="L106" s="1076"/>
      <c r="M106" s="1318"/>
      <c r="N106" s="1076"/>
      <c r="O106" s="1119"/>
      <c r="P106" s="1119"/>
      <c r="Q106" s="1119"/>
      <c r="R106" s="1171"/>
      <c r="S106" s="390"/>
      <c r="T106" s="386"/>
      <c r="U106" s="386"/>
      <c r="V106" s="1119"/>
      <c r="W106" s="1119"/>
      <c r="X106" s="1076"/>
      <c r="Y106" s="1123"/>
      <c r="Z106" s="1119"/>
      <c r="AA106" s="1119"/>
      <c r="AB106" s="1119"/>
      <c r="AC106" s="1171"/>
      <c r="AD106" s="56">
        <v>2275842.56</v>
      </c>
      <c r="AE106" s="56"/>
      <c r="AF106" s="1315"/>
      <c r="AG106" s="1315"/>
      <c r="AH106" s="1315"/>
      <c r="AI106" s="1315"/>
      <c r="AJ106" s="1119"/>
      <c r="AK106" s="1119"/>
      <c r="AL106" s="1119"/>
      <c r="AM106" s="1119"/>
      <c r="AN106" s="1203"/>
      <c r="AO106" s="1204"/>
      <c r="AP106" s="1204"/>
      <c r="AQ106" s="1204"/>
    </row>
    <row r="107" spans="1:44" s="4" customFormat="1">
      <c r="A107" s="1076"/>
      <c r="B107" s="1171"/>
      <c r="C107" s="1076"/>
      <c r="D107" s="1076"/>
      <c r="E107" s="1252"/>
      <c r="F107" s="1252"/>
      <c r="G107" s="1076"/>
      <c r="H107" s="1076"/>
      <c r="I107" s="1076"/>
      <c r="J107" s="1076"/>
      <c r="K107" s="1076"/>
      <c r="L107" s="1076"/>
      <c r="M107" s="1318"/>
      <c r="N107" s="1076" t="s">
        <v>137</v>
      </c>
      <c r="O107" s="1119">
        <v>11076527</v>
      </c>
      <c r="P107" s="1119"/>
      <c r="Q107" s="1119"/>
      <c r="R107" s="1171"/>
      <c r="S107" s="390"/>
      <c r="T107" s="386"/>
      <c r="U107" s="386"/>
      <c r="V107" s="1119"/>
      <c r="W107" s="1119"/>
      <c r="X107" s="1076"/>
      <c r="Y107" s="1123" t="s">
        <v>287</v>
      </c>
      <c r="Z107" s="1119">
        <v>3299040</v>
      </c>
      <c r="AA107" s="1119">
        <v>-1319616</v>
      </c>
      <c r="AB107" s="1119">
        <f>Z107+AA107</f>
        <v>1979424</v>
      </c>
      <c r="AC107" s="1171">
        <v>40889</v>
      </c>
      <c r="AD107" s="56">
        <v>1329262.23</v>
      </c>
      <c r="AE107" s="56"/>
      <c r="AF107" s="1315"/>
      <c r="AG107" s="1315"/>
      <c r="AH107" s="1315"/>
      <c r="AI107" s="1315">
        <f>O107-AD106-AD107-AD108</f>
        <v>6821260.4399999995</v>
      </c>
      <c r="AJ107" s="1119"/>
      <c r="AK107" s="1119"/>
      <c r="AL107" s="1119"/>
      <c r="AM107" s="1119"/>
      <c r="AN107" s="1203"/>
      <c r="AO107" s="1204"/>
      <c r="AP107" s="1204"/>
      <c r="AQ107" s="1204"/>
    </row>
    <row r="108" spans="1:44" s="4" customFormat="1">
      <c r="A108" s="1076"/>
      <c r="B108" s="1171"/>
      <c r="C108" s="1076"/>
      <c r="D108" s="1076"/>
      <c r="E108" s="1252"/>
      <c r="F108" s="1252"/>
      <c r="G108" s="1076"/>
      <c r="H108" s="1076"/>
      <c r="I108" s="1076"/>
      <c r="J108" s="1076"/>
      <c r="K108" s="1076"/>
      <c r="L108" s="1076"/>
      <c r="M108" s="1318"/>
      <c r="N108" s="1076"/>
      <c r="O108" s="1119"/>
      <c r="P108" s="1119"/>
      <c r="Q108" s="1119"/>
      <c r="R108" s="1171"/>
      <c r="S108" s="390"/>
      <c r="T108" s="386"/>
      <c r="U108" s="386"/>
      <c r="V108" s="1119"/>
      <c r="W108" s="1119"/>
      <c r="X108" s="1076"/>
      <c r="Y108" s="1123"/>
      <c r="Z108" s="1119"/>
      <c r="AA108" s="1119"/>
      <c r="AB108" s="1119"/>
      <c r="AC108" s="1171"/>
      <c r="AD108" s="56">
        <v>650161.77</v>
      </c>
      <c r="AE108" s="56"/>
      <c r="AF108" s="1315"/>
      <c r="AG108" s="1315"/>
      <c r="AH108" s="1315"/>
      <c r="AI108" s="1315"/>
      <c r="AJ108" s="1119"/>
      <c r="AK108" s="1119"/>
      <c r="AL108" s="1119"/>
      <c r="AM108" s="1119"/>
      <c r="AN108" s="1203"/>
      <c r="AO108" s="1204"/>
      <c r="AP108" s="1204"/>
      <c r="AQ108" s="1204"/>
    </row>
    <row r="109" spans="1:44" s="4" customFormat="1">
      <c r="A109" s="1076"/>
      <c r="B109" s="1171"/>
      <c r="C109" s="1076"/>
      <c r="D109" s="1076"/>
      <c r="E109" s="1252"/>
      <c r="F109" s="1252"/>
      <c r="G109" s="1076"/>
      <c r="H109" s="1076"/>
      <c r="I109" s="1076"/>
      <c r="J109" s="1076"/>
      <c r="K109" s="1076"/>
      <c r="L109" s="1076"/>
      <c r="M109" s="1318"/>
      <c r="N109" s="1076"/>
      <c r="O109" s="1119"/>
      <c r="P109" s="1119"/>
      <c r="Q109" s="1119"/>
      <c r="R109" s="1171"/>
      <c r="S109" s="390"/>
      <c r="T109" s="386"/>
      <c r="U109" s="386"/>
      <c r="V109" s="1119"/>
      <c r="W109" s="1119"/>
      <c r="X109" s="1076"/>
      <c r="Y109" s="1123" t="s">
        <v>288</v>
      </c>
      <c r="Z109" s="1119">
        <v>1649520</v>
      </c>
      <c r="AA109" s="1119">
        <v>-659808</v>
      </c>
      <c r="AB109" s="1119">
        <f>Z109+AA109</f>
        <v>989712</v>
      </c>
      <c r="AC109" s="1171">
        <v>41031</v>
      </c>
      <c r="AD109" s="56">
        <v>664631</v>
      </c>
      <c r="AE109" s="56"/>
      <c r="AF109" s="1315"/>
      <c r="AG109" s="1315"/>
      <c r="AH109" s="1315"/>
      <c r="AI109" s="1315"/>
      <c r="AJ109" s="1119"/>
      <c r="AK109" s="1119"/>
      <c r="AL109" s="1119"/>
      <c r="AM109" s="1119"/>
      <c r="AN109" s="1203"/>
      <c r="AO109" s="1204"/>
      <c r="AP109" s="1204"/>
      <c r="AQ109" s="1204"/>
    </row>
    <row r="110" spans="1:44" s="4" customFormat="1">
      <c r="A110" s="1076"/>
      <c r="B110" s="1171"/>
      <c r="C110" s="1076"/>
      <c r="D110" s="1076"/>
      <c r="E110" s="1252"/>
      <c r="F110" s="1252"/>
      <c r="G110" s="1076"/>
      <c r="H110" s="1076"/>
      <c r="I110" s="1076"/>
      <c r="J110" s="1076"/>
      <c r="K110" s="1076"/>
      <c r="L110" s="1076"/>
      <c r="M110" s="1318"/>
      <c r="N110" s="1076"/>
      <c r="O110" s="1119"/>
      <c r="P110" s="1119"/>
      <c r="Q110" s="1119"/>
      <c r="R110" s="1171"/>
      <c r="S110" s="390"/>
      <c r="T110" s="386"/>
      <c r="U110" s="386"/>
      <c r="V110" s="1119"/>
      <c r="W110" s="1119"/>
      <c r="X110" s="1076"/>
      <c r="Y110" s="1123"/>
      <c r="Z110" s="1119"/>
      <c r="AA110" s="1119"/>
      <c r="AB110" s="1119"/>
      <c r="AC110" s="1171"/>
      <c r="AD110" s="56">
        <v>325081</v>
      </c>
      <c r="AE110" s="56"/>
      <c r="AF110" s="1315"/>
      <c r="AG110" s="1315"/>
      <c r="AH110" s="1315"/>
      <c r="AI110" s="1315"/>
      <c r="AJ110" s="1119"/>
      <c r="AK110" s="1119"/>
      <c r="AL110" s="1119"/>
      <c r="AM110" s="1119"/>
      <c r="AN110" s="1203"/>
      <c r="AO110" s="1204"/>
      <c r="AP110" s="1204"/>
      <c r="AQ110" s="1204"/>
    </row>
    <row r="111" spans="1:44" s="4" customFormat="1" ht="31.5" customHeight="1">
      <c r="A111" s="1076" t="s">
        <v>290</v>
      </c>
      <c r="B111" s="1171">
        <v>40298</v>
      </c>
      <c r="C111" s="1076" t="s">
        <v>13</v>
      </c>
      <c r="D111" s="1076" t="s">
        <v>291</v>
      </c>
      <c r="E111" s="1252">
        <v>76330273</v>
      </c>
      <c r="F111" s="1252"/>
      <c r="G111" s="1076" t="s">
        <v>292</v>
      </c>
      <c r="H111" s="1076" t="s">
        <v>70</v>
      </c>
      <c r="I111" s="1076" t="s">
        <v>177</v>
      </c>
      <c r="J111" s="1076" t="s">
        <v>66</v>
      </c>
      <c r="K111" s="1076" t="s">
        <v>250</v>
      </c>
      <c r="L111" s="1076" t="s">
        <v>295</v>
      </c>
      <c r="M111" s="1318">
        <v>40</v>
      </c>
      <c r="N111" s="1076" t="s">
        <v>7</v>
      </c>
      <c r="O111" s="1119">
        <v>3732549</v>
      </c>
      <c r="P111" s="1119">
        <v>11362401</v>
      </c>
      <c r="Q111" s="1119">
        <f>P111+P115</f>
        <v>17032365</v>
      </c>
      <c r="R111" s="1171">
        <v>40353</v>
      </c>
      <c r="S111" s="390"/>
      <c r="T111" s="386"/>
      <c r="U111" s="386"/>
      <c r="V111" s="1119">
        <v>3732549</v>
      </c>
      <c r="W111" s="1119">
        <f>V111+V113+V115</f>
        <v>17009964</v>
      </c>
      <c r="X111" s="1076" t="s">
        <v>282</v>
      </c>
      <c r="Y111" s="1123" t="s">
        <v>294</v>
      </c>
      <c r="Z111" s="1119">
        <v>0</v>
      </c>
      <c r="AA111" s="1119">
        <v>4536000</v>
      </c>
      <c r="AB111" s="1119">
        <v>4536000</v>
      </c>
      <c r="AC111" s="1171">
        <v>40389</v>
      </c>
      <c r="AD111" s="56">
        <v>1484060</v>
      </c>
      <c r="AE111" s="56"/>
      <c r="AF111" s="1315">
        <f>SUM(AD111:AD114)</f>
        <v>10659601</v>
      </c>
      <c r="AG111" s="1315">
        <f>AF111+AF115</f>
        <v>10659601</v>
      </c>
      <c r="AH111" s="1315">
        <v>0</v>
      </c>
      <c r="AI111" s="1084">
        <f>O111-AD111-AD113</f>
        <v>-2315979.62</v>
      </c>
      <c r="AJ111" s="1119">
        <f>SUM(Z111:Z115)-SUM(AD111:AD115)</f>
        <v>-453601</v>
      </c>
      <c r="AK111" s="1119">
        <f>O111-V111</f>
        <v>0</v>
      </c>
      <c r="AL111" s="1119">
        <v>0</v>
      </c>
      <c r="AM111" s="1119">
        <f>AK111+AL111</f>
        <v>0</v>
      </c>
      <c r="AN111" s="1203"/>
      <c r="AO111" s="1204" t="s">
        <v>334</v>
      </c>
      <c r="AP111" s="1204" t="s">
        <v>194</v>
      </c>
      <c r="AQ111" s="1204" t="s">
        <v>342</v>
      </c>
      <c r="AR111" s="1074" t="s">
        <v>2501</v>
      </c>
    </row>
    <row r="112" spans="1:44" s="4" customFormat="1">
      <c r="A112" s="1076"/>
      <c r="B112" s="1171"/>
      <c r="C112" s="1076"/>
      <c r="D112" s="1076"/>
      <c r="E112" s="1252"/>
      <c r="F112" s="1252"/>
      <c r="G112" s="1076"/>
      <c r="H112" s="1076"/>
      <c r="I112" s="1076"/>
      <c r="J112" s="1076"/>
      <c r="K112" s="1076"/>
      <c r="L112" s="1076"/>
      <c r="M112" s="1318"/>
      <c r="N112" s="1076"/>
      <c r="O112" s="1119"/>
      <c r="P112" s="1119"/>
      <c r="Q112" s="1119"/>
      <c r="R112" s="1171"/>
      <c r="S112" s="390"/>
      <c r="T112" s="386"/>
      <c r="U112" s="386"/>
      <c r="V112" s="1119"/>
      <c r="W112" s="1119"/>
      <c r="X112" s="1076"/>
      <c r="Y112" s="1123"/>
      <c r="Z112" s="1119"/>
      <c r="AA112" s="1119"/>
      <c r="AB112" s="1119"/>
      <c r="AC112" s="1171"/>
      <c r="AD112" s="56">
        <v>3051941</v>
      </c>
      <c r="AE112" s="56"/>
      <c r="AF112" s="1315"/>
      <c r="AG112" s="1315"/>
      <c r="AH112" s="1315"/>
      <c r="AI112" s="1084"/>
      <c r="AJ112" s="1119"/>
      <c r="AK112" s="1119"/>
      <c r="AL112" s="1119"/>
      <c r="AM112" s="1119"/>
      <c r="AN112" s="1203"/>
      <c r="AO112" s="1204"/>
      <c r="AP112" s="1204"/>
      <c r="AQ112" s="1204"/>
      <c r="AR112" s="1074"/>
    </row>
    <row r="113" spans="1:44" s="4" customFormat="1">
      <c r="A113" s="1076"/>
      <c r="B113" s="1171"/>
      <c r="C113" s="1076"/>
      <c r="D113" s="1076"/>
      <c r="E113" s="1252"/>
      <c r="F113" s="1252"/>
      <c r="G113" s="1076"/>
      <c r="H113" s="1076"/>
      <c r="I113" s="1076"/>
      <c r="J113" s="1076"/>
      <c r="K113" s="1076"/>
      <c r="L113" s="1076"/>
      <c r="M113" s="1318"/>
      <c r="N113" s="1076" t="s">
        <v>137</v>
      </c>
      <c r="O113" s="1119">
        <v>7629852</v>
      </c>
      <c r="P113" s="1119"/>
      <c r="Q113" s="1119"/>
      <c r="R113" s="1171"/>
      <c r="S113" s="390"/>
      <c r="T113" s="386"/>
      <c r="U113" s="386"/>
      <c r="V113" s="1119">
        <v>7607451</v>
      </c>
      <c r="W113" s="1119"/>
      <c r="X113" s="1076"/>
      <c r="Y113" s="1123" t="s">
        <v>253</v>
      </c>
      <c r="Z113" s="1119">
        <v>10206000</v>
      </c>
      <c r="AA113" s="1119">
        <v>-4082400</v>
      </c>
      <c r="AB113" s="1119">
        <f>Z113+AA113</f>
        <v>6123600</v>
      </c>
      <c r="AC113" s="1171">
        <v>40547</v>
      </c>
      <c r="AD113" s="56">
        <v>4564468.62</v>
      </c>
      <c r="AE113" s="56"/>
      <c r="AF113" s="1315"/>
      <c r="AG113" s="1315"/>
      <c r="AH113" s="1315"/>
      <c r="AI113" s="1084">
        <f>O113-AD112-AD114</f>
        <v>3018779.62</v>
      </c>
      <c r="AJ113" s="1119"/>
      <c r="AK113" s="1119">
        <f>O113-V113</f>
        <v>22401</v>
      </c>
      <c r="AL113" s="1119">
        <f>SUM(V111:V114)-SUM(Z111:Z114)+AJ111</f>
        <v>680399</v>
      </c>
      <c r="AM113" s="1119">
        <f>AK113+AL113</f>
        <v>702800</v>
      </c>
      <c r="AN113" s="1203"/>
      <c r="AO113" s="1204"/>
      <c r="AP113" s="1204"/>
      <c r="AQ113" s="1204"/>
      <c r="AR113" s="1074"/>
    </row>
    <row r="114" spans="1:44" s="4" customFormat="1">
      <c r="A114" s="1076"/>
      <c r="B114" s="1171"/>
      <c r="C114" s="1076"/>
      <c r="D114" s="1076"/>
      <c r="E114" s="1252"/>
      <c r="F114" s="1252"/>
      <c r="G114" s="1076"/>
      <c r="H114" s="1076"/>
      <c r="I114" s="1076"/>
      <c r="J114" s="1076"/>
      <c r="K114" s="1076"/>
      <c r="L114" s="1076"/>
      <c r="M114" s="1318"/>
      <c r="N114" s="1076"/>
      <c r="O114" s="1119"/>
      <c r="P114" s="1119"/>
      <c r="Q114" s="1119"/>
      <c r="R114" s="1171"/>
      <c r="S114" s="390"/>
      <c r="T114" s="386"/>
      <c r="U114" s="386"/>
      <c r="V114" s="1119"/>
      <c r="W114" s="1119"/>
      <c r="X114" s="1076"/>
      <c r="Y114" s="1123"/>
      <c r="Z114" s="1119"/>
      <c r="AA114" s="1119"/>
      <c r="AB114" s="1119"/>
      <c r="AC114" s="1171"/>
      <c r="AD114" s="56">
        <v>1559131.38</v>
      </c>
      <c r="AE114" s="56"/>
      <c r="AF114" s="1315"/>
      <c r="AG114" s="1315"/>
      <c r="AH114" s="1315"/>
      <c r="AI114" s="1084"/>
      <c r="AJ114" s="1119"/>
      <c r="AK114" s="1119"/>
      <c r="AL114" s="1119"/>
      <c r="AM114" s="1119"/>
      <c r="AN114" s="1203"/>
      <c r="AO114" s="1204"/>
      <c r="AP114" s="1204"/>
      <c r="AQ114" s="1204"/>
      <c r="AR114" s="1074"/>
    </row>
    <row r="115" spans="1:44" s="4" customFormat="1">
      <c r="A115" s="1076"/>
      <c r="B115" s="1171"/>
      <c r="C115" s="1076"/>
      <c r="D115" s="1076"/>
      <c r="E115" s="1252"/>
      <c r="F115" s="1252"/>
      <c r="G115" s="1076"/>
      <c r="H115" s="1076"/>
      <c r="I115" s="1076"/>
      <c r="J115" s="354" t="s">
        <v>171</v>
      </c>
      <c r="K115" s="1076"/>
      <c r="L115" s="1076"/>
      <c r="M115" s="409">
        <v>158</v>
      </c>
      <c r="N115" s="354" t="s">
        <v>7</v>
      </c>
      <c r="O115" s="386">
        <v>5669964</v>
      </c>
      <c r="P115" s="386">
        <v>5669964</v>
      </c>
      <c r="Q115" s="1119"/>
      <c r="R115" s="384">
        <v>40701</v>
      </c>
      <c r="S115" s="390"/>
      <c r="T115" s="386"/>
      <c r="U115" s="386"/>
      <c r="V115" s="386">
        <v>5669964</v>
      </c>
      <c r="W115" s="1119"/>
      <c r="X115" s="1076"/>
      <c r="Y115" s="372"/>
      <c r="Z115" s="386">
        <v>0</v>
      </c>
      <c r="AA115" s="386">
        <v>0</v>
      </c>
      <c r="AB115" s="386">
        <v>0</v>
      </c>
      <c r="AC115" s="384" t="s">
        <v>180</v>
      </c>
      <c r="AD115" s="56">
        <v>0</v>
      </c>
      <c r="AE115" s="56"/>
      <c r="AF115" s="413">
        <f>AD115</f>
        <v>0</v>
      </c>
      <c r="AG115" s="1315"/>
      <c r="AH115" s="413">
        <v>0</v>
      </c>
      <c r="AI115" s="358">
        <v>0</v>
      </c>
      <c r="AJ115" s="1119"/>
      <c r="AK115" s="386">
        <f>P115-V115</f>
        <v>0</v>
      </c>
      <c r="AL115" s="386">
        <f>V115-Z115</f>
        <v>5669964</v>
      </c>
      <c r="AM115" s="386">
        <f>AK115+AL115</f>
        <v>5669964</v>
      </c>
      <c r="AN115" s="1203"/>
      <c r="AO115" s="1204"/>
      <c r="AP115" s="1204"/>
      <c r="AQ115" s="1204"/>
      <c r="AR115" s="1074"/>
    </row>
    <row r="116" spans="1:44" s="10" customFormat="1" ht="30" customHeight="1">
      <c r="A116" s="1296" t="s">
        <v>808</v>
      </c>
      <c r="B116" s="1305">
        <v>40298</v>
      </c>
      <c r="C116" s="1305" t="s">
        <v>33</v>
      </c>
      <c r="D116" s="1171" t="s">
        <v>349</v>
      </c>
      <c r="E116" s="1306">
        <v>4610657</v>
      </c>
      <c r="F116" s="1306"/>
      <c r="G116" s="1076" t="s">
        <v>350</v>
      </c>
      <c r="H116" s="1296" t="s">
        <v>70</v>
      </c>
      <c r="I116" s="1296" t="s">
        <v>373</v>
      </c>
      <c r="J116" s="1296" t="s">
        <v>66</v>
      </c>
      <c r="K116" s="1076" t="s">
        <v>348</v>
      </c>
      <c r="L116" s="1076" t="s">
        <v>374</v>
      </c>
      <c r="M116" s="1321">
        <v>39</v>
      </c>
      <c r="N116" s="1320" t="s">
        <v>7</v>
      </c>
      <c r="O116" s="1258">
        <v>2171749</v>
      </c>
      <c r="P116" s="1258">
        <v>6611107</v>
      </c>
      <c r="Q116" s="1258">
        <f>P116+P120+P123+P127+P131+P135</f>
        <v>22069620</v>
      </c>
      <c r="R116" s="1305"/>
      <c r="S116" s="1258">
        <v>6611107</v>
      </c>
      <c r="T116" s="1258">
        <v>2171749</v>
      </c>
      <c r="U116" s="1258">
        <f>O116-T116</f>
        <v>0</v>
      </c>
      <c r="V116" s="1258">
        <v>2171749</v>
      </c>
      <c r="W116" s="1258">
        <f>SUM(V116:V138)</f>
        <v>22005200</v>
      </c>
      <c r="X116" s="1076" t="s">
        <v>282</v>
      </c>
      <c r="Y116" s="372" t="s">
        <v>375</v>
      </c>
      <c r="Z116" s="416">
        <v>0</v>
      </c>
      <c r="AA116" s="416">
        <v>2644443</v>
      </c>
      <c r="AB116" s="416">
        <f t="shared" ref="AB116:AB138" si="9">SUM(Z116:AA116)</f>
        <v>2644443</v>
      </c>
      <c r="AC116" s="426">
        <v>40387</v>
      </c>
      <c r="AD116" s="57">
        <v>2644443</v>
      </c>
      <c r="AE116" s="416"/>
      <c r="AF116" s="1258">
        <f>SUM(AD116:AD119)</f>
        <v>6611106.9000000004</v>
      </c>
      <c r="AG116" s="1258">
        <f>AF116+AF120+AF123+AF127+AF131+AF135</f>
        <v>21112853.199999999</v>
      </c>
      <c r="AH116" s="416">
        <f t="shared" ref="AH116:AH151" si="10">AB116-AD116</f>
        <v>0</v>
      </c>
      <c r="AI116" s="1258">
        <f>T116-AD116-AD117-AD118</f>
        <v>-2427472</v>
      </c>
      <c r="AJ116" s="1258">
        <f>SUM(Z116:Z138)-SUM(AD116:AD138)</f>
        <v>-613267.07000000402</v>
      </c>
      <c r="AK116" s="1258">
        <f>P116-V116-V119</f>
        <v>0</v>
      </c>
      <c r="AL116" s="1258">
        <f>SUM(V116:V119)-SUM(Z116:Z119)</f>
        <v>9.999999962747097E-2</v>
      </c>
      <c r="AM116" s="1258">
        <f>AK116+AL116</f>
        <v>9.999999962747097E-2</v>
      </c>
      <c r="AN116" s="1203" t="s">
        <v>382</v>
      </c>
      <c r="AO116" s="1204" t="s">
        <v>786</v>
      </c>
      <c r="AP116" s="1259" t="s">
        <v>194</v>
      </c>
      <c r="AQ116" s="1454" t="s">
        <v>368</v>
      </c>
    </row>
    <row r="117" spans="1:44" s="10" customFormat="1">
      <c r="A117" s="1296"/>
      <c r="B117" s="1305"/>
      <c r="C117" s="1305"/>
      <c r="D117" s="1171"/>
      <c r="E117" s="1306"/>
      <c r="F117" s="1306"/>
      <c r="G117" s="1076"/>
      <c r="H117" s="1296"/>
      <c r="I117" s="1296"/>
      <c r="J117" s="1296"/>
      <c r="K117" s="1076"/>
      <c r="L117" s="1076"/>
      <c r="M117" s="1321"/>
      <c r="N117" s="1320"/>
      <c r="O117" s="1258"/>
      <c r="P117" s="1258"/>
      <c r="Q117" s="1258"/>
      <c r="R117" s="1305"/>
      <c r="S117" s="1258"/>
      <c r="T117" s="1258"/>
      <c r="U117" s="1258"/>
      <c r="V117" s="1258"/>
      <c r="W117" s="1258"/>
      <c r="X117" s="1076"/>
      <c r="Y117" s="1123" t="s">
        <v>376</v>
      </c>
      <c r="Z117" s="416">
        <v>1966200</v>
      </c>
      <c r="AA117" s="416">
        <v>-653762</v>
      </c>
      <c r="AB117" s="416">
        <f t="shared" si="9"/>
        <v>1312438</v>
      </c>
      <c r="AC117" s="1322">
        <v>40499</v>
      </c>
      <c r="AD117" s="57">
        <v>1312438</v>
      </c>
      <c r="AE117" s="416"/>
      <c r="AF117" s="1258"/>
      <c r="AG117" s="1258"/>
      <c r="AH117" s="416">
        <f t="shared" si="10"/>
        <v>0</v>
      </c>
      <c r="AI117" s="1258"/>
      <c r="AJ117" s="1258"/>
      <c r="AK117" s="1258"/>
      <c r="AL117" s="1258"/>
      <c r="AM117" s="1258"/>
      <c r="AN117" s="1203"/>
      <c r="AO117" s="1204"/>
      <c r="AP117" s="1259"/>
      <c r="AQ117" s="1455"/>
    </row>
    <row r="118" spans="1:44" s="10" customFormat="1">
      <c r="A118" s="1296"/>
      <c r="B118" s="1305"/>
      <c r="C118" s="1305"/>
      <c r="D118" s="1171"/>
      <c r="E118" s="1306"/>
      <c r="F118" s="1306"/>
      <c r="G118" s="1076"/>
      <c r="H118" s="1296"/>
      <c r="I118" s="1296"/>
      <c r="J118" s="1296"/>
      <c r="K118" s="1076"/>
      <c r="L118" s="1076"/>
      <c r="M118" s="1321"/>
      <c r="N118" s="1320"/>
      <c r="O118" s="1258"/>
      <c r="P118" s="1258"/>
      <c r="Q118" s="1258"/>
      <c r="R118" s="1305"/>
      <c r="S118" s="1258"/>
      <c r="T118" s="1258"/>
      <c r="U118" s="1258"/>
      <c r="V118" s="1258"/>
      <c r="W118" s="1258"/>
      <c r="X118" s="1076"/>
      <c r="Y118" s="1123"/>
      <c r="Z118" s="416">
        <v>1310800</v>
      </c>
      <c r="AA118" s="416">
        <v>-668460</v>
      </c>
      <c r="AB118" s="416">
        <f t="shared" si="9"/>
        <v>642340</v>
      </c>
      <c r="AC118" s="1323"/>
      <c r="AD118" s="57">
        <v>642340</v>
      </c>
      <c r="AE118" s="416"/>
      <c r="AF118" s="1258"/>
      <c r="AG118" s="1258"/>
      <c r="AH118" s="416">
        <f t="shared" si="10"/>
        <v>0</v>
      </c>
      <c r="AI118" s="1258"/>
      <c r="AJ118" s="1258"/>
      <c r="AK118" s="1258"/>
      <c r="AL118" s="1258"/>
      <c r="AM118" s="1258"/>
      <c r="AN118" s="1203"/>
      <c r="AO118" s="1204"/>
      <c r="AP118" s="1259"/>
      <c r="AQ118" s="1455"/>
    </row>
    <row r="119" spans="1:44" s="10" customFormat="1">
      <c r="A119" s="1296"/>
      <c r="B119" s="1305"/>
      <c r="C119" s="1305"/>
      <c r="D119" s="1171"/>
      <c r="E119" s="1306"/>
      <c r="F119" s="1306"/>
      <c r="G119" s="1076"/>
      <c r="H119" s="1296"/>
      <c r="I119" s="1296"/>
      <c r="J119" s="1296"/>
      <c r="K119" s="1076"/>
      <c r="L119" s="1076"/>
      <c r="M119" s="1321"/>
      <c r="N119" s="425" t="s">
        <v>137</v>
      </c>
      <c r="O119" s="416">
        <v>4439358</v>
      </c>
      <c r="P119" s="1258"/>
      <c r="Q119" s="1258"/>
      <c r="R119" s="1305"/>
      <c r="S119" s="1258"/>
      <c r="T119" s="416">
        <v>4439358</v>
      </c>
      <c r="U119" s="416">
        <f>O119-T119</f>
        <v>0</v>
      </c>
      <c r="V119" s="416">
        <v>4439358</v>
      </c>
      <c r="W119" s="1258"/>
      <c r="X119" s="1076"/>
      <c r="Y119" s="372" t="s">
        <v>381</v>
      </c>
      <c r="Z119" s="416">
        <v>3334106.9</v>
      </c>
      <c r="AA119" s="416">
        <v>-1322221</v>
      </c>
      <c r="AB119" s="416">
        <f t="shared" si="9"/>
        <v>2011885.9</v>
      </c>
      <c r="AC119" s="426">
        <v>40555</v>
      </c>
      <c r="AD119" s="57">
        <v>2011885.9</v>
      </c>
      <c r="AE119" s="416"/>
      <c r="AF119" s="1258"/>
      <c r="AG119" s="1258"/>
      <c r="AH119" s="416">
        <f t="shared" si="10"/>
        <v>0</v>
      </c>
      <c r="AI119" s="416">
        <f>T119-AD119</f>
        <v>2427472.1</v>
      </c>
      <c r="AJ119" s="1258"/>
      <c r="AK119" s="1258"/>
      <c r="AL119" s="1258"/>
      <c r="AM119" s="1258"/>
      <c r="AN119" s="1203"/>
      <c r="AO119" s="1204"/>
      <c r="AP119" s="1259"/>
      <c r="AQ119" s="1455"/>
    </row>
    <row r="120" spans="1:44" s="10" customFormat="1" ht="31.5">
      <c r="A120" s="1296"/>
      <c r="B120" s="1305"/>
      <c r="C120" s="1305" t="s">
        <v>9</v>
      </c>
      <c r="D120" s="1171"/>
      <c r="E120" s="1306"/>
      <c r="F120" s="1306"/>
      <c r="G120" s="1076"/>
      <c r="H120" s="1296"/>
      <c r="I120" s="1296"/>
      <c r="J120" s="1296"/>
      <c r="K120" s="1076"/>
      <c r="L120" s="1076"/>
      <c r="M120" s="1321">
        <v>41</v>
      </c>
      <c r="N120" s="1320" t="s">
        <v>7</v>
      </c>
      <c r="O120" s="1258">
        <v>1028452</v>
      </c>
      <c r="P120" s="1258">
        <v>3130751</v>
      </c>
      <c r="Q120" s="1258"/>
      <c r="R120" s="1305"/>
      <c r="S120" s="1258">
        <v>3130751</v>
      </c>
      <c r="T120" s="1258">
        <v>1028452</v>
      </c>
      <c r="U120" s="1258">
        <f>O120-T120</f>
        <v>0</v>
      </c>
      <c r="V120" s="1258">
        <v>1028452</v>
      </c>
      <c r="W120" s="1258"/>
      <c r="X120" s="1076"/>
      <c r="Y120" s="372" t="s">
        <v>375</v>
      </c>
      <c r="Z120" s="416">
        <v>0</v>
      </c>
      <c r="AA120" s="416">
        <v>1226533</v>
      </c>
      <c r="AB120" s="416">
        <f t="shared" si="9"/>
        <v>1226533</v>
      </c>
      <c r="AC120" s="426">
        <v>40387</v>
      </c>
      <c r="AD120" s="57">
        <v>1226533</v>
      </c>
      <c r="AE120" s="416"/>
      <c r="AF120" s="1258">
        <f>SUM(AD120:AD122)</f>
        <v>2173987</v>
      </c>
      <c r="AG120" s="1258"/>
      <c r="AH120" s="416">
        <f t="shared" si="10"/>
        <v>0</v>
      </c>
      <c r="AI120" s="1258">
        <f>T120-AD120-AD121</f>
        <v>-1145535</v>
      </c>
      <c r="AJ120" s="1258"/>
      <c r="AK120" s="1258">
        <f>P120-V120-V122</f>
        <v>64420</v>
      </c>
      <c r="AL120" s="1258">
        <f>SUM(V120:V122)-SUM(Z120:Z122)+AJ116</f>
        <v>887688.42999999598</v>
      </c>
      <c r="AM120" s="1258">
        <f>AK120+AL120</f>
        <v>952108.42999999598</v>
      </c>
      <c r="AN120" s="1203"/>
      <c r="AO120" s="1204"/>
      <c r="AP120" s="1259"/>
      <c r="AQ120" s="1455"/>
    </row>
    <row r="121" spans="1:44" s="10" customFormat="1" ht="31.5">
      <c r="A121" s="1296"/>
      <c r="B121" s="1305"/>
      <c r="C121" s="1305"/>
      <c r="D121" s="1171"/>
      <c r="E121" s="1306"/>
      <c r="F121" s="1306"/>
      <c r="G121" s="1076"/>
      <c r="H121" s="1296"/>
      <c r="I121" s="1296"/>
      <c r="J121" s="1296"/>
      <c r="K121" s="1076"/>
      <c r="L121" s="1076"/>
      <c r="M121" s="1321"/>
      <c r="N121" s="1320"/>
      <c r="O121" s="1258"/>
      <c r="P121" s="1258"/>
      <c r="Q121" s="1258"/>
      <c r="R121" s="1305"/>
      <c r="S121" s="1258"/>
      <c r="T121" s="1258"/>
      <c r="U121" s="1258"/>
      <c r="V121" s="1258"/>
      <c r="W121" s="1258"/>
      <c r="X121" s="1076"/>
      <c r="Y121" s="372" t="s">
        <v>377</v>
      </c>
      <c r="Z121" s="416">
        <f>S120*50%</f>
        <v>1565375.5</v>
      </c>
      <c r="AA121" s="416">
        <v>-617921.5</v>
      </c>
      <c r="AB121" s="416">
        <f t="shared" si="9"/>
        <v>947454</v>
      </c>
      <c r="AC121" s="426">
        <v>40508</v>
      </c>
      <c r="AD121" s="57">
        <v>947454</v>
      </c>
      <c r="AE121" s="416"/>
      <c r="AF121" s="1258"/>
      <c r="AG121" s="1258"/>
      <c r="AH121" s="416">
        <f t="shared" si="10"/>
        <v>0</v>
      </c>
      <c r="AI121" s="1258"/>
      <c r="AJ121" s="1258"/>
      <c r="AK121" s="1258"/>
      <c r="AL121" s="1258"/>
      <c r="AM121" s="1258"/>
      <c r="AN121" s="1203"/>
      <c r="AO121" s="1204"/>
      <c r="AP121" s="1259"/>
      <c r="AQ121" s="1455"/>
    </row>
    <row r="122" spans="1:44" s="10" customFormat="1">
      <c r="A122" s="1296"/>
      <c r="B122" s="1305"/>
      <c r="C122" s="1305"/>
      <c r="D122" s="1171"/>
      <c r="E122" s="1306"/>
      <c r="F122" s="1306"/>
      <c r="G122" s="1076"/>
      <c r="H122" s="1296"/>
      <c r="I122" s="1296"/>
      <c r="J122" s="1296"/>
      <c r="K122" s="1076"/>
      <c r="L122" s="1076"/>
      <c r="M122" s="1321"/>
      <c r="N122" s="425" t="s">
        <v>137</v>
      </c>
      <c r="O122" s="416">
        <v>2102299</v>
      </c>
      <c r="P122" s="1258"/>
      <c r="Q122" s="1258"/>
      <c r="R122" s="1305"/>
      <c r="S122" s="1258"/>
      <c r="T122" s="416">
        <v>2102299</v>
      </c>
      <c r="U122" s="416">
        <f>O122-T122</f>
        <v>0</v>
      </c>
      <c r="V122" s="416">
        <f>2102299-64420</f>
        <v>2037879</v>
      </c>
      <c r="W122" s="1258"/>
      <c r="X122" s="1076"/>
      <c r="Y122" s="372"/>
      <c r="Z122" s="416">
        <v>0</v>
      </c>
      <c r="AA122" s="416">
        <v>0</v>
      </c>
      <c r="AB122" s="416">
        <f t="shared" si="9"/>
        <v>0</v>
      </c>
      <c r="AC122" s="427"/>
      <c r="AD122" s="57">
        <v>0</v>
      </c>
      <c r="AE122" s="416"/>
      <c r="AF122" s="1258"/>
      <c r="AG122" s="1258"/>
      <c r="AH122" s="416">
        <f t="shared" si="10"/>
        <v>0</v>
      </c>
      <c r="AI122" s="416">
        <f>V122-AD122</f>
        <v>2037879</v>
      </c>
      <c r="AJ122" s="1258"/>
      <c r="AK122" s="1258"/>
      <c r="AL122" s="1258"/>
      <c r="AM122" s="1258"/>
      <c r="AN122" s="1203"/>
      <c r="AO122" s="1204"/>
      <c r="AP122" s="1259"/>
      <c r="AQ122" s="1455"/>
    </row>
    <row r="123" spans="1:44" s="10" customFormat="1" ht="31.5">
      <c r="A123" s="1296"/>
      <c r="B123" s="1305"/>
      <c r="C123" s="1305"/>
      <c r="D123" s="1171"/>
      <c r="E123" s="1306"/>
      <c r="F123" s="1306"/>
      <c r="G123" s="1076"/>
      <c r="H123" s="1296"/>
      <c r="I123" s="1296"/>
      <c r="J123" s="1296"/>
      <c r="K123" s="1076"/>
      <c r="L123" s="1076"/>
      <c r="M123" s="1321">
        <v>42</v>
      </c>
      <c r="N123" s="1320" t="s">
        <v>7</v>
      </c>
      <c r="O123" s="1258">
        <v>935770</v>
      </c>
      <c r="P123" s="1258">
        <v>2848616</v>
      </c>
      <c r="Q123" s="1258"/>
      <c r="R123" s="1305"/>
      <c r="S123" s="1258">
        <v>2848616</v>
      </c>
      <c r="T123" s="1258">
        <v>935770</v>
      </c>
      <c r="U123" s="1258">
        <f>O123-T123</f>
        <v>0</v>
      </c>
      <c r="V123" s="1258">
        <v>935770</v>
      </c>
      <c r="W123" s="1258"/>
      <c r="X123" s="1076"/>
      <c r="Y123" s="372" t="s">
        <v>375</v>
      </c>
      <c r="Z123" s="416">
        <v>0</v>
      </c>
      <c r="AA123" s="416">
        <v>1139446</v>
      </c>
      <c r="AB123" s="416">
        <f t="shared" si="9"/>
        <v>1139446</v>
      </c>
      <c r="AC123" s="426">
        <v>40387</v>
      </c>
      <c r="AD123" s="57">
        <v>1139446</v>
      </c>
      <c r="AE123" s="416"/>
      <c r="AF123" s="1258">
        <f>SUM(AD123:AD126)</f>
        <v>2848616</v>
      </c>
      <c r="AG123" s="1258"/>
      <c r="AH123" s="416">
        <f t="shared" si="10"/>
        <v>0</v>
      </c>
      <c r="AI123" s="1258">
        <f>T123-AD123-AD124-AD125</f>
        <v>-1632115</v>
      </c>
      <c r="AJ123" s="1258"/>
      <c r="AK123" s="1258">
        <f>P123-V123-V126</f>
        <v>0</v>
      </c>
      <c r="AL123" s="1258">
        <f>SUM(V123:V126)-SUM(Z123:Z126)</f>
        <v>-0.33000000007450581</v>
      </c>
      <c r="AM123" s="1258">
        <f>AK123+AL123</f>
        <v>-0.33000000007450581</v>
      </c>
      <c r="AN123" s="1203"/>
      <c r="AO123" s="1204"/>
      <c r="AP123" s="1259"/>
      <c r="AQ123" s="1455"/>
    </row>
    <row r="124" spans="1:44" s="10" customFormat="1" ht="31.5">
      <c r="A124" s="1296"/>
      <c r="B124" s="1305"/>
      <c r="C124" s="1305"/>
      <c r="D124" s="1171"/>
      <c r="E124" s="1306"/>
      <c r="F124" s="1306"/>
      <c r="G124" s="1076"/>
      <c r="H124" s="1296"/>
      <c r="I124" s="1296"/>
      <c r="J124" s="1296"/>
      <c r="K124" s="1076"/>
      <c r="L124" s="1076"/>
      <c r="M124" s="1321"/>
      <c r="N124" s="1320"/>
      <c r="O124" s="1258"/>
      <c r="P124" s="1258"/>
      <c r="Q124" s="1258"/>
      <c r="R124" s="1305"/>
      <c r="S124" s="1258"/>
      <c r="T124" s="1258"/>
      <c r="U124" s="1258"/>
      <c r="V124" s="1258"/>
      <c r="W124" s="1258"/>
      <c r="X124" s="1076"/>
      <c r="Y124" s="372" t="s">
        <v>377</v>
      </c>
      <c r="Z124" s="416">
        <v>1424308</v>
      </c>
      <c r="AA124" s="416">
        <v>-569723</v>
      </c>
      <c r="AB124" s="416">
        <f t="shared" si="9"/>
        <v>854585</v>
      </c>
      <c r="AC124" s="426">
        <v>40508</v>
      </c>
      <c r="AD124" s="57">
        <v>854585</v>
      </c>
      <c r="AE124" s="416"/>
      <c r="AF124" s="1258"/>
      <c r="AG124" s="1258"/>
      <c r="AH124" s="416">
        <f t="shared" si="10"/>
        <v>0</v>
      </c>
      <c r="AI124" s="1258"/>
      <c r="AJ124" s="1258"/>
      <c r="AK124" s="1258"/>
      <c r="AL124" s="1258"/>
      <c r="AM124" s="1258"/>
      <c r="AN124" s="1203"/>
      <c r="AO124" s="1204"/>
      <c r="AP124" s="1259"/>
      <c r="AQ124" s="1455"/>
    </row>
    <row r="125" spans="1:44" s="10" customFormat="1">
      <c r="A125" s="1296"/>
      <c r="B125" s="1305"/>
      <c r="C125" s="1305"/>
      <c r="D125" s="1171"/>
      <c r="E125" s="1306"/>
      <c r="F125" s="1306"/>
      <c r="G125" s="1076"/>
      <c r="H125" s="1296"/>
      <c r="I125" s="1296"/>
      <c r="J125" s="1296"/>
      <c r="K125" s="1076"/>
      <c r="L125" s="1076"/>
      <c r="M125" s="1321"/>
      <c r="N125" s="1320"/>
      <c r="O125" s="1258"/>
      <c r="P125" s="1258"/>
      <c r="Q125" s="1258"/>
      <c r="R125" s="1305"/>
      <c r="S125" s="1258"/>
      <c r="T125" s="1258"/>
      <c r="U125" s="1258"/>
      <c r="V125" s="1258"/>
      <c r="W125" s="1258"/>
      <c r="X125" s="1076"/>
      <c r="Y125" s="1123" t="s">
        <v>379</v>
      </c>
      <c r="Z125" s="416">
        <v>854584.99800000002</v>
      </c>
      <c r="AA125" s="416">
        <v>-280730.99800000002</v>
      </c>
      <c r="AB125" s="416">
        <f t="shared" si="9"/>
        <v>573854</v>
      </c>
      <c r="AC125" s="1322">
        <v>40597</v>
      </c>
      <c r="AD125" s="57">
        <v>573854</v>
      </c>
      <c r="AE125" s="416"/>
      <c r="AF125" s="1258"/>
      <c r="AG125" s="1258"/>
      <c r="AH125" s="416">
        <f t="shared" si="10"/>
        <v>0</v>
      </c>
      <c r="AI125" s="1258"/>
      <c r="AJ125" s="1258"/>
      <c r="AK125" s="1258"/>
      <c r="AL125" s="1258"/>
      <c r="AM125" s="1258"/>
      <c r="AN125" s="1203"/>
      <c r="AO125" s="1204"/>
      <c r="AP125" s="1259"/>
      <c r="AQ125" s="1455"/>
    </row>
    <row r="126" spans="1:44" s="10" customFormat="1">
      <c r="A126" s="1296"/>
      <c r="B126" s="1305"/>
      <c r="C126" s="1305"/>
      <c r="D126" s="1171"/>
      <c r="E126" s="1306"/>
      <c r="F126" s="1306"/>
      <c r="G126" s="1076"/>
      <c r="H126" s="1296"/>
      <c r="I126" s="1296"/>
      <c r="J126" s="1296"/>
      <c r="K126" s="1076"/>
      <c r="L126" s="1076"/>
      <c r="M126" s="1321"/>
      <c r="N126" s="425" t="s">
        <v>137</v>
      </c>
      <c r="O126" s="416">
        <v>1912846</v>
      </c>
      <c r="P126" s="1258"/>
      <c r="Q126" s="1258"/>
      <c r="R126" s="1305"/>
      <c r="S126" s="1258"/>
      <c r="T126" s="416">
        <v>1912846</v>
      </c>
      <c r="U126" s="416">
        <f>O126-T126</f>
        <v>0</v>
      </c>
      <c r="V126" s="416">
        <v>1912846</v>
      </c>
      <c r="W126" s="1258"/>
      <c r="X126" s="1076"/>
      <c r="Y126" s="1123"/>
      <c r="Z126" s="416">
        <v>569723.33200000005</v>
      </c>
      <c r="AA126" s="416">
        <v>-288992.33199999999</v>
      </c>
      <c r="AB126" s="416">
        <f t="shared" si="9"/>
        <v>280731.00000000006</v>
      </c>
      <c r="AC126" s="1323"/>
      <c r="AD126" s="57">
        <v>280731</v>
      </c>
      <c r="AE126" s="416"/>
      <c r="AF126" s="1258"/>
      <c r="AG126" s="1258"/>
      <c r="AH126" s="416">
        <f t="shared" si="10"/>
        <v>0</v>
      </c>
      <c r="AI126" s="416">
        <f>T126-AD126</f>
        <v>1632115</v>
      </c>
      <c r="AJ126" s="1258"/>
      <c r="AK126" s="1258"/>
      <c r="AL126" s="1258"/>
      <c r="AM126" s="1258"/>
      <c r="AN126" s="1203"/>
      <c r="AO126" s="1204"/>
      <c r="AP126" s="1259"/>
      <c r="AQ126" s="1455"/>
    </row>
    <row r="127" spans="1:44" s="10" customFormat="1" ht="31.5">
      <c r="A127" s="1296"/>
      <c r="B127" s="1305"/>
      <c r="C127" s="1305"/>
      <c r="D127" s="1171"/>
      <c r="E127" s="1306"/>
      <c r="F127" s="1306"/>
      <c r="G127" s="1076"/>
      <c r="H127" s="1296"/>
      <c r="I127" s="1296"/>
      <c r="J127" s="1296"/>
      <c r="K127" s="1076"/>
      <c r="L127" s="1076"/>
      <c r="M127" s="1321">
        <v>43</v>
      </c>
      <c r="N127" s="1320" t="s">
        <v>7</v>
      </c>
      <c r="O127" s="1258">
        <v>978719</v>
      </c>
      <c r="P127" s="1258">
        <v>2979357</v>
      </c>
      <c r="Q127" s="1258"/>
      <c r="R127" s="1305"/>
      <c r="S127" s="1258">
        <v>2979357</v>
      </c>
      <c r="T127" s="1258">
        <v>978719</v>
      </c>
      <c r="U127" s="1258">
        <f>O127-T127</f>
        <v>0</v>
      </c>
      <c r="V127" s="1258">
        <v>978719</v>
      </c>
      <c r="W127" s="1258"/>
      <c r="X127" s="1076"/>
      <c r="Y127" s="372" t="s">
        <v>375</v>
      </c>
      <c r="Z127" s="416">
        <v>0</v>
      </c>
      <c r="AA127" s="416">
        <v>1191743</v>
      </c>
      <c r="AB127" s="416">
        <f t="shared" si="9"/>
        <v>1191743</v>
      </c>
      <c r="AC127" s="426">
        <v>40387</v>
      </c>
      <c r="AD127" s="57">
        <v>1191743</v>
      </c>
      <c r="AE127" s="416"/>
      <c r="AF127" s="1258">
        <f>SUM(AD127:AD130)</f>
        <v>2979354.3</v>
      </c>
      <c r="AG127" s="1258"/>
      <c r="AH127" s="416">
        <f t="shared" si="10"/>
        <v>0</v>
      </c>
      <c r="AI127" s="1258">
        <f>T127-AD127-AD128-AD129</f>
        <v>-1707020.3</v>
      </c>
      <c r="AJ127" s="1258"/>
      <c r="AK127" s="1258">
        <f>P127-V127-V130</f>
        <v>0</v>
      </c>
      <c r="AL127" s="1258">
        <f>SUM(V127:V130)-SUM(Z127:Z130)</f>
        <v>2.6000000000931323</v>
      </c>
      <c r="AM127" s="1258">
        <f>AK127+AL127</f>
        <v>2.6000000000931323</v>
      </c>
      <c r="AN127" s="1203"/>
      <c r="AO127" s="1204"/>
      <c r="AP127" s="1259"/>
      <c r="AQ127" s="1455"/>
    </row>
    <row r="128" spans="1:44" s="10" customFormat="1" ht="31.5">
      <c r="A128" s="1296"/>
      <c r="B128" s="1305"/>
      <c r="C128" s="1305"/>
      <c r="D128" s="1171"/>
      <c r="E128" s="1306"/>
      <c r="F128" s="1306"/>
      <c r="G128" s="1076"/>
      <c r="H128" s="1296"/>
      <c r="I128" s="1296"/>
      <c r="J128" s="1296"/>
      <c r="K128" s="1076"/>
      <c r="L128" s="1076"/>
      <c r="M128" s="1321"/>
      <c r="N128" s="1320"/>
      <c r="O128" s="1258"/>
      <c r="P128" s="1258"/>
      <c r="Q128" s="1258"/>
      <c r="R128" s="1305"/>
      <c r="S128" s="1258"/>
      <c r="T128" s="1258"/>
      <c r="U128" s="1258"/>
      <c r="V128" s="1258"/>
      <c r="W128" s="1258"/>
      <c r="X128" s="1076"/>
      <c r="Y128" s="372" t="s">
        <v>377</v>
      </c>
      <c r="Z128" s="416">
        <v>1489678.5</v>
      </c>
      <c r="AA128" s="416">
        <v>-595871.5</v>
      </c>
      <c r="AB128" s="416">
        <f t="shared" si="9"/>
        <v>893807</v>
      </c>
      <c r="AC128" s="426">
        <v>40508</v>
      </c>
      <c r="AD128" s="57">
        <v>893807</v>
      </c>
      <c r="AE128" s="416"/>
      <c r="AF128" s="1258"/>
      <c r="AG128" s="1258"/>
      <c r="AH128" s="416">
        <f t="shared" si="10"/>
        <v>0</v>
      </c>
      <c r="AI128" s="1258"/>
      <c r="AJ128" s="1258"/>
      <c r="AK128" s="1258"/>
      <c r="AL128" s="1258"/>
      <c r="AM128" s="1258"/>
      <c r="AN128" s="1203"/>
      <c r="AO128" s="1204"/>
      <c r="AP128" s="1259"/>
      <c r="AQ128" s="1455"/>
    </row>
    <row r="129" spans="1:43" s="10" customFormat="1">
      <c r="A129" s="1296"/>
      <c r="B129" s="1305"/>
      <c r="C129" s="1305"/>
      <c r="D129" s="1171"/>
      <c r="E129" s="1306"/>
      <c r="F129" s="1306"/>
      <c r="G129" s="1076"/>
      <c r="H129" s="1296"/>
      <c r="I129" s="1296"/>
      <c r="J129" s="1296"/>
      <c r="K129" s="1076"/>
      <c r="L129" s="1076"/>
      <c r="M129" s="1321"/>
      <c r="N129" s="1320"/>
      <c r="O129" s="1258"/>
      <c r="P129" s="1258"/>
      <c r="Q129" s="1258"/>
      <c r="R129" s="1305"/>
      <c r="S129" s="1258"/>
      <c r="T129" s="1258"/>
      <c r="U129" s="1258"/>
      <c r="V129" s="1258"/>
      <c r="W129" s="1258"/>
      <c r="X129" s="1076"/>
      <c r="Y129" s="1123" t="s">
        <v>383</v>
      </c>
      <c r="Z129" s="416">
        <v>893805.54</v>
      </c>
      <c r="AA129" s="416">
        <v>-293616.24</v>
      </c>
      <c r="AB129" s="416">
        <f t="shared" si="9"/>
        <v>600189.30000000005</v>
      </c>
      <c r="AC129" s="1322">
        <v>40569</v>
      </c>
      <c r="AD129" s="57">
        <v>600189.30000000005</v>
      </c>
      <c r="AE129" s="416"/>
      <c r="AF129" s="1258"/>
      <c r="AG129" s="1258"/>
      <c r="AH129" s="416">
        <f t="shared" si="10"/>
        <v>0</v>
      </c>
      <c r="AI129" s="1258"/>
      <c r="AJ129" s="1258"/>
      <c r="AK129" s="1258"/>
      <c r="AL129" s="1258"/>
      <c r="AM129" s="1258"/>
      <c r="AN129" s="1203"/>
      <c r="AO129" s="1204"/>
      <c r="AP129" s="1259"/>
      <c r="AQ129" s="1455"/>
    </row>
    <row r="130" spans="1:43" s="10" customFormat="1">
      <c r="A130" s="1296"/>
      <c r="B130" s="1305"/>
      <c r="C130" s="1305"/>
      <c r="D130" s="1171"/>
      <c r="E130" s="1306"/>
      <c r="F130" s="1306"/>
      <c r="G130" s="1076"/>
      <c r="H130" s="1296"/>
      <c r="I130" s="1296"/>
      <c r="J130" s="1296"/>
      <c r="K130" s="1076"/>
      <c r="L130" s="1076"/>
      <c r="M130" s="1321"/>
      <c r="N130" s="425" t="s">
        <v>137</v>
      </c>
      <c r="O130" s="416">
        <v>2000638</v>
      </c>
      <c r="P130" s="1258"/>
      <c r="Q130" s="1258"/>
      <c r="R130" s="1305"/>
      <c r="S130" s="1258"/>
      <c r="T130" s="416">
        <v>2000638</v>
      </c>
      <c r="U130" s="416">
        <f>O130-T130</f>
        <v>0</v>
      </c>
      <c r="V130" s="416">
        <v>2000638</v>
      </c>
      <c r="W130" s="1258"/>
      <c r="X130" s="1076"/>
      <c r="Y130" s="1123"/>
      <c r="Z130" s="416">
        <v>595870.36</v>
      </c>
      <c r="AA130" s="416">
        <v>-302255.35999999999</v>
      </c>
      <c r="AB130" s="416">
        <f t="shared" si="9"/>
        <v>293615</v>
      </c>
      <c r="AC130" s="1322"/>
      <c r="AD130" s="57">
        <v>293615</v>
      </c>
      <c r="AE130" s="416"/>
      <c r="AF130" s="1258"/>
      <c r="AG130" s="1258"/>
      <c r="AH130" s="416">
        <f t="shared" si="10"/>
        <v>0</v>
      </c>
      <c r="AI130" s="416">
        <f>T130-AD130</f>
        <v>1707023</v>
      </c>
      <c r="AJ130" s="1258"/>
      <c r="AK130" s="1258"/>
      <c r="AL130" s="1258"/>
      <c r="AM130" s="1258"/>
      <c r="AN130" s="1203"/>
      <c r="AO130" s="1204"/>
      <c r="AP130" s="1259"/>
      <c r="AQ130" s="1455"/>
    </row>
    <row r="131" spans="1:43" s="10" customFormat="1" ht="31.5">
      <c r="A131" s="1296"/>
      <c r="B131" s="1305"/>
      <c r="C131" s="1305"/>
      <c r="D131" s="1171"/>
      <c r="E131" s="1306"/>
      <c r="F131" s="1306"/>
      <c r="G131" s="1076"/>
      <c r="H131" s="1296"/>
      <c r="I131" s="1296"/>
      <c r="J131" s="1296"/>
      <c r="K131" s="1076"/>
      <c r="L131" s="1076"/>
      <c r="M131" s="1321">
        <v>44</v>
      </c>
      <c r="N131" s="1320" t="s">
        <v>7</v>
      </c>
      <c r="O131" s="1258">
        <v>821181</v>
      </c>
      <c r="P131" s="1258">
        <v>2499789</v>
      </c>
      <c r="Q131" s="1258"/>
      <c r="R131" s="1305"/>
      <c r="S131" s="1258">
        <v>2499789</v>
      </c>
      <c r="T131" s="1258">
        <v>821181</v>
      </c>
      <c r="U131" s="1258">
        <f>O131-T131</f>
        <v>0</v>
      </c>
      <c r="V131" s="1258">
        <v>821181</v>
      </c>
      <c r="W131" s="1258"/>
      <c r="X131" s="1076"/>
      <c r="Y131" s="372" t="s">
        <v>375</v>
      </c>
      <c r="Z131" s="416">
        <v>0</v>
      </c>
      <c r="AA131" s="416">
        <v>999915</v>
      </c>
      <c r="AB131" s="416">
        <f t="shared" si="9"/>
        <v>999915</v>
      </c>
      <c r="AC131" s="426">
        <v>40387</v>
      </c>
      <c r="AD131" s="57">
        <v>999915</v>
      </c>
      <c r="AE131" s="416"/>
      <c r="AF131" s="1258">
        <f>SUM(AD131:AD134)</f>
        <v>2499789</v>
      </c>
      <c r="AG131" s="1258"/>
      <c r="AH131" s="416">
        <f t="shared" si="10"/>
        <v>0</v>
      </c>
      <c r="AI131" s="1258">
        <f>T131-AD131-AD132-AD133</f>
        <v>-1432254</v>
      </c>
      <c r="AJ131" s="1258"/>
      <c r="AK131" s="1258">
        <f>P131-V131-V134</f>
        <v>0</v>
      </c>
      <c r="AL131" s="1258">
        <f>SUM(V131:V134)-SUM(Z131:Z134)</f>
        <v>4656</v>
      </c>
      <c r="AM131" s="1258">
        <f>AK131+AL131</f>
        <v>4656</v>
      </c>
      <c r="AN131" s="1203"/>
      <c r="AO131" s="1204"/>
      <c r="AP131" s="1259"/>
      <c r="AQ131" s="1455"/>
    </row>
    <row r="132" spans="1:43" s="10" customFormat="1" ht="31.5">
      <c r="A132" s="1296"/>
      <c r="B132" s="1305"/>
      <c r="C132" s="1305"/>
      <c r="D132" s="1171"/>
      <c r="E132" s="1306"/>
      <c r="F132" s="1306"/>
      <c r="G132" s="1076"/>
      <c r="H132" s="1296"/>
      <c r="I132" s="1296"/>
      <c r="J132" s="1296"/>
      <c r="K132" s="1076"/>
      <c r="L132" s="1076"/>
      <c r="M132" s="1321"/>
      <c r="N132" s="1320"/>
      <c r="O132" s="1258"/>
      <c r="P132" s="1258"/>
      <c r="Q132" s="1258"/>
      <c r="R132" s="1305"/>
      <c r="S132" s="1258"/>
      <c r="T132" s="1258"/>
      <c r="U132" s="1258"/>
      <c r="V132" s="1258"/>
      <c r="W132" s="1258"/>
      <c r="X132" s="1076"/>
      <c r="Y132" s="372" t="s">
        <v>377</v>
      </c>
      <c r="Z132" s="416">
        <v>1245237.5</v>
      </c>
      <c r="AA132" s="416">
        <v>-495300.5</v>
      </c>
      <c r="AB132" s="416">
        <f t="shared" si="9"/>
        <v>749937</v>
      </c>
      <c r="AC132" s="426">
        <v>40508</v>
      </c>
      <c r="AD132" s="57">
        <v>749937</v>
      </c>
      <c r="AE132" s="416"/>
      <c r="AF132" s="1258"/>
      <c r="AG132" s="1258"/>
      <c r="AH132" s="416">
        <f t="shared" si="10"/>
        <v>0</v>
      </c>
      <c r="AI132" s="1258"/>
      <c r="AJ132" s="1258"/>
      <c r="AK132" s="1258"/>
      <c r="AL132" s="1258"/>
      <c r="AM132" s="1258"/>
      <c r="AN132" s="1203"/>
      <c r="AO132" s="1204"/>
      <c r="AP132" s="1259"/>
      <c r="AQ132" s="1455"/>
    </row>
    <row r="133" spans="1:43" s="10" customFormat="1">
      <c r="A133" s="1296"/>
      <c r="B133" s="1305"/>
      <c r="C133" s="1305"/>
      <c r="D133" s="1171"/>
      <c r="E133" s="1306"/>
      <c r="F133" s="1306"/>
      <c r="G133" s="1076"/>
      <c r="H133" s="1296"/>
      <c r="I133" s="1296"/>
      <c r="J133" s="1296"/>
      <c r="K133" s="1076"/>
      <c r="L133" s="1076"/>
      <c r="M133" s="1321"/>
      <c r="N133" s="1320"/>
      <c r="O133" s="1258"/>
      <c r="P133" s="1258"/>
      <c r="Q133" s="1258"/>
      <c r="R133" s="1305"/>
      <c r="S133" s="1258"/>
      <c r="T133" s="1258"/>
      <c r="U133" s="1258"/>
      <c r="V133" s="1258"/>
      <c r="W133" s="1258"/>
      <c r="X133" s="1076"/>
      <c r="Y133" s="1123" t="s">
        <v>380</v>
      </c>
      <c r="Z133" s="416">
        <f>1249895.5*60%</f>
        <v>749937.29999999993</v>
      </c>
      <c r="AA133" s="416">
        <v>-246354.3</v>
      </c>
      <c r="AB133" s="416">
        <f t="shared" si="9"/>
        <v>503582.99999999994</v>
      </c>
      <c r="AC133" s="1322">
        <v>40578</v>
      </c>
      <c r="AD133" s="57">
        <v>503583</v>
      </c>
      <c r="AE133" s="416"/>
      <c r="AF133" s="1258"/>
      <c r="AG133" s="1258"/>
      <c r="AH133" s="416">
        <f t="shared" si="10"/>
        <v>0</v>
      </c>
      <c r="AI133" s="1258"/>
      <c r="AJ133" s="1258"/>
      <c r="AK133" s="1258"/>
      <c r="AL133" s="1258"/>
      <c r="AM133" s="1258"/>
      <c r="AN133" s="1203"/>
      <c r="AO133" s="1204"/>
      <c r="AP133" s="1259"/>
      <c r="AQ133" s="1455"/>
    </row>
    <row r="134" spans="1:43" s="10" customFormat="1">
      <c r="A134" s="1296"/>
      <c r="B134" s="1305"/>
      <c r="C134" s="1305"/>
      <c r="D134" s="1171"/>
      <c r="E134" s="1306"/>
      <c r="F134" s="1306"/>
      <c r="G134" s="1076"/>
      <c r="H134" s="1296"/>
      <c r="I134" s="1296"/>
      <c r="J134" s="1296"/>
      <c r="K134" s="1076"/>
      <c r="L134" s="1076"/>
      <c r="M134" s="1321"/>
      <c r="N134" s="425" t="s">
        <v>137</v>
      </c>
      <c r="O134" s="416">
        <v>1678608</v>
      </c>
      <c r="P134" s="1258"/>
      <c r="Q134" s="1258"/>
      <c r="R134" s="1305"/>
      <c r="S134" s="1258"/>
      <c r="T134" s="416">
        <v>1678608</v>
      </c>
      <c r="U134" s="416">
        <f>O134-T134</f>
        <v>0</v>
      </c>
      <c r="V134" s="416">
        <v>1678608</v>
      </c>
      <c r="W134" s="1258"/>
      <c r="X134" s="1076"/>
      <c r="Y134" s="1123"/>
      <c r="Z134" s="416">
        <f>1249895.5*40%</f>
        <v>499958.2</v>
      </c>
      <c r="AA134" s="416">
        <v>-253604.2</v>
      </c>
      <c r="AB134" s="416">
        <f t="shared" si="9"/>
        <v>246354</v>
      </c>
      <c r="AC134" s="1323"/>
      <c r="AD134" s="57">
        <v>246354</v>
      </c>
      <c r="AE134" s="416"/>
      <c r="AF134" s="1258"/>
      <c r="AG134" s="1258"/>
      <c r="AH134" s="416">
        <f t="shared" si="10"/>
        <v>0</v>
      </c>
      <c r="AI134" s="416">
        <f>T134-AD134</f>
        <v>1432254</v>
      </c>
      <c r="AJ134" s="1258"/>
      <c r="AK134" s="1258"/>
      <c r="AL134" s="1258"/>
      <c r="AM134" s="1258"/>
      <c r="AN134" s="1203"/>
      <c r="AO134" s="1204"/>
      <c r="AP134" s="1259"/>
      <c r="AQ134" s="1455"/>
    </row>
    <row r="135" spans="1:43" s="10" customFormat="1" ht="31.5">
      <c r="A135" s="1296"/>
      <c r="B135" s="1305"/>
      <c r="C135" s="1305" t="s">
        <v>22</v>
      </c>
      <c r="D135" s="1171"/>
      <c r="E135" s="1306"/>
      <c r="F135" s="1306"/>
      <c r="G135" s="1076"/>
      <c r="H135" s="1296"/>
      <c r="I135" s="1296"/>
      <c r="J135" s="1296"/>
      <c r="K135" s="1076"/>
      <c r="L135" s="1076"/>
      <c r="M135" s="1321">
        <v>50</v>
      </c>
      <c r="N135" s="1320" t="s">
        <v>7</v>
      </c>
      <c r="O135" s="1258">
        <v>1314000</v>
      </c>
      <c r="P135" s="1258">
        <v>4000000</v>
      </c>
      <c r="Q135" s="1258"/>
      <c r="R135" s="1305"/>
      <c r="S135" s="1258">
        <v>4000000</v>
      </c>
      <c r="T135" s="1258">
        <v>1314000</v>
      </c>
      <c r="U135" s="1258">
        <f>O135-T135</f>
        <v>0</v>
      </c>
      <c r="V135" s="1258">
        <v>1314000</v>
      </c>
      <c r="W135" s="1258"/>
      <c r="X135" s="1076"/>
      <c r="Y135" s="372" t="s">
        <v>375</v>
      </c>
      <c r="Z135" s="416">
        <v>0</v>
      </c>
      <c r="AA135" s="416">
        <v>1600000</v>
      </c>
      <c r="AB135" s="416">
        <f t="shared" si="9"/>
        <v>1600000</v>
      </c>
      <c r="AC135" s="426">
        <v>40387</v>
      </c>
      <c r="AD135" s="57">
        <v>1600000</v>
      </c>
      <c r="AE135" s="416"/>
      <c r="AF135" s="1258">
        <f>SUM(AD135:AD138)</f>
        <v>4000000</v>
      </c>
      <c r="AG135" s="1258"/>
      <c r="AH135" s="416">
        <f t="shared" si="10"/>
        <v>0</v>
      </c>
      <c r="AI135" s="1258">
        <f>T135-AD135-AD136-AD137</f>
        <v>-1487000</v>
      </c>
      <c r="AJ135" s="1258"/>
      <c r="AK135" s="1258">
        <f>P135-V135-V138</f>
        <v>0</v>
      </c>
      <c r="AL135" s="1258">
        <f>SUM(V135:V138)-SUM(Z135:Z138)</f>
        <v>0</v>
      </c>
      <c r="AM135" s="1258">
        <f>AK135+AL135</f>
        <v>0</v>
      </c>
      <c r="AN135" s="1203"/>
      <c r="AO135" s="1204"/>
      <c r="AP135" s="1259"/>
      <c r="AQ135" s="1455"/>
    </row>
    <row r="136" spans="1:43" s="10" customFormat="1">
      <c r="A136" s="1296"/>
      <c r="B136" s="1305"/>
      <c r="C136" s="1305"/>
      <c r="D136" s="1171"/>
      <c r="E136" s="1306"/>
      <c r="F136" s="1306"/>
      <c r="G136" s="1076"/>
      <c r="H136" s="1296"/>
      <c r="I136" s="1296"/>
      <c r="J136" s="1296"/>
      <c r="K136" s="1076"/>
      <c r="L136" s="1076"/>
      <c r="M136" s="1321"/>
      <c r="N136" s="1320"/>
      <c r="O136" s="1258"/>
      <c r="P136" s="1258"/>
      <c r="Q136" s="1258"/>
      <c r="R136" s="1305"/>
      <c r="S136" s="1258"/>
      <c r="T136" s="1258"/>
      <c r="U136" s="1258"/>
      <c r="V136" s="1258"/>
      <c r="W136" s="1258"/>
      <c r="X136" s="1076"/>
      <c r="Y136" s="1123" t="s">
        <v>378</v>
      </c>
      <c r="Z136" s="416">
        <v>1200600</v>
      </c>
      <c r="AA136" s="416">
        <v>-393800</v>
      </c>
      <c r="AB136" s="416">
        <f t="shared" si="9"/>
        <v>806800</v>
      </c>
      <c r="AC136" s="1322">
        <v>40519</v>
      </c>
      <c r="AD136" s="57">
        <v>806800</v>
      </c>
      <c r="AE136" s="416"/>
      <c r="AF136" s="1258"/>
      <c r="AG136" s="1258"/>
      <c r="AH136" s="416">
        <f t="shared" si="10"/>
        <v>0</v>
      </c>
      <c r="AI136" s="1258"/>
      <c r="AJ136" s="1258"/>
      <c r="AK136" s="1258"/>
      <c r="AL136" s="1258"/>
      <c r="AM136" s="1258"/>
      <c r="AN136" s="1203"/>
      <c r="AO136" s="1204"/>
      <c r="AP136" s="1259"/>
      <c r="AQ136" s="1455"/>
    </row>
    <row r="137" spans="1:43" s="10" customFormat="1">
      <c r="A137" s="1296"/>
      <c r="B137" s="1305"/>
      <c r="C137" s="1305"/>
      <c r="D137" s="1171"/>
      <c r="E137" s="1306"/>
      <c r="F137" s="1306"/>
      <c r="G137" s="1076"/>
      <c r="H137" s="1296"/>
      <c r="I137" s="1296"/>
      <c r="J137" s="1296"/>
      <c r="K137" s="1076"/>
      <c r="L137" s="1076"/>
      <c r="M137" s="1321"/>
      <c r="N137" s="1320"/>
      <c r="O137" s="1258"/>
      <c r="P137" s="1258"/>
      <c r="Q137" s="1258"/>
      <c r="R137" s="1305"/>
      <c r="S137" s="1258"/>
      <c r="T137" s="1258"/>
      <c r="U137" s="1258"/>
      <c r="V137" s="1258"/>
      <c r="W137" s="1258"/>
      <c r="X137" s="1076"/>
      <c r="Y137" s="1123"/>
      <c r="Z137" s="416">
        <v>800400</v>
      </c>
      <c r="AA137" s="416">
        <v>-406200</v>
      </c>
      <c r="AB137" s="416">
        <f t="shared" si="9"/>
        <v>394200</v>
      </c>
      <c r="AC137" s="1323"/>
      <c r="AD137" s="57">
        <v>394200</v>
      </c>
      <c r="AE137" s="416"/>
      <c r="AF137" s="1258"/>
      <c r="AG137" s="1258"/>
      <c r="AH137" s="416">
        <f t="shared" si="10"/>
        <v>0</v>
      </c>
      <c r="AI137" s="1258"/>
      <c r="AJ137" s="1258"/>
      <c r="AK137" s="1258"/>
      <c r="AL137" s="1258"/>
      <c r="AM137" s="1258"/>
      <c r="AN137" s="1203"/>
      <c r="AO137" s="1204"/>
      <c r="AP137" s="1259"/>
      <c r="AQ137" s="1455"/>
    </row>
    <row r="138" spans="1:43" s="10" customFormat="1">
      <c r="A138" s="1296"/>
      <c r="B138" s="1305"/>
      <c r="C138" s="1305"/>
      <c r="D138" s="1171"/>
      <c r="E138" s="1306"/>
      <c r="F138" s="1306"/>
      <c r="G138" s="1076"/>
      <c r="H138" s="1296"/>
      <c r="I138" s="1296"/>
      <c r="J138" s="1296"/>
      <c r="K138" s="1076"/>
      <c r="L138" s="1076"/>
      <c r="M138" s="1321"/>
      <c r="N138" s="425" t="s">
        <v>137</v>
      </c>
      <c r="O138" s="416">
        <v>2686000</v>
      </c>
      <c r="P138" s="1258"/>
      <c r="Q138" s="1258"/>
      <c r="R138" s="1305"/>
      <c r="S138" s="1258"/>
      <c r="T138" s="416">
        <v>2686000</v>
      </c>
      <c r="U138" s="416">
        <f>O138-T138</f>
        <v>0</v>
      </c>
      <c r="V138" s="416">
        <v>2686000</v>
      </c>
      <c r="W138" s="1258"/>
      <c r="X138" s="1076"/>
      <c r="Y138" s="372" t="s">
        <v>383</v>
      </c>
      <c r="Z138" s="416">
        <v>1999000</v>
      </c>
      <c r="AA138" s="416">
        <v>-800000</v>
      </c>
      <c r="AB138" s="416">
        <f t="shared" si="9"/>
        <v>1199000</v>
      </c>
      <c r="AC138" s="426">
        <v>40555</v>
      </c>
      <c r="AD138" s="57">
        <v>1199000</v>
      </c>
      <c r="AE138" s="416"/>
      <c r="AF138" s="1258"/>
      <c r="AG138" s="1258"/>
      <c r="AH138" s="416">
        <f t="shared" si="10"/>
        <v>0</v>
      </c>
      <c r="AI138" s="416">
        <f>T138-AD138</f>
        <v>1487000</v>
      </c>
      <c r="AJ138" s="1258"/>
      <c r="AK138" s="1258"/>
      <c r="AL138" s="1258"/>
      <c r="AM138" s="1258"/>
      <c r="AN138" s="1203"/>
      <c r="AO138" s="1204"/>
      <c r="AP138" s="1259"/>
      <c r="AQ138" s="1456"/>
    </row>
    <row r="139" spans="1:43" ht="41.25" customHeight="1">
      <c r="A139" s="1076" t="s">
        <v>670</v>
      </c>
      <c r="B139" s="1171">
        <v>40298</v>
      </c>
      <c r="C139" s="1076" t="s">
        <v>39</v>
      </c>
      <c r="D139" s="1076" t="s">
        <v>671</v>
      </c>
      <c r="E139" s="1252">
        <v>10523123</v>
      </c>
      <c r="F139" s="1252"/>
      <c r="G139" s="1076" t="s">
        <v>672</v>
      </c>
      <c r="H139" s="1076" t="s">
        <v>72</v>
      </c>
      <c r="I139" s="1076" t="s">
        <v>177</v>
      </c>
      <c r="J139" s="1076" t="s">
        <v>66</v>
      </c>
      <c r="K139" s="1076" t="s">
        <v>217</v>
      </c>
      <c r="L139" s="1076" t="s">
        <v>679</v>
      </c>
      <c r="M139" s="1251">
        <v>45</v>
      </c>
      <c r="N139" s="1123" t="s">
        <v>137</v>
      </c>
      <c r="O139" s="1119">
        <v>6208152</v>
      </c>
      <c r="P139" s="1119">
        <v>9245200</v>
      </c>
      <c r="Q139" s="1119">
        <f>P139+P147+P151</f>
        <v>20585499</v>
      </c>
      <c r="R139" s="1171">
        <v>40353</v>
      </c>
      <c r="S139" s="1196">
        <f>T139+T142</f>
        <v>6208152</v>
      </c>
      <c r="T139" s="1119">
        <v>6208152</v>
      </c>
      <c r="U139" s="1119">
        <f>O139-T139</f>
        <v>0</v>
      </c>
      <c r="V139" s="1119">
        <v>6208152</v>
      </c>
      <c r="W139" s="1119">
        <v>20585499</v>
      </c>
      <c r="X139" s="1076" t="s">
        <v>673</v>
      </c>
      <c r="Y139" s="1123" t="s">
        <v>675</v>
      </c>
      <c r="Z139" s="386">
        <v>0</v>
      </c>
      <c r="AA139" s="386">
        <v>1214819</v>
      </c>
      <c r="AB139" s="386">
        <f t="shared" ref="AB139:AB151" si="11">Z139+AA139</f>
        <v>1214819</v>
      </c>
      <c r="AC139" s="1171">
        <v>40382</v>
      </c>
      <c r="AD139" s="395">
        <v>1214819.2</v>
      </c>
      <c r="AE139" s="395" t="s">
        <v>7</v>
      </c>
      <c r="AF139" s="1084">
        <f>SUM(AD139:AD146)</f>
        <v>8692082</v>
      </c>
      <c r="AG139" s="1084">
        <f>AF139+AF147+AF151</f>
        <v>15005125.279999999</v>
      </c>
      <c r="AH139" s="358">
        <f t="shared" si="10"/>
        <v>-0.19999999995343387</v>
      </c>
      <c r="AI139" s="1084">
        <f>O139-AD140-AD142-AD144-AD145</f>
        <v>361975.20000000019</v>
      </c>
      <c r="AJ139" s="1119">
        <f>SUM(Z139:Z146)-SUM(AD139:AD146)</f>
        <v>553118</v>
      </c>
      <c r="AK139" s="1119">
        <f>P139-V139-V143</f>
        <v>0</v>
      </c>
      <c r="AL139" s="1119">
        <f>SUM(V139:V146)-SUM(Z139:Z146)</f>
        <v>0</v>
      </c>
      <c r="AM139" s="1119">
        <f>AK139+AL139</f>
        <v>0</v>
      </c>
      <c r="AN139" s="1203" t="s">
        <v>695</v>
      </c>
      <c r="AO139" s="1204" t="s">
        <v>694</v>
      </c>
      <c r="AP139" s="1204" t="s">
        <v>194</v>
      </c>
      <c r="AQ139" s="1204" t="s">
        <v>558</v>
      </c>
    </row>
    <row r="140" spans="1:43" ht="41.25" customHeight="1">
      <c r="A140" s="1076"/>
      <c r="B140" s="1171"/>
      <c r="C140" s="1076"/>
      <c r="D140" s="1076"/>
      <c r="E140" s="1252"/>
      <c r="F140" s="1252"/>
      <c r="G140" s="1076"/>
      <c r="H140" s="1076"/>
      <c r="I140" s="1076"/>
      <c r="J140" s="1076"/>
      <c r="K140" s="1076"/>
      <c r="L140" s="1076"/>
      <c r="M140" s="1251"/>
      <c r="N140" s="1123"/>
      <c r="O140" s="1119"/>
      <c r="P140" s="1119"/>
      <c r="Q140" s="1119"/>
      <c r="R140" s="1171"/>
      <c r="S140" s="1196"/>
      <c r="T140" s="1119"/>
      <c r="U140" s="1119"/>
      <c r="V140" s="1119"/>
      <c r="W140" s="1119"/>
      <c r="X140" s="1076"/>
      <c r="Y140" s="1123"/>
      <c r="Z140" s="386">
        <v>0</v>
      </c>
      <c r="AA140" s="386">
        <v>2483261</v>
      </c>
      <c r="AB140" s="386">
        <f t="shared" si="11"/>
        <v>2483261</v>
      </c>
      <c r="AC140" s="1171"/>
      <c r="AD140" s="395">
        <v>2483260.7999999998</v>
      </c>
      <c r="AE140" s="395" t="s">
        <v>137</v>
      </c>
      <c r="AF140" s="1084"/>
      <c r="AG140" s="1084"/>
      <c r="AH140" s="358">
        <f t="shared" si="10"/>
        <v>0.20000000018626451</v>
      </c>
      <c r="AI140" s="1084"/>
      <c r="AJ140" s="1119"/>
      <c r="AK140" s="1119"/>
      <c r="AL140" s="1119"/>
      <c r="AM140" s="1119"/>
      <c r="AN140" s="1203"/>
      <c r="AO140" s="1204"/>
      <c r="AP140" s="1204"/>
      <c r="AQ140" s="1204"/>
    </row>
    <row r="141" spans="1:43" ht="27" customHeight="1">
      <c r="A141" s="1076"/>
      <c r="B141" s="1171"/>
      <c r="C141" s="1076"/>
      <c r="D141" s="1076"/>
      <c r="E141" s="1252"/>
      <c r="F141" s="1252"/>
      <c r="G141" s="1076"/>
      <c r="H141" s="1076"/>
      <c r="I141" s="1076"/>
      <c r="J141" s="1076"/>
      <c r="K141" s="1076"/>
      <c r="L141" s="1076"/>
      <c r="M141" s="1251"/>
      <c r="N141" s="1123"/>
      <c r="O141" s="1119"/>
      <c r="P141" s="1119"/>
      <c r="Q141" s="1119"/>
      <c r="R141" s="1171"/>
      <c r="S141" s="1196"/>
      <c r="T141" s="1119"/>
      <c r="U141" s="1119"/>
      <c r="V141" s="1119"/>
      <c r="W141" s="1119"/>
      <c r="X141" s="1076"/>
      <c r="Y141" s="1123" t="s">
        <v>676</v>
      </c>
      <c r="Z141" s="386">
        <v>2138710</v>
      </c>
      <c r="AA141" s="386">
        <v>-863150</v>
      </c>
      <c r="AB141" s="386">
        <f t="shared" si="11"/>
        <v>1275560</v>
      </c>
      <c r="AC141" s="1171">
        <v>40548</v>
      </c>
      <c r="AD141" s="395">
        <v>1275560</v>
      </c>
      <c r="AE141" s="395" t="s">
        <v>7</v>
      </c>
      <c r="AF141" s="1084"/>
      <c r="AG141" s="1084"/>
      <c r="AH141" s="358">
        <f t="shared" si="10"/>
        <v>0</v>
      </c>
      <c r="AI141" s="1084"/>
      <c r="AJ141" s="1119"/>
      <c r="AK141" s="1119"/>
      <c r="AL141" s="1119"/>
      <c r="AM141" s="1119"/>
      <c r="AN141" s="1203"/>
      <c r="AO141" s="1204"/>
      <c r="AP141" s="1204"/>
      <c r="AQ141" s="1204"/>
    </row>
    <row r="142" spans="1:43" ht="36.75" customHeight="1">
      <c r="A142" s="1076"/>
      <c r="B142" s="1171"/>
      <c r="C142" s="1076"/>
      <c r="D142" s="1076"/>
      <c r="E142" s="1252"/>
      <c r="F142" s="1252"/>
      <c r="G142" s="1076"/>
      <c r="H142" s="1076"/>
      <c r="I142" s="1076"/>
      <c r="J142" s="1076"/>
      <c r="K142" s="1076"/>
      <c r="L142" s="1076"/>
      <c r="M142" s="1251"/>
      <c r="N142" s="1123"/>
      <c r="O142" s="1119"/>
      <c r="P142" s="1119"/>
      <c r="Q142" s="1119"/>
      <c r="R142" s="1171"/>
      <c r="S142" s="1196"/>
      <c r="T142" s="1119"/>
      <c r="U142" s="1119"/>
      <c r="V142" s="1119"/>
      <c r="W142" s="1119"/>
      <c r="X142" s="1076"/>
      <c r="Y142" s="1123"/>
      <c r="Z142" s="386">
        <v>4342227</v>
      </c>
      <c r="AA142" s="386">
        <v>-1734803</v>
      </c>
      <c r="AB142" s="386">
        <f t="shared" si="11"/>
        <v>2607424</v>
      </c>
      <c r="AC142" s="1171"/>
      <c r="AD142" s="395">
        <v>2607424</v>
      </c>
      <c r="AE142" s="395" t="s">
        <v>137</v>
      </c>
      <c r="AF142" s="1084"/>
      <c r="AG142" s="1084"/>
      <c r="AH142" s="358">
        <f t="shared" si="10"/>
        <v>0</v>
      </c>
      <c r="AI142" s="1084"/>
      <c r="AJ142" s="1119"/>
      <c r="AK142" s="1119"/>
      <c r="AL142" s="1119"/>
      <c r="AM142" s="1119"/>
      <c r="AN142" s="1203"/>
      <c r="AO142" s="1204"/>
      <c r="AP142" s="1204"/>
      <c r="AQ142" s="1204"/>
    </row>
    <row r="143" spans="1:43">
      <c r="A143" s="1076"/>
      <c r="B143" s="1171"/>
      <c r="C143" s="1076"/>
      <c r="D143" s="1076"/>
      <c r="E143" s="1252"/>
      <c r="F143" s="1252"/>
      <c r="G143" s="1076"/>
      <c r="H143" s="1076"/>
      <c r="I143" s="1076"/>
      <c r="J143" s="1076"/>
      <c r="K143" s="1076"/>
      <c r="L143" s="1076"/>
      <c r="M143" s="1251"/>
      <c r="N143" s="1123" t="s">
        <v>7</v>
      </c>
      <c r="O143" s="1119">
        <v>3037048</v>
      </c>
      <c r="P143" s="1119"/>
      <c r="Q143" s="1119"/>
      <c r="R143" s="1171"/>
      <c r="S143" s="1196"/>
      <c r="T143" s="1119">
        <v>3037048</v>
      </c>
      <c r="U143" s="1119">
        <f>O143-T143</f>
        <v>0</v>
      </c>
      <c r="V143" s="1119">
        <v>3037048</v>
      </c>
      <c r="W143" s="1119"/>
      <c r="X143" s="1076"/>
      <c r="Y143" s="1123" t="s">
        <v>678</v>
      </c>
      <c r="Z143" s="386">
        <v>591693</v>
      </c>
      <c r="AA143" s="386">
        <v>-236167</v>
      </c>
      <c r="AB143" s="386">
        <f t="shared" si="11"/>
        <v>355526</v>
      </c>
      <c r="AC143" s="1171">
        <v>40869</v>
      </c>
      <c r="AD143" s="395">
        <v>355526</v>
      </c>
      <c r="AE143" s="395" t="s">
        <v>7</v>
      </c>
      <c r="AF143" s="1084"/>
      <c r="AG143" s="1084"/>
      <c r="AH143" s="358">
        <f t="shared" si="10"/>
        <v>0</v>
      </c>
      <c r="AI143" s="1084">
        <f>O143-AD139-AD141-AD143-AD146</f>
        <v>191142.80000000005</v>
      </c>
      <c r="AJ143" s="1119"/>
      <c r="AK143" s="1119"/>
      <c r="AL143" s="1119"/>
      <c r="AM143" s="1119"/>
      <c r="AN143" s="1203"/>
      <c r="AO143" s="1204"/>
      <c r="AP143" s="1204"/>
      <c r="AQ143" s="1204"/>
    </row>
    <row r="144" spans="1:43" ht="31.5">
      <c r="A144" s="1076"/>
      <c r="B144" s="1171"/>
      <c r="C144" s="1076"/>
      <c r="D144" s="1076"/>
      <c r="E144" s="1252"/>
      <c r="F144" s="1252"/>
      <c r="G144" s="1076"/>
      <c r="H144" s="1076"/>
      <c r="I144" s="1076"/>
      <c r="J144" s="1076"/>
      <c r="K144" s="1076"/>
      <c r="L144" s="1076"/>
      <c r="M144" s="1251"/>
      <c r="N144" s="1123"/>
      <c r="O144" s="1119"/>
      <c r="P144" s="1119"/>
      <c r="Q144" s="1119"/>
      <c r="R144" s="1171"/>
      <c r="S144" s="1196"/>
      <c r="T144" s="1119"/>
      <c r="U144" s="1119"/>
      <c r="V144" s="1119"/>
      <c r="W144" s="1119"/>
      <c r="X144" s="1076"/>
      <c r="Y144" s="1123"/>
      <c r="Z144" s="386">
        <v>1257347</v>
      </c>
      <c r="AA144" s="386">
        <v>-501855</v>
      </c>
      <c r="AB144" s="386">
        <f t="shared" si="11"/>
        <v>755492</v>
      </c>
      <c r="AC144" s="1171"/>
      <c r="AD144" s="395">
        <v>755492</v>
      </c>
      <c r="AE144" s="395" t="s">
        <v>137</v>
      </c>
      <c r="AF144" s="1084"/>
      <c r="AG144" s="1084"/>
      <c r="AH144" s="358">
        <f t="shared" si="10"/>
        <v>0</v>
      </c>
      <c r="AI144" s="1084"/>
      <c r="AJ144" s="1119"/>
      <c r="AK144" s="1119"/>
      <c r="AL144" s="1119"/>
      <c r="AM144" s="1119"/>
      <c r="AN144" s="1203"/>
      <c r="AO144" s="1204"/>
      <c r="AP144" s="1204"/>
      <c r="AQ144" s="1204"/>
    </row>
    <row r="145" spans="1:43" ht="31.5">
      <c r="A145" s="1076"/>
      <c r="B145" s="1171"/>
      <c r="C145" s="1076"/>
      <c r="D145" s="1076"/>
      <c r="E145" s="1252"/>
      <c r="F145" s="1252"/>
      <c r="G145" s="1076"/>
      <c r="H145" s="1076"/>
      <c r="I145" s="1076"/>
      <c r="J145" s="1076"/>
      <c r="K145" s="1076"/>
      <c r="L145" s="1076"/>
      <c r="M145" s="1251"/>
      <c r="N145" s="1123"/>
      <c r="O145" s="1119"/>
      <c r="P145" s="1119"/>
      <c r="Q145" s="1119"/>
      <c r="R145" s="1171"/>
      <c r="S145" s="1196"/>
      <c r="T145" s="1119"/>
      <c r="U145" s="1119"/>
      <c r="V145" s="1119"/>
      <c r="W145" s="1119"/>
      <c r="X145" s="1076"/>
      <c r="Y145" s="1123" t="s">
        <v>693</v>
      </c>
      <c r="Z145" s="386">
        <f>915223*40%</f>
        <v>366089.2</v>
      </c>
      <c r="AA145" s="386">
        <v>-246603</v>
      </c>
      <c r="AB145" s="386">
        <f t="shared" si="11"/>
        <v>119486.20000000001</v>
      </c>
      <c r="AC145" s="169"/>
      <c r="AD145" s="395">
        <v>0</v>
      </c>
      <c r="AE145" s="395" t="s">
        <v>137</v>
      </c>
      <c r="AF145" s="1084"/>
      <c r="AG145" s="1084"/>
      <c r="AH145" s="358">
        <f t="shared" si="10"/>
        <v>119486.20000000001</v>
      </c>
      <c r="AI145" s="1084"/>
      <c r="AJ145" s="1119"/>
      <c r="AK145" s="1119"/>
      <c r="AL145" s="1119"/>
      <c r="AM145" s="1119"/>
      <c r="AN145" s="1203"/>
      <c r="AO145" s="1204"/>
      <c r="AP145" s="1204"/>
      <c r="AQ145" s="1204"/>
    </row>
    <row r="146" spans="1:43">
      <c r="A146" s="1076"/>
      <c r="B146" s="1171"/>
      <c r="C146" s="1076"/>
      <c r="D146" s="1076"/>
      <c r="E146" s="1252"/>
      <c r="F146" s="1252"/>
      <c r="G146" s="1076"/>
      <c r="H146" s="1076"/>
      <c r="I146" s="1076"/>
      <c r="J146" s="1076"/>
      <c r="K146" s="1076"/>
      <c r="L146" s="1076"/>
      <c r="M146" s="1251"/>
      <c r="N146" s="1123"/>
      <c r="O146" s="1119"/>
      <c r="P146" s="1119"/>
      <c r="Q146" s="1119"/>
      <c r="R146" s="1171"/>
      <c r="S146" s="1196"/>
      <c r="T146" s="1119"/>
      <c r="U146" s="1119"/>
      <c r="V146" s="1119"/>
      <c r="W146" s="1119"/>
      <c r="X146" s="1076"/>
      <c r="Y146" s="1123"/>
      <c r="Z146" s="386">
        <f>915223*60%</f>
        <v>549133.79999999993</v>
      </c>
      <c r="AA146" s="386">
        <v>-115502</v>
      </c>
      <c r="AB146" s="386">
        <f t="shared" si="11"/>
        <v>433631.79999999993</v>
      </c>
      <c r="AC146" s="169"/>
      <c r="AD146" s="395">
        <v>0</v>
      </c>
      <c r="AE146" s="395" t="s">
        <v>7</v>
      </c>
      <c r="AF146" s="1084"/>
      <c r="AG146" s="1084"/>
      <c r="AH146" s="358">
        <f t="shared" si="10"/>
        <v>433631.79999999993</v>
      </c>
      <c r="AI146" s="1084"/>
      <c r="AJ146" s="1119"/>
      <c r="AK146" s="1119"/>
      <c r="AL146" s="1119"/>
      <c r="AM146" s="1119"/>
      <c r="AN146" s="1203"/>
      <c r="AO146" s="1204"/>
      <c r="AP146" s="1204"/>
      <c r="AQ146" s="1204"/>
    </row>
    <row r="147" spans="1:43" ht="63">
      <c r="A147" s="1076"/>
      <c r="B147" s="1171"/>
      <c r="C147" s="1076"/>
      <c r="D147" s="1076"/>
      <c r="E147" s="1252"/>
      <c r="F147" s="1252"/>
      <c r="G147" s="1076"/>
      <c r="H147" s="1076"/>
      <c r="I147" s="1076"/>
      <c r="J147" s="1076"/>
      <c r="K147" s="1076"/>
      <c r="L147" s="1076"/>
      <c r="M147" s="1251">
        <v>46</v>
      </c>
      <c r="N147" s="1123" t="s">
        <v>137</v>
      </c>
      <c r="O147" s="1119">
        <v>4510935</v>
      </c>
      <c r="P147" s="1119">
        <v>6717699</v>
      </c>
      <c r="Q147" s="1119"/>
      <c r="R147" s="1171">
        <v>40353</v>
      </c>
      <c r="S147" s="1196">
        <f>T147+T148</f>
        <v>4510935</v>
      </c>
      <c r="T147" s="1119">
        <v>4510935</v>
      </c>
      <c r="U147" s="1119">
        <f>O147-T147</f>
        <v>0</v>
      </c>
      <c r="V147" s="1119">
        <v>4510935</v>
      </c>
      <c r="W147" s="1119"/>
      <c r="X147" s="1076"/>
      <c r="Y147" s="372" t="s">
        <v>674</v>
      </c>
      <c r="Z147" s="386">
        <v>0</v>
      </c>
      <c r="AA147" s="386">
        <v>2687080</v>
      </c>
      <c r="AB147" s="386">
        <f t="shared" si="11"/>
        <v>2687080</v>
      </c>
      <c r="AC147" s="384">
        <v>40382</v>
      </c>
      <c r="AD147" s="395">
        <v>2687080</v>
      </c>
      <c r="AE147" s="395" t="s">
        <v>7</v>
      </c>
      <c r="AF147" s="1084">
        <f>SUM(AD147:AD150)</f>
        <v>6313043.2799999993</v>
      </c>
      <c r="AG147" s="1084"/>
      <c r="AH147" s="358">
        <f t="shared" si="10"/>
        <v>0</v>
      </c>
      <c r="AI147" s="1084">
        <f>O147-AD150</f>
        <v>4510935</v>
      </c>
      <c r="AJ147" s="1119">
        <f>SUM(Z147:Z150)-SUM(AD147:AD150)</f>
        <v>404655.90000000037</v>
      </c>
      <c r="AK147" s="1119">
        <f>P147-V147-V149</f>
        <v>9</v>
      </c>
      <c r="AL147" s="1119">
        <f>SUM(V147:V150)-SUM(Z147:Z150)</f>
        <v>-9.1799999997019768</v>
      </c>
      <c r="AM147" s="1119">
        <f>AK147+AL147</f>
        <v>-0.17999999970197678</v>
      </c>
      <c r="AN147" s="1203"/>
      <c r="AO147" s="1204"/>
      <c r="AP147" s="1204"/>
      <c r="AQ147" s="1204"/>
    </row>
    <row r="148" spans="1:43" ht="78.75">
      <c r="A148" s="1076"/>
      <c r="B148" s="1171"/>
      <c r="C148" s="1076"/>
      <c r="D148" s="1076"/>
      <c r="E148" s="1252"/>
      <c r="F148" s="1252"/>
      <c r="G148" s="1076"/>
      <c r="H148" s="1076"/>
      <c r="I148" s="1076"/>
      <c r="J148" s="1076"/>
      <c r="K148" s="1076"/>
      <c r="L148" s="1076"/>
      <c r="M148" s="1251"/>
      <c r="N148" s="1123"/>
      <c r="O148" s="1119"/>
      <c r="P148" s="1119"/>
      <c r="Q148" s="1119"/>
      <c r="R148" s="1171"/>
      <c r="S148" s="1196"/>
      <c r="T148" s="1119"/>
      <c r="U148" s="1119"/>
      <c r="V148" s="1119"/>
      <c r="W148" s="1119"/>
      <c r="X148" s="1076"/>
      <c r="Y148" s="372" t="s">
        <v>676</v>
      </c>
      <c r="Z148" s="386">
        <f>11174029*42%</f>
        <v>4693092.18</v>
      </c>
      <c r="AA148" s="386">
        <v>-1871658.9</v>
      </c>
      <c r="AB148" s="386">
        <f t="shared" si="11"/>
        <v>2821433.28</v>
      </c>
      <c r="AC148" s="384">
        <v>40548</v>
      </c>
      <c r="AD148" s="395">
        <v>2821433.28</v>
      </c>
      <c r="AE148" s="395" t="s">
        <v>7</v>
      </c>
      <c r="AF148" s="1084"/>
      <c r="AG148" s="1084"/>
      <c r="AH148" s="358">
        <f t="shared" si="10"/>
        <v>0</v>
      </c>
      <c r="AI148" s="1084"/>
      <c r="AJ148" s="1119"/>
      <c r="AK148" s="1119"/>
      <c r="AL148" s="1119"/>
      <c r="AM148" s="1119"/>
      <c r="AN148" s="1203"/>
      <c r="AO148" s="1204"/>
      <c r="AP148" s="1204"/>
      <c r="AQ148" s="1204"/>
    </row>
    <row r="149" spans="1:43" ht="78.75">
      <c r="A149" s="1076"/>
      <c r="B149" s="1171"/>
      <c r="C149" s="1076"/>
      <c r="D149" s="1076"/>
      <c r="E149" s="1252"/>
      <c r="F149" s="1252"/>
      <c r="G149" s="1076"/>
      <c r="H149" s="1076"/>
      <c r="I149" s="1076"/>
      <c r="J149" s="1076"/>
      <c r="K149" s="1076"/>
      <c r="L149" s="1076"/>
      <c r="M149" s="1251"/>
      <c r="N149" s="1123" t="s">
        <v>7</v>
      </c>
      <c r="O149" s="1119">
        <v>2206764</v>
      </c>
      <c r="P149" s="1119"/>
      <c r="Q149" s="1119"/>
      <c r="R149" s="1171"/>
      <c r="S149" s="1196"/>
      <c r="T149" s="1119">
        <v>2206764</v>
      </c>
      <c r="U149" s="1119">
        <f>O149-T149</f>
        <v>0</v>
      </c>
      <c r="V149" s="1119">
        <v>2206755</v>
      </c>
      <c r="W149" s="1119"/>
      <c r="X149" s="1076"/>
      <c r="Y149" s="372" t="s">
        <v>677</v>
      </c>
      <c r="Z149" s="386">
        <v>1343540</v>
      </c>
      <c r="AA149" s="386">
        <v>-539010</v>
      </c>
      <c r="AB149" s="386">
        <f t="shared" si="11"/>
        <v>804530</v>
      </c>
      <c r="AC149" s="384">
        <v>40869</v>
      </c>
      <c r="AD149" s="395">
        <v>804530</v>
      </c>
      <c r="AE149" s="395" t="s">
        <v>7</v>
      </c>
      <c r="AF149" s="1084"/>
      <c r="AG149" s="1084"/>
      <c r="AH149" s="358">
        <f t="shared" si="10"/>
        <v>0</v>
      </c>
      <c r="AI149" s="1084">
        <f>O149-AD147-AD148-AD149</f>
        <v>-4106279.28</v>
      </c>
      <c r="AJ149" s="1119"/>
      <c r="AK149" s="1119"/>
      <c r="AL149" s="1119"/>
      <c r="AM149" s="1119"/>
      <c r="AN149" s="1203"/>
      <c r="AO149" s="1204"/>
      <c r="AP149" s="1204"/>
      <c r="AQ149" s="1204"/>
    </row>
    <row r="150" spans="1:43" ht="31.5">
      <c r="A150" s="1076"/>
      <c r="B150" s="1171"/>
      <c r="C150" s="1076"/>
      <c r="D150" s="1076"/>
      <c r="E150" s="1252"/>
      <c r="F150" s="1252"/>
      <c r="G150" s="1076"/>
      <c r="H150" s="1076"/>
      <c r="I150" s="1076"/>
      <c r="J150" s="1076"/>
      <c r="K150" s="1076"/>
      <c r="L150" s="1076"/>
      <c r="M150" s="1251"/>
      <c r="N150" s="1123"/>
      <c r="O150" s="1119"/>
      <c r="P150" s="1119"/>
      <c r="Q150" s="1119"/>
      <c r="R150" s="1171"/>
      <c r="S150" s="1196"/>
      <c r="T150" s="1119"/>
      <c r="U150" s="1119"/>
      <c r="V150" s="1119"/>
      <c r="W150" s="1119"/>
      <c r="X150" s="1076"/>
      <c r="Y150" s="372" t="s">
        <v>693</v>
      </c>
      <c r="Z150" s="386">
        <v>681067</v>
      </c>
      <c r="AA150" s="386">
        <v>-276411</v>
      </c>
      <c r="AB150" s="386">
        <f t="shared" si="11"/>
        <v>404656</v>
      </c>
      <c r="AC150" s="384"/>
      <c r="AD150" s="395">
        <v>0</v>
      </c>
      <c r="AE150" s="395" t="s">
        <v>137</v>
      </c>
      <c r="AF150" s="1084"/>
      <c r="AG150" s="1084"/>
      <c r="AH150" s="358">
        <f t="shared" si="10"/>
        <v>404656</v>
      </c>
      <c r="AI150" s="1084"/>
      <c r="AJ150" s="1119"/>
      <c r="AK150" s="1119"/>
      <c r="AL150" s="1119"/>
      <c r="AM150" s="1119"/>
      <c r="AN150" s="1203"/>
      <c r="AO150" s="1204"/>
      <c r="AP150" s="1204"/>
      <c r="AQ150" s="1204"/>
    </row>
    <row r="151" spans="1:43">
      <c r="A151" s="1076"/>
      <c r="B151" s="1171"/>
      <c r="C151" s="1076"/>
      <c r="D151" s="1076"/>
      <c r="E151" s="1252"/>
      <c r="F151" s="1252"/>
      <c r="G151" s="1076"/>
      <c r="H151" s="1076"/>
      <c r="I151" s="1076"/>
      <c r="J151" s="354" t="s">
        <v>171</v>
      </c>
      <c r="K151" s="1076"/>
      <c r="L151" s="1076"/>
      <c r="M151" s="408">
        <v>161</v>
      </c>
      <c r="N151" s="372" t="s">
        <v>7</v>
      </c>
      <c r="O151" s="386">
        <v>4622600</v>
      </c>
      <c r="P151" s="386">
        <f>O151</f>
        <v>4622600</v>
      </c>
      <c r="Q151" s="1119"/>
      <c r="R151" s="384"/>
      <c r="S151" s="390">
        <v>4622600</v>
      </c>
      <c r="T151" s="386">
        <v>4622600</v>
      </c>
      <c r="U151" s="386">
        <f>O151-T151</f>
        <v>0</v>
      </c>
      <c r="V151" s="386">
        <v>4622600</v>
      </c>
      <c r="W151" s="1119"/>
      <c r="X151" s="1076"/>
      <c r="Y151" s="372" t="s">
        <v>693</v>
      </c>
      <c r="Z151" s="386">
        <v>4622600</v>
      </c>
      <c r="AA151" s="386">
        <v>0</v>
      </c>
      <c r="AB151" s="386">
        <f t="shared" si="11"/>
        <v>4622600</v>
      </c>
      <c r="AC151" s="384"/>
      <c r="AD151" s="395">
        <v>0</v>
      </c>
      <c r="AE151" s="395" t="s">
        <v>7</v>
      </c>
      <c r="AF151" s="358">
        <f>AD151</f>
        <v>0</v>
      </c>
      <c r="AG151" s="1084"/>
      <c r="AH151" s="358">
        <f t="shared" si="10"/>
        <v>4622600</v>
      </c>
      <c r="AI151" s="358">
        <f>P151-AD151</f>
        <v>4622600</v>
      </c>
      <c r="AJ151" s="386">
        <f>Z151-AD151</f>
        <v>4622600</v>
      </c>
      <c r="AK151" s="386">
        <f>P151-V151</f>
        <v>0</v>
      </c>
      <c r="AL151" s="386">
        <f>V151-Z151</f>
        <v>0</v>
      </c>
      <c r="AM151" s="386">
        <f>AK151+AL151</f>
        <v>0</v>
      </c>
      <c r="AN151" s="1203"/>
      <c r="AO151" s="1204"/>
      <c r="AP151" s="1204"/>
      <c r="AQ151" s="1204"/>
    </row>
    <row r="152" spans="1:43" s="4" customFormat="1">
      <c r="A152" s="1076" t="s">
        <v>296</v>
      </c>
      <c r="B152" s="1171">
        <v>40298</v>
      </c>
      <c r="C152" s="1076" t="s">
        <v>31</v>
      </c>
      <c r="D152" s="1076" t="s">
        <v>297</v>
      </c>
      <c r="E152" s="1252">
        <v>25287865</v>
      </c>
      <c r="F152" s="1252"/>
      <c r="G152" s="1076" t="s">
        <v>298</v>
      </c>
      <c r="H152" s="1076" t="s">
        <v>70</v>
      </c>
      <c r="I152" s="1076" t="s">
        <v>177</v>
      </c>
      <c r="J152" s="1076" t="s">
        <v>66</v>
      </c>
      <c r="K152" s="1319" t="s">
        <v>50</v>
      </c>
      <c r="L152" s="1076" t="s">
        <v>300</v>
      </c>
      <c r="M152" s="1318">
        <v>49</v>
      </c>
      <c r="N152" s="1076" t="s">
        <v>7</v>
      </c>
      <c r="O152" s="1119">
        <v>4487734</v>
      </c>
      <c r="P152" s="1119">
        <v>13661291</v>
      </c>
      <c r="Q152" s="1119">
        <f>P152+P156</f>
        <v>20082098</v>
      </c>
      <c r="R152" s="1171">
        <v>40353</v>
      </c>
      <c r="S152" s="390"/>
      <c r="T152" s="386"/>
      <c r="U152" s="386"/>
      <c r="V152" s="1119">
        <v>4487734</v>
      </c>
      <c r="W152" s="1119">
        <f>V152+V154+V156</f>
        <v>20082098</v>
      </c>
      <c r="X152" s="1076" t="s">
        <v>282</v>
      </c>
      <c r="Y152" s="1123" t="s">
        <v>346</v>
      </c>
      <c r="Z152" s="1119">
        <v>0</v>
      </c>
      <c r="AA152" s="1119">
        <v>5464516</v>
      </c>
      <c r="AB152" s="1119">
        <v>5464516</v>
      </c>
      <c r="AC152" s="1171">
        <v>40389</v>
      </c>
      <c r="AD152" s="56">
        <v>1795094</v>
      </c>
      <c r="AE152" s="56"/>
      <c r="AF152" s="1315">
        <f>SUM(AD152:AD155)</f>
        <v>12841615</v>
      </c>
      <c r="AG152" s="1315">
        <f>AF152+AF156</f>
        <v>14767857</v>
      </c>
      <c r="AH152" s="1315">
        <v>0</v>
      </c>
      <c r="AI152" s="1084">
        <v>0</v>
      </c>
      <c r="AJ152" s="1119">
        <f>SUM(Z152:Z156)-SUM(AD152:AD156)</f>
        <v>-546453</v>
      </c>
      <c r="AK152" s="1119">
        <f>O152-V152</f>
        <v>0</v>
      </c>
      <c r="AL152" s="1119">
        <f>V152-AD152-AD154</f>
        <v>269263.35999999987</v>
      </c>
      <c r="AM152" s="1119">
        <f>AK152+AL152</f>
        <v>269263.35999999987</v>
      </c>
      <c r="AN152" s="1203" t="s">
        <v>353</v>
      </c>
      <c r="AO152" s="1204" t="s">
        <v>335</v>
      </c>
      <c r="AP152" s="1204" t="s">
        <v>194</v>
      </c>
      <c r="AQ152" s="1204" t="s">
        <v>345</v>
      </c>
    </row>
    <row r="153" spans="1:43" s="4" customFormat="1">
      <c r="A153" s="1076"/>
      <c r="B153" s="1171"/>
      <c r="C153" s="1076"/>
      <c r="D153" s="1076"/>
      <c r="E153" s="1252"/>
      <c r="F153" s="1252"/>
      <c r="G153" s="1076"/>
      <c r="H153" s="1076"/>
      <c r="I153" s="1076"/>
      <c r="J153" s="1076"/>
      <c r="K153" s="1319"/>
      <c r="L153" s="1076"/>
      <c r="M153" s="1318"/>
      <c r="N153" s="1076"/>
      <c r="O153" s="1119"/>
      <c r="P153" s="1119"/>
      <c r="Q153" s="1119"/>
      <c r="R153" s="1171"/>
      <c r="S153" s="390"/>
      <c r="T153" s="386"/>
      <c r="U153" s="386"/>
      <c r="V153" s="1119"/>
      <c r="W153" s="1119"/>
      <c r="X153" s="1076"/>
      <c r="Y153" s="1123"/>
      <c r="Z153" s="1119"/>
      <c r="AA153" s="1119"/>
      <c r="AB153" s="1119"/>
      <c r="AC153" s="1171"/>
      <c r="AD153" s="56">
        <v>3669423</v>
      </c>
      <c r="AE153" s="56"/>
      <c r="AF153" s="1315"/>
      <c r="AG153" s="1315"/>
      <c r="AH153" s="1315"/>
      <c r="AI153" s="1084"/>
      <c r="AJ153" s="1119"/>
      <c r="AK153" s="1119"/>
      <c r="AL153" s="1119"/>
      <c r="AM153" s="1119"/>
      <c r="AN153" s="1203"/>
      <c r="AO153" s="1204"/>
      <c r="AP153" s="1204"/>
      <c r="AQ153" s="1204"/>
    </row>
    <row r="154" spans="1:43" s="4" customFormat="1">
      <c r="A154" s="1076"/>
      <c r="B154" s="1171"/>
      <c r="C154" s="1076"/>
      <c r="D154" s="1076"/>
      <c r="E154" s="1252"/>
      <c r="F154" s="1252"/>
      <c r="G154" s="1076"/>
      <c r="H154" s="1076"/>
      <c r="I154" s="1076"/>
      <c r="J154" s="1076"/>
      <c r="K154" s="1319"/>
      <c r="L154" s="1076"/>
      <c r="M154" s="1318"/>
      <c r="N154" s="1076" t="s">
        <v>137</v>
      </c>
      <c r="O154" s="1119">
        <v>9173557</v>
      </c>
      <c r="P154" s="1119"/>
      <c r="Q154" s="1119"/>
      <c r="R154" s="1171"/>
      <c r="S154" s="390"/>
      <c r="T154" s="386"/>
      <c r="U154" s="386"/>
      <c r="V154" s="1119">
        <v>9173557</v>
      </c>
      <c r="W154" s="1119"/>
      <c r="X154" s="1076"/>
      <c r="Y154" s="1123" t="s">
        <v>299</v>
      </c>
      <c r="Z154" s="1119">
        <v>12295162</v>
      </c>
      <c r="AA154" s="1119">
        <v>-4918064</v>
      </c>
      <c r="AB154" s="1119">
        <f>Z154+AA154</f>
        <v>7377098</v>
      </c>
      <c r="AC154" s="1171">
        <v>41992</v>
      </c>
      <c r="AD154" s="56">
        <v>2423376.64</v>
      </c>
      <c r="AE154" s="56"/>
      <c r="AF154" s="1315"/>
      <c r="AG154" s="1315"/>
      <c r="AH154" s="1315"/>
      <c r="AI154" s="1084">
        <v>0</v>
      </c>
      <c r="AJ154" s="1119"/>
      <c r="AK154" s="1119">
        <f>O154-V154</f>
        <v>0</v>
      </c>
      <c r="AL154" s="1119">
        <f>V154-AD153-AD155</f>
        <v>550412.63999999966</v>
      </c>
      <c r="AM154" s="1119">
        <f>AK154+AL154</f>
        <v>550412.63999999966</v>
      </c>
      <c r="AN154" s="1203"/>
      <c r="AO154" s="1204"/>
      <c r="AP154" s="1204"/>
      <c r="AQ154" s="1204"/>
    </row>
    <row r="155" spans="1:43" s="4" customFormat="1">
      <c r="A155" s="1076"/>
      <c r="B155" s="1171"/>
      <c r="C155" s="1076"/>
      <c r="D155" s="1076"/>
      <c r="E155" s="1252"/>
      <c r="F155" s="1252"/>
      <c r="G155" s="1076"/>
      <c r="H155" s="1076"/>
      <c r="I155" s="1076"/>
      <c r="J155" s="1076"/>
      <c r="K155" s="1319"/>
      <c r="L155" s="1076"/>
      <c r="M155" s="1318"/>
      <c r="N155" s="1076"/>
      <c r="O155" s="1119"/>
      <c r="P155" s="1119"/>
      <c r="Q155" s="1119"/>
      <c r="R155" s="1171"/>
      <c r="S155" s="390"/>
      <c r="T155" s="386"/>
      <c r="U155" s="386"/>
      <c r="V155" s="1119"/>
      <c r="W155" s="1119"/>
      <c r="X155" s="1076"/>
      <c r="Y155" s="1123"/>
      <c r="Z155" s="1119"/>
      <c r="AA155" s="1119"/>
      <c r="AB155" s="1119"/>
      <c r="AC155" s="1171"/>
      <c r="AD155" s="56">
        <v>4953721.3600000003</v>
      </c>
      <c r="AE155" s="56"/>
      <c r="AF155" s="1315"/>
      <c r="AG155" s="1315"/>
      <c r="AH155" s="1315"/>
      <c r="AI155" s="1084"/>
      <c r="AJ155" s="1119"/>
      <c r="AK155" s="1119"/>
      <c r="AL155" s="1119"/>
      <c r="AM155" s="1119"/>
      <c r="AN155" s="1203"/>
      <c r="AO155" s="1204"/>
      <c r="AP155" s="1204"/>
      <c r="AQ155" s="1204"/>
    </row>
    <row r="156" spans="1:43" s="4" customFormat="1" ht="47.25">
      <c r="A156" s="1076"/>
      <c r="B156" s="1171"/>
      <c r="C156" s="1076"/>
      <c r="D156" s="1076"/>
      <c r="E156" s="1252"/>
      <c r="F156" s="1252"/>
      <c r="G156" s="1076"/>
      <c r="H156" s="1076"/>
      <c r="I156" s="1076"/>
      <c r="J156" s="354" t="s">
        <v>67</v>
      </c>
      <c r="K156" s="1319"/>
      <c r="L156" s="1076"/>
      <c r="M156" s="409">
        <v>140</v>
      </c>
      <c r="N156" s="354" t="s">
        <v>7</v>
      </c>
      <c r="O156" s="386">
        <v>6420807</v>
      </c>
      <c r="P156" s="386">
        <v>6420807</v>
      </c>
      <c r="Q156" s="1119"/>
      <c r="R156" s="384">
        <v>40647</v>
      </c>
      <c r="S156" s="390"/>
      <c r="T156" s="386"/>
      <c r="U156" s="386"/>
      <c r="V156" s="386">
        <v>6420807</v>
      </c>
      <c r="W156" s="1119"/>
      <c r="X156" s="1076"/>
      <c r="Y156" s="372" t="s">
        <v>347</v>
      </c>
      <c r="Z156" s="386">
        <v>1926242</v>
      </c>
      <c r="AA156" s="386">
        <v>0</v>
      </c>
      <c r="AB156" s="386">
        <f>Z156+AA156</f>
        <v>1926242</v>
      </c>
      <c r="AC156" s="384">
        <v>41992</v>
      </c>
      <c r="AD156" s="56">
        <v>1926242</v>
      </c>
      <c r="AE156" s="56"/>
      <c r="AF156" s="413">
        <f>AD156</f>
        <v>1926242</v>
      </c>
      <c r="AG156" s="1315"/>
      <c r="AH156" s="413">
        <v>0</v>
      </c>
      <c r="AI156" s="358">
        <v>0</v>
      </c>
      <c r="AJ156" s="1119"/>
      <c r="AK156" s="386">
        <f>P156-V156</f>
        <v>0</v>
      </c>
      <c r="AL156" s="386">
        <f>V156-Z156</f>
        <v>4494565</v>
      </c>
      <c r="AM156" s="386">
        <f>AK156+AL156</f>
        <v>4494565</v>
      </c>
      <c r="AN156" s="1203"/>
      <c r="AO156" s="1204"/>
      <c r="AP156" s="1204"/>
      <c r="AQ156" s="1204"/>
    </row>
    <row r="157" spans="1:43" s="4" customFormat="1">
      <c r="A157" s="1076" t="s">
        <v>301</v>
      </c>
      <c r="B157" s="1171">
        <v>40298</v>
      </c>
      <c r="C157" s="1076" t="s">
        <v>47</v>
      </c>
      <c r="D157" s="1076" t="s">
        <v>302</v>
      </c>
      <c r="E157" s="1252">
        <v>10529171</v>
      </c>
      <c r="F157" s="1252"/>
      <c r="G157" s="1076" t="s">
        <v>303</v>
      </c>
      <c r="H157" s="1076" t="s">
        <v>70</v>
      </c>
      <c r="I157" s="1076" t="s">
        <v>177</v>
      </c>
      <c r="J157" s="1076" t="s">
        <v>66</v>
      </c>
      <c r="K157" s="1076" t="s">
        <v>183</v>
      </c>
      <c r="L157" s="1076" t="s">
        <v>306</v>
      </c>
      <c r="M157" s="1318">
        <v>51</v>
      </c>
      <c r="N157" s="1076" t="s">
        <v>7</v>
      </c>
      <c r="O157" s="1119">
        <v>3945876</v>
      </c>
      <c r="P157" s="1119">
        <v>12011800</v>
      </c>
      <c r="Q157" s="1119">
        <f>P157+P165+P166</f>
        <v>16821848</v>
      </c>
      <c r="R157" s="1171">
        <v>40353</v>
      </c>
      <c r="S157" s="390"/>
      <c r="T157" s="386"/>
      <c r="U157" s="386"/>
      <c r="V157" s="1119">
        <v>3945876</v>
      </c>
      <c r="W157" s="1119">
        <f>V157+V161+V165+V166</f>
        <v>16821848</v>
      </c>
      <c r="X157" s="1076" t="s">
        <v>282</v>
      </c>
      <c r="Y157" s="1123" t="s">
        <v>344</v>
      </c>
      <c r="Z157" s="1119">
        <v>0</v>
      </c>
      <c r="AA157" s="1119">
        <v>4804720</v>
      </c>
      <c r="AB157" s="1119">
        <f>Z157+AA157</f>
        <v>4804720</v>
      </c>
      <c r="AC157" s="1171">
        <v>40382</v>
      </c>
      <c r="AD157" s="56">
        <v>3226370</v>
      </c>
      <c r="AE157" s="56"/>
      <c r="AF157" s="1315">
        <f>SUM(AD157:AD164)</f>
        <v>12011800</v>
      </c>
      <c r="AG157" s="1315">
        <f>AF157+AF165+AF166</f>
        <v>16821848</v>
      </c>
      <c r="AH157" s="1315">
        <v>0</v>
      </c>
      <c r="AI157" s="1084">
        <f>O157-AD157-AD158-AD159-AD163-AD164</f>
        <v>-4479801.2</v>
      </c>
      <c r="AJ157" s="1119">
        <f>SUM(Z157:Z166)-SUM(AD157:AD166)</f>
        <v>0</v>
      </c>
      <c r="AK157" s="1119">
        <f>P157-SUM(V157:V164)</f>
        <v>0</v>
      </c>
      <c r="AL157" s="1119">
        <f>SUM(V157:V164)-SUM(Z157:Z164)</f>
        <v>0</v>
      </c>
      <c r="AM157" s="1119">
        <f>AK157+AL157</f>
        <v>0</v>
      </c>
      <c r="AN157" s="1203" t="s">
        <v>354</v>
      </c>
      <c r="AO157" s="1204" t="s">
        <v>320</v>
      </c>
      <c r="AP157" s="1204" t="s">
        <v>194</v>
      </c>
      <c r="AQ157" s="1204" t="s">
        <v>345</v>
      </c>
    </row>
    <row r="158" spans="1:43" s="4" customFormat="1">
      <c r="A158" s="1076"/>
      <c r="B158" s="1171"/>
      <c r="C158" s="1076"/>
      <c r="D158" s="1076"/>
      <c r="E158" s="1252"/>
      <c r="F158" s="1252"/>
      <c r="G158" s="1076"/>
      <c r="H158" s="1076"/>
      <c r="I158" s="1076"/>
      <c r="J158" s="1076"/>
      <c r="K158" s="1076"/>
      <c r="L158" s="1076"/>
      <c r="M158" s="1318"/>
      <c r="N158" s="1076"/>
      <c r="O158" s="1119"/>
      <c r="P158" s="1119"/>
      <c r="Q158" s="1119"/>
      <c r="R158" s="1171"/>
      <c r="S158" s="390"/>
      <c r="T158" s="386"/>
      <c r="U158" s="386"/>
      <c r="V158" s="1119"/>
      <c r="W158" s="1119"/>
      <c r="X158" s="1076"/>
      <c r="Y158" s="1123"/>
      <c r="Z158" s="1119"/>
      <c r="AA158" s="1119"/>
      <c r="AB158" s="1119"/>
      <c r="AC158" s="1171"/>
      <c r="AD158" s="56">
        <v>1578350</v>
      </c>
      <c r="AE158" s="56"/>
      <c r="AF158" s="1315"/>
      <c r="AG158" s="1315"/>
      <c r="AH158" s="1315"/>
      <c r="AI158" s="1084"/>
      <c r="AJ158" s="1119"/>
      <c r="AK158" s="1119"/>
      <c r="AL158" s="1119"/>
      <c r="AM158" s="1119"/>
      <c r="AN158" s="1203"/>
      <c r="AO158" s="1204"/>
      <c r="AP158" s="1204"/>
      <c r="AQ158" s="1204"/>
    </row>
    <row r="159" spans="1:43" s="4" customFormat="1">
      <c r="A159" s="1076"/>
      <c r="B159" s="1171"/>
      <c r="C159" s="1076"/>
      <c r="D159" s="1076"/>
      <c r="E159" s="1252"/>
      <c r="F159" s="1252"/>
      <c r="G159" s="1076"/>
      <c r="H159" s="1076"/>
      <c r="I159" s="1076"/>
      <c r="J159" s="1076"/>
      <c r="K159" s="1076"/>
      <c r="L159" s="1076"/>
      <c r="M159" s="1318"/>
      <c r="N159" s="1076"/>
      <c r="O159" s="1119"/>
      <c r="P159" s="1119"/>
      <c r="Q159" s="1119"/>
      <c r="R159" s="1171"/>
      <c r="S159" s="390"/>
      <c r="T159" s="386"/>
      <c r="U159" s="386"/>
      <c r="V159" s="1119"/>
      <c r="W159" s="1119"/>
      <c r="X159" s="1076"/>
      <c r="Y159" s="1123" t="s">
        <v>304</v>
      </c>
      <c r="Z159" s="1119">
        <v>6005900</v>
      </c>
      <c r="AA159" s="1119">
        <v>-2402360</v>
      </c>
      <c r="AB159" s="1119">
        <f>Z159+AA159</f>
        <v>3603540</v>
      </c>
      <c r="AC159" s="1171">
        <v>40499</v>
      </c>
      <c r="AD159" s="56">
        <v>2419777.2000000002</v>
      </c>
      <c r="AE159" s="56"/>
      <c r="AF159" s="1315"/>
      <c r="AG159" s="1315"/>
      <c r="AH159" s="1315"/>
      <c r="AI159" s="1084"/>
      <c r="AJ159" s="1119"/>
      <c r="AK159" s="1119"/>
      <c r="AL159" s="1119"/>
      <c r="AM159" s="1119"/>
      <c r="AN159" s="1203"/>
      <c r="AO159" s="1204"/>
      <c r="AP159" s="1204"/>
      <c r="AQ159" s="1204"/>
    </row>
    <row r="160" spans="1:43" s="4" customFormat="1">
      <c r="A160" s="1076"/>
      <c r="B160" s="1171"/>
      <c r="C160" s="1076"/>
      <c r="D160" s="1076"/>
      <c r="E160" s="1252"/>
      <c r="F160" s="1252"/>
      <c r="G160" s="1076"/>
      <c r="H160" s="1076"/>
      <c r="I160" s="1076"/>
      <c r="J160" s="1076"/>
      <c r="K160" s="1076"/>
      <c r="L160" s="1076"/>
      <c r="M160" s="1318"/>
      <c r="N160" s="1076"/>
      <c r="O160" s="1119"/>
      <c r="P160" s="1119"/>
      <c r="Q160" s="1119"/>
      <c r="R160" s="1171"/>
      <c r="S160" s="390"/>
      <c r="T160" s="386"/>
      <c r="U160" s="386"/>
      <c r="V160" s="1119"/>
      <c r="W160" s="1119"/>
      <c r="X160" s="1076"/>
      <c r="Y160" s="1123"/>
      <c r="Z160" s="1119"/>
      <c r="AA160" s="1119"/>
      <c r="AB160" s="1119"/>
      <c r="AC160" s="1171"/>
      <c r="AD160" s="56">
        <v>1183762.8</v>
      </c>
      <c r="AE160" s="56"/>
      <c r="AF160" s="1315"/>
      <c r="AG160" s="1315"/>
      <c r="AH160" s="1315"/>
      <c r="AI160" s="1084"/>
      <c r="AJ160" s="1119"/>
      <c r="AK160" s="1119"/>
      <c r="AL160" s="1119"/>
      <c r="AM160" s="1119"/>
      <c r="AN160" s="1203"/>
      <c r="AO160" s="1204"/>
      <c r="AP160" s="1204"/>
      <c r="AQ160" s="1204"/>
    </row>
    <row r="161" spans="1:44" s="4" customFormat="1">
      <c r="A161" s="1076"/>
      <c r="B161" s="1171"/>
      <c r="C161" s="1076"/>
      <c r="D161" s="1076"/>
      <c r="E161" s="1252"/>
      <c r="F161" s="1252"/>
      <c r="G161" s="1076"/>
      <c r="H161" s="1076"/>
      <c r="I161" s="1076"/>
      <c r="J161" s="1076"/>
      <c r="K161" s="1076"/>
      <c r="L161" s="1076"/>
      <c r="M161" s="1318"/>
      <c r="N161" s="1076" t="s">
        <v>137</v>
      </c>
      <c r="O161" s="1119">
        <v>8065924</v>
      </c>
      <c r="P161" s="1119"/>
      <c r="Q161" s="1119"/>
      <c r="R161" s="1171"/>
      <c r="S161" s="390"/>
      <c r="T161" s="386"/>
      <c r="U161" s="386"/>
      <c r="V161" s="1119">
        <v>8065924</v>
      </c>
      <c r="W161" s="1119"/>
      <c r="X161" s="1076"/>
      <c r="Y161" s="1123" t="s">
        <v>305</v>
      </c>
      <c r="Z161" s="1119">
        <v>4003933</v>
      </c>
      <c r="AA161" s="1119">
        <v>-1601573</v>
      </c>
      <c r="AB161" s="1119">
        <f>Z161+AA161</f>
        <v>2402360</v>
      </c>
      <c r="AC161" s="1171">
        <v>40542</v>
      </c>
      <c r="AD161" s="56">
        <v>1613184</v>
      </c>
      <c r="AE161" s="56"/>
      <c r="AF161" s="1315"/>
      <c r="AG161" s="1315"/>
      <c r="AH161" s="1315"/>
      <c r="AI161" s="1084">
        <f>O161-AD160-AD161-AD162</f>
        <v>4479801.2</v>
      </c>
      <c r="AJ161" s="1119"/>
      <c r="AK161" s="1119"/>
      <c r="AL161" s="1119"/>
      <c r="AM161" s="1119"/>
      <c r="AN161" s="1203"/>
      <c r="AO161" s="1204"/>
      <c r="AP161" s="1204"/>
      <c r="AQ161" s="1204"/>
    </row>
    <row r="162" spans="1:44" s="4" customFormat="1">
      <c r="A162" s="1076"/>
      <c r="B162" s="1171"/>
      <c r="C162" s="1076"/>
      <c r="D162" s="1076"/>
      <c r="E162" s="1252"/>
      <c r="F162" s="1252"/>
      <c r="G162" s="1076"/>
      <c r="H162" s="1076"/>
      <c r="I162" s="1076"/>
      <c r="J162" s="1076"/>
      <c r="K162" s="1076"/>
      <c r="L162" s="1076"/>
      <c r="M162" s="1318"/>
      <c r="N162" s="1076"/>
      <c r="O162" s="1119"/>
      <c r="P162" s="1119"/>
      <c r="Q162" s="1119"/>
      <c r="R162" s="1171"/>
      <c r="S162" s="390"/>
      <c r="T162" s="386"/>
      <c r="U162" s="386"/>
      <c r="V162" s="1119"/>
      <c r="W162" s="1119"/>
      <c r="X162" s="1076"/>
      <c r="Y162" s="1123"/>
      <c r="Z162" s="1119"/>
      <c r="AA162" s="1119"/>
      <c r="AB162" s="1119"/>
      <c r="AC162" s="1171"/>
      <c r="AD162" s="56">
        <v>789176</v>
      </c>
      <c r="AE162" s="56"/>
      <c r="AF162" s="1315"/>
      <c r="AG162" s="1315"/>
      <c r="AH162" s="1315"/>
      <c r="AI162" s="1084"/>
      <c r="AJ162" s="1119"/>
      <c r="AK162" s="1119"/>
      <c r="AL162" s="1119"/>
      <c r="AM162" s="1119"/>
      <c r="AN162" s="1203"/>
      <c r="AO162" s="1204"/>
      <c r="AP162" s="1204"/>
      <c r="AQ162" s="1204"/>
    </row>
    <row r="163" spans="1:44" s="4" customFormat="1">
      <c r="A163" s="1076"/>
      <c r="B163" s="1171"/>
      <c r="C163" s="1076"/>
      <c r="D163" s="1076"/>
      <c r="E163" s="1252"/>
      <c r="F163" s="1252"/>
      <c r="G163" s="1076"/>
      <c r="H163" s="1076"/>
      <c r="I163" s="1076"/>
      <c r="J163" s="1076"/>
      <c r="K163" s="1076"/>
      <c r="L163" s="1076"/>
      <c r="M163" s="1318"/>
      <c r="N163" s="1076"/>
      <c r="O163" s="1119"/>
      <c r="P163" s="1119"/>
      <c r="Q163" s="1119"/>
      <c r="R163" s="1171"/>
      <c r="S163" s="390"/>
      <c r="T163" s="386"/>
      <c r="U163" s="386"/>
      <c r="V163" s="1119"/>
      <c r="W163" s="1119"/>
      <c r="X163" s="1076"/>
      <c r="Y163" s="1123" t="s">
        <v>308</v>
      </c>
      <c r="Z163" s="1119">
        <v>2001967</v>
      </c>
      <c r="AA163" s="1119">
        <v>-800786.8</v>
      </c>
      <c r="AB163" s="1119">
        <f>Z163+AA163</f>
        <v>1201180.2</v>
      </c>
      <c r="AC163" s="1171">
        <v>40912</v>
      </c>
      <c r="AD163" s="56">
        <v>806591.87</v>
      </c>
      <c r="AE163" s="56"/>
      <c r="AF163" s="1315"/>
      <c r="AG163" s="1315"/>
      <c r="AH163" s="1315"/>
      <c r="AI163" s="1084"/>
      <c r="AJ163" s="1119"/>
      <c r="AK163" s="1119"/>
      <c r="AL163" s="1119"/>
      <c r="AM163" s="1119"/>
      <c r="AN163" s="1203"/>
      <c r="AO163" s="1204"/>
      <c r="AP163" s="1204"/>
      <c r="AQ163" s="1204"/>
    </row>
    <row r="164" spans="1:44" s="4" customFormat="1">
      <c r="A164" s="1076"/>
      <c r="B164" s="1171"/>
      <c r="C164" s="1076"/>
      <c r="D164" s="1076"/>
      <c r="E164" s="1252"/>
      <c r="F164" s="1252"/>
      <c r="G164" s="1076"/>
      <c r="H164" s="1076"/>
      <c r="I164" s="1076"/>
      <c r="J164" s="1076"/>
      <c r="K164" s="1076"/>
      <c r="L164" s="1076"/>
      <c r="M164" s="1318"/>
      <c r="N164" s="1076"/>
      <c r="O164" s="1119"/>
      <c r="P164" s="1119"/>
      <c r="Q164" s="1119"/>
      <c r="R164" s="1171"/>
      <c r="S164" s="390"/>
      <c r="T164" s="386"/>
      <c r="U164" s="386"/>
      <c r="V164" s="1119"/>
      <c r="W164" s="1119"/>
      <c r="X164" s="1076"/>
      <c r="Y164" s="1123"/>
      <c r="Z164" s="1119"/>
      <c r="AA164" s="1119"/>
      <c r="AB164" s="1119"/>
      <c r="AC164" s="1171"/>
      <c r="AD164" s="56">
        <v>394588.13</v>
      </c>
      <c r="AE164" s="56"/>
      <c r="AF164" s="1315"/>
      <c r="AG164" s="1315"/>
      <c r="AH164" s="1315"/>
      <c r="AI164" s="1084"/>
      <c r="AJ164" s="1119"/>
      <c r="AK164" s="1119"/>
      <c r="AL164" s="1119"/>
      <c r="AM164" s="1119"/>
      <c r="AN164" s="1203"/>
      <c r="AO164" s="1204"/>
      <c r="AP164" s="1204"/>
      <c r="AQ164" s="1204"/>
    </row>
    <row r="165" spans="1:44" s="4" customFormat="1" ht="47.25">
      <c r="A165" s="1076"/>
      <c r="B165" s="1171"/>
      <c r="C165" s="1076"/>
      <c r="D165" s="1076"/>
      <c r="E165" s="1252"/>
      <c r="F165" s="1252"/>
      <c r="G165" s="1076"/>
      <c r="H165" s="1076"/>
      <c r="I165" s="1076"/>
      <c r="J165" s="354" t="s">
        <v>67</v>
      </c>
      <c r="K165" s="1076"/>
      <c r="L165" s="1076"/>
      <c r="M165" s="409">
        <v>207</v>
      </c>
      <c r="N165" s="354" t="s">
        <v>7</v>
      </c>
      <c r="O165" s="386">
        <v>3170048</v>
      </c>
      <c r="P165" s="386">
        <v>3170048</v>
      </c>
      <c r="Q165" s="1119"/>
      <c r="R165" s="384">
        <v>40779</v>
      </c>
      <c r="S165" s="390"/>
      <c r="T165" s="386"/>
      <c r="U165" s="386"/>
      <c r="V165" s="386">
        <v>3170048</v>
      </c>
      <c r="W165" s="1119"/>
      <c r="X165" s="1076"/>
      <c r="Y165" s="372" t="s">
        <v>343</v>
      </c>
      <c r="Z165" s="386">
        <v>3170048</v>
      </c>
      <c r="AA165" s="386">
        <v>0</v>
      </c>
      <c r="AB165" s="386">
        <v>3170048</v>
      </c>
      <c r="AC165" s="384">
        <v>40910</v>
      </c>
      <c r="AD165" s="56">
        <v>3170048</v>
      </c>
      <c r="AE165" s="56"/>
      <c r="AF165" s="413">
        <f>AD165</f>
        <v>3170048</v>
      </c>
      <c r="AG165" s="1315"/>
      <c r="AH165" s="413">
        <v>0</v>
      </c>
      <c r="AI165" s="358">
        <v>0</v>
      </c>
      <c r="AJ165" s="1119"/>
      <c r="AK165" s="386">
        <f>P165-V165</f>
        <v>0</v>
      </c>
      <c r="AL165" s="386">
        <f>V165-Z165</f>
        <v>0</v>
      </c>
      <c r="AM165" s="386">
        <f>AK165+AL165</f>
        <v>0</v>
      </c>
      <c r="AN165" s="1203"/>
      <c r="AO165" s="1204"/>
      <c r="AP165" s="1204"/>
      <c r="AQ165" s="1204"/>
    </row>
    <row r="166" spans="1:44" s="4" customFormat="1" ht="31.5">
      <c r="A166" s="1076"/>
      <c r="B166" s="1171"/>
      <c r="C166" s="1076"/>
      <c r="D166" s="1076"/>
      <c r="E166" s="1252"/>
      <c r="F166" s="1252"/>
      <c r="G166" s="1076"/>
      <c r="H166" s="1076"/>
      <c r="I166" s="1076"/>
      <c r="J166" s="354" t="s">
        <v>171</v>
      </c>
      <c r="K166" s="1076"/>
      <c r="L166" s="1076"/>
      <c r="M166" s="409">
        <v>208</v>
      </c>
      <c r="N166" s="354" t="s">
        <v>7</v>
      </c>
      <c r="O166" s="386">
        <v>1640000</v>
      </c>
      <c r="P166" s="386">
        <v>1640000</v>
      </c>
      <c r="Q166" s="1119"/>
      <c r="R166" s="384">
        <v>40779</v>
      </c>
      <c r="S166" s="390"/>
      <c r="T166" s="386"/>
      <c r="U166" s="386"/>
      <c r="V166" s="386">
        <v>1640000</v>
      </c>
      <c r="W166" s="1119"/>
      <c r="X166" s="1076"/>
      <c r="Y166" s="372" t="s">
        <v>307</v>
      </c>
      <c r="Z166" s="386">
        <v>1640000</v>
      </c>
      <c r="AA166" s="386">
        <v>0</v>
      </c>
      <c r="AB166" s="386">
        <f>Z166+AA166</f>
        <v>1640000</v>
      </c>
      <c r="AC166" s="384">
        <v>41704</v>
      </c>
      <c r="AD166" s="56">
        <v>1640000</v>
      </c>
      <c r="AE166" s="56"/>
      <c r="AF166" s="413">
        <f>AD166</f>
        <v>1640000</v>
      </c>
      <c r="AG166" s="1315"/>
      <c r="AH166" s="413">
        <v>0</v>
      </c>
      <c r="AI166" s="358">
        <v>0</v>
      </c>
      <c r="AJ166" s="1119"/>
      <c r="AK166" s="386">
        <f>P166-V166</f>
        <v>0</v>
      </c>
      <c r="AL166" s="386">
        <f>V166-Z166</f>
        <v>0</v>
      </c>
      <c r="AM166" s="386">
        <f>AK166+AL166</f>
        <v>0</v>
      </c>
      <c r="AN166" s="1203"/>
      <c r="AO166" s="1204"/>
      <c r="AP166" s="1204"/>
      <c r="AQ166" s="1204"/>
    </row>
    <row r="167" spans="1:44" s="4" customFormat="1" ht="47.25" customHeight="1">
      <c r="A167" s="1076" t="s">
        <v>355</v>
      </c>
      <c r="B167" s="1171">
        <v>40301</v>
      </c>
      <c r="C167" s="1076" t="s">
        <v>11</v>
      </c>
      <c r="D167" s="1076" t="s">
        <v>351</v>
      </c>
      <c r="E167" s="1252" t="s">
        <v>357</v>
      </c>
      <c r="F167" s="1252"/>
      <c r="G167" s="1076" t="s">
        <v>356</v>
      </c>
      <c r="H167" s="1076" t="s">
        <v>70</v>
      </c>
      <c r="I167" s="1076" t="s">
        <v>177</v>
      </c>
      <c r="J167" s="1076" t="s">
        <v>66</v>
      </c>
      <c r="K167" s="1076" t="s">
        <v>48</v>
      </c>
      <c r="L167" s="1076" t="s">
        <v>369</v>
      </c>
      <c r="M167" s="1245">
        <v>33</v>
      </c>
      <c r="N167" s="1282" t="s">
        <v>7</v>
      </c>
      <c r="O167" s="1119">
        <v>2593723</v>
      </c>
      <c r="P167" s="1119">
        <f>O167+O171</f>
        <v>7895655</v>
      </c>
      <c r="Q167" s="1119">
        <f>P167+P175+P183+P191+P192</f>
        <v>27593726</v>
      </c>
      <c r="R167" s="1171">
        <v>40353</v>
      </c>
      <c r="S167" s="390"/>
      <c r="T167" s="386"/>
      <c r="U167" s="386"/>
      <c r="V167" s="1119">
        <f>O167</f>
        <v>2593723</v>
      </c>
      <c r="W167" s="1119">
        <f>SUM(V167:V192)+2</f>
        <v>27593728</v>
      </c>
      <c r="X167" s="1076" t="s">
        <v>273</v>
      </c>
      <c r="Y167" s="1123" t="s">
        <v>361</v>
      </c>
      <c r="Z167" s="1119">
        <v>0</v>
      </c>
      <c r="AA167" s="1119">
        <v>3158262</v>
      </c>
      <c r="AB167" s="1119">
        <f>Z167+AA167</f>
        <v>3158262</v>
      </c>
      <c r="AC167" s="1171">
        <v>40452</v>
      </c>
      <c r="AD167" s="395">
        <v>1037489</v>
      </c>
      <c r="AE167" s="395"/>
      <c r="AF167" s="1084">
        <f>SUM(AD167:AD174)</f>
        <v>6688813.2700000005</v>
      </c>
      <c r="AG167" s="1084">
        <f>AF167+AF175+AF183+AF191+AF192</f>
        <v>21891523.810000002</v>
      </c>
      <c r="AH167" s="1084"/>
      <c r="AI167" s="1084"/>
      <c r="AJ167" s="1119">
        <f>SUM(Z167:Z174)-SUM(AD167:AD174)</f>
        <v>-804561.16000000108</v>
      </c>
      <c r="AK167" s="1119">
        <f>P167-V167-V171</f>
        <v>0</v>
      </c>
      <c r="AL167" s="1119">
        <f>SUM(V167:V174)-SUM(Z167:Z174)+AJ167</f>
        <v>1206841.7299999995</v>
      </c>
      <c r="AM167" s="1119"/>
      <c r="AN167" s="1203" t="s">
        <v>370</v>
      </c>
      <c r="AO167" s="1204" t="s">
        <v>787</v>
      </c>
      <c r="AP167" s="1204" t="s">
        <v>194</v>
      </c>
      <c r="AQ167" s="1204" t="s">
        <v>368</v>
      </c>
      <c r="AR167" s="1364" t="s">
        <v>2495</v>
      </c>
    </row>
    <row r="168" spans="1:44" s="4" customFormat="1">
      <c r="A168" s="1076"/>
      <c r="B168" s="1171"/>
      <c r="C168" s="1076"/>
      <c r="D168" s="1076"/>
      <c r="E168" s="1252"/>
      <c r="F168" s="1252"/>
      <c r="G168" s="1076"/>
      <c r="H168" s="1076"/>
      <c r="I168" s="1076"/>
      <c r="J168" s="1076"/>
      <c r="K168" s="1076"/>
      <c r="L168" s="1076"/>
      <c r="M168" s="1245"/>
      <c r="N168" s="1282"/>
      <c r="O168" s="1119"/>
      <c r="P168" s="1119"/>
      <c r="Q168" s="1119"/>
      <c r="R168" s="1171"/>
      <c r="S168" s="390"/>
      <c r="T168" s="386"/>
      <c r="U168" s="386"/>
      <c r="V168" s="1119"/>
      <c r="W168" s="1119"/>
      <c r="X168" s="1076"/>
      <c r="Y168" s="1123"/>
      <c r="Z168" s="1119"/>
      <c r="AA168" s="1119"/>
      <c r="AB168" s="1119"/>
      <c r="AC168" s="1171"/>
      <c r="AD168" s="395">
        <v>2120773</v>
      </c>
      <c r="AE168" s="395"/>
      <c r="AF168" s="1084"/>
      <c r="AG168" s="1084"/>
      <c r="AH168" s="1084"/>
      <c r="AI168" s="1084"/>
      <c r="AJ168" s="1119"/>
      <c r="AK168" s="1119"/>
      <c r="AL168" s="1119"/>
      <c r="AM168" s="1119"/>
      <c r="AN168" s="1203"/>
      <c r="AO168" s="1204"/>
      <c r="AP168" s="1204"/>
      <c r="AQ168" s="1204"/>
      <c r="AR168" s="1364"/>
    </row>
    <row r="169" spans="1:44" s="4" customFormat="1">
      <c r="A169" s="1076"/>
      <c r="B169" s="1171"/>
      <c r="C169" s="1076"/>
      <c r="D169" s="1076"/>
      <c r="E169" s="1252"/>
      <c r="F169" s="1252"/>
      <c r="G169" s="1076"/>
      <c r="H169" s="1076"/>
      <c r="I169" s="1076"/>
      <c r="J169" s="1076"/>
      <c r="K169" s="1076"/>
      <c r="L169" s="1076"/>
      <c r="M169" s="1245"/>
      <c r="N169" s="1282"/>
      <c r="O169" s="1119"/>
      <c r="P169" s="1119"/>
      <c r="Q169" s="1119"/>
      <c r="R169" s="1171"/>
      <c r="S169" s="390"/>
      <c r="T169" s="386"/>
      <c r="U169" s="386"/>
      <c r="V169" s="1119"/>
      <c r="W169" s="1119"/>
      <c r="X169" s="1076"/>
      <c r="Y169" s="1123" t="s">
        <v>362</v>
      </c>
      <c r="Z169" s="386">
        <v>888353.95</v>
      </c>
      <c r="AA169" s="386">
        <v>-355341.58</v>
      </c>
      <c r="AB169" s="386">
        <f t="shared" ref="AB169:AB175" si="12">Z169+AA169</f>
        <v>533012.36999999988</v>
      </c>
      <c r="AC169" s="1171">
        <v>42459</v>
      </c>
      <c r="AD169" s="395">
        <v>533012.37</v>
      </c>
      <c r="AE169" s="395"/>
      <c r="AF169" s="1084"/>
      <c r="AG169" s="1084"/>
      <c r="AH169" s="1084"/>
      <c r="AI169" s="1084"/>
      <c r="AJ169" s="1119"/>
      <c r="AK169" s="1119"/>
      <c r="AL169" s="1119"/>
      <c r="AM169" s="1119"/>
      <c r="AN169" s="1203"/>
      <c r="AO169" s="1204"/>
      <c r="AP169" s="1204"/>
      <c r="AQ169" s="1204"/>
      <c r="AR169" s="1364"/>
    </row>
    <row r="170" spans="1:44" s="4" customFormat="1">
      <c r="A170" s="1076"/>
      <c r="B170" s="1171"/>
      <c r="C170" s="1076"/>
      <c r="D170" s="1076"/>
      <c r="E170" s="1252"/>
      <c r="F170" s="1252"/>
      <c r="G170" s="1076"/>
      <c r="H170" s="1076"/>
      <c r="I170" s="1076"/>
      <c r="J170" s="1076"/>
      <c r="K170" s="1076"/>
      <c r="L170" s="1076"/>
      <c r="M170" s="1245"/>
      <c r="N170" s="1282"/>
      <c r="O170" s="1119"/>
      <c r="P170" s="1119"/>
      <c r="Q170" s="1119"/>
      <c r="R170" s="1171"/>
      <c r="S170" s="390"/>
      <c r="T170" s="386"/>
      <c r="U170" s="386"/>
      <c r="V170" s="1119"/>
      <c r="W170" s="1119"/>
      <c r="X170" s="1076"/>
      <c r="Y170" s="1123"/>
      <c r="Z170" s="386">
        <v>1815919.53</v>
      </c>
      <c r="AA170" s="386">
        <v>-726367.81</v>
      </c>
      <c r="AB170" s="386">
        <f t="shared" si="12"/>
        <v>1089551.72</v>
      </c>
      <c r="AC170" s="1171"/>
      <c r="AD170" s="395">
        <v>1089551.72</v>
      </c>
      <c r="AE170" s="395"/>
      <c r="AF170" s="1084"/>
      <c r="AG170" s="1084"/>
      <c r="AH170" s="1084"/>
      <c r="AI170" s="1084"/>
      <c r="AJ170" s="1119"/>
      <c r="AK170" s="1119"/>
      <c r="AL170" s="1119"/>
      <c r="AM170" s="1119"/>
      <c r="AN170" s="1203"/>
      <c r="AO170" s="1204"/>
      <c r="AP170" s="1204"/>
      <c r="AQ170" s="1204"/>
      <c r="AR170" s="1364"/>
    </row>
    <row r="171" spans="1:44" s="4" customFormat="1">
      <c r="A171" s="1076"/>
      <c r="B171" s="1171"/>
      <c r="C171" s="1076"/>
      <c r="D171" s="1076"/>
      <c r="E171" s="1252"/>
      <c r="F171" s="1252"/>
      <c r="G171" s="1076"/>
      <c r="H171" s="1076"/>
      <c r="I171" s="1076"/>
      <c r="J171" s="1076"/>
      <c r="K171" s="1076"/>
      <c r="L171" s="1076"/>
      <c r="M171" s="1245"/>
      <c r="N171" s="1282" t="s">
        <v>137</v>
      </c>
      <c r="O171" s="1119">
        <v>5301932</v>
      </c>
      <c r="P171" s="1119"/>
      <c r="Q171" s="1119"/>
      <c r="R171" s="1171"/>
      <c r="S171" s="390"/>
      <c r="T171" s="386"/>
      <c r="U171" s="386"/>
      <c r="V171" s="1119">
        <f>O171</f>
        <v>5301932</v>
      </c>
      <c r="W171" s="1119"/>
      <c r="X171" s="1076"/>
      <c r="Y171" s="1123" t="s">
        <v>364</v>
      </c>
      <c r="Z171" s="386">
        <v>245104.56</v>
      </c>
      <c r="AA171" s="386">
        <v>-98041.83</v>
      </c>
      <c r="AB171" s="386">
        <f t="shared" si="12"/>
        <v>147062.72999999998</v>
      </c>
      <c r="AC171" s="1171">
        <v>42459</v>
      </c>
      <c r="AD171" s="395">
        <v>147062.73000000001</v>
      </c>
      <c r="AE171" s="395"/>
      <c r="AF171" s="1084"/>
      <c r="AG171" s="1084"/>
      <c r="AH171" s="1084"/>
      <c r="AI171" s="1084"/>
      <c r="AJ171" s="1119"/>
      <c r="AK171" s="1119"/>
      <c r="AL171" s="1119"/>
      <c r="AM171" s="1119"/>
      <c r="AN171" s="1203"/>
      <c r="AO171" s="1204"/>
      <c r="AP171" s="1204"/>
      <c r="AQ171" s="1204"/>
      <c r="AR171" s="1364"/>
    </row>
    <row r="172" spans="1:44" s="4" customFormat="1">
      <c r="A172" s="1076"/>
      <c r="B172" s="1171"/>
      <c r="C172" s="1076"/>
      <c r="D172" s="1076"/>
      <c r="E172" s="1252"/>
      <c r="F172" s="1252"/>
      <c r="G172" s="1076"/>
      <c r="H172" s="1076"/>
      <c r="I172" s="1076"/>
      <c r="J172" s="1076"/>
      <c r="K172" s="1076"/>
      <c r="L172" s="1076"/>
      <c r="M172" s="1245"/>
      <c r="N172" s="1282"/>
      <c r="O172" s="1119"/>
      <c r="P172" s="1119"/>
      <c r="Q172" s="1119"/>
      <c r="R172" s="1171"/>
      <c r="S172" s="390"/>
      <c r="T172" s="386"/>
      <c r="U172" s="386"/>
      <c r="V172" s="1119"/>
      <c r="W172" s="1119"/>
      <c r="X172" s="1076"/>
      <c r="Y172" s="1123"/>
      <c r="Z172" s="386">
        <v>501027.96</v>
      </c>
      <c r="AA172" s="386">
        <v>-200411.18</v>
      </c>
      <c r="AB172" s="386">
        <f t="shared" si="12"/>
        <v>300616.78000000003</v>
      </c>
      <c r="AC172" s="1171"/>
      <c r="AD172" s="395">
        <v>300616.78000000003</v>
      </c>
      <c r="AE172" s="395"/>
      <c r="AF172" s="1084"/>
      <c r="AG172" s="1084"/>
      <c r="AH172" s="1084"/>
      <c r="AI172" s="1084"/>
      <c r="AJ172" s="1119"/>
      <c r="AK172" s="1119"/>
      <c r="AL172" s="1119"/>
      <c r="AM172" s="1119"/>
      <c r="AN172" s="1203"/>
      <c r="AO172" s="1204"/>
      <c r="AP172" s="1204"/>
      <c r="AQ172" s="1204"/>
      <c r="AR172" s="1364"/>
    </row>
    <row r="173" spans="1:44" s="4" customFormat="1">
      <c r="A173" s="1076"/>
      <c r="B173" s="1171"/>
      <c r="C173" s="1076"/>
      <c r="D173" s="1076"/>
      <c r="E173" s="1252"/>
      <c r="F173" s="1252"/>
      <c r="G173" s="1076"/>
      <c r="H173" s="1076"/>
      <c r="I173" s="1076"/>
      <c r="J173" s="1076"/>
      <c r="K173" s="1076"/>
      <c r="L173" s="1076"/>
      <c r="M173" s="1245"/>
      <c r="N173" s="1282"/>
      <c r="O173" s="1119"/>
      <c r="P173" s="1119"/>
      <c r="Q173" s="1119"/>
      <c r="R173" s="1171"/>
      <c r="S173" s="390"/>
      <c r="T173" s="386"/>
      <c r="U173" s="386"/>
      <c r="V173" s="1119"/>
      <c r="W173" s="1119"/>
      <c r="X173" s="1076"/>
      <c r="Y173" s="1123" t="s">
        <v>366</v>
      </c>
      <c r="Z173" s="386">
        <v>799518.55</v>
      </c>
      <c r="AA173" s="386">
        <v>-319807.42</v>
      </c>
      <c r="AB173" s="386">
        <f t="shared" si="12"/>
        <v>479711.13000000006</v>
      </c>
      <c r="AC173" s="1171">
        <v>42459</v>
      </c>
      <c r="AD173" s="395">
        <v>479711.13</v>
      </c>
      <c r="AE173" s="395"/>
      <c r="AF173" s="1084"/>
      <c r="AG173" s="1084"/>
      <c r="AH173" s="1084"/>
      <c r="AI173" s="1084"/>
      <c r="AJ173" s="1119"/>
      <c r="AK173" s="1119"/>
      <c r="AL173" s="1119"/>
      <c r="AM173" s="1119"/>
      <c r="AN173" s="1203"/>
      <c r="AO173" s="1204"/>
      <c r="AP173" s="1204"/>
      <c r="AQ173" s="1204"/>
      <c r="AR173" s="1364"/>
    </row>
    <row r="174" spans="1:44" s="4" customFormat="1">
      <c r="A174" s="1076"/>
      <c r="B174" s="1171"/>
      <c r="C174" s="1076"/>
      <c r="D174" s="1076"/>
      <c r="E174" s="1252"/>
      <c r="F174" s="1252"/>
      <c r="G174" s="1076"/>
      <c r="H174" s="1076"/>
      <c r="I174" s="1076"/>
      <c r="J174" s="1076"/>
      <c r="K174" s="1076"/>
      <c r="L174" s="1076"/>
      <c r="M174" s="1245"/>
      <c r="N174" s="1282"/>
      <c r="O174" s="1119"/>
      <c r="P174" s="1119"/>
      <c r="Q174" s="1119"/>
      <c r="R174" s="1171"/>
      <c r="S174" s="390"/>
      <c r="T174" s="386"/>
      <c r="U174" s="386"/>
      <c r="V174" s="1119"/>
      <c r="W174" s="1119"/>
      <c r="X174" s="1076"/>
      <c r="Y174" s="1123"/>
      <c r="Z174" s="386">
        <v>1634327.56</v>
      </c>
      <c r="AA174" s="386">
        <v>-653731.02</v>
      </c>
      <c r="AB174" s="386">
        <f t="shared" si="12"/>
        <v>980596.54</v>
      </c>
      <c r="AC174" s="1171"/>
      <c r="AD174" s="395">
        <v>980596.54</v>
      </c>
      <c r="AE174" s="395"/>
      <c r="AF174" s="1084"/>
      <c r="AG174" s="1084"/>
      <c r="AH174" s="1084"/>
      <c r="AI174" s="1084"/>
      <c r="AJ174" s="1119"/>
      <c r="AK174" s="1119"/>
      <c r="AL174" s="1119"/>
      <c r="AM174" s="1119"/>
      <c r="AN174" s="1203"/>
      <c r="AO174" s="1204"/>
      <c r="AP174" s="1204"/>
      <c r="AQ174" s="1204"/>
      <c r="AR174" s="1364"/>
    </row>
    <row r="175" spans="1:44" s="4" customFormat="1">
      <c r="A175" s="1076"/>
      <c r="B175" s="1171"/>
      <c r="C175" s="1076" t="s">
        <v>45</v>
      </c>
      <c r="D175" s="1076"/>
      <c r="E175" s="1252"/>
      <c r="F175" s="1252"/>
      <c r="G175" s="1076"/>
      <c r="H175" s="1076"/>
      <c r="I175" s="1076"/>
      <c r="J175" s="1076"/>
      <c r="K175" s="1076"/>
      <c r="L175" s="1076"/>
      <c r="M175" s="1245">
        <v>34</v>
      </c>
      <c r="N175" s="1282" t="s">
        <v>7</v>
      </c>
      <c r="O175" s="1119">
        <v>2593723</v>
      </c>
      <c r="P175" s="1119">
        <f>O175+O179</f>
        <v>7895656</v>
      </c>
      <c r="Q175" s="1119"/>
      <c r="R175" s="1171">
        <v>40353</v>
      </c>
      <c r="S175" s="390"/>
      <c r="T175" s="386"/>
      <c r="U175" s="386"/>
      <c r="V175" s="1119">
        <f>O175</f>
        <v>2593723</v>
      </c>
      <c r="W175" s="1119"/>
      <c r="X175" s="1076"/>
      <c r="Y175" s="1123" t="s">
        <v>359</v>
      </c>
      <c r="Z175" s="1119">
        <v>0</v>
      </c>
      <c r="AA175" s="1119">
        <v>3158262.4000000004</v>
      </c>
      <c r="AB175" s="1119">
        <f t="shared" si="12"/>
        <v>3158262.4000000004</v>
      </c>
      <c r="AC175" s="1171">
        <v>40382</v>
      </c>
      <c r="AD175" s="395">
        <v>424423.74</v>
      </c>
      <c r="AE175" s="395"/>
      <c r="AF175" s="1084">
        <f>SUM(AD175:AD182)</f>
        <v>6921323.0999999996</v>
      </c>
      <c r="AG175" s="1084"/>
      <c r="AH175" s="1084"/>
      <c r="AI175" s="1084"/>
      <c r="AJ175" s="1119">
        <f>SUM(Z175:Z182)-SUM(AD175:AD182)</f>
        <v>-1037070.2499999991</v>
      </c>
      <c r="AK175" s="1119">
        <f>P175-V175-V179</f>
        <v>0</v>
      </c>
      <c r="AL175" s="1119">
        <f>SUM(V175:V182)-SUM(Z175:Z182)+AJ175</f>
        <v>974332.90000000037</v>
      </c>
      <c r="AM175" s="1119"/>
      <c r="AN175" s="1203"/>
      <c r="AO175" s="1204"/>
      <c r="AP175" s="1204"/>
      <c r="AQ175" s="1204"/>
      <c r="AR175" s="1364"/>
    </row>
    <row r="176" spans="1:44" s="4" customFormat="1">
      <c r="A176" s="1076"/>
      <c r="B176" s="1171"/>
      <c r="C176" s="1076"/>
      <c r="D176" s="1076"/>
      <c r="E176" s="1252"/>
      <c r="F176" s="1252"/>
      <c r="G176" s="1076"/>
      <c r="H176" s="1076"/>
      <c r="I176" s="1076"/>
      <c r="J176" s="1076"/>
      <c r="K176" s="1076"/>
      <c r="L176" s="1076"/>
      <c r="M176" s="1245"/>
      <c r="N176" s="1282"/>
      <c r="O176" s="1119"/>
      <c r="P176" s="1119"/>
      <c r="Q176" s="1119"/>
      <c r="R176" s="1171"/>
      <c r="S176" s="390"/>
      <c r="T176" s="386"/>
      <c r="U176" s="386"/>
      <c r="V176" s="1119"/>
      <c r="W176" s="1119"/>
      <c r="X176" s="1076"/>
      <c r="Y176" s="1123"/>
      <c r="Z176" s="1119"/>
      <c r="AA176" s="1119"/>
      <c r="AB176" s="1119"/>
      <c r="AC176" s="1171"/>
      <c r="AD176" s="395">
        <v>2733836.26</v>
      </c>
      <c r="AE176" s="395"/>
      <c r="AF176" s="1084"/>
      <c r="AG176" s="1084"/>
      <c r="AH176" s="1084"/>
      <c r="AI176" s="1084"/>
      <c r="AJ176" s="1119"/>
      <c r="AK176" s="1119"/>
      <c r="AL176" s="1119"/>
      <c r="AM176" s="1119"/>
      <c r="AN176" s="1203"/>
      <c r="AO176" s="1204"/>
      <c r="AP176" s="1204"/>
      <c r="AQ176" s="1204"/>
      <c r="AR176" s="1364"/>
    </row>
    <row r="177" spans="1:44" s="4" customFormat="1">
      <c r="A177" s="1076"/>
      <c r="B177" s="1171"/>
      <c r="C177" s="1076"/>
      <c r="D177" s="1076"/>
      <c r="E177" s="1252"/>
      <c r="F177" s="1252"/>
      <c r="G177" s="1076"/>
      <c r="H177" s="1076"/>
      <c r="I177" s="1076"/>
      <c r="J177" s="1076"/>
      <c r="K177" s="1076"/>
      <c r="L177" s="1076"/>
      <c r="M177" s="1245"/>
      <c r="N177" s="1282"/>
      <c r="O177" s="1119"/>
      <c r="P177" s="1119"/>
      <c r="Q177" s="1119"/>
      <c r="R177" s="1171"/>
      <c r="S177" s="390"/>
      <c r="T177" s="386"/>
      <c r="U177" s="386"/>
      <c r="V177" s="1119"/>
      <c r="W177" s="1119"/>
      <c r="X177" s="1076"/>
      <c r="Y177" s="1123" t="s">
        <v>360</v>
      </c>
      <c r="Z177" s="386">
        <v>888353.95</v>
      </c>
      <c r="AA177" s="386">
        <v>-116255.7</v>
      </c>
      <c r="AB177" s="386">
        <f t="shared" ref="AB177:AB183" si="13">Z177+AA177</f>
        <v>772098.25</v>
      </c>
      <c r="AC177" s="1171">
        <v>42459</v>
      </c>
      <c r="AD177" s="395">
        <v>772098.25</v>
      </c>
      <c r="AE177" s="395"/>
      <c r="AF177" s="1084"/>
      <c r="AG177" s="1084"/>
      <c r="AH177" s="1084"/>
      <c r="AI177" s="1084"/>
      <c r="AJ177" s="1119"/>
      <c r="AK177" s="1119"/>
      <c r="AL177" s="1119"/>
      <c r="AM177" s="1119"/>
      <c r="AN177" s="1203"/>
      <c r="AO177" s="1204"/>
      <c r="AP177" s="1204"/>
      <c r="AQ177" s="1204"/>
      <c r="AR177" s="1364"/>
    </row>
    <row r="178" spans="1:44" s="4" customFormat="1">
      <c r="A178" s="1076"/>
      <c r="B178" s="1171"/>
      <c r="C178" s="1076"/>
      <c r="D178" s="1076"/>
      <c r="E178" s="1252"/>
      <c r="F178" s="1252"/>
      <c r="G178" s="1076"/>
      <c r="H178" s="1076"/>
      <c r="I178" s="1076"/>
      <c r="J178" s="1076"/>
      <c r="K178" s="1076"/>
      <c r="L178" s="1076"/>
      <c r="M178" s="1245"/>
      <c r="N178" s="1282"/>
      <c r="O178" s="1119"/>
      <c r="P178" s="1119"/>
      <c r="Q178" s="1119"/>
      <c r="R178" s="1171"/>
      <c r="S178" s="390"/>
      <c r="T178" s="386"/>
      <c r="U178" s="386"/>
      <c r="V178" s="1119"/>
      <c r="W178" s="1119"/>
      <c r="X178" s="1076"/>
      <c r="Y178" s="1123"/>
      <c r="Z178" s="386">
        <v>1815919.87</v>
      </c>
      <c r="AA178" s="386">
        <v>-806063.23</v>
      </c>
      <c r="AB178" s="386">
        <f t="shared" si="13"/>
        <v>1009856.6400000001</v>
      </c>
      <c r="AC178" s="1171"/>
      <c r="AD178" s="395">
        <v>1009856.64</v>
      </c>
      <c r="AE178" s="395"/>
      <c r="AF178" s="1084"/>
      <c r="AG178" s="1084"/>
      <c r="AH178" s="1084"/>
      <c r="AI178" s="1084"/>
      <c r="AJ178" s="1119"/>
      <c r="AK178" s="1119"/>
      <c r="AL178" s="1119"/>
      <c r="AM178" s="1119"/>
      <c r="AN178" s="1203"/>
      <c r="AO178" s="1204"/>
      <c r="AP178" s="1204"/>
      <c r="AQ178" s="1204"/>
      <c r="AR178" s="1364"/>
    </row>
    <row r="179" spans="1:44" s="4" customFormat="1">
      <c r="A179" s="1076"/>
      <c r="B179" s="1171"/>
      <c r="C179" s="1076"/>
      <c r="D179" s="1076"/>
      <c r="E179" s="1252"/>
      <c r="F179" s="1252"/>
      <c r="G179" s="1076"/>
      <c r="H179" s="1076"/>
      <c r="I179" s="1076"/>
      <c r="J179" s="1076"/>
      <c r="K179" s="1076"/>
      <c r="L179" s="1076"/>
      <c r="M179" s="1245"/>
      <c r="N179" s="1282" t="s">
        <v>137</v>
      </c>
      <c r="O179" s="1119">
        <v>5301933</v>
      </c>
      <c r="P179" s="1119"/>
      <c r="Q179" s="1119"/>
      <c r="R179" s="1171"/>
      <c r="S179" s="390"/>
      <c r="T179" s="386"/>
      <c r="U179" s="386"/>
      <c r="V179" s="1119">
        <f>O179</f>
        <v>5301933</v>
      </c>
      <c r="W179" s="1119"/>
      <c r="X179" s="1076"/>
      <c r="Y179" s="1123" t="s">
        <v>365</v>
      </c>
      <c r="Z179" s="386">
        <v>245104.57</v>
      </c>
      <c r="AA179" s="386">
        <v>-54840.61</v>
      </c>
      <c r="AB179" s="386">
        <f t="shared" si="13"/>
        <v>190263.96000000002</v>
      </c>
      <c r="AC179" s="1171">
        <v>42459</v>
      </c>
      <c r="AD179" s="395">
        <v>190263.96</v>
      </c>
      <c r="AE179" s="395"/>
      <c r="AF179" s="1084"/>
      <c r="AG179" s="1084"/>
      <c r="AH179" s="1084"/>
      <c r="AI179" s="1084"/>
      <c r="AJ179" s="1119"/>
      <c r="AK179" s="1119"/>
      <c r="AL179" s="1119"/>
      <c r="AM179" s="1119"/>
      <c r="AN179" s="1203"/>
      <c r="AO179" s="1204"/>
      <c r="AP179" s="1204"/>
      <c r="AQ179" s="1204"/>
      <c r="AR179" s="1364"/>
    </row>
    <row r="180" spans="1:44" s="4" customFormat="1">
      <c r="A180" s="1076"/>
      <c r="B180" s="1171"/>
      <c r="C180" s="1076"/>
      <c r="D180" s="1076"/>
      <c r="E180" s="1252"/>
      <c r="F180" s="1252"/>
      <c r="G180" s="1076"/>
      <c r="H180" s="1076"/>
      <c r="I180" s="1076"/>
      <c r="J180" s="1076"/>
      <c r="K180" s="1076"/>
      <c r="L180" s="1076"/>
      <c r="M180" s="1245"/>
      <c r="N180" s="1282"/>
      <c r="O180" s="1119"/>
      <c r="P180" s="1119"/>
      <c r="Q180" s="1119"/>
      <c r="R180" s="1171"/>
      <c r="S180" s="390"/>
      <c r="T180" s="386"/>
      <c r="U180" s="386"/>
      <c r="V180" s="1119"/>
      <c r="W180" s="1119"/>
      <c r="X180" s="1076"/>
      <c r="Y180" s="1123"/>
      <c r="Z180" s="386">
        <v>501028.05</v>
      </c>
      <c r="AA180" s="386">
        <v>-214811.63</v>
      </c>
      <c r="AB180" s="386">
        <f t="shared" si="13"/>
        <v>286216.42</v>
      </c>
      <c r="AC180" s="1171"/>
      <c r="AD180" s="395">
        <v>286216.42</v>
      </c>
      <c r="AE180" s="395"/>
      <c r="AF180" s="1084"/>
      <c r="AG180" s="1084"/>
      <c r="AH180" s="1084"/>
      <c r="AI180" s="1084"/>
      <c r="AJ180" s="1119"/>
      <c r="AK180" s="1119"/>
      <c r="AL180" s="1119"/>
      <c r="AM180" s="1119"/>
      <c r="AN180" s="1203"/>
      <c r="AO180" s="1204"/>
      <c r="AP180" s="1204"/>
      <c r="AQ180" s="1204"/>
      <c r="AR180" s="1364"/>
    </row>
    <row r="181" spans="1:44" s="4" customFormat="1">
      <c r="A181" s="1076"/>
      <c r="B181" s="1171"/>
      <c r="C181" s="1076"/>
      <c r="D181" s="1076"/>
      <c r="E181" s="1252"/>
      <c r="F181" s="1252"/>
      <c r="G181" s="1076"/>
      <c r="H181" s="1076"/>
      <c r="I181" s="1076"/>
      <c r="J181" s="1076"/>
      <c r="K181" s="1076"/>
      <c r="L181" s="1076"/>
      <c r="M181" s="1245"/>
      <c r="N181" s="1282"/>
      <c r="O181" s="1119"/>
      <c r="P181" s="1119"/>
      <c r="Q181" s="1119"/>
      <c r="R181" s="1171"/>
      <c r="S181" s="390"/>
      <c r="T181" s="386"/>
      <c r="U181" s="386"/>
      <c r="V181" s="1119"/>
      <c r="W181" s="1119"/>
      <c r="X181" s="1076"/>
      <c r="Y181" s="1123" t="s">
        <v>367</v>
      </c>
      <c r="Z181" s="386">
        <v>799518.55</v>
      </c>
      <c r="AA181" s="386">
        <v>-253327.43</v>
      </c>
      <c r="AB181" s="386">
        <f t="shared" si="13"/>
        <v>546191.12000000011</v>
      </c>
      <c r="AC181" s="1171">
        <v>42459</v>
      </c>
      <c r="AD181" s="395">
        <v>546191.12</v>
      </c>
      <c r="AE181" s="395"/>
      <c r="AF181" s="1084"/>
      <c r="AG181" s="1084"/>
      <c r="AH181" s="1084"/>
      <c r="AI181" s="1084"/>
      <c r="AJ181" s="1119"/>
      <c r="AK181" s="1119"/>
      <c r="AL181" s="1119"/>
      <c r="AM181" s="1119"/>
      <c r="AN181" s="1203"/>
      <c r="AO181" s="1204"/>
      <c r="AP181" s="1204"/>
      <c r="AQ181" s="1204"/>
      <c r="AR181" s="1364"/>
    </row>
    <row r="182" spans="1:44" s="4" customFormat="1">
      <c r="A182" s="1076"/>
      <c r="B182" s="1171"/>
      <c r="C182" s="1076"/>
      <c r="D182" s="1076"/>
      <c r="E182" s="1252"/>
      <c r="F182" s="1252"/>
      <c r="G182" s="1076"/>
      <c r="H182" s="1076"/>
      <c r="I182" s="1076"/>
      <c r="J182" s="1076"/>
      <c r="K182" s="1076"/>
      <c r="L182" s="1076"/>
      <c r="M182" s="1245"/>
      <c r="N182" s="1282"/>
      <c r="O182" s="1119"/>
      <c r="P182" s="1119"/>
      <c r="Q182" s="1119"/>
      <c r="R182" s="1171"/>
      <c r="S182" s="390"/>
      <c r="T182" s="386"/>
      <c r="U182" s="386"/>
      <c r="V182" s="1119"/>
      <c r="W182" s="1119"/>
      <c r="X182" s="1076"/>
      <c r="Y182" s="1123"/>
      <c r="Z182" s="386">
        <v>1634327.86</v>
      </c>
      <c r="AA182" s="386">
        <v>-675891.15</v>
      </c>
      <c r="AB182" s="386">
        <f t="shared" si="13"/>
        <v>958436.71000000008</v>
      </c>
      <c r="AC182" s="1171"/>
      <c r="AD182" s="395">
        <v>958436.71</v>
      </c>
      <c r="AE182" s="395"/>
      <c r="AF182" s="1084"/>
      <c r="AG182" s="1084"/>
      <c r="AH182" s="1084"/>
      <c r="AI182" s="1084"/>
      <c r="AJ182" s="1119"/>
      <c r="AK182" s="1119"/>
      <c r="AL182" s="1119"/>
      <c r="AM182" s="1119"/>
      <c r="AN182" s="1203"/>
      <c r="AO182" s="1204"/>
      <c r="AP182" s="1204"/>
      <c r="AQ182" s="1204"/>
      <c r="AR182" s="1364"/>
    </row>
    <row r="183" spans="1:44" s="4" customFormat="1">
      <c r="A183" s="1076"/>
      <c r="B183" s="1171"/>
      <c r="C183" s="1076"/>
      <c r="D183" s="1076"/>
      <c r="E183" s="1252"/>
      <c r="F183" s="1252"/>
      <c r="G183" s="1076"/>
      <c r="H183" s="1076"/>
      <c r="I183" s="1076"/>
      <c r="J183" s="1076"/>
      <c r="K183" s="1076"/>
      <c r="L183" s="1076"/>
      <c r="M183" s="1245">
        <v>35</v>
      </c>
      <c r="N183" s="1282" t="s">
        <v>7</v>
      </c>
      <c r="O183" s="1119">
        <v>2385436</v>
      </c>
      <c r="P183" s="1119">
        <f>O183+O187</f>
        <v>7261600</v>
      </c>
      <c r="Q183" s="1119"/>
      <c r="R183" s="1171">
        <v>40353</v>
      </c>
      <c r="S183" s="390"/>
      <c r="T183" s="386"/>
      <c r="U183" s="386"/>
      <c r="V183" s="1119">
        <f>O183</f>
        <v>2385436</v>
      </c>
      <c r="W183" s="1119"/>
      <c r="X183" s="1076"/>
      <c r="Y183" s="1123" t="s">
        <v>359</v>
      </c>
      <c r="Z183" s="1119">
        <v>0</v>
      </c>
      <c r="AA183" s="1119">
        <v>2904640</v>
      </c>
      <c r="AB183" s="1119">
        <f t="shared" si="13"/>
        <v>2904640</v>
      </c>
      <c r="AC183" s="1171">
        <v>40382</v>
      </c>
      <c r="AD183" s="395">
        <v>954175.06</v>
      </c>
      <c r="AE183" s="395"/>
      <c r="AF183" s="1084">
        <f>SUM(AD183:AD190)</f>
        <v>5919163.4400000004</v>
      </c>
      <c r="AG183" s="1084"/>
      <c r="AH183" s="1084"/>
      <c r="AI183" s="1084"/>
      <c r="AJ183" s="1119">
        <f>SUM(Z183:Z190)-SUM(AD183:AD190)</f>
        <v>-507442.05000000075</v>
      </c>
      <c r="AK183" s="1119">
        <f>P183-V183-V187</f>
        <v>0</v>
      </c>
      <c r="AL183" s="1119">
        <f>SUM(V183:V190)-SUM(Z183:Z190)+AJ183</f>
        <v>1342436.5599999996</v>
      </c>
      <c r="AM183" s="1119"/>
      <c r="AN183" s="1203"/>
      <c r="AO183" s="1204"/>
      <c r="AP183" s="1204"/>
      <c r="AQ183" s="1204"/>
      <c r="AR183" s="1364"/>
    </row>
    <row r="184" spans="1:44" s="4" customFormat="1">
      <c r="A184" s="1076"/>
      <c r="B184" s="1171"/>
      <c r="C184" s="1076"/>
      <c r="D184" s="1076"/>
      <c r="E184" s="1252"/>
      <c r="F184" s="1252"/>
      <c r="G184" s="1076"/>
      <c r="H184" s="1076"/>
      <c r="I184" s="1076"/>
      <c r="J184" s="1076"/>
      <c r="K184" s="1076"/>
      <c r="L184" s="1076"/>
      <c r="M184" s="1245"/>
      <c r="N184" s="1282"/>
      <c r="O184" s="1119"/>
      <c r="P184" s="1119"/>
      <c r="Q184" s="1119"/>
      <c r="R184" s="1171"/>
      <c r="S184" s="390"/>
      <c r="T184" s="386"/>
      <c r="U184" s="386"/>
      <c r="V184" s="1119"/>
      <c r="W184" s="1119"/>
      <c r="X184" s="1076"/>
      <c r="Y184" s="1123"/>
      <c r="Z184" s="1119"/>
      <c r="AA184" s="1119"/>
      <c r="AB184" s="1119"/>
      <c r="AC184" s="1171"/>
      <c r="AD184" s="395">
        <v>1950466.94</v>
      </c>
      <c r="AE184" s="395"/>
      <c r="AF184" s="1084"/>
      <c r="AG184" s="1084"/>
      <c r="AH184" s="1084"/>
      <c r="AI184" s="1084"/>
      <c r="AJ184" s="1119"/>
      <c r="AK184" s="1119"/>
      <c r="AL184" s="1119"/>
      <c r="AM184" s="1119"/>
      <c r="AN184" s="1203"/>
      <c r="AO184" s="1204"/>
      <c r="AP184" s="1204"/>
      <c r="AQ184" s="1204"/>
      <c r="AR184" s="1364"/>
    </row>
    <row r="185" spans="1:44" s="4" customFormat="1" ht="47.25" customHeight="1">
      <c r="A185" s="1076"/>
      <c r="B185" s="1171"/>
      <c r="C185" s="1076"/>
      <c r="D185" s="1076"/>
      <c r="E185" s="1252"/>
      <c r="F185" s="1252"/>
      <c r="G185" s="1076"/>
      <c r="H185" s="1076"/>
      <c r="I185" s="1076"/>
      <c r="J185" s="1076"/>
      <c r="K185" s="1076"/>
      <c r="L185" s="1076"/>
      <c r="M185" s="1245"/>
      <c r="N185" s="1282"/>
      <c r="O185" s="1119"/>
      <c r="P185" s="1119"/>
      <c r="Q185" s="1119"/>
      <c r="R185" s="1171"/>
      <c r="S185" s="390"/>
      <c r="T185" s="386"/>
      <c r="U185" s="386"/>
      <c r="V185" s="1119"/>
      <c r="W185" s="1119"/>
      <c r="X185" s="1076"/>
      <c r="Y185" s="1123" t="s">
        <v>360</v>
      </c>
      <c r="Z185" s="386">
        <v>817015.35</v>
      </c>
      <c r="AA185" s="386">
        <v>-406501.44</v>
      </c>
      <c r="AB185" s="386">
        <f t="shared" ref="AB185:AB191" si="14">Z185+AA185</f>
        <v>410513.91</v>
      </c>
      <c r="AC185" s="1171">
        <v>42459</v>
      </c>
      <c r="AD185" s="395">
        <v>410513.91</v>
      </c>
      <c r="AE185" s="395"/>
      <c r="AF185" s="1084"/>
      <c r="AG185" s="1084"/>
      <c r="AH185" s="1084"/>
      <c r="AI185" s="1084"/>
      <c r="AJ185" s="1119"/>
      <c r="AK185" s="1119"/>
      <c r="AL185" s="1119"/>
      <c r="AM185" s="1119"/>
      <c r="AN185" s="1203"/>
      <c r="AO185" s="1204"/>
      <c r="AP185" s="1204"/>
      <c r="AQ185" s="1204"/>
      <c r="AR185" s="1364"/>
    </row>
    <row r="186" spans="1:44" s="4" customFormat="1">
      <c r="A186" s="1076"/>
      <c r="B186" s="1171"/>
      <c r="C186" s="1076"/>
      <c r="D186" s="1076"/>
      <c r="E186" s="1252"/>
      <c r="F186" s="1252"/>
      <c r="G186" s="1076"/>
      <c r="H186" s="1076"/>
      <c r="I186" s="1076"/>
      <c r="J186" s="1076"/>
      <c r="K186" s="1076"/>
      <c r="L186" s="1076"/>
      <c r="M186" s="1245"/>
      <c r="N186" s="1282"/>
      <c r="O186" s="1119"/>
      <c r="P186" s="1119"/>
      <c r="Q186" s="1119"/>
      <c r="R186" s="1171"/>
      <c r="S186" s="390"/>
      <c r="T186" s="386"/>
      <c r="U186" s="386"/>
      <c r="V186" s="1119"/>
      <c r="W186" s="1119"/>
      <c r="X186" s="1076"/>
      <c r="Y186" s="1123"/>
      <c r="Z186" s="386">
        <v>1670093.35</v>
      </c>
      <c r="AA186" s="386">
        <v>-747732.64</v>
      </c>
      <c r="AB186" s="386">
        <f t="shared" si="14"/>
        <v>922360.71000000008</v>
      </c>
      <c r="AC186" s="1171"/>
      <c r="AD186" s="395">
        <v>922360.71</v>
      </c>
      <c r="AE186" s="395"/>
      <c r="AF186" s="1084"/>
      <c r="AG186" s="1084"/>
      <c r="AH186" s="1084"/>
      <c r="AI186" s="1084"/>
      <c r="AJ186" s="1119"/>
      <c r="AK186" s="1119"/>
      <c r="AL186" s="1119"/>
      <c r="AM186" s="1119"/>
      <c r="AN186" s="1203"/>
      <c r="AO186" s="1204"/>
      <c r="AP186" s="1204"/>
      <c r="AQ186" s="1204"/>
      <c r="AR186" s="1364"/>
    </row>
    <row r="187" spans="1:44" s="4" customFormat="1">
      <c r="A187" s="1076"/>
      <c r="B187" s="1171"/>
      <c r="C187" s="1076"/>
      <c r="D187" s="1076"/>
      <c r="E187" s="1252"/>
      <c r="F187" s="1252"/>
      <c r="G187" s="1076"/>
      <c r="H187" s="1076"/>
      <c r="I187" s="1076"/>
      <c r="J187" s="1076"/>
      <c r="K187" s="1076"/>
      <c r="L187" s="1076"/>
      <c r="M187" s="1245"/>
      <c r="N187" s="1282" t="s">
        <v>137</v>
      </c>
      <c r="O187" s="1119">
        <v>4876164</v>
      </c>
      <c r="P187" s="1119"/>
      <c r="Q187" s="1119"/>
      <c r="R187" s="1171"/>
      <c r="S187" s="390"/>
      <c r="T187" s="386"/>
      <c r="U187" s="386"/>
      <c r="V187" s="1119">
        <f>O187</f>
        <v>4876164</v>
      </c>
      <c r="W187" s="1119"/>
      <c r="X187" s="1076"/>
      <c r="Y187" s="1123" t="s">
        <v>365</v>
      </c>
      <c r="Z187" s="386">
        <v>225421.63</v>
      </c>
      <c r="AA187" s="386">
        <v>-104569.06</v>
      </c>
      <c r="AB187" s="386">
        <f t="shared" si="14"/>
        <v>120852.57</v>
      </c>
      <c r="AC187" s="1171">
        <v>42459</v>
      </c>
      <c r="AD187" s="395">
        <v>120852.57</v>
      </c>
      <c r="AE187" s="395"/>
      <c r="AF187" s="1084"/>
      <c r="AG187" s="1084"/>
      <c r="AH187" s="1084"/>
      <c r="AI187" s="1084"/>
      <c r="AJ187" s="1119"/>
      <c r="AK187" s="1119"/>
      <c r="AL187" s="1119"/>
      <c r="AM187" s="1119"/>
      <c r="AN187" s="1203"/>
      <c r="AO187" s="1204"/>
      <c r="AP187" s="1204"/>
      <c r="AQ187" s="1204"/>
      <c r="AR187" s="1364"/>
    </row>
    <row r="188" spans="1:44" s="4" customFormat="1">
      <c r="A188" s="1076"/>
      <c r="B188" s="1171"/>
      <c r="C188" s="1076"/>
      <c r="D188" s="1076"/>
      <c r="E188" s="1252"/>
      <c r="F188" s="1252"/>
      <c r="G188" s="1076"/>
      <c r="H188" s="1076"/>
      <c r="I188" s="1076"/>
      <c r="J188" s="1076"/>
      <c r="K188" s="1076"/>
      <c r="L188" s="1076"/>
      <c r="M188" s="1245"/>
      <c r="N188" s="1282"/>
      <c r="O188" s="1119"/>
      <c r="P188" s="1119"/>
      <c r="Q188" s="1119"/>
      <c r="R188" s="1171"/>
      <c r="S188" s="390"/>
      <c r="T188" s="386"/>
      <c r="U188" s="386"/>
      <c r="V188" s="1119"/>
      <c r="W188" s="1119"/>
      <c r="X188" s="1076"/>
      <c r="Y188" s="1123"/>
      <c r="Z188" s="386">
        <v>460793.25</v>
      </c>
      <c r="AA188" s="386">
        <v>-198717.7</v>
      </c>
      <c r="AB188" s="386">
        <f t="shared" si="14"/>
        <v>262075.55</v>
      </c>
      <c r="AC188" s="1171"/>
      <c r="AD188" s="395">
        <v>262075.55</v>
      </c>
      <c r="AE188" s="395"/>
      <c r="AF188" s="1084"/>
      <c r="AG188" s="1084"/>
      <c r="AH188" s="1084"/>
      <c r="AI188" s="1084"/>
      <c r="AJ188" s="1119"/>
      <c r="AK188" s="1119"/>
      <c r="AL188" s="1119"/>
      <c r="AM188" s="1119"/>
      <c r="AN188" s="1203"/>
      <c r="AO188" s="1204"/>
      <c r="AP188" s="1204"/>
      <c r="AQ188" s="1204"/>
      <c r="AR188" s="1364"/>
    </row>
    <row r="189" spans="1:44" s="4" customFormat="1">
      <c r="A189" s="1076"/>
      <c r="B189" s="1171"/>
      <c r="C189" s="1076"/>
      <c r="D189" s="1076"/>
      <c r="E189" s="1252"/>
      <c r="F189" s="1252"/>
      <c r="G189" s="1076"/>
      <c r="H189" s="1076"/>
      <c r="I189" s="1076"/>
      <c r="J189" s="1076"/>
      <c r="K189" s="1076"/>
      <c r="L189" s="1076"/>
      <c r="M189" s="1245"/>
      <c r="N189" s="1282"/>
      <c r="O189" s="1119"/>
      <c r="P189" s="1119"/>
      <c r="Q189" s="1119"/>
      <c r="R189" s="1171"/>
      <c r="S189" s="390"/>
      <c r="T189" s="386"/>
      <c r="U189" s="386"/>
      <c r="V189" s="1119"/>
      <c r="W189" s="1119"/>
      <c r="X189" s="1076"/>
      <c r="Y189" s="1123" t="s">
        <v>367</v>
      </c>
      <c r="Z189" s="386">
        <v>735313.8</v>
      </c>
      <c r="AA189" s="386">
        <v>-316285.51</v>
      </c>
      <c r="AB189" s="386">
        <f t="shared" si="14"/>
        <v>419028.29000000004</v>
      </c>
      <c r="AC189" s="1171">
        <v>42459</v>
      </c>
      <c r="AD189" s="395">
        <v>419028.29</v>
      </c>
      <c r="AE189" s="395"/>
      <c r="AF189" s="1084"/>
      <c r="AG189" s="1084"/>
      <c r="AH189" s="1084"/>
      <c r="AI189" s="1084"/>
      <c r="AJ189" s="1119"/>
      <c r="AK189" s="1119"/>
      <c r="AL189" s="1119"/>
      <c r="AM189" s="1119"/>
      <c r="AN189" s="1203"/>
      <c r="AO189" s="1204"/>
      <c r="AP189" s="1204"/>
      <c r="AQ189" s="1204"/>
      <c r="AR189" s="1364"/>
    </row>
    <row r="190" spans="1:44" s="4" customFormat="1">
      <c r="A190" s="1076"/>
      <c r="B190" s="1171"/>
      <c r="C190" s="1076"/>
      <c r="D190" s="1076"/>
      <c r="E190" s="1252"/>
      <c r="F190" s="1252"/>
      <c r="G190" s="1076"/>
      <c r="H190" s="1076"/>
      <c r="I190" s="1076"/>
      <c r="J190" s="1076"/>
      <c r="K190" s="1076"/>
      <c r="L190" s="1076"/>
      <c r="M190" s="1245"/>
      <c r="N190" s="1282"/>
      <c r="O190" s="1119"/>
      <c r="P190" s="1119"/>
      <c r="Q190" s="1119"/>
      <c r="R190" s="1171"/>
      <c r="S190" s="390"/>
      <c r="T190" s="386"/>
      <c r="U190" s="386"/>
      <c r="V190" s="1119"/>
      <c r="W190" s="1119"/>
      <c r="X190" s="1076"/>
      <c r="Y190" s="1123"/>
      <c r="Z190" s="386">
        <v>1503084.01</v>
      </c>
      <c r="AA190" s="386">
        <v>-623393.6</v>
      </c>
      <c r="AB190" s="386">
        <f t="shared" si="14"/>
        <v>879690.41</v>
      </c>
      <c r="AC190" s="1171"/>
      <c r="AD190" s="395">
        <v>879690.41</v>
      </c>
      <c r="AE190" s="395"/>
      <c r="AF190" s="1084"/>
      <c r="AG190" s="1084"/>
      <c r="AH190" s="1084"/>
      <c r="AI190" s="1084"/>
      <c r="AJ190" s="1119"/>
      <c r="AK190" s="1119"/>
      <c r="AL190" s="1119"/>
      <c r="AM190" s="1119"/>
      <c r="AN190" s="1203"/>
      <c r="AO190" s="1204"/>
      <c r="AP190" s="1204"/>
      <c r="AQ190" s="1204"/>
      <c r="AR190" s="1364"/>
    </row>
    <row r="191" spans="1:44" s="4" customFormat="1" ht="47.25">
      <c r="A191" s="1076"/>
      <c r="B191" s="1171"/>
      <c r="C191" s="1076"/>
      <c r="D191" s="1076"/>
      <c r="E191" s="1252"/>
      <c r="F191" s="1252"/>
      <c r="G191" s="1076"/>
      <c r="H191" s="1076"/>
      <c r="I191" s="1076"/>
      <c r="J191" s="1076" t="s">
        <v>67</v>
      </c>
      <c r="K191" s="1076"/>
      <c r="L191" s="1076"/>
      <c r="M191" s="404">
        <v>192</v>
      </c>
      <c r="N191" s="417" t="s">
        <v>7</v>
      </c>
      <c r="O191" s="386">
        <v>2362224</v>
      </c>
      <c r="P191" s="386">
        <f>O191</f>
        <v>2362224</v>
      </c>
      <c r="Q191" s="1119"/>
      <c r="R191" s="384">
        <v>40759</v>
      </c>
      <c r="S191" s="390"/>
      <c r="T191" s="386"/>
      <c r="U191" s="386"/>
      <c r="V191" s="386">
        <f>O191</f>
        <v>2362224</v>
      </c>
      <c r="W191" s="1119"/>
      <c r="X191" s="1076"/>
      <c r="Y191" s="372" t="s">
        <v>363</v>
      </c>
      <c r="Z191" s="386">
        <v>2362224</v>
      </c>
      <c r="AA191" s="386">
        <v>0</v>
      </c>
      <c r="AB191" s="386">
        <f t="shared" si="14"/>
        <v>2362224</v>
      </c>
      <c r="AC191" s="384">
        <v>42459</v>
      </c>
      <c r="AD191" s="395">
        <v>2362224</v>
      </c>
      <c r="AE191" s="395"/>
      <c r="AF191" s="358">
        <f>AD191</f>
        <v>2362224</v>
      </c>
      <c r="AG191" s="1084"/>
      <c r="AH191" s="358"/>
      <c r="AI191" s="358"/>
      <c r="AJ191" s="386">
        <v>0</v>
      </c>
      <c r="AK191" s="386">
        <f>P191-V191</f>
        <v>0</v>
      </c>
      <c r="AL191" s="386">
        <f>V191-Z191</f>
        <v>0</v>
      </c>
      <c r="AM191" s="386"/>
      <c r="AN191" s="1203"/>
      <c r="AO191" s="1204"/>
      <c r="AP191" s="1204"/>
      <c r="AQ191" s="1204"/>
      <c r="AR191" s="1364"/>
    </row>
    <row r="192" spans="1:44" s="4" customFormat="1">
      <c r="A192" s="1076"/>
      <c r="B192" s="1171"/>
      <c r="C192" s="1076"/>
      <c r="D192" s="1076"/>
      <c r="E192" s="1252"/>
      <c r="F192" s="1252"/>
      <c r="G192" s="1076"/>
      <c r="H192" s="1076"/>
      <c r="I192" s="1076"/>
      <c r="J192" s="1076"/>
      <c r="K192" s="1076"/>
      <c r="L192" s="1076"/>
      <c r="M192" s="404">
        <v>194</v>
      </c>
      <c r="N192" s="417" t="s">
        <v>7</v>
      </c>
      <c r="O192" s="386">
        <v>2178591</v>
      </c>
      <c r="P192" s="386">
        <f>O192</f>
        <v>2178591</v>
      </c>
      <c r="Q192" s="1119"/>
      <c r="R192" s="384">
        <v>40759</v>
      </c>
      <c r="S192" s="390"/>
      <c r="T192" s="386"/>
      <c r="U192" s="386"/>
      <c r="V192" s="386">
        <f>O192</f>
        <v>2178591</v>
      </c>
      <c r="W192" s="1119"/>
      <c r="X192" s="1076"/>
      <c r="Y192" s="372"/>
      <c r="Z192" s="386">
        <v>0</v>
      </c>
      <c r="AA192" s="386">
        <v>0</v>
      </c>
      <c r="AB192" s="386">
        <v>0</v>
      </c>
      <c r="AC192" s="384"/>
      <c r="AD192" s="395">
        <v>0</v>
      </c>
      <c r="AE192" s="395"/>
      <c r="AF192" s="358">
        <f>AD192</f>
        <v>0</v>
      </c>
      <c r="AG192" s="1084"/>
      <c r="AH192" s="358"/>
      <c r="AI192" s="358"/>
      <c r="AJ192" s="386">
        <v>0</v>
      </c>
      <c r="AK192" s="386">
        <f>P192-V192</f>
        <v>0</v>
      </c>
      <c r="AL192" s="386">
        <f>V192-Z192</f>
        <v>2178591</v>
      </c>
      <c r="AM192" s="386"/>
      <c r="AN192" s="1203"/>
      <c r="AO192" s="1204"/>
      <c r="AP192" s="1204"/>
      <c r="AQ192" s="1204"/>
      <c r="AR192" s="1364"/>
    </row>
    <row r="193" spans="1:43" s="4" customFormat="1" ht="31.5" customHeight="1">
      <c r="A193" s="1076" t="s">
        <v>384</v>
      </c>
      <c r="B193" s="1171">
        <v>40301</v>
      </c>
      <c r="C193" s="1076" t="s">
        <v>10</v>
      </c>
      <c r="D193" s="1076" t="s">
        <v>385</v>
      </c>
      <c r="E193" s="1252">
        <v>10536762</v>
      </c>
      <c r="F193" s="1252"/>
      <c r="G193" s="1076" t="s">
        <v>386</v>
      </c>
      <c r="H193" s="1076" t="s">
        <v>70</v>
      </c>
      <c r="I193" s="1076" t="s">
        <v>177</v>
      </c>
      <c r="J193" s="1076" t="s">
        <v>66</v>
      </c>
      <c r="K193" s="1076" t="s">
        <v>49</v>
      </c>
      <c r="L193" s="1076" t="s">
        <v>389</v>
      </c>
      <c r="M193" s="1245">
        <v>65</v>
      </c>
      <c r="N193" s="417" t="s">
        <v>137</v>
      </c>
      <c r="O193" s="386">
        <v>1692000</v>
      </c>
      <c r="P193" s="1119">
        <f>O193+O194</f>
        <v>4230000</v>
      </c>
      <c r="Q193" s="1119">
        <f>P193+P195+P197+P199</f>
        <v>24376763</v>
      </c>
      <c r="R193" s="1171">
        <v>40413</v>
      </c>
      <c r="S193" s="1196">
        <v>4230000</v>
      </c>
      <c r="T193" s="390">
        <v>1692000</v>
      </c>
      <c r="U193" s="386">
        <f t="shared" ref="U193:U198" si="15">O193-T193</f>
        <v>0</v>
      </c>
      <c r="V193" s="386">
        <v>1692000</v>
      </c>
      <c r="W193" s="1119">
        <f>22470000+V199</f>
        <v>24375779</v>
      </c>
      <c r="X193" s="1076" t="s">
        <v>282</v>
      </c>
      <c r="Y193" s="372" t="s">
        <v>388</v>
      </c>
      <c r="Z193" s="386">
        <v>0</v>
      </c>
      <c r="AA193" s="386">
        <v>1692000</v>
      </c>
      <c r="AB193" s="386">
        <f>Z193+AA193</f>
        <v>1692000</v>
      </c>
      <c r="AC193" s="384">
        <v>40442</v>
      </c>
      <c r="AD193" s="395">
        <v>1692000</v>
      </c>
      <c r="AE193" s="395"/>
      <c r="AF193" s="1084">
        <f>SUM(AD193:AD194)</f>
        <v>1692000</v>
      </c>
      <c r="AG193" s="1084">
        <f>SUM(AF193:AF199)</f>
        <v>8988000</v>
      </c>
      <c r="AH193" s="358">
        <v>0</v>
      </c>
      <c r="AI193" s="358">
        <v>0</v>
      </c>
      <c r="AJ193" s="1119">
        <f>SUM(Z193:Z194)-SUM(AD193:AD194)</f>
        <v>-1692000</v>
      </c>
      <c r="AK193" s="1119">
        <f>P193-SUM(V193:V194)</f>
        <v>0</v>
      </c>
      <c r="AL193" s="1119">
        <f>SUM(V193:V194)-SUM(Z193:Z194)+AJ193</f>
        <v>2538000</v>
      </c>
      <c r="AM193" s="1119"/>
      <c r="AN193" s="1203" t="s">
        <v>390</v>
      </c>
      <c r="AO193" s="1204" t="s">
        <v>788</v>
      </c>
      <c r="AP193" s="1204" t="s">
        <v>194</v>
      </c>
      <c r="AQ193" s="1204" t="s">
        <v>368</v>
      </c>
    </row>
    <row r="194" spans="1:43" s="4" customFormat="1">
      <c r="A194" s="1076"/>
      <c r="B194" s="1171"/>
      <c r="C194" s="1076"/>
      <c r="D194" s="1076"/>
      <c r="E194" s="1252"/>
      <c r="F194" s="1252"/>
      <c r="G194" s="1076"/>
      <c r="H194" s="1076"/>
      <c r="I194" s="1076"/>
      <c r="J194" s="1076"/>
      <c r="K194" s="1076"/>
      <c r="L194" s="1076"/>
      <c r="M194" s="1245"/>
      <c r="N194" s="417" t="s">
        <v>7</v>
      </c>
      <c r="O194" s="386">
        <v>2538000</v>
      </c>
      <c r="P194" s="1119"/>
      <c r="Q194" s="1119"/>
      <c r="R194" s="1171"/>
      <c r="S194" s="1196"/>
      <c r="T194" s="390">
        <v>2538000</v>
      </c>
      <c r="U194" s="386">
        <f t="shared" si="15"/>
        <v>0</v>
      </c>
      <c r="V194" s="386">
        <v>2538000</v>
      </c>
      <c r="W194" s="1119"/>
      <c r="X194" s="1076"/>
      <c r="Y194" s="372"/>
      <c r="Z194" s="386">
        <v>0</v>
      </c>
      <c r="AA194" s="386">
        <v>0</v>
      </c>
      <c r="AB194" s="386">
        <v>0</v>
      </c>
      <c r="AC194" s="384"/>
      <c r="AD194" s="395">
        <v>0</v>
      </c>
      <c r="AE194" s="395"/>
      <c r="AF194" s="1084"/>
      <c r="AG194" s="1084"/>
      <c r="AH194" s="358">
        <v>0</v>
      </c>
      <c r="AI194" s="358">
        <v>0</v>
      </c>
      <c r="AJ194" s="1119"/>
      <c r="AK194" s="1119"/>
      <c r="AL194" s="1119"/>
      <c r="AM194" s="1119"/>
      <c r="AN194" s="1203"/>
      <c r="AO194" s="1204"/>
      <c r="AP194" s="1204"/>
      <c r="AQ194" s="1204"/>
    </row>
    <row r="195" spans="1:43" s="4" customFormat="1" ht="33" customHeight="1">
      <c r="A195" s="1076"/>
      <c r="B195" s="1171"/>
      <c r="C195" s="1076" t="s">
        <v>9</v>
      </c>
      <c r="D195" s="1076"/>
      <c r="E195" s="1252"/>
      <c r="F195" s="1252"/>
      <c r="G195" s="1076"/>
      <c r="H195" s="1076"/>
      <c r="I195" s="1076"/>
      <c r="J195" s="1076"/>
      <c r="K195" s="1076"/>
      <c r="L195" s="1076"/>
      <c r="M195" s="1245">
        <v>66</v>
      </c>
      <c r="N195" s="417" t="s">
        <v>137</v>
      </c>
      <c r="O195" s="386">
        <v>1568393.6</v>
      </c>
      <c r="P195" s="1119">
        <f>O195+O196</f>
        <v>3920984</v>
      </c>
      <c r="Q195" s="1119"/>
      <c r="R195" s="1171">
        <v>40413</v>
      </c>
      <c r="S195" s="1196">
        <v>3920984</v>
      </c>
      <c r="T195" s="386">
        <v>1568393.6</v>
      </c>
      <c r="U195" s="386">
        <f t="shared" si="15"/>
        <v>0</v>
      </c>
      <c r="V195" s="386">
        <v>1568000</v>
      </c>
      <c r="W195" s="1119"/>
      <c r="X195" s="1076"/>
      <c r="Y195" s="372" t="s">
        <v>387</v>
      </c>
      <c r="Z195" s="386">
        <v>0</v>
      </c>
      <c r="AA195" s="386">
        <v>1568000</v>
      </c>
      <c r="AB195" s="386">
        <f>Z195+AA195</f>
        <v>1568000</v>
      </c>
      <c r="AC195" s="384">
        <v>40442</v>
      </c>
      <c r="AD195" s="395">
        <v>1568000</v>
      </c>
      <c r="AE195" s="395"/>
      <c r="AF195" s="1084">
        <f>SUM(AD195:AD196)</f>
        <v>1568000</v>
      </c>
      <c r="AG195" s="1084"/>
      <c r="AH195" s="358">
        <v>0</v>
      </c>
      <c r="AI195" s="358">
        <v>0</v>
      </c>
      <c r="AJ195" s="1119">
        <f>SUM(Z195:Z196)-SUM(AD195:AD196)</f>
        <v>-1568000</v>
      </c>
      <c r="AK195" s="1119">
        <f>P195-SUM(V195:V196)</f>
        <v>984</v>
      </c>
      <c r="AL195" s="1119">
        <f>SUM(V195:V196)-SUM(Z195:Z196)+AJ195</f>
        <v>2352000</v>
      </c>
      <c r="AM195" s="1119">
        <f>AK195</f>
        <v>984</v>
      </c>
      <c r="AN195" s="1203"/>
      <c r="AO195" s="1204"/>
      <c r="AP195" s="1204"/>
      <c r="AQ195" s="1204"/>
    </row>
    <row r="196" spans="1:43" s="4" customFormat="1">
      <c r="A196" s="1076"/>
      <c r="B196" s="1171"/>
      <c r="C196" s="1076"/>
      <c r="D196" s="1076"/>
      <c r="E196" s="1252"/>
      <c r="F196" s="1252"/>
      <c r="G196" s="1076"/>
      <c r="H196" s="1076"/>
      <c r="I196" s="1076"/>
      <c r="J196" s="1076"/>
      <c r="K196" s="1076"/>
      <c r="L196" s="1076"/>
      <c r="M196" s="1245"/>
      <c r="N196" s="417" t="s">
        <v>7</v>
      </c>
      <c r="O196" s="386">
        <v>2352590.4</v>
      </c>
      <c r="P196" s="1119"/>
      <c r="Q196" s="1119"/>
      <c r="R196" s="1171"/>
      <c r="S196" s="1196"/>
      <c r="T196" s="386">
        <v>2352590.4</v>
      </c>
      <c r="U196" s="386">
        <f t="shared" si="15"/>
        <v>0</v>
      </c>
      <c r="V196" s="386">
        <v>2352000</v>
      </c>
      <c r="W196" s="1119"/>
      <c r="X196" s="1076"/>
      <c r="Y196" s="372"/>
      <c r="Z196" s="386">
        <v>0</v>
      </c>
      <c r="AA196" s="386">
        <v>0</v>
      </c>
      <c r="AB196" s="386">
        <v>0</v>
      </c>
      <c r="AC196" s="384"/>
      <c r="AD196" s="395">
        <v>0</v>
      </c>
      <c r="AE196" s="395"/>
      <c r="AF196" s="1084"/>
      <c r="AG196" s="1084"/>
      <c r="AH196" s="358">
        <v>0</v>
      </c>
      <c r="AI196" s="358">
        <v>0</v>
      </c>
      <c r="AJ196" s="1119"/>
      <c r="AK196" s="1119"/>
      <c r="AL196" s="1119"/>
      <c r="AM196" s="1119"/>
      <c r="AN196" s="1203"/>
      <c r="AO196" s="1204"/>
      <c r="AP196" s="1204"/>
      <c r="AQ196" s="1204"/>
    </row>
    <row r="197" spans="1:43" s="4" customFormat="1" ht="30" customHeight="1">
      <c r="A197" s="1076"/>
      <c r="B197" s="1171"/>
      <c r="C197" s="1076" t="s">
        <v>11</v>
      </c>
      <c r="D197" s="1076"/>
      <c r="E197" s="1252"/>
      <c r="F197" s="1252"/>
      <c r="G197" s="1076"/>
      <c r="H197" s="1076"/>
      <c r="I197" s="1076"/>
      <c r="J197" s="1076"/>
      <c r="K197" s="1076"/>
      <c r="L197" s="1076"/>
      <c r="M197" s="1245">
        <v>67</v>
      </c>
      <c r="N197" s="417" t="s">
        <v>137</v>
      </c>
      <c r="O197" s="386">
        <v>5728000</v>
      </c>
      <c r="P197" s="1119">
        <f>O197+O198</f>
        <v>14320000</v>
      </c>
      <c r="Q197" s="1119"/>
      <c r="R197" s="1171">
        <v>40413</v>
      </c>
      <c r="S197" s="1196">
        <v>14320000</v>
      </c>
      <c r="T197" s="386">
        <v>5728000</v>
      </c>
      <c r="U197" s="386">
        <f t="shared" si="15"/>
        <v>0</v>
      </c>
      <c r="V197" s="386">
        <v>5728000</v>
      </c>
      <c r="W197" s="1119"/>
      <c r="X197" s="1076"/>
      <c r="Y197" s="372" t="s">
        <v>387</v>
      </c>
      <c r="Z197" s="386">
        <v>0</v>
      </c>
      <c r="AA197" s="386">
        <v>5728000</v>
      </c>
      <c r="AB197" s="386">
        <f>Z197+AA197</f>
        <v>5728000</v>
      </c>
      <c r="AC197" s="384">
        <v>40442</v>
      </c>
      <c r="AD197" s="395">
        <v>5728000</v>
      </c>
      <c r="AE197" s="395"/>
      <c r="AF197" s="1084">
        <f>SUM(AD197:AD198)</f>
        <v>5728000</v>
      </c>
      <c r="AG197" s="1084"/>
      <c r="AH197" s="358">
        <v>0</v>
      </c>
      <c r="AI197" s="358">
        <v>0</v>
      </c>
      <c r="AJ197" s="1119">
        <f>SUM(Z197:Z198)-SUM(AD197:AD198)</f>
        <v>-5728000</v>
      </c>
      <c r="AK197" s="1119">
        <f>P197-SUM(V197:V198)</f>
        <v>0</v>
      </c>
      <c r="AL197" s="1119">
        <f>SUM(V197:V198)-SUM(Z197:Z198)+AJ197</f>
        <v>8592000</v>
      </c>
      <c r="AM197" s="1119"/>
      <c r="AN197" s="1203"/>
      <c r="AO197" s="1204"/>
      <c r="AP197" s="1204"/>
      <c r="AQ197" s="1204"/>
    </row>
    <row r="198" spans="1:43" s="4" customFormat="1">
      <c r="A198" s="1076"/>
      <c r="B198" s="1171"/>
      <c r="C198" s="1076"/>
      <c r="D198" s="1076"/>
      <c r="E198" s="1252"/>
      <c r="F198" s="1252"/>
      <c r="G198" s="1076"/>
      <c r="H198" s="1076"/>
      <c r="I198" s="1076"/>
      <c r="J198" s="1076"/>
      <c r="K198" s="1076"/>
      <c r="L198" s="1076"/>
      <c r="M198" s="1245"/>
      <c r="N198" s="417" t="s">
        <v>7</v>
      </c>
      <c r="O198" s="386">
        <v>8592000</v>
      </c>
      <c r="P198" s="1119"/>
      <c r="Q198" s="1119"/>
      <c r="R198" s="1171"/>
      <c r="S198" s="1196"/>
      <c r="T198" s="386">
        <v>8592000</v>
      </c>
      <c r="U198" s="386">
        <f t="shared" si="15"/>
        <v>0</v>
      </c>
      <c r="V198" s="386">
        <v>8592000</v>
      </c>
      <c r="W198" s="1119"/>
      <c r="X198" s="1076"/>
      <c r="Y198" s="372"/>
      <c r="Z198" s="386">
        <v>0</v>
      </c>
      <c r="AA198" s="386">
        <v>0</v>
      </c>
      <c r="AB198" s="386">
        <v>0</v>
      </c>
      <c r="AC198" s="384"/>
      <c r="AD198" s="395">
        <v>0</v>
      </c>
      <c r="AE198" s="395"/>
      <c r="AF198" s="1084"/>
      <c r="AG198" s="1084"/>
      <c r="AH198" s="358">
        <v>0</v>
      </c>
      <c r="AI198" s="358">
        <v>0</v>
      </c>
      <c r="AJ198" s="1119"/>
      <c r="AK198" s="1119"/>
      <c r="AL198" s="1119"/>
      <c r="AM198" s="1119"/>
      <c r="AN198" s="1203"/>
      <c r="AO198" s="1204"/>
      <c r="AP198" s="1204"/>
      <c r="AQ198" s="1204"/>
    </row>
    <row r="199" spans="1:43" s="4" customFormat="1">
      <c r="A199" s="1076"/>
      <c r="B199" s="1171"/>
      <c r="C199" s="354" t="s">
        <v>9</v>
      </c>
      <c r="D199" s="1076"/>
      <c r="E199" s="1252"/>
      <c r="F199" s="1252"/>
      <c r="G199" s="1076"/>
      <c r="H199" s="1076"/>
      <c r="I199" s="1076"/>
      <c r="J199" s="354" t="s">
        <v>67</v>
      </c>
      <c r="K199" s="1076"/>
      <c r="L199" s="1076"/>
      <c r="M199" s="404">
        <v>163</v>
      </c>
      <c r="N199" s="417" t="s">
        <v>7</v>
      </c>
      <c r="O199" s="386">
        <v>1905779</v>
      </c>
      <c r="P199" s="386">
        <f>O199</f>
        <v>1905779</v>
      </c>
      <c r="Q199" s="1119"/>
      <c r="R199" s="384">
        <v>40701</v>
      </c>
      <c r="S199" s="390">
        <v>1905779</v>
      </c>
      <c r="T199" s="386">
        <v>1905779</v>
      </c>
      <c r="U199" s="386">
        <f>P199-S199</f>
        <v>0</v>
      </c>
      <c r="V199" s="386">
        <v>1905779</v>
      </c>
      <c r="W199" s="1119"/>
      <c r="X199" s="1076"/>
      <c r="Y199" s="372"/>
      <c r="Z199" s="386">
        <v>0</v>
      </c>
      <c r="AA199" s="386">
        <v>0</v>
      </c>
      <c r="AB199" s="386">
        <v>0</v>
      </c>
      <c r="AC199" s="384"/>
      <c r="AD199" s="395">
        <v>0</v>
      </c>
      <c r="AE199" s="395"/>
      <c r="AF199" s="358">
        <f>AD199</f>
        <v>0</v>
      </c>
      <c r="AG199" s="1084"/>
      <c r="AH199" s="358">
        <v>0</v>
      </c>
      <c r="AI199" s="358">
        <v>0</v>
      </c>
      <c r="AJ199" s="386">
        <f>Z199-AD199</f>
        <v>0</v>
      </c>
      <c r="AK199" s="386">
        <f>P199-V199</f>
        <v>0</v>
      </c>
      <c r="AL199" s="386">
        <f>V199-Z199</f>
        <v>1905779</v>
      </c>
      <c r="AM199" s="386"/>
      <c r="AN199" s="1203"/>
      <c r="AO199" s="1204"/>
      <c r="AP199" s="1204"/>
      <c r="AQ199" s="1204"/>
    </row>
    <row r="200" spans="1:43" s="6" customFormat="1" ht="31.5" customHeight="1">
      <c r="A200" s="1142" t="s">
        <v>392</v>
      </c>
      <c r="B200" s="1120">
        <v>40301</v>
      </c>
      <c r="C200" s="1142" t="s">
        <v>25</v>
      </c>
      <c r="D200" s="1142" t="s">
        <v>393</v>
      </c>
      <c r="E200" s="1327">
        <v>10517839</v>
      </c>
      <c r="F200" s="1327"/>
      <c r="G200" s="1142" t="s">
        <v>394</v>
      </c>
      <c r="H200" s="1142" t="s">
        <v>70</v>
      </c>
      <c r="I200" s="1142" t="s">
        <v>177</v>
      </c>
      <c r="J200" s="1142" t="s">
        <v>66</v>
      </c>
      <c r="K200" s="1142" t="s">
        <v>50</v>
      </c>
      <c r="L200" s="1142" t="s">
        <v>411</v>
      </c>
      <c r="M200" s="1286">
        <v>58</v>
      </c>
      <c r="N200" s="1326" t="s">
        <v>137</v>
      </c>
      <c r="O200" s="1084">
        <v>964000</v>
      </c>
      <c r="P200" s="1043">
        <f>O200+O202</f>
        <v>2410000</v>
      </c>
      <c r="Q200" s="1043">
        <f>P200+P204+P208+P212+P216+P220+P224+P228+P229+P230</f>
        <v>26823931</v>
      </c>
      <c r="R200" s="1120">
        <v>40413</v>
      </c>
      <c r="S200" s="358"/>
      <c r="T200" s="358"/>
      <c r="U200" s="358"/>
      <c r="V200" s="1084">
        <v>964000</v>
      </c>
      <c r="W200" s="1043">
        <f>24724371+V230</f>
        <v>26824371</v>
      </c>
      <c r="X200" s="1142" t="s">
        <v>282</v>
      </c>
      <c r="Y200" s="382" t="s">
        <v>396</v>
      </c>
      <c r="Z200" s="358">
        <v>0</v>
      </c>
      <c r="AA200" s="358">
        <v>964000</v>
      </c>
      <c r="AB200" s="358">
        <f t="shared" ref="AB200:AB234" si="16">Z200+AA200</f>
        <v>964000</v>
      </c>
      <c r="AC200" s="429">
        <v>40438</v>
      </c>
      <c r="AD200" s="395">
        <v>964000</v>
      </c>
      <c r="AE200" s="358" t="s">
        <v>137</v>
      </c>
      <c r="AF200" s="1043">
        <f>SUM(AD200:AD203)</f>
        <v>2265400</v>
      </c>
      <c r="AG200" s="1084">
        <f>SUM(AF200:AF231)</f>
        <v>24998252</v>
      </c>
      <c r="AH200" s="358">
        <f t="shared" ref="AH200:AH263" si="17">AB200-AD200</f>
        <v>0</v>
      </c>
      <c r="AI200" s="1084">
        <f>O200-AD200-AD201</f>
        <v>-520560</v>
      </c>
      <c r="AJ200" s="1043">
        <f>SUM(Z200:Z203)-SUM(AD200:AD203)</f>
        <v>144600</v>
      </c>
      <c r="AK200" s="1043">
        <f>SUM(O200:O203)-SUM(V200:V203)</f>
        <v>0</v>
      </c>
      <c r="AL200" s="1043">
        <f>SUM(V200:V203)-SUM(Z200:Z203)</f>
        <v>0</v>
      </c>
      <c r="AM200" s="1043">
        <f>AK200+AL200</f>
        <v>0</v>
      </c>
      <c r="AN200" s="1328" t="s">
        <v>412</v>
      </c>
      <c r="AO200" s="1329" t="s">
        <v>789</v>
      </c>
      <c r="AP200" s="1329" t="s">
        <v>194</v>
      </c>
      <c r="AQ200" s="1329" t="s">
        <v>368</v>
      </c>
    </row>
    <row r="201" spans="1:43" s="6" customFormat="1" ht="31.5">
      <c r="A201" s="1143"/>
      <c r="B201" s="1121"/>
      <c r="C201" s="1143"/>
      <c r="D201" s="1143"/>
      <c r="E201" s="1193"/>
      <c r="F201" s="1193"/>
      <c r="G201" s="1143"/>
      <c r="H201" s="1143"/>
      <c r="I201" s="1143"/>
      <c r="J201" s="1143"/>
      <c r="K201" s="1143"/>
      <c r="L201" s="1143"/>
      <c r="M201" s="1287"/>
      <c r="N201" s="1326"/>
      <c r="O201" s="1084"/>
      <c r="P201" s="1044"/>
      <c r="Q201" s="1044"/>
      <c r="R201" s="1121"/>
      <c r="S201" s="358"/>
      <c r="T201" s="358"/>
      <c r="U201" s="358"/>
      <c r="V201" s="1084"/>
      <c r="W201" s="1044"/>
      <c r="X201" s="1143"/>
      <c r="Y201" s="1254" t="s">
        <v>409</v>
      </c>
      <c r="Z201" s="358">
        <v>867600</v>
      </c>
      <c r="AA201" s="358">
        <v>-347040</v>
      </c>
      <c r="AB201" s="358">
        <f t="shared" si="16"/>
        <v>520560</v>
      </c>
      <c r="AC201" s="1253">
        <v>41047</v>
      </c>
      <c r="AD201" s="395">
        <v>520560</v>
      </c>
      <c r="AE201" s="358" t="s">
        <v>137</v>
      </c>
      <c r="AF201" s="1044"/>
      <c r="AG201" s="1084"/>
      <c r="AH201" s="358">
        <f t="shared" si="17"/>
        <v>0</v>
      </c>
      <c r="AI201" s="1084"/>
      <c r="AJ201" s="1044"/>
      <c r="AK201" s="1044"/>
      <c r="AL201" s="1044"/>
      <c r="AM201" s="1044"/>
      <c r="AN201" s="1328"/>
      <c r="AO201" s="1329"/>
      <c r="AP201" s="1329"/>
      <c r="AQ201" s="1329"/>
    </row>
    <row r="202" spans="1:43" s="6" customFormat="1">
      <c r="A202" s="1143"/>
      <c r="B202" s="1121"/>
      <c r="C202" s="1143"/>
      <c r="D202" s="1143"/>
      <c r="E202" s="1193"/>
      <c r="F202" s="1193"/>
      <c r="G202" s="1143"/>
      <c r="H202" s="1143"/>
      <c r="I202" s="1143"/>
      <c r="J202" s="1143"/>
      <c r="K202" s="1143"/>
      <c r="L202" s="1143"/>
      <c r="M202" s="1287"/>
      <c r="N202" s="1316" t="s">
        <v>7</v>
      </c>
      <c r="O202" s="1043">
        <v>1446000</v>
      </c>
      <c r="P202" s="1044"/>
      <c r="Q202" s="1044"/>
      <c r="R202" s="1121"/>
      <c r="S202" s="358"/>
      <c r="T202" s="358"/>
      <c r="U202" s="358"/>
      <c r="V202" s="1043">
        <v>1446000</v>
      </c>
      <c r="W202" s="1044"/>
      <c r="X202" s="1143"/>
      <c r="Y202" s="1254"/>
      <c r="Z202" s="358">
        <v>1301400</v>
      </c>
      <c r="AA202" s="358">
        <v>-520560</v>
      </c>
      <c r="AB202" s="358">
        <f t="shared" si="16"/>
        <v>780840</v>
      </c>
      <c r="AC202" s="1253"/>
      <c r="AD202" s="395">
        <v>780840</v>
      </c>
      <c r="AE202" s="358" t="s">
        <v>7</v>
      </c>
      <c r="AF202" s="1044"/>
      <c r="AG202" s="1084"/>
      <c r="AH202" s="358">
        <f t="shared" si="17"/>
        <v>0</v>
      </c>
      <c r="AI202" s="1043">
        <f>O202-AD202</f>
        <v>665160</v>
      </c>
      <c r="AJ202" s="1044"/>
      <c r="AK202" s="1044"/>
      <c r="AL202" s="1044"/>
      <c r="AM202" s="1044"/>
      <c r="AN202" s="1328"/>
      <c r="AO202" s="1329"/>
      <c r="AP202" s="1329"/>
      <c r="AQ202" s="1329"/>
    </row>
    <row r="203" spans="1:43" s="6" customFormat="1">
      <c r="A203" s="1143"/>
      <c r="B203" s="1121"/>
      <c r="C203" s="1144"/>
      <c r="D203" s="1143"/>
      <c r="E203" s="1193"/>
      <c r="F203" s="1193"/>
      <c r="G203" s="1143"/>
      <c r="H203" s="1143"/>
      <c r="I203" s="1143"/>
      <c r="J203" s="1143"/>
      <c r="K203" s="1143"/>
      <c r="L203" s="1143"/>
      <c r="M203" s="1288"/>
      <c r="N203" s="1317"/>
      <c r="O203" s="1045"/>
      <c r="P203" s="1045"/>
      <c r="Q203" s="1044"/>
      <c r="R203" s="1160"/>
      <c r="S203" s="358"/>
      <c r="T203" s="358"/>
      <c r="U203" s="358"/>
      <c r="V203" s="1045"/>
      <c r="W203" s="1044"/>
      <c r="X203" s="1143"/>
      <c r="Y203" s="382"/>
      <c r="Z203" s="358">
        <v>241000</v>
      </c>
      <c r="AA203" s="358">
        <v>-96400</v>
      </c>
      <c r="AB203" s="358">
        <f t="shared" si="16"/>
        <v>144600</v>
      </c>
      <c r="AC203" s="428"/>
      <c r="AD203" s="395">
        <v>0</v>
      </c>
      <c r="AE203" s="358"/>
      <c r="AF203" s="1045"/>
      <c r="AG203" s="1084"/>
      <c r="AH203" s="358">
        <f t="shared" si="17"/>
        <v>144600</v>
      </c>
      <c r="AI203" s="1045"/>
      <c r="AJ203" s="1045"/>
      <c r="AK203" s="1045"/>
      <c r="AL203" s="1045"/>
      <c r="AM203" s="1045"/>
      <c r="AN203" s="1328"/>
      <c r="AO203" s="1329"/>
      <c r="AP203" s="1329"/>
      <c r="AQ203" s="1329"/>
    </row>
    <row r="204" spans="1:43" s="6" customFormat="1" ht="31.5">
      <c r="A204" s="1143"/>
      <c r="B204" s="1121"/>
      <c r="C204" s="1142" t="s">
        <v>12</v>
      </c>
      <c r="D204" s="1143"/>
      <c r="E204" s="1193"/>
      <c r="F204" s="1193"/>
      <c r="G204" s="1143"/>
      <c r="H204" s="1143"/>
      <c r="I204" s="1143"/>
      <c r="J204" s="1143"/>
      <c r="K204" s="1143"/>
      <c r="L204" s="1143"/>
      <c r="M204" s="1286">
        <v>59</v>
      </c>
      <c r="N204" s="1326" t="s">
        <v>137</v>
      </c>
      <c r="O204" s="1084">
        <v>424000</v>
      </c>
      <c r="P204" s="1043">
        <f>O204+O206</f>
        <v>1060000</v>
      </c>
      <c r="Q204" s="1044"/>
      <c r="R204" s="1120">
        <v>40413</v>
      </c>
      <c r="S204" s="412"/>
      <c r="T204" s="358"/>
      <c r="U204" s="358"/>
      <c r="V204" s="1084">
        <v>424000</v>
      </c>
      <c r="W204" s="1044"/>
      <c r="X204" s="1143"/>
      <c r="Y204" s="407" t="s">
        <v>397</v>
      </c>
      <c r="Z204" s="358">
        <v>0</v>
      </c>
      <c r="AA204" s="358">
        <v>424000</v>
      </c>
      <c r="AB204" s="358">
        <f t="shared" si="16"/>
        <v>424000</v>
      </c>
      <c r="AC204" s="410">
        <v>40438</v>
      </c>
      <c r="AD204" s="395">
        <v>424000</v>
      </c>
      <c r="AE204" s="395" t="s">
        <v>137</v>
      </c>
      <c r="AF204" s="1043">
        <f>SUM(AD204:AD207)</f>
        <v>996400</v>
      </c>
      <c r="AG204" s="1084"/>
      <c r="AH204" s="358">
        <f t="shared" si="17"/>
        <v>0</v>
      </c>
      <c r="AI204" s="1084">
        <f>O204-AD204-AD205</f>
        <v>-343440</v>
      </c>
      <c r="AJ204" s="1043">
        <f>SUM(Z204:Z207)-SUM(AD204:AD207)</f>
        <v>63600</v>
      </c>
      <c r="AK204" s="1043">
        <f>SUM(O204:O207)-SUM(V204:V207)</f>
        <v>0</v>
      </c>
      <c r="AL204" s="1043">
        <f>SUM(V204:V207)-SUM(Z204:Z207)</f>
        <v>0</v>
      </c>
      <c r="AM204" s="1043">
        <f>AK204+AL204</f>
        <v>0</v>
      </c>
      <c r="AN204" s="1328"/>
      <c r="AO204" s="1329"/>
      <c r="AP204" s="1329"/>
      <c r="AQ204" s="1329"/>
    </row>
    <row r="205" spans="1:43" s="6" customFormat="1" ht="31.5">
      <c r="A205" s="1143"/>
      <c r="B205" s="1121"/>
      <c r="C205" s="1143"/>
      <c r="D205" s="1143"/>
      <c r="E205" s="1193"/>
      <c r="F205" s="1193"/>
      <c r="G205" s="1143"/>
      <c r="H205" s="1143"/>
      <c r="I205" s="1143"/>
      <c r="J205" s="1143"/>
      <c r="K205" s="1143"/>
      <c r="L205" s="1143"/>
      <c r="M205" s="1287"/>
      <c r="N205" s="1326"/>
      <c r="O205" s="1084"/>
      <c r="P205" s="1044"/>
      <c r="Q205" s="1044"/>
      <c r="R205" s="1121"/>
      <c r="S205" s="412"/>
      <c r="T205" s="358"/>
      <c r="U205" s="358"/>
      <c r="V205" s="1084"/>
      <c r="W205" s="1044"/>
      <c r="X205" s="1143"/>
      <c r="Y205" s="1254" t="s">
        <v>401</v>
      </c>
      <c r="Z205" s="358">
        <v>381600</v>
      </c>
      <c r="AA205" s="358">
        <v>-152640</v>
      </c>
      <c r="AB205" s="358">
        <f t="shared" si="16"/>
        <v>228960</v>
      </c>
      <c r="AC205" s="1253">
        <v>40835</v>
      </c>
      <c r="AD205" s="395">
        <v>343440</v>
      </c>
      <c r="AE205" s="395" t="s">
        <v>137</v>
      </c>
      <c r="AF205" s="1044"/>
      <c r="AG205" s="1084"/>
      <c r="AH205" s="358">
        <f t="shared" si="17"/>
        <v>-114480</v>
      </c>
      <c r="AI205" s="1084"/>
      <c r="AJ205" s="1044"/>
      <c r="AK205" s="1044"/>
      <c r="AL205" s="1044"/>
      <c r="AM205" s="1044"/>
      <c r="AN205" s="1328"/>
      <c r="AO205" s="1329"/>
      <c r="AP205" s="1329"/>
      <c r="AQ205" s="1329"/>
    </row>
    <row r="206" spans="1:43" s="6" customFormat="1">
      <c r="A206" s="1143"/>
      <c r="B206" s="1121"/>
      <c r="C206" s="1143"/>
      <c r="D206" s="1143"/>
      <c r="E206" s="1193"/>
      <c r="F206" s="1193"/>
      <c r="G206" s="1143"/>
      <c r="H206" s="1143"/>
      <c r="I206" s="1143"/>
      <c r="J206" s="1143"/>
      <c r="K206" s="1143"/>
      <c r="L206" s="1143"/>
      <c r="M206" s="1287"/>
      <c r="N206" s="1316" t="s">
        <v>7</v>
      </c>
      <c r="O206" s="1043">
        <v>636000</v>
      </c>
      <c r="P206" s="1044"/>
      <c r="Q206" s="1044"/>
      <c r="R206" s="1121"/>
      <c r="S206" s="412"/>
      <c r="T206" s="358"/>
      <c r="U206" s="358"/>
      <c r="V206" s="1043">
        <v>636000</v>
      </c>
      <c r="W206" s="1044"/>
      <c r="X206" s="1143"/>
      <c r="Y206" s="1254"/>
      <c r="Z206" s="358">
        <v>572400</v>
      </c>
      <c r="AA206" s="358">
        <v>-228960</v>
      </c>
      <c r="AB206" s="358">
        <f t="shared" si="16"/>
        <v>343440</v>
      </c>
      <c r="AC206" s="1253"/>
      <c r="AD206" s="395">
        <v>228960</v>
      </c>
      <c r="AE206" s="395" t="s">
        <v>7</v>
      </c>
      <c r="AF206" s="1044"/>
      <c r="AG206" s="1084"/>
      <c r="AH206" s="358">
        <f t="shared" si="17"/>
        <v>114480</v>
      </c>
      <c r="AI206" s="1043">
        <f>O206-AD206</f>
        <v>407040</v>
      </c>
      <c r="AJ206" s="1044"/>
      <c r="AK206" s="1044"/>
      <c r="AL206" s="1044"/>
      <c r="AM206" s="1044"/>
      <c r="AN206" s="1328"/>
      <c r="AO206" s="1329"/>
      <c r="AP206" s="1329"/>
      <c r="AQ206" s="1329"/>
    </row>
    <row r="207" spans="1:43" s="6" customFormat="1">
      <c r="A207" s="1143"/>
      <c r="B207" s="1121"/>
      <c r="C207" s="1144"/>
      <c r="D207" s="1143"/>
      <c r="E207" s="1193"/>
      <c r="F207" s="1193"/>
      <c r="G207" s="1143"/>
      <c r="H207" s="1143"/>
      <c r="I207" s="1143"/>
      <c r="J207" s="1143"/>
      <c r="K207" s="1143"/>
      <c r="L207" s="1143"/>
      <c r="M207" s="1288"/>
      <c r="N207" s="1317"/>
      <c r="O207" s="1045"/>
      <c r="P207" s="1045"/>
      <c r="Q207" s="1044"/>
      <c r="R207" s="1160"/>
      <c r="S207" s="412"/>
      <c r="T207" s="358"/>
      <c r="U207" s="358"/>
      <c r="V207" s="1045"/>
      <c r="W207" s="1044"/>
      <c r="X207" s="1143"/>
      <c r="Y207" s="407"/>
      <c r="Z207" s="358">
        <v>106000</v>
      </c>
      <c r="AA207" s="358">
        <v>-42400</v>
      </c>
      <c r="AB207" s="358">
        <f t="shared" si="16"/>
        <v>63600</v>
      </c>
      <c r="AC207" s="410"/>
      <c r="AD207" s="395">
        <v>0</v>
      </c>
      <c r="AE207" s="395"/>
      <c r="AF207" s="1045"/>
      <c r="AG207" s="1084"/>
      <c r="AH207" s="358">
        <f t="shared" si="17"/>
        <v>63600</v>
      </c>
      <c r="AI207" s="1045"/>
      <c r="AJ207" s="1045"/>
      <c r="AK207" s="1045"/>
      <c r="AL207" s="1045"/>
      <c r="AM207" s="1045"/>
      <c r="AN207" s="1328"/>
      <c r="AO207" s="1329"/>
      <c r="AP207" s="1329"/>
      <c r="AQ207" s="1329"/>
    </row>
    <row r="208" spans="1:43" s="6" customFormat="1" ht="31.5">
      <c r="A208" s="1143"/>
      <c r="B208" s="1121"/>
      <c r="C208" s="1142" t="s">
        <v>35</v>
      </c>
      <c r="D208" s="1143"/>
      <c r="E208" s="1193"/>
      <c r="F208" s="1193"/>
      <c r="G208" s="1143"/>
      <c r="H208" s="1143"/>
      <c r="I208" s="1143"/>
      <c r="J208" s="1143"/>
      <c r="K208" s="1143"/>
      <c r="L208" s="1143"/>
      <c r="M208" s="1286">
        <v>60</v>
      </c>
      <c r="N208" s="1326" t="s">
        <v>137</v>
      </c>
      <c r="O208" s="1084">
        <v>2100000</v>
      </c>
      <c r="P208" s="1043">
        <f>O208+O210</f>
        <v>5250000</v>
      </c>
      <c r="Q208" s="1044"/>
      <c r="R208" s="1120">
        <v>40413</v>
      </c>
      <c r="S208" s="412"/>
      <c r="T208" s="358"/>
      <c r="U208" s="358"/>
      <c r="V208" s="1084">
        <v>2100000</v>
      </c>
      <c r="W208" s="1044"/>
      <c r="X208" s="1143"/>
      <c r="Y208" s="407" t="s">
        <v>398</v>
      </c>
      <c r="Z208" s="358">
        <v>0</v>
      </c>
      <c r="AA208" s="358">
        <v>2100000</v>
      </c>
      <c r="AB208" s="358">
        <f t="shared" si="16"/>
        <v>2100000</v>
      </c>
      <c r="AC208" s="410">
        <v>40438</v>
      </c>
      <c r="AD208" s="395">
        <v>2100000</v>
      </c>
      <c r="AE208" s="395" t="s">
        <v>137</v>
      </c>
      <c r="AF208" s="1043">
        <f>SUM(AD208:AD211)</f>
        <v>4935000</v>
      </c>
      <c r="AG208" s="1084"/>
      <c r="AH208" s="358">
        <f t="shared" si="17"/>
        <v>0</v>
      </c>
      <c r="AI208" s="1084">
        <f>O208-AD208-AD209</f>
        <v>-1134000</v>
      </c>
      <c r="AJ208" s="1043">
        <f>SUM(Z208:Z211)-SUM(AD208:AD211)</f>
        <v>315000</v>
      </c>
      <c r="AK208" s="1043">
        <f>SUM(O208:O211)-SUM(V208:V211)</f>
        <v>0</v>
      </c>
      <c r="AL208" s="1043">
        <f>SUM(V208:V211)-SUM(Z208:Z211)</f>
        <v>0</v>
      </c>
      <c r="AM208" s="1043">
        <f>AK208+AL208</f>
        <v>0</v>
      </c>
      <c r="AN208" s="1328"/>
      <c r="AO208" s="1329"/>
      <c r="AP208" s="1329"/>
      <c r="AQ208" s="1329"/>
    </row>
    <row r="209" spans="1:43" s="6" customFormat="1" ht="31.5">
      <c r="A209" s="1143"/>
      <c r="B209" s="1121"/>
      <c r="C209" s="1143"/>
      <c r="D209" s="1143"/>
      <c r="E209" s="1193"/>
      <c r="F209" s="1193"/>
      <c r="G209" s="1143"/>
      <c r="H209" s="1143"/>
      <c r="I209" s="1143"/>
      <c r="J209" s="1143"/>
      <c r="K209" s="1143"/>
      <c r="L209" s="1143"/>
      <c r="M209" s="1287"/>
      <c r="N209" s="1326"/>
      <c r="O209" s="1084"/>
      <c r="P209" s="1044"/>
      <c r="Q209" s="1044"/>
      <c r="R209" s="1121"/>
      <c r="S209" s="412"/>
      <c r="T209" s="358"/>
      <c r="U209" s="358"/>
      <c r="V209" s="1084"/>
      <c r="W209" s="1044"/>
      <c r="X209" s="1143"/>
      <c r="Y209" s="1254" t="s">
        <v>404</v>
      </c>
      <c r="Z209" s="358">
        <v>1890000</v>
      </c>
      <c r="AA209" s="358">
        <v>-756000</v>
      </c>
      <c r="AB209" s="358">
        <f t="shared" si="16"/>
        <v>1134000</v>
      </c>
      <c r="AC209" s="1253">
        <v>40837</v>
      </c>
      <c r="AD209" s="395">
        <v>1134000</v>
      </c>
      <c r="AE209" s="395" t="s">
        <v>137</v>
      </c>
      <c r="AF209" s="1044"/>
      <c r="AG209" s="1084"/>
      <c r="AH209" s="358">
        <f t="shared" si="17"/>
        <v>0</v>
      </c>
      <c r="AI209" s="1084"/>
      <c r="AJ209" s="1044"/>
      <c r="AK209" s="1044"/>
      <c r="AL209" s="1044"/>
      <c r="AM209" s="1044"/>
      <c r="AN209" s="1328"/>
      <c r="AO209" s="1329"/>
      <c r="AP209" s="1329"/>
      <c r="AQ209" s="1329"/>
    </row>
    <row r="210" spans="1:43" s="6" customFormat="1">
      <c r="A210" s="1143"/>
      <c r="B210" s="1121"/>
      <c r="C210" s="1143"/>
      <c r="D210" s="1143"/>
      <c r="E210" s="1193"/>
      <c r="F210" s="1193"/>
      <c r="G210" s="1143"/>
      <c r="H210" s="1143"/>
      <c r="I210" s="1143"/>
      <c r="J210" s="1143"/>
      <c r="K210" s="1143"/>
      <c r="L210" s="1143"/>
      <c r="M210" s="1287"/>
      <c r="N210" s="1316" t="s">
        <v>7</v>
      </c>
      <c r="O210" s="1043">
        <v>3150000</v>
      </c>
      <c r="P210" s="1044"/>
      <c r="Q210" s="1044"/>
      <c r="R210" s="1121"/>
      <c r="S210" s="412"/>
      <c r="T210" s="358"/>
      <c r="U210" s="358"/>
      <c r="V210" s="1043">
        <v>3150000</v>
      </c>
      <c r="W210" s="1044"/>
      <c r="X210" s="1143"/>
      <c r="Y210" s="1254"/>
      <c r="Z210" s="358">
        <v>2835000</v>
      </c>
      <c r="AA210" s="358">
        <v>-1134000</v>
      </c>
      <c r="AB210" s="358">
        <f t="shared" si="16"/>
        <v>1701000</v>
      </c>
      <c r="AC210" s="1253"/>
      <c r="AD210" s="395">
        <v>1701000</v>
      </c>
      <c r="AE210" s="395" t="s">
        <v>7</v>
      </c>
      <c r="AF210" s="1044"/>
      <c r="AG210" s="1084"/>
      <c r="AH210" s="358">
        <f t="shared" si="17"/>
        <v>0</v>
      </c>
      <c r="AI210" s="1043">
        <f>O210-AD210</f>
        <v>1449000</v>
      </c>
      <c r="AJ210" s="1044"/>
      <c r="AK210" s="1044"/>
      <c r="AL210" s="1044"/>
      <c r="AM210" s="1044"/>
      <c r="AN210" s="1328"/>
      <c r="AO210" s="1329"/>
      <c r="AP210" s="1329"/>
      <c r="AQ210" s="1329"/>
    </row>
    <row r="211" spans="1:43" s="6" customFormat="1">
      <c r="A211" s="1143"/>
      <c r="B211" s="1121"/>
      <c r="C211" s="1144"/>
      <c r="D211" s="1143"/>
      <c r="E211" s="1193"/>
      <c r="F211" s="1193"/>
      <c r="G211" s="1143"/>
      <c r="H211" s="1143"/>
      <c r="I211" s="1143"/>
      <c r="J211" s="1143"/>
      <c r="K211" s="1143"/>
      <c r="L211" s="1143"/>
      <c r="M211" s="1288"/>
      <c r="N211" s="1317"/>
      <c r="O211" s="1045"/>
      <c r="P211" s="1045"/>
      <c r="Q211" s="1044"/>
      <c r="R211" s="1160"/>
      <c r="S211" s="412"/>
      <c r="T211" s="358"/>
      <c r="U211" s="358"/>
      <c r="V211" s="1045"/>
      <c r="W211" s="1044"/>
      <c r="X211" s="1143"/>
      <c r="Y211" s="407"/>
      <c r="Z211" s="358">
        <v>525000</v>
      </c>
      <c r="AA211" s="358">
        <v>-210000</v>
      </c>
      <c r="AB211" s="358">
        <f t="shared" si="16"/>
        <v>315000</v>
      </c>
      <c r="AC211" s="410"/>
      <c r="AD211" s="395">
        <v>0</v>
      </c>
      <c r="AE211" s="395"/>
      <c r="AF211" s="1045"/>
      <c r="AG211" s="1084"/>
      <c r="AH211" s="358">
        <f t="shared" si="17"/>
        <v>315000</v>
      </c>
      <c r="AI211" s="1045"/>
      <c r="AJ211" s="1045"/>
      <c r="AK211" s="1045"/>
      <c r="AL211" s="1045"/>
      <c r="AM211" s="1045"/>
      <c r="AN211" s="1328"/>
      <c r="AO211" s="1329"/>
      <c r="AP211" s="1329"/>
      <c r="AQ211" s="1329"/>
    </row>
    <row r="212" spans="1:43" s="6" customFormat="1" ht="31.5">
      <c r="A212" s="1143"/>
      <c r="B212" s="1121"/>
      <c r="C212" s="1142" t="s">
        <v>41</v>
      </c>
      <c r="D212" s="1143"/>
      <c r="E212" s="1193"/>
      <c r="F212" s="1193"/>
      <c r="G212" s="1143"/>
      <c r="H212" s="1143"/>
      <c r="I212" s="1143"/>
      <c r="J212" s="1143"/>
      <c r="K212" s="1143"/>
      <c r="L212" s="1143"/>
      <c r="M212" s="1286">
        <v>61</v>
      </c>
      <c r="N212" s="1326" t="s">
        <v>137</v>
      </c>
      <c r="O212" s="1084">
        <v>788000</v>
      </c>
      <c r="P212" s="1043">
        <f>O212+O214</f>
        <v>1970000</v>
      </c>
      <c r="Q212" s="1044"/>
      <c r="R212" s="1120">
        <v>40413</v>
      </c>
      <c r="S212" s="412"/>
      <c r="T212" s="358"/>
      <c r="U212" s="358"/>
      <c r="V212" s="1084">
        <v>788000</v>
      </c>
      <c r="W212" s="1044"/>
      <c r="X212" s="1143"/>
      <c r="Y212" s="407" t="s">
        <v>399</v>
      </c>
      <c r="Z212" s="358">
        <v>0</v>
      </c>
      <c r="AA212" s="358">
        <v>788000</v>
      </c>
      <c r="AB212" s="358">
        <f t="shared" si="16"/>
        <v>788000</v>
      </c>
      <c r="AC212" s="410">
        <v>40438</v>
      </c>
      <c r="AD212" s="395">
        <v>788000</v>
      </c>
      <c r="AE212" s="395" t="s">
        <v>137</v>
      </c>
      <c r="AF212" s="1043">
        <f>SUM(AD212:AD215)</f>
        <v>1851800</v>
      </c>
      <c r="AG212" s="1084"/>
      <c r="AH212" s="358">
        <f t="shared" si="17"/>
        <v>0</v>
      </c>
      <c r="AI212" s="1084">
        <f>O212-AD212-AD213</f>
        <v>-425520</v>
      </c>
      <c r="AJ212" s="1043">
        <f>SUM(Z212:Z215)-SUM(AD212:AD215)</f>
        <v>118200</v>
      </c>
      <c r="AK212" s="1043">
        <f>SUM(O212:O215)-SUM(V212:V215)</f>
        <v>0</v>
      </c>
      <c r="AL212" s="1043">
        <f>SUM(V212:V215)-SUM(Z212:Z215)</f>
        <v>0</v>
      </c>
      <c r="AM212" s="1043">
        <f>AK212+AL212</f>
        <v>0</v>
      </c>
      <c r="AN212" s="1328"/>
      <c r="AO212" s="1329"/>
      <c r="AP212" s="1329"/>
      <c r="AQ212" s="1329"/>
    </row>
    <row r="213" spans="1:43" s="6" customFormat="1" ht="31.5">
      <c r="A213" s="1143"/>
      <c r="B213" s="1121"/>
      <c r="C213" s="1143"/>
      <c r="D213" s="1143"/>
      <c r="E213" s="1193"/>
      <c r="F213" s="1193"/>
      <c r="G213" s="1143"/>
      <c r="H213" s="1143"/>
      <c r="I213" s="1143"/>
      <c r="J213" s="1143"/>
      <c r="K213" s="1143"/>
      <c r="L213" s="1143"/>
      <c r="M213" s="1287"/>
      <c r="N213" s="1326"/>
      <c r="O213" s="1084"/>
      <c r="P213" s="1044"/>
      <c r="Q213" s="1044"/>
      <c r="R213" s="1121"/>
      <c r="S213" s="412"/>
      <c r="T213" s="358"/>
      <c r="U213" s="358"/>
      <c r="V213" s="1084"/>
      <c r="W213" s="1044"/>
      <c r="X213" s="1143"/>
      <c r="Y213" s="1254" t="s">
        <v>410</v>
      </c>
      <c r="Z213" s="358">
        <v>709200</v>
      </c>
      <c r="AA213" s="358">
        <v>-283680</v>
      </c>
      <c r="AB213" s="358">
        <f t="shared" si="16"/>
        <v>425520</v>
      </c>
      <c r="AC213" s="1253">
        <v>41191</v>
      </c>
      <c r="AD213" s="395">
        <v>425520</v>
      </c>
      <c r="AE213" s="395" t="s">
        <v>137</v>
      </c>
      <c r="AF213" s="1044"/>
      <c r="AG213" s="1084"/>
      <c r="AH213" s="358">
        <f t="shared" si="17"/>
        <v>0</v>
      </c>
      <c r="AI213" s="1084"/>
      <c r="AJ213" s="1044"/>
      <c r="AK213" s="1044"/>
      <c r="AL213" s="1044"/>
      <c r="AM213" s="1044"/>
      <c r="AN213" s="1328"/>
      <c r="AO213" s="1329"/>
      <c r="AP213" s="1329"/>
      <c r="AQ213" s="1329"/>
    </row>
    <row r="214" spans="1:43" s="6" customFormat="1">
      <c r="A214" s="1143"/>
      <c r="B214" s="1121"/>
      <c r="C214" s="1143"/>
      <c r="D214" s="1143"/>
      <c r="E214" s="1193"/>
      <c r="F214" s="1193"/>
      <c r="G214" s="1143"/>
      <c r="H214" s="1143"/>
      <c r="I214" s="1143"/>
      <c r="J214" s="1143"/>
      <c r="K214" s="1143"/>
      <c r="L214" s="1143"/>
      <c r="M214" s="1287"/>
      <c r="N214" s="1316" t="s">
        <v>7</v>
      </c>
      <c r="O214" s="1043">
        <v>1182000</v>
      </c>
      <c r="P214" s="1044"/>
      <c r="Q214" s="1044"/>
      <c r="R214" s="1121"/>
      <c r="S214" s="412"/>
      <c r="T214" s="358"/>
      <c r="U214" s="358"/>
      <c r="V214" s="1043">
        <v>1182000</v>
      </c>
      <c r="W214" s="1044"/>
      <c r="X214" s="1143"/>
      <c r="Y214" s="1254"/>
      <c r="Z214" s="358">
        <v>1063800</v>
      </c>
      <c r="AA214" s="358">
        <v>-425520</v>
      </c>
      <c r="AB214" s="358">
        <f t="shared" si="16"/>
        <v>638280</v>
      </c>
      <c r="AC214" s="1253"/>
      <c r="AD214" s="395">
        <v>638280</v>
      </c>
      <c r="AE214" s="395" t="s">
        <v>7</v>
      </c>
      <c r="AF214" s="1044"/>
      <c r="AG214" s="1084"/>
      <c r="AH214" s="358">
        <f t="shared" si="17"/>
        <v>0</v>
      </c>
      <c r="AI214" s="1043">
        <f>O214-AD214</f>
        <v>543720</v>
      </c>
      <c r="AJ214" s="1044"/>
      <c r="AK214" s="1044"/>
      <c r="AL214" s="1044"/>
      <c r="AM214" s="1044"/>
      <c r="AN214" s="1328"/>
      <c r="AO214" s="1329"/>
      <c r="AP214" s="1329"/>
      <c r="AQ214" s="1329"/>
    </row>
    <row r="215" spans="1:43" s="6" customFormat="1">
      <c r="A215" s="1143"/>
      <c r="B215" s="1121"/>
      <c r="C215" s="1143"/>
      <c r="D215" s="1143"/>
      <c r="E215" s="1193"/>
      <c r="F215" s="1193"/>
      <c r="G215" s="1143"/>
      <c r="H215" s="1143"/>
      <c r="I215" s="1143"/>
      <c r="J215" s="1143"/>
      <c r="K215" s="1143"/>
      <c r="L215" s="1143"/>
      <c r="M215" s="1288"/>
      <c r="N215" s="1317"/>
      <c r="O215" s="1045"/>
      <c r="P215" s="1045"/>
      <c r="Q215" s="1044"/>
      <c r="R215" s="1160"/>
      <c r="S215" s="412"/>
      <c r="T215" s="358"/>
      <c r="U215" s="358"/>
      <c r="V215" s="1045"/>
      <c r="W215" s="1044"/>
      <c r="X215" s="1143"/>
      <c r="Y215" s="407"/>
      <c r="Z215" s="358">
        <v>197000</v>
      </c>
      <c r="AA215" s="358">
        <v>-78800</v>
      </c>
      <c r="AB215" s="358">
        <f t="shared" si="16"/>
        <v>118200</v>
      </c>
      <c r="AC215" s="410"/>
      <c r="AD215" s="395">
        <v>0</v>
      </c>
      <c r="AE215" s="395"/>
      <c r="AF215" s="1045"/>
      <c r="AG215" s="1084"/>
      <c r="AH215" s="358">
        <f t="shared" si="17"/>
        <v>118200</v>
      </c>
      <c r="AI215" s="1045"/>
      <c r="AJ215" s="1045"/>
      <c r="AK215" s="1045"/>
      <c r="AL215" s="1045"/>
      <c r="AM215" s="1045"/>
      <c r="AN215" s="1328"/>
      <c r="AO215" s="1329"/>
      <c r="AP215" s="1329"/>
      <c r="AQ215" s="1329"/>
    </row>
    <row r="216" spans="1:43" s="6" customFormat="1" ht="31.5">
      <c r="A216" s="1143"/>
      <c r="B216" s="1121"/>
      <c r="C216" s="1143"/>
      <c r="D216" s="1143"/>
      <c r="E216" s="1193"/>
      <c r="F216" s="1193"/>
      <c r="G216" s="1143"/>
      <c r="H216" s="1143"/>
      <c r="I216" s="1143"/>
      <c r="J216" s="1143"/>
      <c r="K216" s="1143"/>
      <c r="L216" s="1143"/>
      <c r="M216" s="1286">
        <v>62</v>
      </c>
      <c r="N216" s="1326" t="s">
        <v>137</v>
      </c>
      <c r="O216" s="1084">
        <v>1040000</v>
      </c>
      <c r="P216" s="1043">
        <f>O216+O218</f>
        <v>2600000</v>
      </c>
      <c r="Q216" s="1044"/>
      <c r="R216" s="1120">
        <v>40413</v>
      </c>
      <c r="S216" s="412"/>
      <c r="T216" s="358"/>
      <c r="U216" s="358"/>
      <c r="V216" s="1084">
        <v>1040000</v>
      </c>
      <c r="W216" s="1044"/>
      <c r="X216" s="1143"/>
      <c r="Y216" s="407" t="s">
        <v>399</v>
      </c>
      <c r="Z216" s="358">
        <v>0</v>
      </c>
      <c r="AA216" s="358">
        <v>1040000</v>
      </c>
      <c r="AB216" s="358">
        <f t="shared" si="16"/>
        <v>1040000</v>
      </c>
      <c r="AC216" s="410">
        <v>40438</v>
      </c>
      <c r="AD216" s="395">
        <v>1040000</v>
      </c>
      <c r="AE216" s="395" t="s">
        <v>137</v>
      </c>
      <c r="AF216" s="1043">
        <f>SUM(AD216:AD219)</f>
        <v>2444000</v>
      </c>
      <c r="AG216" s="1084"/>
      <c r="AH216" s="358">
        <f t="shared" si="17"/>
        <v>0</v>
      </c>
      <c r="AI216" s="1084">
        <f>O216-AD216-AD217</f>
        <v>-561600</v>
      </c>
      <c r="AJ216" s="1043">
        <f>SUM(Z216:Z219)-SUM(AD216:AD219)</f>
        <v>156000</v>
      </c>
      <c r="AK216" s="1043">
        <f>SUM(O216:O219)-SUM(V216:V219)</f>
        <v>0</v>
      </c>
      <c r="AL216" s="1043">
        <f>SUM(V216:V219)-SUM(Z216:Z219)</f>
        <v>0</v>
      </c>
      <c r="AM216" s="1043">
        <f>AK216+AL216</f>
        <v>0</v>
      </c>
      <c r="AN216" s="1328"/>
      <c r="AO216" s="1329"/>
      <c r="AP216" s="1329"/>
      <c r="AQ216" s="1329"/>
    </row>
    <row r="217" spans="1:43" s="6" customFormat="1" ht="31.5">
      <c r="A217" s="1143"/>
      <c r="B217" s="1121"/>
      <c r="C217" s="1143"/>
      <c r="D217" s="1143"/>
      <c r="E217" s="1193"/>
      <c r="F217" s="1193"/>
      <c r="G217" s="1143"/>
      <c r="H217" s="1143"/>
      <c r="I217" s="1143"/>
      <c r="J217" s="1143"/>
      <c r="K217" s="1143"/>
      <c r="L217" s="1143"/>
      <c r="M217" s="1287"/>
      <c r="N217" s="1326"/>
      <c r="O217" s="1084"/>
      <c r="P217" s="1044"/>
      <c r="Q217" s="1044"/>
      <c r="R217" s="1121"/>
      <c r="S217" s="412"/>
      <c r="T217" s="358"/>
      <c r="U217" s="358"/>
      <c r="V217" s="1084"/>
      <c r="W217" s="1044"/>
      <c r="X217" s="1143"/>
      <c r="Y217" s="1254" t="s">
        <v>403</v>
      </c>
      <c r="Z217" s="358">
        <v>936000</v>
      </c>
      <c r="AA217" s="358">
        <v>-374400</v>
      </c>
      <c r="AB217" s="358">
        <f t="shared" si="16"/>
        <v>561600</v>
      </c>
      <c r="AC217" s="1253">
        <v>40835</v>
      </c>
      <c r="AD217" s="395">
        <v>561600</v>
      </c>
      <c r="AE217" s="395" t="s">
        <v>137</v>
      </c>
      <c r="AF217" s="1044"/>
      <c r="AG217" s="1084"/>
      <c r="AH217" s="358">
        <f t="shared" si="17"/>
        <v>0</v>
      </c>
      <c r="AI217" s="1084"/>
      <c r="AJ217" s="1044"/>
      <c r="AK217" s="1044"/>
      <c r="AL217" s="1044"/>
      <c r="AM217" s="1044"/>
      <c r="AN217" s="1328"/>
      <c r="AO217" s="1329"/>
      <c r="AP217" s="1329"/>
      <c r="AQ217" s="1329"/>
    </row>
    <row r="218" spans="1:43" s="6" customFormat="1">
      <c r="A218" s="1143"/>
      <c r="B218" s="1121"/>
      <c r="C218" s="1143"/>
      <c r="D218" s="1143"/>
      <c r="E218" s="1193"/>
      <c r="F218" s="1193"/>
      <c r="G218" s="1143"/>
      <c r="H218" s="1143"/>
      <c r="I218" s="1143"/>
      <c r="J218" s="1143"/>
      <c r="K218" s="1143"/>
      <c r="L218" s="1143"/>
      <c r="M218" s="1287"/>
      <c r="N218" s="1157" t="s">
        <v>7</v>
      </c>
      <c r="O218" s="1043">
        <v>1560000</v>
      </c>
      <c r="P218" s="1044"/>
      <c r="Q218" s="1044"/>
      <c r="R218" s="1121"/>
      <c r="S218" s="412"/>
      <c r="T218" s="358"/>
      <c r="U218" s="358"/>
      <c r="V218" s="1043">
        <v>1560000</v>
      </c>
      <c r="W218" s="1044"/>
      <c r="X218" s="1143"/>
      <c r="Y218" s="1254"/>
      <c r="Z218" s="358">
        <v>1404000</v>
      </c>
      <c r="AA218" s="358">
        <v>-561600</v>
      </c>
      <c r="AB218" s="358">
        <f t="shared" si="16"/>
        <v>842400</v>
      </c>
      <c r="AC218" s="1253"/>
      <c r="AD218" s="395">
        <v>842400</v>
      </c>
      <c r="AE218" s="395" t="s">
        <v>7</v>
      </c>
      <c r="AF218" s="1044"/>
      <c r="AG218" s="1084"/>
      <c r="AH218" s="358">
        <f t="shared" si="17"/>
        <v>0</v>
      </c>
      <c r="AI218" s="1043">
        <f>O218-AD218</f>
        <v>717600</v>
      </c>
      <c r="AJ218" s="1044"/>
      <c r="AK218" s="1044"/>
      <c r="AL218" s="1044"/>
      <c r="AM218" s="1044"/>
      <c r="AN218" s="1328"/>
      <c r="AO218" s="1329"/>
      <c r="AP218" s="1329"/>
      <c r="AQ218" s="1329"/>
    </row>
    <row r="219" spans="1:43" s="6" customFormat="1">
      <c r="A219" s="1143"/>
      <c r="B219" s="1121"/>
      <c r="C219" s="1143"/>
      <c r="D219" s="1143"/>
      <c r="E219" s="1193"/>
      <c r="F219" s="1193"/>
      <c r="G219" s="1143"/>
      <c r="H219" s="1143"/>
      <c r="I219" s="1143"/>
      <c r="J219" s="1143"/>
      <c r="K219" s="1143"/>
      <c r="L219" s="1143"/>
      <c r="M219" s="1288"/>
      <c r="N219" s="1159"/>
      <c r="O219" s="1045"/>
      <c r="P219" s="1045"/>
      <c r="Q219" s="1044"/>
      <c r="R219" s="1160"/>
      <c r="S219" s="412"/>
      <c r="T219" s="358"/>
      <c r="U219" s="358"/>
      <c r="V219" s="1045"/>
      <c r="W219" s="1044"/>
      <c r="X219" s="1143"/>
      <c r="Y219" s="407"/>
      <c r="Z219" s="358">
        <v>260000</v>
      </c>
      <c r="AA219" s="358">
        <v>-104000</v>
      </c>
      <c r="AB219" s="358">
        <f t="shared" si="16"/>
        <v>156000</v>
      </c>
      <c r="AC219" s="410"/>
      <c r="AD219" s="395">
        <v>0</v>
      </c>
      <c r="AE219" s="395"/>
      <c r="AF219" s="1045"/>
      <c r="AG219" s="1084"/>
      <c r="AH219" s="358">
        <f t="shared" si="17"/>
        <v>156000</v>
      </c>
      <c r="AI219" s="1045"/>
      <c r="AJ219" s="1045"/>
      <c r="AK219" s="1045"/>
      <c r="AL219" s="1045"/>
      <c r="AM219" s="1045"/>
      <c r="AN219" s="1328"/>
      <c r="AO219" s="1329"/>
      <c r="AP219" s="1329"/>
      <c r="AQ219" s="1329"/>
    </row>
    <row r="220" spans="1:43" s="6" customFormat="1" ht="31.5">
      <c r="A220" s="1143"/>
      <c r="B220" s="1121"/>
      <c r="C220" s="1143"/>
      <c r="D220" s="1143"/>
      <c r="E220" s="1193"/>
      <c r="F220" s="1193"/>
      <c r="G220" s="1143"/>
      <c r="H220" s="1143"/>
      <c r="I220" s="1143"/>
      <c r="J220" s="1143"/>
      <c r="K220" s="1143"/>
      <c r="L220" s="1143"/>
      <c r="M220" s="1286">
        <v>63</v>
      </c>
      <c r="N220" s="1326" t="s">
        <v>137</v>
      </c>
      <c r="O220" s="1084">
        <v>1592000</v>
      </c>
      <c r="P220" s="1043">
        <f>O220+O222</f>
        <v>3980000</v>
      </c>
      <c r="Q220" s="1044"/>
      <c r="R220" s="1120">
        <v>40413</v>
      </c>
      <c r="S220" s="412"/>
      <c r="T220" s="358"/>
      <c r="U220" s="358"/>
      <c r="V220" s="1084">
        <v>1592000</v>
      </c>
      <c r="W220" s="1044"/>
      <c r="X220" s="1143"/>
      <c r="Y220" s="407" t="s">
        <v>399</v>
      </c>
      <c r="Z220" s="358">
        <v>0</v>
      </c>
      <c r="AA220" s="358">
        <v>1592000</v>
      </c>
      <c r="AB220" s="358">
        <f t="shared" si="16"/>
        <v>1592000</v>
      </c>
      <c r="AC220" s="410">
        <v>40438</v>
      </c>
      <c r="AD220" s="395">
        <v>1592000</v>
      </c>
      <c r="AE220" s="395" t="s">
        <v>137</v>
      </c>
      <c r="AF220" s="1043">
        <f>SUM(AD220:AD223)</f>
        <v>3741200</v>
      </c>
      <c r="AG220" s="1084"/>
      <c r="AH220" s="358">
        <f t="shared" si="17"/>
        <v>0</v>
      </c>
      <c r="AI220" s="1084">
        <f>O220-AD220-AD221</f>
        <v>-859680.5</v>
      </c>
      <c r="AJ220" s="1043">
        <f>SUM(Z220:Z223)-SUM(AD220:AD223)</f>
        <v>238800</v>
      </c>
      <c r="AK220" s="1043">
        <f>SUM(O220:O223)-SUM(V220:V223)</f>
        <v>0</v>
      </c>
      <c r="AL220" s="1043">
        <f>SUM(V220:V223)-SUM(Z220:Z223)</f>
        <v>0</v>
      </c>
      <c r="AM220" s="1043">
        <f>AK220+AL220</f>
        <v>0</v>
      </c>
      <c r="AN220" s="1328"/>
      <c r="AO220" s="1329"/>
      <c r="AP220" s="1329"/>
      <c r="AQ220" s="1329"/>
    </row>
    <row r="221" spans="1:43" s="6" customFormat="1" ht="31.5">
      <c r="A221" s="1143"/>
      <c r="B221" s="1121"/>
      <c r="C221" s="1143"/>
      <c r="D221" s="1143"/>
      <c r="E221" s="1193"/>
      <c r="F221" s="1193"/>
      <c r="G221" s="1143"/>
      <c r="H221" s="1143"/>
      <c r="I221" s="1143"/>
      <c r="J221" s="1143"/>
      <c r="K221" s="1143"/>
      <c r="L221" s="1143"/>
      <c r="M221" s="1287"/>
      <c r="N221" s="1326"/>
      <c r="O221" s="1084"/>
      <c r="P221" s="1044"/>
      <c r="Q221" s="1044"/>
      <c r="R221" s="1121"/>
      <c r="S221" s="412"/>
      <c r="T221" s="358"/>
      <c r="U221" s="358"/>
      <c r="V221" s="1084"/>
      <c r="W221" s="1044"/>
      <c r="X221" s="1143"/>
      <c r="Y221" s="1254" t="s">
        <v>402</v>
      </c>
      <c r="Z221" s="358">
        <v>1432800</v>
      </c>
      <c r="AA221" s="358">
        <v>-573120</v>
      </c>
      <c r="AB221" s="358">
        <f t="shared" si="16"/>
        <v>859680</v>
      </c>
      <c r="AC221" s="1253">
        <v>40835</v>
      </c>
      <c r="AD221" s="395">
        <v>859680.5</v>
      </c>
      <c r="AE221" s="395" t="s">
        <v>137</v>
      </c>
      <c r="AF221" s="1044"/>
      <c r="AG221" s="1084"/>
      <c r="AH221" s="358">
        <f t="shared" si="17"/>
        <v>-0.5</v>
      </c>
      <c r="AI221" s="1084"/>
      <c r="AJ221" s="1044"/>
      <c r="AK221" s="1044"/>
      <c r="AL221" s="1044"/>
      <c r="AM221" s="1044"/>
      <c r="AN221" s="1328"/>
      <c r="AO221" s="1329"/>
      <c r="AP221" s="1329"/>
      <c r="AQ221" s="1329"/>
    </row>
    <row r="222" spans="1:43" s="6" customFormat="1">
      <c r="A222" s="1143"/>
      <c r="B222" s="1121"/>
      <c r="C222" s="1143"/>
      <c r="D222" s="1143"/>
      <c r="E222" s="1193"/>
      <c r="F222" s="1193"/>
      <c r="G222" s="1143"/>
      <c r="H222" s="1143"/>
      <c r="I222" s="1143"/>
      <c r="J222" s="1143"/>
      <c r="K222" s="1143"/>
      <c r="L222" s="1143"/>
      <c r="M222" s="1287"/>
      <c r="N222" s="1157" t="s">
        <v>7</v>
      </c>
      <c r="O222" s="1043">
        <v>2388000</v>
      </c>
      <c r="P222" s="1044"/>
      <c r="Q222" s="1044"/>
      <c r="R222" s="1121"/>
      <c r="S222" s="412"/>
      <c r="T222" s="358"/>
      <c r="U222" s="358"/>
      <c r="V222" s="1043">
        <v>2388000</v>
      </c>
      <c r="W222" s="1044"/>
      <c r="X222" s="1143"/>
      <c r="Y222" s="1254"/>
      <c r="Z222" s="358">
        <v>2149200</v>
      </c>
      <c r="AA222" s="358">
        <v>-859680</v>
      </c>
      <c r="AB222" s="358">
        <f t="shared" si="16"/>
        <v>1289520</v>
      </c>
      <c r="AC222" s="1253"/>
      <c r="AD222" s="395">
        <v>1289519.5</v>
      </c>
      <c r="AE222" s="395" t="s">
        <v>7</v>
      </c>
      <c r="AF222" s="1044"/>
      <c r="AG222" s="1084"/>
      <c r="AH222" s="358">
        <f t="shared" si="17"/>
        <v>0.5</v>
      </c>
      <c r="AI222" s="1043">
        <f>O222-AD222</f>
        <v>1098480.5</v>
      </c>
      <c r="AJ222" s="1044"/>
      <c r="AK222" s="1044"/>
      <c r="AL222" s="1044"/>
      <c r="AM222" s="1044"/>
      <c r="AN222" s="1328"/>
      <c r="AO222" s="1329"/>
      <c r="AP222" s="1329"/>
      <c r="AQ222" s="1329"/>
    </row>
    <row r="223" spans="1:43" s="6" customFormat="1">
      <c r="A223" s="1143"/>
      <c r="B223" s="1121"/>
      <c r="C223" s="1144"/>
      <c r="D223" s="1143"/>
      <c r="E223" s="1193"/>
      <c r="F223" s="1193"/>
      <c r="G223" s="1143"/>
      <c r="H223" s="1143"/>
      <c r="I223" s="1143"/>
      <c r="J223" s="1143"/>
      <c r="K223" s="1143"/>
      <c r="L223" s="1143"/>
      <c r="M223" s="1288"/>
      <c r="N223" s="1159"/>
      <c r="O223" s="1045"/>
      <c r="P223" s="1045"/>
      <c r="Q223" s="1044"/>
      <c r="R223" s="1160"/>
      <c r="S223" s="412"/>
      <c r="T223" s="358"/>
      <c r="U223" s="358"/>
      <c r="V223" s="1045"/>
      <c r="W223" s="1044"/>
      <c r="X223" s="1143"/>
      <c r="Y223" s="407"/>
      <c r="Z223" s="358">
        <v>398000</v>
      </c>
      <c r="AA223" s="358">
        <v>-159200</v>
      </c>
      <c r="AB223" s="358">
        <f t="shared" si="16"/>
        <v>238800</v>
      </c>
      <c r="AC223" s="410"/>
      <c r="AD223" s="395">
        <v>0</v>
      </c>
      <c r="AE223" s="395"/>
      <c r="AF223" s="1045"/>
      <c r="AG223" s="1084"/>
      <c r="AH223" s="358">
        <f t="shared" si="17"/>
        <v>238800</v>
      </c>
      <c r="AI223" s="1045"/>
      <c r="AJ223" s="1045"/>
      <c r="AK223" s="1045"/>
      <c r="AL223" s="1045"/>
      <c r="AM223" s="1045"/>
      <c r="AN223" s="1328"/>
      <c r="AO223" s="1329"/>
      <c r="AP223" s="1329"/>
      <c r="AQ223" s="1329"/>
    </row>
    <row r="224" spans="1:43" s="6" customFormat="1" ht="31.5">
      <c r="A224" s="1143"/>
      <c r="B224" s="1121"/>
      <c r="C224" s="1142" t="s">
        <v>17</v>
      </c>
      <c r="D224" s="1143"/>
      <c r="E224" s="1193"/>
      <c r="F224" s="1193"/>
      <c r="G224" s="1143"/>
      <c r="H224" s="1143"/>
      <c r="I224" s="1143"/>
      <c r="J224" s="1143"/>
      <c r="K224" s="1143"/>
      <c r="L224" s="1143"/>
      <c r="M224" s="1286">
        <v>64</v>
      </c>
      <c r="N224" s="1326" t="s">
        <v>137</v>
      </c>
      <c r="O224" s="1084">
        <v>1655172.4</v>
      </c>
      <c r="P224" s="1043">
        <f>O224+O226</f>
        <v>4137931</v>
      </c>
      <c r="Q224" s="1044"/>
      <c r="R224" s="1120">
        <v>40413</v>
      </c>
      <c r="S224" s="412"/>
      <c r="T224" s="358"/>
      <c r="U224" s="358"/>
      <c r="V224" s="1084">
        <v>1655172.4</v>
      </c>
      <c r="W224" s="1044"/>
      <c r="X224" s="1143"/>
      <c r="Y224" s="407" t="s">
        <v>400</v>
      </c>
      <c r="Z224" s="358">
        <v>0</v>
      </c>
      <c r="AA224" s="358">
        <v>1655172</v>
      </c>
      <c r="AB224" s="358">
        <f t="shared" si="16"/>
        <v>1655172</v>
      </c>
      <c r="AC224" s="410">
        <v>40438</v>
      </c>
      <c r="AD224" s="395">
        <v>1655173</v>
      </c>
      <c r="AE224" s="395" t="s">
        <v>137</v>
      </c>
      <c r="AF224" s="1043">
        <f>SUM(AD224:AD227)</f>
        <v>3889656</v>
      </c>
      <c r="AG224" s="1084"/>
      <c r="AH224" s="358">
        <f t="shared" si="17"/>
        <v>-1</v>
      </c>
      <c r="AI224" s="1084">
        <f>O224-AD224-AD225</f>
        <v>-893793.54</v>
      </c>
      <c r="AJ224" s="1043">
        <f>SUM(Z224:Z227)-SUM(AD224:AD227)</f>
        <v>248275</v>
      </c>
      <c r="AK224" s="1043">
        <f>SUM(O224:O227)-SUM(V224:V227)</f>
        <v>0</v>
      </c>
      <c r="AL224" s="1043">
        <f>SUM(V224:V227)-SUM(Z224:Z227)</f>
        <v>0</v>
      </c>
      <c r="AM224" s="1043">
        <f>AK224+AL224</f>
        <v>0</v>
      </c>
      <c r="AN224" s="1328"/>
      <c r="AO224" s="1329"/>
      <c r="AP224" s="1329"/>
      <c r="AQ224" s="1329"/>
    </row>
    <row r="225" spans="1:43" s="6" customFormat="1" ht="26.25" customHeight="1">
      <c r="A225" s="1143"/>
      <c r="B225" s="1121"/>
      <c r="C225" s="1143"/>
      <c r="D225" s="1143"/>
      <c r="E225" s="1193"/>
      <c r="F225" s="1193"/>
      <c r="G225" s="1143"/>
      <c r="H225" s="1143"/>
      <c r="I225" s="1143"/>
      <c r="J225" s="1143"/>
      <c r="K225" s="1143"/>
      <c r="L225" s="1143"/>
      <c r="M225" s="1287"/>
      <c r="N225" s="1326"/>
      <c r="O225" s="1084"/>
      <c r="P225" s="1044"/>
      <c r="Q225" s="1044"/>
      <c r="R225" s="1121"/>
      <c r="S225" s="412"/>
      <c r="T225" s="358"/>
      <c r="U225" s="358"/>
      <c r="V225" s="1084"/>
      <c r="W225" s="1044"/>
      <c r="X225" s="1143"/>
      <c r="Y225" s="1254" t="s">
        <v>405</v>
      </c>
      <c r="Z225" s="358">
        <v>1489655</v>
      </c>
      <c r="AA225" s="358">
        <v>-595862</v>
      </c>
      <c r="AB225" s="358">
        <f t="shared" si="16"/>
        <v>893793</v>
      </c>
      <c r="AC225" s="1253">
        <v>40835</v>
      </c>
      <c r="AD225" s="395">
        <v>893792.94</v>
      </c>
      <c r="AE225" s="395" t="s">
        <v>137</v>
      </c>
      <c r="AF225" s="1044"/>
      <c r="AG225" s="1084"/>
      <c r="AH225" s="358">
        <f t="shared" si="17"/>
        <v>6.0000000055879354E-2</v>
      </c>
      <c r="AI225" s="1084"/>
      <c r="AJ225" s="1044"/>
      <c r="AK225" s="1044"/>
      <c r="AL225" s="1044"/>
      <c r="AM225" s="1044"/>
      <c r="AN225" s="1328"/>
      <c r="AO225" s="1329"/>
      <c r="AP225" s="1329"/>
      <c r="AQ225" s="1329"/>
    </row>
    <row r="226" spans="1:43" s="6" customFormat="1" ht="25.5" customHeight="1">
      <c r="A226" s="1143"/>
      <c r="B226" s="1121"/>
      <c r="C226" s="1143"/>
      <c r="D226" s="1143"/>
      <c r="E226" s="1193"/>
      <c r="F226" s="1193"/>
      <c r="G226" s="1143"/>
      <c r="H226" s="1143"/>
      <c r="I226" s="1143"/>
      <c r="J226" s="1143"/>
      <c r="K226" s="1143"/>
      <c r="L226" s="1143"/>
      <c r="M226" s="1287"/>
      <c r="N226" s="1157" t="s">
        <v>7</v>
      </c>
      <c r="O226" s="1043">
        <v>2482758.6</v>
      </c>
      <c r="P226" s="1044"/>
      <c r="Q226" s="1044"/>
      <c r="R226" s="1121"/>
      <c r="S226" s="412"/>
      <c r="T226" s="358"/>
      <c r="U226" s="358"/>
      <c r="V226" s="1043">
        <v>2482758.6</v>
      </c>
      <c r="W226" s="1044"/>
      <c r="X226" s="1143"/>
      <c r="Y226" s="1254"/>
      <c r="Z226" s="358">
        <v>2234483</v>
      </c>
      <c r="AA226" s="358">
        <v>-893793</v>
      </c>
      <c r="AB226" s="358">
        <f t="shared" si="16"/>
        <v>1340690</v>
      </c>
      <c r="AC226" s="1253"/>
      <c r="AD226" s="395">
        <v>1340690.06</v>
      </c>
      <c r="AE226" s="395" t="s">
        <v>7</v>
      </c>
      <c r="AF226" s="1044"/>
      <c r="AG226" s="1084"/>
      <c r="AH226" s="358">
        <f t="shared" si="17"/>
        <v>-6.0000000055879354E-2</v>
      </c>
      <c r="AI226" s="1043">
        <f>O226-AD226</f>
        <v>1142068.54</v>
      </c>
      <c r="AJ226" s="1044"/>
      <c r="AK226" s="1044"/>
      <c r="AL226" s="1044"/>
      <c r="AM226" s="1044"/>
      <c r="AN226" s="1328"/>
      <c r="AO226" s="1329"/>
      <c r="AP226" s="1329"/>
      <c r="AQ226" s="1329"/>
    </row>
    <row r="227" spans="1:43" s="6" customFormat="1" ht="25.5" customHeight="1">
      <c r="A227" s="1143"/>
      <c r="B227" s="1121"/>
      <c r="C227" s="1144"/>
      <c r="D227" s="1143"/>
      <c r="E227" s="1193"/>
      <c r="F227" s="1193"/>
      <c r="G227" s="1143"/>
      <c r="H227" s="1143"/>
      <c r="I227" s="1143"/>
      <c r="J227" s="1144"/>
      <c r="K227" s="1143"/>
      <c r="L227" s="1143"/>
      <c r="M227" s="1288"/>
      <c r="N227" s="1159"/>
      <c r="O227" s="1045"/>
      <c r="P227" s="1045"/>
      <c r="Q227" s="1044"/>
      <c r="R227" s="1160"/>
      <c r="S227" s="412"/>
      <c r="T227" s="358"/>
      <c r="U227" s="358"/>
      <c r="V227" s="1045"/>
      <c r="W227" s="1044"/>
      <c r="X227" s="1143"/>
      <c r="Y227" s="407"/>
      <c r="Z227" s="358">
        <v>413793</v>
      </c>
      <c r="AA227" s="358">
        <v>-165517</v>
      </c>
      <c r="AB227" s="358">
        <f t="shared" si="16"/>
        <v>248276</v>
      </c>
      <c r="AC227" s="410"/>
      <c r="AD227" s="395">
        <v>0</v>
      </c>
      <c r="AE227" s="395"/>
      <c r="AF227" s="1045"/>
      <c r="AG227" s="1084"/>
      <c r="AH227" s="358">
        <f t="shared" si="17"/>
        <v>248276</v>
      </c>
      <c r="AI227" s="1045"/>
      <c r="AJ227" s="1045"/>
      <c r="AK227" s="1045"/>
      <c r="AL227" s="1045"/>
      <c r="AM227" s="1045"/>
      <c r="AN227" s="1328"/>
      <c r="AO227" s="1329"/>
      <c r="AP227" s="1329"/>
      <c r="AQ227" s="1329"/>
    </row>
    <row r="228" spans="1:43" s="6" customFormat="1">
      <c r="A228" s="1143"/>
      <c r="B228" s="1121"/>
      <c r="C228" s="379" t="s">
        <v>41</v>
      </c>
      <c r="D228" s="1143"/>
      <c r="E228" s="1193"/>
      <c r="F228" s="1193"/>
      <c r="G228" s="1143"/>
      <c r="H228" s="1143"/>
      <c r="I228" s="1143"/>
      <c r="J228" s="379" t="s">
        <v>67</v>
      </c>
      <c r="K228" s="1143"/>
      <c r="L228" s="1143"/>
      <c r="M228" s="420">
        <v>196</v>
      </c>
      <c r="N228" s="380" t="s">
        <v>7</v>
      </c>
      <c r="O228" s="373">
        <v>1924000</v>
      </c>
      <c r="P228" s="373">
        <f>O228</f>
        <v>1924000</v>
      </c>
      <c r="Q228" s="1044"/>
      <c r="R228" s="381">
        <v>40779</v>
      </c>
      <c r="S228" s="412"/>
      <c r="T228" s="358"/>
      <c r="U228" s="358"/>
      <c r="V228" s="373">
        <v>1924440</v>
      </c>
      <c r="W228" s="1044"/>
      <c r="X228" s="1143"/>
      <c r="Y228" s="407"/>
      <c r="Z228" s="358">
        <v>1924440</v>
      </c>
      <c r="AA228" s="358">
        <v>0</v>
      </c>
      <c r="AB228" s="358">
        <f t="shared" si="16"/>
        <v>1924440</v>
      </c>
      <c r="AC228" s="410"/>
      <c r="AD228" s="395">
        <v>0</v>
      </c>
      <c r="AE228" s="395"/>
      <c r="AF228" s="373">
        <f>AD228</f>
        <v>0</v>
      </c>
      <c r="AG228" s="1084"/>
      <c r="AH228" s="358">
        <f t="shared" si="17"/>
        <v>1924440</v>
      </c>
      <c r="AI228" s="358"/>
      <c r="AJ228" s="358">
        <f>Z228-AD228</f>
        <v>1924440</v>
      </c>
      <c r="AK228" s="358">
        <f>O228-V228</f>
        <v>-440</v>
      </c>
      <c r="AL228" s="358">
        <f>V228-Z228</f>
        <v>0</v>
      </c>
      <c r="AM228" s="358">
        <v>0</v>
      </c>
      <c r="AN228" s="1328"/>
      <c r="AO228" s="1329"/>
      <c r="AP228" s="1329"/>
      <c r="AQ228" s="1329"/>
    </row>
    <row r="229" spans="1:43" s="6" customFormat="1" ht="31.5">
      <c r="A229" s="1143"/>
      <c r="B229" s="1121"/>
      <c r="C229" s="393" t="s">
        <v>41</v>
      </c>
      <c r="D229" s="1143"/>
      <c r="E229" s="1193"/>
      <c r="F229" s="1193"/>
      <c r="G229" s="1143"/>
      <c r="H229" s="1143"/>
      <c r="I229" s="1143"/>
      <c r="J229" s="1142" t="s">
        <v>171</v>
      </c>
      <c r="K229" s="1143"/>
      <c r="L229" s="1143"/>
      <c r="M229" s="1286">
        <v>174</v>
      </c>
      <c r="N229" s="1157" t="s">
        <v>7</v>
      </c>
      <c r="O229" s="358">
        <v>1392000</v>
      </c>
      <c r="P229" s="358">
        <f>O229</f>
        <v>1392000</v>
      </c>
      <c r="Q229" s="1044"/>
      <c r="R229" s="1120"/>
      <c r="S229" s="412"/>
      <c r="T229" s="358"/>
      <c r="U229" s="358"/>
      <c r="V229" s="358">
        <v>1392000</v>
      </c>
      <c r="W229" s="1044"/>
      <c r="X229" s="1143"/>
      <c r="Y229" s="407" t="s">
        <v>406</v>
      </c>
      <c r="Z229" s="358">
        <v>1731996</v>
      </c>
      <c r="AA229" s="358">
        <v>0</v>
      </c>
      <c r="AB229" s="358">
        <f t="shared" si="16"/>
        <v>1731996</v>
      </c>
      <c r="AC229" s="410">
        <v>41093</v>
      </c>
      <c r="AD229" s="395">
        <v>1731996</v>
      </c>
      <c r="AE229" s="395" t="s">
        <v>7</v>
      </c>
      <c r="AF229" s="1084">
        <f>SUM(AD229:AD231)</f>
        <v>4874796</v>
      </c>
      <c r="AG229" s="1084"/>
      <c r="AH229" s="358">
        <f t="shared" si="17"/>
        <v>0</v>
      </c>
      <c r="AI229" s="1043"/>
      <c r="AJ229" s="1084">
        <f>SUM(Z229:Z231)-SUM(AD229:AD231)</f>
        <v>0</v>
      </c>
      <c r="AK229" s="1084">
        <f>SUM(O229:O231)-SUM(V229:V231)</f>
        <v>0</v>
      </c>
      <c r="AL229" s="1084">
        <v>0</v>
      </c>
      <c r="AM229" s="1084">
        <f>AK229+AL229</f>
        <v>0</v>
      </c>
      <c r="AN229" s="1328"/>
      <c r="AO229" s="1329"/>
      <c r="AP229" s="1329"/>
      <c r="AQ229" s="1329"/>
    </row>
    <row r="230" spans="1:43" s="6" customFormat="1" ht="47.25">
      <c r="A230" s="1143"/>
      <c r="B230" s="1121"/>
      <c r="C230" s="393" t="s">
        <v>17</v>
      </c>
      <c r="D230" s="1143"/>
      <c r="E230" s="1193"/>
      <c r="F230" s="1193"/>
      <c r="G230" s="1143"/>
      <c r="H230" s="1143"/>
      <c r="I230" s="1143"/>
      <c r="J230" s="1144"/>
      <c r="K230" s="1143"/>
      <c r="L230" s="1143"/>
      <c r="M230" s="1287"/>
      <c r="N230" s="1158"/>
      <c r="O230" s="1043">
        <v>2100000</v>
      </c>
      <c r="P230" s="1043">
        <f>O230</f>
        <v>2100000</v>
      </c>
      <c r="Q230" s="1044"/>
      <c r="R230" s="1121"/>
      <c r="S230" s="412"/>
      <c r="T230" s="358"/>
      <c r="U230" s="358"/>
      <c r="V230" s="1043">
        <v>2100000</v>
      </c>
      <c r="W230" s="1044"/>
      <c r="X230" s="1143"/>
      <c r="Y230" s="407" t="s">
        <v>407</v>
      </c>
      <c r="Z230" s="358">
        <v>1890000</v>
      </c>
      <c r="AA230" s="358">
        <v>0</v>
      </c>
      <c r="AB230" s="358">
        <f t="shared" si="16"/>
        <v>1890000</v>
      </c>
      <c r="AC230" s="410">
        <v>41093</v>
      </c>
      <c r="AD230" s="395">
        <v>1890000</v>
      </c>
      <c r="AE230" s="395" t="s">
        <v>7</v>
      </c>
      <c r="AF230" s="1084"/>
      <c r="AG230" s="1084"/>
      <c r="AH230" s="358">
        <f t="shared" si="17"/>
        <v>0</v>
      </c>
      <c r="AI230" s="1044"/>
      <c r="AJ230" s="1084"/>
      <c r="AK230" s="1084"/>
      <c r="AL230" s="1084"/>
      <c r="AM230" s="1084"/>
      <c r="AN230" s="1328"/>
      <c r="AO230" s="1329"/>
      <c r="AP230" s="1329"/>
      <c r="AQ230" s="1329"/>
    </row>
    <row r="231" spans="1:43" s="6" customFormat="1" ht="31.5">
      <c r="A231" s="1143"/>
      <c r="B231" s="1121"/>
      <c r="C231" s="379" t="s">
        <v>25</v>
      </c>
      <c r="D231" s="1143"/>
      <c r="E231" s="1193"/>
      <c r="F231" s="1193"/>
      <c r="G231" s="1143"/>
      <c r="H231" s="1143"/>
      <c r="I231" s="1143"/>
      <c r="J231" s="379" t="s">
        <v>172</v>
      </c>
      <c r="K231" s="1143"/>
      <c r="L231" s="1143"/>
      <c r="M231" s="1287"/>
      <c r="N231" s="1158"/>
      <c r="O231" s="1044"/>
      <c r="P231" s="1044"/>
      <c r="Q231" s="1044"/>
      <c r="R231" s="1121"/>
      <c r="S231" s="412"/>
      <c r="T231" s="358"/>
      <c r="U231" s="358"/>
      <c r="V231" s="1044"/>
      <c r="W231" s="1044"/>
      <c r="X231" s="1143"/>
      <c r="Y231" s="407" t="s">
        <v>408</v>
      </c>
      <c r="Z231" s="358">
        <v>1252800</v>
      </c>
      <c r="AA231" s="358">
        <v>0</v>
      </c>
      <c r="AB231" s="358">
        <f t="shared" si="16"/>
        <v>1252800</v>
      </c>
      <c r="AC231" s="410">
        <v>41093</v>
      </c>
      <c r="AD231" s="395">
        <v>1252800</v>
      </c>
      <c r="AE231" s="395" t="s">
        <v>7</v>
      </c>
      <c r="AF231" s="1084"/>
      <c r="AG231" s="1084"/>
      <c r="AH231" s="358">
        <f t="shared" si="17"/>
        <v>0</v>
      </c>
      <c r="AI231" s="1045"/>
      <c r="AJ231" s="1084"/>
      <c r="AK231" s="1084"/>
      <c r="AL231" s="1084"/>
      <c r="AM231" s="1084"/>
      <c r="AN231" s="1328"/>
      <c r="AO231" s="1329"/>
      <c r="AP231" s="1329"/>
      <c r="AQ231" s="1329"/>
    </row>
    <row r="232" spans="1:43" s="4" customFormat="1" ht="31.5" customHeight="1">
      <c r="A232" s="1076" t="s">
        <v>413</v>
      </c>
      <c r="B232" s="1171">
        <v>40301</v>
      </c>
      <c r="C232" s="1076" t="s">
        <v>34</v>
      </c>
      <c r="D232" s="1076" t="s">
        <v>414</v>
      </c>
      <c r="E232" s="1252">
        <v>4742764</v>
      </c>
      <c r="F232" s="1252"/>
      <c r="G232" s="1076" t="s">
        <v>415</v>
      </c>
      <c r="H232" s="1076" t="s">
        <v>70</v>
      </c>
      <c r="I232" s="1076" t="s">
        <v>177</v>
      </c>
      <c r="J232" s="1076" t="s">
        <v>66</v>
      </c>
      <c r="K232" s="1076" t="s">
        <v>49</v>
      </c>
      <c r="L232" s="1076" t="s">
        <v>421</v>
      </c>
      <c r="M232" s="1245">
        <v>52</v>
      </c>
      <c r="N232" s="1282" t="s">
        <v>137</v>
      </c>
      <c r="O232" s="1119">
        <v>1584000</v>
      </c>
      <c r="P232" s="1119">
        <f>O232+O234</f>
        <v>3960000</v>
      </c>
      <c r="Q232" s="1119">
        <f>P232+P235+P238+P241+P244+P247+P250</f>
        <v>19857878</v>
      </c>
      <c r="R232" s="1171">
        <v>40413</v>
      </c>
      <c r="S232" s="390"/>
      <c r="T232" s="386"/>
      <c r="U232" s="386"/>
      <c r="V232" s="1119">
        <v>1584000</v>
      </c>
      <c r="W232" s="1119">
        <v>19857878</v>
      </c>
      <c r="X232" s="1076" t="s">
        <v>282</v>
      </c>
      <c r="Y232" s="372" t="s">
        <v>416</v>
      </c>
      <c r="Z232" s="386">
        <v>0</v>
      </c>
      <c r="AA232" s="386">
        <v>1584000</v>
      </c>
      <c r="AB232" s="386">
        <f t="shared" si="16"/>
        <v>1584000</v>
      </c>
      <c r="AC232" s="384">
        <v>40443</v>
      </c>
      <c r="AD232" s="395">
        <v>1584000</v>
      </c>
      <c r="AE232" s="395" t="s">
        <v>137</v>
      </c>
      <c r="AF232" s="1084">
        <f>SUM(AD232:AD234)</f>
        <v>3500816</v>
      </c>
      <c r="AG232" s="1084">
        <f>SUM(AD232:AD250)</f>
        <v>14710237</v>
      </c>
      <c r="AH232" s="358">
        <f t="shared" si="17"/>
        <v>0</v>
      </c>
      <c r="AI232" s="1084">
        <f>O232-AD232-AD233</f>
        <v>-1150090</v>
      </c>
      <c r="AJ232" s="1119">
        <f>SUM(Z232:Z234)-SUM(AD232:AD234)</f>
        <v>1</v>
      </c>
      <c r="AK232" s="1119">
        <f>P232-V232-V234</f>
        <v>0</v>
      </c>
      <c r="AL232" s="1119">
        <f>SUM(V232:V234)-SUM(Z232:Z234)</f>
        <v>459183</v>
      </c>
      <c r="AM232" s="1119"/>
      <c r="AN232" s="1203" t="s">
        <v>418</v>
      </c>
      <c r="AO232" s="1204" t="s">
        <v>790</v>
      </c>
      <c r="AP232" s="1204" t="s">
        <v>194</v>
      </c>
      <c r="AQ232" s="1204" t="s">
        <v>368</v>
      </c>
    </row>
    <row r="233" spans="1:43" s="4" customFormat="1" ht="31.5">
      <c r="A233" s="1076"/>
      <c r="B233" s="1171"/>
      <c r="C233" s="1076"/>
      <c r="D233" s="1076"/>
      <c r="E233" s="1252"/>
      <c r="F233" s="1252"/>
      <c r="G233" s="1076"/>
      <c r="H233" s="1076"/>
      <c r="I233" s="1076"/>
      <c r="J233" s="1076"/>
      <c r="K233" s="1076"/>
      <c r="L233" s="1076"/>
      <c r="M233" s="1245"/>
      <c r="N233" s="1282"/>
      <c r="O233" s="1119"/>
      <c r="P233" s="1119"/>
      <c r="Q233" s="1119"/>
      <c r="R233" s="1171"/>
      <c r="S233" s="390"/>
      <c r="T233" s="386"/>
      <c r="U233" s="386"/>
      <c r="V233" s="1119"/>
      <c r="W233" s="1119"/>
      <c r="X233" s="1076"/>
      <c r="Y233" s="1123" t="s">
        <v>419</v>
      </c>
      <c r="Z233" s="386">
        <v>1400327</v>
      </c>
      <c r="AA233" s="386">
        <v>-250237</v>
      </c>
      <c r="AB233" s="386">
        <f t="shared" si="16"/>
        <v>1150090</v>
      </c>
      <c r="AC233" s="1171">
        <v>41492</v>
      </c>
      <c r="AD233" s="395">
        <v>1150090</v>
      </c>
      <c r="AE233" s="395" t="s">
        <v>137</v>
      </c>
      <c r="AF233" s="1084"/>
      <c r="AG233" s="1084"/>
      <c r="AH233" s="358">
        <f t="shared" si="17"/>
        <v>0</v>
      </c>
      <c r="AI233" s="1084"/>
      <c r="AJ233" s="1119"/>
      <c r="AK233" s="1119"/>
      <c r="AL233" s="1119"/>
      <c r="AM233" s="1119"/>
      <c r="AN233" s="1203"/>
      <c r="AO233" s="1204"/>
      <c r="AP233" s="1204"/>
      <c r="AQ233" s="1204"/>
    </row>
    <row r="234" spans="1:43" s="4" customFormat="1">
      <c r="A234" s="1076"/>
      <c r="B234" s="1171"/>
      <c r="C234" s="1076"/>
      <c r="D234" s="1076"/>
      <c r="E234" s="1252"/>
      <c r="F234" s="1252"/>
      <c r="G234" s="1076"/>
      <c r="H234" s="1076"/>
      <c r="I234" s="1076"/>
      <c r="J234" s="1076"/>
      <c r="K234" s="1076"/>
      <c r="L234" s="1076"/>
      <c r="M234" s="1245"/>
      <c r="N234" s="417" t="s">
        <v>7</v>
      </c>
      <c r="O234" s="386">
        <v>2376000</v>
      </c>
      <c r="P234" s="1119"/>
      <c r="Q234" s="1119"/>
      <c r="R234" s="1171"/>
      <c r="S234" s="390"/>
      <c r="T234" s="386"/>
      <c r="U234" s="386"/>
      <c r="V234" s="386">
        <v>2376000</v>
      </c>
      <c r="W234" s="1119"/>
      <c r="X234" s="1076"/>
      <c r="Y234" s="1123"/>
      <c r="Z234" s="386">
        <v>2100490</v>
      </c>
      <c r="AA234" s="386">
        <v>-1333764</v>
      </c>
      <c r="AB234" s="386">
        <f t="shared" si="16"/>
        <v>766726</v>
      </c>
      <c r="AC234" s="1171"/>
      <c r="AD234" s="395">
        <v>766726</v>
      </c>
      <c r="AE234" s="395" t="s">
        <v>7</v>
      </c>
      <c r="AF234" s="1084"/>
      <c r="AG234" s="1084"/>
      <c r="AH234" s="358">
        <f t="shared" si="17"/>
        <v>0</v>
      </c>
      <c r="AI234" s="358">
        <f>O234-AD234</f>
        <v>1609274</v>
      </c>
      <c r="AJ234" s="1119"/>
      <c r="AK234" s="1119"/>
      <c r="AL234" s="1119"/>
      <c r="AM234" s="1119"/>
      <c r="AN234" s="1203"/>
      <c r="AO234" s="1204"/>
      <c r="AP234" s="1204"/>
      <c r="AQ234" s="1204"/>
    </row>
    <row r="235" spans="1:43" s="4" customFormat="1" ht="47.25">
      <c r="A235" s="1076"/>
      <c r="B235" s="1171"/>
      <c r="C235" s="1076"/>
      <c r="D235" s="1076"/>
      <c r="E235" s="1252"/>
      <c r="F235" s="1252"/>
      <c r="G235" s="1076"/>
      <c r="H235" s="1076"/>
      <c r="I235" s="1076"/>
      <c r="J235" s="1076"/>
      <c r="K235" s="1076"/>
      <c r="L235" s="1076"/>
      <c r="M235" s="1245">
        <v>53</v>
      </c>
      <c r="N235" s="417" t="s">
        <v>137</v>
      </c>
      <c r="O235" s="386">
        <v>992000</v>
      </c>
      <c r="P235" s="1119">
        <f>O235+O236</f>
        <v>2480000</v>
      </c>
      <c r="Q235" s="1119"/>
      <c r="R235" s="1171">
        <v>40413</v>
      </c>
      <c r="S235" s="390"/>
      <c r="T235" s="386"/>
      <c r="U235" s="386"/>
      <c r="V235" s="386">
        <v>992000</v>
      </c>
      <c r="W235" s="1119"/>
      <c r="X235" s="1076"/>
      <c r="Y235" s="372" t="s">
        <v>416</v>
      </c>
      <c r="Z235" s="386">
        <v>0</v>
      </c>
      <c r="AA235" s="386">
        <v>992000</v>
      </c>
      <c r="AB235" s="386">
        <v>992000</v>
      </c>
      <c r="AC235" s="384">
        <v>40443</v>
      </c>
      <c r="AD235" s="395">
        <v>992000</v>
      </c>
      <c r="AE235" s="395" t="s">
        <v>137</v>
      </c>
      <c r="AF235" s="1084">
        <f>SUM(AD235:AD237)</f>
        <v>2192430</v>
      </c>
      <c r="AG235" s="1084"/>
      <c r="AH235" s="358">
        <f t="shared" si="17"/>
        <v>0</v>
      </c>
      <c r="AI235" s="358">
        <f>O235-AD235</f>
        <v>0</v>
      </c>
      <c r="AJ235" s="1119">
        <f>SUM(Z235:Z237)-SUM(AD235:AD237)</f>
        <v>0</v>
      </c>
      <c r="AK235" s="1119">
        <f>P235-V235-V236</f>
        <v>0</v>
      </c>
      <c r="AL235" s="1119">
        <f>SUM(V235:V237)-SUM(Z235:Z237)</f>
        <v>287570</v>
      </c>
      <c r="AM235" s="1119"/>
      <c r="AN235" s="1203"/>
      <c r="AO235" s="1204"/>
      <c r="AP235" s="1204"/>
      <c r="AQ235" s="1204"/>
    </row>
    <row r="236" spans="1:43" s="4" customFormat="1" ht="31.5" customHeight="1">
      <c r="A236" s="1076"/>
      <c r="B236" s="1171"/>
      <c r="C236" s="1076"/>
      <c r="D236" s="1076"/>
      <c r="E236" s="1252"/>
      <c r="F236" s="1252"/>
      <c r="G236" s="1076"/>
      <c r="H236" s="1076"/>
      <c r="I236" s="1076"/>
      <c r="J236" s="1076"/>
      <c r="K236" s="1076"/>
      <c r="L236" s="1076"/>
      <c r="M236" s="1245"/>
      <c r="N236" s="1282" t="s">
        <v>7</v>
      </c>
      <c r="O236" s="1119">
        <v>1488000</v>
      </c>
      <c r="P236" s="1119"/>
      <c r="Q236" s="1119"/>
      <c r="R236" s="1171"/>
      <c r="S236" s="390"/>
      <c r="T236" s="386"/>
      <c r="U236" s="386"/>
      <c r="V236" s="1119">
        <v>1488000</v>
      </c>
      <c r="W236" s="1119"/>
      <c r="X236" s="1076"/>
      <c r="Y236" s="1123" t="s">
        <v>419</v>
      </c>
      <c r="Z236" s="386">
        <v>876972</v>
      </c>
      <c r="AA236" s="386">
        <v>-156714</v>
      </c>
      <c r="AB236" s="386">
        <f t="shared" ref="AB236:AB249" si="18">Z236+AA236</f>
        <v>720258</v>
      </c>
      <c r="AC236" s="1171">
        <v>41492</v>
      </c>
      <c r="AD236" s="395">
        <v>720258</v>
      </c>
      <c r="AE236" s="395" t="s">
        <v>7</v>
      </c>
      <c r="AF236" s="1084"/>
      <c r="AG236" s="1084"/>
      <c r="AH236" s="358">
        <f t="shared" si="17"/>
        <v>0</v>
      </c>
      <c r="AI236" s="1084">
        <f>O236-AD236-AD237</f>
        <v>287570</v>
      </c>
      <c r="AJ236" s="1119"/>
      <c r="AK236" s="1119"/>
      <c r="AL236" s="1119"/>
      <c r="AM236" s="1119"/>
      <c r="AN236" s="1203"/>
      <c r="AO236" s="1204"/>
      <c r="AP236" s="1204"/>
      <c r="AQ236" s="1204"/>
    </row>
    <row r="237" spans="1:43" s="4" customFormat="1">
      <c r="A237" s="1076"/>
      <c r="B237" s="1171"/>
      <c r="C237" s="1076"/>
      <c r="D237" s="1076"/>
      <c r="E237" s="1252"/>
      <c r="F237" s="1252"/>
      <c r="G237" s="1076"/>
      <c r="H237" s="1076"/>
      <c r="I237" s="1076"/>
      <c r="J237" s="1076"/>
      <c r="K237" s="1076"/>
      <c r="L237" s="1076"/>
      <c r="M237" s="1245"/>
      <c r="N237" s="1282"/>
      <c r="O237" s="1119"/>
      <c r="P237" s="1119"/>
      <c r="Q237" s="1119"/>
      <c r="R237" s="1171"/>
      <c r="S237" s="390"/>
      <c r="T237" s="386"/>
      <c r="U237" s="386"/>
      <c r="V237" s="1119"/>
      <c r="W237" s="1119"/>
      <c r="X237" s="1076"/>
      <c r="Y237" s="1123"/>
      <c r="Z237" s="386">
        <v>1315458</v>
      </c>
      <c r="AA237" s="386">
        <v>-835286</v>
      </c>
      <c r="AB237" s="386">
        <f t="shared" si="18"/>
        <v>480172</v>
      </c>
      <c r="AC237" s="1171"/>
      <c r="AD237" s="395">
        <v>480172</v>
      </c>
      <c r="AE237" s="395" t="s">
        <v>7</v>
      </c>
      <c r="AF237" s="1084"/>
      <c r="AG237" s="1084"/>
      <c r="AH237" s="358">
        <f t="shared" si="17"/>
        <v>0</v>
      </c>
      <c r="AI237" s="1084"/>
      <c r="AJ237" s="1119"/>
      <c r="AK237" s="1119"/>
      <c r="AL237" s="1119"/>
      <c r="AM237" s="1119"/>
      <c r="AN237" s="1203"/>
      <c r="AO237" s="1204"/>
      <c r="AP237" s="1204"/>
      <c r="AQ237" s="1204"/>
    </row>
    <row r="238" spans="1:43" s="4" customFormat="1" ht="31.5">
      <c r="A238" s="1076"/>
      <c r="B238" s="1171"/>
      <c r="C238" s="1076"/>
      <c r="D238" s="1076"/>
      <c r="E238" s="1252"/>
      <c r="F238" s="1252"/>
      <c r="G238" s="1076"/>
      <c r="H238" s="1076"/>
      <c r="I238" s="1076"/>
      <c r="J238" s="1076"/>
      <c r="K238" s="1076"/>
      <c r="L238" s="1076"/>
      <c r="M238" s="1245">
        <v>54</v>
      </c>
      <c r="N238" s="1282" t="s">
        <v>137</v>
      </c>
      <c r="O238" s="1119">
        <v>948000</v>
      </c>
      <c r="P238" s="1119">
        <f>O238+O240</f>
        <v>2370000</v>
      </c>
      <c r="Q238" s="1119"/>
      <c r="R238" s="1171">
        <v>40413</v>
      </c>
      <c r="S238" s="390"/>
      <c r="T238" s="386"/>
      <c r="U238" s="386"/>
      <c r="V238" s="1119">
        <v>948000</v>
      </c>
      <c r="W238" s="1119"/>
      <c r="X238" s="1076"/>
      <c r="Y238" s="372" t="s">
        <v>416</v>
      </c>
      <c r="Z238" s="386">
        <v>0</v>
      </c>
      <c r="AA238" s="386">
        <v>948000</v>
      </c>
      <c r="AB238" s="386">
        <f t="shared" si="18"/>
        <v>948000</v>
      </c>
      <c r="AC238" s="384">
        <v>40443</v>
      </c>
      <c r="AD238" s="395">
        <v>948000</v>
      </c>
      <c r="AE238" s="395" t="s">
        <v>137</v>
      </c>
      <c r="AF238" s="1084">
        <f>SUM(AD238:AD240)</f>
        <v>2095185</v>
      </c>
      <c r="AG238" s="1084"/>
      <c r="AH238" s="358">
        <f t="shared" si="17"/>
        <v>0</v>
      </c>
      <c r="AI238" s="1084">
        <f>O238-AD238-AD239</f>
        <v>-458874</v>
      </c>
      <c r="AJ238" s="1119">
        <f>SUM(Z238:Z240)-SUM(AD238:AD240)</f>
        <v>0</v>
      </c>
      <c r="AK238" s="1119">
        <f>P238-V238-V240</f>
        <v>0</v>
      </c>
      <c r="AL238" s="1119">
        <f>SUM(V238:V240)-SUM(Z238:Z240)</f>
        <v>274815</v>
      </c>
      <c r="AM238" s="1119"/>
      <c r="AN238" s="1203"/>
      <c r="AO238" s="1204"/>
      <c r="AP238" s="1204"/>
      <c r="AQ238" s="1204"/>
    </row>
    <row r="239" spans="1:43" s="4" customFormat="1" ht="31.5">
      <c r="A239" s="1076"/>
      <c r="B239" s="1171"/>
      <c r="C239" s="1076"/>
      <c r="D239" s="1076"/>
      <c r="E239" s="1252"/>
      <c r="F239" s="1252"/>
      <c r="G239" s="1076"/>
      <c r="H239" s="1076"/>
      <c r="I239" s="1076"/>
      <c r="J239" s="1076"/>
      <c r="K239" s="1076"/>
      <c r="L239" s="1076"/>
      <c r="M239" s="1245"/>
      <c r="N239" s="1282"/>
      <c r="O239" s="1119"/>
      <c r="P239" s="1119"/>
      <c r="Q239" s="1119"/>
      <c r="R239" s="1171"/>
      <c r="S239" s="390"/>
      <c r="T239" s="386"/>
      <c r="U239" s="386"/>
      <c r="V239" s="1119"/>
      <c r="W239" s="1119"/>
      <c r="X239" s="1076"/>
      <c r="Y239" s="1123" t="s">
        <v>419</v>
      </c>
      <c r="Z239" s="386">
        <v>838074</v>
      </c>
      <c r="AA239" s="386">
        <v>-379200</v>
      </c>
      <c r="AB239" s="386">
        <f t="shared" si="18"/>
        <v>458874</v>
      </c>
      <c r="AC239" s="1171">
        <v>41492</v>
      </c>
      <c r="AD239" s="395">
        <v>458874</v>
      </c>
      <c r="AE239" s="395" t="s">
        <v>137</v>
      </c>
      <c r="AF239" s="1084"/>
      <c r="AG239" s="1084"/>
      <c r="AH239" s="358">
        <f t="shared" si="17"/>
        <v>0</v>
      </c>
      <c r="AI239" s="1084"/>
      <c r="AJ239" s="1119"/>
      <c r="AK239" s="1119"/>
      <c r="AL239" s="1119"/>
      <c r="AM239" s="1119"/>
      <c r="AN239" s="1203"/>
      <c r="AO239" s="1204"/>
      <c r="AP239" s="1204"/>
      <c r="AQ239" s="1204"/>
    </row>
    <row r="240" spans="1:43" s="4" customFormat="1">
      <c r="A240" s="1076"/>
      <c r="B240" s="1171"/>
      <c r="C240" s="1076"/>
      <c r="D240" s="1076"/>
      <c r="E240" s="1252"/>
      <c r="F240" s="1252"/>
      <c r="G240" s="1076"/>
      <c r="H240" s="1076"/>
      <c r="I240" s="1076"/>
      <c r="J240" s="1076"/>
      <c r="K240" s="1076"/>
      <c r="L240" s="1076"/>
      <c r="M240" s="1245"/>
      <c r="N240" s="417" t="s">
        <v>7</v>
      </c>
      <c r="O240" s="386">
        <v>1422000</v>
      </c>
      <c r="P240" s="1119"/>
      <c r="Q240" s="1119"/>
      <c r="R240" s="1171"/>
      <c r="S240" s="390"/>
      <c r="T240" s="386"/>
      <c r="U240" s="386"/>
      <c r="V240" s="386">
        <v>1422000</v>
      </c>
      <c r="W240" s="1119"/>
      <c r="X240" s="1076"/>
      <c r="Y240" s="1123"/>
      <c r="Z240" s="386">
        <v>1257111</v>
      </c>
      <c r="AA240" s="386">
        <v>-568800</v>
      </c>
      <c r="AB240" s="386">
        <f t="shared" si="18"/>
        <v>688311</v>
      </c>
      <c r="AC240" s="1171"/>
      <c r="AD240" s="395">
        <v>688311</v>
      </c>
      <c r="AE240" s="395" t="s">
        <v>7</v>
      </c>
      <c r="AF240" s="1084"/>
      <c r="AG240" s="1084"/>
      <c r="AH240" s="358">
        <f t="shared" si="17"/>
        <v>0</v>
      </c>
      <c r="AI240" s="358">
        <f>O240-AD240</f>
        <v>733689</v>
      </c>
      <c r="AJ240" s="1119"/>
      <c r="AK240" s="1119"/>
      <c r="AL240" s="1119"/>
      <c r="AM240" s="1119"/>
      <c r="AN240" s="1203"/>
      <c r="AO240" s="1204"/>
      <c r="AP240" s="1204"/>
      <c r="AQ240" s="1204"/>
    </row>
    <row r="241" spans="1:43" s="4" customFormat="1" ht="31.5">
      <c r="A241" s="1076"/>
      <c r="B241" s="1171"/>
      <c r="C241" s="1076" t="s">
        <v>22</v>
      </c>
      <c r="D241" s="1076"/>
      <c r="E241" s="1252"/>
      <c r="F241" s="1252"/>
      <c r="G241" s="1076"/>
      <c r="H241" s="1076"/>
      <c r="I241" s="1076"/>
      <c r="J241" s="1076"/>
      <c r="K241" s="1076"/>
      <c r="L241" s="1076"/>
      <c r="M241" s="1245">
        <v>55</v>
      </c>
      <c r="N241" s="1282" t="s">
        <v>137</v>
      </c>
      <c r="O241" s="1119">
        <v>1976847.2</v>
      </c>
      <c r="P241" s="1119">
        <f>O241+O243</f>
        <v>4942118</v>
      </c>
      <c r="Q241" s="1119"/>
      <c r="R241" s="1171">
        <v>40413</v>
      </c>
      <c r="S241" s="390"/>
      <c r="T241" s="386"/>
      <c r="U241" s="386"/>
      <c r="V241" s="1119">
        <v>1976847.2</v>
      </c>
      <c r="W241" s="1119"/>
      <c r="X241" s="1076"/>
      <c r="Y241" s="372" t="s">
        <v>417</v>
      </c>
      <c r="Z241" s="386">
        <v>0</v>
      </c>
      <c r="AA241" s="386">
        <v>1976847.2000000002</v>
      </c>
      <c r="AB241" s="386">
        <f t="shared" si="18"/>
        <v>1976847.2000000002</v>
      </c>
      <c r="AC241" s="384">
        <v>40443</v>
      </c>
      <c r="AD241" s="395">
        <v>1976847</v>
      </c>
      <c r="AE241" s="395" t="s">
        <v>137</v>
      </c>
      <c r="AF241" s="1084">
        <f>SUM(AD241:AD243)</f>
        <v>3623724</v>
      </c>
      <c r="AG241" s="1084"/>
      <c r="AH241" s="358">
        <f t="shared" si="17"/>
        <v>0.20000000018626451</v>
      </c>
      <c r="AI241" s="1084">
        <f>O241-AD241-AD242</f>
        <v>-658750.80000000005</v>
      </c>
      <c r="AJ241" s="1119">
        <f>SUM(Z241:Z243)-SUM(AD241:AD243)</f>
        <v>0</v>
      </c>
      <c r="AK241" s="1119">
        <f>P241-V241-V243</f>
        <v>0</v>
      </c>
      <c r="AL241" s="1119">
        <f>SUM(V241:V243)-SUM(Z241:Z243)</f>
        <v>1318394</v>
      </c>
      <c r="AM241" s="1119"/>
      <c r="AN241" s="1203"/>
      <c r="AO241" s="1204"/>
      <c r="AP241" s="1204"/>
      <c r="AQ241" s="1204"/>
    </row>
    <row r="242" spans="1:43" s="4" customFormat="1" ht="31.5">
      <c r="A242" s="1076"/>
      <c r="B242" s="1171"/>
      <c r="C242" s="1076"/>
      <c r="D242" s="1076"/>
      <c r="E242" s="1252"/>
      <c r="F242" s="1252"/>
      <c r="G242" s="1076"/>
      <c r="H242" s="1076"/>
      <c r="I242" s="1076"/>
      <c r="J242" s="1076"/>
      <c r="K242" s="1076"/>
      <c r="L242" s="1076"/>
      <c r="M242" s="1245"/>
      <c r="N242" s="1282"/>
      <c r="O242" s="1119"/>
      <c r="P242" s="1119"/>
      <c r="Q242" s="1119"/>
      <c r="R242" s="1171"/>
      <c r="S242" s="390"/>
      <c r="T242" s="386"/>
      <c r="U242" s="386"/>
      <c r="V242" s="1119"/>
      <c r="W242" s="1119"/>
      <c r="X242" s="1076"/>
      <c r="Y242" s="1123" t="s">
        <v>420</v>
      </c>
      <c r="Z242" s="386">
        <v>1449490</v>
      </c>
      <c r="AA242" s="386">
        <v>-790739</v>
      </c>
      <c r="AB242" s="386">
        <f t="shared" si="18"/>
        <v>658751</v>
      </c>
      <c r="AC242" s="384">
        <v>41535</v>
      </c>
      <c r="AD242" s="395">
        <v>658751</v>
      </c>
      <c r="AE242" s="395" t="s">
        <v>137</v>
      </c>
      <c r="AF242" s="1084"/>
      <c r="AG242" s="1084"/>
      <c r="AH242" s="358">
        <f t="shared" si="17"/>
        <v>0</v>
      </c>
      <c r="AI242" s="1084"/>
      <c r="AJ242" s="1119"/>
      <c r="AK242" s="1119"/>
      <c r="AL242" s="1119"/>
      <c r="AM242" s="1119"/>
      <c r="AN242" s="1203"/>
      <c r="AO242" s="1204"/>
      <c r="AP242" s="1204"/>
      <c r="AQ242" s="1204"/>
    </row>
    <row r="243" spans="1:43" s="4" customFormat="1">
      <c r="A243" s="1076"/>
      <c r="B243" s="1171"/>
      <c r="C243" s="1076"/>
      <c r="D243" s="1076"/>
      <c r="E243" s="1252"/>
      <c r="F243" s="1252"/>
      <c r="G243" s="1076"/>
      <c r="H243" s="1076"/>
      <c r="I243" s="1076"/>
      <c r="J243" s="1076"/>
      <c r="K243" s="1076"/>
      <c r="L243" s="1076"/>
      <c r="M243" s="1245"/>
      <c r="N243" s="417" t="s">
        <v>7</v>
      </c>
      <c r="O243" s="386">
        <v>2965270.8</v>
      </c>
      <c r="P243" s="1119"/>
      <c r="Q243" s="1119"/>
      <c r="R243" s="1171"/>
      <c r="S243" s="390"/>
      <c r="T243" s="386"/>
      <c r="U243" s="386"/>
      <c r="V243" s="386">
        <v>2965270.8</v>
      </c>
      <c r="W243" s="1119"/>
      <c r="X243" s="1076"/>
      <c r="Y243" s="1123"/>
      <c r="Z243" s="386">
        <v>2174234</v>
      </c>
      <c r="AA243" s="386">
        <v>-1186108</v>
      </c>
      <c r="AB243" s="386">
        <f t="shared" si="18"/>
        <v>988126</v>
      </c>
      <c r="AC243" s="384">
        <v>41492</v>
      </c>
      <c r="AD243" s="395">
        <v>988126</v>
      </c>
      <c r="AE243" s="395" t="s">
        <v>7</v>
      </c>
      <c r="AF243" s="1084"/>
      <c r="AG243" s="1084"/>
      <c r="AH243" s="358">
        <f t="shared" si="17"/>
        <v>0</v>
      </c>
      <c r="AI243" s="358">
        <f>O243-AD243</f>
        <v>1977144.7999999998</v>
      </c>
      <c r="AJ243" s="1119"/>
      <c r="AK243" s="1119"/>
      <c r="AL243" s="1119"/>
      <c r="AM243" s="1119"/>
      <c r="AN243" s="1203"/>
      <c r="AO243" s="1204"/>
      <c r="AP243" s="1204"/>
      <c r="AQ243" s="1204"/>
    </row>
    <row r="244" spans="1:43" s="4" customFormat="1" ht="47.25">
      <c r="A244" s="1076"/>
      <c r="B244" s="1171"/>
      <c r="C244" s="1076"/>
      <c r="D244" s="1076"/>
      <c r="E244" s="1252"/>
      <c r="F244" s="1252"/>
      <c r="G244" s="1076"/>
      <c r="H244" s="1076"/>
      <c r="I244" s="1076"/>
      <c r="J244" s="1076"/>
      <c r="K244" s="1076"/>
      <c r="L244" s="1076"/>
      <c r="M244" s="1245">
        <v>56</v>
      </c>
      <c r="N244" s="417" t="s">
        <v>137</v>
      </c>
      <c r="O244" s="386">
        <v>899600</v>
      </c>
      <c r="P244" s="1119">
        <f>O244+O245</f>
        <v>2249000</v>
      </c>
      <c r="Q244" s="1119"/>
      <c r="R244" s="1171">
        <v>40413</v>
      </c>
      <c r="S244" s="390"/>
      <c r="T244" s="386"/>
      <c r="U244" s="386"/>
      <c r="V244" s="386">
        <v>899600</v>
      </c>
      <c r="W244" s="1119"/>
      <c r="X244" s="1076"/>
      <c r="Y244" s="372" t="s">
        <v>417</v>
      </c>
      <c r="Z244" s="386">
        <v>0</v>
      </c>
      <c r="AA244" s="386">
        <v>899600</v>
      </c>
      <c r="AB244" s="386">
        <f t="shared" si="18"/>
        <v>899600</v>
      </c>
      <c r="AC244" s="384">
        <v>40443</v>
      </c>
      <c r="AD244" s="395">
        <v>899600</v>
      </c>
      <c r="AE244" s="395" t="s">
        <v>137</v>
      </c>
      <c r="AF244" s="1084">
        <f>SUM(AD244:AD246)</f>
        <v>1649041</v>
      </c>
      <c r="AG244" s="1084"/>
      <c r="AH244" s="358">
        <f t="shared" si="17"/>
        <v>0</v>
      </c>
      <c r="AI244" s="358">
        <f>O244-AD244</f>
        <v>0</v>
      </c>
      <c r="AJ244" s="1119">
        <f>SUM(Z244:Z246)-SUM(AD244:AD246)</f>
        <v>0</v>
      </c>
      <c r="AK244" s="1119">
        <f>P244-V244-V245</f>
        <v>0</v>
      </c>
      <c r="AL244" s="1119">
        <f>SUM(V244:V246)-SUM(Z244:Z246)</f>
        <v>599959</v>
      </c>
      <c r="AM244" s="1119"/>
      <c r="AN244" s="1203"/>
      <c r="AO244" s="1204"/>
      <c r="AP244" s="1204"/>
      <c r="AQ244" s="1204"/>
    </row>
    <row r="245" spans="1:43" s="4" customFormat="1">
      <c r="A245" s="1076"/>
      <c r="B245" s="1171"/>
      <c r="C245" s="1076"/>
      <c r="D245" s="1076"/>
      <c r="E245" s="1252"/>
      <c r="F245" s="1252"/>
      <c r="G245" s="1076"/>
      <c r="H245" s="1076"/>
      <c r="I245" s="1076"/>
      <c r="J245" s="1076"/>
      <c r="K245" s="1076"/>
      <c r="L245" s="1076"/>
      <c r="M245" s="1245"/>
      <c r="N245" s="1282" t="s">
        <v>7</v>
      </c>
      <c r="O245" s="1119">
        <v>1349400</v>
      </c>
      <c r="P245" s="1119"/>
      <c r="Q245" s="1119"/>
      <c r="R245" s="1171"/>
      <c r="S245" s="390"/>
      <c r="T245" s="386"/>
      <c r="U245" s="386"/>
      <c r="V245" s="1119">
        <v>1349400</v>
      </c>
      <c r="W245" s="1119"/>
      <c r="X245" s="1076"/>
      <c r="Y245" s="1123" t="s">
        <v>420</v>
      </c>
      <c r="Z245" s="386">
        <v>659616</v>
      </c>
      <c r="AA245" s="386">
        <v>-209951</v>
      </c>
      <c r="AB245" s="386">
        <f t="shared" si="18"/>
        <v>449665</v>
      </c>
      <c r="AC245" s="1171">
        <v>41492</v>
      </c>
      <c r="AD245" s="395">
        <v>449665</v>
      </c>
      <c r="AE245" s="395" t="s">
        <v>7</v>
      </c>
      <c r="AF245" s="1084"/>
      <c r="AG245" s="1084"/>
      <c r="AH245" s="358">
        <f t="shared" si="17"/>
        <v>0</v>
      </c>
      <c r="AI245" s="1084">
        <f>O245-AD245-AD246</f>
        <v>599959</v>
      </c>
      <c r="AJ245" s="1119"/>
      <c r="AK245" s="1119"/>
      <c r="AL245" s="1119"/>
      <c r="AM245" s="1119"/>
      <c r="AN245" s="1203"/>
      <c r="AO245" s="1204"/>
      <c r="AP245" s="1204"/>
      <c r="AQ245" s="1204"/>
    </row>
    <row r="246" spans="1:43" s="4" customFormat="1">
      <c r="A246" s="1076"/>
      <c r="B246" s="1171"/>
      <c r="C246" s="1076"/>
      <c r="D246" s="1076"/>
      <c r="E246" s="1252"/>
      <c r="F246" s="1252"/>
      <c r="G246" s="1076"/>
      <c r="H246" s="1076"/>
      <c r="I246" s="1076"/>
      <c r="J246" s="1076"/>
      <c r="K246" s="1076"/>
      <c r="L246" s="1076"/>
      <c r="M246" s="1245"/>
      <c r="N246" s="1282"/>
      <c r="O246" s="1119"/>
      <c r="P246" s="1119"/>
      <c r="Q246" s="1119"/>
      <c r="R246" s="1171"/>
      <c r="S246" s="390"/>
      <c r="T246" s="386"/>
      <c r="U246" s="386"/>
      <c r="V246" s="1119"/>
      <c r="W246" s="1119"/>
      <c r="X246" s="1076"/>
      <c r="Y246" s="1123"/>
      <c r="Z246" s="386">
        <v>989425</v>
      </c>
      <c r="AA246" s="386">
        <v>-689649</v>
      </c>
      <c r="AB246" s="386">
        <f t="shared" si="18"/>
        <v>299776</v>
      </c>
      <c r="AC246" s="1171"/>
      <c r="AD246" s="395">
        <v>299776</v>
      </c>
      <c r="AE246" s="395" t="s">
        <v>7</v>
      </c>
      <c r="AF246" s="1084"/>
      <c r="AG246" s="1084"/>
      <c r="AH246" s="358">
        <f t="shared" si="17"/>
        <v>0</v>
      </c>
      <c r="AI246" s="1084"/>
      <c r="AJ246" s="1119"/>
      <c r="AK246" s="1119"/>
      <c r="AL246" s="1119"/>
      <c r="AM246" s="1119"/>
      <c r="AN246" s="1203"/>
      <c r="AO246" s="1204"/>
      <c r="AP246" s="1204"/>
      <c r="AQ246" s="1204"/>
    </row>
    <row r="247" spans="1:43" s="4" customFormat="1" ht="31.5">
      <c r="A247" s="1076"/>
      <c r="B247" s="1171"/>
      <c r="C247" s="1076"/>
      <c r="D247" s="1076"/>
      <c r="E247" s="1252"/>
      <c r="F247" s="1252"/>
      <c r="G247" s="1076"/>
      <c r="H247" s="1076"/>
      <c r="I247" s="1076"/>
      <c r="J247" s="1076"/>
      <c r="K247" s="1076"/>
      <c r="L247" s="1076"/>
      <c r="M247" s="1245">
        <v>57</v>
      </c>
      <c r="N247" s="1282" t="s">
        <v>137</v>
      </c>
      <c r="O247" s="1119">
        <v>899600</v>
      </c>
      <c r="P247" s="1119">
        <f>O247+O249</f>
        <v>2249000</v>
      </c>
      <c r="Q247" s="1119"/>
      <c r="R247" s="1171">
        <v>40413</v>
      </c>
      <c r="S247" s="390"/>
      <c r="T247" s="386"/>
      <c r="U247" s="386"/>
      <c r="V247" s="1119">
        <v>899600</v>
      </c>
      <c r="W247" s="1119"/>
      <c r="X247" s="1076"/>
      <c r="Y247" s="372" t="s">
        <v>417</v>
      </c>
      <c r="Z247" s="386">
        <v>0</v>
      </c>
      <c r="AA247" s="386">
        <v>899600</v>
      </c>
      <c r="AB247" s="386">
        <f t="shared" si="18"/>
        <v>899600</v>
      </c>
      <c r="AC247" s="384">
        <v>40443</v>
      </c>
      <c r="AD247" s="395">
        <v>899600</v>
      </c>
      <c r="AE247" s="395" t="s">
        <v>137</v>
      </c>
      <c r="AF247" s="1084">
        <f>SUM(AD247:AD249)</f>
        <v>1649041</v>
      </c>
      <c r="AG247" s="1084"/>
      <c r="AH247" s="358">
        <f t="shared" si="17"/>
        <v>0</v>
      </c>
      <c r="AI247" s="1084">
        <f>O247-AD247-AD248</f>
        <v>-449665</v>
      </c>
      <c r="AJ247" s="1119">
        <f>SUM(Z247:Z249)-SUM(AD247:AD249)</f>
        <v>0</v>
      </c>
      <c r="AK247" s="1119">
        <f>P247-V247-V249</f>
        <v>0</v>
      </c>
      <c r="AL247" s="1119">
        <f>SUM(V247:V249)-SUM(Z247:Z249)</f>
        <v>599959</v>
      </c>
      <c r="AM247" s="1119"/>
      <c r="AN247" s="1203"/>
      <c r="AO247" s="1204"/>
      <c r="AP247" s="1204"/>
      <c r="AQ247" s="1204"/>
    </row>
    <row r="248" spans="1:43" s="4" customFormat="1" ht="31.5">
      <c r="A248" s="1076"/>
      <c r="B248" s="1171"/>
      <c r="C248" s="1076"/>
      <c r="D248" s="1076"/>
      <c r="E248" s="1252"/>
      <c r="F248" s="1252"/>
      <c r="G248" s="1076"/>
      <c r="H248" s="1076"/>
      <c r="I248" s="1076"/>
      <c r="J248" s="1076"/>
      <c r="K248" s="1076"/>
      <c r="L248" s="1076"/>
      <c r="M248" s="1245"/>
      <c r="N248" s="1282"/>
      <c r="O248" s="1119"/>
      <c r="P248" s="1119"/>
      <c r="Q248" s="1119"/>
      <c r="R248" s="1171"/>
      <c r="S248" s="390"/>
      <c r="T248" s="386"/>
      <c r="U248" s="386"/>
      <c r="V248" s="1119"/>
      <c r="W248" s="1119"/>
      <c r="X248" s="1076"/>
      <c r="Y248" s="1123" t="s">
        <v>420</v>
      </c>
      <c r="Z248" s="386">
        <v>659616</v>
      </c>
      <c r="AA248" s="386">
        <v>-209951</v>
      </c>
      <c r="AB248" s="386">
        <f t="shared" si="18"/>
        <v>449665</v>
      </c>
      <c r="AC248" s="1171">
        <v>41492</v>
      </c>
      <c r="AD248" s="395">
        <v>449665</v>
      </c>
      <c r="AE248" s="395" t="s">
        <v>137</v>
      </c>
      <c r="AF248" s="1084"/>
      <c r="AG248" s="1084"/>
      <c r="AH248" s="358">
        <f t="shared" si="17"/>
        <v>0</v>
      </c>
      <c r="AI248" s="1084"/>
      <c r="AJ248" s="1119"/>
      <c r="AK248" s="1119"/>
      <c r="AL248" s="1119"/>
      <c r="AM248" s="1119"/>
      <c r="AN248" s="1203"/>
      <c r="AO248" s="1204"/>
      <c r="AP248" s="1204"/>
      <c r="AQ248" s="1204"/>
    </row>
    <row r="249" spans="1:43" s="4" customFormat="1">
      <c r="A249" s="1076"/>
      <c r="B249" s="1171"/>
      <c r="C249" s="1076"/>
      <c r="D249" s="1076"/>
      <c r="E249" s="1252"/>
      <c r="F249" s="1252"/>
      <c r="G249" s="1076"/>
      <c r="H249" s="1076"/>
      <c r="I249" s="1076"/>
      <c r="J249" s="1076"/>
      <c r="K249" s="1076"/>
      <c r="L249" s="1076"/>
      <c r="M249" s="1245"/>
      <c r="N249" s="417" t="s">
        <v>7</v>
      </c>
      <c r="O249" s="386">
        <v>1349400</v>
      </c>
      <c r="P249" s="1119"/>
      <c r="Q249" s="1119"/>
      <c r="R249" s="1171"/>
      <c r="S249" s="390"/>
      <c r="T249" s="386"/>
      <c r="U249" s="386"/>
      <c r="V249" s="386">
        <v>1349400</v>
      </c>
      <c r="W249" s="1119"/>
      <c r="X249" s="1076"/>
      <c r="Y249" s="1123"/>
      <c r="Z249" s="386">
        <v>989425</v>
      </c>
      <c r="AA249" s="386">
        <v>-689649</v>
      </c>
      <c r="AB249" s="386">
        <f t="shared" si="18"/>
        <v>299776</v>
      </c>
      <c r="AC249" s="1171"/>
      <c r="AD249" s="395">
        <v>299776</v>
      </c>
      <c r="AE249" s="395" t="s">
        <v>7</v>
      </c>
      <c r="AF249" s="1084"/>
      <c r="AG249" s="1084"/>
      <c r="AH249" s="358">
        <f t="shared" si="17"/>
        <v>0</v>
      </c>
      <c r="AI249" s="358">
        <f>O249-AD249</f>
        <v>1049624</v>
      </c>
      <c r="AJ249" s="1119"/>
      <c r="AK249" s="1119"/>
      <c r="AL249" s="1119"/>
      <c r="AM249" s="1119"/>
      <c r="AN249" s="1203"/>
      <c r="AO249" s="1204"/>
      <c r="AP249" s="1204"/>
      <c r="AQ249" s="1204"/>
    </row>
    <row r="250" spans="1:43" s="4" customFormat="1">
      <c r="A250" s="1076"/>
      <c r="B250" s="1171"/>
      <c r="C250" s="354" t="s">
        <v>34</v>
      </c>
      <c r="D250" s="1076"/>
      <c r="E250" s="1252"/>
      <c r="F250" s="1252"/>
      <c r="G250" s="1076"/>
      <c r="H250" s="1076"/>
      <c r="I250" s="1076"/>
      <c r="J250" s="354" t="s">
        <v>67</v>
      </c>
      <c r="K250" s="1076"/>
      <c r="L250" s="1076"/>
      <c r="M250" s="404">
        <v>197</v>
      </c>
      <c r="N250" s="417" t="s">
        <v>7</v>
      </c>
      <c r="O250" s="386">
        <v>1607760</v>
      </c>
      <c r="P250" s="386">
        <f>O250</f>
        <v>1607760</v>
      </c>
      <c r="Q250" s="1119"/>
      <c r="R250" s="384"/>
      <c r="S250" s="390"/>
      <c r="T250" s="386"/>
      <c r="U250" s="386"/>
      <c r="V250" s="386">
        <v>1607760</v>
      </c>
      <c r="W250" s="1119"/>
      <c r="X250" s="354"/>
      <c r="Y250" s="372"/>
      <c r="Z250" s="386">
        <v>0</v>
      </c>
      <c r="AA250" s="386">
        <v>0</v>
      </c>
      <c r="AB250" s="386">
        <v>0</v>
      </c>
      <c r="AC250" s="384"/>
      <c r="AD250" s="395">
        <v>0</v>
      </c>
      <c r="AE250" s="395"/>
      <c r="AF250" s="358">
        <f>AD250</f>
        <v>0</v>
      </c>
      <c r="AG250" s="1084"/>
      <c r="AH250" s="358">
        <f t="shared" si="17"/>
        <v>0</v>
      </c>
      <c r="AI250" s="358"/>
      <c r="AJ250" s="386">
        <f>Z250-AD250</f>
        <v>0</v>
      </c>
      <c r="AK250" s="386">
        <f>P250-V250</f>
        <v>0</v>
      </c>
      <c r="AL250" s="386">
        <f>V250-Z250</f>
        <v>1607760</v>
      </c>
      <c r="AM250" s="386"/>
      <c r="AN250" s="1203"/>
      <c r="AO250" s="1204"/>
      <c r="AP250" s="1204"/>
      <c r="AQ250" s="1204"/>
    </row>
    <row r="251" spans="1:43" ht="63">
      <c r="A251" s="1011" t="s">
        <v>1560</v>
      </c>
      <c r="B251" s="1068">
        <v>40301</v>
      </c>
      <c r="C251" s="1011" t="s">
        <v>43</v>
      </c>
      <c r="D251" s="1011" t="s">
        <v>1561</v>
      </c>
      <c r="E251" s="1071">
        <v>10519803</v>
      </c>
      <c r="F251" s="1071"/>
      <c r="G251" s="1011" t="s">
        <v>1562</v>
      </c>
      <c r="H251" s="1011" t="s">
        <v>70</v>
      </c>
      <c r="I251" s="1011" t="s">
        <v>206</v>
      </c>
      <c r="J251" s="1011" t="s">
        <v>66</v>
      </c>
      <c r="K251" s="1011" t="s">
        <v>217</v>
      </c>
      <c r="L251" s="1011" t="s">
        <v>1565</v>
      </c>
      <c r="M251" s="1286">
        <v>68</v>
      </c>
      <c r="N251" s="1065" t="s">
        <v>137</v>
      </c>
      <c r="O251" s="1062">
        <v>928000</v>
      </c>
      <c r="P251" s="1062">
        <f>O251+O254</f>
        <v>2320000</v>
      </c>
      <c r="Q251" s="1062">
        <f>P251+P256+P263+P270+P277+P279</f>
        <v>24219015</v>
      </c>
      <c r="R251" s="1068">
        <v>40413</v>
      </c>
      <c r="S251" s="1092">
        <f>T251+T253</f>
        <v>928000</v>
      </c>
      <c r="T251" s="1062">
        <v>928000</v>
      </c>
      <c r="U251" s="1119">
        <f>O251-T251</f>
        <v>0</v>
      </c>
      <c r="V251" s="1062">
        <v>928000</v>
      </c>
      <c r="W251" s="1062">
        <f>V251+V254+V256+V260+V263+V266+V270+V274+V277+V279</f>
        <v>24219015</v>
      </c>
      <c r="X251" s="1011" t="s">
        <v>1564</v>
      </c>
      <c r="Y251" s="372" t="s">
        <v>1567</v>
      </c>
      <c r="Z251" s="386">
        <v>0</v>
      </c>
      <c r="AA251" s="386">
        <v>928000</v>
      </c>
      <c r="AB251" s="386">
        <f t="shared" ref="AB251:AB293" si="19">Z251+AA251</f>
        <v>928000</v>
      </c>
      <c r="AC251" s="384">
        <v>40438</v>
      </c>
      <c r="AD251" s="395">
        <v>928000</v>
      </c>
      <c r="AE251" s="395" t="s">
        <v>137</v>
      </c>
      <c r="AF251" s="1043">
        <f>SUM(AD251:AD255)</f>
        <v>2320000</v>
      </c>
      <c r="AG251" s="1043">
        <f>AF251+AF256+AF263+AF270+AF277+AF279</f>
        <v>20598701.359999999</v>
      </c>
      <c r="AH251" s="358">
        <f t="shared" si="17"/>
        <v>0</v>
      </c>
      <c r="AI251" s="1043">
        <f>O251-AD251-AD252-AD254</f>
        <v>-554944</v>
      </c>
      <c r="AJ251" s="1062">
        <f>SUM(Z251:Z280)-SUM(AD251:AD280)</f>
        <v>3620313.6400000006</v>
      </c>
      <c r="AK251" s="1062">
        <f>P251-V251-V254</f>
        <v>0</v>
      </c>
      <c r="AL251" s="1062">
        <f>SUM(V251:V255)-SUM(Z251:Z255)</f>
        <v>0</v>
      </c>
      <c r="AM251" s="1062">
        <f>AK251+AL251+AK254+AL254</f>
        <v>0</v>
      </c>
      <c r="AN251" s="1108" t="s">
        <v>1579</v>
      </c>
      <c r="AO251" s="1103" t="s">
        <v>1580</v>
      </c>
      <c r="AP251" s="1103" t="s">
        <v>194</v>
      </c>
      <c r="AQ251" s="1103" t="s">
        <v>1563</v>
      </c>
    </row>
    <row r="252" spans="1:43" ht="31.5">
      <c r="A252" s="1033"/>
      <c r="B252" s="1069"/>
      <c r="C252" s="1033"/>
      <c r="D252" s="1033"/>
      <c r="E252" s="1072"/>
      <c r="F252" s="1072"/>
      <c r="G252" s="1033"/>
      <c r="H252" s="1033"/>
      <c r="I252" s="1033"/>
      <c r="J252" s="1033"/>
      <c r="K252" s="1033"/>
      <c r="L252" s="1033"/>
      <c r="M252" s="1287"/>
      <c r="N252" s="1066"/>
      <c r="O252" s="1063"/>
      <c r="P252" s="1063"/>
      <c r="Q252" s="1063"/>
      <c r="R252" s="1069"/>
      <c r="S252" s="1093"/>
      <c r="T252" s="1063"/>
      <c r="U252" s="1119"/>
      <c r="V252" s="1063"/>
      <c r="W252" s="1063"/>
      <c r="X252" s="1033"/>
      <c r="Y252" s="1065" t="s">
        <v>1568</v>
      </c>
      <c r="Z252" s="386">
        <v>770240</v>
      </c>
      <c r="AA252" s="386">
        <v>-308096</v>
      </c>
      <c r="AB252" s="386">
        <f t="shared" si="19"/>
        <v>462144</v>
      </c>
      <c r="AC252" s="1068">
        <v>40585</v>
      </c>
      <c r="AD252" s="395">
        <v>462144</v>
      </c>
      <c r="AE252" s="395" t="s">
        <v>137</v>
      </c>
      <c r="AF252" s="1044"/>
      <c r="AG252" s="1044"/>
      <c r="AH252" s="358">
        <f t="shared" si="17"/>
        <v>0</v>
      </c>
      <c r="AI252" s="1044"/>
      <c r="AJ252" s="1063"/>
      <c r="AK252" s="1063"/>
      <c r="AL252" s="1063"/>
      <c r="AM252" s="1063"/>
      <c r="AN252" s="1109"/>
      <c r="AO252" s="1104"/>
      <c r="AP252" s="1104"/>
      <c r="AQ252" s="1104"/>
    </row>
    <row r="253" spans="1:43">
      <c r="A253" s="1033"/>
      <c r="B253" s="1069"/>
      <c r="C253" s="1033"/>
      <c r="D253" s="1033"/>
      <c r="E253" s="1072"/>
      <c r="F253" s="1072"/>
      <c r="G253" s="1033"/>
      <c r="H253" s="1033"/>
      <c r="I253" s="1033"/>
      <c r="J253" s="1033"/>
      <c r="K253" s="1033"/>
      <c r="L253" s="1033"/>
      <c r="M253" s="1287"/>
      <c r="N253" s="1067"/>
      <c r="O253" s="1064"/>
      <c r="P253" s="1063"/>
      <c r="Q253" s="1063"/>
      <c r="R253" s="1069"/>
      <c r="S253" s="1093"/>
      <c r="T253" s="1064"/>
      <c r="U253" s="1119"/>
      <c r="V253" s="1064"/>
      <c r="W253" s="1063"/>
      <c r="X253" s="1033"/>
      <c r="Y253" s="1067"/>
      <c r="Z253" s="386">
        <v>1155360</v>
      </c>
      <c r="AA253" s="386">
        <v>-462144</v>
      </c>
      <c r="AB253" s="386">
        <f t="shared" si="19"/>
        <v>693216</v>
      </c>
      <c r="AC253" s="1070"/>
      <c r="AD253" s="395">
        <v>693216</v>
      </c>
      <c r="AE253" s="395" t="s">
        <v>7</v>
      </c>
      <c r="AF253" s="1044"/>
      <c r="AG253" s="1044"/>
      <c r="AH253" s="358">
        <f t="shared" si="17"/>
        <v>0</v>
      </c>
      <c r="AI253" s="1045"/>
      <c r="AJ253" s="1063"/>
      <c r="AK253" s="1063"/>
      <c r="AL253" s="1063"/>
      <c r="AM253" s="1063"/>
      <c r="AN253" s="1109"/>
      <c r="AO253" s="1104"/>
      <c r="AP253" s="1104"/>
      <c r="AQ253" s="1104"/>
    </row>
    <row r="254" spans="1:43" ht="31.5">
      <c r="A254" s="1033"/>
      <c r="B254" s="1069"/>
      <c r="C254" s="1033"/>
      <c r="D254" s="1033"/>
      <c r="E254" s="1072"/>
      <c r="F254" s="1072"/>
      <c r="G254" s="1033"/>
      <c r="H254" s="1033"/>
      <c r="I254" s="1033"/>
      <c r="J254" s="1033"/>
      <c r="K254" s="1033"/>
      <c r="L254" s="1033"/>
      <c r="M254" s="1287"/>
      <c r="N254" s="1065" t="s">
        <v>7</v>
      </c>
      <c r="O254" s="1062">
        <v>1392000</v>
      </c>
      <c r="P254" s="1063"/>
      <c r="Q254" s="1063"/>
      <c r="R254" s="1069"/>
      <c r="S254" s="1093"/>
      <c r="T254" s="1062">
        <v>1392000</v>
      </c>
      <c r="U254" s="1119">
        <f>O254-T254</f>
        <v>0</v>
      </c>
      <c r="V254" s="1062">
        <v>1392000</v>
      </c>
      <c r="W254" s="1063"/>
      <c r="X254" s="1033"/>
      <c r="Y254" s="1065" t="s">
        <v>1575</v>
      </c>
      <c r="Z254" s="386">
        <v>157760</v>
      </c>
      <c r="AA254" s="386">
        <v>-64960</v>
      </c>
      <c r="AB254" s="386">
        <f t="shared" si="19"/>
        <v>92800</v>
      </c>
      <c r="AC254" s="1068">
        <v>41045</v>
      </c>
      <c r="AD254" s="395">
        <v>92800</v>
      </c>
      <c r="AE254" s="395" t="s">
        <v>137</v>
      </c>
      <c r="AF254" s="1044"/>
      <c r="AG254" s="1044"/>
      <c r="AH254" s="358">
        <f t="shared" si="17"/>
        <v>0</v>
      </c>
      <c r="AI254" s="1043">
        <f>O254-AD253-AD255</f>
        <v>554944</v>
      </c>
      <c r="AJ254" s="1063"/>
      <c r="AK254" s="1063"/>
      <c r="AL254" s="1063"/>
      <c r="AM254" s="1063"/>
      <c r="AN254" s="1109"/>
      <c r="AO254" s="1104"/>
      <c r="AP254" s="1104"/>
      <c r="AQ254" s="1104"/>
    </row>
    <row r="255" spans="1:43">
      <c r="A255" s="1033"/>
      <c r="B255" s="1069"/>
      <c r="C255" s="1033"/>
      <c r="D255" s="1033"/>
      <c r="E255" s="1072"/>
      <c r="F255" s="1072"/>
      <c r="G255" s="1033"/>
      <c r="H255" s="1033"/>
      <c r="I255" s="1033"/>
      <c r="J255" s="1033"/>
      <c r="K255" s="1033"/>
      <c r="L255" s="1033"/>
      <c r="M255" s="1288"/>
      <c r="N255" s="1067"/>
      <c r="O255" s="1064"/>
      <c r="P255" s="1064"/>
      <c r="Q255" s="1063"/>
      <c r="R255" s="1070"/>
      <c r="S255" s="1094"/>
      <c r="T255" s="1064"/>
      <c r="U255" s="1119"/>
      <c r="V255" s="1064"/>
      <c r="W255" s="1063"/>
      <c r="X255" s="1033"/>
      <c r="Y255" s="1067"/>
      <c r="Z255" s="386">
        <v>236640</v>
      </c>
      <c r="AA255" s="386">
        <v>-92800</v>
      </c>
      <c r="AB255" s="386">
        <f t="shared" si="19"/>
        <v>143840</v>
      </c>
      <c r="AC255" s="1070"/>
      <c r="AD255" s="395">
        <v>143840</v>
      </c>
      <c r="AE255" s="395" t="s">
        <v>7</v>
      </c>
      <c r="AF255" s="1045"/>
      <c r="AG255" s="1044"/>
      <c r="AH255" s="358">
        <f t="shared" si="17"/>
        <v>0</v>
      </c>
      <c r="AI255" s="1045"/>
      <c r="AJ255" s="1063"/>
      <c r="AK255" s="1064"/>
      <c r="AL255" s="1064"/>
      <c r="AM255" s="1064"/>
      <c r="AN255" s="1109"/>
      <c r="AO255" s="1104"/>
      <c r="AP255" s="1104"/>
      <c r="AQ255" s="1104"/>
    </row>
    <row r="256" spans="1:43" ht="63">
      <c r="A256" s="1033"/>
      <c r="B256" s="1069"/>
      <c r="C256" s="1033"/>
      <c r="D256" s="1033"/>
      <c r="E256" s="1072"/>
      <c r="F256" s="1072"/>
      <c r="G256" s="1033"/>
      <c r="H256" s="1033"/>
      <c r="I256" s="1033"/>
      <c r="J256" s="1033"/>
      <c r="K256" s="1033"/>
      <c r="L256" s="1033"/>
      <c r="M256" s="1286">
        <v>69</v>
      </c>
      <c r="N256" s="1065" t="s">
        <v>137</v>
      </c>
      <c r="O256" s="1062">
        <v>2744000</v>
      </c>
      <c r="P256" s="1062">
        <f>O256+O260</f>
        <v>6860000</v>
      </c>
      <c r="Q256" s="1063"/>
      <c r="R256" s="1068">
        <v>40413</v>
      </c>
      <c r="S256" s="1092">
        <f>T256+T260</f>
        <v>6860000</v>
      </c>
      <c r="T256" s="1092">
        <v>2744000</v>
      </c>
      <c r="U256" s="1092">
        <f>O256-T256</f>
        <v>0</v>
      </c>
      <c r="V256" s="1062">
        <v>2744000</v>
      </c>
      <c r="W256" s="1063"/>
      <c r="X256" s="1033"/>
      <c r="Y256" s="372" t="s">
        <v>1567</v>
      </c>
      <c r="Z256" s="386">
        <v>0</v>
      </c>
      <c r="AA256" s="386">
        <v>2744000</v>
      </c>
      <c r="AB256" s="386">
        <f t="shared" si="19"/>
        <v>2744000</v>
      </c>
      <c r="AC256" s="384">
        <v>40438</v>
      </c>
      <c r="AD256" s="395">
        <v>2744000</v>
      </c>
      <c r="AE256" s="395" t="s">
        <v>137</v>
      </c>
      <c r="AF256" s="1043">
        <f>SUM(AD256:AD262)</f>
        <v>6172628</v>
      </c>
      <c r="AG256" s="1044"/>
      <c r="AH256" s="358">
        <f t="shared" si="17"/>
        <v>0</v>
      </c>
      <c r="AI256" s="1043">
        <f>O256-AD256-AD257-AD258</f>
        <v>-2058000</v>
      </c>
      <c r="AJ256" s="1063"/>
      <c r="AK256" s="1062">
        <f>P256-V256-V260</f>
        <v>0</v>
      </c>
      <c r="AL256" s="1062">
        <f>(V256+V260)-SUM(Z256:Z262)</f>
        <v>0</v>
      </c>
      <c r="AM256" s="1062">
        <f>AK256+AL256</f>
        <v>0</v>
      </c>
      <c r="AN256" s="1109"/>
      <c r="AO256" s="1104"/>
      <c r="AP256" s="1104"/>
      <c r="AQ256" s="1104"/>
    </row>
    <row r="257" spans="1:44" ht="31.5">
      <c r="A257" s="1033"/>
      <c r="B257" s="1069"/>
      <c r="C257" s="1033"/>
      <c r="D257" s="1033"/>
      <c r="E257" s="1072"/>
      <c r="F257" s="1072"/>
      <c r="G257" s="1033"/>
      <c r="H257" s="1033"/>
      <c r="I257" s="1033"/>
      <c r="J257" s="1033"/>
      <c r="K257" s="1033"/>
      <c r="L257" s="1033"/>
      <c r="M257" s="1287"/>
      <c r="N257" s="1066"/>
      <c r="O257" s="1063"/>
      <c r="P257" s="1063"/>
      <c r="Q257" s="1063"/>
      <c r="R257" s="1069"/>
      <c r="S257" s="1093"/>
      <c r="T257" s="1093"/>
      <c r="U257" s="1093"/>
      <c r="V257" s="1063"/>
      <c r="W257" s="1063"/>
      <c r="X257" s="1033"/>
      <c r="Y257" s="1065" t="s">
        <v>1571</v>
      </c>
      <c r="Z257" s="386">
        <v>1372000</v>
      </c>
      <c r="AA257" s="386">
        <v>-548800</v>
      </c>
      <c r="AB257" s="386">
        <f t="shared" si="19"/>
        <v>823200</v>
      </c>
      <c r="AC257" s="1068">
        <v>40711</v>
      </c>
      <c r="AD257" s="395">
        <v>823200</v>
      </c>
      <c r="AE257" s="395" t="s">
        <v>137</v>
      </c>
      <c r="AF257" s="1044"/>
      <c r="AG257" s="1044"/>
      <c r="AH257" s="358">
        <f t="shared" si="17"/>
        <v>0</v>
      </c>
      <c r="AI257" s="1044"/>
      <c r="AJ257" s="1063"/>
      <c r="AK257" s="1063"/>
      <c r="AL257" s="1063"/>
      <c r="AM257" s="1063"/>
      <c r="AN257" s="1109"/>
      <c r="AO257" s="1104"/>
      <c r="AP257" s="1104"/>
      <c r="AQ257" s="1104"/>
    </row>
    <row r="258" spans="1:44" ht="31.5">
      <c r="A258" s="1033"/>
      <c r="B258" s="1069"/>
      <c r="C258" s="1033"/>
      <c r="D258" s="1033"/>
      <c r="E258" s="1072"/>
      <c r="F258" s="1072"/>
      <c r="G258" s="1033"/>
      <c r="H258" s="1033"/>
      <c r="I258" s="1033"/>
      <c r="J258" s="1033"/>
      <c r="K258" s="1033"/>
      <c r="L258" s="1033"/>
      <c r="M258" s="1287"/>
      <c r="N258" s="1066"/>
      <c r="O258" s="1063"/>
      <c r="P258" s="1063"/>
      <c r="Q258" s="1063"/>
      <c r="R258" s="1069"/>
      <c r="S258" s="1093"/>
      <c r="T258" s="1093"/>
      <c r="U258" s="1093"/>
      <c r="V258" s="1063"/>
      <c r="W258" s="1063"/>
      <c r="X258" s="1033"/>
      <c r="Y258" s="1067"/>
      <c r="Z258" s="386">
        <v>2058000</v>
      </c>
      <c r="AA258" s="386">
        <v>-823200</v>
      </c>
      <c r="AB258" s="386">
        <f t="shared" si="19"/>
        <v>1234800</v>
      </c>
      <c r="AC258" s="1070"/>
      <c r="AD258" s="395">
        <v>1234800</v>
      </c>
      <c r="AE258" s="395" t="s">
        <v>137</v>
      </c>
      <c r="AF258" s="1044"/>
      <c r="AG258" s="1044"/>
      <c r="AH258" s="358">
        <f t="shared" si="17"/>
        <v>0</v>
      </c>
      <c r="AI258" s="1044"/>
      <c r="AJ258" s="1063"/>
      <c r="AK258" s="1063"/>
      <c r="AL258" s="1063"/>
      <c r="AM258" s="1063"/>
      <c r="AN258" s="1109"/>
      <c r="AO258" s="1104"/>
      <c r="AP258" s="1104"/>
      <c r="AQ258" s="1104"/>
    </row>
    <row r="259" spans="1:44">
      <c r="A259" s="1033"/>
      <c r="B259" s="1069"/>
      <c r="C259" s="1033"/>
      <c r="D259" s="1033"/>
      <c r="E259" s="1072"/>
      <c r="F259" s="1072"/>
      <c r="G259" s="1033"/>
      <c r="H259" s="1033"/>
      <c r="I259" s="1033"/>
      <c r="J259" s="1033"/>
      <c r="K259" s="1033"/>
      <c r="L259" s="1033"/>
      <c r="M259" s="1287"/>
      <c r="N259" s="1067"/>
      <c r="O259" s="1064"/>
      <c r="P259" s="1063"/>
      <c r="Q259" s="1063"/>
      <c r="R259" s="1069"/>
      <c r="S259" s="1093"/>
      <c r="T259" s="1094"/>
      <c r="U259" s="1094"/>
      <c r="V259" s="1064"/>
      <c r="W259" s="1063"/>
      <c r="X259" s="1033"/>
      <c r="Y259" s="1065" t="s">
        <v>1572</v>
      </c>
      <c r="Z259" s="386">
        <v>913752</v>
      </c>
      <c r="AA259" s="386">
        <v>-365501.46</v>
      </c>
      <c r="AB259" s="386">
        <f t="shared" si="19"/>
        <v>548250.54</v>
      </c>
      <c r="AC259" s="1068">
        <v>40736</v>
      </c>
      <c r="AD259" s="395">
        <v>548250.54</v>
      </c>
      <c r="AE259" s="395" t="s">
        <v>7</v>
      </c>
      <c r="AF259" s="1044"/>
      <c r="AG259" s="1044"/>
      <c r="AH259" s="358">
        <f t="shared" si="17"/>
        <v>0</v>
      </c>
      <c r="AI259" s="1045"/>
      <c r="AJ259" s="1063"/>
      <c r="AK259" s="1063"/>
      <c r="AL259" s="1063"/>
      <c r="AM259" s="1063"/>
      <c r="AN259" s="1109"/>
      <c r="AO259" s="1104"/>
      <c r="AP259" s="1104"/>
      <c r="AQ259" s="1104"/>
    </row>
    <row r="260" spans="1:44">
      <c r="A260" s="1033"/>
      <c r="B260" s="1069"/>
      <c r="C260" s="1033"/>
      <c r="D260" s="1033"/>
      <c r="E260" s="1072"/>
      <c r="F260" s="1072"/>
      <c r="G260" s="1033"/>
      <c r="H260" s="1033"/>
      <c r="I260" s="1033"/>
      <c r="J260" s="1033"/>
      <c r="K260" s="1033"/>
      <c r="L260" s="1033"/>
      <c r="M260" s="1287"/>
      <c r="N260" s="1065" t="s">
        <v>7</v>
      </c>
      <c r="O260" s="1062">
        <v>4116000</v>
      </c>
      <c r="P260" s="1063"/>
      <c r="Q260" s="1063"/>
      <c r="R260" s="1069"/>
      <c r="S260" s="1093"/>
      <c r="T260" s="1062">
        <v>4116000</v>
      </c>
      <c r="U260" s="1062">
        <f>O260-T260</f>
        <v>0</v>
      </c>
      <c r="V260" s="1062">
        <v>4116000</v>
      </c>
      <c r="W260" s="1063"/>
      <c r="X260" s="1033"/>
      <c r="Y260" s="1067"/>
      <c r="Z260" s="386">
        <v>1370628</v>
      </c>
      <c r="AA260" s="386">
        <v>-548250.54</v>
      </c>
      <c r="AB260" s="386">
        <f t="shared" si="19"/>
        <v>822377.46</v>
      </c>
      <c r="AC260" s="1070"/>
      <c r="AD260" s="395">
        <v>822377.46</v>
      </c>
      <c r="AE260" s="395" t="s">
        <v>7</v>
      </c>
      <c r="AF260" s="1044"/>
      <c r="AG260" s="1044"/>
      <c r="AH260" s="358">
        <f t="shared" si="17"/>
        <v>0</v>
      </c>
      <c r="AI260" s="1043">
        <f>O260-AD259-AD260</f>
        <v>2745372</v>
      </c>
      <c r="AJ260" s="1063"/>
      <c r="AK260" s="1063"/>
      <c r="AL260" s="1063"/>
      <c r="AM260" s="1063"/>
      <c r="AN260" s="1109"/>
      <c r="AO260" s="1104"/>
      <c r="AP260" s="1104"/>
      <c r="AQ260" s="1104"/>
    </row>
    <row r="261" spans="1:44">
      <c r="A261" s="1033"/>
      <c r="B261" s="1069"/>
      <c r="C261" s="1033"/>
      <c r="D261" s="1033"/>
      <c r="E261" s="1072"/>
      <c r="F261" s="1072"/>
      <c r="G261" s="1033"/>
      <c r="H261" s="1033"/>
      <c r="I261" s="1033"/>
      <c r="J261" s="1033"/>
      <c r="K261" s="1033"/>
      <c r="L261" s="1033"/>
      <c r="M261" s="1287"/>
      <c r="N261" s="1066"/>
      <c r="O261" s="1063"/>
      <c r="P261" s="1063"/>
      <c r="Q261" s="1063"/>
      <c r="R261" s="1069"/>
      <c r="S261" s="1093"/>
      <c r="T261" s="1063"/>
      <c r="U261" s="1063"/>
      <c r="V261" s="1063"/>
      <c r="W261" s="1063"/>
      <c r="X261" s="1033"/>
      <c r="Y261" s="1065" t="s">
        <v>1578</v>
      </c>
      <c r="Z261" s="386">
        <v>458248</v>
      </c>
      <c r="AA261" s="386">
        <v>-183299.20000000001</v>
      </c>
      <c r="AB261" s="386">
        <f t="shared" si="19"/>
        <v>274948.8</v>
      </c>
      <c r="AC261" s="384"/>
      <c r="AD261" s="395">
        <v>0</v>
      </c>
      <c r="AE261" s="395"/>
      <c r="AF261" s="1044"/>
      <c r="AG261" s="1044"/>
      <c r="AH261" s="358">
        <f t="shared" si="17"/>
        <v>274948.8</v>
      </c>
      <c r="AI261" s="1044"/>
      <c r="AJ261" s="1063"/>
      <c r="AK261" s="1063"/>
      <c r="AL261" s="1063"/>
      <c r="AM261" s="1063"/>
      <c r="AN261" s="1109"/>
      <c r="AO261" s="1104"/>
      <c r="AP261" s="1104"/>
      <c r="AQ261" s="1104"/>
    </row>
    <row r="262" spans="1:44">
      <c r="A262" s="1033"/>
      <c r="B262" s="1069"/>
      <c r="C262" s="1012"/>
      <c r="D262" s="1033"/>
      <c r="E262" s="1072"/>
      <c r="F262" s="1072"/>
      <c r="G262" s="1033"/>
      <c r="H262" s="1033"/>
      <c r="I262" s="1033"/>
      <c r="J262" s="1033"/>
      <c r="K262" s="1033"/>
      <c r="L262" s="1033"/>
      <c r="M262" s="1288"/>
      <c r="N262" s="1067"/>
      <c r="O262" s="1064"/>
      <c r="P262" s="1064"/>
      <c r="Q262" s="1063"/>
      <c r="R262" s="1070"/>
      <c r="S262" s="1094"/>
      <c r="T262" s="1064"/>
      <c r="U262" s="1064"/>
      <c r="V262" s="1064"/>
      <c r="W262" s="1063"/>
      <c r="X262" s="1033"/>
      <c r="Y262" s="1067"/>
      <c r="Z262" s="386">
        <v>687372</v>
      </c>
      <c r="AA262" s="386">
        <v>-274948.8</v>
      </c>
      <c r="AB262" s="386">
        <f t="shared" si="19"/>
        <v>412423.2</v>
      </c>
      <c r="AC262" s="384"/>
      <c r="AD262" s="395">
        <v>0</v>
      </c>
      <c r="AE262" s="395"/>
      <c r="AF262" s="1045"/>
      <c r="AG262" s="1044"/>
      <c r="AH262" s="358">
        <f t="shared" si="17"/>
        <v>412423.2</v>
      </c>
      <c r="AI262" s="1045"/>
      <c r="AJ262" s="1063"/>
      <c r="AK262" s="1064"/>
      <c r="AL262" s="1064"/>
      <c r="AM262" s="1064"/>
      <c r="AN262" s="1109"/>
      <c r="AO262" s="1104"/>
      <c r="AP262" s="1104"/>
      <c r="AQ262" s="1104"/>
    </row>
    <row r="263" spans="1:44" ht="31.5">
      <c r="A263" s="1033"/>
      <c r="B263" s="1069"/>
      <c r="C263" s="1011" t="s">
        <v>13</v>
      </c>
      <c r="D263" s="1033"/>
      <c r="E263" s="1072"/>
      <c r="F263" s="1072"/>
      <c r="G263" s="1033"/>
      <c r="H263" s="1033"/>
      <c r="I263" s="1033"/>
      <c r="J263" s="1033"/>
      <c r="K263" s="1033"/>
      <c r="L263" s="1033"/>
      <c r="M263" s="1286">
        <v>70</v>
      </c>
      <c r="N263" s="1065" t="s">
        <v>137</v>
      </c>
      <c r="O263" s="1062">
        <v>1705623.2</v>
      </c>
      <c r="P263" s="1062">
        <f>O263+O266</f>
        <v>4264058</v>
      </c>
      <c r="Q263" s="1063"/>
      <c r="R263" s="1068">
        <v>40413</v>
      </c>
      <c r="S263" s="1092">
        <f>T263+T266</f>
        <v>4264058</v>
      </c>
      <c r="T263" s="1062">
        <v>1705623.2</v>
      </c>
      <c r="U263" s="1062">
        <f>O263-T263</f>
        <v>0</v>
      </c>
      <c r="V263" s="1062">
        <v>1705623.2</v>
      </c>
      <c r="W263" s="1063"/>
      <c r="X263" s="1033"/>
      <c r="Y263" s="372" t="s">
        <v>1566</v>
      </c>
      <c r="Z263" s="386">
        <v>0</v>
      </c>
      <c r="AA263" s="386">
        <v>1705623</v>
      </c>
      <c r="AB263" s="386">
        <f t="shared" si="19"/>
        <v>1705623</v>
      </c>
      <c r="AC263" s="384">
        <v>40438</v>
      </c>
      <c r="AD263" s="395">
        <v>1705623</v>
      </c>
      <c r="AE263" s="395" t="s">
        <v>137</v>
      </c>
      <c r="AF263" s="1043">
        <f>SUM(AD263:AD269)</f>
        <v>4008214.3600000003</v>
      </c>
      <c r="AG263" s="1044"/>
      <c r="AH263" s="358">
        <f t="shared" si="17"/>
        <v>0</v>
      </c>
      <c r="AI263" s="1043">
        <f>O263-AD263-AD264</f>
        <v>-716361.3600000001</v>
      </c>
      <c r="AJ263" s="1063"/>
      <c r="AK263" s="1062">
        <f>P263-V263-V266</f>
        <v>0</v>
      </c>
      <c r="AL263" s="1062">
        <f>(V263+V266)-SUM(Z263:Z269)</f>
        <v>0</v>
      </c>
      <c r="AM263" s="1062">
        <f>AK263+AL263</f>
        <v>0</v>
      </c>
      <c r="AN263" s="1109"/>
      <c r="AO263" s="1104"/>
      <c r="AP263" s="1104"/>
      <c r="AQ263" s="1104"/>
    </row>
    <row r="264" spans="1:44" ht="31.5">
      <c r="A264" s="1033"/>
      <c r="B264" s="1069"/>
      <c r="C264" s="1033"/>
      <c r="D264" s="1033"/>
      <c r="E264" s="1072"/>
      <c r="F264" s="1072"/>
      <c r="G264" s="1033"/>
      <c r="H264" s="1033"/>
      <c r="I264" s="1033"/>
      <c r="J264" s="1033"/>
      <c r="K264" s="1033"/>
      <c r="L264" s="1033"/>
      <c r="M264" s="1287"/>
      <c r="N264" s="1066"/>
      <c r="O264" s="1063"/>
      <c r="P264" s="1063"/>
      <c r="Q264" s="1063"/>
      <c r="R264" s="1069"/>
      <c r="S264" s="1093"/>
      <c r="T264" s="1063"/>
      <c r="U264" s="1063"/>
      <c r="V264" s="1063"/>
      <c r="W264" s="1063"/>
      <c r="X264" s="1033"/>
      <c r="Y264" s="1065" t="s">
        <v>1569</v>
      </c>
      <c r="Z264" s="386">
        <v>1193936.24</v>
      </c>
      <c r="AA264" s="386">
        <v>-477574.68</v>
      </c>
      <c r="AB264" s="386">
        <f t="shared" si="19"/>
        <v>716361.56</v>
      </c>
      <c r="AC264" s="1068">
        <v>40585</v>
      </c>
      <c r="AD264" s="395">
        <v>716361.56</v>
      </c>
      <c r="AE264" s="395" t="s">
        <v>137</v>
      </c>
      <c r="AF264" s="1044"/>
      <c r="AG264" s="1044"/>
      <c r="AH264" s="358">
        <f t="shared" ref="AH264:AH278" si="20">AB264-AD264</f>
        <v>0</v>
      </c>
      <c r="AI264" s="1044"/>
      <c r="AJ264" s="1063"/>
      <c r="AK264" s="1063"/>
      <c r="AL264" s="1063"/>
      <c r="AM264" s="1063"/>
      <c r="AN264" s="1109"/>
      <c r="AO264" s="1104"/>
      <c r="AP264" s="1104"/>
      <c r="AQ264" s="1104"/>
    </row>
    <row r="265" spans="1:44">
      <c r="A265" s="1033"/>
      <c r="B265" s="1069"/>
      <c r="C265" s="1033"/>
      <c r="D265" s="1033"/>
      <c r="E265" s="1072"/>
      <c r="F265" s="1072"/>
      <c r="G265" s="1033"/>
      <c r="H265" s="1033"/>
      <c r="I265" s="1033"/>
      <c r="J265" s="1033"/>
      <c r="K265" s="1033"/>
      <c r="L265" s="1033"/>
      <c r="M265" s="1287"/>
      <c r="N265" s="1067"/>
      <c r="O265" s="1064"/>
      <c r="P265" s="1063"/>
      <c r="Q265" s="1063"/>
      <c r="R265" s="1069"/>
      <c r="S265" s="1093"/>
      <c r="T265" s="1064"/>
      <c r="U265" s="1064"/>
      <c r="V265" s="1064"/>
      <c r="W265" s="1063"/>
      <c r="X265" s="1033"/>
      <c r="Y265" s="1067"/>
      <c r="Z265" s="386">
        <v>1790904.36</v>
      </c>
      <c r="AA265" s="386">
        <v>-716361.56</v>
      </c>
      <c r="AB265" s="386">
        <f t="shared" si="19"/>
        <v>1074542.8</v>
      </c>
      <c r="AC265" s="1070"/>
      <c r="AD265" s="395">
        <v>1074542.8</v>
      </c>
      <c r="AE265" s="395" t="s">
        <v>7</v>
      </c>
      <c r="AF265" s="1044"/>
      <c r="AG265" s="1044"/>
      <c r="AH265" s="358">
        <f t="shared" si="20"/>
        <v>0</v>
      </c>
      <c r="AI265" s="1045"/>
      <c r="AJ265" s="1063"/>
      <c r="AK265" s="1063"/>
      <c r="AL265" s="1063"/>
      <c r="AM265" s="1063"/>
      <c r="AN265" s="1109"/>
      <c r="AO265" s="1104"/>
      <c r="AP265" s="1104"/>
      <c r="AQ265" s="1104"/>
    </row>
    <row r="266" spans="1:44">
      <c r="A266" s="1033"/>
      <c r="B266" s="1069"/>
      <c r="C266" s="1033"/>
      <c r="D266" s="1033"/>
      <c r="E266" s="1072"/>
      <c r="F266" s="1072"/>
      <c r="G266" s="1033"/>
      <c r="H266" s="1033"/>
      <c r="I266" s="1033"/>
      <c r="J266" s="1033"/>
      <c r="K266" s="1033"/>
      <c r="L266" s="1033"/>
      <c r="M266" s="1287"/>
      <c r="N266" s="1065" t="s">
        <v>7</v>
      </c>
      <c r="O266" s="1062">
        <v>2558434.7999999998</v>
      </c>
      <c r="P266" s="1063"/>
      <c r="Q266" s="1063"/>
      <c r="R266" s="1069"/>
      <c r="S266" s="1093"/>
      <c r="T266" s="1062">
        <v>2558434.7999999998</v>
      </c>
      <c r="U266" s="1062">
        <f>O266-T266</f>
        <v>0</v>
      </c>
      <c r="V266" s="1062">
        <v>2558434.7999999998</v>
      </c>
      <c r="W266" s="1063"/>
      <c r="X266" s="1033"/>
      <c r="Y266" s="1065" t="s">
        <v>1577</v>
      </c>
      <c r="Z266" s="386">
        <v>341124.64</v>
      </c>
      <c r="AA266" s="386">
        <v>-136449.64000000001</v>
      </c>
      <c r="AB266" s="386">
        <f t="shared" si="19"/>
        <v>204675</v>
      </c>
      <c r="AC266" s="1068">
        <v>41017</v>
      </c>
      <c r="AD266" s="395">
        <v>204675</v>
      </c>
      <c r="AE266" s="395" t="s">
        <v>7</v>
      </c>
      <c r="AF266" s="1044"/>
      <c r="AG266" s="1044"/>
      <c r="AH266" s="358">
        <f t="shared" si="20"/>
        <v>0</v>
      </c>
      <c r="AI266" s="1043">
        <f>O266-AD265-AD266-AD267</f>
        <v>972204.99999999977</v>
      </c>
      <c r="AJ266" s="1063"/>
      <c r="AK266" s="1063"/>
      <c r="AL266" s="1063"/>
      <c r="AM266" s="1063"/>
      <c r="AN266" s="1109"/>
      <c r="AO266" s="1104"/>
      <c r="AP266" s="1104"/>
      <c r="AQ266" s="1104"/>
    </row>
    <row r="267" spans="1:44">
      <c r="A267" s="1033"/>
      <c r="B267" s="1069"/>
      <c r="C267" s="1033"/>
      <c r="D267" s="1033"/>
      <c r="E267" s="1072"/>
      <c r="F267" s="1072"/>
      <c r="G267" s="1033"/>
      <c r="H267" s="1033"/>
      <c r="I267" s="1033"/>
      <c r="J267" s="1033"/>
      <c r="K267" s="1033"/>
      <c r="L267" s="1033"/>
      <c r="M267" s="1287"/>
      <c r="N267" s="1066"/>
      <c r="O267" s="1063"/>
      <c r="P267" s="1063"/>
      <c r="Q267" s="1063"/>
      <c r="R267" s="1069"/>
      <c r="S267" s="1093"/>
      <c r="T267" s="1063"/>
      <c r="U267" s="1063"/>
      <c r="V267" s="1063"/>
      <c r="W267" s="1063"/>
      <c r="X267" s="1033"/>
      <c r="Y267" s="1067"/>
      <c r="Z267" s="386">
        <v>511686.95999999996</v>
      </c>
      <c r="AA267" s="386">
        <v>-204674.96</v>
      </c>
      <c r="AB267" s="386">
        <f t="shared" si="19"/>
        <v>307012</v>
      </c>
      <c r="AC267" s="1070"/>
      <c r="AD267" s="395">
        <v>307012</v>
      </c>
      <c r="AE267" s="395" t="s">
        <v>7</v>
      </c>
      <c r="AF267" s="1044"/>
      <c r="AG267" s="1044"/>
      <c r="AH267" s="358">
        <f t="shared" si="20"/>
        <v>0</v>
      </c>
      <c r="AI267" s="1044"/>
      <c r="AJ267" s="1063"/>
      <c r="AK267" s="1063"/>
      <c r="AL267" s="1063"/>
      <c r="AM267" s="1063"/>
      <c r="AN267" s="1109"/>
      <c r="AO267" s="1104"/>
      <c r="AP267" s="1104"/>
      <c r="AQ267" s="1104"/>
    </row>
    <row r="268" spans="1:44">
      <c r="A268" s="1033"/>
      <c r="B268" s="1069"/>
      <c r="C268" s="1033"/>
      <c r="D268" s="1033"/>
      <c r="E268" s="1072"/>
      <c r="F268" s="1072"/>
      <c r="G268" s="1033"/>
      <c r="H268" s="1033"/>
      <c r="I268" s="1033"/>
      <c r="J268" s="1033"/>
      <c r="K268" s="1033"/>
      <c r="L268" s="1033"/>
      <c r="M268" s="1287"/>
      <c r="N268" s="1066"/>
      <c r="O268" s="1063"/>
      <c r="P268" s="1063"/>
      <c r="Q268" s="1063"/>
      <c r="R268" s="1069"/>
      <c r="S268" s="1093"/>
      <c r="T268" s="1063"/>
      <c r="U268" s="1063"/>
      <c r="V268" s="1063"/>
      <c r="W268" s="1063"/>
      <c r="X268" s="1033"/>
      <c r="Y268" s="1065" t="s">
        <v>1578</v>
      </c>
      <c r="Z268" s="386">
        <v>170562.32</v>
      </c>
      <c r="AA268" s="386">
        <v>-68224.928</v>
      </c>
      <c r="AB268" s="386">
        <f t="shared" si="19"/>
        <v>102337.39200000001</v>
      </c>
      <c r="AC268" s="384"/>
      <c r="AD268" s="395">
        <v>0</v>
      </c>
      <c r="AE268" s="395"/>
      <c r="AF268" s="1044"/>
      <c r="AG268" s="1044"/>
      <c r="AH268" s="358">
        <f t="shared" si="20"/>
        <v>102337.39200000001</v>
      </c>
      <c r="AI268" s="1044"/>
      <c r="AJ268" s="1063"/>
      <c r="AK268" s="1063"/>
      <c r="AL268" s="1063"/>
      <c r="AM268" s="1063"/>
      <c r="AN268" s="1109"/>
      <c r="AO268" s="1104"/>
      <c r="AP268" s="1104"/>
      <c r="AQ268" s="1104"/>
    </row>
    <row r="269" spans="1:44">
      <c r="A269" s="1033"/>
      <c r="B269" s="1069"/>
      <c r="C269" s="1012"/>
      <c r="D269" s="1033"/>
      <c r="E269" s="1072"/>
      <c r="F269" s="1072"/>
      <c r="G269" s="1033"/>
      <c r="H269" s="1033"/>
      <c r="I269" s="1033"/>
      <c r="J269" s="1033"/>
      <c r="K269" s="1033"/>
      <c r="L269" s="1033"/>
      <c r="M269" s="1288"/>
      <c r="N269" s="1067"/>
      <c r="O269" s="1064"/>
      <c r="P269" s="1064"/>
      <c r="Q269" s="1063"/>
      <c r="R269" s="1070"/>
      <c r="S269" s="1094"/>
      <c r="T269" s="1064"/>
      <c r="U269" s="1064"/>
      <c r="V269" s="1064"/>
      <c r="W269" s="1063"/>
      <c r="X269" s="1033"/>
      <c r="Y269" s="1067"/>
      <c r="Z269" s="386">
        <v>255843.47999999998</v>
      </c>
      <c r="AA269" s="386">
        <v>-102337.232</v>
      </c>
      <c r="AB269" s="386">
        <f t="shared" si="19"/>
        <v>153506.24799999996</v>
      </c>
      <c r="AC269" s="384"/>
      <c r="AD269" s="395">
        <v>0</v>
      </c>
      <c r="AE269" s="395"/>
      <c r="AF269" s="1045"/>
      <c r="AG269" s="1044"/>
      <c r="AH269" s="358">
        <f t="shared" si="20"/>
        <v>153506.24799999996</v>
      </c>
      <c r="AI269" s="1045"/>
      <c r="AJ269" s="1063"/>
      <c r="AK269" s="1064"/>
      <c r="AL269" s="1064"/>
      <c r="AM269" s="1064"/>
      <c r="AN269" s="1109"/>
      <c r="AO269" s="1104"/>
      <c r="AP269" s="1104"/>
      <c r="AQ269" s="1104"/>
    </row>
    <row r="270" spans="1:44" ht="31.5">
      <c r="A270" s="1033"/>
      <c r="B270" s="1069"/>
      <c r="C270" s="1011" t="s">
        <v>20</v>
      </c>
      <c r="D270" s="1033"/>
      <c r="E270" s="1072"/>
      <c r="F270" s="1072"/>
      <c r="G270" s="1033"/>
      <c r="H270" s="1033"/>
      <c r="I270" s="1033"/>
      <c r="J270" s="1033"/>
      <c r="K270" s="1033"/>
      <c r="L270" s="1033"/>
      <c r="M270" s="1286">
        <v>71</v>
      </c>
      <c r="N270" s="1065" t="s">
        <v>137</v>
      </c>
      <c r="O270" s="1062">
        <v>2724000</v>
      </c>
      <c r="P270" s="1062">
        <f>O270+O274</f>
        <v>6810000</v>
      </c>
      <c r="Q270" s="1063"/>
      <c r="R270" s="1068">
        <v>40413</v>
      </c>
      <c r="S270" s="1092">
        <f>T270+T274</f>
        <v>6810000</v>
      </c>
      <c r="T270" s="1062">
        <v>2724000</v>
      </c>
      <c r="U270" s="1062">
        <f>O270-T270</f>
        <v>0</v>
      </c>
      <c r="V270" s="1062">
        <v>2724000</v>
      </c>
      <c r="W270" s="1063"/>
      <c r="X270" s="1033"/>
      <c r="Y270" s="372" t="s">
        <v>1566</v>
      </c>
      <c r="Z270" s="386">
        <v>0</v>
      </c>
      <c r="AA270" s="386">
        <v>2724000</v>
      </c>
      <c r="AB270" s="386">
        <f t="shared" si="19"/>
        <v>2724000</v>
      </c>
      <c r="AC270" s="384">
        <v>40438</v>
      </c>
      <c r="AD270" s="395">
        <v>2724000</v>
      </c>
      <c r="AE270" s="395" t="s">
        <v>137</v>
      </c>
      <c r="AF270" s="1043">
        <f>SUM(AD270:AD276)</f>
        <v>6115380</v>
      </c>
      <c r="AG270" s="1044"/>
      <c r="AH270" s="358">
        <f t="shared" si="20"/>
        <v>0</v>
      </c>
      <c r="AI270" s="1043">
        <f>O270-AD270-AD271-AD272</f>
        <v>-2043000</v>
      </c>
      <c r="AJ270" s="1063"/>
      <c r="AK270" s="1062">
        <f>P270-V270-V274</f>
        <v>0</v>
      </c>
      <c r="AL270" s="1062">
        <f>(V270+V274)-SUM(Z270:Z276)</f>
        <v>0</v>
      </c>
      <c r="AM270" s="1062">
        <f>AK270+AL270</f>
        <v>0</v>
      </c>
      <c r="AN270" s="1109"/>
      <c r="AO270" s="1104"/>
      <c r="AP270" s="1104"/>
      <c r="AQ270" s="1104"/>
      <c r="AR270" s="344" t="s">
        <v>2498</v>
      </c>
    </row>
    <row r="271" spans="1:44" ht="31.5">
      <c r="A271" s="1033"/>
      <c r="B271" s="1069"/>
      <c r="C271" s="1033"/>
      <c r="D271" s="1033"/>
      <c r="E271" s="1072"/>
      <c r="F271" s="1072"/>
      <c r="G271" s="1033"/>
      <c r="H271" s="1033"/>
      <c r="I271" s="1033"/>
      <c r="J271" s="1033"/>
      <c r="K271" s="1033"/>
      <c r="L271" s="1033"/>
      <c r="M271" s="1287"/>
      <c r="N271" s="1066"/>
      <c r="O271" s="1063"/>
      <c r="P271" s="1063"/>
      <c r="Q271" s="1063"/>
      <c r="R271" s="1069"/>
      <c r="S271" s="1093"/>
      <c r="T271" s="1063"/>
      <c r="U271" s="1063"/>
      <c r="V271" s="1063"/>
      <c r="W271" s="1063"/>
      <c r="X271" s="1033"/>
      <c r="Y271" s="1065" t="s">
        <v>1570</v>
      </c>
      <c r="Z271" s="386">
        <v>1362000</v>
      </c>
      <c r="AA271" s="386">
        <v>-544800</v>
      </c>
      <c r="AB271" s="386">
        <f t="shared" si="19"/>
        <v>817200</v>
      </c>
      <c r="AC271" s="1068">
        <v>40711</v>
      </c>
      <c r="AD271" s="395">
        <v>817200</v>
      </c>
      <c r="AE271" s="395" t="s">
        <v>137</v>
      </c>
      <c r="AF271" s="1044"/>
      <c r="AG271" s="1044"/>
      <c r="AH271" s="358">
        <f t="shared" si="20"/>
        <v>0</v>
      </c>
      <c r="AI271" s="1044"/>
      <c r="AJ271" s="1063"/>
      <c r="AK271" s="1063"/>
      <c r="AL271" s="1063"/>
      <c r="AM271" s="1063"/>
      <c r="AN271" s="1109"/>
      <c r="AO271" s="1104"/>
      <c r="AP271" s="1104"/>
      <c r="AQ271" s="1104"/>
    </row>
    <row r="272" spans="1:44" ht="31.5">
      <c r="A272" s="1033"/>
      <c r="B272" s="1069"/>
      <c r="C272" s="1033"/>
      <c r="D272" s="1033"/>
      <c r="E272" s="1072"/>
      <c r="F272" s="1072"/>
      <c r="G272" s="1033"/>
      <c r="H272" s="1033"/>
      <c r="I272" s="1033"/>
      <c r="J272" s="1033"/>
      <c r="K272" s="1033"/>
      <c r="L272" s="1033"/>
      <c r="M272" s="1287"/>
      <c r="N272" s="1066"/>
      <c r="O272" s="1063"/>
      <c r="P272" s="1063"/>
      <c r="Q272" s="1063"/>
      <c r="R272" s="1069"/>
      <c r="S272" s="1093"/>
      <c r="T272" s="1063"/>
      <c r="U272" s="1063"/>
      <c r="V272" s="1063"/>
      <c r="W272" s="1063"/>
      <c r="X272" s="1033"/>
      <c r="Y272" s="1067"/>
      <c r="Z272" s="386">
        <v>2043000</v>
      </c>
      <c r="AA272" s="386">
        <v>-817200</v>
      </c>
      <c r="AB272" s="386">
        <f t="shared" si="19"/>
        <v>1225800</v>
      </c>
      <c r="AC272" s="1070"/>
      <c r="AD272" s="395">
        <v>1225800</v>
      </c>
      <c r="AE272" s="395" t="s">
        <v>137</v>
      </c>
      <c r="AF272" s="1044"/>
      <c r="AG272" s="1044"/>
      <c r="AH272" s="358">
        <f t="shared" si="20"/>
        <v>0</v>
      </c>
      <c r="AI272" s="1044"/>
      <c r="AJ272" s="1063"/>
      <c r="AK272" s="1063"/>
      <c r="AL272" s="1063"/>
      <c r="AM272" s="1063"/>
      <c r="AN272" s="1109"/>
      <c r="AO272" s="1104"/>
      <c r="AP272" s="1104"/>
      <c r="AQ272" s="1104"/>
    </row>
    <row r="273" spans="1:43">
      <c r="A273" s="1033"/>
      <c r="B273" s="1069"/>
      <c r="C273" s="1033"/>
      <c r="D273" s="1033"/>
      <c r="E273" s="1072"/>
      <c r="F273" s="1072"/>
      <c r="G273" s="1033"/>
      <c r="H273" s="1033"/>
      <c r="I273" s="1033"/>
      <c r="J273" s="1033"/>
      <c r="K273" s="1033"/>
      <c r="L273" s="1033"/>
      <c r="M273" s="1287"/>
      <c r="N273" s="1067"/>
      <c r="O273" s="1064"/>
      <c r="P273" s="1063"/>
      <c r="Q273" s="1063"/>
      <c r="R273" s="1069"/>
      <c r="S273" s="1093"/>
      <c r="T273" s="1064"/>
      <c r="U273" s="1064"/>
      <c r="V273" s="1064"/>
      <c r="W273" s="1063"/>
      <c r="X273" s="1033"/>
      <c r="Y273" s="1065" t="s">
        <v>1576</v>
      </c>
      <c r="Z273" s="386">
        <v>898920</v>
      </c>
      <c r="AA273" s="386">
        <v>-359568</v>
      </c>
      <c r="AB273" s="386">
        <f t="shared" si="19"/>
        <v>539352</v>
      </c>
      <c r="AC273" s="1068">
        <v>41018</v>
      </c>
      <c r="AD273" s="395">
        <v>539352</v>
      </c>
      <c r="AE273" s="395" t="s">
        <v>7</v>
      </c>
      <c r="AF273" s="1044"/>
      <c r="AG273" s="1044"/>
      <c r="AH273" s="358">
        <f t="shared" si="20"/>
        <v>0</v>
      </c>
      <c r="AI273" s="1045"/>
      <c r="AJ273" s="1063"/>
      <c r="AK273" s="1063"/>
      <c r="AL273" s="1063"/>
      <c r="AM273" s="1063"/>
      <c r="AN273" s="1109"/>
      <c r="AO273" s="1104"/>
      <c r="AP273" s="1104"/>
      <c r="AQ273" s="1104"/>
    </row>
    <row r="274" spans="1:43">
      <c r="A274" s="1033"/>
      <c r="B274" s="1069"/>
      <c r="C274" s="1033"/>
      <c r="D274" s="1033"/>
      <c r="E274" s="1072"/>
      <c r="F274" s="1072"/>
      <c r="G274" s="1033"/>
      <c r="H274" s="1033"/>
      <c r="I274" s="1033"/>
      <c r="J274" s="1033"/>
      <c r="K274" s="1033"/>
      <c r="L274" s="1033"/>
      <c r="M274" s="1287"/>
      <c r="N274" s="1065" t="s">
        <v>7</v>
      </c>
      <c r="O274" s="1062">
        <v>4086000</v>
      </c>
      <c r="P274" s="1063"/>
      <c r="Q274" s="1063"/>
      <c r="R274" s="1069"/>
      <c r="S274" s="1093"/>
      <c r="T274" s="1062">
        <v>4086000</v>
      </c>
      <c r="U274" s="1062">
        <f>O274-T274</f>
        <v>0</v>
      </c>
      <c r="V274" s="1062">
        <v>4086000</v>
      </c>
      <c r="W274" s="1063"/>
      <c r="X274" s="1033"/>
      <c r="Y274" s="1067"/>
      <c r="Z274" s="386">
        <v>1348380</v>
      </c>
      <c r="AA274" s="386">
        <v>-539352</v>
      </c>
      <c r="AB274" s="386">
        <f t="shared" si="19"/>
        <v>809028</v>
      </c>
      <c r="AC274" s="1070"/>
      <c r="AD274" s="395">
        <v>809028</v>
      </c>
      <c r="AE274" s="395" t="s">
        <v>7</v>
      </c>
      <c r="AF274" s="1044"/>
      <c r="AG274" s="1044"/>
      <c r="AH274" s="358">
        <f t="shared" si="20"/>
        <v>0</v>
      </c>
      <c r="AI274" s="1043">
        <f>O274-AD273-AD274</f>
        <v>2737620</v>
      </c>
      <c r="AJ274" s="1063"/>
      <c r="AK274" s="1063"/>
      <c r="AL274" s="1063"/>
      <c r="AM274" s="1063"/>
      <c r="AN274" s="1109"/>
      <c r="AO274" s="1104"/>
      <c r="AP274" s="1104"/>
      <c r="AQ274" s="1104"/>
    </row>
    <row r="275" spans="1:43">
      <c r="A275" s="1033"/>
      <c r="B275" s="1069"/>
      <c r="C275" s="1033"/>
      <c r="D275" s="1033"/>
      <c r="E275" s="1072"/>
      <c r="F275" s="1072"/>
      <c r="G275" s="1033"/>
      <c r="H275" s="1033"/>
      <c r="I275" s="1033"/>
      <c r="J275" s="1033"/>
      <c r="K275" s="1033"/>
      <c r="L275" s="1033"/>
      <c r="M275" s="1287"/>
      <c r="N275" s="1066"/>
      <c r="O275" s="1063"/>
      <c r="P275" s="1063"/>
      <c r="Q275" s="1063"/>
      <c r="R275" s="1069"/>
      <c r="S275" s="1093"/>
      <c r="T275" s="1063"/>
      <c r="U275" s="1063"/>
      <c r="V275" s="1063"/>
      <c r="W275" s="1063"/>
      <c r="X275" s="1033"/>
      <c r="Y275" s="1065" t="s">
        <v>1578</v>
      </c>
      <c r="Z275" s="386">
        <v>463080</v>
      </c>
      <c r="AA275" s="386">
        <v>-185232</v>
      </c>
      <c r="AB275" s="386">
        <f t="shared" si="19"/>
        <v>277848</v>
      </c>
      <c r="AC275" s="384"/>
      <c r="AD275" s="395">
        <v>0</v>
      </c>
      <c r="AE275" s="395"/>
      <c r="AF275" s="1044"/>
      <c r="AG275" s="1044"/>
      <c r="AH275" s="358">
        <f t="shared" si="20"/>
        <v>277848</v>
      </c>
      <c r="AI275" s="1044"/>
      <c r="AJ275" s="1063"/>
      <c r="AK275" s="1063"/>
      <c r="AL275" s="1063"/>
      <c r="AM275" s="1063"/>
      <c r="AN275" s="1109"/>
      <c r="AO275" s="1104"/>
      <c r="AP275" s="1104"/>
      <c r="AQ275" s="1104"/>
    </row>
    <row r="276" spans="1:43">
      <c r="A276" s="1033"/>
      <c r="B276" s="1069"/>
      <c r="C276" s="1012"/>
      <c r="D276" s="1033"/>
      <c r="E276" s="1072"/>
      <c r="F276" s="1072"/>
      <c r="G276" s="1033"/>
      <c r="H276" s="1033"/>
      <c r="I276" s="1033"/>
      <c r="J276" s="1012"/>
      <c r="K276" s="1033"/>
      <c r="L276" s="1033"/>
      <c r="M276" s="1288"/>
      <c r="N276" s="1067"/>
      <c r="O276" s="1064"/>
      <c r="P276" s="1064"/>
      <c r="Q276" s="1063"/>
      <c r="R276" s="1070"/>
      <c r="S276" s="1094"/>
      <c r="T276" s="1064"/>
      <c r="U276" s="1064"/>
      <c r="V276" s="1064"/>
      <c r="W276" s="1063"/>
      <c r="X276" s="1033"/>
      <c r="Y276" s="1067"/>
      <c r="Z276" s="386">
        <v>694620</v>
      </c>
      <c r="AA276" s="386">
        <v>-277848</v>
      </c>
      <c r="AB276" s="386">
        <f t="shared" si="19"/>
        <v>416772</v>
      </c>
      <c r="AC276" s="384"/>
      <c r="AD276" s="395">
        <v>0</v>
      </c>
      <c r="AE276" s="395"/>
      <c r="AF276" s="1045"/>
      <c r="AG276" s="1044"/>
      <c r="AH276" s="358">
        <f t="shared" si="20"/>
        <v>416772</v>
      </c>
      <c r="AI276" s="1045"/>
      <c r="AJ276" s="1063"/>
      <c r="AK276" s="1064"/>
      <c r="AL276" s="1064"/>
      <c r="AM276" s="1064"/>
      <c r="AN276" s="1109"/>
      <c r="AO276" s="1104"/>
      <c r="AP276" s="1104"/>
      <c r="AQ276" s="1104"/>
    </row>
    <row r="277" spans="1:43" ht="47.25">
      <c r="A277" s="1033"/>
      <c r="B277" s="1069"/>
      <c r="C277" s="1011" t="s">
        <v>43</v>
      </c>
      <c r="D277" s="1033"/>
      <c r="E277" s="1072"/>
      <c r="F277" s="1072"/>
      <c r="G277" s="1033"/>
      <c r="H277" s="1033"/>
      <c r="I277" s="1033"/>
      <c r="J277" s="1011" t="s">
        <v>67</v>
      </c>
      <c r="K277" s="1033"/>
      <c r="L277" s="1033"/>
      <c r="M277" s="1286">
        <v>168</v>
      </c>
      <c r="N277" s="1065" t="s">
        <v>7</v>
      </c>
      <c r="O277" s="1062">
        <v>2008742</v>
      </c>
      <c r="P277" s="1062">
        <v>2008742</v>
      </c>
      <c r="Q277" s="1063"/>
      <c r="R277" s="1068">
        <v>40707</v>
      </c>
      <c r="S277" s="1092">
        <f>T277</f>
        <v>2008742</v>
      </c>
      <c r="T277" s="1092">
        <v>2008742</v>
      </c>
      <c r="U277" s="1092">
        <f>O277-T277</f>
        <v>0</v>
      </c>
      <c r="V277" s="1062">
        <v>2008742</v>
      </c>
      <c r="W277" s="1063"/>
      <c r="X277" s="1033"/>
      <c r="Y277" s="372" t="s">
        <v>1573</v>
      </c>
      <c r="Z277" s="386">
        <v>1004371</v>
      </c>
      <c r="AA277" s="386">
        <v>0</v>
      </c>
      <c r="AB277" s="386">
        <f t="shared" si="19"/>
        <v>1004371</v>
      </c>
      <c r="AC277" s="384">
        <v>41089</v>
      </c>
      <c r="AD277" s="395">
        <v>1004371</v>
      </c>
      <c r="AE277" s="395" t="s">
        <v>7</v>
      </c>
      <c r="AF277" s="1043">
        <f>SUM(AD277:AD278)</f>
        <v>1004371</v>
      </c>
      <c r="AG277" s="1044"/>
      <c r="AH277" s="358">
        <f t="shared" si="20"/>
        <v>0</v>
      </c>
      <c r="AI277" s="1043">
        <f>O277-AD277+AD278</f>
        <v>1004371</v>
      </c>
      <c r="AJ277" s="1063"/>
      <c r="AK277" s="1062">
        <f>P277-V277</f>
        <v>0</v>
      </c>
      <c r="AL277" s="1062">
        <f>V277-Z277-Z278</f>
        <v>0</v>
      </c>
      <c r="AM277" s="1062">
        <f>AK277+AL277</f>
        <v>0</v>
      </c>
      <c r="AN277" s="1109"/>
      <c r="AO277" s="1104"/>
      <c r="AP277" s="1104"/>
      <c r="AQ277" s="1104"/>
    </row>
    <row r="278" spans="1:43">
      <c r="A278" s="1033"/>
      <c r="B278" s="1069"/>
      <c r="C278" s="1033"/>
      <c r="D278" s="1033"/>
      <c r="E278" s="1072"/>
      <c r="F278" s="1072"/>
      <c r="G278" s="1033"/>
      <c r="H278" s="1033"/>
      <c r="I278" s="1033"/>
      <c r="J278" s="1012"/>
      <c r="K278" s="1033"/>
      <c r="L278" s="1033"/>
      <c r="M278" s="1288"/>
      <c r="N278" s="1067"/>
      <c r="O278" s="1064"/>
      <c r="P278" s="1064"/>
      <c r="Q278" s="1063"/>
      <c r="R278" s="1070"/>
      <c r="S278" s="1094"/>
      <c r="T278" s="1094"/>
      <c r="U278" s="1094"/>
      <c r="V278" s="1064"/>
      <c r="W278" s="1063"/>
      <c r="X278" s="1033"/>
      <c r="Y278" s="372" t="s">
        <v>1578</v>
      </c>
      <c r="Z278" s="386">
        <v>1004371</v>
      </c>
      <c r="AA278" s="386">
        <v>0</v>
      </c>
      <c r="AB278" s="386">
        <f t="shared" si="19"/>
        <v>1004371</v>
      </c>
      <c r="AC278" s="384"/>
      <c r="AD278" s="395">
        <v>0</v>
      </c>
      <c r="AE278" s="395"/>
      <c r="AF278" s="1045"/>
      <c r="AG278" s="1044"/>
      <c r="AH278" s="358">
        <f t="shared" si="20"/>
        <v>1004371</v>
      </c>
      <c r="AI278" s="1045"/>
      <c r="AJ278" s="1063"/>
      <c r="AK278" s="1064"/>
      <c r="AL278" s="1064"/>
      <c r="AM278" s="1064"/>
      <c r="AN278" s="1109"/>
      <c r="AO278" s="1104"/>
      <c r="AP278" s="1104"/>
      <c r="AQ278" s="1104"/>
    </row>
    <row r="279" spans="1:43" ht="31.5">
      <c r="A279" s="1033"/>
      <c r="B279" s="1069"/>
      <c r="C279" s="1033"/>
      <c r="D279" s="1033"/>
      <c r="E279" s="1072"/>
      <c r="F279" s="1072"/>
      <c r="G279" s="1033"/>
      <c r="H279" s="1033"/>
      <c r="I279" s="1033"/>
      <c r="J279" s="1011" t="s">
        <v>171</v>
      </c>
      <c r="K279" s="1033"/>
      <c r="L279" s="1033"/>
      <c r="M279" s="1286">
        <v>174</v>
      </c>
      <c r="N279" s="1065" t="s">
        <v>7</v>
      </c>
      <c r="O279" s="1062">
        <v>1956215</v>
      </c>
      <c r="P279" s="1062">
        <v>1956215</v>
      </c>
      <c r="Q279" s="1063"/>
      <c r="R279" s="1068">
        <v>40745</v>
      </c>
      <c r="S279" s="1092">
        <f>T279</f>
        <v>1956215</v>
      </c>
      <c r="T279" s="1092">
        <v>1956215</v>
      </c>
      <c r="U279" s="1092">
        <f>O279-T279</f>
        <v>0</v>
      </c>
      <c r="V279" s="1062">
        <v>1956215</v>
      </c>
      <c r="W279" s="1063"/>
      <c r="X279" s="1033"/>
      <c r="Y279" s="372" t="s">
        <v>1574</v>
      </c>
      <c r="Z279" s="386">
        <v>978108</v>
      </c>
      <c r="AA279" s="386">
        <v>0</v>
      </c>
      <c r="AB279" s="386">
        <f t="shared" si="19"/>
        <v>978108</v>
      </c>
      <c r="AC279" s="384">
        <v>41089</v>
      </c>
      <c r="AD279" s="395">
        <v>978108</v>
      </c>
      <c r="AE279" s="395" t="s">
        <v>7</v>
      </c>
      <c r="AF279" s="1043">
        <f>SUM(AD279:AD280)</f>
        <v>978108</v>
      </c>
      <c r="AG279" s="1044"/>
      <c r="AH279" s="358">
        <f>AB279+AD279</f>
        <v>1956216</v>
      </c>
      <c r="AI279" s="1043">
        <f>O279-SUM(AD279:AD280)</f>
        <v>978107</v>
      </c>
      <c r="AJ279" s="1063"/>
      <c r="AK279" s="1062">
        <f>P279-V279</f>
        <v>0</v>
      </c>
      <c r="AL279" s="1062">
        <f>V279-Z279-Z280</f>
        <v>0</v>
      </c>
      <c r="AM279" s="1062">
        <f>AK279+AL279</f>
        <v>0</v>
      </c>
      <c r="AN279" s="1109"/>
      <c r="AO279" s="1104"/>
      <c r="AP279" s="1104"/>
      <c r="AQ279" s="1104"/>
    </row>
    <row r="280" spans="1:43">
      <c r="A280" s="1012"/>
      <c r="B280" s="1070"/>
      <c r="C280" s="1012"/>
      <c r="D280" s="1012"/>
      <c r="E280" s="1073"/>
      <c r="F280" s="1073"/>
      <c r="G280" s="1012"/>
      <c r="H280" s="1012"/>
      <c r="I280" s="1012"/>
      <c r="J280" s="1012"/>
      <c r="K280" s="1012"/>
      <c r="L280" s="1012"/>
      <c r="M280" s="1288"/>
      <c r="N280" s="1067"/>
      <c r="O280" s="1064"/>
      <c r="P280" s="1064"/>
      <c r="Q280" s="1064"/>
      <c r="R280" s="1070"/>
      <c r="S280" s="1094"/>
      <c r="T280" s="1094"/>
      <c r="U280" s="1094"/>
      <c r="V280" s="1064"/>
      <c r="W280" s="1064"/>
      <c r="X280" s="1012"/>
      <c r="Y280" s="372" t="s">
        <v>1578</v>
      </c>
      <c r="Z280" s="386">
        <v>978107</v>
      </c>
      <c r="AA280" s="386">
        <v>0</v>
      </c>
      <c r="AB280" s="386">
        <f t="shared" si="19"/>
        <v>978107</v>
      </c>
      <c r="AC280" s="384"/>
      <c r="AD280" s="395">
        <v>0</v>
      </c>
      <c r="AE280" s="395"/>
      <c r="AF280" s="1045"/>
      <c r="AG280" s="1045"/>
      <c r="AH280" s="358">
        <f>AB280+AD280</f>
        <v>978107</v>
      </c>
      <c r="AI280" s="1045"/>
      <c r="AJ280" s="1064"/>
      <c r="AK280" s="1064"/>
      <c r="AL280" s="1064"/>
      <c r="AM280" s="1064"/>
      <c r="AN280" s="1110"/>
      <c r="AO280" s="1105"/>
      <c r="AP280" s="1105"/>
      <c r="AQ280" s="1105"/>
    </row>
    <row r="281" spans="1:43" s="10" customFormat="1" ht="47.25">
      <c r="A281" s="1296" t="s">
        <v>431</v>
      </c>
      <c r="B281" s="1305">
        <v>40301</v>
      </c>
      <c r="C281" s="1310" t="s">
        <v>26</v>
      </c>
      <c r="D281" s="1076" t="s">
        <v>433</v>
      </c>
      <c r="E281" s="1306">
        <v>76315995</v>
      </c>
      <c r="F281" s="1306"/>
      <c r="G281" s="1076" t="s">
        <v>432</v>
      </c>
      <c r="H281" s="1296" t="s">
        <v>70</v>
      </c>
      <c r="I281" s="1296" t="s">
        <v>177</v>
      </c>
      <c r="J281" s="1310" t="s">
        <v>66</v>
      </c>
      <c r="K281" s="1076" t="s">
        <v>217</v>
      </c>
      <c r="L281" s="1076" t="s">
        <v>436</v>
      </c>
      <c r="M281" s="1292">
        <v>72</v>
      </c>
      <c r="N281" s="170" t="s">
        <v>137</v>
      </c>
      <c r="O281" s="416">
        <v>2476910.7999999998</v>
      </c>
      <c r="P281" s="1265">
        <f>O281+O282</f>
        <v>6192277</v>
      </c>
      <c r="Q281" s="1258">
        <f>SUM(P281:P293)</f>
        <v>20906986</v>
      </c>
      <c r="R281" s="1332">
        <v>40413</v>
      </c>
      <c r="S281" s="1265">
        <f>T281+T282</f>
        <v>6192277</v>
      </c>
      <c r="T281" s="416">
        <v>2476910.7999999998</v>
      </c>
      <c r="U281" s="416">
        <f>O281-T281</f>
        <v>0</v>
      </c>
      <c r="V281" s="416">
        <v>2476910.7999999998</v>
      </c>
      <c r="W281" s="1258">
        <f>SUM(V281:V293)</f>
        <v>20906986</v>
      </c>
      <c r="X281" s="1349" t="s">
        <v>282</v>
      </c>
      <c r="Y281" s="372" t="s">
        <v>434</v>
      </c>
      <c r="Z281" s="416">
        <v>0</v>
      </c>
      <c r="AA281" s="416">
        <v>2476910.7999999998</v>
      </c>
      <c r="AB281" s="416">
        <f t="shared" si="19"/>
        <v>2476910.7999999998</v>
      </c>
      <c r="AC281" s="426">
        <v>40554</v>
      </c>
      <c r="AD281" s="57">
        <v>2476910.7999999998</v>
      </c>
      <c r="AE281" s="416" t="s">
        <v>137</v>
      </c>
      <c r="AF281" s="1265">
        <f>SUM(AD281:AD283)</f>
        <v>2476910.7999999998</v>
      </c>
      <c r="AG281" s="1258">
        <f>SUM(AF281:AF293)</f>
        <v>7810794.4000000004</v>
      </c>
      <c r="AH281" s="416">
        <f t="shared" ref="AH281:AH293" si="21">AB281-AD281</f>
        <v>0</v>
      </c>
      <c r="AI281" s="416"/>
      <c r="AJ281" s="1265">
        <f>SUM(Z281:Z283)-SUM(AD281:AD283)</f>
        <v>3715366.2</v>
      </c>
      <c r="AK281" s="1265">
        <f>P281-V281-V282</f>
        <v>0</v>
      </c>
      <c r="AL281" s="1265">
        <f>SUM(V281:V283)-SUM(Z281:Z283)</f>
        <v>0</v>
      </c>
      <c r="AM281" s="1265">
        <f>AK281+AL281</f>
        <v>0</v>
      </c>
      <c r="AN281" s="1203" t="s">
        <v>437</v>
      </c>
      <c r="AO281" s="1204" t="s">
        <v>804</v>
      </c>
      <c r="AP281" s="1259" t="s">
        <v>194</v>
      </c>
      <c r="AQ281" s="1204" t="s">
        <v>368</v>
      </c>
    </row>
    <row r="282" spans="1:43" s="10" customFormat="1">
      <c r="A282" s="1296"/>
      <c r="B282" s="1305"/>
      <c r="C282" s="1311"/>
      <c r="D282" s="1076"/>
      <c r="E282" s="1306"/>
      <c r="F282" s="1306"/>
      <c r="G282" s="1076"/>
      <c r="H282" s="1296"/>
      <c r="I282" s="1296"/>
      <c r="J282" s="1311"/>
      <c r="K282" s="1076"/>
      <c r="L282" s="1076"/>
      <c r="M282" s="1293"/>
      <c r="N282" s="1065" t="s">
        <v>7</v>
      </c>
      <c r="O282" s="1265">
        <v>3715366.2</v>
      </c>
      <c r="P282" s="1266"/>
      <c r="Q282" s="1258"/>
      <c r="R282" s="1333"/>
      <c r="S282" s="1266"/>
      <c r="T282" s="1265">
        <v>3715366.2</v>
      </c>
      <c r="U282" s="1265">
        <f>O282-T282</f>
        <v>0</v>
      </c>
      <c r="V282" s="1265">
        <v>3715366.2</v>
      </c>
      <c r="W282" s="1258"/>
      <c r="X282" s="1349"/>
      <c r="Y282" s="1313"/>
      <c r="Z282" s="416">
        <v>2476910.7999999998</v>
      </c>
      <c r="AA282" s="416">
        <v>-2476910.7999999998</v>
      </c>
      <c r="AB282" s="416">
        <f t="shared" si="19"/>
        <v>0</v>
      </c>
      <c r="AC282" s="426"/>
      <c r="AD282" s="57">
        <v>0</v>
      </c>
      <c r="AE282" s="416" t="s">
        <v>137</v>
      </c>
      <c r="AF282" s="1266"/>
      <c r="AG282" s="1258"/>
      <c r="AH282" s="416">
        <f t="shared" si="21"/>
        <v>0</v>
      </c>
      <c r="AI282" s="1265"/>
      <c r="AJ282" s="1266"/>
      <c r="AK282" s="1266"/>
      <c r="AL282" s="1266"/>
      <c r="AM282" s="1266"/>
      <c r="AN282" s="1203"/>
      <c r="AO282" s="1204"/>
      <c r="AP282" s="1259"/>
      <c r="AQ282" s="1204"/>
    </row>
    <row r="283" spans="1:43" s="10" customFormat="1">
      <c r="A283" s="1296"/>
      <c r="B283" s="1305"/>
      <c r="C283" s="1311"/>
      <c r="D283" s="1076"/>
      <c r="E283" s="1306"/>
      <c r="F283" s="1306"/>
      <c r="G283" s="1076"/>
      <c r="H283" s="1296"/>
      <c r="I283" s="1296"/>
      <c r="J283" s="1311"/>
      <c r="K283" s="1076"/>
      <c r="L283" s="1076"/>
      <c r="M283" s="1294"/>
      <c r="N283" s="1067"/>
      <c r="O283" s="1267"/>
      <c r="P283" s="1267"/>
      <c r="Q283" s="1258"/>
      <c r="R283" s="1334"/>
      <c r="S283" s="1267"/>
      <c r="T283" s="1267"/>
      <c r="U283" s="1267"/>
      <c r="V283" s="1267"/>
      <c r="W283" s="1258"/>
      <c r="X283" s="1349"/>
      <c r="Y283" s="1314"/>
      <c r="Z283" s="416">
        <v>3715366.2</v>
      </c>
      <c r="AA283" s="416">
        <v>0</v>
      </c>
      <c r="AB283" s="416">
        <f t="shared" si="19"/>
        <v>3715366.2</v>
      </c>
      <c r="AC283" s="426"/>
      <c r="AD283" s="57">
        <v>0</v>
      </c>
      <c r="AE283" s="416" t="s">
        <v>7</v>
      </c>
      <c r="AF283" s="1267"/>
      <c r="AG283" s="1258"/>
      <c r="AH283" s="416">
        <f t="shared" si="21"/>
        <v>3715366.2</v>
      </c>
      <c r="AI283" s="1267"/>
      <c r="AJ283" s="1267"/>
      <c r="AK283" s="1267"/>
      <c r="AL283" s="1267"/>
      <c r="AM283" s="1267"/>
      <c r="AN283" s="1203"/>
      <c r="AO283" s="1204"/>
      <c r="AP283" s="1259"/>
      <c r="AQ283" s="1204"/>
    </row>
    <row r="284" spans="1:43" s="10" customFormat="1" ht="47.25">
      <c r="A284" s="1296"/>
      <c r="B284" s="1305"/>
      <c r="C284" s="1311"/>
      <c r="D284" s="1076"/>
      <c r="E284" s="1306"/>
      <c r="F284" s="1306"/>
      <c r="G284" s="1076"/>
      <c r="H284" s="1296"/>
      <c r="I284" s="1296"/>
      <c r="J284" s="1311"/>
      <c r="K284" s="1076"/>
      <c r="L284" s="1076"/>
      <c r="M284" s="1292">
        <v>73</v>
      </c>
      <c r="N284" s="170" t="s">
        <v>137</v>
      </c>
      <c r="O284" s="416">
        <v>1576563.6</v>
      </c>
      <c r="P284" s="1265">
        <f>O284+O285</f>
        <v>3941409</v>
      </c>
      <c r="Q284" s="1258"/>
      <c r="R284" s="1332">
        <v>40413</v>
      </c>
      <c r="S284" s="1265">
        <f>T284+T285</f>
        <v>3941409</v>
      </c>
      <c r="T284" s="416">
        <v>1576563.6</v>
      </c>
      <c r="U284" s="416">
        <f>O284-T284</f>
        <v>0</v>
      </c>
      <c r="V284" s="416">
        <v>1576563.6</v>
      </c>
      <c r="W284" s="1258"/>
      <c r="X284" s="1349"/>
      <c r="Y284" s="372" t="s">
        <v>434</v>
      </c>
      <c r="Z284" s="416">
        <v>0</v>
      </c>
      <c r="AA284" s="416">
        <v>1576563.6</v>
      </c>
      <c r="AB284" s="416">
        <f t="shared" si="19"/>
        <v>1576563.6</v>
      </c>
      <c r="AC284" s="426">
        <v>40554</v>
      </c>
      <c r="AD284" s="57">
        <f>O284</f>
        <v>1576563.6</v>
      </c>
      <c r="AE284" s="416" t="s">
        <v>137</v>
      </c>
      <c r="AF284" s="1265">
        <f>SUM(AD284:AD286)</f>
        <v>1576563.6</v>
      </c>
      <c r="AG284" s="1258"/>
      <c r="AH284" s="416">
        <f t="shared" si="21"/>
        <v>0</v>
      </c>
      <c r="AI284" s="416"/>
      <c r="AJ284" s="1265">
        <f>SUM(Z284:Z286)-SUM(AD284:AD286)</f>
        <v>2364845.4</v>
      </c>
      <c r="AK284" s="1265">
        <f>P284-V284-V285</f>
        <v>0</v>
      </c>
      <c r="AL284" s="1265">
        <f>SUM(V284:V286)-SUM(Z284:Z286)</f>
        <v>0</v>
      </c>
      <c r="AM284" s="1265">
        <f>AK284+AL284</f>
        <v>0</v>
      </c>
      <c r="AN284" s="1203"/>
      <c r="AO284" s="1204"/>
      <c r="AP284" s="1259"/>
      <c r="AQ284" s="1204"/>
    </row>
    <row r="285" spans="1:43" s="10" customFormat="1">
      <c r="A285" s="1296"/>
      <c r="B285" s="1305"/>
      <c r="C285" s="1311"/>
      <c r="D285" s="1076"/>
      <c r="E285" s="1306"/>
      <c r="F285" s="1306"/>
      <c r="G285" s="1076"/>
      <c r="H285" s="1296"/>
      <c r="I285" s="1296"/>
      <c r="J285" s="1311"/>
      <c r="K285" s="1076"/>
      <c r="L285" s="1076"/>
      <c r="M285" s="1293"/>
      <c r="N285" s="1065" t="s">
        <v>7</v>
      </c>
      <c r="O285" s="1265">
        <v>2364845.4</v>
      </c>
      <c r="P285" s="1266"/>
      <c r="Q285" s="1258"/>
      <c r="R285" s="1333"/>
      <c r="S285" s="1266"/>
      <c r="T285" s="1265">
        <v>2364845.4</v>
      </c>
      <c r="U285" s="1265">
        <f>O285-T285</f>
        <v>0</v>
      </c>
      <c r="V285" s="1265">
        <v>2364845.4</v>
      </c>
      <c r="W285" s="1258"/>
      <c r="X285" s="1349"/>
      <c r="Y285" s="1313"/>
      <c r="Z285" s="416">
        <v>1576563.6</v>
      </c>
      <c r="AA285" s="416">
        <v>-1576563.6</v>
      </c>
      <c r="AB285" s="416">
        <f t="shared" si="19"/>
        <v>0</v>
      </c>
      <c r="AC285" s="426"/>
      <c r="AD285" s="57">
        <v>0</v>
      </c>
      <c r="AE285" s="416" t="s">
        <v>137</v>
      </c>
      <c r="AF285" s="1266"/>
      <c r="AG285" s="1258"/>
      <c r="AH285" s="416">
        <f t="shared" si="21"/>
        <v>0</v>
      </c>
      <c r="AI285" s="1265"/>
      <c r="AJ285" s="1266"/>
      <c r="AK285" s="1266"/>
      <c r="AL285" s="1266"/>
      <c r="AM285" s="1266"/>
      <c r="AN285" s="1203"/>
      <c r="AO285" s="1204"/>
      <c r="AP285" s="1259"/>
      <c r="AQ285" s="1204"/>
    </row>
    <row r="286" spans="1:43" s="10" customFormat="1">
      <c r="A286" s="1296"/>
      <c r="B286" s="1305"/>
      <c r="C286" s="1312"/>
      <c r="D286" s="1076"/>
      <c r="E286" s="1306"/>
      <c r="F286" s="1306"/>
      <c r="G286" s="1076"/>
      <c r="H286" s="1296"/>
      <c r="I286" s="1296"/>
      <c r="J286" s="1311"/>
      <c r="K286" s="1076"/>
      <c r="L286" s="1076"/>
      <c r="M286" s="1294"/>
      <c r="N286" s="1067"/>
      <c r="O286" s="1267"/>
      <c r="P286" s="1267"/>
      <c r="Q286" s="1258"/>
      <c r="R286" s="1334"/>
      <c r="S286" s="1267"/>
      <c r="T286" s="1267"/>
      <c r="U286" s="1267"/>
      <c r="V286" s="1267"/>
      <c r="W286" s="1258"/>
      <c r="X286" s="1349"/>
      <c r="Y286" s="1314"/>
      <c r="Z286" s="416">
        <v>2364845.4</v>
      </c>
      <c r="AA286" s="416">
        <v>0</v>
      </c>
      <c r="AB286" s="416">
        <f t="shared" si="19"/>
        <v>2364845.4</v>
      </c>
      <c r="AC286" s="426"/>
      <c r="AD286" s="57">
        <v>0</v>
      </c>
      <c r="AE286" s="416" t="s">
        <v>7</v>
      </c>
      <c r="AF286" s="1267"/>
      <c r="AG286" s="1258"/>
      <c r="AH286" s="416">
        <f t="shared" si="21"/>
        <v>2364845.4</v>
      </c>
      <c r="AI286" s="1267"/>
      <c r="AJ286" s="1267"/>
      <c r="AK286" s="1267"/>
      <c r="AL286" s="1267"/>
      <c r="AM286" s="1267"/>
      <c r="AN286" s="1203"/>
      <c r="AO286" s="1204"/>
      <c r="AP286" s="1259"/>
      <c r="AQ286" s="1204"/>
    </row>
    <row r="287" spans="1:43" s="10" customFormat="1" ht="47.25">
      <c r="A287" s="1296"/>
      <c r="B287" s="1305"/>
      <c r="C287" s="1296" t="s">
        <v>29</v>
      </c>
      <c r="D287" s="1076"/>
      <c r="E287" s="1306"/>
      <c r="F287" s="1306"/>
      <c r="G287" s="1076"/>
      <c r="H287" s="1296"/>
      <c r="I287" s="1296"/>
      <c r="J287" s="1311"/>
      <c r="K287" s="1076"/>
      <c r="L287" s="1076"/>
      <c r="M287" s="1292">
        <v>74</v>
      </c>
      <c r="N287" s="170" t="s">
        <v>137</v>
      </c>
      <c r="O287" s="416">
        <v>1657320</v>
      </c>
      <c r="P287" s="1265">
        <f>O287+O288</f>
        <v>4143300</v>
      </c>
      <c r="Q287" s="1258"/>
      <c r="R287" s="1332">
        <v>40413</v>
      </c>
      <c r="S287" s="1265">
        <f>T287+T288</f>
        <v>4143300</v>
      </c>
      <c r="T287" s="416">
        <v>1657320</v>
      </c>
      <c r="U287" s="416">
        <f>O287-T287</f>
        <v>0</v>
      </c>
      <c r="V287" s="416">
        <v>1657320</v>
      </c>
      <c r="W287" s="1258"/>
      <c r="X287" s="1349"/>
      <c r="Y287" s="372" t="s">
        <v>435</v>
      </c>
      <c r="Z287" s="416">
        <v>0</v>
      </c>
      <c r="AA287" s="416">
        <v>1657320</v>
      </c>
      <c r="AB287" s="416">
        <f t="shared" si="19"/>
        <v>1657320</v>
      </c>
      <c r="AC287" s="426">
        <v>40554</v>
      </c>
      <c r="AD287" s="57">
        <f>O287</f>
        <v>1657320</v>
      </c>
      <c r="AE287" s="416" t="s">
        <v>137</v>
      </c>
      <c r="AF287" s="1265">
        <f>SUM(AD287:AD289)</f>
        <v>1657320</v>
      </c>
      <c r="AG287" s="1258"/>
      <c r="AH287" s="416">
        <f t="shared" si="21"/>
        <v>0</v>
      </c>
      <c r="AI287" s="416"/>
      <c r="AJ287" s="1265">
        <f>SUM(Z287:Z289)-SUM(AD287:AD289)</f>
        <v>2485980</v>
      </c>
      <c r="AK287" s="1265">
        <f>P287-V287-V288</f>
        <v>0</v>
      </c>
      <c r="AL287" s="1265">
        <f>SUM(V287:V289)-SUM(Z287:Z289)</f>
        <v>0</v>
      </c>
      <c r="AM287" s="1265">
        <f>AK287+AL287</f>
        <v>0</v>
      </c>
      <c r="AN287" s="1203"/>
      <c r="AO287" s="1204"/>
      <c r="AP287" s="1259"/>
      <c r="AQ287" s="1204"/>
    </row>
    <row r="288" spans="1:43" s="10" customFormat="1">
      <c r="A288" s="1296"/>
      <c r="B288" s="1305"/>
      <c r="C288" s="1296"/>
      <c r="D288" s="1076"/>
      <c r="E288" s="1306"/>
      <c r="F288" s="1306"/>
      <c r="G288" s="1076"/>
      <c r="H288" s="1296"/>
      <c r="I288" s="1296"/>
      <c r="J288" s="1311"/>
      <c r="K288" s="1076"/>
      <c r="L288" s="1076"/>
      <c r="M288" s="1293"/>
      <c r="N288" s="1065" t="s">
        <v>7</v>
      </c>
      <c r="O288" s="1265">
        <v>2485980</v>
      </c>
      <c r="P288" s="1266"/>
      <c r="Q288" s="1258"/>
      <c r="R288" s="1333"/>
      <c r="S288" s="1266"/>
      <c r="T288" s="1265">
        <v>2485980</v>
      </c>
      <c r="U288" s="1265">
        <f>O288-T288</f>
        <v>0</v>
      </c>
      <c r="V288" s="1265">
        <v>2485980</v>
      </c>
      <c r="W288" s="1258"/>
      <c r="X288" s="1349"/>
      <c r="Y288" s="1313"/>
      <c r="Z288" s="416">
        <v>1657320</v>
      </c>
      <c r="AA288" s="416">
        <v>-1657320</v>
      </c>
      <c r="AB288" s="416">
        <f t="shared" si="19"/>
        <v>0</v>
      </c>
      <c r="AC288" s="426"/>
      <c r="AD288" s="57">
        <v>0</v>
      </c>
      <c r="AE288" s="416" t="s">
        <v>137</v>
      </c>
      <c r="AF288" s="1266"/>
      <c r="AG288" s="1258"/>
      <c r="AH288" s="416">
        <f t="shared" si="21"/>
        <v>0</v>
      </c>
      <c r="AI288" s="1265"/>
      <c r="AJ288" s="1266"/>
      <c r="AK288" s="1266"/>
      <c r="AL288" s="1266"/>
      <c r="AM288" s="1266"/>
      <c r="AN288" s="1203"/>
      <c r="AO288" s="1204"/>
      <c r="AP288" s="1259"/>
      <c r="AQ288" s="1204"/>
    </row>
    <row r="289" spans="1:43" s="10" customFormat="1">
      <c r="A289" s="1296"/>
      <c r="B289" s="1305"/>
      <c r="C289" s="1296"/>
      <c r="D289" s="1076"/>
      <c r="E289" s="1306"/>
      <c r="F289" s="1306"/>
      <c r="G289" s="1076"/>
      <c r="H289" s="1296"/>
      <c r="I289" s="1296"/>
      <c r="J289" s="1311"/>
      <c r="K289" s="1076"/>
      <c r="L289" s="1076"/>
      <c r="M289" s="1294"/>
      <c r="N289" s="1067"/>
      <c r="O289" s="1267"/>
      <c r="P289" s="1267"/>
      <c r="Q289" s="1258"/>
      <c r="R289" s="1334"/>
      <c r="S289" s="1267"/>
      <c r="T289" s="1267"/>
      <c r="U289" s="1267"/>
      <c r="V289" s="1267"/>
      <c r="W289" s="1258"/>
      <c r="X289" s="1349"/>
      <c r="Y289" s="1314"/>
      <c r="Z289" s="416">
        <v>2485980</v>
      </c>
      <c r="AA289" s="416">
        <v>0</v>
      </c>
      <c r="AB289" s="416">
        <f t="shared" si="19"/>
        <v>2485980</v>
      </c>
      <c r="AC289" s="426"/>
      <c r="AD289" s="57">
        <v>0</v>
      </c>
      <c r="AE289" s="416" t="s">
        <v>7</v>
      </c>
      <c r="AF289" s="1267"/>
      <c r="AG289" s="1258"/>
      <c r="AH289" s="416">
        <f t="shared" si="21"/>
        <v>2485980</v>
      </c>
      <c r="AI289" s="1267"/>
      <c r="AJ289" s="1267"/>
      <c r="AK289" s="1267"/>
      <c r="AL289" s="1267"/>
      <c r="AM289" s="1267"/>
      <c r="AN289" s="1203"/>
      <c r="AO289" s="1204"/>
      <c r="AP289" s="1259"/>
      <c r="AQ289" s="1204"/>
    </row>
    <row r="290" spans="1:43" s="10" customFormat="1" ht="47.25">
      <c r="A290" s="1296"/>
      <c r="B290" s="1305"/>
      <c r="C290" s="1296"/>
      <c r="D290" s="1076"/>
      <c r="E290" s="1306"/>
      <c r="F290" s="1306"/>
      <c r="G290" s="1076"/>
      <c r="H290" s="1296"/>
      <c r="I290" s="1296"/>
      <c r="J290" s="1311"/>
      <c r="K290" s="1076"/>
      <c r="L290" s="1076"/>
      <c r="M290" s="1292">
        <v>75</v>
      </c>
      <c r="N290" s="170" t="s">
        <v>137</v>
      </c>
      <c r="O290" s="416">
        <v>2100000</v>
      </c>
      <c r="P290" s="1265">
        <f>O290+O291</f>
        <v>5250000</v>
      </c>
      <c r="Q290" s="1258"/>
      <c r="R290" s="1332">
        <v>40413</v>
      </c>
      <c r="S290" s="1265">
        <f>T290+T291</f>
        <v>5250000</v>
      </c>
      <c r="T290" s="416">
        <v>2100000</v>
      </c>
      <c r="U290" s="416">
        <f>O290-T290</f>
        <v>0</v>
      </c>
      <c r="V290" s="416">
        <v>2100000</v>
      </c>
      <c r="W290" s="1258"/>
      <c r="X290" s="1349"/>
      <c r="Y290" s="372" t="s">
        <v>435</v>
      </c>
      <c r="Z290" s="416">
        <v>0</v>
      </c>
      <c r="AA290" s="416">
        <v>2100000</v>
      </c>
      <c r="AB290" s="416">
        <f t="shared" si="19"/>
        <v>2100000</v>
      </c>
      <c r="AC290" s="426">
        <v>40554</v>
      </c>
      <c r="AD290" s="57">
        <f>O290</f>
        <v>2100000</v>
      </c>
      <c r="AE290" s="416" t="s">
        <v>137</v>
      </c>
      <c r="AF290" s="1265">
        <f>SUM(AD290:AD292)</f>
        <v>2100000</v>
      </c>
      <c r="AG290" s="1258"/>
      <c r="AH290" s="416">
        <f t="shared" si="21"/>
        <v>0</v>
      </c>
      <c r="AI290" s="416"/>
      <c r="AJ290" s="1265">
        <f>SUM(Z290:Z292)-SUM(AD290:AD292)</f>
        <v>3150000</v>
      </c>
      <c r="AK290" s="1265">
        <f>P290-V290-V291</f>
        <v>0</v>
      </c>
      <c r="AL290" s="1265">
        <f>SUM(V290:V292)-SUM(Z290:Z292)</f>
        <v>0</v>
      </c>
      <c r="AM290" s="1265">
        <f>AK290+AL290</f>
        <v>0</v>
      </c>
      <c r="AN290" s="1203"/>
      <c r="AO290" s="1204"/>
      <c r="AP290" s="1259"/>
      <c r="AQ290" s="1204"/>
    </row>
    <row r="291" spans="1:43" s="10" customFormat="1">
      <c r="A291" s="1296"/>
      <c r="B291" s="1305"/>
      <c r="C291" s="1296"/>
      <c r="D291" s="1076"/>
      <c r="E291" s="1306"/>
      <c r="F291" s="1306"/>
      <c r="G291" s="1076"/>
      <c r="H291" s="1296"/>
      <c r="I291" s="1296"/>
      <c r="J291" s="1311"/>
      <c r="K291" s="1076"/>
      <c r="L291" s="1076"/>
      <c r="M291" s="1293"/>
      <c r="N291" s="1065" t="s">
        <v>7</v>
      </c>
      <c r="O291" s="1265">
        <v>3150000</v>
      </c>
      <c r="P291" s="1266"/>
      <c r="Q291" s="1258"/>
      <c r="R291" s="1333"/>
      <c r="S291" s="1266"/>
      <c r="T291" s="1265">
        <v>3150000</v>
      </c>
      <c r="U291" s="1265">
        <f>O291-T291</f>
        <v>0</v>
      </c>
      <c r="V291" s="1265">
        <v>3150000</v>
      </c>
      <c r="W291" s="1258"/>
      <c r="X291" s="1349"/>
      <c r="Y291" s="1313"/>
      <c r="Z291" s="416">
        <v>2100000</v>
      </c>
      <c r="AA291" s="416">
        <v>-2100000</v>
      </c>
      <c r="AB291" s="416">
        <f t="shared" si="19"/>
        <v>0</v>
      </c>
      <c r="AC291" s="426"/>
      <c r="AD291" s="57">
        <v>0</v>
      </c>
      <c r="AE291" s="416" t="s">
        <v>137</v>
      </c>
      <c r="AF291" s="1266"/>
      <c r="AG291" s="1258"/>
      <c r="AH291" s="416">
        <f t="shared" si="21"/>
        <v>0</v>
      </c>
      <c r="AI291" s="1265"/>
      <c r="AJ291" s="1266"/>
      <c r="AK291" s="1266"/>
      <c r="AL291" s="1266"/>
      <c r="AM291" s="1266"/>
      <c r="AN291" s="1203"/>
      <c r="AO291" s="1204"/>
      <c r="AP291" s="1259"/>
      <c r="AQ291" s="1204"/>
    </row>
    <row r="292" spans="1:43" s="10" customFormat="1">
      <c r="A292" s="1296"/>
      <c r="B292" s="1305"/>
      <c r="C292" s="1296"/>
      <c r="D292" s="1076"/>
      <c r="E292" s="1306"/>
      <c r="F292" s="1306"/>
      <c r="G292" s="1076"/>
      <c r="H292" s="1296"/>
      <c r="I292" s="1296"/>
      <c r="J292" s="1312"/>
      <c r="K292" s="1076"/>
      <c r="L292" s="1076"/>
      <c r="M292" s="1294"/>
      <c r="N292" s="1067"/>
      <c r="O292" s="1267"/>
      <c r="P292" s="1267"/>
      <c r="Q292" s="1258"/>
      <c r="R292" s="1334"/>
      <c r="S292" s="1267"/>
      <c r="T292" s="1267"/>
      <c r="U292" s="1267"/>
      <c r="V292" s="1267"/>
      <c r="W292" s="1258"/>
      <c r="X292" s="1349"/>
      <c r="Y292" s="1314"/>
      <c r="Z292" s="416">
        <v>3150000</v>
      </c>
      <c r="AA292" s="416">
        <v>0</v>
      </c>
      <c r="AB292" s="416">
        <f t="shared" si="19"/>
        <v>3150000</v>
      </c>
      <c r="AC292" s="426"/>
      <c r="AD292" s="57">
        <v>0</v>
      </c>
      <c r="AE292" s="416" t="s">
        <v>7</v>
      </c>
      <c r="AF292" s="1267"/>
      <c r="AG292" s="1258"/>
      <c r="AH292" s="416">
        <f t="shared" si="21"/>
        <v>3150000</v>
      </c>
      <c r="AI292" s="1267"/>
      <c r="AJ292" s="1267"/>
      <c r="AK292" s="1267"/>
      <c r="AL292" s="1267"/>
      <c r="AM292" s="1267"/>
      <c r="AN292" s="1203"/>
      <c r="AO292" s="1204"/>
      <c r="AP292" s="1259"/>
      <c r="AQ292" s="1204"/>
    </row>
    <row r="293" spans="1:43" s="10" customFormat="1">
      <c r="A293" s="1296"/>
      <c r="B293" s="1305"/>
      <c r="C293" s="1296"/>
      <c r="D293" s="1076"/>
      <c r="E293" s="1306"/>
      <c r="F293" s="1306"/>
      <c r="G293" s="1076"/>
      <c r="H293" s="1296"/>
      <c r="I293" s="1296"/>
      <c r="J293" s="354" t="s">
        <v>171</v>
      </c>
      <c r="K293" s="1076"/>
      <c r="L293" s="1076"/>
      <c r="M293" s="171">
        <v>200</v>
      </c>
      <c r="N293" s="417" t="s">
        <v>7</v>
      </c>
      <c r="O293" s="416">
        <v>1380000</v>
      </c>
      <c r="P293" s="416">
        <f>O293</f>
        <v>1380000</v>
      </c>
      <c r="Q293" s="1258"/>
      <c r="R293" s="421">
        <v>40779</v>
      </c>
      <c r="S293" s="416">
        <f>T293</f>
        <v>1380000</v>
      </c>
      <c r="T293" s="416">
        <v>1380000</v>
      </c>
      <c r="U293" s="416">
        <f>O293-T293</f>
        <v>0</v>
      </c>
      <c r="V293" s="416">
        <f>T293</f>
        <v>1380000</v>
      </c>
      <c r="W293" s="1258"/>
      <c r="X293" s="1349"/>
      <c r="Y293" s="172"/>
      <c r="Z293" s="416">
        <v>1380000</v>
      </c>
      <c r="AA293" s="416">
        <v>0</v>
      </c>
      <c r="AB293" s="416">
        <f t="shared" si="19"/>
        <v>1380000</v>
      </c>
      <c r="AC293" s="427"/>
      <c r="AD293" s="57">
        <v>0</v>
      </c>
      <c r="AE293" s="416" t="s">
        <v>7</v>
      </c>
      <c r="AF293" s="416">
        <f>AD293</f>
        <v>0</v>
      </c>
      <c r="AG293" s="1258"/>
      <c r="AH293" s="416">
        <f t="shared" si="21"/>
        <v>1380000</v>
      </c>
      <c r="AI293" s="416"/>
      <c r="AJ293" s="416">
        <f>Z293-AD293</f>
        <v>1380000</v>
      </c>
      <c r="AK293" s="416">
        <f>P293-V293</f>
        <v>0</v>
      </c>
      <c r="AL293" s="416">
        <f>V293-Z293</f>
        <v>0</v>
      </c>
      <c r="AM293" s="416">
        <f>AK293+AL293</f>
        <v>0</v>
      </c>
      <c r="AN293" s="1203"/>
      <c r="AO293" s="1204"/>
      <c r="AP293" s="1259"/>
      <c r="AQ293" s="1204"/>
    </row>
    <row r="294" spans="1:43" s="4" customFormat="1" ht="19.5" customHeight="1">
      <c r="A294" s="1011" t="s">
        <v>2079</v>
      </c>
      <c r="B294" s="1068">
        <v>40301</v>
      </c>
      <c r="C294" s="1011" t="s">
        <v>36</v>
      </c>
      <c r="D294" s="1011" t="s">
        <v>2069</v>
      </c>
      <c r="E294" s="1011">
        <v>10528000</v>
      </c>
      <c r="F294" s="1011"/>
      <c r="G294" s="1011" t="s">
        <v>2070</v>
      </c>
      <c r="H294" s="1011" t="s">
        <v>72</v>
      </c>
      <c r="I294" s="1011" t="s">
        <v>70</v>
      </c>
      <c r="J294" s="1011" t="s">
        <v>66</v>
      </c>
      <c r="K294" s="1011" t="s">
        <v>49</v>
      </c>
      <c r="L294" s="1011" t="s">
        <v>2082</v>
      </c>
      <c r="M294" s="1009">
        <v>76</v>
      </c>
      <c r="N294" s="1065" t="s">
        <v>137</v>
      </c>
      <c r="O294" s="1100">
        <v>1360000</v>
      </c>
      <c r="P294" s="1100">
        <f>SUM(O294:O297)</f>
        <v>3400000</v>
      </c>
      <c r="Q294" s="1100">
        <f>SUM(O294:O322)</f>
        <v>24086400</v>
      </c>
      <c r="R294" s="1132">
        <v>40413</v>
      </c>
      <c r="S294" s="402"/>
      <c r="T294" s="403"/>
      <c r="U294" s="403"/>
      <c r="V294" s="1100">
        <f>O294</f>
        <v>1360000</v>
      </c>
      <c r="W294" s="1100">
        <f>Q294</f>
        <v>24086400</v>
      </c>
      <c r="X294" s="1011"/>
      <c r="Y294" s="372" t="s">
        <v>2071</v>
      </c>
      <c r="Z294" s="397"/>
      <c r="AA294" s="397"/>
      <c r="AB294" s="397"/>
      <c r="AC294" s="384">
        <v>40444</v>
      </c>
      <c r="AD294" s="83">
        <v>1360000</v>
      </c>
      <c r="AE294" s="1065" t="s">
        <v>137</v>
      </c>
      <c r="AF294" s="1023">
        <f>SUM(AD294:AD295)</f>
        <v>2176000</v>
      </c>
      <c r="AG294" s="1023">
        <f>SUM(AF294:AF322)</f>
        <v>22420160</v>
      </c>
      <c r="AH294" s="1023">
        <v>0</v>
      </c>
      <c r="AI294" s="1023">
        <v>0</v>
      </c>
      <c r="AJ294" s="1023">
        <v>0</v>
      </c>
      <c r="AK294" s="1023">
        <v>0</v>
      </c>
      <c r="AL294" s="1023"/>
      <c r="AM294" s="1023"/>
      <c r="AN294" s="1023"/>
      <c r="AO294" s="1023" t="s">
        <v>2083</v>
      </c>
      <c r="AP294" s="1103" t="s">
        <v>195</v>
      </c>
      <c r="AQ294" s="1103" t="s">
        <v>1911</v>
      </c>
    </row>
    <row r="295" spans="1:43" s="4" customFormat="1" ht="31.5">
      <c r="A295" s="1033"/>
      <c r="B295" s="1069"/>
      <c r="C295" s="1033"/>
      <c r="D295" s="1033"/>
      <c r="E295" s="1033"/>
      <c r="F295" s="1033"/>
      <c r="G295" s="1033"/>
      <c r="H295" s="1033"/>
      <c r="I295" s="1033"/>
      <c r="J295" s="1033"/>
      <c r="K295" s="1033"/>
      <c r="L295" s="1033"/>
      <c r="M295" s="1039"/>
      <c r="N295" s="1066"/>
      <c r="O295" s="1101"/>
      <c r="P295" s="1101"/>
      <c r="Q295" s="1101"/>
      <c r="R295" s="1133"/>
      <c r="S295" s="402"/>
      <c r="T295" s="403"/>
      <c r="U295" s="403"/>
      <c r="V295" s="1102"/>
      <c r="W295" s="1101"/>
      <c r="X295" s="1033"/>
      <c r="Y295" s="372" t="s">
        <v>2072</v>
      </c>
      <c r="Z295" s="397"/>
      <c r="AA295" s="397"/>
      <c r="AB295" s="397"/>
      <c r="AC295" s="384">
        <v>41290</v>
      </c>
      <c r="AD295" s="83">
        <v>816000</v>
      </c>
      <c r="AE295" s="1066"/>
      <c r="AF295" s="1024"/>
      <c r="AG295" s="1124"/>
      <c r="AH295" s="1124"/>
      <c r="AI295" s="1124"/>
      <c r="AJ295" s="1124"/>
      <c r="AK295" s="1124"/>
      <c r="AL295" s="1124"/>
      <c r="AM295" s="1124"/>
      <c r="AN295" s="1124"/>
      <c r="AO295" s="1124"/>
      <c r="AP295" s="1104"/>
      <c r="AQ295" s="1104"/>
    </row>
    <row r="296" spans="1:43" s="4" customFormat="1" ht="31.5">
      <c r="A296" s="1033"/>
      <c r="B296" s="1069"/>
      <c r="C296" s="1033"/>
      <c r="D296" s="1033"/>
      <c r="E296" s="1033"/>
      <c r="F296" s="1033"/>
      <c r="G296" s="1033"/>
      <c r="H296" s="1033"/>
      <c r="I296" s="1033"/>
      <c r="J296" s="1033"/>
      <c r="K296" s="1033"/>
      <c r="L296" s="1033"/>
      <c r="M296" s="1039"/>
      <c r="N296" s="1065" t="s">
        <v>7</v>
      </c>
      <c r="O296" s="1100">
        <v>2040000</v>
      </c>
      <c r="P296" s="1101"/>
      <c r="Q296" s="1101"/>
      <c r="R296" s="1133"/>
      <c r="S296" s="402"/>
      <c r="T296" s="403"/>
      <c r="U296" s="403"/>
      <c r="V296" s="1100">
        <f t="shared" ref="V296:V317" si="22">O296</f>
        <v>2040000</v>
      </c>
      <c r="W296" s="1101"/>
      <c r="X296" s="1033"/>
      <c r="Y296" s="372" t="s">
        <v>2072</v>
      </c>
      <c r="Z296" s="397"/>
      <c r="AA296" s="397"/>
      <c r="AB296" s="397"/>
      <c r="AC296" s="384">
        <v>41290</v>
      </c>
      <c r="AD296" s="83">
        <v>1020000</v>
      </c>
      <c r="AE296" s="1065" t="s">
        <v>7</v>
      </c>
      <c r="AF296" s="1023">
        <f>SUM(AD296:AD297)</f>
        <v>1020000</v>
      </c>
      <c r="AG296" s="1124"/>
      <c r="AH296" s="1124"/>
      <c r="AI296" s="1124"/>
      <c r="AJ296" s="1124"/>
      <c r="AK296" s="1124"/>
      <c r="AL296" s="1124"/>
      <c r="AM296" s="1124"/>
      <c r="AN296" s="1124"/>
      <c r="AO296" s="1124"/>
      <c r="AP296" s="1104"/>
      <c r="AQ296" s="1104"/>
    </row>
    <row r="297" spans="1:43" s="4" customFormat="1">
      <c r="A297" s="1033"/>
      <c r="B297" s="1069"/>
      <c r="C297" s="1012"/>
      <c r="D297" s="1033"/>
      <c r="E297" s="1033"/>
      <c r="F297" s="1033"/>
      <c r="G297" s="1033"/>
      <c r="H297" s="1033"/>
      <c r="I297" s="1033"/>
      <c r="J297" s="1033"/>
      <c r="K297" s="1033"/>
      <c r="L297" s="1033"/>
      <c r="M297" s="1010"/>
      <c r="N297" s="1066"/>
      <c r="O297" s="1101"/>
      <c r="P297" s="1102"/>
      <c r="Q297" s="1101"/>
      <c r="R297" s="1134"/>
      <c r="S297" s="402"/>
      <c r="T297" s="403"/>
      <c r="U297" s="403"/>
      <c r="V297" s="1102">
        <f t="shared" si="22"/>
        <v>0</v>
      </c>
      <c r="W297" s="1101"/>
      <c r="X297" s="1033"/>
      <c r="Y297" s="372"/>
      <c r="Z297" s="397"/>
      <c r="AA297" s="397"/>
      <c r="AB297" s="397"/>
      <c r="AC297" s="384"/>
      <c r="AD297" s="83"/>
      <c r="AE297" s="1066"/>
      <c r="AF297" s="1024"/>
      <c r="AG297" s="1124"/>
      <c r="AH297" s="1124"/>
      <c r="AI297" s="1124"/>
      <c r="AJ297" s="1124"/>
      <c r="AK297" s="1124"/>
      <c r="AL297" s="1124"/>
      <c r="AM297" s="1124"/>
      <c r="AN297" s="1124"/>
      <c r="AO297" s="1124"/>
      <c r="AP297" s="1104"/>
      <c r="AQ297" s="1104"/>
    </row>
    <row r="298" spans="1:43" s="4" customFormat="1" ht="47.25" customHeight="1">
      <c r="A298" s="1033"/>
      <c r="B298" s="1069"/>
      <c r="C298" s="1011" t="s">
        <v>36</v>
      </c>
      <c r="D298" s="1033"/>
      <c r="E298" s="1033"/>
      <c r="F298" s="1033"/>
      <c r="G298" s="1033"/>
      <c r="H298" s="1033"/>
      <c r="I298" s="1033"/>
      <c r="J298" s="1033"/>
      <c r="K298" s="1033"/>
      <c r="L298" s="1033"/>
      <c r="M298" s="1009">
        <v>77</v>
      </c>
      <c r="N298" s="1065" t="s">
        <v>137</v>
      </c>
      <c r="O298" s="1100">
        <v>1216000</v>
      </c>
      <c r="P298" s="1100">
        <f>SUM(O298:O301)</f>
        <v>3040000</v>
      </c>
      <c r="Q298" s="1101"/>
      <c r="R298" s="1132">
        <v>40413</v>
      </c>
      <c r="S298" s="402"/>
      <c r="T298" s="403"/>
      <c r="U298" s="403"/>
      <c r="V298" s="1100">
        <f t="shared" si="22"/>
        <v>1216000</v>
      </c>
      <c r="W298" s="1101"/>
      <c r="X298" s="1033"/>
      <c r="Y298" s="372" t="s">
        <v>2071</v>
      </c>
      <c r="Z298" s="397"/>
      <c r="AA298" s="397"/>
      <c r="AB298" s="397"/>
      <c r="AC298" s="384">
        <v>40444</v>
      </c>
      <c r="AD298" s="83">
        <v>1216000</v>
      </c>
      <c r="AE298" s="1065" t="s">
        <v>137</v>
      </c>
      <c r="AF298" s="1023">
        <f>SUM(AD298:AD299)</f>
        <v>1945600</v>
      </c>
      <c r="AG298" s="1124"/>
      <c r="AH298" s="1124"/>
      <c r="AI298" s="1124"/>
      <c r="AJ298" s="1124"/>
      <c r="AK298" s="1124"/>
      <c r="AL298" s="1124"/>
      <c r="AM298" s="1124"/>
      <c r="AN298" s="1124"/>
      <c r="AO298" s="1124"/>
      <c r="AP298" s="1104"/>
      <c r="AQ298" s="1104"/>
    </row>
    <row r="299" spans="1:43" s="4" customFormat="1" ht="31.5">
      <c r="A299" s="1033"/>
      <c r="B299" s="1069"/>
      <c r="C299" s="1033"/>
      <c r="D299" s="1033"/>
      <c r="E299" s="1033"/>
      <c r="F299" s="1033"/>
      <c r="G299" s="1033"/>
      <c r="H299" s="1033"/>
      <c r="I299" s="1033"/>
      <c r="J299" s="1033"/>
      <c r="K299" s="1033"/>
      <c r="L299" s="1033"/>
      <c r="M299" s="1039"/>
      <c r="N299" s="1066"/>
      <c r="O299" s="1101"/>
      <c r="P299" s="1101"/>
      <c r="Q299" s="1101"/>
      <c r="R299" s="1133"/>
      <c r="S299" s="402"/>
      <c r="T299" s="403"/>
      <c r="U299" s="403"/>
      <c r="V299" s="1102">
        <f t="shared" si="22"/>
        <v>0</v>
      </c>
      <c r="W299" s="1101"/>
      <c r="X299" s="1033"/>
      <c r="Y299" s="372" t="s">
        <v>2072</v>
      </c>
      <c r="Z299" s="397"/>
      <c r="AA299" s="397"/>
      <c r="AB299" s="397"/>
      <c r="AC299" s="384">
        <v>41290</v>
      </c>
      <c r="AD299" s="83">
        <v>729600</v>
      </c>
      <c r="AE299" s="1066"/>
      <c r="AF299" s="1024"/>
      <c r="AG299" s="1124"/>
      <c r="AH299" s="1124"/>
      <c r="AI299" s="1124"/>
      <c r="AJ299" s="1124"/>
      <c r="AK299" s="1124"/>
      <c r="AL299" s="1124"/>
      <c r="AM299" s="1124"/>
      <c r="AN299" s="1124"/>
      <c r="AO299" s="1124"/>
      <c r="AP299" s="1104"/>
      <c r="AQ299" s="1104"/>
    </row>
    <row r="300" spans="1:43" s="4" customFormat="1" ht="31.5">
      <c r="A300" s="1033"/>
      <c r="B300" s="1069"/>
      <c r="C300" s="1033"/>
      <c r="D300" s="1033"/>
      <c r="E300" s="1033"/>
      <c r="F300" s="1033"/>
      <c r="G300" s="1033"/>
      <c r="H300" s="1033"/>
      <c r="I300" s="1033"/>
      <c r="J300" s="1033"/>
      <c r="K300" s="1033"/>
      <c r="L300" s="1033"/>
      <c r="M300" s="1039"/>
      <c r="N300" s="1065" t="s">
        <v>7</v>
      </c>
      <c r="O300" s="1100">
        <v>1824000</v>
      </c>
      <c r="P300" s="1101"/>
      <c r="Q300" s="1101"/>
      <c r="R300" s="1133"/>
      <c r="S300" s="402"/>
      <c r="T300" s="403"/>
      <c r="U300" s="403"/>
      <c r="V300" s="1100">
        <f t="shared" si="22"/>
        <v>1824000</v>
      </c>
      <c r="W300" s="1101"/>
      <c r="X300" s="1033"/>
      <c r="Y300" s="372" t="s">
        <v>2073</v>
      </c>
      <c r="Z300" s="397"/>
      <c r="AA300" s="397"/>
      <c r="AB300" s="397"/>
      <c r="AC300" s="384">
        <v>41290</v>
      </c>
      <c r="AD300" s="83">
        <v>912000</v>
      </c>
      <c r="AE300" s="1065" t="s">
        <v>7</v>
      </c>
      <c r="AF300" s="1023">
        <f>SUM(AD300:AD301)</f>
        <v>912000</v>
      </c>
      <c r="AG300" s="1124"/>
      <c r="AH300" s="1124"/>
      <c r="AI300" s="1124"/>
      <c r="AJ300" s="1124"/>
      <c r="AK300" s="1124"/>
      <c r="AL300" s="1124"/>
      <c r="AM300" s="1124"/>
      <c r="AN300" s="1124"/>
      <c r="AO300" s="1124"/>
      <c r="AP300" s="1104"/>
      <c r="AQ300" s="1104"/>
    </row>
    <row r="301" spans="1:43" s="4" customFormat="1">
      <c r="A301" s="1033"/>
      <c r="B301" s="1069"/>
      <c r="C301" s="1012"/>
      <c r="D301" s="1033"/>
      <c r="E301" s="1033"/>
      <c r="F301" s="1033"/>
      <c r="G301" s="1033"/>
      <c r="H301" s="1033"/>
      <c r="I301" s="1033"/>
      <c r="J301" s="1033"/>
      <c r="K301" s="1033"/>
      <c r="L301" s="1033"/>
      <c r="M301" s="1010"/>
      <c r="N301" s="1066"/>
      <c r="O301" s="1101"/>
      <c r="P301" s="1102"/>
      <c r="Q301" s="1101"/>
      <c r="R301" s="1134"/>
      <c r="S301" s="402"/>
      <c r="T301" s="403"/>
      <c r="U301" s="403"/>
      <c r="V301" s="1102">
        <f t="shared" si="22"/>
        <v>0</v>
      </c>
      <c r="W301" s="1101"/>
      <c r="X301" s="1033"/>
      <c r="Y301" s="372"/>
      <c r="Z301" s="397"/>
      <c r="AA301" s="397"/>
      <c r="AB301" s="397"/>
      <c r="AC301" s="384"/>
      <c r="AD301" s="83"/>
      <c r="AE301" s="1066"/>
      <c r="AF301" s="1024"/>
      <c r="AG301" s="1124"/>
      <c r="AH301" s="1124"/>
      <c r="AI301" s="1124"/>
      <c r="AJ301" s="1124"/>
      <c r="AK301" s="1124"/>
      <c r="AL301" s="1124"/>
      <c r="AM301" s="1124"/>
      <c r="AN301" s="1124"/>
      <c r="AO301" s="1124"/>
      <c r="AP301" s="1104"/>
      <c r="AQ301" s="1104"/>
    </row>
    <row r="302" spans="1:43" s="4" customFormat="1" ht="47.25" customHeight="1">
      <c r="A302" s="1033"/>
      <c r="B302" s="1069"/>
      <c r="C302" s="1011" t="s">
        <v>36</v>
      </c>
      <c r="D302" s="1033"/>
      <c r="E302" s="1033"/>
      <c r="F302" s="1033"/>
      <c r="G302" s="1033"/>
      <c r="H302" s="1033"/>
      <c r="I302" s="1033"/>
      <c r="J302" s="1033"/>
      <c r="K302" s="1033"/>
      <c r="L302" s="1033"/>
      <c r="M302" s="1009">
        <v>78</v>
      </c>
      <c r="N302" s="1065" t="s">
        <v>137</v>
      </c>
      <c r="O302" s="1100">
        <v>1216000</v>
      </c>
      <c r="P302" s="1100">
        <f>SUM(O302:O305)</f>
        <v>3040000</v>
      </c>
      <c r="Q302" s="1101"/>
      <c r="R302" s="1132">
        <v>40413</v>
      </c>
      <c r="S302" s="402"/>
      <c r="T302" s="403"/>
      <c r="U302" s="403"/>
      <c r="V302" s="1100">
        <f t="shared" si="22"/>
        <v>1216000</v>
      </c>
      <c r="W302" s="1101"/>
      <c r="X302" s="1033"/>
      <c r="Y302" s="372" t="s">
        <v>2071</v>
      </c>
      <c r="Z302" s="397"/>
      <c r="AA302" s="397"/>
      <c r="AB302" s="397"/>
      <c r="AC302" s="384">
        <v>40444</v>
      </c>
      <c r="AD302" s="83">
        <v>1216000</v>
      </c>
      <c r="AE302" s="1065" t="s">
        <v>137</v>
      </c>
      <c r="AF302" s="1023">
        <f>SUM(AD302:AD303)</f>
        <v>1945600</v>
      </c>
      <c r="AG302" s="1124"/>
      <c r="AH302" s="1124"/>
      <c r="AI302" s="1124"/>
      <c r="AJ302" s="1124"/>
      <c r="AK302" s="1124"/>
      <c r="AL302" s="1124"/>
      <c r="AM302" s="1124"/>
      <c r="AN302" s="1124"/>
      <c r="AO302" s="1124"/>
      <c r="AP302" s="1104"/>
      <c r="AQ302" s="1104"/>
    </row>
    <row r="303" spans="1:43" s="4" customFormat="1" ht="31.5">
      <c r="A303" s="1033"/>
      <c r="B303" s="1069"/>
      <c r="C303" s="1033"/>
      <c r="D303" s="1033"/>
      <c r="E303" s="1033"/>
      <c r="F303" s="1033"/>
      <c r="G303" s="1033"/>
      <c r="H303" s="1033"/>
      <c r="I303" s="1033"/>
      <c r="J303" s="1033"/>
      <c r="K303" s="1033"/>
      <c r="L303" s="1033"/>
      <c r="M303" s="1039"/>
      <c r="N303" s="1066"/>
      <c r="O303" s="1101"/>
      <c r="P303" s="1101"/>
      <c r="Q303" s="1101"/>
      <c r="R303" s="1133"/>
      <c r="S303" s="402"/>
      <c r="T303" s="403"/>
      <c r="U303" s="403"/>
      <c r="V303" s="1102">
        <f t="shared" si="22"/>
        <v>0</v>
      </c>
      <c r="W303" s="1101"/>
      <c r="X303" s="1033"/>
      <c r="Y303" s="372" t="s">
        <v>2072</v>
      </c>
      <c r="Z303" s="397"/>
      <c r="AA303" s="397"/>
      <c r="AB303" s="397"/>
      <c r="AC303" s="384">
        <v>41290</v>
      </c>
      <c r="AD303" s="83">
        <v>729600</v>
      </c>
      <c r="AE303" s="1066"/>
      <c r="AF303" s="1024"/>
      <c r="AG303" s="1124"/>
      <c r="AH303" s="1124"/>
      <c r="AI303" s="1124"/>
      <c r="AJ303" s="1124"/>
      <c r="AK303" s="1124"/>
      <c r="AL303" s="1124"/>
      <c r="AM303" s="1124"/>
      <c r="AN303" s="1124"/>
      <c r="AO303" s="1124"/>
      <c r="AP303" s="1104"/>
      <c r="AQ303" s="1104"/>
    </row>
    <row r="304" spans="1:43" s="4" customFormat="1" ht="31.5">
      <c r="A304" s="1033"/>
      <c r="B304" s="1069"/>
      <c r="C304" s="1033"/>
      <c r="D304" s="1033"/>
      <c r="E304" s="1033"/>
      <c r="F304" s="1033"/>
      <c r="G304" s="1033"/>
      <c r="H304" s="1033"/>
      <c r="I304" s="1033"/>
      <c r="J304" s="1033"/>
      <c r="K304" s="1033"/>
      <c r="L304" s="1033"/>
      <c r="M304" s="1039"/>
      <c r="N304" s="1065" t="s">
        <v>7</v>
      </c>
      <c r="O304" s="1100">
        <v>1824000</v>
      </c>
      <c r="P304" s="1101"/>
      <c r="Q304" s="1101"/>
      <c r="R304" s="1133"/>
      <c r="S304" s="402"/>
      <c r="T304" s="403"/>
      <c r="U304" s="403"/>
      <c r="V304" s="1100">
        <f t="shared" si="22"/>
        <v>1824000</v>
      </c>
      <c r="W304" s="1101"/>
      <c r="X304" s="1033"/>
      <c r="Y304" s="372" t="s">
        <v>2072</v>
      </c>
      <c r="Z304" s="397"/>
      <c r="AA304" s="397"/>
      <c r="AB304" s="397"/>
      <c r="AC304" s="384">
        <v>41290</v>
      </c>
      <c r="AD304" s="83">
        <v>912000</v>
      </c>
      <c r="AE304" s="1065" t="s">
        <v>7</v>
      </c>
      <c r="AF304" s="1023">
        <f>SUM(AD304:AD305)</f>
        <v>912000</v>
      </c>
      <c r="AG304" s="1124"/>
      <c r="AH304" s="1124"/>
      <c r="AI304" s="1124"/>
      <c r="AJ304" s="1124"/>
      <c r="AK304" s="1124"/>
      <c r="AL304" s="1124"/>
      <c r="AM304" s="1124"/>
      <c r="AN304" s="1124"/>
      <c r="AO304" s="1124"/>
      <c r="AP304" s="1104"/>
      <c r="AQ304" s="1104"/>
    </row>
    <row r="305" spans="1:48" s="4" customFormat="1">
      <c r="A305" s="1033"/>
      <c r="B305" s="1069"/>
      <c r="C305" s="1012"/>
      <c r="D305" s="1033"/>
      <c r="E305" s="1033"/>
      <c r="F305" s="1033"/>
      <c r="G305" s="1033"/>
      <c r="H305" s="1033"/>
      <c r="I305" s="1033"/>
      <c r="J305" s="1033"/>
      <c r="K305" s="1033"/>
      <c r="L305" s="1033"/>
      <c r="M305" s="1010"/>
      <c r="N305" s="1066"/>
      <c r="O305" s="1101"/>
      <c r="P305" s="1102"/>
      <c r="Q305" s="1101"/>
      <c r="R305" s="1134"/>
      <c r="S305" s="402"/>
      <c r="T305" s="403"/>
      <c r="U305" s="403"/>
      <c r="V305" s="1102">
        <f t="shared" si="22"/>
        <v>0</v>
      </c>
      <c r="W305" s="1101"/>
      <c r="X305" s="1033"/>
      <c r="Y305" s="372"/>
      <c r="Z305" s="397"/>
      <c r="AA305" s="397"/>
      <c r="AB305" s="397"/>
      <c r="AC305" s="384"/>
      <c r="AD305" s="83"/>
      <c r="AE305" s="1066"/>
      <c r="AF305" s="1024"/>
      <c r="AG305" s="1124"/>
      <c r="AH305" s="1124"/>
      <c r="AI305" s="1124"/>
      <c r="AJ305" s="1124"/>
      <c r="AK305" s="1124"/>
      <c r="AL305" s="1124"/>
      <c r="AM305" s="1124"/>
      <c r="AN305" s="1124"/>
      <c r="AO305" s="1124"/>
      <c r="AP305" s="1104"/>
      <c r="AQ305" s="1104"/>
    </row>
    <row r="306" spans="1:48" s="4" customFormat="1" ht="78.75">
      <c r="A306" s="1033"/>
      <c r="B306" s="1069"/>
      <c r="C306" s="1011" t="s">
        <v>18</v>
      </c>
      <c r="D306" s="1033"/>
      <c r="E306" s="1033"/>
      <c r="F306" s="1033"/>
      <c r="G306" s="1033"/>
      <c r="H306" s="1033"/>
      <c r="I306" s="1033"/>
      <c r="J306" s="1033"/>
      <c r="K306" s="1033"/>
      <c r="L306" s="1033"/>
      <c r="M306" s="1009">
        <v>79</v>
      </c>
      <c r="N306" s="1065" t="s">
        <v>137</v>
      </c>
      <c r="O306" s="1100">
        <v>1216000</v>
      </c>
      <c r="P306" s="1100">
        <f>SUM(O306:O309)</f>
        <v>3040000</v>
      </c>
      <c r="Q306" s="1101"/>
      <c r="R306" s="1132">
        <v>40413</v>
      </c>
      <c r="S306" s="402"/>
      <c r="T306" s="403"/>
      <c r="U306" s="403"/>
      <c r="V306" s="1100">
        <f t="shared" si="22"/>
        <v>1216000</v>
      </c>
      <c r="W306" s="1101"/>
      <c r="X306" s="1033"/>
      <c r="Y306" s="372" t="s">
        <v>2074</v>
      </c>
      <c r="Z306" s="397"/>
      <c r="AA306" s="397"/>
      <c r="AB306" s="397"/>
      <c r="AC306" s="384">
        <v>40473</v>
      </c>
      <c r="AD306" s="83">
        <v>814720</v>
      </c>
      <c r="AE306" s="1065" t="s">
        <v>137</v>
      </c>
      <c r="AF306" s="1023">
        <f>SUM(AD306:AD307)</f>
        <v>1544320</v>
      </c>
      <c r="AG306" s="1124"/>
      <c r="AH306" s="1124"/>
      <c r="AI306" s="1124"/>
      <c r="AJ306" s="1124"/>
      <c r="AK306" s="1124"/>
      <c r="AL306" s="1124"/>
      <c r="AM306" s="1124"/>
      <c r="AN306" s="1124"/>
      <c r="AO306" s="1124"/>
      <c r="AP306" s="1104"/>
      <c r="AQ306" s="1104"/>
    </row>
    <row r="307" spans="1:48" s="4" customFormat="1" ht="47.25">
      <c r="A307" s="1033"/>
      <c r="B307" s="1069"/>
      <c r="C307" s="1033"/>
      <c r="D307" s="1033"/>
      <c r="E307" s="1033"/>
      <c r="F307" s="1033"/>
      <c r="G307" s="1033"/>
      <c r="H307" s="1033"/>
      <c r="I307" s="1033"/>
      <c r="J307" s="1033"/>
      <c r="K307" s="1033"/>
      <c r="L307" s="1033"/>
      <c r="M307" s="1039"/>
      <c r="N307" s="1066"/>
      <c r="O307" s="1101"/>
      <c r="P307" s="1101"/>
      <c r="Q307" s="1101"/>
      <c r="R307" s="1133"/>
      <c r="S307" s="402"/>
      <c r="T307" s="403"/>
      <c r="U307" s="403"/>
      <c r="V307" s="1102">
        <f t="shared" si="22"/>
        <v>0</v>
      </c>
      <c r="W307" s="1101"/>
      <c r="X307" s="1033"/>
      <c r="Y307" s="372" t="s">
        <v>2075</v>
      </c>
      <c r="Z307" s="397"/>
      <c r="AA307" s="397"/>
      <c r="AB307" s="397"/>
      <c r="AC307" s="384">
        <v>41467</v>
      </c>
      <c r="AD307" s="83">
        <v>729600</v>
      </c>
      <c r="AE307" s="1066"/>
      <c r="AF307" s="1024"/>
      <c r="AG307" s="1124"/>
      <c r="AH307" s="1124"/>
      <c r="AI307" s="1124"/>
      <c r="AJ307" s="1124"/>
      <c r="AK307" s="1124"/>
      <c r="AL307" s="1124"/>
      <c r="AM307" s="1124"/>
      <c r="AN307" s="1124"/>
      <c r="AO307" s="1124"/>
      <c r="AP307" s="1104"/>
      <c r="AQ307" s="1104"/>
    </row>
    <row r="308" spans="1:48" s="4" customFormat="1" ht="78.75">
      <c r="A308" s="1033"/>
      <c r="B308" s="1069"/>
      <c r="C308" s="1033"/>
      <c r="D308" s="1033"/>
      <c r="E308" s="1033"/>
      <c r="F308" s="1033"/>
      <c r="G308" s="1033"/>
      <c r="H308" s="1033"/>
      <c r="I308" s="1033"/>
      <c r="J308" s="1033"/>
      <c r="K308" s="1033"/>
      <c r="L308" s="1033"/>
      <c r="M308" s="1039"/>
      <c r="N308" s="1065" t="s">
        <v>7</v>
      </c>
      <c r="O308" s="1100">
        <v>1824000</v>
      </c>
      <c r="P308" s="1101"/>
      <c r="Q308" s="1101"/>
      <c r="R308" s="1133"/>
      <c r="S308" s="402"/>
      <c r="T308" s="403"/>
      <c r="U308" s="403"/>
      <c r="V308" s="1100">
        <f t="shared" si="22"/>
        <v>1824000</v>
      </c>
      <c r="W308" s="1101"/>
      <c r="X308" s="1033"/>
      <c r="Y308" s="372" t="s">
        <v>2074</v>
      </c>
      <c r="Z308" s="397"/>
      <c r="AA308" s="397"/>
      <c r="AB308" s="397"/>
      <c r="AC308" s="384">
        <v>40473</v>
      </c>
      <c r="AD308" s="83">
        <v>401280</v>
      </c>
      <c r="AE308" s="1065" t="s">
        <v>7</v>
      </c>
      <c r="AF308" s="1023">
        <f>SUM(AD308:AD309)</f>
        <v>1495680</v>
      </c>
      <c r="AG308" s="1124"/>
      <c r="AH308" s="1124"/>
      <c r="AI308" s="1124"/>
      <c r="AJ308" s="1124"/>
      <c r="AK308" s="1124"/>
      <c r="AL308" s="1124"/>
      <c r="AM308" s="1124"/>
      <c r="AN308" s="1124"/>
      <c r="AO308" s="1124"/>
      <c r="AP308" s="1104"/>
      <c r="AQ308" s="1104"/>
    </row>
    <row r="309" spans="1:48" s="4" customFormat="1" ht="47.25">
      <c r="A309" s="1033"/>
      <c r="B309" s="1069"/>
      <c r="C309" s="1012"/>
      <c r="D309" s="1033"/>
      <c r="E309" s="1033"/>
      <c r="F309" s="1033"/>
      <c r="G309" s="1033"/>
      <c r="H309" s="1033"/>
      <c r="I309" s="1033"/>
      <c r="J309" s="1033"/>
      <c r="K309" s="1033"/>
      <c r="L309" s="1033"/>
      <c r="M309" s="1010"/>
      <c r="N309" s="1066"/>
      <c r="O309" s="1101"/>
      <c r="P309" s="1102"/>
      <c r="Q309" s="1101"/>
      <c r="R309" s="1134"/>
      <c r="S309" s="402"/>
      <c r="T309" s="403"/>
      <c r="U309" s="403"/>
      <c r="V309" s="1102">
        <f t="shared" si="22"/>
        <v>0</v>
      </c>
      <c r="W309" s="1101"/>
      <c r="X309" s="1033"/>
      <c r="Y309" s="372" t="s">
        <v>2076</v>
      </c>
      <c r="Z309" s="397"/>
      <c r="AA309" s="397"/>
      <c r="AB309" s="397"/>
      <c r="AC309" s="384">
        <v>41467</v>
      </c>
      <c r="AD309" s="83">
        <v>1094400</v>
      </c>
      <c r="AE309" s="1066"/>
      <c r="AF309" s="1024"/>
      <c r="AG309" s="1124"/>
      <c r="AH309" s="1124"/>
      <c r="AI309" s="1124"/>
      <c r="AJ309" s="1124"/>
      <c r="AK309" s="1124"/>
      <c r="AL309" s="1124"/>
      <c r="AM309" s="1124"/>
      <c r="AN309" s="1124"/>
      <c r="AO309" s="1124"/>
      <c r="AP309" s="1104"/>
      <c r="AQ309" s="1104"/>
    </row>
    <row r="310" spans="1:48" s="4" customFormat="1" ht="15.75" customHeight="1">
      <c r="A310" s="1033"/>
      <c r="B310" s="1069"/>
      <c r="C310" s="1011" t="s">
        <v>18</v>
      </c>
      <c r="D310" s="1033"/>
      <c r="E310" s="1033"/>
      <c r="F310" s="1033"/>
      <c r="G310" s="1033"/>
      <c r="H310" s="1033"/>
      <c r="I310" s="1033"/>
      <c r="J310" s="1033"/>
      <c r="K310" s="1033"/>
      <c r="L310" s="1033"/>
      <c r="M310" s="1009">
        <v>80</v>
      </c>
      <c r="N310" s="1065" t="s">
        <v>137</v>
      </c>
      <c r="O310" s="1100">
        <v>1200000</v>
      </c>
      <c r="P310" s="1100">
        <f>SUM(O310:O313)</f>
        <v>3000000</v>
      </c>
      <c r="Q310" s="1101"/>
      <c r="R310" s="1132">
        <v>40413</v>
      </c>
      <c r="S310" s="402"/>
      <c r="T310" s="403"/>
      <c r="U310" s="403"/>
      <c r="V310" s="1100">
        <f t="shared" si="22"/>
        <v>1200000</v>
      </c>
      <c r="W310" s="1101"/>
      <c r="X310" s="1033"/>
      <c r="Y310" s="372" t="s">
        <v>2071</v>
      </c>
      <c r="Z310" s="397"/>
      <c r="AA310" s="397"/>
      <c r="AB310" s="397"/>
      <c r="AC310" s="384">
        <v>40444</v>
      </c>
      <c r="AD310" s="83">
        <v>1200000</v>
      </c>
      <c r="AE310" s="1065" t="s">
        <v>137</v>
      </c>
      <c r="AF310" s="1023">
        <f>SUM(AD310:AD311)</f>
        <v>1848000</v>
      </c>
      <c r="AG310" s="1124"/>
      <c r="AH310" s="1124"/>
      <c r="AI310" s="1124"/>
      <c r="AJ310" s="1124"/>
      <c r="AK310" s="1124"/>
      <c r="AL310" s="1124"/>
      <c r="AM310" s="1124"/>
      <c r="AN310" s="1124"/>
      <c r="AO310" s="1124"/>
      <c r="AP310" s="1104"/>
      <c r="AQ310" s="1104"/>
    </row>
    <row r="311" spans="1:48" s="4" customFormat="1" ht="47.25">
      <c r="A311" s="1033"/>
      <c r="B311" s="1069"/>
      <c r="C311" s="1033"/>
      <c r="D311" s="1033"/>
      <c r="E311" s="1033"/>
      <c r="F311" s="1033"/>
      <c r="G311" s="1033"/>
      <c r="H311" s="1033"/>
      <c r="I311" s="1033"/>
      <c r="J311" s="1033"/>
      <c r="K311" s="1033"/>
      <c r="L311" s="1033"/>
      <c r="M311" s="1039"/>
      <c r="N311" s="1066"/>
      <c r="O311" s="1101"/>
      <c r="P311" s="1101"/>
      <c r="Q311" s="1101"/>
      <c r="R311" s="1133"/>
      <c r="S311" s="402"/>
      <c r="T311" s="403"/>
      <c r="U311" s="403"/>
      <c r="V311" s="1102">
        <f t="shared" si="22"/>
        <v>0</v>
      </c>
      <c r="W311" s="1101"/>
      <c r="X311" s="1033"/>
      <c r="Y311" s="372" t="s">
        <v>2077</v>
      </c>
      <c r="Z311" s="397"/>
      <c r="AA311" s="397"/>
      <c r="AB311" s="397"/>
      <c r="AC311" s="384">
        <v>41292</v>
      </c>
      <c r="AD311" s="83">
        <v>648000</v>
      </c>
      <c r="AE311" s="1066"/>
      <c r="AF311" s="1024"/>
      <c r="AG311" s="1124"/>
      <c r="AH311" s="1124"/>
      <c r="AI311" s="1124"/>
      <c r="AJ311" s="1124"/>
      <c r="AK311" s="1124"/>
      <c r="AL311" s="1124"/>
      <c r="AM311" s="1124"/>
      <c r="AN311" s="1124"/>
      <c r="AO311" s="1124"/>
      <c r="AP311" s="1104"/>
      <c r="AQ311" s="1104"/>
    </row>
    <row r="312" spans="1:48" s="4" customFormat="1" ht="47.25">
      <c r="A312" s="1033"/>
      <c r="B312" s="1069"/>
      <c r="C312" s="1033"/>
      <c r="D312" s="1033"/>
      <c r="E312" s="1033"/>
      <c r="F312" s="1033"/>
      <c r="G312" s="1033"/>
      <c r="H312" s="1033"/>
      <c r="I312" s="1033"/>
      <c r="J312" s="1033"/>
      <c r="K312" s="1033"/>
      <c r="L312" s="1033"/>
      <c r="M312" s="1039"/>
      <c r="N312" s="1065" t="s">
        <v>7</v>
      </c>
      <c r="O312" s="1100">
        <v>1800000</v>
      </c>
      <c r="P312" s="1101"/>
      <c r="Q312" s="1101"/>
      <c r="R312" s="1133"/>
      <c r="S312" s="402"/>
      <c r="T312" s="403"/>
      <c r="U312" s="403"/>
      <c r="V312" s="1100">
        <f t="shared" si="22"/>
        <v>1800000</v>
      </c>
      <c r="W312" s="1101"/>
      <c r="X312" s="1033"/>
      <c r="Y312" s="372" t="s">
        <v>2078</v>
      </c>
      <c r="Z312" s="397"/>
      <c r="AA312" s="397"/>
      <c r="AB312" s="397"/>
      <c r="AC312" s="384">
        <v>41292</v>
      </c>
      <c r="AD312" s="83">
        <v>972000</v>
      </c>
      <c r="AE312" s="1065" t="s">
        <v>7</v>
      </c>
      <c r="AF312" s="1023">
        <f>SUM(AD312:AD313)</f>
        <v>972000</v>
      </c>
      <c r="AG312" s="1124"/>
      <c r="AH312" s="1124"/>
      <c r="AI312" s="1124"/>
      <c r="AJ312" s="1124"/>
      <c r="AK312" s="1124"/>
      <c r="AL312" s="1124"/>
      <c r="AM312" s="1124"/>
      <c r="AN312" s="1124"/>
      <c r="AO312" s="1124"/>
      <c r="AP312" s="1104"/>
      <c r="AQ312" s="1104"/>
    </row>
    <row r="313" spans="1:48" s="4" customFormat="1">
      <c r="A313" s="1033"/>
      <c r="B313" s="1069"/>
      <c r="C313" s="1012"/>
      <c r="D313" s="1033"/>
      <c r="E313" s="1033"/>
      <c r="F313" s="1033"/>
      <c r="G313" s="1033"/>
      <c r="H313" s="1033"/>
      <c r="I313" s="1033"/>
      <c r="J313" s="1033"/>
      <c r="K313" s="1033"/>
      <c r="L313" s="1033"/>
      <c r="M313" s="1010"/>
      <c r="N313" s="1066"/>
      <c r="O313" s="1101"/>
      <c r="P313" s="1102"/>
      <c r="Q313" s="1101"/>
      <c r="R313" s="1134"/>
      <c r="S313" s="402"/>
      <c r="T313" s="403"/>
      <c r="U313" s="403"/>
      <c r="V313" s="1102">
        <f t="shared" si="22"/>
        <v>0</v>
      </c>
      <c r="W313" s="1101"/>
      <c r="X313" s="1033"/>
      <c r="Y313" s="372"/>
      <c r="Z313" s="397"/>
      <c r="AA313" s="397"/>
      <c r="AB313" s="397"/>
      <c r="AC313" s="384"/>
      <c r="AD313" s="83"/>
      <c r="AE313" s="1066"/>
      <c r="AF313" s="1024"/>
      <c r="AG313" s="1124"/>
      <c r="AH313" s="1124"/>
      <c r="AI313" s="1124"/>
      <c r="AJ313" s="1124"/>
      <c r="AK313" s="1124"/>
      <c r="AL313" s="1124"/>
      <c r="AM313" s="1124"/>
      <c r="AN313" s="1124"/>
      <c r="AO313" s="1124"/>
      <c r="AP313" s="1104"/>
      <c r="AQ313" s="1104"/>
    </row>
    <row r="314" spans="1:48" s="4" customFormat="1" ht="15.75" customHeight="1">
      <c r="A314" s="1033"/>
      <c r="B314" s="1069"/>
      <c r="C314" s="1011" t="s">
        <v>36</v>
      </c>
      <c r="D314" s="1033"/>
      <c r="E314" s="1033"/>
      <c r="F314" s="1033"/>
      <c r="G314" s="1033"/>
      <c r="H314" s="1033"/>
      <c r="I314" s="1033"/>
      <c r="J314" s="1033"/>
      <c r="K314" s="1033"/>
      <c r="L314" s="1033"/>
      <c r="M314" s="1009">
        <v>83</v>
      </c>
      <c r="N314" s="1065" t="s">
        <v>137</v>
      </c>
      <c r="O314" s="1100">
        <v>1216000</v>
      </c>
      <c r="P314" s="1100">
        <f>SUM(O314:O317)</f>
        <v>3040000</v>
      </c>
      <c r="Q314" s="1101"/>
      <c r="R314" s="1132">
        <v>40413</v>
      </c>
      <c r="S314" s="402"/>
      <c r="T314" s="403"/>
      <c r="U314" s="403"/>
      <c r="V314" s="1100">
        <f t="shared" si="22"/>
        <v>1216000</v>
      </c>
      <c r="W314" s="1101"/>
      <c r="X314" s="1033"/>
      <c r="Y314" s="372" t="s">
        <v>2071</v>
      </c>
      <c r="Z314" s="397"/>
      <c r="AA314" s="397"/>
      <c r="AB314" s="397"/>
      <c r="AC314" s="384">
        <v>40444</v>
      </c>
      <c r="AD314" s="83">
        <v>1216000</v>
      </c>
      <c r="AE314" s="1065" t="s">
        <v>137</v>
      </c>
      <c r="AF314" s="1023">
        <f>SUM(AD314:AD315)</f>
        <v>1945600</v>
      </c>
      <c r="AG314" s="1124"/>
      <c r="AH314" s="1124"/>
      <c r="AI314" s="1124"/>
      <c r="AJ314" s="1124"/>
      <c r="AK314" s="1124"/>
      <c r="AL314" s="1124"/>
      <c r="AM314" s="1124"/>
      <c r="AN314" s="1124"/>
      <c r="AO314" s="1124"/>
      <c r="AP314" s="1104"/>
      <c r="AQ314" s="1104"/>
    </row>
    <row r="315" spans="1:48" s="4" customFormat="1" ht="31.5">
      <c r="A315" s="1033"/>
      <c r="B315" s="1069"/>
      <c r="C315" s="1033"/>
      <c r="D315" s="1033"/>
      <c r="E315" s="1033"/>
      <c r="F315" s="1033"/>
      <c r="G315" s="1033"/>
      <c r="H315" s="1033"/>
      <c r="I315" s="1033"/>
      <c r="J315" s="1033"/>
      <c r="K315" s="1033"/>
      <c r="L315" s="1033"/>
      <c r="M315" s="1039"/>
      <c r="N315" s="1066"/>
      <c r="O315" s="1101"/>
      <c r="P315" s="1101"/>
      <c r="Q315" s="1101"/>
      <c r="R315" s="1133"/>
      <c r="S315" s="402"/>
      <c r="T315" s="403"/>
      <c r="U315" s="403"/>
      <c r="V315" s="1102">
        <f t="shared" si="22"/>
        <v>0</v>
      </c>
      <c r="W315" s="1101"/>
      <c r="X315" s="1033"/>
      <c r="Y315" s="372" t="s">
        <v>2072</v>
      </c>
      <c r="Z315" s="397"/>
      <c r="AA315" s="397"/>
      <c r="AB315" s="397"/>
      <c r="AC315" s="384">
        <v>41290</v>
      </c>
      <c r="AD315" s="83">
        <v>729600</v>
      </c>
      <c r="AE315" s="1066"/>
      <c r="AF315" s="1024"/>
      <c r="AG315" s="1124"/>
      <c r="AH315" s="1124"/>
      <c r="AI315" s="1124"/>
      <c r="AJ315" s="1124"/>
      <c r="AK315" s="1124"/>
      <c r="AL315" s="1124"/>
      <c r="AM315" s="1124"/>
      <c r="AN315" s="1124"/>
      <c r="AO315" s="1124"/>
      <c r="AP315" s="1104"/>
      <c r="AQ315" s="1104"/>
    </row>
    <row r="316" spans="1:48" s="4" customFormat="1" ht="31.5">
      <c r="A316" s="1033"/>
      <c r="B316" s="1069"/>
      <c r="C316" s="1033"/>
      <c r="D316" s="1033"/>
      <c r="E316" s="1033"/>
      <c r="F316" s="1033"/>
      <c r="G316" s="1033"/>
      <c r="H316" s="1033"/>
      <c r="I316" s="1033"/>
      <c r="J316" s="1033"/>
      <c r="K316" s="1033"/>
      <c r="L316" s="1033"/>
      <c r="M316" s="1039"/>
      <c r="N316" s="1065" t="s">
        <v>7</v>
      </c>
      <c r="O316" s="1100">
        <v>1824000</v>
      </c>
      <c r="P316" s="1101"/>
      <c r="Q316" s="1101"/>
      <c r="R316" s="1133"/>
      <c r="S316" s="402"/>
      <c r="T316" s="403"/>
      <c r="U316" s="403"/>
      <c r="V316" s="1100">
        <f t="shared" si="22"/>
        <v>1824000</v>
      </c>
      <c r="W316" s="1101"/>
      <c r="X316" s="1033"/>
      <c r="Y316" s="372" t="s">
        <v>2072</v>
      </c>
      <c r="Z316" s="397"/>
      <c r="AA316" s="397"/>
      <c r="AB316" s="397"/>
      <c r="AC316" s="384">
        <v>41290</v>
      </c>
      <c r="AD316" s="83">
        <v>912000</v>
      </c>
      <c r="AE316" s="1065" t="s">
        <v>7</v>
      </c>
      <c r="AF316" s="1023">
        <f>SUM(AD316:AD317)</f>
        <v>912000</v>
      </c>
      <c r="AG316" s="1124"/>
      <c r="AH316" s="1124"/>
      <c r="AI316" s="1124"/>
      <c r="AJ316" s="1124"/>
      <c r="AK316" s="1124"/>
      <c r="AL316" s="1124"/>
      <c r="AM316" s="1124"/>
      <c r="AN316" s="1124"/>
      <c r="AO316" s="1124"/>
      <c r="AP316" s="1104"/>
      <c r="AQ316" s="1104"/>
    </row>
    <row r="317" spans="1:48" s="4" customFormat="1">
      <c r="A317" s="1033"/>
      <c r="B317" s="1069"/>
      <c r="C317" s="1033"/>
      <c r="D317" s="1033"/>
      <c r="E317" s="1033"/>
      <c r="F317" s="1033"/>
      <c r="G317" s="1033"/>
      <c r="H317" s="1033"/>
      <c r="I317" s="1033"/>
      <c r="J317" s="1033"/>
      <c r="K317" s="1033"/>
      <c r="L317" s="1033"/>
      <c r="M317" s="1010"/>
      <c r="N317" s="1066"/>
      <c r="O317" s="1101"/>
      <c r="P317" s="1102"/>
      <c r="Q317" s="1101"/>
      <c r="R317" s="1134"/>
      <c r="S317" s="402"/>
      <c r="T317" s="403"/>
      <c r="U317" s="403"/>
      <c r="V317" s="1102">
        <f t="shared" si="22"/>
        <v>0</v>
      </c>
      <c r="W317" s="1101"/>
      <c r="X317" s="1033"/>
      <c r="Y317" s="372"/>
      <c r="Z317" s="397"/>
      <c r="AA317" s="397"/>
      <c r="AB317" s="397"/>
      <c r="AC317" s="384"/>
      <c r="AD317" s="83"/>
      <c r="AE317" s="1066"/>
      <c r="AF317" s="1024"/>
      <c r="AG317" s="1124"/>
      <c r="AH317" s="1124"/>
      <c r="AI317" s="1124"/>
      <c r="AJ317" s="1124"/>
      <c r="AK317" s="1124"/>
      <c r="AL317" s="1124"/>
      <c r="AM317" s="1124"/>
      <c r="AN317" s="1124"/>
      <c r="AO317" s="1124"/>
      <c r="AP317" s="1104"/>
      <c r="AQ317" s="1104"/>
    </row>
    <row r="318" spans="1:48" s="4" customFormat="1" ht="18.75" customHeight="1">
      <c r="A318" s="1033"/>
      <c r="B318" s="1069"/>
      <c r="C318" s="1033"/>
      <c r="D318" s="1033"/>
      <c r="E318" s="1033"/>
      <c r="F318" s="1033"/>
      <c r="G318" s="1033"/>
      <c r="H318" s="1033"/>
      <c r="I318" s="1033"/>
      <c r="J318" s="1012"/>
      <c r="K318" s="1033"/>
      <c r="L318" s="1033"/>
      <c r="M318" s="370">
        <v>174</v>
      </c>
      <c r="N318" s="377" t="s">
        <v>7</v>
      </c>
      <c r="O318" s="403">
        <v>2000000</v>
      </c>
      <c r="P318" s="378">
        <f>O318</f>
        <v>2000000</v>
      </c>
      <c r="Q318" s="1101"/>
      <c r="R318" s="378">
        <f>O318</f>
        <v>2000000</v>
      </c>
      <c r="S318" s="402"/>
      <c r="T318" s="403"/>
      <c r="U318" s="403"/>
      <c r="V318" s="378"/>
      <c r="W318" s="1101"/>
      <c r="X318" s="1033"/>
      <c r="Y318" s="173" t="s">
        <v>115</v>
      </c>
      <c r="Z318" s="397"/>
      <c r="AA318" s="397"/>
      <c r="AB318" s="397"/>
      <c r="AC318" s="384">
        <v>41467</v>
      </c>
      <c r="AD318" s="83">
        <v>1617600</v>
      </c>
      <c r="AE318" s="377" t="s">
        <v>7</v>
      </c>
      <c r="AF318" s="382">
        <f>SUM(AD318)</f>
        <v>1617600</v>
      </c>
      <c r="AG318" s="1124"/>
      <c r="AH318" s="1124"/>
      <c r="AI318" s="1124"/>
      <c r="AJ318" s="1124"/>
      <c r="AK318" s="1124"/>
      <c r="AL318" s="1124"/>
      <c r="AM318" s="1124"/>
      <c r="AN318" s="1124"/>
      <c r="AO318" s="1124"/>
      <c r="AP318" s="1104"/>
      <c r="AQ318" s="1104"/>
      <c r="AR318" s="174"/>
      <c r="AS318" s="174"/>
      <c r="AT318" s="173"/>
      <c r="AU318" s="175"/>
      <c r="AV318" s="176"/>
    </row>
    <row r="319" spans="1:48" s="4" customFormat="1" ht="31.5">
      <c r="A319" s="1033"/>
      <c r="B319" s="1069"/>
      <c r="C319" s="1033"/>
      <c r="D319" s="1033"/>
      <c r="E319" s="1033"/>
      <c r="F319" s="1033"/>
      <c r="G319" s="1033"/>
      <c r="H319" s="1033"/>
      <c r="I319" s="1033"/>
      <c r="J319" s="1011" t="s">
        <v>67</v>
      </c>
      <c r="K319" s="1033"/>
      <c r="L319" s="1033"/>
      <c r="M319" s="1009">
        <v>199</v>
      </c>
      <c r="N319" s="1065" t="s">
        <v>7</v>
      </c>
      <c r="O319" s="1100">
        <v>1763200</v>
      </c>
      <c r="P319" s="1100">
        <f>O319</f>
        <v>1763200</v>
      </c>
      <c r="Q319" s="1101"/>
      <c r="R319" s="1132">
        <v>40779</v>
      </c>
      <c r="S319" s="402"/>
      <c r="T319" s="403"/>
      <c r="U319" s="403"/>
      <c r="V319" s="1100">
        <f>O319</f>
        <v>1763200</v>
      </c>
      <c r="W319" s="1101"/>
      <c r="X319" s="1033"/>
      <c r="Y319" s="372" t="s">
        <v>2072</v>
      </c>
      <c r="Z319" s="397"/>
      <c r="AA319" s="397"/>
      <c r="AB319" s="397"/>
      <c r="AC319" s="384">
        <v>41290</v>
      </c>
      <c r="AD319" s="83">
        <v>1586880</v>
      </c>
      <c r="AE319" s="1065" t="s">
        <v>7</v>
      </c>
      <c r="AF319" s="1023">
        <f>SUM(AD319:AD320)</f>
        <v>1586880</v>
      </c>
      <c r="AG319" s="1124"/>
      <c r="AH319" s="1124"/>
      <c r="AI319" s="1124"/>
      <c r="AJ319" s="1124"/>
      <c r="AK319" s="1124"/>
      <c r="AL319" s="1124"/>
      <c r="AM319" s="1124"/>
      <c r="AN319" s="1124"/>
      <c r="AO319" s="1124"/>
      <c r="AP319" s="1104"/>
      <c r="AQ319" s="1104"/>
    </row>
    <row r="320" spans="1:48" s="4" customFormat="1">
      <c r="A320" s="1033"/>
      <c r="B320" s="1069"/>
      <c r="C320" s="1033"/>
      <c r="D320" s="1033"/>
      <c r="E320" s="1033"/>
      <c r="F320" s="1033"/>
      <c r="G320" s="1033"/>
      <c r="H320" s="1033"/>
      <c r="I320" s="1033"/>
      <c r="J320" s="1033"/>
      <c r="K320" s="1033"/>
      <c r="L320" s="1033"/>
      <c r="M320" s="1010"/>
      <c r="N320" s="1066"/>
      <c r="O320" s="1101"/>
      <c r="P320" s="1102"/>
      <c r="Q320" s="1101"/>
      <c r="R320" s="1133"/>
      <c r="S320" s="402"/>
      <c r="T320" s="403"/>
      <c r="U320" s="403"/>
      <c r="V320" s="1102">
        <f>O320</f>
        <v>0</v>
      </c>
      <c r="W320" s="1101"/>
      <c r="X320" s="1033"/>
      <c r="Y320" s="372"/>
      <c r="Z320" s="397"/>
      <c r="AA320" s="397"/>
      <c r="AB320" s="397"/>
      <c r="AC320" s="384"/>
      <c r="AD320" s="83"/>
      <c r="AE320" s="1066"/>
      <c r="AF320" s="1024"/>
      <c r="AG320" s="1124"/>
      <c r="AH320" s="1124"/>
      <c r="AI320" s="1124"/>
      <c r="AJ320" s="1124"/>
      <c r="AK320" s="1124"/>
      <c r="AL320" s="1124"/>
      <c r="AM320" s="1124"/>
      <c r="AN320" s="1124"/>
      <c r="AO320" s="1124"/>
      <c r="AP320" s="1104"/>
      <c r="AQ320" s="1104"/>
    </row>
    <row r="321" spans="1:43" s="4" customFormat="1" ht="31.5">
      <c r="A321" s="1033"/>
      <c r="B321" s="1069"/>
      <c r="C321" s="1033"/>
      <c r="D321" s="1033"/>
      <c r="E321" s="1033"/>
      <c r="F321" s="1033"/>
      <c r="G321" s="1033"/>
      <c r="H321" s="1033"/>
      <c r="I321" s="1033"/>
      <c r="J321" s="1033"/>
      <c r="K321" s="1033"/>
      <c r="L321" s="1033"/>
      <c r="M321" s="1009">
        <v>198</v>
      </c>
      <c r="N321" s="1065" t="s">
        <v>7</v>
      </c>
      <c r="O321" s="1100">
        <v>1763200</v>
      </c>
      <c r="P321" s="1100">
        <f>O321</f>
        <v>1763200</v>
      </c>
      <c r="Q321" s="1101"/>
      <c r="R321" s="1132">
        <v>40779</v>
      </c>
      <c r="S321" s="402"/>
      <c r="T321" s="403"/>
      <c r="U321" s="403"/>
      <c r="V321" s="1100">
        <f>O321</f>
        <v>1763200</v>
      </c>
      <c r="W321" s="1101"/>
      <c r="X321" s="1033"/>
      <c r="Y321" s="372" t="s">
        <v>2072</v>
      </c>
      <c r="Z321" s="397"/>
      <c r="AA321" s="397"/>
      <c r="AB321" s="397"/>
      <c r="AC321" s="384">
        <v>41290</v>
      </c>
      <c r="AD321" s="83">
        <v>1586880</v>
      </c>
      <c r="AE321" s="1065" t="s">
        <v>7</v>
      </c>
      <c r="AF321" s="1023">
        <f>SUM(AD321:AD322)</f>
        <v>1586880</v>
      </c>
      <c r="AG321" s="1124"/>
      <c r="AH321" s="1124"/>
      <c r="AI321" s="1124"/>
      <c r="AJ321" s="1124"/>
      <c r="AK321" s="1124"/>
      <c r="AL321" s="1124"/>
      <c r="AM321" s="1124"/>
      <c r="AN321" s="1124"/>
      <c r="AO321" s="1124"/>
      <c r="AP321" s="1104"/>
      <c r="AQ321" s="1104"/>
    </row>
    <row r="322" spans="1:43" s="4" customFormat="1">
      <c r="A322" s="1012"/>
      <c r="B322" s="1070"/>
      <c r="C322" s="1012"/>
      <c r="D322" s="1012"/>
      <c r="E322" s="1012"/>
      <c r="F322" s="1012"/>
      <c r="G322" s="1012"/>
      <c r="H322" s="1012"/>
      <c r="I322" s="1012"/>
      <c r="J322" s="1012"/>
      <c r="K322" s="1012"/>
      <c r="L322" s="1012"/>
      <c r="M322" s="1010"/>
      <c r="N322" s="1066"/>
      <c r="O322" s="1101"/>
      <c r="P322" s="1102"/>
      <c r="Q322" s="1102"/>
      <c r="R322" s="1133"/>
      <c r="S322" s="402"/>
      <c r="T322" s="403"/>
      <c r="U322" s="403"/>
      <c r="V322" s="1102">
        <f>O322</f>
        <v>0</v>
      </c>
      <c r="W322" s="1102"/>
      <c r="X322" s="1012"/>
      <c r="Y322" s="372"/>
      <c r="Z322" s="397"/>
      <c r="AA322" s="397"/>
      <c r="AB322" s="397"/>
      <c r="AC322" s="384"/>
      <c r="AD322" s="83"/>
      <c r="AE322" s="1066"/>
      <c r="AF322" s="1024"/>
      <c r="AG322" s="1024"/>
      <c r="AH322" s="1024"/>
      <c r="AI322" s="1024"/>
      <c r="AJ322" s="1024"/>
      <c r="AK322" s="1024"/>
      <c r="AL322" s="1024"/>
      <c r="AM322" s="1024"/>
      <c r="AN322" s="1024"/>
      <c r="AO322" s="1024"/>
      <c r="AP322" s="1105"/>
      <c r="AQ322" s="1105"/>
    </row>
    <row r="323" spans="1:43" s="4" customFormat="1" ht="15.75" customHeight="1">
      <c r="A323" s="1076" t="s">
        <v>422</v>
      </c>
      <c r="B323" s="1171">
        <v>40333</v>
      </c>
      <c r="C323" s="1076" t="s">
        <v>37</v>
      </c>
      <c r="D323" s="1076" t="s">
        <v>423</v>
      </c>
      <c r="E323" s="1252">
        <v>10521167</v>
      </c>
      <c r="F323" s="1252"/>
      <c r="G323" s="1076" t="s">
        <v>424</v>
      </c>
      <c r="H323" s="1076" t="s">
        <v>70</v>
      </c>
      <c r="I323" s="1076" t="s">
        <v>177</v>
      </c>
      <c r="J323" s="1076" t="s">
        <v>66</v>
      </c>
      <c r="K323" s="1076" t="s">
        <v>183</v>
      </c>
      <c r="L323" s="1076" t="s">
        <v>425</v>
      </c>
      <c r="M323" s="1245">
        <v>81</v>
      </c>
      <c r="N323" s="1282" t="s">
        <v>137</v>
      </c>
      <c r="O323" s="1119">
        <v>7692307.5999999996</v>
      </c>
      <c r="P323" s="1119">
        <f>O323+O326</f>
        <v>19230769</v>
      </c>
      <c r="Q323" s="1119">
        <f>P323+P329</f>
        <v>22822129</v>
      </c>
      <c r="R323" s="1171">
        <v>40413</v>
      </c>
      <c r="S323" s="1196">
        <f>T323+T326</f>
        <v>19000000</v>
      </c>
      <c r="T323" s="1196">
        <v>7599999.5999999996</v>
      </c>
      <c r="U323" s="1119">
        <f>O323-T323</f>
        <v>92308</v>
      </c>
      <c r="V323" s="1119">
        <v>7599999.5999999996</v>
      </c>
      <c r="W323" s="1119">
        <f>V323+V326+V329</f>
        <v>22591360</v>
      </c>
      <c r="X323" s="1076" t="s">
        <v>282</v>
      </c>
      <c r="Y323" s="1123" t="s">
        <v>426</v>
      </c>
      <c r="Z323" s="386">
        <v>0</v>
      </c>
      <c r="AA323" s="386">
        <v>5092000</v>
      </c>
      <c r="AB323" s="386">
        <f t="shared" ref="AB323:AB329" si="23">Z323+AA323</f>
        <v>5092000</v>
      </c>
      <c r="AC323" s="1171">
        <v>40448</v>
      </c>
      <c r="AD323" s="395">
        <v>5092000</v>
      </c>
      <c r="AE323" s="395" t="s">
        <v>137</v>
      </c>
      <c r="AF323" s="1084">
        <f>SUM(AD323:AD328)</f>
        <v>19000000</v>
      </c>
      <c r="AG323" s="1084">
        <f>AF323+AF329</f>
        <v>22591360</v>
      </c>
      <c r="AH323" s="358">
        <f t="shared" ref="AH323:AH329" si="24">AB323-AD323</f>
        <v>0</v>
      </c>
      <c r="AI323" s="1084">
        <f>T323-AD323-AD326-AD328</f>
        <v>-2052000.4000000004</v>
      </c>
      <c r="AJ323" s="1119">
        <f>SUM(Z323:Z328)-SUM(AD323:AD328)</f>
        <v>0</v>
      </c>
      <c r="AK323" s="1119">
        <f>S323-V323-V326</f>
        <v>0</v>
      </c>
      <c r="AL323" s="1119">
        <f>SUM(V323:V328)-SUM(Z323:Z328)</f>
        <v>0</v>
      </c>
      <c r="AM323" s="1119">
        <f>AK323+AL323</f>
        <v>0</v>
      </c>
      <c r="AN323" s="1203" t="s">
        <v>430</v>
      </c>
      <c r="AO323" s="1204" t="s">
        <v>785</v>
      </c>
      <c r="AP323" s="1204" t="s">
        <v>194</v>
      </c>
      <c r="AQ323" s="1204" t="s">
        <v>368</v>
      </c>
    </row>
    <row r="324" spans="1:43" s="4" customFormat="1">
      <c r="A324" s="1076"/>
      <c r="B324" s="1171"/>
      <c r="C324" s="1076"/>
      <c r="D324" s="1076"/>
      <c r="E324" s="1252"/>
      <c r="F324" s="1252"/>
      <c r="G324" s="1076"/>
      <c r="H324" s="1076"/>
      <c r="I324" s="1076"/>
      <c r="J324" s="1076"/>
      <c r="K324" s="1076"/>
      <c r="L324" s="1076"/>
      <c r="M324" s="1245"/>
      <c r="N324" s="1282"/>
      <c r="O324" s="1119"/>
      <c r="P324" s="1119"/>
      <c r="Q324" s="1119"/>
      <c r="R324" s="1171"/>
      <c r="S324" s="1196"/>
      <c r="T324" s="1196"/>
      <c r="U324" s="1119"/>
      <c r="V324" s="1119"/>
      <c r="W324" s="1119"/>
      <c r="X324" s="1076"/>
      <c r="Y324" s="1123"/>
      <c r="Z324" s="386">
        <v>0</v>
      </c>
      <c r="AA324" s="386">
        <v>2508000</v>
      </c>
      <c r="AB324" s="386">
        <f t="shared" si="23"/>
        <v>2508000</v>
      </c>
      <c r="AC324" s="1171"/>
      <c r="AD324" s="395">
        <v>2508000</v>
      </c>
      <c r="AE324" s="395" t="s">
        <v>7</v>
      </c>
      <c r="AF324" s="1084"/>
      <c r="AG324" s="1084"/>
      <c r="AH324" s="358">
        <f t="shared" si="24"/>
        <v>0</v>
      </c>
      <c r="AI324" s="1084"/>
      <c r="AJ324" s="1119"/>
      <c r="AK324" s="1119"/>
      <c r="AL324" s="1119"/>
      <c r="AM324" s="1119"/>
      <c r="AN324" s="1203"/>
      <c r="AO324" s="1204"/>
      <c r="AP324" s="1204"/>
      <c r="AQ324" s="1204"/>
    </row>
    <row r="325" spans="1:43" s="4" customFormat="1" ht="21.75" customHeight="1">
      <c r="A325" s="1076"/>
      <c r="B325" s="1171"/>
      <c r="C325" s="1076"/>
      <c r="D325" s="1076"/>
      <c r="E325" s="1252"/>
      <c r="F325" s="1252"/>
      <c r="G325" s="1076"/>
      <c r="H325" s="1076"/>
      <c r="I325" s="1076"/>
      <c r="J325" s="1076"/>
      <c r="K325" s="1076"/>
      <c r="L325" s="1076"/>
      <c r="M325" s="1245"/>
      <c r="N325" s="1282"/>
      <c r="O325" s="1119"/>
      <c r="P325" s="1119"/>
      <c r="Q325" s="1119"/>
      <c r="R325" s="1171"/>
      <c r="S325" s="1196"/>
      <c r="T325" s="1196"/>
      <c r="U325" s="1119"/>
      <c r="V325" s="1119"/>
      <c r="W325" s="1119"/>
      <c r="X325" s="1076"/>
      <c r="Y325" s="1123" t="s">
        <v>427</v>
      </c>
      <c r="Z325" s="386">
        <v>10260000</v>
      </c>
      <c r="AA325" s="418">
        <v>-4104000</v>
      </c>
      <c r="AB325" s="386">
        <f t="shared" si="23"/>
        <v>6156000</v>
      </c>
      <c r="AC325" s="1171">
        <v>40863</v>
      </c>
      <c r="AD325" s="395">
        <v>6156000</v>
      </c>
      <c r="AE325" s="395" t="s">
        <v>7</v>
      </c>
      <c r="AF325" s="1084"/>
      <c r="AG325" s="1084"/>
      <c r="AH325" s="358">
        <f t="shared" si="24"/>
        <v>0</v>
      </c>
      <c r="AI325" s="1084"/>
      <c r="AJ325" s="1119"/>
      <c r="AK325" s="1119"/>
      <c r="AL325" s="1119"/>
      <c r="AM325" s="1119"/>
      <c r="AN325" s="1203"/>
      <c r="AO325" s="1204"/>
      <c r="AP325" s="1204"/>
      <c r="AQ325" s="1204"/>
    </row>
    <row r="326" spans="1:43" s="4" customFormat="1" ht="23.25" customHeight="1">
      <c r="A326" s="1076"/>
      <c r="B326" s="1171"/>
      <c r="C326" s="1076"/>
      <c r="D326" s="1076"/>
      <c r="E326" s="1252"/>
      <c r="F326" s="1252"/>
      <c r="G326" s="1076"/>
      <c r="H326" s="1076"/>
      <c r="I326" s="1076"/>
      <c r="J326" s="1076"/>
      <c r="K326" s="1076"/>
      <c r="L326" s="1076"/>
      <c r="M326" s="1245"/>
      <c r="N326" s="1282" t="s">
        <v>7</v>
      </c>
      <c r="O326" s="1119">
        <v>11538461.4</v>
      </c>
      <c r="P326" s="1119"/>
      <c r="Q326" s="1119"/>
      <c r="R326" s="1171"/>
      <c r="S326" s="1196"/>
      <c r="T326" s="1196">
        <v>11400000.4</v>
      </c>
      <c r="U326" s="1119">
        <f>O326-T326</f>
        <v>138461</v>
      </c>
      <c r="V326" s="1119">
        <v>11400000.4</v>
      </c>
      <c r="W326" s="1119"/>
      <c r="X326" s="1076"/>
      <c r="Y326" s="1123"/>
      <c r="Z326" s="386">
        <v>6840000</v>
      </c>
      <c r="AA326" s="418">
        <v>-2736000</v>
      </c>
      <c r="AB326" s="386">
        <f t="shared" si="23"/>
        <v>4104000</v>
      </c>
      <c r="AC326" s="1171"/>
      <c r="AD326" s="395">
        <v>4104000</v>
      </c>
      <c r="AE326" s="395" t="s">
        <v>137</v>
      </c>
      <c r="AF326" s="1084"/>
      <c r="AG326" s="1084"/>
      <c r="AH326" s="358">
        <f t="shared" si="24"/>
        <v>0</v>
      </c>
      <c r="AI326" s="1084">
        <f>V326-AD324-AD325-AD327</f>
        <v>2052000.4000000004</v>
      </c>
      <c r="AJ326" s="1119"/>
      <c r="AK326" s="1119"/>
      <c r="AL326" s="1119"/>
      <c r="AM326" s="1119"/>
      <c r="AN326" s="1203"/>
      <c r="AO326" s="1204"/>
      <c r="AP326" s="1204"/>
      <c r="AQ326" s="1204"/>
    </row>
    <row r="327" spans="1:43" s="4" customFormat="1">
      <c r="A327" s="1076"/>
      <c r="B327" s="1171"/>
      <c r="C327" s="1076"/>
      <c r="D327" s="1076"/>
      <c r="E327" s="1252"/>
      <c r="F327" s="1252"/>
      <c r="G327" s="1076"/>
      <c r="H327" s="1076"/>
      <c r="I327" s="1076"/>
      <c r="J327" s="1076"/>
      <c r="K327" s="1076"/>
      <c r="L327" s="1076"/>
      <c r="M327" s="1245"/>
      <c r="N327" s="1282"/>
      <c r="O327" s="1119"/>
      <c r="P327" s="1119"/>
      <c r="Q327" s="1119"/>
      <c r="R327" s="1171"/>
      <c r="S327" s="1196"/>
      <c r="T327" s="1196"/>
      <c r="U327" s="1119"/>
      <c r="V327" s="1119"/>
      <c r="W327" s="1119"/>
      <c r="X327" s="1076"/>
      <c r="Y327" s="1123" t="s">
        <v>428</v>
      </c>
      <c r="Z327" s="386">
        <f>1900000*60%</f>
        <v>1140000</v>
      </c>
      <c r="AA327" s="55">
        <v>-456000</v>
      </c>
      <c r="AB327" s="386">
        <f t="shared" si="23"/>
        <v>684000</v>
      </c>
      <c r="AC327" s="1171">
        <v>41569</v>
      </c>
      <c r="AD327" s="395">
        <v>684000</v>
      </c>
      <c r="AE327" s="395" t="s">
        <v>7</v>
      </c>
      <c r="AF327" s="1084"/>
      <c r="AG327" s="1084"/>
      <c r="AH327" s="358">
        <f t="shared" si="24"/>
        <v>0</v>
      </c>
      <c r="AI327" s="1084"/>
      <c r="AJ327" s="1119"/>
      <c r="AK327" s="1119"/>
      <c r="AL327" s="1119"/>
      <c r="AM327" s="1119"/>
      <c r="AN327" s="1203"/>
      <c r="AO327" s="1204"/>
      <c r="AP327" s="1204"/>
      <c r="AQ327" s="1204"/>
    </row>
    <row r="328" spans="1:43" s="4" customFormat="1" ht="31.5">
      <c r="A328" s="1076"/>
      <c r="B328" s="1171"/>
      <c r="C328" s="1076"/>
      <c r="D328" s="1076"/>
      <c r="E328" s="1252"/>
      <c r="F328" s="1252"/>
      <c r="G328" s="1076"/>
      <c r="H328" s="1076"/>
      <c r="I328" s="1076"/>
      <c r="J328" s="1076"/>
      <c r="K328" s="1076"/>
      <c r="L328" s="1076"/>
      <c r="M328" s="1245"/>
      <c r="N328" s="1282"/>
      <c r="O328" s="1119"/>
      <c r="P328" s="1119"/>
      <c r="Q328" s="1119"/>
      <c r="R328" s="1171"/>
      <c r="S328" s="1196"/>
      <c r="T328" s="1196"/>
      <c r="U328" s="1119"/>
      <c r="V328" s="1119"/>
      <c r="W328" s="1119"/>
      <c r="X328" s="1076"/>
      <c r="Y328" s="1123"/>
      <c r="Z328" s="386">
        <f>1900000*40%</f>
        <v>760000</v>
      </c>
      <c r="AA328" s="55">
        <v>-304000</v>
      </c>
      <c r="AB328" s="386">
        <f t="shared" si="23"/>
        <v>456000</v>
      </c>
      <c r="AC328" s="1171"/>
      <c r="AD328" s="395">
        <v>456000</v>
      </c>
      <c r="AE328" s="395" t="s">
        <v>137</v>
      </c>
      <c r="AF328" s="1084"/>
      <c r="AG328" s="1084"/>
      <c r="AH328" s="358">
        <f t="shared" si="24"/>
        <v>0</v>
      </c>
      <c r="AI328" s="1084"/>
      <c r="AJ328" s="1119"/>
      <c r="AK328" s="1119"/>
      <c r="AL328" s="1119"/>
      <c r="AM328" s="1119"/>
      <c r="AN328" s="1203"/>
      <c r="AO328" s="1204"/>
      <c r="AP328" s="1204"/>
      <c r="AQ328" s="1204"/>
    </row>
    <row r="329" spans="1:43" s="4" customFormat="1" ht="47.25">
      <c r="A329" s="1076"/>
      <c r="B329" s="1171"/>
      <c r="C329" s="1076"/>
      <c r="D329" s="1076"/>
      <c r="E329" s="1252"/>
      <c r="F329" s="1252"/>
      <c r="G329" s="1076"/>
      <c r="H329" s="1076"/>
      <c r="I329" s="1076"/>
      <c r="J329" s="354" t="s">
        <v>171</v>
      </c>
      <c r="K329" s="1076"/>
      <c r="L329" s="1076"/>
      <c r="M329" s="404">
        <v>174</v>
      </c>
      <c r="N329" s="417" t="s">
        <v>7</v>
      </c>
      <c r="O329" s="386">
        <v>3591360</v>
      </c>
      <c r="P329" s="386">
        <f>O329</f>
        <v>3591360</v>
      </c>
      <c r="Q329" s="1119"/>
      <c r="R329" s="384"/>
      <c r="S329" s="390">
        <v>3591360</v>
      </c>
      <c r="T329" s="386">
        <v>3591360</v>
      </c>
      <c r="U329" s="386">
        <f>S329-T329</f>
        <v>0</v>
      </c>
      <c r="V329" s="386">
        <v>3591360</v>
      </c>
      <c r="W329" s="1119"/>
      <c r="X329" s="1076"/>
      <c r="Y329" s="372" t="s">
        <v>429</v>
      </c>
      <c r="Z329" s="386">
        <v>3591360</v>
      </c>
      <c r="AA329" s="386">
        <v>0</v>
      </c>
      <c r="AB329" s="386">
        <f t="shared" si="23"/>
        <v>3591360</v>
      </c>
      <c r="AC329" s="384">
        <v>41569</v>
      </c>
      <c r="AD329" s="395">
        <v>3591360</v>
      </c>
      <c r="AE329" s="395" t="s">
        <v>7</v>
      </c>
      <c r="AF329" s="358">
        <f>AD329</f>
        <v>3591360</v>
      </c>
      <c r="AG329" s="1084"/>
      <c r="AH329" s="358">
        <f t="shared" si="24"/>
        <v>0</v>
      </c>
      <c r="AI329" s="358">
        <f>V329-AD329</f>
        <v>0</v>
      </c>
      <c r="AJ329" s="386">
        <f>Z329-AD329</f>
        <v>0</v>
      </c>
      <c r="AK329" s="386">
        <f>P329-V329</f>
        <v>0</v>
      </c>
      <c r="AL329" s="386">
        <f>V329-Z329</f>
        <v>0</v>
      </c>
      <c r="AM329" s="386">
        <f>AK329+AL329</f>
        <v>0</v>
      </c>
      <c r="AN329" s="1203"/>
      <c r="AO329" s="1204"/>
      <c r="AP329" s="1204"/>
      <c r="AQ329" s="1204"/>
    </row>
    <row r="330" spans="1:43" s="24" customFormat="1" ht="22.5" customHeight="1">
      <c r="A330" s="1076" t="s">
        <v>453</v>
      </c>
      <c r="B330" s="1171">
        <v>40372</v>
      </c>
      <c r="C330" s="1076" t="s">
        <v>22</v>
      </c>
      <c r="D330" s="1076" t="s">
        <v>455</v>
      </c>
      <c r="E330" s="1252" t="s">
        <v>456</v>
      </c>
      <c r="F330" s="1252" t="s">
        <v>457</v>
      </c>
      <c r="G330" s="1076" t="s">
        <v>454</v>
      </c>
      <c r="H330" s="1076" t="s">
        <v>72</v>
      </c>
      <c r="I330" s="1076" t="s">
        <v>177</v>
      </c>
      <c r="J330" s="1076" t="s">
        <v>66</v>
      </c>
      <c r="K330" s="1076" t="s">
        <v>183</v>
      </c>
      <c r="L330" s="1076" t="s">
        <v>452</v>
      </c>
      <c r="M330" s="1245">
        <v>84</v>
      </c>
      <c r="N330" s="1282" t="s">
        <v>451</v>
      </c>
      <c r="O330" s="1119">
        <v>28664281.600000001</v>
      </c>
      <c r="P330" s="1119">
        <f>O330+O335</f>
        <v>71660704</v>
      </c>
      <c r="Q330" s="1119">
        <v>71660704</v>
      </c>
      <c r="R330" s="1171">
        <v>40413</v>
      </c>
      <c r="S330" s="1119">
        <v>71660704</v>
      </c>
      <c r="T330" s="1119">
        <v>28664282</v>
      </c>
      <c r="U330" s="1119">
        <f>P330-S330</f>
        <v>0</v>
      </c>
      <c r="V330" s="1119">
        <v>28663577.600000001</v>
      </c>
      <c r="W330" s="1119">
        <v>71660000</v>
      </c>
      <c r="X330" s="1203" t="s">
        <v>282</v>
      </c>
      <c r="Y330" s="1123" t="s">
        <v>458</v>
      </c>
      <c r="Z330" s="1119">
        <v>0</v>
      </c>
      <c r="AA330" s="386">
        <v>11465600</v>
      </c>
      <c r="AB330" s="386">
        <v>11465600</v>
      </c>
      <c r="AC330" s="1171">
        <v>40445</v>
      </c>
      <c r="AD330" s="423">
        <v>11465600</v>
      </c>
      <c r="AE330" s="386" t="s">
        <v>137</v>
      </c>
      <c r="AF330" s="1119">
        <v>71660000</v>
      </c>
      <c r="AG330" s="1119">
        <v>71660000</v>
      </c>
      <c r="AH330" s="1119">
        <v>0</v>
      </c>
      <c r="AI330" s="386">
        <v>-11179382.399999999</v>
      </c>
      <c r="AJ330" s="1119">
        <v>0</v>
      </c>
      <c r="AK330" s="386">
        <v>704</v>
      </c>
      <c r="AL330" s="1119">
        <v>0</v>
      </c>
      <c r="AM330" s="386">
        <v>704</v>
      </c>
      <c r="AN330" s="1203"/>
      <c r="AO330" s="1203" t="s">
        <v>791</v>
      </c>
      <c r="AP330" s="1203" t="s">
        <v>195</v>
      </c>
      <c r="AQ330" s="1204" t="s">
        <v>368</v>
      </c>
    </row>
    <row r="331" spans="1:43" s="24" customFormat="1" ht="22.5" customHeight="1">
      <c r="A331" s="1076"/>
      <c r="B331" s="1171"/>
      <c r="C331" s="1076"/>
      <c r="D331" s="1076"/>
      <c r="E331" s="1252"/>
      <c r="F331" s="1252"/>
      <c r="G331" s="1076"/>
      <c r="H331" s="1076"/>
      <c r="I331" s="1076"/>
      <c r="J331" s="1076"/>
      <c r="K331" s="1076"/>
      <c r="L331" s="1076"/>
      <c r="M331" s="1245"/>
      <c r="N331" s="1282"/>
      <c r="O331" s="1119"/>
      <c r="P331" s="1119"/>
      <c r="Q331" s="1119"/>
      <c r="R331" s="1171"/>
      <c r="S331" s="1119"/>
      <c r="T331" s="1119"/>
      <c r="U331" s="1119"/>
      <c r="V331" s="1119"/>
      <c r="W331" s="1119"/>
      <c r="X331" s="1203"/>
      <c r="Y331" s="1123"/>
      <c r="Z331" s="1119"/>
      <c r="AA331" s="386">
        <v>17198400</v>
      </c>
      <c r="AB331" s="386">
        <v>17198400</v>
      </c>
      <c r="AC331" s="1171"/>
      <c r="AD331" s="423">
        <v>17198400</v>
      </c>
      <c r="AE331" s="386" t="s">
        <v>7</v>
      </c>
      <c r="AF331" s="1119"/>
      <c r="AG331" s="1119"/>
      <c r="AH331" s="1119"/>
      <c r="AI331" s="1119">
        <v>11179382.399999999</v>
      </c>
      <c r="AJ331" s="1119"/>
      <c r="AK331" s="1119"/>
      <c r="AL331" s="1119"/>
      <c r="AM331" s="1119"/>
      <c r="AN331" s="1203"/>
      <c r="AO331" s="1203"/>
      <c r="AP331" s="1203"/>
      <c r="AQ331" s="1204"/>
    </row>
    <row r="332" spans="1:43" s="24" customFormat="1" ht="31.5">
      <c r="A332" s="1076"/>
      <c r="B332" s="1171"/>
      <c r="C332" s="1076"/>
      <c r="D332" s="1076"/>
      <c r="E332" s="1252"/>
      <c r="F332" s="1252"/>
      <c r="G332" s="1076"/>
      <c r="H332" s="1076"/>
      <c r="I332" s="1076"/>
      <c r="J332" s="1076"/>
      <c r="K332" s="1076"/>
      <c r="L332" s="1076"/>
      <c r="M332" s="1245"/>
      <c r="N332" s="1282"/>
      <c r="O332" s="1119"/>
      <c r="P332" s="1119"/>
      <c r="Q332" s="1119"/>
      <c r="R332" s="1171"/>
      <c r="S332" s="1119"/>
      <c r="T332" s="1119"/>
      <c r="U332" s="1119"/>
      <c r="V332" s="1119"/>
      <c r="W332" s="1119"/>
      <c r="X332" s="1203"/>
      <c r="Y332" s="1123" t="s">
        <v>459</v>
      </c>
      <c r="Z332" s="386">
        <v>14332000</v>
      </c>
      <c r="AA332" s="386">
        <v>-5732800</v>
      </c>
      <c r="AB332" s="386">
        <f t="shared" ref="AB332:AB349" si="25">Z332+AA332</f>
        <v>8599200</v>
      </c>
      <c r="AC332" s="1171">
        <v>40785</v>
      </c>
      <c r="AD332" s="423">
        <v>8599200</v>
      </c>
      <c r="AE332" s="386" t="s">
        <v>137</v>
      </c>
      <c r="AF332" s="1119"/>
      <c r="AG332" s="1119"/>
      <c r="AH332" s="1119"/>
      <c r="AI332" s="1119"/>
      <c r="AJ332" s="1119"/>
      <c r="AK332" s="1119"/>
      <c r="AL332" s="1119"/>
      <c r="AM332" s="1119"/>
      <c r="AN332" s="1203"/>
      <c r="AO332" s="1203"/>
      <c r="AP332" s="1203"/>
      <c r="AQ332" s="1204"/>
    </row>
    <row r="333" spans="1:43" s="24" customFormat="1" ht="31.5">
      <c r="A333" s="1076"/>
      <c r="B333" s="1171"/>
      <c r="C333" s="1076"/>
      <c r="D333" s="1076"/>
      <c r="E333" s="1252"/>
      <c r="F333" s="1252"/>
      <c r="G333" s="1076"/>
      <c r="H333" s="1076"/>
      <c r="I333" s="1076"/>
      <c r="J333" s="1076"/>
      <c r="K333" s="1076"/>
      <c r="L333" s="1076"/>
      <c r="M333" s="1245"/>
      <c r="N333" s="1282"/>
      <c r="O333" s="1119"/>
      <c r="P333" s="1119"/>
      <c r="Q333" s="1119"/>
      <c r="R333" s="1171"/>
      <c r="S333" s="1119"/>
      <c r="T333" s="1119"/>
      <c r="U333" s="1119"/>
      <c r="V333" s="1119"/>
      <c r="W333" s="1119"/>
      <c r="X333" s="1203"/>
      <c r="Y333" s="1123"/>
      <c r="Z333" s="386">
        <v>21498000</v>
      </c>
      <c r="AA333" s="386">
        <v>-8599200</v>
      </c>
      <c r="AB333" s="386">
        <f t="shared" si="25"/>
        <v>12898800</v>
      </c>
      <c r="AC333" s="1171"/>
      <c r="AD333" s="423">
        <v>12898800</v>
      </c>
      <c r="AE333" s="386" t="s">
        <v>137</v>
      </c>
      <c r="AF333" s="1119"/>
      <c r="AG333" s="1119"/>
      <c r="AH333" s="1119"/>
      <c r="AI333" s="1119"/>
      <c r="AJ333" s="1119"/>
      <c r="AK333" s="1119"/>
      <c r="AL333" s="1119"/>
      <c r="AM333" s="1119"/>
      <c r="AN333" s="1203"/>
      <c r="AO333" s="1203"/>
      <c r="AP333" s="1203"/>
      <c r="AQ333" s="1204"/>
    </row>
    <row r="334" spans="1:43" s="24" customFormat="1" ht="31.5">
      <c r="A334" s="1076"/>
      <c r="B334" s="1171"/>
      <c r="C334" s="1076"/>
      <c r="D334" s="1076"/>
      <c r="E334" s="1252"/>
      <c r="F334" s="1252"/>
      <c r="G334" s="1076"/>
      <c r="H334" s="1076"/>
      <c r="I334" s="1076"/>
      <c r="J334" s="1076"/>
      <c r="K334" s="1076"/>
      <c r="L334" s="1076"/>
      <c r="M334" s="1245"/>
      <c r="N334" s="1282"/>
      <c r="O334" s="1119"/>
      <c r="P334" s="1119"/>
      <c r="Q334" s="1119"/>
      <c r="R334" s="1171"/>
      <c r="S334" s="1119"/>
      <c r="T334" s="1119"/>
      <c r="U334" s="1119"/>
      <c r="V334" s="1119"/>
      <c r="W334" s="1119"/>
      <c r="X334" s="1203"/>
      <c r="Y334" s="1123" t="s">
        <v>460</v>
      </c>
      <c r="Z334" s="386">
        <v>11465600</v>
      </c>
      <c r="AA334" s="386">
        <v>-4586240</v>
      </c>
      <c r="AB334" s="386">
        <f t="shared" si="25"/>
        <v>6879360</v>
      </c>
      <c r="AC334" s="1171">
        <v>40891</v>
      </c>
      <c r="AD334" s="423">
        <v>6879360</v>
      </c>
      <c r="AE334" s="386" t="s">
        <v>137</v>
      </c>
      <c r="AF334" s="1119"/>
      <c r="AG334" s="1119"/>
      <c r="AH334" s="1119"/>
      <c r="AI334" s="1119"/>
      <c r="AJ334" s="1119"/>
      <c r="AK334" s="1119"/>
      <c r="AL334" s="1119"/>
      <c r="AM334" s="1119"/>
      <c r="AN334" s="1203"/>
      <c r="AO334" s="1203"/>
      <c r="AP334" s="1203"/>
      <c r="AQ334" s="1204"/>
    </row>
    <row r="335" spans="1:43" s="24" customFormat="1">
      <c r="A335" s="1076"/>
      <c r="B335" s="1171"/>
      <c r="C335" s="1076"/>
      <c r="D335" s="1076"/>
      <c r="E335" s="1252"/>
      <c r="F335" s="1252"/>
      <c r="G335" s="1076"/>
      <c r="H335" s="1076"/>
      <c r="I335" s="1076"/>
      <c r="J335" s="1076"/>
      <c r="K335" s="1076"/>
      <c r="L335" s="1076"/>
      <c r="M335" s="1245"/>
      <c r="N335" s="1282" t="s">
        <v>7</v>
      </c>
      <c r="O335" s="1119">
        <v>42996422.399999999</v>
      </c>
      <c r="P335" s="1119"/>
      <c r="Q335" s="1119"/>
      <c r="R335" s="1171"/>
      <c r="S335" s="1119"/>
      <c r="T335" s="1119">
        <v>42996422</v>
      </c>
      <c r="U335" s="1119"/>
      <c r="V335" s="1119">
        <v>42996422.399999999</v>
      </c>
      <c r="W335" s="1119"/>
      <c r="X335" s="1203"/>
      <c r="Y335" s="1123"/>
      <c r="Z335" s="386">
        <v>17198400</v>
      </c>
      <c r="AA335" s="386">
        <v>-6879360</v>
      </c>
      <c r="AB335" s="386">
        <f t="shared" si="25"/>
        <v>10319040</v>
      </c>
      <c r="AC335" s="1171"/>
      <c r="AD335" s="423">
        <v>10319040</v>
      </c>
      <c r="AE335" s="386" t="s">
        <v>7</v>
      </c>
      <c r="AF335" s="1119"/>
      <c r="AG335" s="1119"/>
      <c r="AH335" s="1119"/>
      <c r="AI335" s="1119"/>
      <c r="AJ335" s="1119"/>
      <c r="AK335" s="1119"/>
      <c r="AL335" s="1119"/>
      <c r="AM335" s="1119"/>
      <c r="AN335" s="1203"/>
      <c r="AO335" s="1203"/>
      <c r="AP335" s="1203"/>
      <c r="AQ335" s="1204"/>
    </row>
    <row r="336" spans="1:43" s="24" customFormat="1">
      <c r="A336" s="1076"/>
      <c r="B336" s="1171"/>
      <c r="C336" s="1076"/>
      <c r="D336" s="1076"/>
      <c r="E336" s="1252"/>
      <c r="F336" s="1252"/>
      <c r="G336" s="1076"/>
      <c r="H336" s="1076"/>
      <c r="I336" s="1076"/>
      <c r="J336" s="1076"/>
      <c r="K336" s="1076"/>
      <c r="L336" s="1076"/>
      <c r="M336" s="1245"/>
      <c r="N336" s="1282"/>
      <c r="O336" s="1119"/>
      <c r="P336" s="1119"/>
      <c r="Q336" s="1119"/>
      <c r="R336" s="1171"/>
      <c r="S336" s="1119"/>
      <c r="T336" s="1119"/>
      <c r="U336" s="1119"/>
      <c r="V336" s="1119"/>
      <c r="W336" s="1119"/>
      <c r="X336" s="1203"/>
      <c r="Y336" s="1123" t="s">
        <v>461</v>
      </c>
      <c r="Z336" s="386">
        <v>2866400</v>
      </c>
      <c r="AA336" s="386">
        <v>-1146560</v>
      </c>
      <c r="AB336" s="386">
        <f t="shared" si="25"/>
        <v>1719840</v>
      </c>
      <c r="AC336" s="1171">
        <v>41591</v>
      </c>
      <c r="AD336" s="423">
        <v>1719840</v>
      </c>
      <c r="AE336" s="386" t="s">
        <v>7</v>
      </c>
      <c r="AF336" s="1119"/>
      <c r="AG336" s="1119"/>
      <c r="AH336" s="1119"/>
      <c r="AI336" s="1119"/>
      <c r="AJ336" s="1119"/>
      <c r="AK336" s="1119"/>
      <c r="AL336" s="1119"/>
      <c r="AM336" s="1119"/>
      <c r="AN336" s="1203"/>
      <c r="AO336" s="1203"/>
      <c r="AP336" s="1203"/>
      <c r="AQ336" s="1204"/>
    </row>
    <row r="337" spans="1:44" s="24" customFormat="1">
      <c r="A337" s="1076"/>
      <c r="B337" s="1171"/>
      <c r="C337" s="1076"/>
      <c r="D337" s="1076"/>
      <c r="E337" s="1252"/>
      <c r="F337" s="1252"/>
      <c r="G337" s="1076"/>
      <c r="H337" s="1076"/>
      <c r="I337" s="1076"/>
      <c r="J337" s="1076"/>
      <c r="K337" s="1076"/>
      <c r="L337" s="1076"/>
      <c r="M337" s="1245"/>
      <c r="N337" s="1282"/>
      <c r="O337" s="1119"/>
      <c r="P337" s="1119"/>
      <c r="Q337" s="1119"/>
      <c r="R337" s="1171"/>
      <c r="S337" s="1119"/>
      <c r="T337" s="1119"/>
      <c r="U337" s="1119"/>
      <c r="V337" s="1119"/>
      <c r="W337" s="1119"/>
      <c r="X337" s="1203"/>
      <c r="Y337" s="1123"/>
      <c r="Z337" s="386">
        <v>4299600</v>
      </c>
      <c r="AA337" s="386">
        <v>-1719840</v>
      </c>
      <c r="AB337" s="386">
        <f t="shared" si="25"/>
        <v>2579760</v>
      </c>
      <c r="AC337" s="1171"/>
      <c r="AD337" s="423">
        <v>2579760</v>
      </c>
      <c r="AE337" s="386" t="s">
        <v>7</v>
      </c>
      <c r="AF337" s="1119"/>
      <c r="AG337" s="1119"/>
      <c r="AH337" s="1119"/>
      <c r="AI337" s="1119"/>
      <c r="AJ337" s="1119"/>
      <c r="AK337" s="1119"/>
      <c r="AL337" s="1119"/>
      <c r="AM337" s="1119"/>
      <c r="AN337" s="1203"/>
      <c r="AO337" s="1203"/>
      <c r="AP337" s="1203"/>
      <c r="AQ337" s="1204"/>
    </row>
    <row r="338" spans="1:44" s="4" customFormat="1" ht="35.25" customHeight="1">
      <c r="A338" s="1040" t="s">
        <v>807</v>
      </c>
      <c r="B338" s="1068">
        <v>40371</v>
      </c>
      <c r="C338" s="1040" t="s">
        <v>22</v>
      </c>
      <c r="D338" s="1040" t="s">
        <v>465</v>
      </c>
      <c r="E338" s="1097" t="s">
        <v>462</v>
      </c>
      <c r="F338" s="1097"/>
      <c r="G338" s="1040" t="s">
        <v>464</v>
      </c>
      <c r="H338" s="1040" t="s">
        <v>72</v>
      </c>
      <c r="I338" s="1040" t="s">
        <v>177</v>
      </c>
      <c r="J338" s="1040" t="s">
        <v>66</v>
      </c>
      <c r="K338" s="1040" t="s">
        <v>50</v>
      </c>
      <c r="L338" s="1040" t="s">
        <v>466</v>
      </c>
      <c r="M338" s="1286">
        <v>85</v>
      </c>
      <c r="N338" s="1065" t="s">
        <v>7</v>
      </c>
      <c r="O338" s="1062">
        <v>19566301.800000001</v>
      </c>
      <c r="P338" s="1062">
        <f>O338+O340</f>
        <v>32610503</v>
      </c>
      <c r="Q338" s="1062">
        <v>32610503</v>
      </c>
      <c r="R338" s="1068">
        <v>40413</v>
      </c>
      <c r="S338" s="1062">
        <f>T338+T339</f>
        <v>19566301.800000001</v>
      </c>
      <c r="T338" s="1062">
        <v>19566301.800000001</v>
      </c>
      <c r="U338" s="1062">
        <f>O338-T338</f>
        <v>0</v>
      </c>
      <c r="V338" s="1062">
        <v>19566301.800000001</v>
      </c>
      <c r="W338" s="1119">
        <v>32610503</v>
      </c>
      <c r="X338" s="1076" t="s">
        <v>467</v>
      </c>
      <c r="Y338" s="1123" t="s">
        <v>468</v>
      </c>
      <c r="Z338" s="386">
        <v>0</v>
      </c>
      <c r="AA338" s="386">
        <v>7826520.7200000007</v>
      </c>
      <c r="AB338" s="386">
        <f t="shared" si="25"/>
        <v>7826520.7200000007</v>
      </c>
      <c r="AC338" s="1171">
        <v>40449</v>
      </c>
      <c r="AD338" s="423">
        <v>7826521</v>
      </c>
      <c r="AE338" s="386" t="s">
        <v>7</v>
      </c>
      <c r="AF338" s="1062">
        <f>SUM(AD338:AD341)</f>
        <v>13044201</v>
      </c>
      <c r="AG338" s="1062">
        <f>AF338</f>
        <v>13044201</v>
      </c>
      <c r="AH338" s="386">
        <f>AB338-AD338</f>
        <v>-0.27999999932944775</v>
      </c>
      <c r="AI338" s="1062">
        <f>O338-AD338-AD340</f>
        <v>11739780.800000001</v>
      </c>
      <c r="AJ338" s="1062">
        <f>SUM(Z338:Z341)-SUM(AD338:AD341)</f>
        <v>18587987</v>
      </c>
      <c r="AK338" s="1062">
        <f>P338-V338-V340</f>
        <v>0</v>
      </c>
      <c r="AL338" s="1062">
        <f>SUM(V338:V341)-SUM(Z338:Z341)</f>
        <v>978315</v>
      </c>
      <c r="AM338" s="1062">
        <f>AK338+AL338</f>
        <v>978315</v>
      </c>
      <c r="AN338" s="1040" t="s">
        <v>437</v>
      </c>
      <c r="AO338" s="1040" t="s">
        <v>810</v>
      </c>
      <c r="AP338" s="1103" t="s">
        <v>195</v>
      </c>
      <c r="AQ338" s="1103" t="s">
        <v>368</v>
      </c>
      <c r="AR338" s="1074" t="s">
        <v>2499</v>
      </c>
    </row>
    <row r="339" spans="1:44" s="4" customFormat="1" ht="33" customHeight="1">
      <c r="A339" s="1041"/>
      <c r="B339" s="1069"/>
      <c r="C339" s="1041"/>
      <c r="D339" s="1041"/>
      <c r="E339" s="1098"/>
      <c r="F339" s="1098"/>
      <c r="G339" s="1041"/>
      <c r="H339" s="1041"/>
      <c r="I339" s="1041"/>
      <c r="J339" s="1041"/>
      <c r="K339" s="1041"/>
      <c r="L339" s="1041"/>
      <c r="M339" s="1287"/>
      <c r="N339" s="1067"/>
      <c r="O339" s="1064"/>
      <c r="P339" s="1063"/>
      <c r="Q339" s="1063"/>
      <c r="R339" s="1069"/>
      <c r="S339" s="1063"/>
      <c r="T339" s="1064"/>
      <c r="U339" s="1064"/>
      <c r="V339" s="1064"/>
      <c r="W339" s="1119"/>
      <c r="X339" s="1076"/>
      <c r="Y339" s="1123"/>
      <c r="Z339" s="386">
        <v>0</v>
      </c>
      <c r="AA339" s="386">
        <v>5217680.4800000004</v>
      </c>
      <c r="AB339" s="386">
        <f t="shared" si="25"/>
        <v>5217680.4800000004</v>
      </c>
      <c r="AC339" s="1171"/>
      <c r="AD339" s="423">
        <v>5217680</v>
      </c>
      <c r="AE339" s="386" t="s">
        <v>137</v>
      </c>
      <c r="AF339" s="1063"/>
      <c r="AG339" s="1063"/>
      <c r="AH339" s="386">
        <f>AB339-AD339</f>
        <v>0.48000000044703484</v>
      </c>
      <c r="AI339" s="1064"/>
      <c r="AJ339" s="1063"/>
      <c r="AK339" s="1063"/>
      <c r="AL339" s="1063"/>
      <c r="AM339" s="1063"/>
      <c r="AN339" s="1041"/>
      <c r="AO339" s="1041"/>
      <c r="AP339" s="1104"/>
      <c r="AQ339" s="1104"/>
      <c r="AR339" s="1074"/>
    </row>
    <row r="340" spans="1:44" s="4" customFormat="1" ht="23.25" customHeight="1">
      <c r="A340" s="1041"/>
      <c r="B340" s="1069"/>
      <c r="C340" s="1041"/>
      <c r="D340" s="1041"/>
      <c r="E340" s="1098"/>
      <c r="F340" s="1098"/>
      <c r="G340" s="1041"/>
      <c r="H340" s="1041"/>
      <c r="I340" s="1041"/>
      <c r="J340" s="1041"/>
      <c r="K340" s="1041"/>
      <c r="L340" s="1041"/>
      <c r="M340" s="1287"/>
      <c r="N340" s="1065" t="s">
        <v>451</v>
      </c>
      <c r="O340" s="1062">
        <v>13044201.199999999</v>
      </c>
      <c r="P340" s="1063"/>
      <c r="Q340" s="1063"/>
      <c r="R340" s="1069"/>
      <c r="S340" s="1063"/>
      <c r="T340" s="1062">
        <v>13044201.199999999</v>
      </c>
      <c r="U340" s="1062">
        <f>O340-T340</f>
        <v>0</v>
      </c>
      <c r="V340" s="1062">
        <v>13044201.199999999</v>
      </c>
      <c r="W340" s="386"/>
      <c r="X340" s="362"/>
      <c r="Y340" s="1065" t="s">
        <v>809</v>
      </c>
      <c r="Z340" s="386">
        <v>18979312.800000001</v>
      </c>
      <c r="AA340" s="386">
        <v>-7826520.7199999997</v>
      </c>
      <c r="AB340" s="386">
        <f t="shared" si="25"/>
        <v>11152792.080000002</v>
      </c>
      <c r="AC340" s="384"/>
      <c r="AD340" s="423">
        <v>0</v>
      </c>
      <c r="AE340" s="58" t="s">
        <v>7</v>
      </c>
      <c r="AF340" s="1063"/>
      <c r="AG340" s="1063"/>
      <c r="AH340" s="386">
        <f>AB340-AD340</f>
        <v>11152792.080000002</v>
      </c>
      <c r="AI340" s="1062">
        <f>O340-AD339-AD341</f>
        <v>7826521.1999999993</v>
      </c>
      <c r="AJ340" s="1063"/>
      <c r="AK340" s="1063"/>
      <c r="AL340" s="1063"/>
      <c r="AM340" s="1063"/>
      <c r="AN340" s="1041"/>
      <c r="AO340" s="1041"/>
      <c r="AP340" s="1104"/>
      <c r="AQ340" s="1104"/>
      <c r="AR340" s="1074"/>
    </row>
    <row r="341" spans="1:44" s="4" customFormat="1" ht="23.25" customHeight="1">
      <c r="A341" s="1042"/>
      <c r="B341" s="1070"/>
      <c r="C341" s="1042"/>
      <c r="D341" s="1042"/>
      <c r="E341" s="1099"/>
      <c r="F341" s="1099"/>
      <c r="G341" s="1042"/>
      <c r="H341" s="1042"/>
      <c r="I341" s="1042"/>
      <c r="J341" s="1042"/>
      <c r="K341" s="1042"/>
      <c r="L341" s="1042"/>
      <c r="M341" s="1288"/>
      <c r="N341" s="1067"/>
      <c r="O341" s="1064"/>
      <c r="P341" s="1064"/>
      <c r="Q341" s="1064"/>
      <c r="R341" s="1070"/>
      <c r="S341" s="1064"/>
      <c r="T341" s="1064"/>
      <c r="U341" s="1064"/>
      <c r="V341" s="1064"/>
      <c r="W341" s="386"/>
      <c r="X341" s="362"/>
      <c r="Y341" s="1067"/>
      <c r="Z341" s="386">
        <v>12652875.199999999</v>
      </c>
      <c r="AA341" s="386">
        <v>-5217680.4800000004</v>
      </c>
      <c r="AB341" s="386">
        <f t="shared" si="25"/>
        <v>7435194.7199999988</v>
      </c>
      <c r="AC341" s="384"/>
      <c r="AD341" s="423">
        <v>0</v>
      </c>
      <c r="AE341" s="58" t="s">
        <v>137</v>
      </c>
      <c r="AF341" s="1064"/>
      <c r="AG341" s="1064"/>
      <c r="AH341" s="386">
        <f>AB341-AD341</f>
        <v>7435194.7199999988</v>
      </c>
      <c r="AI341" s="1064"/>
      <c r="AJ341" s="1064"/>
      <c r="AK341" s="1064"/>
      <c r="AL341" s="1064"/>
      <c r="AM341" s="1064"/>
      <c r="AN341" s="1042"/>
      <c r="AO341" s="1042"/>
      <c r="AP341" s="1105"/>
      <c r="AQ341" s="1105"/>
      <c r="AR341" s="1074"/>
    </row>
    <row r="342" spans="1:44" s="24" customFormat="1" ht="33" customHeight="1">
      <c r="A342" s="1040" t="s">
        <v>476</v>
      </c>
      <c r="B342" s="1068">
        <v>41468</v>
      </c>
      <c r="C342" s="1040" t="s">
        <v>22</v>
      </c>
      <c r="D342" s="1040" t="s">
        <v>477</v>
      </c>
      <c r="E342" s="1097">
        <v>900368899</v>
      </c>
      <c r="F342" s="1301">
        <v>9</v>
      </c>
      <c r="G342" s="1040" t="s">
        <v>478</v>
      </c>
      <c r="H342" s="1040" t="s">
        <v>72</v>
      </c>
      <c r="I342" s="1040" t="s">
        <v>177</v>
      </c>
      <c r="J342" s="1040" t="s">
        <v>66</v>
      </c>
      <c r="K342" s="1040" t="s">
        <v>50</v>
      </c>
      <c r="L342" s="1040" t="s">
        <v>475</v>
      </c>
      <c r="M342" s="1220">
        <v>86</v>
      </c>
      <c r="N342" s="1065" t="s">
        <v>7</v>
      </c>
      <c r="O342" s="1062">
        <v>19566302</v>
      </c>
      <c r="P342" s="1062">
        <f>O342+O344</f>
        <v>32610503</v>
      </c>
      <c r="Q342" s="1062">
        <f>P342</f>
        <v>32610503</v>
      </c>
      <c r="R342" s="1068">
        <v>42970</v>
      </c>
      <c r="S342" s="1062">
        <f>T342+T343</f>
        <v>19566301.800000001</v>
      </c>
      <c r="T342" s="1062">
        <v>19566301.800000001</v>
      </c>
      <c r="U342" s="1062">
        <f>O342-T342</f>
        <v>0.19999999925494194</v>
      </c>
      <c r="V342" s="1062">
        <v>19566302</v>
      </c>
      <c r="W342" s="1119">
        <v>32610503</v>
      </c>
      <c r="X342" s="1011" t="s">
        <v>467</v>
      </c>
      <c r="Y342" s="1123" t="s">
        <v>479</v>
      </c>
      <c r="Z342" s="386">
        <v>0</v>
      </c>
      <c r="AA342" s="386">
        <v>7826520.7200000007</v>
      </c>
      <c r="AB342" s="386">
        <f t="shared" si="25"/>
        <v>7826520.7200000007</v>
      </c>
      <c r="AC342" s="1171">
        <v>40449</v>
      </c>
      <c r="AD342" s="423">
        <v>7826521</v>
      </c>
      <c r="AE342" s="58" t="s">
        <v>7</v>
      </c>
      <c r="AF342" s="1062">
        <f>SUM(AD342:AD345)</f>
        <v>13044201</v>
      </c>
      <c r="AG342" s="1062">
        <f>AF342</f>
        <v>13044201</v>
      </c>
      <c r="AH342" s="1119"/>
      <c r="AI342" s="1119"/>
      <c r="AJ342" s="1062">
        <f>SUM(Z342:Z345)-SUM(AD342:AD345)</f>
        <v>-3261050</v>
      </c>
      <c r="AK342" s="1062">
        <f>P342-V342-V344</f>
        <v>0</v>
      </c>
      <c r="AL342" s="1062">
        <f>SUM(V342:V343)-SUM(Z342:Z343)</f>
        <v>19566302</v>
      </c>
      <c r="AM342" s="1062">
        <f>AK342+AL342</f>
        <v>19566302</v>
      </c>
      <c r="AN342" s="1040" t="s">
        <v>437</v>
      </c>
      <c r="AO342" s="1040" t="s">
        <v>792</v>
      </c>
      <c r="AP342" s="1186" t="s">
        <v>195</v>
      </c>
      <c r="AQ342" s="1103" t="s">
        <v>368</v>
      </c>
    </row>
    <row r="343" spans="1:44" s="24" customFormat="1" ht="31.5">
      <c r="A343" s="1041"/>
      <c r="B343" s="1069"/>
      <c r="C343" s="1041"/>
      <c r="D343" s="1041"/>
      <c r="E343" s="1098"/>
      <c r="F343" s="1302"/>
      <c r="G343" s="1041"/>
      <c r="H343" s="1041"/>
      <c r="I343" s="1041"/>
      <c r="J343" s="1041"/>
      <c r="K343" s="1041"/>
      <c r="L343" s="1041"/>
      <c r="M343" s="1221"/>
      <c r="N343" s="1067"/>
      <c r="O343" s="1064"/>
      <c r="P343" s="1063"/>
      <c r="Q343" s="1063"/>
      <c r="R343" s="1069"/>
      <c r="S343" s="1063"/>
      <c r="T343" s="1064"/>
      <c r="U343" s="1064"/>
      <c r="V343" s="1064"/>
      <c r="W343" s="1119"/>
      <c r="X343" s="1033"/>
      <c r="Y343" s="1123"/>
      <c r="Z343" s="386">
        <v>0</v>
      </c>
      <c r="AA343" s="386">
        <v>5217680.4800000004</v>
      </c>
      <c r="AB343" s="386">
        <f t="shared" si="25"/>
        <v>5217680.4800000004</v>
      </c>
      <c r="AC343" s="1171"/>
      <c r="AD343" s="423">
        <v>5217680</v>
      </c>
      <c r="AE343" s="58" t="s">
        <v>137</v>
      </c>
      <c r="AF343" s="1063"/>
      <c r="AG343" s="1063"/>
      <c r="AH343" s="1119"/>
      <c r="AI343" s="1119"/>
      <c r="AJ343" s="1063"/>
      <c r="AK343" s="1063"/>
      <c r="AL343" s="1063"/>
      <c r="AM343" s="1063"/>
      <c r="AN343" s="1041"/>
      <c r="AO343" s="1041"/>
      <c r="AP343" s="1187"/>
      <c r="AQ343" s="1104"/>
    </row>
    <row r="344" spans="1:44" s="24" customFormat="1">
      <c r="A344" s="1041"/>
      <c r="B344" s="1069"/>
      <c r="C344" s="1041"/>
      <c r="D344" s="1041"/>
      <c r="E344" s="1098"/>
      <c r="F344" s="1302"/>
      <c r="G344" s="1041"/>
      <c r="H344" s="1041"/>
      <c r="I344" s="1041"/>
      <c r="J344" s="1041"/>
      <c r="K344" s="1041"/>
      <c r="L344" s="1041"/>
      <c r="M344" s="1221"/>
      <c r="N344" s="1065" t="s">
        <v>451</v>
      </c>
      <c r="O344" s="1062">
        <v>13044201</v>
      </c>
      <c r="P344" s="1063"/>
      <c r="Q344" s="1063"/>
      <c r="R344" s="1069"/>
      <c r="S344" s="1063"/>
      <c r="T344" s="1062">
        <v>13044201.199999999</v>
      </c>
      <c r="U344" s="1062">
        <f>O344-T344</f>
        <v>-0.19999999925494194</v>
      </c>
      <c r="V344" s="1062">
        <v>13044201</v>
      </c>
      <c r="W344" s="369"/>
      <c r="X344" s="363"/>
      <c r="Y344" s="1065"/>
      <c r="Z344" s="386">
        <v>5869890.5999999996</v>
      </c>
      <c r="AA344" s="386">
        <v>-5869890.5999999996</v>
      </c>
      <c r="AB344" s="386">
        <f t="shared" si="25"/>
        <v>0</v>
      </c>
      <c r="AC344" s="364"/>
      <c r="AD344" s="423">
        <v>0</v>
      </c>
      <c r="AE344" s="58" t="s">
        <v>7</v>
      </c>
      <c r="AF344" s="1063"/>
      <c r="AG344" s="1063"/>
      <c r="AH344" s="386"/>
      <c r="AI344" s="369"/>
      <c r="AJ344" s="1063"/>
      <c r="AK344" s="1063"/>
      <c r="AL344" s="1063"/>
      <c r="AM344" s="1063"/>
      <c r="AN344" s="1041"/>
      <c r="AO344" s="1041"/>
      <c r="AP344" s="1187"/>
      <c r="AQ344" s="1104"/>
    </row>
    <row r="345" spans="1:44" s="24" customFormat="1" ht="31.5">
      <c r="A345" s="1042"/>
      <c r="B345" s="1070"/>
      <c r="C345" s="1042"/>
      <c r="D345" s="1042"/>
      <c r="E345" s="1099"/>
      <c r="F345" s="1303"/>
      <c r="G345" s="1042"/>
      <c r="H345" s="1042"/>
      <c r="I345" s="1042"/>
      <c r="J345" s="1042"/>
      <c r="K345" s="1042"/>
      <c r="L345" s="1042"/>
      <c r="M345" s="1222"/>
      <c r="N345" s="1067"/>
      <c r="O345" s="1064"/>
      <c r="P345" s="1064"/>
      <c r="Q345" s="1064"/>
      <c r="R345" s="1070"/>
      <c r="S345" s="1064"/>
      <c r="T345" s="1064"/>
      <c r="U345" s="1064"/>
      <c r="V345" s="1064"/>
      <c r="W345" s="369"/>
      <c r="X345" s="363"/>
      <c r="Y345" s="1067"/>
      <c r="Z345" s="386">
        <v>3913260.4</v>
      </c>
      <c r="AA345" s="386">
        <v>-3913260.4</v>
      </c>
      <c r="AB345" s="386">
        <f t="shared" si="25"/>
        <v>0</v>
      </c>
      <c r="AC345" s="364"/>
      <c r="AD345" s="423">
        <v>0</v>
      </c>
      <c r="AE345" s="58" t="s">
        <v>137</v>
      </c>
      <c r="AF345" s="1064"/>
      <c r="AG345" s="1064"/>
      <c r="AH345" s="386"/>
      <c r="AI345" s="369"/>
      <c r="AJ345" s="1064"/>
      <c r="AK345" s="1064"/>
      <c r="AL345" s="1064"/>
      <c r="AM345" s="1064"/>
      <c r="AN345" s="1042"/>
      <c r="AO345" s="1042"/>
      <c r="AP345" s="1188"/>
      <c r="AQ345" s="1105"/>
    </row>
    <row r="346" spans="1:44" s="4" customFormat="1" ht="23.25" customHeight="1">
      <c r="A346" s="1011" t="s">
        <v>469</v>
      </c>
      <c r="B346" s="1068">
        <v>40378</v>
      </c>
      <c r="C346" s="1011" t="s">
        <v>9</v>
      </c>
      <c r="D346" s="1011" t="s">
        <v>471</v>
      </c>
      <c r="E346" s="1097">
        <v>76304401</v>
      </c>
      <c r="F346" s="1097"/>
      <c r="G346" s="1011" t="s">
        <v>470</v>
      </c>
      <c r="H346" s="1011" t="s">
        <v>72</v>
      </c>
      <c r="I346" s="1011" t="s">
        <v>177</v>
      </c>
      <c r="J346" s="1011" t="s">
        <v>66</v>
      </c>
      <c r="K346" s="1011" t="s">
        <v>217</v>
      </c>
      <c r="L346" s="1011" t="s">
        <v>472</v>
      </c>
      <c r="M346" s="1286">
        <v>87</v>
      </c>
      <c r="N346" s="1277" t="s">
        <v>137</v>
      </c>
      <c r="O346" s="1062">
        <v>22741707</v>
      </c>
      <c r="P346" s="1062">
        <f>O346+O348</f>
        <v>56854267</v>
      </c>
      <c r="Q346" s="1062">
        <f>P346+P351</f>
        <v>80676508</v>
      </c>
      <c r="R346" s="1068">
        <v>40413</v>
      </c>
      <c r="S346" s="1092">
        <v>56854267</v>
      </c>
      <c r="T346" s="1062">
        <v>22741706.800000001</v>
      </c>
      <c r="U346" s="1062">
        <f>O346-T346</f>
        <v>0.19999999925494194</v>
      </c>
      <c r="V346" s="1062">
        <v>22741707</v>
      </c>
      <c r="W346" s="1062">
        <f>V346+V348+V351</f>
        <v>80676508</v>
      </c>
      <c r="X346" s="1011" t="s">
        <v>467</v>
      </c>
      <c r="Y346" s="1065" t="s">
        <v>473</v>
      </c>
      <c r="Z346" s="386">
        <v>0</v>
      </c>
      <c r="AA346" s="386">
        <v>9096682.8000000007</v>
      </c>
      <c r="AB346" s="386">
        <f t="shared" si="25"/>
        <v>9096682.8000000007</v>
      </c>
      <c r="AC346" s="1068">
        <v>40445</v>
      </c>
      <c r="AD346" s="395">
        <v>9096683</v>
      </c>
      <c r="AE346" s="395" t="s">
        <v>137</v>
      </c>
      <c r="AF346" s="1043">
        <f>SUM(AD346:AD350)</f>
        <v>39797987</v>
      </c>
      <c r="AG346" s="1043">
        <f>AF346+AF351</f>
        <v>39797987</v>
      </c>
      <c r="AH346" s="358">
        <f>AB346-AD346</f>
        <v>-0.19999999925494194</v>
      </c>
      <c r="AI346" s="1043">
        <v>0</v>
      </c>
      <c r="AJ346" s="1062">
        <f>SUM(Z346:Z350)-SUM(AD346:AD350)-5738912.3</f>
        <v>11852223.710000005</v>
      </c>
      <c r="AK346" s="1062">
        <f>P346-V346-V348</f>
        <v>0</v>
      </c>
      <c r="AL346" s="1062">
        <f>SUM(V346:V350)-SUM(Z346:Z350)+5738912.3</f>
        <v>5204056.2899999944</v>
      </c>
      <c r="AM346" s="1062">
        <f>AK346+AL346</f>
        <v>5204056.2899999944</v>
      </c>
      <c r="AN346" s="1108" t="s">
        <v>437</v>
      </c>
      <c r="AO346" s="1204" t="s">
        <v>812</v>
      </c>
      <c r="AP346" s="1204" t="s">
        <v>194</v>
      </c>
      <c r="AQ346" s="1204" t="s">
        <v>368</v>
      </c>
    </row>
    <row r="347" spans="1:44" s="4" customFormat="1" ht="23.25" customHeight="1">
      <c r="A347" s="1033"/>
      <c r="B347" s="1069"/>
      <c r="C347" s="1033"/>
      <c r="D347" s="1033"/>
      <c r="E347" s="1098"/>
      <c r="F347" s="1098"/>
      <c r="G347" s="1033"/>
      <c r="H347" s="1033"/>
      <c r="I347" s="1033"/>
      <c r="J347" s="1033"/>
      <c r="K347" s="1033"/>
      <c r="L347" s="1033"/>
      <c r="M347" s="1287"/>
      <c r="N347" s="1278"/>
      <c r="O347" s="1064"/>
      <c r="P347" s="1063"/>
      <c r="Q347" s="1063"/>
      <c r="R347" s="1069"/>
      <c r="S347" s="1093"/>
      <c r="T347" s="1064"/>
      <c r="U347" s="1064"/>
      <c r="V347" s="1064"/>
      <c r="W347" s="1063"/>
      <c r="X347" s="1033"/>
      <c r="Y347" s="1067"/>
      <c r="Z347" s="386">
        <v>0</v>
      </c>
      <c r="AA347" s="386">
        <v>13645024</v>
      </c>
      <c r="AB347" s="386">
        <f t="shared" si="25"/>
        <v>13645024</v>
      </c>
      <c r="AC347" s="1070"/>
      <c r="AD347" s="395">
        <v>13645024</v>
      </c>
      <c r="AE347" s="395" t="s">
        <v>7</v>
      </c>
      <c r="AF347" s="1044"/>
      <c r="AG347" s="1044"/>
      <c r="AH347" s="358">
        <f>AB347-AD347</f>
        <v>0</v>
      </c>
      <c r="AI347" s="1045"/>
      <c r="AJ347" s="1063"/>
      <c r="AK347" s="1063"/>
      <c r="AL347" s="1063"/>
      <c r="AM347" s="1063"/>
      <c r="AN347" s="1109"/>
      <c r="AO347" s="1204"/>
      <c r="AP347" s="1204"/>
      <c r="AQ347" s="1204"/>
    </row>
    <row r="348" spans="1:44" s="4" customFormat="1" ht="31.5">
      <c r="A348" s="1033"/>
      <c r="B348" s="1069"/>
      <c r="C348" s="1033"/>
      <c r="D348" s="1033"/>
      <c r="E348" s="1098"/>
      <c r="F348" s="1098"/>
      <c r="G348" s="1033"/>
      <c r="H348" s="1033"/>
      <c r="I348" s="1033"/>
      <c r="J348" s="1033"/>
      <c r="K348" s="1033"/>
      <c r="L348" s="1033"/>
      <c r="M348" s="1287"/>
      <c r="N348" s="1277" t="s">
        <v>7</v>
      </c>
      <c r="O348" s="1062">
        <v>34112560</v>
      </c>
      <c r="P348" s="1063"/>
      <c r="Q348" s="1063"/>
      <c r="R348" s="1069"/>
      <c r="S348" s="1093"/>
      <c r="T348" s="1062">
        <v>34112560.200000003</v>
      </c>
      <c r="U348" s="1062">
        <f>O348-T348</f>
        <v>-0.20000000298023224</v>
      </c>
      <c r="V348" s="1062">
        <v>34112560</v>
      </c>
      <c r="W348" s="1063"/>
      <c r="X348" s="1033"/>
      <c r="Y348" s="1065" t="s">
        <v>474</v>
      </c>
      <c r="Z348" s="386">
        <v>11370853.600000001</v>
      </c>
      <c r="AA348" s="386">
        <v>-4548341.5999999996</v>
      </c>
      <c r="AB348" s="386">
        <f t="shared" si="25"/>
        <v>6822512.0000000019</v>
      </c>
      <c r="AC348" s="1068">
        <v>40736</v>
      </c>
      <c r="AD348" s="395">
        <v>6822512</v>
      </c>
      <c r="AE348" s="395" t="s">
        <v>137</v>
      </c>
      <c r="AF348" s="1044"/>
      <c r="AG348" s="1044"/>
      <c r="AH348" s="358">
        <f>AB348-AD348</f>
        <v>0</v>
      </c>
      <c r="AI348" s="1043">
        <v>0</v>
      </c>
      <c r="AJ348" s="1063"/>
      <c r="AK348" s="1063"/>
      <c r="AL348" s="1063"/>
      <c r="AM348" s="1063"/>
      <c r="AN348" s="1109"/>
      <c r="AO348" s="1204"/>
      <c r="AP348" s="1204"/>
      <c r="AQ348" s="1204"/>
    </row>
    <row r="349" spans="1:44" s="4" customFormat="1">
      <c r="A349" s="1033"/>
      <c r="B349" s="1069"/>
      <c r="C349" s="1033"/>
      <c r="D349" s="1033"/>
      <c r="E349" s="1098"/>
      <c r="F349" s="1098"/>
      <c r="G349" s="1033"/>
      <c r="H349" s="1033"/>
      <c r="I349" s="1033"/>
      <c r="J349" s="1033"/>
      <c r="K349" s="1033"/>
      <c r="L349" s="1033"/>
      <c r="M349" s="1287"/>
      <c r="N349" s="1279"/>
      <c r="O349" s="1063"/>
      <c r="P349" s="1063"/>
      <c r="Q349" s="1063"/>
      <c r="R349" s="1069"/>
      <c r="S349" s="1093"/>
      <c r="T349" s="1063"/>
      <c r="U349" s="1063"/>
      <c r="V349" s="1063"/>
      <c r="W349" s="1063"/>
      <c r="X349" s="1033"/>
      <c r="Y349" s="1067"/>
      <c r="Z349" s="386">
        <v>17056280.399999999</v>
      </c>
      <c r="AA349" s="386">
        <v>-6822512.4000000004</v>
      </c>
      <c r="AB349" s="386">
        <f t="shared" si="25"/>
        <v>10233767.999999998</v>
      </c>
      <c r="AC349" s="1070"/>
      <c r="AD349" s="395">
        <v>10233768</v>
      </c>
      <c r="AE349" s="395" t="s">
        <v>7</v>
      </c>
      <c r="AF349" s="1044"/>
      <c r="AG349" s="1044"/>
      <c r="AH349" s="358">
        <f>AB349-AD349</f>
        <v>0</v>
      </c>
      <c r="AI349" s="1044"/>
      <c r="AJ349" s="1063"/>
      <c r="AK349" s="1063"/>
      <c r="AL349" s="1063"/>
      <c r="AM349" s="1063"/>
      <c r="AN349" s="1109"/>
      <c r="AO349" s="1204"/>
      <c r="AP349" s="1204"/>
      <c r="AQ349" s="1204"/>
    </row>
    <row r="350" spans="1:44" s="4" customFormat="1">
      <c r="A350" s="1033"/>
      <c r="B350" s="1069"/>
      <c r="C350" s="1033"/>
      <c r="D350" s="1033"/>
      <c r="E350" s="1098"/>
      <c r="F350" s="1098"/>
      <c r="G350" s="1033"/>
      <c r="H350" s="1033"/>
      <c r="I350" s="1033"/>
      <c r="J350" s="1012"/>
      <c r="K350" s="1033"/>
      <c r="L350" s="1033"/>
      <c r="M350" s="1288"/>
      <c r="N350" s="1278"/>
      <c r="O350" s="1064"/>
      <c r="P350" s="1064"/>
      <c r="Q350" s="1063"/>
      <c r="R350" s="1070"/>
      <c r="S350" s="1094"/>
      <c r="T350" s="1064"/>
      <c r="U350" s="1064"/>
      <c r="V350" s="1064"/>
      <c r="W350" s="1063"/>
      <c r="X350" s="1033"/>
      <c r="Y350" s="368" t="s">
        <v>811</v>
      </c>
      <c r="Z350" s="386">
        <v>28961989.010000002</v>
      </c>
      <c r="AA350" s="386">
        <v>-11370853.199999999</v>
      </c>
      <c r="AB350" s="386">
        <f>Z350+AA350-5738912.3</f>
        <v>11852223.510000002</v>
      </c>
      <c r="AC350" s="365"/>
      <c r="AD350" s="395">
        <v>0</v>
      </c>
      <c r="AE350" s="395"/>
      <c r="AF350" s="1045"/>
      <c r="AG350" s="1044"/>
      <c r="AH350" s="358"/>
      <c r="AI350" s="1045"/>
      <c r="AJ350" s="1064"/>
      <c r="AK350" s="1064"/>
      <c r="AL350" s="1064"/>
      <c r="AM350" s="1064"/>
      <c r="AN350" s="1109"/>
      <c r="AO350" s="1204"/>
      <c r="AP350" s="1204"/>
      <c r="AQ350" s="1204"/>
    </row>
    <row r="351" spans="1:44" s="4" customFormat="1">
      <c r="A351" s="1012"/>
      <c r="B351" s="1070"/>
      <c r="C351" s="1012"/>
      <c r="D351" s="1012"/>
      <c r="E351" s="1099"/>
      <c r="F351" s="1099"/>
      <c r="G351" s="1012"/>
      <c r="H351" s="1012"/>
      <c r="I351" s="1012"/>
      <c r="J351" s="354" t="s">
        <v>67</v>
      </c>
      <c r="K351" s="1012"/>
      <c r="L351" s="1012"/>
      <c r="M351" s="404">
        <v>162</v>
      </c>
      <c r="N351" s="417" t="s">
        <v>7</v>
      </c>
      <c r="O351" s="386">
        <v>23822241</v>
      </c>
      <c r="P351" s="386">
        <f>O351</f>
        <v>23822241</v>
      </c>
      <c r="Q351" s="1064"/>
      <c r="R351" s="384">
        <v>40701</v>
      </c>
      <c r="S351" s="390">
        <v>23822241</v>
      </c>
      <c r="T351" s="386">
        <v>23822241</v>
      </c>
      <c r="U351" s="386">
        <f>O351-S351</f>
        <v>0</v>
      </c>
      <c r="V351" s="386">
        <f>P351</f>
        <v>23822241</v>
      </c>
      <c r="W351" s="1064"/>
      <c r="X351" s="1012"/>
      <c r="Y351" s="372"/>
      <c r="Z351" s="386">
        <v>0</v>
      </c>
      <c r="AA351" s="386">
        <v>0</v>
      </c>
      <c r="AB351" s="386">
        <f>Z351+AA351</f>
        <v>0</v>
      </c>
      <c r="AC351" s="384"/>
      <c r="AD351" s="395">
        <v>0</v>
      </c>
      <c r="AE351" s="395"/>
      <c r="AF351" s="358"/>
      <c r="AG351" s="1045"/>
      <c r="AH351" s="358"/>
      <c r="AI351" s="358"/>
      <c r="AJ351" s="386">
        <f>Z351-AD351</f>
        <v>0</v>
      </c>
      <c r="AK351" s="386">
        <f>P351-V351</f>
        <v>0</v>
      </c>
      <c r="AL351" s="386">
        <f>V351-Z351</f>
        <v>23822241</v>
      </c>
      <c r="AM351" s="386">
        <f>AK351+AL351</f>
        <v>23822241</v>
      </c>
      <c r="AN351" s="1110"/>
      <c r="AO351" s="1204"/>
      <c r="AP351" s="1204"/>
      <c r="AQ351" s="1204"/>
    </row>
    <row r="352" spans="1:44" s="4" customFormat="1" ht="47.25" customHeight="1">
      <c r="A352" s="1076" t="s">
        <v>480</v>
      </c>
      <c r="B352" s="1171">
        <v>40378</v>
      </c>
      <c r="C352" s="1076" t="s">
        <v>11</v>
      </c>
      <c r="D352" s="1076" t="s">
        <v>481</v>
      </c>
      <c r="E352" s="1252">
        <v>900368924</v>
      </c>
      <c r="F352" s="1252">
        <v>5</v>
      </c>
      <c r="G352" s="1076" t="s">
        <v>482</v>
      </c>
      <c r="H352" s="1076" t="s">
        <v>72</v>
      </c>
      <c r="I352" s="1076" t="s">
        <v>177</v>
      </c>
      <c r="J352" s="1076" t="s">
        <v>66</v>
      </c>
      <c r="K352" s="1076" t="s">
        <v>49</v>
      </c>
      <c r="L352" s="1076" t="s">
        <v>389</v>
      </c>
      <c r="M352" s="1245">
        <v>88</v>
      </c>
      <c r="N352" s="417" t="s">
        <v>137</v>
      </c>
      <c r="O352" s="386">
        <v>83056000</v>
      </c>
      <c r="P352" s="1119">
        <f>O352+O353</f>
        <v>207640000</v>
      </c>
      <c r="Q352" s="386"/>
      <c r="R352" s="1171">
        <v>40413</v>
      </c>
      <c r="S352" s="1196">
        <f>T352+T353</f>
        <v>207640000</v>
      </c>
      <c r="T352" s="386">
        <v>83056000</v>
      </c>
      <c r="U352" s="386">
        <f>O352-T352</f>
        <v>0</v>
      </c>
      <c r="V352" s="386">
        <v>83056000</v>
      </c>
      <c r="W352" s="1119">
        <v>207640000</v>
      </c>
      <c r="X352" s="1076" t="s">
        <v>467</v>
      </c>
      <c r="Y352" s="1123" t="s">
        <v>485</v>
      </c>
      <c r="Z352" s="386">
        <v>0</v>
      </c>
      <c r="AA352" s="386">
        <v>33222400</v>
      </c>
      <c r="AB352" s="386">
        <f>Z352+AA352</f>
        <v>33222400</v>
      </c>
      <c r="AC352" s="1171">
        <v>40452</v>
      </c>
      <c r="AD352" s="395">
        <v>33222400</v>
      </c>
      <c r="AE352" s="395" t="s">
        <v>137</v>
      </c>
      <c r="AF352" s="1084">
        <f>SUM(AD352:AD353)</f>
        <v>83056000</v>
      </c>
      <c r="AG352" s="358"/>
      <c r="AH352" s="358"/>
      <c r="AI352" s="358"/>
      <c r="AJ352" s="1119">
        <f>SUM(Z352:Z353)-SUM(AD352:AD353)</f>
        <v>-83056000</v>
      </c>
      <c r="AK352" s="1119">
        <f>P352-V352-V353</f>
        <v>0</v>
      </c>
      <c r="AL352" s="1119">
        <f>SUM(V352:V353)-SUM(Z352:Z353)+AJ352</f>
        <v>124584000</v>
      </c>
      <c r="AM352" s="1119"/>
      <c r="AN352" s="1203" t="s">
        <v>437</v>
      </c>
      <c r="AO352" s="1204" t="s">
        <v>806</v>
      </c>
      <c r="AP352" s="1204" t="s">
        <v>194</v>
      </c>
      <c r="AQ352" s="1204" t="s">
        <v>368</v>
      </c>
    </row>
    <row r="353" spans="1:43" s="4" customFormat="1" ht="48" customHeight="1">
      <c r="A353" s="1076"/>
      <c r="B353" s="1171"/>
      <c r="C353" s="1076"/>
      <c r="D353" s="1076"/>
      <c r="E353" s="1252"/>
      <c r="F353" s="1252"/>
      <c r="G353" s="1076"/>
      <c r="H353" s="1076"/>
      <c r="I353" s="1076"/>
      <c r="J353" s="1076"/>
      <c r="K353" s="1076"/>
      <c r="L353" s="1076"/>
      <c r="M353" s="1245"/>
      <c r="N353" s="417" t="s">
        <v>7</v>
      </c>
      <c r="O353" s="386">
        <v>124584000</v>
      </c>
      <c r="P353" s="1119"/>
      <c r="Q353" s="386"/>
      <c r="R353" s="1171"/>
      <c r="S353" s="1196"/>
      <c r="T353" s="386">
        <v>124584000</v>
      </c>
      <c r="U353" s="386">
        <f>O353-T353</f>
        <v>0</v>
      </c>
      <c r="V353" s="386">
        <v>124584000</v>
      </c>
      <c r="W353" s="1119"/>
      <c r="X353" s="1076"/>
      <c r="Y353" s="1123"/>
      <c r="Z353" s="386">
        <v>0</v>
      </c>
      <c r="AA353" s="386">
        <v>49833600</v>
      </c>
      <c r="AB353" s="386">
        <f>Z353+AA353</f>
        <v>49833600</v>
      </c>
      <c r="AC353" s="1171"/>
      <c r="AD353" s="395">
        <v>49833600</v>
      </c>
      <c r="AE353" s="395" t="s">
        <v>7</v>
      </c>
      <c r="AF353" s="1084"/>
      <c r="AG353" s="358"/>
      <c r="AH353" s="358"/>
      <c r="AI353" s="358"/>
      <c r="AJ353" s="1119"/>
      <c r="AK353" s="1119"/>
      <c r="AL353" s="1119"/>
      <c r="AM353" s="1119"/>
      <c r="AN353" s="1203"/>
      <c r="AO353" s="1204"/>
      <c r="AP353" s="1204"/>
      <c r="AQ353" s="1204"/>
    </row>
    <row r="354" spans="1:43" s="24" customFormat="1" ht="19.5" customHeight="1">
      <c r="A354" s="1260" t="s">
        <v>494</v>
      </c>
      <c r="B354" s="1171">
        <v>40372</v>
      </c>
      <c r="C354" s="1260" t="s">
        <v>35</v>
      </c>
      <c r="D354" s="1260" t="s">
        <v>447</v>
      </c>
      <c r="E354" s="1252">
        <v>830040053</v>
      </c>
      <c r="F354" s="1252">
        <v>2</v>
      </c>
      <c r="G354" s="1260" t="s">
        <v>495</v>
      </c>
      <c r="H354" s="1260" t="s">
        <v>72</v>
      </c>
      <c r="I354" s="1260" t="s">
        <v>177</v>
      </c>
      <c r="J354" s="1260" t="s">
        <v>66</v>
      </c>
      <c r="K354" s="1260" t="s">
        <v>697</v>
      </c>
      <c r="L354" s="1260" t="s">
        <v>496</v>
      </c>
      <c r="M354" s="1245">
        <v>89</v>
      </c>
      <c r="N354" s="417" t="s">
        <v>137</v>
      </c>
      <c r="O354" s="386">
        <v>30450001</v>
      </c>
      <c r="P354" s="1119">
        <f>SUM(O354:O355)</f>
        <v>76125003</v>
      </c>
      <c r="Q354" s="1119">
        <f>SUM(P354:P355)</f>
        <v>76125003</v>
      </c>
      <c r="R354" s="1068">
        <v>40413</v>
      </c>
      <c r="S354" s="1119">
        <f>T354+T355</f>
        <v>76125003</v>
      </c>
      <c r="T354" s="386">
        <v>30450001.199999999</v>
      </c>
      <c r="U354" s="386">
        <f>O354-T354</f>
        <v>-0.19999999925494194</v>
      </c>
      <c r="V354" s="386">
        <v>30450000</v>
      </c>
      <c r="W354" s="1119">
        <v>76125000</v>
      </c>
      <c r="X354" s="1203" t="s">
        <v>467</v>
      </c>
      <c r="Y354" s="1123" t="s">
        <v>498</v>
      </c>
      <c r="Z354" s="386">
        <v>0</v>
      </c>
      <c r="AA354" s="1119">
        <v>30450000</v>
      </c>
      <c r="AB354" s="1119">
        <v>30450000</v>
      </c>
      <c r="AC354" s="1171">
        <v>40450</v>
      </c>
      <c r="AD354" s="423">
        <v>12180000</v>
      </c>
      <c r="AE354" s="386" t="s">
        <v>137</v>
      </c>
      <c r="AF354" s="1119">
        <f>SUM(AD354:AD355)</f>
        <v>30450000</v>
      </c>
      <c r="AG354" s="1119">
        <f>AF354</f>
        <v>30450000</v>
      </c>
      <c r="AH354" s="1119">
        <v>0</v>
      </c>
      <c r="AI354" s="1119">
        <f>AH354</f>
        <v>0</v>
      </c>
      <c r="AJ354" s="1119">
        <v>0</v>
      </c>
      <c r="AK354" s="1119">
        <f>P354-V354-V355</f>
        <v>3</v>
      </c>
      <c r="AL354" s="1119">
        <f>W354-AG354</f>
        <v>45675000</v>
      </c>
      <c r="AM354" s="1119">
        <f>AL354+AK354</f>
        <v>45675003</v>
      </c>
      <c r="AN354" s="1203" t="s">
        <v>437</v>
      </c>
      <c r="AO354" s="1203" t="s">
        <v>793</v>
      </c>
      <c r="AP354" s="1186" t="s">
        <v>195</v>
      </c>
      <c r="AQ354" s="1103" t="s">
        <v>368</v>
      </c>
    </row>
    <row r="355" spans="1:43" s="24" customFormat="1" ht="29.25" customHeight="1">
      <c r="A355" s="1260"/>
      <c r="B355" s="1171"/>
      <c r="C355" s="1260"/>
      <c r="D355" s="1260"/>
      <c r="E355" s="1252"/>
      <c r="F355" s="1252"/>
      <c r="G355" s="1260"/>
      <c r="H355" s="1260"/>
      <c r="I355" s="1260"/>
      <c r="J355" s="1260"/>
      <c r="K355" s="1260"/>
      <c r="L355" s="1260"/>
      <c r="M355" s="1245"/>
      <c r="N355" s="1282" t="s">
        <v>7</v>
      </c>
      <c r="O355" s="1119">
        <v>45675002</v>
      </c>
      <c r="P355" s="1119"/>
      <c r="Q355" s="1119"/>
      <c r="R355" s="1069"/>
      <c r="S355" s="1119"/>
      <c r="T355" s="1062">
        <v>45675001.799999997</v>
      </c>
      <c r="U355" s="1062">
        <f>O355-T355</f>
        <v>0.20000000298023224</v>
      </c>
      <c r="V355" s="1062">
        <v>45675000</v>
      </c>
      <c r="W355" s="1119"/>
      <c r="X355" s="1203"/>
      <c r="Y355" s="1123"/>
      <c r="Z355" s="386">
        <v>0</v>
      </c>
      <c r="AA355" s="1119"/>
      <c r="AB355" s="1119"/>
      <c r="AC355" s="1171"/>
      <c r="AD355" s="423">
        <v>18270000</v>
      </c>
      <c r="AE355" s="386" t="s">
        <v>7</v>
      </c>
      <c r="AF355" s="1119"/>
      <c r="AG355" s="1119"/>
      <c r="AH355" s="1119"/>
      <c r="AI355" s="1119"/>
      <c r="AJ355" s="1119"/>
      <c r="AK355" s="1119"/>
      <c r="AL355" s="1119"/>
      <c r="AM355" s="1119"/>
      <c r="AN355" s="1203"/>
      <c r="AO355" s="1203"/>
      <c r="AP355" s="1187"/>
      <c r="AQ355" s="1104"/>
    </row>
    <row r="356" spans="1:43" s="24" customFormat="1" ht="25.5" customHeight="1">
      <c r="A356" s="1260"/>
      <c r="B356" s="1171"/>
      <c r="C356" s="1260"/>
      <c r="D356" s="1260"/>
      <c r="E356" s="1252"/>
      <c r="F356" s="1252"/>
      <c r="G356" s="1260"/>
      <c r="H356" s="1260"/>
      <c r="I356" s="1260"/>
      <c r="J356" s="1260"/>
      <c r="K356" s="1260"/>
      <c r="L356" s="1260"/>
      <c r="M356" s="1245"/>
      <c r="N356" s="1282"/>
      <c r="O356" s="1119"/>
      <c r="P356" s="1119"/>
      <c r="Q356" s="1119"/>
      <c r="R356" s="1070"/>
      <c r="S356" s="1119"/>
      <c r="T356" s="1064"/>
      <c r="U356" s="1064"/>
      <c r="V356" s="1064"/>
      <c r="W356" s="1119"/>
      <c r="X356" s="1203"/>
      <c r="Y356" s="372" t="s">
        <v>497</v>
      </c>
      <c r="Z356" s="386">
        <v>64706250</v>
      </c>
      <c r="AA356" s="386">
        <f>-AA354</f>
        <v>-30450000</v>
      </c>
      <c r="AB356" s="386">
        <f>SUM(Z356:AA356)</f>
        <v>34256250</v>
      </c>
      <c r="AC356" s="384"/>
      <c r="AD356" s="423">
        <v>0</v>
      </c>
      <c r="AE356" s="386"/>
      <c r="AF356" s="1119"/>
      <c r="AG356" s="1119">
        <v>0</v>
      </c>
      <c r="AH356" s="1119"/>
      <c r="AI356" s="1119"/>
      <c r="AJ356" s="1119"/>
      <c r="AK356" s="1119"/>
      <c r="AL356" s="1119"/>
      <c r="AM356" s="1119"/>
      <c r="AN356" s="1203"/>
      <c r="AO356" s="1203"/>
      <c r="AP356" s="1188"/>
      <c r="AQ356" s="1105"/>
    </row>
    <row r="357" spans="1:43" s="26" customFormat="1" ht="29.25" customHeight="1">
      <c r="A357" s="1260" t="s">
        <v>634</v>
      </c>
      <c r="B357" s="1171">
        <v>40371</v>
      </c>
      <c r="C357" s="1260" t="s">
        <v>10</v>
      </c>
      <c r="D357" s="1260" t="s">
        <v>633</v>
      </c>
      <c r="E357" s="1252">
        <v>76308239</v>
      </c>
      <c r="F357" s="1252"/>
      <c r="G357" s="1260" t="s">
        <v>635</v>
      </c>
      <c r="H357" s="1260" t="s">
        <v>72</v>
      </c>
      <c r="I357" s="1260" t="s">
        <v>177</v>
      </c>
      <c r="J357" s="1260" t="s">
        <v>66</v>
      </c>
      <c r="K357" s="1260" t="s">
        <v>183</v>
      </c>
      <c r="L357" s="1260" t="s">
        <v>636</v>
      </c>
      <c r="M357" s="1251">
        <v>113</v>
      </c>
      <c r="N357" s="1123" t="s">
        <v>137</v>
      </c>
      <c r="O357" s="1119">
        <v>24534000</v>
      </c>
      <c r="P357" s="1119">
        <f>O357+O359</f>
        <v>61335000</v>
      </c>
      <c r="Q357" s="1119">
        <f>P357</f>
        <v>61335000</v>
      </c>
      <c r="R357" s="1171">
        <v>40413</v>
      </c>
      <c r="S357" s="1119">
        <f>T357+T359</f>
        <v>61335000</v>
      </c>
      <c r="T357" s="1119">
        <v>24534000</v>
      </c>
      <c r="U357" s="1119">
        <f>O357-T357</f>
        <v>0</v>
      </c>
      <c r="V357" s="1119">
        <v>24534000</v>
      </c>
      <c r="W357" s="1119">
        <v>61335000</v>
      </c>
      <c r="X357" s="1203" t="s">
        <v>467</v>
      </c>
      <c r="Y357" s="1123" t="s">
        <v>637</v>
      </c>
      <c r="Z357" s="386">
        <v>0</v>
      </c>
      <c r="AA357" s="386">
        <v>9813600</v>
      </c>
      <c r="AB357" s="386">
        <f t="shared" ref="AB357:AB420" si="26">Z357+AA357</f>
        <v>9813600</v>
      </c>
      <c r="AC357" s="1171">
        <v>40732</v>
      </c>
      <c r="AD357" s="423">
        <v>9813600</v>
      </c>
      <c r="AE357" s="386" t="s">
        <v>137</v>
      </c>
      <c r="AF357" s="1119">
        <f>SUM(AD357:AD360)</f>
        <v>61335000</v>
      </c>
      <c r="AG357" s="1119">
        <f>AF357</f>
        <v>61335000</v>
      </c>
      <c r="AH357" s="386">
        <f t="shared" ref="AH357:AH380" si="27">AB357-AD357</f>
        <v>0</v>
      </c>
      <c r="AI357" s="1119">
        <v>0</v>
      </c>
      <c r="AJ357" s="1119">
        <v>0</v>
      </c>
      <c r="AK357" s="1119">
        <v>0</v>
      </c>
      <c r="AL357" s="1119">
        <v>0</v>
      </c>
      <c r="AM357" s="1119">
        <v>0</v>
      </c>
      <c r="AN357" s="1260" t="s">
        <v>606</v>
      </c>
      <c r="AO357" s="1260" t="s">
        <v>774</v>
      </c>
      <c r="AP357" s="1260" t="s">
        <v>195</v>
      </c>
      <c r="AQ357" s="1438" t="s">
        <v>558</v>
      </c>
    </row>
    <row r="358" spans="1:43" s="26" customFormat="1" ht="29.25" customHeight="1">
      <c r="A358" s="1260"/>
      <c r="B358" s="1171"/>
      <c r="C358" s="1260"/>
      <c r="D358" s="1260"/>
      <c r="E358" s="1252"/>
      <c r="F358" s="1252"/>
      <c r="G358" s="1260"/>
      <c r="H358" s="1260"/>
      <c r="I358" s="1260"/>
      <c r="J358" s="1260"/>
      <c r="K358" s="1260"/>
      <c r="L358" s="1260"/>
      <c r="M358" s="1251"/>
      <c r="N358" s="1123"/>
      <c r="O358" s="1119"/>
      <c r="P358" s="1119"/>
      <c r="Q358" s="1119"/>
      <c r="R358" s="1171"/>
      <c r="S358" s="1119"/>
      <c r="T358" s="1119"/>
      <c r="U358" s="1119"/>
      <c r="V358" s="1119"/>
      <c r="W358" s="1119"/>
      <c r="X358" s="1203"/>
      <c r="Y358" s="1123"/>
      <c r="Z358" s="386">
        <v>0</v>
      </c>
      <c r="AA358" s="386">
        <v>14720400</v>
      </c>
      <c r="AB358" s="386">
        <f t="shared" si="26"/>
        <v>14720400</v>
      </c>
      <c r="AC358" s="1171"/>
      <c r="AD358" s="423">
        <v>14720400</v>
      </c>
      <c r="AE358" s="386" t="s">
        <v>7</v>
      </c>
      <c r="AF358" s="1119"/>
      <c r="AG358" s="1119"/>
      <c r="AH358" s="386">
        <f t="shared" si="27"/>
        <v>0</v>
      </c>
      <c r="AI358" s="1119"/>
      <c r="AJ358" s="1119"/>
      <c r="AK358" s="1119"/>
      <c r="AL358" s="1119"/>
      <c r="AM358" s="1119"/>
      <c r="AN358" s="1260"/>
      <c r="AO358" s="1260"/>
      <c r="AP358" s="1260"/>
      <c r="AQ358" s="1438"/>
    </row>
    <row r="359" spans="1:43" s="26" customFormat="1" ht="25.5" customHeight="1">
      <c r="A359" s="1260"/>
      <c r="B359" s="1171"/>
      <c r="C359" s="1260"/>
      <c r="D359" s="1260"/>
      <c r="E359" s="1252"/>
      <c r="F359" s="1252"/>
      <c r="G359" s="1260"/>
      <c r="H359" s="1260"/>
      <c r="I359" s="1260"/>
      <c r="J359" s="1260"/>
      <c r="K359" s="1260"/>
      <c r="L359" s="1260"/>
      <c r="M359" s="1251"/>
      <c r="N359" s="1123" t="s">
        <v>7</v>
      </c>
      <c r="O359" s="1119">
        <v>36801000</v>
      </c>
      <c r="P359" s="1119"/>
      <c r="Q359" s="1119"/>
      <c r="R359" s="1171"/>
      <c r="S359" s="1119"/>
      <c r="T359" s="1119">
        <v>36801000</v>
      </c>
      <c r="U359" s="1119">
        <f>O359-T359</f>
        <v>0</v>
      </c>
      <c r="V359" s="1119">
        <v>36801000</v>
      </c>
      <c r="W359" s="1119"/>
      <c r="X359" s="1203"/>
      <c r="Y359" s="1123" t="s">
        <v>638</v>
      </c>
      <c r="Z359" s="386">
        <v>24534000</v>
      </c>
      <c r="AA359" s="386">
        <v>-9813600</v>
      </c>
      <c r="AB359" s="386">
        <f t="shared" si="26"/>
        <v>14720400</v>
      </c>
      <c r="AC359" s="1171">
        <v>41593</v>
      </c>
      <c r="AD359" s="423">
        <v>14720400</v>
      </c>
      <c r="AE359" s="386" t="s">
        <v>137</v>
      </c>
      <c r="AF359" s="1119"/>
      <c r="AG359" s="1119"/>
      <c r="AH359" s="386">
        <f t="shared" si="27"/>
        <v>0</v>
      </c>
      <c r="AI359" s="1119"/>
      <c r="AJ359" s="1119"/>
      <c r="AK359" s="1119"/>
      <c r="AL359" s="1119"/>
      <c r="AM359" s="1119"/>
      <c r="AN359" s="1260"/>
      <c r="AO359" s="1260"/>
      <c r="AP359" s="1260"/>
      <c r="AQ359" s="1438"/>
    </row>
    <row r="360" spans="1:43" s="26" customFormat="1" ht="24" customHeight="1">
      <c r="A360" s="1260"/>
      <c r="B360" s="1171"/>
      <c r="C360" s="1260"/>
      <c r="D360" s="1260"/>
      <c r="E360" s="1252"/>
      <c r="F360" s="1252"/>
      <c r="G360" s="1260"/>
      <c r="H360" s="1260"/>
      <c r="I360" s="1260"/>
      <c r="J360" s="1260"/>
      <c r="K360" s="1260"/>
      <c r="L360" s="1260"/>
      <c r="M360" s="1251"/>
      <c r="N360" s="1123"/>
      <c r="O360" s="1119"/>
      <c r="P360" s="1119"/>
      <c r="Q360" s="1119"/>
      <c r="R360" s="1171"/>
      <c r="S360" s="1119"/>
      <c r="T360" s="1119"/>
      <c r="U360" s="1119"/>
      <c r="V360" s="1119"/>
      <c r="W360" s="1119"/>
      <c r="X360" s="1203"/>
      <c r="Y360" s="1123"/>
      <c r="Z360" s="386">
        <v>36801000</v>
      </c>
      <c r="AA360" s="386">
        <v>-14720400</v>
      </c>
      <c r="AB360" s="386">
        <f t="shared" si="26"/>
        <v>22080600</v>
      </c>
      <c r="AC360" s="1171"/>
      <c r="AD360" s="423">
        <v>22080600</v>
      </c>
      <c r="AE360" s="386" t="s">
        <v>7</v>
      </c>
      <c r="AF360" s="1119"/>
      <c r="AG360" s="1119"/>
      <c r="AH360" s="386">
        <f t="shared" si="27"/>
        <v>0</v>
      </c>
      <c r="AI360" s="1119"/>
      <c r="AJ360" s="1119"/>
      <c r="AK360" s="1119"/>
      <c r="AL360" s="1119"/>
      <c r="AM360" s="1119"/>
      <c r="AN360" s="1260"/>
      <c r="AO360" s="1260"/>
      <c r="AP360" s="1260"/>
      <c r="AQ360" s="1438"/>
    </row>
    <row r="361" spans="1:43" ht="25.5" customHeight="1">
      <c r="A361" s="1076" t="s">
        <v>624</v>
      </c>
      <c r="B361" s="1171">
        <v>40371</v>
      </c>
      <c r="C361" s="1076" t="s">
        <v>43</v>
      </c>
      <c r="D361" s="1076" t="s">
        <v>625</v>
      </c>
      <c r="E361" s="1252">
        <v>900367465</v>
      </c>
      <c r="F361" s="1252">
        <v>1</v>
      </c>
      <c r="G361" s="1076" t="s">
        <v>626</v>
      </c>
      <c r="H361" s="1076" t="s">
        <v>72</v>
      </c>
      <c r="I361" s="1076" t="s">
        <v>177</v>
      </c>
      <c r="J361" s="1076" t="s">
        <v>66</v>
      </c>
      <c r="K361" s="1076" t="s">
        <v>217</v>
      </c>
      <c r="L361" s="1076" t="s">
        <v>628</v>
      </c>
      <c r="M361" s="1251">
        <v>90</v>
      </c>
      <c r="N361" s="1123" t="s">
        <v>137</v>
      </c>
      <c r="O361" s="1119">
        <v>13456000</v>
      </c>
      <c r="P361" s="1119">
        <f>O361+O363</f>
        <v>33640000</v>
      </c>
      <c r="Q361" s="1119">
        <f>P361</f>
        <v>33640000</v>
      </c>
      <c r="R361" s="1171">
        <v>40413</v>
      </c>
      <c r="S361" s="1196">
        <f>T361+T363</f>
        <v>33640000</v>
      </c>
      <c r="T361" s="1119">
        <v>13456000</v>
      </c>
      <c r="U361" s="1119">
        <f>O361-T361</f>
        <v>0</v>
      </c>
      <c r="V361" s="1119">
        <v>13437242.4</v>
      </c>
      <c r="W361" s="1119">
        <v>33593106</v>
      </c>
      <c r="X361" s="1076" t="s">
        <v>467</v>
      </c>
      <c r="Y361" s="1123" t="s">
        <v>627</v>
      </c>
      <c r="Z361" s="386">
        <v>0</v>
      </c>
      <c r="AA361" s="386">
        <v>5363642</v>
      </c>
      <c r="AB361" s="386">
        <f t="shared" si="26"/>
        <v>5363642</v>
      </c>
      <c r="AC361" s="1171">
        <v>40569</v>
      </c>
      <c r="AD361" s="395">
        <v>5363642</v>
      </c>
      <c r="AE361" s="395" t="s">
        <v>137</v>
      </c>
      <c r="AF361" s="1084">
        <f>SUM(AD361:AD366)</f>
        <v>23515174</v>
      </c>
      <c r="AG361" s="1084">
        <f>AF361</f>
        <v>23515174</v>
      </c>
      <c r="AH361" s="358">
        <f t="shared" si="27"/>
        <v>0</v>
      </c>
      <c r="AI361" s="1084">
        <f>O361-AD361-AD362</f>
        <v>18758</v>
      </c>
      <c r="AJ361" s="1119">
        <f>SUM(Z361:Z366)-SUM(AD361:AD366)</f>
        <v>10077942</v>
      </c>
      <c r="AK361" s="1119">
        <f>O361-V361</f>
        <v>18757.599999999627</v>
      </c>
      <c r="AL361" s="1119">
        <f>SUM(V361:V366)-SUM(Z361:Z366)</f>
        <v>-10</v>
      </c>
      <c r="AM361" s="1119">
        <f>AK361+AL361+AK363</f>
        <v>46884.000000001863</v>
      </c>
      <c r="AN361" s="1203" t="s">
        <v>632</v>
      </c>
      <c r="AO361" s="1204" t="s">
        <v>766</v>
      </c>
      <c r="AP361" s="1204" t="s">
        <v>194</v>
      </c>
      <c r="AQ361" s="1204" t="s">
        <v>558</v>
      </c>
    </row>
    <row r="362" spans="1:43" ht="27" customHeight="1">
      <c r="A362" s="1076"/>
      <c r="B362" s="1171"/>
      <c r="C362" s="1076"/>
      <c r="D362" s="1076"/>
      <c r="E362" s="1252"/>
      <c r="F362" s="1252"/>
      <c r="G362" s="1076"/>
      <c r="H362" s="1076"/>
      <c r="I362" s="1076"/>
      <c r="J362" s="1076"/>
      <c r="K362" s="1076"/>
      <c r="L362" s="1076"/>
      <c r="M362" s="1251"/>
      <c r="N362" s="1123"/>
      <c r="O362" s="1119"/>
      <c r="P362" s="1119"/>
      <c r="Q362" s="1119"/>
      <c r="R362" s="1171"/>
      <c r="S362" s="1196"/>
      <c r="T362" s="1119"/>
      <c r="U362" s="1119"/>
      <c r="V362" s="1119"/>
      <c r="W362" s="1119"/>
      <c r="X362" s="1076"/>
      <c r="Y362" s="1123"/>
      <c r="Z362" s="386">
        <v>0</v>
      </c>
      <c r="AA362" s="386">
        <v>8073600</v>
      </c>
      <c r="AB362" s="386">
        <f t="shared" si="26"/>
        <v>8073600</v>
      </c>
      <c r="AC362" s="1171"/>
      <c r="AD362" s="395">
        <v>8073600</v>
      </c>
      <c r="AE362" s="395" t="s">
        <v>137</v>
      </c>
      <c r="AF362" s="1084"/>
      <c r="AG362" s="1084"/>
      <c r="AH362" s="358">
        <f t="shared" si="27"/>
        <v>0</v>
      </c>
      <c r="AI362" s="1084"/>
      <c r="AJ362" s="1119"/>
      <c r="AK362" s="1119"/>
      <c r="AL362" s="1119"/>
      <c r="AM362" s="1119"/>
      <c r="AN362" s="1203"/>
      <c r="AO362" s="1204"/>
      <c r="AP362" s="1204"/>
      <c r="AQ362" s="1204"/>
    </row>
    <row r="363" spans="1:43">
      <c r="A363" s="1076"/>
      <c r="B363" s="1171"/>
      <c r="C363" s="1076"/>
      <c r="D363" s="1076"/>
      <c r="E363" s="1252"/>
      <c r="F363" s="1252"/>
      <c r="G363" s="1076"/>
      <c r="H363" s="1076"/>
      <c r="I363" s="1076"/>
      <c r="J363" s="1076"/>
      <c r="K363" s="1076"/>
      <c r="L363" s="1076"/>
      <c r="M363" s="1251"/>
      <c r="N363" s="1123" t="s">
        <v>7</v>
      </c>
      <c r="O363" s="1119">
        <v>20184000</v>
      </c>
      <c r="P363" s="1119"/>
      <c r="Q363" s="1119"/>
      <c r="R363" s="1171"/>
      <c r="S363" s="1196"/>
      <c r="T363" s="1119">
        <v>20184000</v>
      </c>
      <c r="U363" s="1119">
        <f>O363-T363</f>
        <v>0</v>
      </c>
      <c r="V363" s="1119">
        <v>20155863.599999998</v>
      </c>
      <c r="W363" s="1119"/>
      <c r="X363" s="1076"/>
      <c r="Y363" s="1123" t="s">
        <v>629</v>
      </c>
      <c r="Z363" s="386">
        <v>6718621.2000000002</v>
      </c>
      <c r="AA363" s="386">
        <v>-2695889.2</v>
      </c>
      <c r="AB363" s="386">
        <f t="shared" si="26"/>
        <v>4022732</v>
      </c>
      <c r="AC363" s="1171">
        <v>40666</v>
      </c>
      <c r="AD363" s="395">
        <v>4022732</v>
      </c>
      <c r="AE363" s="395" t="s">
        <v>7</v>
      </c>
      <c r="AF363" s="1084"/>
      <c r="AG363" s="1084"/>
      <c r="AH363" s="358">
        <f t="shared" si="27"/>
        <v>0</v>
      </c>
      <c r="AI363" s="1084">
        <f>O363-AD363-AD364</f>
        <v>10106068</v>
      </c>
      <c r="AJ363" s="1119"/>
      <c r="AK363" s="1119">
        <f>O363-V363</f>
        <v>28136.400000002235</v>
      </c>
      <c r="AL363" s="1119"/>
      <c r="AM363" s="1119"/>
      <c r="AN363" s="1203"/>
      <c r="AO363" s="1204"/>
      <c r="AP363" s="1204"/>
      <c r="AQ363" s="1204"/>
    </row>
    <row r="364" spans="1:43">
      <c r="A364" s="1076"/>
      <c r="B364" s="1171"/>
      <c r="C364" s="1076"/>
      <c r="D364" s="1076"/>
      <c r="E364" s="1252"/>
      <c r="F364" s="1252"/>
      <c r="G364" s="1076"/>
      <c r="H364" s="1076"/>
      <c r="I364" s="1076"/>
      <c r="J364" s="1076"/>
      <c r="K364" s="1076"/>
      <c r="L364" s="1076"/>
      <c r="M364" s="1251"/>
      <c r="N364" s="1123"/>
      <c r="O364" s="1119"/>
      <c r="P364" s="1119"/>
      <c r="Q364" s="1119"/>
      <c r="R364" s="1171"/>
      <c r="S364" s="1196"/>
      <c r="T364" s="1119"/>
      <c r="U364" s="1119"/>
      <c r="V364" s="1119"/>
      <c r="W364" s="1119"/>
      <c r="X364" s="1076"/>
      <c r="Y364" s="1123"/>
      <c r="Z364" s="386">
        <v>10077931.799999999</v>
      </c>
      <c r="AA364" s="386">
        <v>-4022731.8</v>
      </c>
      <c r="AB364" s="386">
        <f t="shared" si="26"/>
        <v>6055199.9999999991</v>
      </c>
      <c r="AC364" s="1171"/>
      <c r="AD364" s="395">
        <v>6055200</v>
      </c>
      <c r="AE364" s="395" t="s">
        <v>7</v>
      </c>
      <c r="AF364" s="1084"/>
      <c r="AG364" s="1084"/>
      <c r="AH364" s="358">
        <f t="shared" si="27"/>
        <v>0</v>
      </c>
      <c r="AI364" s="1084"/>
      <c r="AJ364" s="1119"/>
      <c r="AK364" s="1119"/>
      <c r="AL364" s="1119"/>
      <c r="AM364" s="1119"/>
      <c r="AN364" s="1203"/>
      <c r="AO364" s="1204"/>
      <c r="AP364" s="1204"/>
      <c r="AQ364" s="1204"/>
    </row>
    <row r="365" spans="1:43" ht="31.5">
      <c r="A365" s="1076"/>
      <c r="B365" s="1171"/>
      <c r="C365" s="1076"/>
      <c r="D365" s="1076"/>
      <c r="E365" s="1252"/>
      <c r="F365" s="1252"/>
      <c r="G365" s="1076"/>
      <c r="H365" s="1076"/>
      <c r="I365" s="1076"/>
      <c r="J365" s="1076"/>
      <c r="K365" s="1076"/>
      <c r="L365" s="1076"/>
      <c r="M365" s="1251"/>
      <c r="N365" s="1123"/>
      <c r="O365" s="1119"/>
      <c r="P365" s="1119"/>
      <c r="Q365" s="1119"/>
      <c r="R365" s="1171"/>
      <c r="S365" s="1196"/>
      <c r="T365" s="1119"/>
      <c r="U365" s="1119"/>
      <c r="V365" s="1119"/>
      <c r="W365" s="1119"/>
      <c r="X365" s="1076"/>
      <c r="Y365" s="372" t="s">
        <v>631</v>
      </c>
      <c r="Z365" s="386">
        <v>13437242.4</v>
      </c>
      <c r="AA365" s="386">
        <v>-5374896.96</v>
      </c>
      <c r="AB365" s="386">
        <f t="shared" si="26"/>
        <v>8062345.4400000004</v>
      </c>
      <c r="AC365" s="384"/>
      <c r="AD365" s="395">
        <v>0</v>
      </c>
      <c r="AE365" s="395" t="s">
        <v>7</v>
      </c>
      <c r="AF365" s="1084"/>
      <c r="AG365" s="1084"/>
      <c r="AH365" s="358">
        <f t="shared" si="27"/>
        <v>8062345.4400000004</v>
      </c>
      <c r="AI365" s="1084"/>
      <c r="AJ365" s="1119"/>
      <c r="AK365" s="1119"/>
      <c r="AL365" s="1119"/>
      <c r="AM365" s="1119"/>
      <c r="AN365" s="1203"/>
      <c r="AO365" s="1204"/>
      <c r="AP365" s="1204"/>
      <c r="AQ365" s="1204"/>
    </row>
    <row r="366" spans="1:43" ht="31.5">
      <c r="A366" s="1076"/>
      <c r="B366" s="1171"/>
      <c r="C366" s="1076"/>
      <c r="D366" s="1076"/>
      <c r="E366" s="1252"/>
      <c r="F366" s="1252"/>
      <c r="G366" s="1076"/>
      <c r="H366" s="1076"/>
      <c r="I366" s="1076"/>
      <c r="J366" s="1076"/>
      <c r="K366" s="1076"/>
      <c r="L366" s="1076"/>
      <c r="M366" s="1251"/>
      <c r="N366" s="1123"/>
      <c r="O366" s="1119"/>
      <c r="P366" s="1119"/>
      <c r="Q366" s="1119"/>
      <c r="R366" s="1171"/>
      <c r="S366" s="1196"/>
      <c r="T366" s="1119"/>
      <c r="U366" s="1119"/>
      <c r="V366" s="1119"/>
      <c r="W366" s="1119"/>
      <c r="X366" s="1076"/>
      <c r="Y366" s="372" t="s">
        <v>630</v>
      </c>
      <c r="Z366" s="386">
        <v>3359320.6</v>
      </c>
      <c r="AA366" s="386">
        <v>-1343724.24</v>
      </c>
      <c r="AB366" s="386">
        <f t="shared" si="26"/>
        <v>2015596.36</v>
      </c>
      <c r="AC366" s="384"/>
      <c r="AD366" s="395">
        <v>0</v>
      </c>
      <c r="AE366" s="395" t="s">
        <v>7</v>
      </c>
      <c r="AF366" s="1084"/>
      <c r="AG366" s="1084"/>
      <c r="AH366" s="358">
        <f t="shared" si="27"/>
        <v>2015596.36</v>
      </c>
      <c r="AI366" s="1084"/>
      <c r="AJ366" s="1119"/>
      <c r="AK366" s="1119"/>
      <c r="AL366" s="1119"/>
      <c r="AM366" s="1119"/>
      <c r="AN366" s="1203"/>
      <c r="AO366" s="1204"/>
      <c r="AP366" s="1204"/>
      <c r="AQ366" s="1204"/>
    </row>
    <row r="367" spans="1:43" ht="24" customHeight="1">
      <c r="A367" s="1076" t="s">
        <v>639</v>
      </c>
      <c r="B367" s="1171">
        <v>40368</v>
      </c>
      <c r="C367" s="1076" t="s">
        <v>43</v>
      </c>
      <c r="D367" s="1076" t="s">
        <v>641</v>
      </c>
      <c r="E367" s="1252">
        <v>7161756</v>
      </c>
      <c r="F367" s="1252"/>
      <c r="G367" s="1076" t="s">
        <v>640</v>
      </c>
      <c r="H367" s="1076" t="s">
        <v>72</v>
      </c>
      <c r="I367" s="1076" t="s">
        <v>177</v>
      </c>
      <c r="J367" s="1076" t="s">
        <v>66</v>
      </c>
      <c r="K367" s="1076" t="s">
        <v>183</v>
      </c>
      <c r="L367" s="1076" t="s">
        <v>650</v>
      </c>
      <c r="M367" s="1251">
        <v>91</v>
      </c>
      <c r="N367" s="1123" t="s">
        <v>137</v>
      </c>
      <c r="O367" s="1119">
        <v>39788000</v>
      </c>
      <c r="P367" s="1119">
        <v>99470000</v>
      </c>
      <c r="Q367" s="1119">
        <v>149031957</v>
      </c>
      <c r="R367" s="1171">
        <v>40707</v>
      </c>
      <c r="S367" s="1196">
        <f>T367+T370</f>
        <v>99470000</v>
      </c>
      <c r="T367" s="1119">
        <v>39788000</v>
      </c>
      <c r="U367" s="1119">
        <f>O367-T367</f>
        <v>0</v>
      </c>
      <c r="V367" s="1258">
        <v>39712971.200000003</v>
      </c>
      <c r="W367" s="1119">
        <v>148844385</v>
      </c>
      <c r="X367" s="1076" t="s">
        <v>467</v>
      </c>
      <c r="Y367" s="1123" t="s">
        <v>644</v>
      </c>
      <c r="Z367" s="386">
        <v>0</v>
      </c>
      <c r="AA367" s="386">
        <v>15885188.480000002</v>
      </c>
      <c r="AB367" s="386">
        <f t="shared" si="26"/>
        <v>15885188.480000002</v>
      </c>
      <c r="AC367" s="1171">
        <v>40450</v>
      </c>
      <c r="AD367" s="395">
        <v>15885188</v>
      </c>
      <c r="AE367" s="395" t="s">
        <v>137</v>
      </c>
      <c r="AF367" s="1084">
        <f>SUM(AD367:AD372)</f>
        <v>99282428</v>
      </c>
      <c r="AG367" s="1084">
        <f>AF367+AF373+AF375</f>
        <v>148844385</v>
      </c>
      <c r="AH367" s="358">
        <f t="shared" si="27"/>
        <v>0.48000000230967999</v>
      </c>
      <c r="AI367" s="1084">
        <f>O367-AD367-AD369-AD371</f>
        <v>75029.430000001099</v>
      </c>
      <c r="AJ367" s="1119">
        <f>SUM(Z367:Z372)-SUM(AD367:AD372)</f>
        <v>0</v>
      </c>
      <c r="AK367" s="1119">
        <f>O367-V367</f>
        <v>75028.79999999702</v>
      </c>
      <c r="AL367" s="1119">
        <f>SUM(V367:V372)-SUM(Z367:Z372)</f>
        <v>0</v>
      </c>
      <c r="AM367" s="1119">
        <f>AK367+AK370+AL367</f>
        <v>187572</v>
      </c>
      <c r="AN367" s="1203" t="s">
        <v>642</v>
      </c>
      <c r="AO367" s="1204" t="s">
        <v>775</v>
      </c>
      <c r="AP367" s="1204" t="s">
        <v>194</v>
      </c>
      <c r="AQ367" s="1204" t="s">
        <v>558</v>
      </c>
    </row>
    <row r="368" spans="1:43" ht="30" customHeight="1">
      <c r="A368" s="1076"/>
      <c r="B368" s="1171"/>
      <c r="C368" s="1076"/>
      <c r="D368" s="1076"/>
      <c r="E368" s="1252"/>
      <c r="F368" s="1252"/>
      <c r="G368" s="1076"/>
      <c r="H368" s="1076"/>
      <c r="I368" s="1076"/>
      <c r="J368" s="1076"/>
      <c r="K368" s="1076"/>
      <c r="L368" s="1076"/>
      <c r="M368" s="1251"/>
      <c r="N368" s="1123"/>
      <c r="O368" s="1119"/>
      <c r="P368" s="1119"/>
      <c r="Q368" s="1119"/>
      <c r="R368" s="1171"/>
      <c r="S368" s="1196"/>
      <c r="T368" s="1119"/>
      <c r="U368" s="1119"/>
      <c r="V368" s="1258"/>
      <c r="W368" s="1119"/>
      <c r="X368" s="1076"/>
      <c r="Y368" s="1123"/>
      <c r="Z368" s="386">
        <v>0</v>
      </c>
      <c r="AA368" s="386">
        <v>23827782.719999999</v>
      </c>
      <c r="AB368" s="386">
        <f t="shared" si="26"/>
        <v>23827782.719999999</v>
      </c>
      <c r="AC368" s="1171"/>
      <c r="AD368" s="395">
        <v>23827783</v>
      </c>
      <c r="AE368" s="395" t="s">
        <v>7</v>
      </c>
      <c r="AF368" s="1084"/>
      <c r="AG368" s="1084"/>
      <c r="AH368" s="358">
        <f t="shared" si="27"/>
        <v>-0.2800000011920929</v>
      </c>
      <c r="AI368" s="1084"/>
      <c r="AJ368" s="1119"/>
      <c r="AK368" s="1119"/>
      <c r="AL368" s="1119"/>
      <c r="AM368" s="1119"/>
      <c r="AN368" s="1203"/>
      <c r="AO368" s="1204"/>
      <c r="AP368" s="1204"/>
      <c r="AQ368" s="1204"/>
    </row>
    <row r="369" spans="1:43" ht="31.5">
      <c r="A369" s="1076"/>
      <c r="B369" s="1171"/>
      <c r="C369" s="1076"/>
      <c r="D369" s="1076"/>
      <c r="E369" s="1252"/>
      <c r="F369" s="1252"/>
      <c r="G369" s="1076"/>
      <c r="H369" s="1076"/>
      <c r="I369" s="1076"/>
      <c r="J369" s="1076"/>
      <c r="K369" s="1076"/>
      <c r="L369" s="1076"/>
      <c r="M369" s="1251"/>
      <c r="N369" s="1123"/>
      <c r="O369" s="1119"/>
      <c r="P369" s="1119"/>
      <c r="Q369" s="1119"/>
      <c r="R369" s="1171"/>
      <c r="S369" s="1196"/>
      <c r="T369" s="1119"/>
      <c r="U369" s="1119"/>
      <c r="V369" s="1258"/>
      <c r="W369" s="1119"/>
      <c r="X369" s="1076"/>
      <c r="Y369" s="1123" t="s">
        <v>645</v>
      </c>
      <c r="Z369" s="386">
        <v>33080905.200000003</v>
      </c>
      <c r="AA369" s="386">
        <v>-13232362.23</v>
      </c>
      <c r="AB369" s="386">
        <f t="shared" si="26"/>
        <v>19848542.970000003</v>
      </c>
      <c r="AC369" s="1171">
        <v>40722</v>
      </c>
      <c r="AD369" s="395">
        <v>19848542.969999999</v>
      </c>
      <c r="AE369" s="395" t="s">
        <v>137</v>
      </c>
      <c r="AF369" s="1084"/>
      <c r="AG369" s="1084"/>
      <c r="AH369" s="358">
        <f t="shared" si="27"/>
        <v>0</v>
      </c>
      <c r="AI369" s="1084"/>
      <c r="AJ369" s="1119"/>
      <c r="AK369" s="1119"/>
      <c r="AL369" s="1119"/>
      <c r="AM369" s="1119"/>
      <c r="AN369" s="1203"/>
      <c r="AO369" s="1204"/>
      <c r="AP369" s="1204"/>
      <c r="AQ369" s="1204"/>
    </row>
    <row r="370" spans="1:43">
      <c r="A370" s="1076"/>
      <c r="B370" s="1171"/>
      <c r="C370" s="1076"/>
      <c r="D370" s="1076"/>
      <c r="E370" s="1252"/>
      <c r="F370" s="1252"/>
      <c r="G370" s="1076"/>
      <c r="H370" s="1076"/>
      <c r="I370" s="1076"/>
      <c r="J370" s="1076"/>
      <c r="K370" s="1076"/>
      <c r="L370" s="1076"/>
      <c r="M370" s="1251"/>
      <c r="N370" s="1123" t="s">
        <v>7</v>
      </c>
      <c r="O370" s="1119">
        <v>59682000</v>
      </c>
      <c r="P370" s="1119"/>
      <c r="Q370" s="1119"/>
      <c r="R370" s="1171"/>
      <c r="S370" s="1196"/>
      <c r="T370" s="1119">
        <v>59682000</v>
      </c>
      <c r="U370" s="1119">
        <f>O370-T370</f>
        <v>0</v>
      </c>
      <c r="V370" s="1119">
        <v>59569456.799999997</v>
      </c>
      <c r="W370" s="1119"/>
      <c r="X370" s="1076"/>
      <c r="Y370" s="1123"/>
      <c r="Z370" s="386">
        <v>49621357.799999997</v>
      </c>
      <c r="AA370" s="386">
        <v>-19848542.77</v>
      </c>
      <c r="AB370" s="386">
        <f t="shared" si="26"/>
        <v>29772815.029999997</v>
      </c>
      <c r="AC370" s="1171"/>
      <c r="AD370" s="395">
        <v>29772815.030000001</v>
      </c>
      <c r="AE370" s="395" t="s">
        <v>7</v>
      </c>
      <c r="AF370" s="1084"/>
      <c r="AG370" s="1084"/>
      <c r="AH370" s="358">
        <f t="shared" si="27"/>
        <v>0</v>
      </c>
      <c r="AI370" s="1084">
        <f>O370-AD368-AD370-AD372</f>
        <v>112542.56999999844</v>
      </c>
      <c r="AJ370" s="1119"/>
      <c r="AK370" s="1119">
        <f>O370-V370</f>
        <v>112543.20000000298</v>
      </c>
      <c r="AL370" s="1119"/>
      <c r="AM370" s="1119"/>
      <c r="AN370" s="1203"/>
      <c r="AO370" s="1204"/>
      <c r="AP370" s="1204"/>
      <c r="AQ370" s="1204"/>
    </row>
    <row r="371" spans="1:43" ht="22.5" customHeight="1">
      <c r="A371" s="1076"/>
      <c r="B371" s="1171"/>
      <c r="C371" s="1076"/>
      <c r="D371" s="1076"/>
      <c r="E371" s="1252"/>
      <c r="F371" s="1252"/>
      <c r="G371" s="1076"/>
      <c r="H371" s="1076"/>
      <c r="I371" s="1076"/>
      <c r="J371" s="1076"/>
      <c r="K371" s="1076"/>
      <c r="L371" s="1076"/>
      <c r="M371" s="1251"/>
      <c r="N371" s="1123"/>
      <c r="O371" s="1119"/>
      <c r="P371" s="1119"/>
      <c r="Q371" s="1119"/>
      <c r="R371" s="1171"/>
      <c r="S371" s="1196"/>
      <c r="T371" s="1119"/>
      <c r="U371" s="1119"/>
      <c r="V371" s="1119"/>
      <c r="W371" s="1119"/>
      <c r="X371" s="1076"/>
      <c r="Y371" s="1123" t="s">
        <v>647</v>
      </c>
      <c r="Z371" s="386">
        <v>6632066</v>
      </c>
      <c r="AA371" s="386">
        <v>-2652826.4</v>
      </c>
      <c r="AB371" s="386">
        <f t="shared" si="26"/>
        <v>3979239.6</v>
      </c>
      <c r="AC371" s="1171">
        <v>41974</v>
      </c>
      <c r="AD371" s="395">
        <v>3979239.6</v>
      </c>
      <c r="AE371" s="395" t="s">
        <v>137</v>
      </c>
      <c r="AF371" s="1084"/>
      <c r="AG371" s="1084"/>
      <c r="AH371" s="358">
        <f t="shared" si="27"/>
        <v>0</v>
      </c>
      <c r="AI371" s="1084"/>
      <c r="AJ371" s="1119"/>
      <c r="AK371" s="1119"/>
      <c r="AL371" s="1119"/>
      <c r="AM371" s="1119"/>
      <c r="AN371" s="1203"/>
      <c r="AO371" s="1204"/>
      <c r="AP371" s="1204"/>
      <c r="AQ371" s="1204"/>
    </row>
    <row r="372" spans="1:43" ht="25.5" customHeight="1">
      <c r="A372" s="1076"/>
      <c r="B372" s="1171"/>
      <c r="C372" s="1076"/>
      <c r="D372" s="1076"/>
      <c r="E372" s="1252"/>
      <c r="F372" s="1252"/>
      <c r="G372" s="1076"/>
      <c r="H372" s="1076"/>
      <c r="I372" s="1076"/>
      <c r="J372" s="1076"/>
      <c r="K372" s="1076"/>
      <c r="L372" s="1076"/>
      <c r="M372" s="1251"/>
      <c r="N372" s="1123"/>
      <c r="O372" s="1119"/>
      <c r="P372" s="1119"/>
      <c r="Q372" s="1119"/>
      <c r="R372" s="1171"/>
      <c r="S372" s="1196"/>
      <c r="T372" s="1119"/>
      <c r="U372" s="1119"/>
      <c r="V372" s="1119"/>
      <c r="W372" s="1119"/>
      <c r="X372" s="1076"/>
      <c r="Y372" s="1123"/>
      <c r="Z372" s="386">
        <v>9948099</v>
      </c>
      <c r="AA372" s="386">
        <v>-3979239.6</v>
      </c>
      <c r="AB372" s="386">
        <f t="shared" si="26"/>
        <v>5968859.4000000004</v>
      </c>
      <c r="AC372" s="1171"/>
      <c r="AD372" s="395">
        <v>5968859.4000000004</v>
      </c>
      <c r="AE372" s="395" t="s">
        <v>7</v>
      </c>
      <c r="AF372" s="1084"/>
      <c r="AG372" s="1084"/>
      <c r="AH372" s="358">
        <f t="shared" si="27"/>
        <v>0</v>
      </c>
      <c r="AI372" s="1084"/>
      <c r="AJ372" s="1119"/>
      <c r="AK372" s="1119"/>
      <c r="AL372" s="1119"/>
      <c r="AM372" s="1119"/>
      <c r="AN372" s="1203"/>
      <c r="AO372" s="1204"/>
      <c r="AP372" s="1204"/>
      <c r="AQ372" s="1204"/>
    </row>
    <row r="373" spans="1:43" ht="47.25">
      <c r="A373" s="1076"/>
      <c r="B373" s="1171"/>
      <c r="C373" s="1076"/>
      <c r="D373" s="1076"/>
      <c r="E373" s="1252"/>
      <c r="F373" s="1252"/>
      <c r="G373" s="1076"/>
      <c r="H373" s="1076"/>
      <c r="I373" s="1076"/>
      <c r="J373" s="1076" t="s">
        <v>67</v>
      </c>
      <c r="K373" s="1076"/>
      <c r="L373" s="1076"/>
      <c r="M373" s="1251">
        <v>167</v>
      </c>
      <c r="N373" s="1123" t="s">
        <v>7</v>
      </c>
      <c r="O373" s="1119">
        <v>25109273</v>
      </c>
      <c r="P373" s="1119">
        <v>25109273</v>
      </c>
      <c r="Q373" s="1119"/>
      <c r="R373" s="1171">
        <v>40413</v>
      </c>
      <c r="S373" s="1196">
        <v>25109273</v>
      </c>
      <c r="T373" s="1119">
        <v>25109273</v>
      </c>
      <c r="U373" s="1119">
        <f>O373-T373</f>
        <v>0</v>
      </c>
      <c r="V373" s="1119">
        <v>25109273</v>
      </c>
      <c r="W373" s="1119"/>
      <c r="X373" s="1076"/>
      <c r="Y373" s="372" t="s">
        <v>646</v>
      </c>
      <c r="Z373" s="386">
        <v>22598346</v>
      </c>
      <c r="AA373" s="386">
        <v>0</v>
      </c>
      <c r="AB373" s="386">
        <f t="shared" si="26"/>
        <v>22598346</v>
      </c>
      <c r="AC373" s="384">
        <v>41103</v>
      </c>
      <c r="AD373" s="395">
        <v>22598346</v>
      </c>
      <c r="AE373" s="395" t="s">
        <v>7</v>
      </c>
      <c r="AF373" s="1084">
        <f>AD373+AD374</f>
        <v>25109273</v>
      </c>
      <c r="AG373" s="1084"/>
      <c r="AH373" s="358">
        <f t="shared" si="27"/>
        <v>0</v>
      </c>
      <c r="AI373" s="1084">
        <f>O373-AD373-AD374</f>
        <v>0</v>
      </c>
      <c r="AJ373" s="1119">
        <f>SUM(Z373:Z374)-SUM(AD373:AD374)</f>
        <v>0</v>
      </c>
      <c r="AK373" s="1119">
        <f>P373-V373</f>
        <v>0</v>
      </c>
      <c r="AL373" s="1119">
        <f>V373-Z373-Z374</f>
        <v>0</v>
      </c>
      <c r="AM373" s="1119">
        <f>AK373+AL373</f>
        <v>0</v>
      </c>
      <c r="AN373" s="1203"/>
      <c r="AO373" s="1204"/>
      <c r="AP373" s="1204"/>
      <c r="AQ373" s="1204"/>
    </row>
    <row r="374" spans="1:43" ht="48" customHeight="1">
      <c r="A374" s="1076"/>
      <c r="B374" s="1171"/>
      <c r="C374" s="1076"/>
      <c r="D374" s="1076"/>
      <c r="E374" s="1252"/>
      <c r="F374" s="1252"/>
      <c r="G374" s="1076"/>
      <c r="H374" s="1076"/>
      <c r="I374" s="1076"/>
      <c r="J374" s="1076"/>
      <c r="K374" s="1076"/>
      <c r="L374" s="1076"/>
      <c r="M374" s="1251"/>
      <c r="N374" s="1123"/>
      <c r="O374" s="1119"/>
      <c r="P374" s="1119"/>
      <c r="Q374" s="1119"/>
      <c r="R374" s="1171"/>
      <c r="S374" s="1196"/>
      <c r="T374" s="1119"/>
      <c r="U374" s="1119"/>
      <c r="V374" s="1119"/>
      <c r="W374" s="1119"/>
      <c r="X374" s="1076"/>
      <c r="Y374" s="372" t="s">
        <v>648</v>
      </c>
      <c r="Z374" s="386">
        <v>2510927</v>
      </c>
      <c r="AA374" s="386">
        <v>0</v>
      </c>
      <c r="AB374" s="386">
        <f t="shared" si="26"/>
        <v>2510927</v>
      </c>
      <c r="AC374" s="384">
        <v>41974</v>
      </c>
      <c r="AD374" s="395">
        <v>2510927</v>
      </c>
      <c r="AE374" s="395" t="s">
        <v>7</v>
      </c>
      <c r="AF374" s="1084"/>
      <c r="AG374" s="1084"/>
      <c r="AH374" s="358">
        <f t="shared" si="27"/>
        <v>0</v>
      </c>
      <c r="AI374" s="1084"/>
      <c r="AJ374" s="1119"/>
      <c r="AK374" s="1119"/>
      <c r="AL374" s="1119"/>
      <c r="AM374" s="1119"/>
      <c r="AN374" s="1203"/>
      <c r="AO374" s="1204"/>
      <c r="AP374" s="1204"/>
      <c r="AQ374" s="1204"/>
    </row>
    <row r="375" spans="1:43" ht="47.25">
      <c r="A375" s="1076"/>
      <c r="B375" s="1171"/>
      <c r="C375" s="1076"/>
      <c r="D375" s="1076"/>
      <c r="E375" s="1252"/>
      <c r="F375" s="1252"/>
      <c r="G375" s="1076"/>
      <c r="H375" s="1076"/>
      <c r="I375" s="1076"/>
      <c r="J375" s="1076" t="s">
        <v>171</v>
      </c>
      <c r="K375" s="1076"/>
      <c r="L375" s="1076"/>
      <c r="M375" s="1251">
        <v>174</v>
      </c>
      <c r="N375" s="1123" t="s">
        <v>7</v>
      </c>
      <c r="O375" s="1119">
        <v>24452684</v>
      </c>
      <c r="P375" s="1119">
        <v>24452684</v>
      </c>
      <c r="Q375" s="1119"/>
      <c r="R375" s="1171">
        <v>40745</v>
      </c>
      <c r="S375" s="1196">
        <f>T375</f>
        <v>24452684</v>
      </c>
      <c r="T375" s="1119">
        <v>24452684</v>
      </c>
      <c r="U375" s="1119">
        <f>O375-T375</f>
        <v>0</v>
      </c>
      <c r="V375" s="1119">
        <v>24452684</v>
      </c>
      <c r="W375" s="1119"/>
      <c r="X375" s="1076"/>
      <c r="Y375" s="372" t="s">
        <v>643</v>
      </c>
      <c r="Z375" s="386">
        <v>22007416</v>
      </c>
      <c r="AA375" s="386">
        <v>0</v>
      </c>
      <c r="AB375" s="386">
        <f t="shared" si="26"/>
        <v>22007416</v>
      </c>
      <c r="AC375" s="384">
        <v>41079</v>
      </c>
      <c r="AD375" s="395">
        <v>22007416</v>
      </c>
      <c r="AE375" s="395" t="s">
        <v>7</v>
      </c>
      <c r="AF375" s="1084">
        <f>AD375+AD376</f>
        <v>24452684</v>
      </c>
      <c r="AG375" s="1084"/>
      <c r="AH375" s="358">
        <f t="shared" si="27"/>
        <v>0</v>
      </c>
      <c r="AI375" s="1084">
        <f>O375-AD375-AD376</f>
        <v>0</v>
      </c>
      <c r="AJ375" s="1119">
        <f>SUM(Z375:Z376)-SUM(AD375:AD376)</f>
        <v>0</v>
      </c>
      <c r="AK375" s="1119">
        <f>P375-V375</f>
        <v>0</v>
      </c>
      <c r="AL375" s="1119">
        <f>V375-Z375-Z376</f>
        <v>0</v>
      </c>
      <c r="AM375" s="1119">
        <f>AK375+AL375</f>
        <v>0</v>
      </c>
      <c r="AN375" s="1203"/>
      <c r="AO375" s="1204"/>
      <c r="AP375" s="1204"/>
      <c r="AQ375" s="1204"/>
    </row>
    <row r="376" spans="1:43" ht="63">
      <c r="A376" s="1076"/>
      <c r="B376" s="1171"/>
      <c r="C376" s="1076"/>
      <c r="D376" s="1076"/>
      <c r="E376" s="1252"/>
      <c r="F376" s="1252"/>
      <c r="G376" s="1076"/>
      <c r="H376" s="1076"/>
      <c r="I376" s="1076"/>
      <c r="J376" s="1076"/>
      <c r="K376" s="1076"/>
      <c r="L376" s="1076"/>
      <c r="M376" s="1251"/>
      <c r="N376" s="1123"/>
      <c r="O376" s="1119"/>
      <c r="P376" s="1119"/>
      <c r="Q376" s="1119"/>
      <c r="R376" s="1171"/>
      <c r="S376" s="1196"/>
      <c r="T376" s="1119"/>
      <c r="U376" s="1119"/>
      <c r="V376" s="1119"/>
      <c r="W376" s="1119"/>
      <c r="X376" s="1076"/>
      <c r="Y376" s="372" t="s">
        <v>649</v>
      </c>
      <c r="Z376" s="386">
        <v>2445268</v>
      </c>
      <c r="AA376" s="386">
        <v>0</v>
      </c>
      <c r="AB376" s="386">
        <f t="shared" si="26"/>
        <v>2445268</v>
      </c>
      <c r="AC376" s="384">
        <v>41974</v>
      </c>
      <c r="AD376" s="395">
        <v>2445268</v>
      </c>
      <c r="AE376" s="395" t="s">
        <v>7</v>
      </c>
      <c r="AF376" s="1084"/>
      <c r="AG376" s="1084"/>
      <c r="AH376" s="358">
        <f t="shared" si="27"/>
        <v>0</v>
      </c>
      <c r="AI376" s="1084"/>
      <c r="AJ376" s="1119"/>
      <c r="AK376" s="1119"/>
      <c r="AL376" s="1119"/>
      <c r="AM376" s="1119"/>
      <c r="AN376" s="1203"/>
      <c r="AO376" s="1204"/>
      <c r="AP376" s="1204"/>
      <c r="AQ376" s="1204"/>
    </row>
    <row r="377" spans="1:43" s="26" customFormat="1" ht="30.75" customHeight="1">
      <c r="A377" s="1260" t="s">
        <v>653</v>
      </c>
      <c r="B377" s="1171">
        <v>40372</v>
      </c>
      <c r="C377" s="1260" t="s">
        <v>18</v>
      </c>
      <c r="D377" s="1260" t="s">
        <v>655</v>
      </c>
      <c r="E377" s="1252">
        <v>900368911</v>
      </c>
      <c r="F377" s="1252">
        <v>1</v>
      </c>
      <c r="G377" s="1260" t="s">
        <v>656</v>
      </c>
      <c r="H377" s="1260" t="s">
        <v>72</v>
      </c>
      <c r="I377" s="1260" t="s">
        <v>177</v>
      </c>
      <c r="J377" s="1260" t="s">
        <v>66</v>
      </c>
      <c r="K377" s="1260" t="s">
        <v>49</v>
      </c>
      <c r="L377" s="1260" t="s">
        <v>657</v>
      </c>
      <c r="M377" s="1251">
        <v>92</v>
      </c>
      <c r="N377" s="1123" t="s">
        <v>137</v>
      </c>
      <c r="O377" s="1119">
        <v>29232000</v>
      </c>
      <c r="P377" s="1119">
        <v>73080000</v>
      </c>
      <c r="Q377" s="1119">
        <f>P377</f>
        <v>73080000</v>
      </c>
      <c r="R377" s="1171">
        <v>40413</v>
      </c>
      <c r="S377" s="1119">
        <f>T377+T379</f>
        <v>73080000</v>
      </c>
      <c r="T377" s="1119">
        <v>29232000</v>
      </c>
      <c r="U377" s="1119">
        <f>O377-T377</f>
        <v>0</v>
      </c>
      <c r="V377" s="1119">
        <v>29232000</v>
      </c>
      <c r="W377" s="1119">
        <v>73080000</v>
      </c>
      <c r="X377" s="1203" t="s">
        <v>467</v>
      </c>
      <c r="Y377" s="1123" t="s">
        <v>658</v>
      </c>
      <c r="Z377" s="386">
        <v>0</v>
      </c>
      <c r="AA377" s="386">
        <v>11692800</v>
      </c>
      <c r="AB377" s="386">
        <f t="shared" si="26"/>
        <v>11692800</v>
      </c>
      <c r="AC377" s="1171">
        <v>40466</v>
      </c>
      <c r="AD377" s="423">
        <v>11692800</v>
      </c>
      <c r="AE377" s="386" t="s">
        <v>137</v>
      </c>
      <c r="AF377" s="1119">
        <f>SUM(AD377:AD380)</f>
        <v>68695200</v>
      </c>
      <c r="AG377" s="1119">
        <f>AF377</f>
        <v>68695200</v>
      </c>
      <c r="AH377" s="386">
        <f t="shared" si="27"/>
        <v>0</v>
      </c>
      <c r="AI377" s="1119">
        <f>O377-AD377-AD379</f>
        <v>1753920</v>
      </c>
      <c r="AJ377" s="1119">
        <f>SUM(Z377:Z380)-SUM(AD377:AD380)</f>
        <v>-2923200</v>
      </c>
      <c r="AK377" s="1119">
        <f>P377-W377</f>
        <v>0</v>
      </c>
      <c r="AL377" s="1119">
        <f>SUM(V377:V380)-SUM(Z377:Z380)+AJ377</f>
        <v>4384800</v>
      </c>
      <c r="AM377" s="1119"/>
      <c r="AN377" s="1260" t="s">
        <v>660</v>
      </c>
      <c r="AO377" s="1260" t="s">
        <v>776</v>
      </c>
      <c r="AP377" s="1438" t="s">
        <v>195</v>
      </c>
      <c r="AQ377" s="1438" t="s">
        <v>558</v>
      </c>
    </row>
    <row r="378" spans="1:43" s="26" customFormat="1" ht="18.75" customHeight="1">
      <c r="A378" s="1260"/>
      <c r="B378" s="1171"/>
      <c r="C378" s="1260"/>
      <c r="D378" s="1260"/>
      <c r="E378" s="1252"/>
      <c r="F378" s="1252"/>
      <c r="G378" s="1260"/>
      <c r="H378" s="1260"/>
      <c r="I378" s="1260"/>
      <c r="J378" s="1260"/>
      <c r="K378" s="1260"/>
      <c r="L378" s="1260"/>
      <c r="M378" s="1251"/>
      <c r="N378" s="1123"/>
      <c r="O378" s="1119"/>
      <c r="P378" s="1119"/>
      <c r="Q378" s="1119"/>
      <c r="R378" s="1171"/>
      <c r="S378" s="1119"/>
      <c r="T378" s="1119"/>
      <c r="U378" s="1119"/>
      <c r="V378" s="1119"/>
      <c r="W378" s="1119"/>
      <c r="X378" s="1203"/>
      <c r="Y378" s="1123"/>
      <c r="Z378" s="386">
        <v>0</v>
      </c>
      <c r="AA378" s="386">
        <v>17539200</v>
      </c>
      <c r="AB378" s="386">
        <f t="shared" si="26"/>
        <v>17539200</v>
      </c>
      <c r="AC378" s="1171"/>
      <c r="AD378" s="423">
        <v>17539200</v>
      </c>
      <c r="AE378" s="386" t="s">
        <v>7</v>
      </c>
      <c r="AF378" s="1119"/>
      <c r="AG378" s="1119"/>
      <c r="AH378" s="386">
        <f t="shared" si="27"/>
        <v>0</v>
      </c>
      <c r="AI378" s="1119"/>
      <c r="AJ378" s="1119"/>
      <c r="AK378" s="1119"/>
      <c r="AL378" s="1119"/>
      <c r="AM378" s="1119"/>
      <c r="AN378" s="1260"/>
      <c r="AO378" s="1260"/>
      <c r="AP378" s="1438"/>
      <c r="AQ378" s="1438"/>
    </row>
    <row r="379" spans="1:43" s="26" customFormat="1" ht="24" customHeight="1">
      <c r="A379" s="1260"/>
      <c r="B379" s="1171"/>
      <c r="C379" s="1260"/>
      <c r="D379" s="1260"/>
      <c r="E379" s="1252"/>
      <c r="F379" s="1252"/>
      <c r="G379" s="1260"/>
      <c r="H379" s="1260"/>
      <c r="I379" s="1260"/>
      <c r="J379" s="1260"/>
      <c r="K379" s="1260"/>
      <c r="L379" s="1260"/>
      <c r="M379" s="1251"/>
      <c r="N379" s="1123" t="s">
        <v>7</v>
      </c>
      <c r="O379" s="1119">
        <v>43848000</v>
      </c>
      <c r="P379" s="1119"/>
      <c r="Q379" s="1119"/>
      <c r="R379" s="1171"/>
      <c r="S379" s="1119"/>
      <c r="T379" s="1119">
        <v>43848000</v>
      </c>
      <c r="U379" s="1119">
        <f>O379-T379</f>
        <v>0</v>
      </c>
      <c r="V379" s="1119">
        <v>43848000</v>
      </c>
      <c r="W379" s="1119"/>
      <c r="X379" s="1203"/>
      <c r="Y379" s="1123" t="s">
        <v>659</v>
      </c>
      <c r="Z379" s="386">
        <v>26308800</v>
      </c>
      <c r="AA379" s="386">
        <v>-10523520</v>
      </c>
      <c r="AB379" s="386">
        <f t="shared" si="26"/>
        <v>15785280</v>
      </c>
      <c r="AC379" s="1171">
        <v>41297</v>
      </c>
      <c r="AD379" s="423">
        <v>15785280</v>
      </c>
      <c r="AE379" s="386" t="s">
        <v>137</v>
      </c>
      <c r="AF379" s="1119"/>
      <c r="AG379" s="1119"/>
      <c r="AH379" s="386">
        <f t="shared" si="27"/>
        <v>0</v>
      </c>
      <c r="AI379" s="1119">
        <f>O379-AD378-AD380</f>
        <v>2630880</v>
      </c>
      <c r="AJ379" s="1119"/>
      <c r="AK379" s="1119"/>
      <c r="AL379" s="1119"/>
      <c r="AM379" s="1119"/>
      <c r="AN379" s="1260"/>
      <c r="AO379" s="1260"/>
      <c r="AP379" s="1438"/>
      <c r="AQ379" s="1438"/>
    </row>
    <row r="380" spans="1:43" s="26" customFormat="1" ht="27.75" customHeight="1">
      <c r="A380" s="1260"/>
      <c r="B380" s="1171"/>
      <c r="C380" s="1260"/>
      <c r="D380" s="1260"/>
      <c r="E380" s="1252"/>
      <c r="F380" s="1252"/>
      <c r="G380" s="1260"/>
      <c r="H380" s="1260"/>
      <c r="I380" s="1260"/>
      <c r="J380" s="1260"/>
      <c r="K380" s="1260"/>
      <c r="L380" s="1260"/>
      <c r="M380" s="1251"/>
      <c r="N380" s="1123"/>
      <c r="O380" s="1119"/>
      <c r="P380" s="1119"/>
      <c r="Q380" s="1119"/>
      <c r="R380" s="1171"/>
      <c r="S380" s="1119"/>
      <c r="T380" s="1119"/>
      <c r="U380" s="1119"/>
      <c r="V380" s="1119"/>
      <c r="W380" s="1119"/>
      <c r="X380" s="1203"/>
      <c r="Y380" s="1123"/>
      <c r="Z380" s="386">
        <v>39463200</v>
      </c>
      <c r="AA380" s="386">
        <v>-15785280</v>
      </c>
      <c r="AB380" s="386">
        <f t="shared" si="26"/>
        <v>23677920</v>
      </c>
      <c r="AC380" s="1171"/>
      <c r="AD380" s="423">
        <v>23677920</v>
      </c>
      <c r="AE380" s="386" t="s">
        <v>7</v>
      </c>
      <c r="AF380" s="1119"/>
      <c r="AG380" s="1119"/>
      <c r="AH380" s="386">
        <f t="shared" si="27"/>
        <v>0</v>
      </c>
      <c r="AI380" s="1119"/>
      <c r="AJ380" s="1119"/>
      <c r="AK380" s="1119"/>
      <c r="AL380" s="1119"/>
      <c r="AM380" s="1119"/>
      <c r="AN380" s="1260"/>
      <c r="AO380" s="1260"/>
      <c r="AP380" s="1438"/>
      <c r="AQ380" s="1438"/>
    </row>
    <row r="381" spans="1:43" s="26" customFormat="1" ht="26.25" customHeight="1">
      <c r="A381" s="1260" t="s">
        <v>654</v>
      </c>
      <c r="B381" s="1171">
        <v>40378</v>
      </c>
      <c r="C381" s="1260" t="s">
        <v>18</v>
      </c>
      <c r="D381" s="1260" t="s">
        <v>661</v>
      </c>
      <c r="E381" s="1252">
        <v>900368219</v>
      </c>
      <c r="F381" s="1252">
        <v>0</v>
      </c>
      <c r="G381" s="1260" t="s">
        <v>662</v>
      </c>
      <c r="H381" s="1260" t="s">
        <v>72</v>
      </c>
      <c r="I381" s="1260" t="s">
        <v>177</v>
      </c>
      <c r="J381" s="1260" t="s">
        <v>66</v>
      </c>
      <c r="K381" s="1260" t="s">
        <v>217</v>
      </c>
      <c r="L381" s="1260" t="s">
        <v>663</v>
      </c>
      <c r="M381" s="1251">
        <v>93</v>
      </c>
      <c r="N381" s="372" t="s">
        <v>137</v>
      </c>
      <c r="O381" s="386">
        <v>17400000</v>
      </c>
      <c r="P381" s="1119">
        <f>O381+O382</f>
        <v>43500000</v>
      </c>
      <c r="Q381" s="1276">
        <f>P381+P384</f>
        <v>52256550</v>
      </c>
      <c r="R381" s="1171">
        <v>40413</v>
      </c>
      <c r="S381" s="1119">
        <f>T381+T382</f>
        <v>43500000</v>
      </c>
      <c r="T381" s="386">
        <v>17400000</v>
      </c>
      <c r="U381" s="386">
        <f>O381-T381</f>
        <v>0</v>
      </c>
      <c r="V381" s="386">
        <v>17386590.400000002</v>
      </c>
      <c r="W381" s="1284">
        <f>V381+V382+V384</f>
        <v>52223026</v>
      </c>
      <c r="X381" s="1203" t="s">
        <v>467</v>
      </c>
      <c r="Y381" s="1123" t="s">
        <v>664</v>
      </c>
      <c r="Z381" s="386">
        <v>15647931</v>
      </c>
      <c r="AA381" s="386">
        <v>0</v>
      </c>
      <c r="AB381" s="386">
        <f t="shared" si="26"/>
        <v>15647931</v>
      </c>
      <c r="AC381" s="1171">
        <v>41017</v>
      </c>
      <c r="AD381" s="423">
        <v>15647931</v>
      </c>
      <c r="AE381" s="386" t="s">
        <v>7</v>
      </c>
      <c r="AF381" s="1119">
        <f>SUM(AD381:AD383)</f>
        <v>39119828</v>
      </c>
      <c r="AG381" s="1119">
        <f>AF381+AF384</f>
        <v>47000723</v>
      </c>
      <c r="AH381" s="386">
        <f>Z381-AD381</f>
        <v>0</v>
      </c>
      <c r="AI381" s="386">
        <f>O381-AD382</f>
        <v>-6071897</v>
      </c>
      <c r="AJ381" s="1119">
        <f>SUM(Z381:Z383)-SUM(AD381:AD383)</f>
        <v>4346648</v>
      </c>
      <c r="AK381" s="386">
        <f>O381-V381</f>
        <v>13409.599999997765</v>
      </c>
      <c r="AL381" s="1119">
        <f>SUM(V381:V383)-SUM(Z381:Z383)</f>
        <v>0</v>
      </c>
      <c r="AM381" s="1119">
        <f>AK381+AK382+AL381</f>
        <v>33524</v>
      </c>
      <c r="AN381" s="1203" t="s">
        <v>512</v>
      </c>
      <c r="AO381" s="1203" t="s">
        <v>666</v>
      </c>
      <c r="AP381" s="1438" t="s">
        <v>195</v>
      </c>
      <c r="AQ381" s="1438" t="s">
        <v>558</v>
      </c>
    </row>
    <row r="382" spans="1:43" s="26" customFormat="1" ht="36" customHeight="1">
      <c r="A382" s="1260"/>
      <c r="B382" s="1171"/>
      <c r="C382" s="1260"/>
      <c r="D382" s="1260"/>
      <c r="E382" s="1252"/>
      <c r="F382" s="1252"/>
      <c r="G382" s="1260"/>
      <c r="H382" s="1260"/>
      <c r="I382" s="1260"/>
      <c r="J382" s="1260"/>
      <c r="K382" s="1260"/>
      <c r="L382" s="1260"/>
      <c r="M382" s="1251"/>
      <c r="N382" s="1123" t="s">
        <v>7</v>
      </c>
      <c r="O382" s="1119">
        <v>26100000</v>
      </c>
      <c r="P382" s="1119"/>
      <c r="Q382" s="1276"/>
      <c r="R382" s="1171"/>
      <c r="S382" s="1119"/>
      <c r="T382" s="1119">
        <v>26100000</v>
      </c>
      <c r="U382" s="1119">
        <f>O382-T382</f>
        <v>0</v>
      </c>
      <c r="V382" s="1119">
        <v>26079885.599999998</v>
      </c>
      <c r="W382" s="1284"/>
      <c r="X382" s="1203"/>
      <c r="Y382" s="1123"/>
      <c r="Z382" s="386">
        <v>23471897</v>
      </c>
      <c r="AA382" s="386">
        <v>0</v>
      </c>
      <c r="AB382" s="386">
        <f t="shared" si="26"/>
        <v>23471897</v>
      </c>
      <c r="AC382" s="1171"/>
      <c r="AD382" s="423">
        <v>23471897</v>
      </c>
      <c r="AE382" s="386" t="s">
        <v>137</v>
      </c>
      <c r="AF382" s="1119"/>
      <c r="AG382" s="1119"/>
      <c r="AH382" s="386">
        <f>Z382-AD382</f>
        <v>0</v>
      </c>
      <c r="AI382" s="1119">
        <f>O382-AD381-AD383</f>
        <v>10452069</v>
      </c>
      <c r="AJ382" s="1119"/>
      <c r="AK382" s="1119">
        <f>O382-V382</f>
        <v>20114.400000002235</v>
      </c>
      <c r="AL382" s="1119"/>
      <c r="AM382" s="1119"/>
      <c r="AN382" s="1203"/>
      <c r="AO382" s="1203"/>
      <c r="AP382" s="1438"/>
      <c r="AQ382" s="1438"/>
    </row>
    <row r="383" spans="1:43" s="26" customFormat="1" ht="36" customHeight="1">
      <c r="A383" s="1260"/>
      <c r="B383" s="1171"/>
      <c r="C383" s="1260"/>
      <c r="D383" s="1260"/>
      <c r="E383" s="1252"/>
      <c r="F383" s="1252"/>
      <c r="G383" s="1260"/>
      <c r="H383" s="1260"/>
      <c r="I383" s="1260"/>
      <c r="J383" s="1260"/>
      <c r="K383" s="1260"/>
      <c r="L383" s="1260"/>
      <c r="M383" s="1251"/>
      <c r="N383" s="1123"/>
      <c r="O383" s="1119"/>
      <c r="P383" s="1119"/>
      <c r="Q383" s="1276"/>
      <c r="R383" s="1171"/>
      <c r="S383" s="1119"/>
      <c r="T383" s="1119"/>
      <c r="U383" s="1119"/>
      <c r="V383" s="1119"/>
      <c r="W383" s="1284"/>
      <c r="X383" s="1203"/>
      <c r="Y383" s="372" t="s">
        <v>767</v>
      </c>
      <c r="Z383" s="386">
        <v>4346648</v>
      </c>
      <c r="AA383" s="386">
        <v>0</v>
      </c>
      <c r="AB383" s="386">
        <f t="shared" si="26"/>
        <v>4346648</v>
      </c>
      <c r="AC383" s="384"/>
      <c r="AD383" s="423">
        <v>0</v>
      </c>
      <c r="AE383" s="386" t="s">
        <v>7</v>
      </c>
      <c r="AF383" s="1119"/>
      <c r="AG383" s="1119"/>
      <c r="AH383" s="386">
        <f>Z383-AD383</f>
        <v>4346648</v>
      </c>
      <c r="AI383" s="1119"/>
      <c r="AJ383" s="1119"/>
      <c r="AK383" s="1119"/>
      <c r="AL383" s="1119"/>
      <c r="AM383" s="1119"/>
      <c r="AN383" s="1203"/>
      <c r="AO383" s="1203"/>
      <c r="AP383" s="1438"/>
      <c r="AQ383" s="1438"/>
    </row>
    <row r="384" spans="1:43" s="26" customFormat="1" ht="78.75">
      <c r="A384" s="1260"/>
      <c r="B384" s="1171"/>
      <c r="C384" s="1260"/>
      <c r="D384" s="1260"/>
      <c r="E384" s="1252"/>
      <c r="F384" s="1252"/>
      <c r="G384" s="1260"/>
      <c r="H384" s="1260"/>
      <c r="I384" s="1260"/>
      <c r="J384" s="1260" t="s">
        <v>67</v>
      </c>
      <c r="K384" s="1260"/>
      <c r="L384" s="1260"/>
      <c r="M384" s="1268">
        <v>174</v>
      </c>
      <c r="N384" s="1123" t="s">
        <v>7</v>
      </c>
      <c r="O384" s="1119">
        <v>8756550</v>
      </c>
      <c r="P384" s="1119">
        <f>O384</f>
        <v>8756550</v>
      </c>
      <c r="Q384" s="1276"/>
      <c r="R384" s="1171"/>
      <c r="S384" s="1119">
        <f>T384</f>
        <v>8756550</v>
      </c>
      <c r="T384" s="1119">
        <v>8756550</v>
      </c>
      <c r="U384" s="1119">
        <f>O384-T384</f>
        <v>0</v>
      </c>
      <c r="V384" s="1119">
        <v>8756550</v>
      </c>
      <c r="W384" s="1284"/>
      <c r="X384" s="1203"/>
      <c r="Y384" s="372" t="s">
        <v>665</v>
      </c>
      <c r="Z384" s="386">
        <v>7880895</v>
      </c>
      <c r="AA384" s="386">
        <v>0</v>
      </c>
      <c r="AB384" s="386">
        <f t="shared" si="26"/>
        <v>7880895</v>
      </c>
      <c r="AC384" s="384">
        <v>41017</v>
      </c>
      <c r="AD384" s="423">
        <v>7880895</v>
      </c>
      <c r="AE384" s="386" t="s">
        <v>7</v>
      </c>
      <c r="AF384" s="1119">
        <f>SUM(AD384:AD385)</f>
        <v>7880895</v>
      </c>
      <c r="AG384" s="1119"/>
      <c r="AH384" s="386">
        <f>Z384-AD384</f>
        <v>0</v>
      </c>
      <c r="AI384" s="1119">
        <f>O384-AD384-AD385</f>
        <v>875655</v>
      </c>
      <c r="AJ384" s="1119">
        <f>SUM(Z384:Z385)-SUM(AD384:AD385)</f>
        <v>875655</v>
      </c>
      <c r="AK384" s="1119">
        <f>P384-V384</f>
        <v>0</v>
      </c>
      <c r="AL384" s="1119">
        <f>V384-SUM(Z384:Z385)</f>
        <v>0</v>
      </c>
      <c r="AM384" s="1119">
        <f>AK384+AL384</f>
        <v>0</v>
      </c>
      <c r="AN384" s="1203"/>
      <c r="AO384" s="1203"/>
      <c r="AP384" s="1438"/>
      <c r="AQ384" s="1438"/>
    </row>
    <row r="385" spans="1:43" s="26" customFormat="1">
      <c r="A385" s="1260"/>
      <c r="B385" s="1171"/>
      <c r="C385" s="1260"/>
      <c r="D385" s="1260"/>
      <c r="E385" s="1252"/>
      <c r="F385" s="1252"/>
      <c r="G385" s="1260"/>
      <c r="H385" s="1260"/>
      <c r="I385" s="1260"/>
      <c r="J385" s="1260"/>
      <c r="K385" s="1260"/>
      <c r="L385" s="1260"/>
      <c r="M385" s="1268"/>
      <c r="N385" s="1123"/>
      <c r="O385" s="1119"/>
      <c r="P385" s="1119"/>
      <c r="Q385" s="1276"/>
      <c r="R385" s="1171"/>
      <c r="S385" s="1119"/>
      <c r="T385" s="1119"/>
      <c r="U385" s="1119"/>
      <c r="V385" s="1119"/>
      <c r="W385" s="1284"/>
      <c r="X385" s="1203"/>
      <c r="Y385" s="372" t="s">
        <v>767</v>
      </c>
      <c r="Z385" s="386">
        <v>875655</v>
      </c>
      <c r="AA385" s="386">
        <v>0</v>
      </c>
      <c r="AB385" s="386">
        <f t="shared" si="26"/>
        <v>875655</v>
      </c>
      <c r="AC385" s="384"/>
      <c r="AD385" s="423">
        <v>0</v>
      </c>
      <c r="AE385" s="386" t="s">
        <v>7</v>
      </c>
      <c r="AF385" s="1119"/>
      <c r="AG385" s="1119"/>
      <c r="AH385" s="386">
        <f>Z385-AD385</f>
        <v>875655</v>
      </c>
      <c r="AI385" s="1119"/>
      <c r="AJ385" s="1119"/>
      <c r="AK385" s="1119"/>
      <c r="AL385" s="1119"/>
      <c r="AM385" s="1119"/>
      <c r="AN385" s="1203"/>
      <c r="AO385" s="1203"/>
      <c r="AP385" s="1438"/>
      <c r="AQ385" s="1438"/>
    </row>
    <row r="386" spans="1:43" s="26" customFormat="1" ht="25.5" customHeight="1">
      <c r="A386" s="1260" t="s">
        <v>652</v>
      </c>
      <c r="B386" s="1171">
        <v>42942</v>
      </c>
      <c r="C386" s="1260" t="s">
        <v>34</v>
      </c>
      <c r="D386" s="1260" t="s">
        <v>667</v>
      </c>
      <c r="E386" s="1252">
        <v>900369520</v>
      </c>
      <c r="F386" s="1252">
        <v>8</v>
      </c>
      <c r="G386" s="1260" t="s">
        <v>668</v>
      </c>
      <c r="H386" s="1260" t="s">
        <v>72</v>
      </c>
      <c r="I386" s="1260" t="s">
        <v>177</v>
      </c>
      <c r="J386" s="1260" t="s">
        <v>66</v>
      </c>
      <c r="K386" s="1260" t="s">
        <v>183</v>
      </c>
      <c r="L386" s="1260" t="s">
        <v>651</v>
      </c>
      <c r="M386" s="1251">
        <v>94</v>
      </c>
      <c r="N386" s="1123" t="s">
        <v>137</v>
      </c>
      <c r="O386" s="1119">
        <v>22968000</v>
      </c>
      <c r="P386" s="1119">
        <f>O386+O388</f>
        <v>57420000</v>
      </c>
      <c r="Q386" s="1119">
        <f>P386+P390</f>
        <v>77105200</v>
      </c>
      <c r="R386" s="1171">
        <v>40413</v>
      </c>
      <c r="S386" s="1119">
        <f>T386+T387</f>
        <v>22968000</v>
      </c>
      <c r="T386" s="1119">
        <v>22968000</v>
      </c>
      <c r="U386" s="1119">
        <f>O386-T386</f>
        <v>0</v>
      </c>
      <c r="V386" s="1119">
        <v>22968000</v>
      </c>
      <c r="W386" s="1119">
        <v>77105200</v>
      </c>
      <c r="X386" s="1203" t="s">
        <v>467</v>
      </c>
      <c r="Y386" s="1123" t="s">
        <v>669</v>
      </c>
      <c r="Z386" s="386">
        <v>0</v>
      </c>
      <c r="AA386" s="386">
        <v>9187200</v>
      </c>
      <c r="AB386" s="386">
        <f t="shared" si="26"/>
        <v>9187200</v>
      </c>
      <c r="AC386" s="1171">
        <v>40490</v>
      </c>
      <c r="AD386" s="423">
        <v>9187200</v>
      </c>
      <c r="AE386" s="386" t="s">
        <v>137</v>
      </c>
      <c r="AF386" s="1119">
        <f>SUM(AD386:AD389)</f>
        <v>22968000</v>
      </c>
      <c r="AG386" s="1119">
        <f>AF386+AF390</f>
        <v>22968000</v>
      </c>
      <c r="AH386" s="386">
        <f t="shared" ref="AH386:AH394" si="28">AB386-AD386</f>
        <v>0</v>
      </c>
      <c r="AI386" s="1119">
        <f>O386-AD386-AD388</f>
        <v>13780800</v>
      </c>
      <c r="AJ386" s="1119">
        <f>SUM(Z386:Z390)-SUM(AD386:AD390)</f>
        <v>54137200</v>
      </c>
      <c r="AK386" s="1119">
        <f>Q386-W386</f>
        <v>0</v>
      </c>
      <c r="AL386" s="1119">
        <f>P386-V386-V388</f>
        <v>0</v>
      </c>
      <c r="AM386" s="1119">
        <f>AK386+AL386</f>
        <v>0</v>
      </c>
      <c r="AN386" s="1203"/>
      <c r="AO386" s="1283" t="s">
        <v>2372</v>
      </c>
      <c r="AP386" s="1438" t="s">
        <v>195</v>
      </c>
      <c r="AQ386" s="1438" t="s">
        <v>558</v>
      </c>
    </row>
    <row r="387" spans="1:43" s="26" customFormat="1" ht="31.5" customHeight="1">
      <c r="A387" s="1260"/>
      <c r="B387" s="1171"/>
      <c r="C387" s="1260"/>
      <c r="D387" s="1260"/>
      <c r="E387" s="1252"/>
      <c r="F387" s="1252"/>
      <c r="G387" s="1260"/>
      <c r="H387" s="1260"/>
      <c r="I387" s="1260"/>
      <c r="J387" s="1260"/>
      <c r="K387" s="1260"/>
      <c r="L387" s="1260"/>
      <c r="M387" s="1251"/>
      <c r="N387" s="1123"/>
      <c r="O387" s="1119"/>
      <c r="P387" s="1119"/>
      <c r="Q387" s="1119"/>
      <c r="R387" s="1171"/>
      <c r="S387" s="1119"/>
      <c r="T387" s="1119"/>
      <c r="U387" s="1119"/>
      <c r="V387" s="1119"/>
      <c r="W387" s="1119"/>
      <c r="X387" s="1203"/>
      <c r="Y387" s="1123"/>
      <c r="Z387" s="386">
        <v>0</v>
      </c>
      <c r="AA387" s="386">
        <v>13780800</v>
      </c>
      <c r="AB387" s="386">
        <f t="shared" si="26"/>
        <v>13780800</v>
      </c>
      <c r="AC387" s="1171"/>
      <c r="AD387" s="423">
        <v>13780800</v>
      </c>
      <c r="AE387" s="386" t="s">
        <v>7</v>
      </c>
      <c r="AF387" s="1119"/>
      <c r="AG387" s="1119"/>
      <c r="AH387" s="386">
        <f t="shared" si="28"/>
        <v>0</v>
      </c>
      <c r="AI387" s="1119"/>
      <c r="AJ387" s="1119"/>
      <c r="AK387" s="1119"/>
      <c r="AL387" s="1119"/>
      <c r="AM387" s="1119"/>
      <c r="AN387" s="1203"/>
      <c r="AO387" s="1203"/>
      <c r="AP387" s="1438"/>
      <c r="AQ387" s="1438"/>
    </row>
    <row r="388" spans="1:43" s="26" customFormat="1" ht="31.5" customHeight="1">
      <c r="A388" s="1260"/>
      <c r="B388" s="1171"/>
      <c r="C388" s="1260"/>
      <c r="D388" s="1260"/>
      <c r="E388" s="1252"/>
      <c r="F388" s="1252"/>
      <c r="G388" s="1260"/>
      <c r="H388" s="1260"/>
      <c r="I388" s="1260"/>
      <c r="J388" s="1260"/>
      <c r="K388" s="1260"/>
      <c r="L388" s="1260"/>
      <c r="M388" s="1251"/>
      <c r="N388" s="1123" t="s">
        <v>7</v>
      </c>
      <c r="O388" s="1119">
        <v>34452000</v>
      </c>
      <c r="P388" s="1119"/>
      <c r="Q388" s="1119"/>
      <c r="R388" s="1171"/>
      <c r="S388" s="1119"/>
      <c r="T388" s="1119">
        <v>34452000</v>
      </c>
      <c r="U388" s="1119">
        <f>O388-T388</f>
        <v>0</v>
      </c>
      <c r="V388" s="1119">
        <v>34452000</v>
      </c>
      <c r="W388" s="1119"/>
      <c r="X388" s="1203"/>
      <c r="Y388" s="1123" t="s">
        <v>768</v>
      </c>
      <c r="Z388" s="386">
        <v>22968000</v>
      </c>
      <c r="AA388" s="386">
        <v>-9187200</v>
      </c>
      <c r="AB388" s="386">
        <f t="shared" si="26"/>
        <v>13780800</v>
      </c>
      <c r="AC388" s="384"/>
      <c r="AD388" s="423">
        <v>0</v>
      </c>
      <c r="AE388" s="386" t="s">
        <v>137</v>
      </c>
      <c r="AF388" s="1119"/>
      <c r="AG388" s="1119"/>
      <c r="AH388" s="386">
        <f t="shared" si="28"/>
        <v>13780800</v>
      </c>
      <c r="AI388" s="1119">
        <f>O388-AD387-AD389</f>
        <v>20671200</v>
      </c>
      <c r="AJ388" s="1119"/>
      <c r="AK388" s="1119"/>
      <c r="AL388" s="1119"/>
      <c r="AM388" s="1119"/>
      <c r="AN388" s="1203"/>
      <c r="AO388" s="1203"/>
      <c r="AP388" s="1438"/>
      <c r="AQ388" s="1438"/>
    </row>
    <row r="389" spans="1:43" s="26" customFormat="1" ht="31.5" customHeight="1">
      <c r="A389" s="1260"/>
      <c r="B389" s="1171"/>
      <c r="C389" s="1260"/>
      <c r="D389" s="1260"/>
      <c r="E389" s="1252"/>
      <c r="F389" s="1252"/>
      <c r="G389" s="1260"/>
      <c r="H389" s="1260"/>
      <c r="I389" s="1260"/>
      <c r="J389" s="1260"/>
      <c r="K389" s="1260"/>
      <c r="L389" s="1260"/>
      <c r="M389" s="1251"/>
      <c r="N389" s="1123"/>
      <c r="O389" s="1119"/>
      <c r="P389" s="1119"/>
      <c r="Q389" s="1119"/>
      <c r="R389" s="1171"/>
      <c r="S389" s="1119"/>
      <c r="T389" s="1119"/>
      <c r="U389" s="1119"/>
      <c r="V389" s="1119"/>
      <c r="W389" s="1119"/>
      <c r="X389" s="1203"/>
      <c r="Y389" s="1123"/>
      <c r="Z389" s="386">
        <v>34452000</v>
      </c>
      <c r="AA389" s="386">
        <v>-13780800</v>
      </c>
      <c r="AB389" s="386">
        <f t="shared" si="26"/>
        <v>20671200</v>
      </c>
      <c r="AC389" s="384"/>
      <c r="AD389" s="423">
        <v>0</v>
      </c>
      <c r="AE389" s="386" t="s">
        <v>7</v>
      </c>
      <c r="AF389" s="1119"/>
      <c r="AG389" s="1119"/>
      <c r="AH389" s="386">
        <f t="shared" si="28"/>
        <v>20671200</v>
      </c>
      <c r="AI389" s="1119"/>
      <c r="AJ389" s="1119"/>
      <c r="AK389" s="1119"/>
      <c r="AL389" s="1119"/>
      <c r="AM389" s="1119"/>
      <c r="AN389" s="1203"/>
      <c r="AO389" s="1203"/>
      <c r="AP389" s="1438"/>
      <c r="AQ389" s="1438"/>
    </row>
    <row r="390" spans="1:43" s="26" customFormat="1" ht="39.75" customHeight="1">
      <c r="A390" s="1260"/>
      <c r="B390" s="1171"/>
      <c r="C390" s="1260"/>
      <c r="D390" s="1260"/>
      <c r="E390" s="1252"/>
      <c r="F390" s="1252"/>
      <c r="G390" s="1260"/>
      <c r="H390" s="1260"/>
      <c r="I390" s="1260"/>
      <c r="J390" s="411" t="s">
        <v>171</v>
      </c>
      <c r="K390" s="1260"/>
      <c r="L390" s="1260"/>
      <c r="M390" s="408">
        <v>204</v>
      </c>
      <c r="N390" s="372" t="s">
        <v>7</v>
      </c>
      <c r="O390" s="386">
        <v>19685200</v>
      </c>
      <c r="P390" s="386">
        <f>O390</f>
        <v>19685200</v>
      </c>
      <c r="Q390" s="1119"/>
      <c r="R390" s="384">
        <v>40779</v>
      </c>
      <c r="S390" s="386">
        <v>19685200</v>
      </c>
      <c r="T390" s="386">
        <v>19685200</v>
      </c>
      <c r="U390" s="386">
        <f>O390-T390</f>
        <v>0</v>
      </c>
      <c r="V390" s="386">
        <v>19685200</v>
      </c>
      <c r="W390" s="1119"/>
      <c r="X390" s="1203"/>
      <c r="Y390" s="372" t="s">
        <v>768</v>
      </c>
      <c r="Z390" s="386">
        <v>19685200</v>
      </c>
      <c r="AA390" s="386">
        <v>0</v>
      </c>
      <c r="AB390" s="386">
        <f t="shared" si="26"/>
        <v>19685200</v>
      </c>
      <c r="AC390" s="384"/>
      <c r="AD390" s="423">
        <v>0</v>
      </c>
      <c r="AE390" s="386" t="s">
        <v>7</v>
      </c>
      <c r="AF390" s="386">
        <f>AD390</f>
        <v>0</v>
      </c>
      <c r="AG390" s="1119"/>
      <c r="AH390" s="386">
        <f t="shared" si="28"/>
        <v>19685200</v>
      </c>
      <c r="AI390" s="386">
        <f>O390-AD390</f>
        <v>19685200</v>
      </c>
      <c r="AJ390" s="1119"/>
      <c r="AK390" s="386">
        <f>P390-V390</f>
        <v>0</v>
      </c>
      <c r="AL390" s="386">
        <f>P390-V390</f>
        <v>0</v>
      </c>
      <c r="AM390" s="386">
        <f>AK390+AL390</f>
        <v>0</v>
      </c>
      <c r="AN390" s="1203"/>
      <c r="AO390" s="1203"/>
      <c r="AP390" s="1438"/>
      <c r="AQ390" s="1438"/>
    </row>
    <row r="391" spans="1:43" s="4" customFormat="1" ht="15.75" customHeight="1">
      <c r="A391" s="1076" t="s">
        <v>486</v>
      </c>
      <c r="B391" s="1171">
        <v>40372</v>
      </c>
      <c r="C391" s="1076" t="s">
        <v>34</v>
      </c>
      <c r="D391" s="1076" t="s">
        <v>487</v>
      </c>
      <c r="E391" s="1252">
        <v>800241383</v>
      </c>
      <c r="F391" s="1252">
        <v>1</v>
      </c>
      <c r="G391" s="1076" t="s">
        <v>488</v>
      </c>
      <c r="H391" s="1076" t="s">
        <v>72</v>
      </c>
      <c r="I391" s="1076" t="s">
        <v>177</v>
      </c>
      <c r="J391" s="1076" t="s">
        <v>489</v>
      </c>
      <c r="K391" s="1076" t="s">
        <v>49</v>
      </c>
      <c r="L391" s="1076" t="s">
        <v>493</v>
      </c>
      <c r="M391" s="1245">
        <v>95</v>
      </c>
      <c r="N391" s="1282" t="s">
        <v>137</v>
      </c>
      <c r="O391" s="1258">
        <v>14384000</v>
      </c>
      <c r="P391" s="1119">
        <f>O391+O393</f>
        <v>35960000</v>
      </c>
      <c r="Q391" s="1119">
        <f>P391</f>
        <v>35960000</v>
      </c>
      <c r="R391" s="1171">
        <v>40413</v>
      </c>
      <c r="S391" s="1196">
        <f>T391+T393</f>
        <v>35960000</v>
      </c>
      <c r="T391" s="1119">
        <v>14384000</v>
      </c>
      <c r="U391" s="1119">
        <f>O391-T391</f>
        <v>0</v>
      </c>
      <c r="V391" s="1119">
        <v>14379360</v>
      </c>
      <c r="W391" s="1119">
        <v>35948400</v>
      </c>
      <c r="X391" s="1076" t="s">
        <v>490</v>
      </c>
      <c r="Y391" s="1123" t="s">
        <v>491</v>
      </c>
      <c r="Z391" s="386">
        <v>0</v>
      </c>
      <c r="AA391" s="386">
        <v>5751744</v>
      </c>
      <c r="AB391" s="386">
        <f t="shared" si="26"/>
        <v>5751744</v>
      </c>
      <c r="AC391" s="1171">
        <v>40445</v>
      </c>
      <c r="AD391" s="395">
        <v>5751704</v>
      </c>
      <c r="AE391" s="395" t="s">
        <v>137</v>
      </c>
      <c r="AF391" s="1084">
        <f>SUM(AD391:AD394)</f>
        <v>29477588</v>
      </c>
      <c r="AG391" s="1084"/>
      <c r="AH391" s="358">
        <f t="shared" si="28"/>
        <v>40</v>
      </c>
      <c r="AI391" s="358"/>
      <c r="AJ391" s="1119">
        <f>SUM(Z391:Z394)-SUM(AD391:AD394)</f>
        <v>-4313708</v>
      </c>
      <c r="AK391" s="1119">
        <f>P391-SUM(V391:V394)</f>
        <v>11600</v>
      </c>
      <c r="AL391" s="1119">
        <f>SUM(V391:V394)-SUM(Z391:Z394)+AJ391</f>
        <v>6470812</v>
      </c>
      <c r="AM391" s="1119"/>
      <c r="AN391" s="1203" t="s">
        <v>437</v>
      </c>
      <c r="AO391" s="1204" t="s">
        <v>794</v>
      </c>
      <c r="AP391" s="1204" t="s">
        <v>194</v>
      </c>
      <c r="AQ391" s="1204" t="s">
        <v>368</v>
      </c>
    </row>
    <row r="392" spans="1:43" s="4" customFormat="1">
      <c r="A392" s="1076"/>
      <c r="B392" s="1171"/>
      <c r="C392" s="1076"/>
      <c r="D392" s="1076"/>
      <c r="E392" s="1252"/>
      <c r="F392" s="1252"/>
      <c r="G392" s="1076"/>
      <c r="H392" s="1076"/>
      <c r="I392" s="1076"/>
      <c r="J392" s="1076"/>
      <c r="K392" s="1076"/>
      <c r="L392" s="1076"/>
      <c r="M392" s="1245"/>
      <c r="N392" s="1282"/>
      <c r="O392" s="1258"/>
      <c r="P392" s="1119"/>
      <c r="Q392" s="1119"/>
      <c r="R392" s="1171"/>
      <c r="S392" s="1196"/>
      <c r="T392" s="1119"/>
      <c r="U392" s="1119"/>
      <c r="V392" s="1119"/>
      <c r="W392" s="1119"/>
      <c r="X392" s="1076"/>
      <c r="Y392" s="1123"/>
      <c r="Z392" s="386">
        <v>0</v>
      </c>
      <c r="AA392" s="386">
        <v>8627616</v>
      </c>
      <c r="AB392" s="386">
        <f t="shared" si="26"/>
        <v>8627616</v>
      </c>
      <c r="AC392" s="1171"/>
      <c r="AD392" s="395">
        <v>8627556</v>
      </c>
      <c r="AE392" s="395" t="s">
        <v>7</v>
      </c>
      <c r="AF392" s="1084"/>
      <c r="AG392" s="1084"/>
      <c r="AH392" s="358">
        <f t="shared" si="28"/>
        <v>60</v>
      </c>
      <c r="AI392" s="358"/>
      <c r="AJ392" s="1119"/>
      <c r="AK392" s="1119"/>
      <c r="AL392" s="1119"/>
      <c r="AM392" s="1119"/>
      <c r="AN392" s="1203"/>
      <c r="AO392" s="1204"/>
      <c r="AP392" s="1204"/>
      <c r="AQ392" s="1204"/>
    </row>
    <row r="393" spans="1:43" s="4" customFormat="1" ht="31.5">
      <c r="A393" s="1076"/>
      <c r="B393" s="1171"/>
      <c r="C393" s="1076"/>
      <c r="D393" s="1076"/>
      <c r="E393" s="1252"/>
      <c r="F393" s="1252"/>
      <c r="G393" s="1076"/>
      <c r="H393" s="1076"/>
      <c r="I393" s="1076"/>
      <c r="J393" s="1076"/>
      <c r="K393" s="1076"/>
      <c r="L393" s="1076"/>
      <c r="M393" s="1245"/>
      <c r="N393" s="1282" t="s">
        <v>7</v>
      </c>
      <c r="O393" s="1119">
        <v>21576000</v>
      </c>
      <c r="P393" s="1119"/>
      <c r="Q393" s="1119"/>
      <c r="R393" s="1171"/>
      <c r="S393" s="1196"/>
      <c r="T393" s="1119">
        <v>21576000</v>
      </c>
      <c r="U393" s="1119">
        <f>O393-T393</f>
        <v>0</v>
      </c>
      <c r="V393" s="1119">
        <v>21569040</v>
      </c>
      <c r="W393" s="1119"/>
      <c r="X393" s="1076"/>
      <c r="Y393" s="1123" t="s">
        <v>492</v>
      </c>
      <c r="Z393" s="386">
        <v>10065552</v>
      </c>
      <c r="AA393" s="386">
        <v>-4026220.8</v>
      </c>
      <c r="AB393" s="386">
        <f t="shared" si="26"/>
        <v>6039331.2000000002</v>
      </c>
      <c r="AC393" s="1171">
        <v>40548</v>
      </c>
      <c r="AD393" s="395">
        <v>6039331.2000000002</v>
      </c>
      <c r="AE393" s="395" t="s">
        <v>137</v>
      </c>
      <c r="AF393" s="1084"/>
      <c r="AG393" s="1084"/>
      <c r="AH393" s="358">
        <f t="shared" si="28"/>
        <v>0</v>
      </c>
      <c r="AI393" s="358"/>
      <c r="AJ393" s="1119"/>
      <c r="AK393" s="1119"/>
      <c r="AL393" s="1119"/>
      <c r="AM393" s="1119"/>
      <c r="AN393" s="1203"/>
      <c r="AO393" s="1204"/>
      <c r="AP393" s="1204"/>
      <c r="AQ393" s="1204"/>
    </row>
    <row r="394" spans="1:43" s="4" customFormat="1">
      <c r="A394" s="1076"/>
      <c r="B394" s="1171"/>
      <c r="C394" s="1076"/>
      <c r="D394" s="1076"/>
      <c r="E394" s="1252"/>
      <c r="F394" s="1252"/>
      <c r="G394" s="1076"/>
      <c r="H394" s="1076"/>
      <c r="I394" s="1076"/>
      <c r="J394" s="1076"/>
      <c r="K394" s="1076"/>
      <c r="L394" s="1076"/>
      <c r="M394" s="1245"/>
      <c r="N394" s="1282"/>
      <c r="O394" s="1119"/>
      <c r="P394" s="1119"/>
      <c r="Q394" s="1119"/>
      <c r="R394" s="1171"/>
      <c r="S394" s="1196"/>
      <c r="T394" s="1119"/>
      <c r="U394" s="1119"/>
      <c r="V394" s="1119"/>
      <c r="W394" s="1119"/>
      <c r="X394" s="1076"/>
      <c r="Y394" s="1123"/>
      <c r="Z394" s="386">
        <v>15098328</v>
      </c>
      <c r="AA394" s="386">
        <v>-6039331.2000000002</v>
      </c>
      <c r="AB394" s="386">
        <f t="shared" si="26"/>
        <v>9058996.8000000007</v>
      </c>
      <c r="AC394" s="1171"/>
      <c r="AD394" s="395">
        <v>9058996.8000000007</v>
      </c>
      <c r="AE394" s="395" t="s">
        <v>7</v>
      </c>
      <c r="AF394" s="1084"/>
      <c r="AG394" s="1084"/>
      <c r="AH394" s="358">
        <f t="shared" si="28"/>
        <v>0</v>
      </c>
      <c r="AI394" s="358"/>
      <c r="AJ394" s="1119"/>
      <c r="AK394" s="1119"/>
      <c r="AL394" s="1119"/>
      <c r="AM394" s="1119"/>
      <c r="AN394" s="1203"/>
      <c r="AO394" s="1204"/>
      <c r="AP394" s="1204"/>
      <c r="AQ394" s="1204"/>
    </row>
    <row r="395" spans="1:43" s="24" customFormat="1" ht="36.75" customHeight="1">
      <c r="A395" s="1076" t="s">
        <v>509</v>
      </c>
      <c r="B395" s="1171">
        <v>42929</v>
      </c>
      <c r="C395" s="1076" t="s">
        <v>34</v>
      </c>
      <c r="D395" s="1260" t="s">
        <v>447</v>
      </c>
      <c r="E395" s="1252">
        <v>830040053</v>
      </c>
      <c r="F395" s="1252">
        <v>2</v>
      </c>
      <c r="G395" s="1260" t="s">
        <v>510</v>
      </c>
      <c r="H395" s="1260" t="s">
        <v>72</v>
      </c>
      <c r="I395" s="1260" t="s">
        <v>177</v>
      </c>
      <c r="J395" s="1260" t="s">
        <v>66</v>
      </c>
      <c r="K395" s="1260" t="s">
        <v>49</v>
      </c>
      <c r="L395" s="1260" t="s">
        <v>511</v>
      </c>
      <c r="M395" s="1245">
        <v>96</v>
      </c>
      <c r="N395" s="417" t="s">
        <v>451</v>
      </c>
      <c r="O395" s="386">
        <v>13746000</v>
      </c>
      <c r="P395" s="1119">
        <f>SUM(O395:O396)</f>
        <v>34365000</v>
      </c>
      <c r="Q395" s="1119">
        <f>SUM(P395:P396)</f>
        <v>34365000</v>
      </c>
      <c r="R395" s="1171">
        <v>40413</v>
      </c>
      <c r="S395" s="1062">
        <f>T395+T396</f>
        <v>34365000</v>
      </c>
      <c r="T395" s="386">
        <v>13746000</v>
      </c>
      <c r="U395" s="386">
        <f>O395-T395</f>
        <v>0</v>
      </c>
      <c r="V395" s="386">
        <f>O395</f>
        <v>13746000</v>
      </c>
      <c r="W395" s="1119">
        <f>SUM(V395:V396)</f>
        <v>34365000</v>
      </c>
      <c r="X395" s="1203" t="s">
        <v>467</v>
      </c>
      <c r="Y395" s="1123" t="s">
        <v>479</v>
      </c>
      <c r="Z395" s="386">
        <v>0</v>
      </c>
      <c r="AA395" s="386">
        <v>5498400</v>
      </c>
      <c r="AB395" s="386">
        <f t="shared" si="26"/>
        <v>5498400</v>
      </c>
      <c r="AC395" s="1171">
        <v>40450</v>
      </c>
      <c r="AD395" s="423">
        <v>5498400</v>
      </c>
      <c r="AE395" s="58" t="s">
        <v>137</v>
      </c>
      <c r="AF395" s="1119">
        <f>SUM(AD395:AD396)</f>
        <v>13746000</v>
      </c>
      <c r="AG395" s="1119">
        <f>AF395</f>
        <v>13746000</v>
      </c>
      <c r="AH395" s="1119">
        <v>0</v>
      </c>
      <c r="AI395" s="1119">
        <v>0</v>
      </c>
      <c r="AJ395" s="1119">
        <f>-AG395</f>
        <v>-13746000</v>
      </c>
      <c r="AK395" s="1119">
        <v>0</v>
      </c>
      <c r="AL395" s="386">
        <f>V395-AD395</f>
        <v>8247600</v>
      </c>
      <c r="AM395" s="1119"/>
      <c r="AN395" s="1260" t="s">
        <v>512</v>
      </c>
      <c r="AO395" s="1260" t="s">
        <v>795</v>
      </c>
      <c r="AP395" s="1186" t="s">
        <v>195</v>
      </c>
      <c r="AQ395" s="1103" t="s">
        <v>368</v>
      </c>
    </row>
    <row r="396" spans="1:43" s="24" customFormat="1" ht="27.75" customHeight="1">
      <c r="A396" s="1076"/>
      <c r="B396" s="1171"/>
      <c r="C396" s="1076"/>
      <c r="D396" s="1260"/>
      <c r="E396" s="1252"/>
      <c r="F396" s="1252"/>
      <c r="G396" s="1260"/>
      <c r="H396" s="1260"/>
      <c r="I396" s="1260"/>
      <c r="J396" s="1260"/>
      <c r="K396" s="1260"/>
      <c r="L396" s="1260"/>
      <c r="M396" s="1245"/>
      <c r="N396" s="417" t="s">
        <v>7</v>
      </c>
      <c r="O396" s="386">
        <v>20619000</v>
      </c>
      <c r="P396" s="1119"/>
      <c r="Q396" s="1119"/>
      <c r="R396" s="1171"/>
      <c r="S396" s="1064"/>
      <c r="T396" s="386">
        <v>20619000</v>
      </c>
      <c r="U396" s="386">
        <f>O396-T396</f>
        <v>0</v>
      </c>
      <c r="V396" s="386">
        <f>O396</f>
        <v>20619000</v>
      </c>
      <c r="W396" s="1119"/>
      <c r="X396" s="1203"/>
      <c r="Y396" s="1123"/>
      <c r="Z396" s="386">
        <v>0</v>
      </c>
      <c r="AA396" s="386">
        <v>8247600</v>
      </c>
      <c r="AB396" s="386">
        <f t="shared" si="26"/>
        <v>8247600</v>
      </c>
      <c r="AC396" s="1171"/>
      <c r="AD396" s="423">
        <v>8247600</v>
      </c>
      <c r="AE396" s="58" t="s">
        <v>7</v>
      </c>
      <c r="AF396" s="1119"/>
      <c r="AG396" s="1119"/>
      <c r="AH396" s="1119"/>
      <c r="AI396" s="1119"/>
      <c r="AJ396" s="1119"/>
      <c r="AK396" s="1119"/>
      <c r="AL396" s="386">
        <f>V396-AD396</f>
        <v>12371400</v>
      </c>
      <c r="AM396" s="1119"/>
      <c r="AN396" s="1260"/>
      <c r="AO396" s="1260"/>
      <c r="AP396" s="1188"/>
      <c r="AQ396" s="1105"/>
    </row>
    <row r="397" spans="1:43" s="4" customFormat="1" ht="15.75" customHeight="1">
      <c r="A397" s="1076" t="s">
        <v>499</v>
      </c>
      <c r="B397" s="1171">
        <v>40380</v>
      </c>
      <c r="C397" s="1076" t="s">
        <v>25</v>
      </c>
      <c r="D397" s="1076" t="s">
        <v>500</v>
      </c>
      <c r="E397" s="1252">
        <v>900369283</v>
      </c>
      <c r="F397" s="1252"/>
      <c r="G397" s="1076" t="s">
        <v>501</v>
      </c>
      <c r="H397" s="1076" t="s">
        <v>72</v>
      </c>
      <c r="I397" s="1076" t="s">
        <v>177</v>
      </c>
      <c r="J397" s="1076" t="s">
        <v>66</v>
      </c>
      <c r="K397" s="1076" t="s">
        <v>183</v>
      </c>
      <c r="L397" s="1076" t="s">
        <v>505</v>
      </c>
      <c r="M397" s="1245">
        <v>97</v>
      </c>
      <c r="N397" s="1282" t="s">
        <v>137</v>
      </c>
      <c r="O397" s="1119">
        <v>13978000</v>
      </c>
      <c r="P397" s="1119">
        <f>O397+O399</f>
        <v>34945000</v>
      </c>
      <c r="Q397" s="1119">
        <f>P397+P401</f>
        <v>52345000</v>
      </c>
      <c r="R397" s="1171">
        <v>40413</v>
      </c>
      <c r="S397" s="1196">
        <f>T397+T399</f>
        <v>34945000</v>
      </c>
      <c r="T397" s="1119">
        <v>13978000</v>
      </c>
      <c r="U397" s="1119">
        <f>O397-T397</f>
        <v>0</v>
      </c>
      <c r="V397" s="1119">
        <v>13978000</v>
      </c>
      <c r="W397" s="1119">
        <f>V397+V399+V401</f>
        <v>52345000</v>
      </c>
      <c r="X397" s="1076" t="s">
        <v>467</v>
      </c>
      <c r="Y397" s="1123" t="s">
        <v>502</v>
      </c>
      <c r="Z397" s="386">
        <v>0</v>
      </c>
      <c r="AA397" s="386">
        <v>5591200</v>
      </c>
      <c r="AB397" s="386">
        <f t="shared" si="26"/>
        <v>5591200</v>
      </c>
      <c r="AC397" s="1171">
        <v>40466</v>
      </c>
      <c r="AD397" s="395">
        <v>5591200</v>
      </c>
      <c r="AE397" s="395" t="s">
        <v>137</v>
      </c>
      <c r="AF397" s="1084">
        <f>SUM(AD397:AD400)</f>
        <v>34945000</v>
      </c>
      <c r="AG397" s="1084">
        <f>AF397+AF401</f>
        <v>52345000</v>
      </c>
      <c r="AH397" s="358">
        <f t="shared" ref="AH397:AH411" si="29">AB397-AD397</f>
        <v>0</v>
      </c>
      <c r="AI397" s="1084">
        <f>O397-AD397-AD399</f>
        <v>0</v>
      </c>
      <c r="AJ397" s="1119">
        <f>SUM(Z397:Z400)-SUM(AD397:AD400)</f>
        <v>0</v>
      </c>
      <c r="AK397" s="1119">
        <f>P397-V397-V399</f>
        <v>0</v>
      </c>
      <c r="AL397" s="1119">
        <f>SUM(V397:V400)-SUM(Z397:Z400)</f>
        <v>0</v>
      </c>
      <c r="AM397" s="1119">
        <f>AK397+AL397</f>
        <v>0</v>
      </c>
      <c r="AN397" s="1203" t="s">
        <v>506</v>
      </c>
      <c r="AO397" s="1204" t="s">
        <v>796</v>
      </c>
      <c r="AP397" s="1204" t="s">
        <v>194</v>
      </c>
      <c r="AQ397" s="1204" t="s">
        <v>368</v>
      </c>
    </row>
    <row r="398" spans="1:43" s="4" customFormat="1">
      <c r="A398" s="1076"/>
      <c r="B398" s="1171"/>
      <c r="C398" s="1076"/>
      <c r="D398" s="1076"/>
      <c r="E398" s="1252"/>
      <c r="F398" s="1252"/>
      <c r="G398" s="1076"/>
      <c r="H398" s="1076"/>
      <c r="I398" s="1076"/>
      <c r="J398" s="1076"/>
      <c r="K398" s="1076"/>
      <c r="L398" s="1076"/>
      <c r="M398" s="1245"/>
      <c r="N398" s="1282"/>
      <c r="O398" s="1119"/>
      <c r="P398" s="1119"/>
      <c r="Q398" s="1119"/>
      <c r="R398" s="1171"/>
      <c r="S398" s="1196"/>
      <c r="T398" s="1119"/>
      <c r="U398" s="1119"/>
      <c r="V398" s="1119"/>
      <c r="W398" s="1119"/>
      <c r="X398" s="1076"/>
      <c r="Y398" s="1123"/>
      <c r="Z398" s="386">
        <v>0</v>
      </c>
      <c r="AA398" s="386">
        <v>8386800</v>
      </c>
      <c r="AB398" s="386">
        <f t="shared" si="26"/>
        <v>8386800</v>
      </c>
      <c r="AC398" s="1171"/>
      <c r="AD398" s="395">
        <v>8386800</v>
      </c>
      <c r="AE398" s="395" t="s">
        <v>7</v>
      </c>
      <c r="AF398" s="1084"/>
      <c r="AG398" s="1084"/>
      <c r="AH398" s="358">
        <f t="shared" si="29"/>
        <v>0</v>
      </c>
      <c r="AI398" s="1084"/>
      <c r="AJ398" s="1119"/>
      <c r="AK398" s="1119"/>
      <c r="AL398" s="1119"/>
      <c r="AM398" s="1119"/>
      <c r="AN398" s="1203"/>
      <c r="AO398" s="1204"/>
      <c r="AP398" s="1204"/>
      <c r="AQ398" s="1204"/>
    </row>
    <row r="399" spans="1:43" s="4" customFormat="1" ht="32.25" customHeight="1">
      <c r="A399" s="1076"/>
      <c r="B399" s="1171"/>
      <c r="C399" s="1076"/>
      <c r="D399" s="1076"/>
      <c r="E399" s="1252"/>
      <c r="F399" s="1252"/>
      <c r="G399" s="1076"/>
      <c r="H399" s="1076"/>
      <c r="I399" s="1076"/>
      <c r="J399" s="1076"/>
      <c r="K399" s="1076"/>
      <c r="L399" s="1076"/>
      <c r="M399" s="1245"/>
      <c r="N399" s="1282" t="s">
        <v>7</v>
      </c>
      <c r="O399" s="1119">
        <v>20967000</v>
      </c>
      <c r="P399" s="1119"/>
      <c r="Q399" s="1119"/>
      <c r="R399" s="1171"/>
      <c r="S399" s="1196"/>
      <c r="T399" s="1119">
        <v>20967000</v>
      </c>
      <c r="U399" s="1119">
        <f>O399-T399</f>
        <v>0</v>
      </c>
      <c r="V399" s="1119">
        <v>20967000</v>
      </c>
      <c r="W399" s="1119"/>
      <c r="X399" s="1076"/>
      <c r="Y399" s="1123" t="s">
        <v>503</v>
      </c>
      <c r="Z399" s="386">
        <v>13978000</v>
      </c>
      <c r="AA399" s="386">
        <v>-5591200</v>
      </c>
      <c r="AB399" s="386">
        <f t="shared" si="26"/>
        <v>8386800</v>
      </c>
      <c r="AC399" s="1171">
        <v>42467</v>
      </c>
      <c r="AD399" s="395">
        <v>8386800</v>
      </c>
      <c r="AE399" s="395" t="s">
        <v>137</v>
      </c>
      <c r="AF399" s="1084"/>
      <c r="AG399" s="1084"/>
      <c r="AH399" s="358">
        <f t="shared" si="29"/>
        <v>0</v>
      </c>
      <c r="AI399" s="1084">
        <f>O399-AD398-AD400</f>
        <v>0</v>
      </c>
      <c r="AJ399" s="1119"/>
      <c r="AK399" s="1119"/>
      <c r="AL399" s="1119"/>
      <c r="AM399" s="1119"/>
      <c r="AN399" s="1203"/>
      <c r="AO399" s="1204"/>
      <c r="AP399" s="1204"/>
      <c r="AQ399" s="1204"/>
    </row>
    <row r="400" spans="1:43" s="4" customFormat="1" ht="33" customHeight="1">
      <c r="A400" s="1076"/>
      <c r="B400" s="1171"/>
      <c r="C400" s="1076"/>
      <c r="D400" s="1076"/>
      <c r="E400" s="1252"/>
      <c r="F400" s="1252"/>
      <c r="G400" s="1076"/>
      <c r="H400" s="1076"/>
      <c r="I400" s="1076"/>
      <c r="J400" s="1076"/>
      <c r="K400" s="1076"/>
      <c r="L400" s="1076"/>
      <c r="M400" s="1245"/>
      <c r="N400" s="1282"/>
      <c r="O400" s="1119"/>
      <c r="P400" s="1119"/>
      <c r="Q400" s="1119"/>
      <c r="R400" s="1171"/>
      <c r="S400" s="1196"/>
      <c r="T400" s="1119"/>
      <c r="U400" s="1119"/>
      <c r="V400" s="1119"/>
      <c r="W400" s="1119"/>
      <c r="X400" s="1076"/>
      <c r="Y400" s="1123"/>
      <c r="Z400" s="386">
        <v>20967000</v>
      </c>
      <c r="AA400" s="386">
        <v>-8386800</v>
      </c>
      <c r="AB400" s="386">
        <f t="shared" si="26"/>
        <v>12580200</v>
      </c>
      <c r="AC400" s="1171"/>
      <c r="AD400" s="395">
        <v>12580200</v>
      </c>
      <c r="AE400" s="395" t="s">
        <v>7</v>
      </c>
      <c r="AF400" s="1084"/>
      <c r="AG400" s="1084"/>
      <c r="AH400" s="358">
        <f t="shared" si="29"/>
        <v>0</v>
      </c>
      <c r="AI400" s="1084"/>
      <c r="AJ400" s="1119"/>
      <c r="AK400" s="1119"/>
      <c r="AL400" s="1119"/>
      <c r="AM400" s="1119"/>
      <c r="AN400" s="1203"/>
      <c r="AO400" s="1204"/>
      <c r="AP400" s="1204"/>
      <c r="AQ400" s="1204"/>
    </row>
    <row r="401" spans="1:44" s="4" customFormat="1" ht="63">
      <c r="A401" s="1076"/>
      <c r="B401" s="1171"/>
      <c r="C401" s="1076"/>
      <c r="D401" s="1076"/>
      <c r="E401" s="1252"/>
      <c r="F401" s="1252"/>
      <c r="G401" s="1076"/>
      <c r="H401" s="1076"/>
      <c r="I401" s="1076"/>
      <c r="J401" s="354" t="s">
        <v>67</v>
      </c>
      <c r="K401" s="1076"/>
      <c r="L401" s="1076"/>
      <c r="M401" s="404">
        <v>201</v>
      </c>
      <c r="N401" s="417" t="s">
        <v>7</v>
      </c>
      <c r="O401" s="386">
        <v>17400000</v>
      </c>
      <c r="P401" s="386">
        <f>O401</f>
        <v>17400000</v>
      </c>
      <c r="Q401" s="1119"/>
      <c r="R401" s="384">
        <v>40779</v>
      </c>
      <c r="S401" s="390">
        <v>17400000</v>
      </c>
      <c r="T401" s="386">
        <v>17400000</v>
      </c>
      <c r="U401" s="386">
        <f>O401-T401</f>
        <v>0</v>
      </c>
      <c r="V401" s="386">
        <v>17400000</v>
      </c>
      <c r="W401" s="1119"/>
      <c r="X401" s="1076"/>
      <c r="Y401" s="372" t="s">
        <v>504</v>
      </c>
      <c r="Z401" s="386">
        <v>17400000</v>
      </c>
      <c r="AA401" s="386">
        <v>0</v>
      </c>
      <c r="AB401" s="386">
        <f t="shared" si="26"/>
        <v>17400000</v>
      </c>
      <c r="AC401" s="384">
        <v>42467</v>
      </c>
      <c r="AD401" s="395">
        <v>17400000</v>
      </c>
      <c r="AE401" s="395" t="s">
        <v>7</v>
      </c>
      <c r="AF401" s="358">
        <f>AD401</f>
        <v>17400000</v>
      </c>
      <c r="AG401" s="1084"/>
      <c r="AH401" s="358">
        <f t="shared" si="29"/>
        <v>0</v>
      </c>
      <c r="AI401" s="358">
        <f>O401-AD401</f>
        <v>0</v>
      </c>
      <c r="AJ401" s="386">
        <f>Z401-AD401</f>
        <v>0</v>
      </c>
      <c r="AK401" s="386">
        <f>P401-V401</f>
        <v>0</v>
      </c>
      <c r="AL401" s="386">
        <f>V401-Z401</f>
        <v>0</v>
      </c>
      <c r="AM401" s="386">
        <f>AK401+AL401</f>
        <v>0</v>
      </c>
      <c r="AN401" s="1203"/>
      <c r="AO401" s="1204"/>
      <c r="AP401" s="1204"/>
      <c r="AQ401" s="1204"/>
    </row>
    <row r="402" spans="1:44" ht="31.5">
      <c r="A402" s="1076" t="s">
        <v>680</v>
      </c>
      <c r="B402" s="1171">
        <v>40380</v>
      </c>
      <c r="C402" s="1076" t="s">
        <v>13</v>
      </c>
      <c r="D402" s="1076" t="s">
        <v>6</v>
      </c>
      <c r="E402" s="1252">
        <v>900342899</v>
      </c>
      <c r="F402" s="1252">
        <v>6</v>
      </c>
      <c r="G402" s="1076" t="s">
        <v>681</v>
      </c>
      <c r="H402" s="1076" t="s">
        <v>72</v>
      </c>
      <c r="I402" s="1076" t="s">
        <v>177</v>
      </c>
      <c r="J402" s="1076" t="s">
        <v>66</v>
      </c>
      <c r="K402" s="1076" t="s">
        <v>183</v>
      </c>
      <c r="L402" s="1076" t="s">
        <v>686</v>
      </c>
      <c r="M402" s="1251">
        <v>98</v>
      </c>
      <c r="N402" s="1123" t="s">
        <v>137</v>
      </c>
      <c r="O402" s="1119">
        <v>24731537</v>
      </c>
      <c r="P402" s="1119">
        <f>O402+O404</f>
        <v>61828843</v>
      </c>
      <c r="Q402" s="1119">
        <f>P402</f>
        <v>61828843</v>
      </c>
      <c r="R402" s="1171">
        <v>40413</v>
      </c>
      <c r="S402" s="1196">
        <f>T402+T404</f>
        <v>61828843</v>
      </c>
      <c r="T402" s="1119">
        <v>24731537.199999999</v>
      </c>
      <c r="U402" s="1119">
        <f>O402-T402</f>
        <v>-0.19999999925494194</v>
      </c>
      <c r="V402" s="1119">
        <v>24719890.400000002</v>
      </c>
      <c r="W402" s="1119">
        <v>61799726</v>
      </c>
      <c r="X402" s="1076" t="s">
        <v>682</v>
      </c>
      <c r="Y402" s="1123" t="s">
        <v>683</v>
      </c>
      <c r="Z402" s="386">
        <v>0</v>
      </c>
      <c r="AA402" s="386">
        <f>V402*40%</f>
        <v>9887956.160000002</v>
      </c>
      <c r="AB402" s="386">
        <f t="shared" si="26"/>
        <v>9887956.160000002</v>
      </c>
      <c r="AC402" s="1171">
        <v>40466</v>
      </c>
      <c r="AD402" s="395">
        <v>9887956</v>
      </c>
      <c r="AE402" s="395" t="s">
        <v>137</v>
      </c>
      <c r="AF402" s="1084">
        <f>SUM(AD402:AD407)</f>
        <v>61799725</v>
      </c>
      <c r="AG402" s="1084">
        <f>AF402</f>
        <v>61799725</v>
      </c>
      <c r="AH402" s="358">
        <f t="shared" si="29"/>
        <v>0.16000000201165676</v>
      </c>
      <c r="AI402" s="1084">
        <f>O402-AD402-AD404</f>
        <v>2571351.4000000004</v>
      </c>
      <c r="AJ402" s="1119">
        <f>SUM(Z402:Z407)-SUM(AD402:AD407)</f>
        <v>0.60000000149011612</v>
      </c>
      <c r="AK402" s="1119">
        <f>O402-V402</f>
        <v>11646.599999997765</v>
      </c>
      <c r="AL402" s="1119">
        <f>SUM(V402:V407)-SUM(Z402:Z407)</f>
        <v>0.39999999850988388</v>
      </c>
      <c r="AM402" s="1119">
        <f>AK402+AK404+AL402</f>
        <v>29117.399999994785</v>
      </c>
      <c r="AN402" s="1204" t="s">
        <v>523</v>
      </c>
      <c r="AO402" s="1237" t="s">
        <v>687</v>
      </c>
      <c r="AP402" s="1204" t="s">
        <v>194</v>
      </c>
      <c r="AQ402" s="1204" t="s">
        <v>558</v>
      </c>
    </row>
    <row r="403" spans="1:44">
      <c r="A403" s="1076"/>
      <c r="B403" s="1171"/>
      <c r="C403" s="1076"/>
      <c r="D403" s="1076"/>
      <c r="E403" s="1252"/>
      <c r="F403" s="1252"/>
      <c r="G403" s="1076"/>
      <c r="H403" s="1076"/>
      <c r="I403" s="1076"/>
      <c r="J403" s="1076"/>
      <c r="K403" s="1076"/>
      <c r="L403" s="1076"/>
      <c r="M403" s="1251"/>
      <c r="N403" s="1123"/>
      <c r="O403" s="1119"/>
      <c r="P403" s="1119"/>
      <c r="Q403" s="1119"/>
      <c r="R403" s="1171"/>
      <c r="S403" s="1196"/>
      <c r="T403" s="1119"/>
      <c r="U403" s="1119"/>
      <c r="V403" s="1119"/>
      <c r="W403" s="1119"/>
      <c r="X403" s="1076"/>
      <c r="Y403" s="1123"/>
      <c r="Z403" s="386">
        <v>0</v>
      </c>
      <c r="AA403" s="386">
        <f>V404*40%</f>
        <v>14831934.240000002</v>
      </c>
      <c r="AB403" s="386">
        <f t="shared" si="26"/>
        <v>14831934.240000002</v>
      </c>
      <c r="AC403" s="1171"/>
      <c r="AD403" s="395">
        <v>14831934</v>
      </c>
      <c r="AE403" s="395" t="s">
        <v>7</v>
      </c>
      <c r="AF403" s="1084"/>
      <c r="AG403" s="1084"/>
      <c r="AH403" s="358">
        <f t="shared" si="29"/>
        <v>0.24000000208616257</v>
      </c>
      <c r="AI403" s="1084"/>
      <c r="AJ403" s="1119"/>
      <c r="AK403" s="1119"/>
      <c r="AL403" s="1119"/>
      <c r="AM403" s="1119"/>
      <c r="AN403" s="1204"/>
      <c r="AO403" s="1237"/>
      <c r="AP403" s="1204"/>
      <c r="AQ403" s="1204"/>
    </row>
    <row r="404" spans="1:44" ht="24.75" customHeight="1">
      <c r="A404" s="1076"/>
      <c r="B404" s="1171"/>
      <c r="C404" s="1076"/>
      <c r="D404" s="1076"/>
      <c r="E404" s="1252"/>
      <c r="F404" s="1252"/>
      <c r="G404" s="1076"/>
      <c r="H404" s="1076"/>
      <c r="I404" s="1076"/>
      <c r="J404" s="1076"/>
      <c r="K404" s="1076"/>
      <c r="L404" s="1076"/>
      <c r="M404" s="1251"/>
      <c r="N404" s="1123" t="s">
        <v>7</v>
      </c>
      <c r="O404" s="1119">
        <v>37097306</v>
      </c>
      <c r="P404" s="1119"/>
      <c r="Q404" s="1119"/>
      <c r="R404" s="1171"/>
      <c r="S404" s="1196"/>
      <c r="T404" s="1119">
        <v>37097305.799999997</v>
      </c>
      <c r="U404" s="1119">
        <f>O404-T404</f>
        <v>0.20000000298023224</v>
      </c>
      <c r="V404" s="1119">
        <v>37079835.600000001</v>
      </c>
      <c r="W404" s="1119"/>
      <c r="X404" s="1076"/>
      <c r="Y404" s="1123" t="s">
        <v>684</v>
      </c>
      <c r="Z404" s="386">
        <f>55619753*40%</f>
        <v>22247901.200000003</v>
      </c>
      <c r="AA404" s="386">
        <v>-8899160</v>
      </c>
      <c r="AB404" s="386">
        <f t="shared" si="26"/>
        <v>13348741.200000003</v>
      </c>
      <c r="AC404" s="1171">
        <v>40815</v>
      </c>
      <c r="AD404" s="395">
        <v>12272229.6</v>
      </c>
      <c r="AE404" s="395" t="s">
        <v>137</v>
      </c>
      <c r="AF404" s="1084"/>
      <c r="AG404" s="1084"/>
      <c r="AH404" s="358">
        <f t="shared" si="29"/>
        <v>1076511.6000000034</v>
      </c>
      <c r="AI404" s="1084">
        <f>O404-AD403-AD405-AD406-AD407</f>
        <v>-2542233.3999999985</v>
      </c>
      <c r="AJ404" s="1119"/>
      <c r="AK404" s="1119">
        <f>O404-V404</f>
        <v>17470.39999999851</v>
      </c>
      <c r="AL404" s="1119"/>
      <c r="AM404" s="1119"/>
      <c r="AN404" s="1204"/>
      <c r="AO404" s="1237"/>
      <c r="AP404" s="1204"/>
      <c r="AQ404" s="1204"/>
    </row>
    <row r="405" spans="1:44" ht="25.5" customHeight="1">
      <c r="A405" s="1076"/>
      <c r="B405" s="1171"/>
      <c r="C405" s="1076"/>
      <c r="D405" s="1076"/>
      <c r="E405" s="1252"/>
      <c r="F405" s="1252"/>
      <c r="G405" s="1076"/>
      <c r="H405" s="1076"/>
      <c r="I405" s="1076"/>
      <c r="J405" s="1076"/>
      <c r="K405" s="1076"/>
      <c r="L405" s="1076"/>
      <c r="M405" s="1251"/>
      <c r="N405" s="1123"/>
      <c r="O405" s="1119"/>
      <c r="P405" s="1119"/>
      <c r="Q405" s="1119"/>
      <c r="R405" s="1171"/>
      <c r="S405" s="1196"/>
      <c r="T405" s="1119"/>
      <c r="U405" s="1119"/>
      <c r="V405" s="1119"/>
      <c r="W405" s="1119"/>
      <c r="X405" s="1076"/>
      <c r="Y405" s="1123"/>
      <c r="Z405" s="386">
        <f>55619753*60%</f>
        <v>33371851.799999997</v>
      </c>
      <c r="AA405" s="386">
        <v>-13348741</v>
      </c>
      <c r="AB405" s="386">
        <f t="shared" si="26"/>
        <v>20023110.799999997</v>
      </c>
      <c r="AC405" s="1171"/>
      <c r="AD405" s="395">
        <v>21099622.399999999</v>
      </c>
      <c r="AE405" s="395" t="s">
        <v>7</v>
      </c>
      <c r="AF405" s="1084"/>
      <c r="AG405" s="1084"/>
      <c r="AH405" s="358">
        <f t="shared" si="29"/>
        <v>-1076511.6000000015</v>
      </c>
      <c r="AI405" s="1084"/>
      <c r="AJ405" s="1119"/>
      <c r="AK405" s="1119"/>
      <c r="AL405" s="1119"/>
      <c r="AM405" s="1119"/>
      <c r="AN405" s="1204"/>
      <c r="AO405" s="1237"/>
      <c r="AP405" s="1204"/>
      <c r="AQ405" s="1204"/>
    </row>
    <row r="406" spans="1:44" ht="27" customHeight="1">
      <c r="A406" s="1076"/>
      <c r="B406" s="1171"/>
      <c r="C406" s="1076"/>
      <c r="D406" s="1076"/>
      <c r="E406" s="1252"/>
      <c r="F406" s="1252"/>
      <c r="G406" s="1076"/>
      <c r="H406" s="1076"/>
      <c r="I406" s="1076"/>
      <c r="J406" s="1076"/>
      <c r="K406" s="1076"/>
      <c r="L406" s="1076"/>
      <c r="M406" s="1251"/>
      <c r="N406" s="1123"/>
      <c r="O406" s="1119"/>
      <c r="P406" s="1119"/>
      <c r="Q406" s="1119"/>
      <c r="R406" s="1171"/>
      <c r="S406" s="1196"/>
      <c r="T406" s="1119"/>
      <c r="U406" s="1119"/>
      <c r="V406" s="1119"/>
      <c r="W406" s="1119"/>
      <c r="X406" s="1076"/>
      <c r="Y406" s="1123" t="s">
        <v>685</v>
      </c>
      <c r="Z406" s="386">
        <f>6179972.6*40%</f>
        <v>2471989.04</v>
      </c>
      <c r="AA406" s="386">
        <v>-988796.04</v>
      </c>
      <c r="AB406" s="386">
        <f t="shared" si="26"/>
        <v>1483193</v>
      </c>
      <c r="AC406" s="1171">
        <v>41586</v>
      </c>
      <c r="AD406" s="395">
        <v>1483193</v>
      </c>
      <c r="AE406" s="395" t="s">
        <v>7</v>
      </c>
      <c r="AF406" s="1084"/>
      <c r="AG406" s="1084"/>
      <c r="AH406" s="358">
        <f t="shared" si="29"/>
        <v>0</v>
      </c>
      <c r="AI406" s="1084"/>
      <c r="AJ406" s="1119"/>
      <c r="AK406" s="1119"/>
      <c r="AL406" s="1119"/>
      <c r="AM406" s="1119"/>
      <c r="AN406" s="1204"/>
      <c r="AO406" s="1237"/>
      <c r="AP406" s="1204"/>
      <c r="AQ406" s="1204"/>
    </row>
    <row r="407" spans="1:44" ht="33" customHeight="1">
      <c r="A407" s="1076"/>
      <c r="B407" s="1171"/>
      <c r="C407" s="1076"/>
      <c r="D407" s="1076"/>
      <c r="E407" s="1252"/>
      <c r="F407" s="1252"/>
      <c r="G407" s="1076"/>
      <c r="H407" s="1076"/>
      <c r="I407" s="1076"/>
      <c r="J407" s="1076"/>
      <c r="K407" s="1076"/>
      <c r="L407" s="1076"/>
      <c r="M407" s="1251"/>
      <c r="N407" s="1123"/>
      <c r="O407" s="1119"/>
      <c r="P407" s="1119"/>
      <c r="Q407" s="1119"/>
      <c r="R407" s="1171"/>
      <c r="S407" s="1196"/>
      <c r="T407" s="1119"/>
      <c r="U407" s="1119"/>
      <c r="V407" s="1119"/>
      <c r="W407" s="1119"/>
      <c r="X407" s="1076"/>
      <c r="Y407" s="1123"/>
      <c r="Z407" s="386">
        <f>6179972.6*60%</f>
        <v>3707983.5599999996</v>
      </c>
      <c r="AA407" s="386">
        <v>-1483193.56</v>
      </c>
      <c r="AB407" s="386">
        <f t="shared" si="26"/>
        <v>2224789.9999999995</v>
      </c>
      <c r="AC407" s="1171"/>
      <c r="AD407" s="395">
        <v>2224790</v>
      </c>
      <c r="AE407" s="395" t="s">
        <v>7</v>
      </c>
      <c r="AF407" s="1084"/>
      <c r="AG407" s="1084"/>
      <c r="AH407" s="358">
        <f t="shared" si="29"/>
        <v>0</v>
      </c>
      <c r="AI407" s="1084"/>
      <c r="AJ407" s="1119"/>
      <c r="AK407" s="1119"/>
      <c r="AL407" s="1119"/>
      <c r="AM407" s="1119"/>
      <c r="AN407" s="1204"/>
      <c r="AO407" s="1237"/>
      <c r="AP407" s="1204"/>
      <c r="AQ407" s="1204"/>
    </row>
    <row r="408" spans="1:44" s="4" customFormat="1" ht="31.5" customHeight="1">
      <c r="A408" s="1011" t="s">
        <v>513</v>
      </c>
      <c r="B408" s="1068">
        <v>40372</v>
      </c>
      <c r="C408" s="1011" t="s">
        <v>20</v>
      </c>
      <c r="D408" s="1011" t="s">
        <v>514</v>
      </c>
      <c r="E408" s="1097">
        <v>900367460</v>
      </c>
      <c r="F408" s="1097">
        <v>5</v>
      </c>
      <c r="G408" s="1011" t="s">
        <v>515</v>
      </c>
      <c r="H408" s="1011" t="s">
        <v>72</v>
      </c>
      <c r="I408" s="1011" t="s">
        <v>177</v>
      </c>
      <c r="J408" s="1011" t="s">
        <v>66</v>
      </c>
      <c r="K408" s="1011" t="s">
        <v>50</v>
      </c>
      <c r="L408" s="1011" t="s">
        <v>516</v>
      </c>
      <c r="M408" s="1286">
        <v>99</v>
      </c>
      <c r="N408" s="1065" t="s">
        <v>137</v>
      </c>
      <c r="O408" s="1062">
        <v>39498000</v>
      </c>
      <c r="P408" s="1062">
        <f>O408+O410</f>
        <v>98745000</v>
      </c>
      <c r="Q408" s="1062">
        <f>P408</f>
        <v>98745000</v>
      </c>
      <c r="R408" s="1068">
        <v>40413</v>
      </c>
      <c r="S408" s="1092">
        <f>T408+T409</f>
        <v>39498000</v>
      </c>
      <c r="T408" s="1062">
        <v>39498000</v>
      </c>
      <c r="U408" s="1062">
        <f>O408-T408</f>
        <v>0</v>
      </c>
      <c r="V408" s="1062">
        <v>39483876.399999999</v>
      </c>
      <c r="W408" s="1062">
        <v>98709691</v>
      </c>
      <c r="X408" s="1011" t="s">
        <v>467</v>
      </c>
      <c r="Y408" s="1123" t="s">
        <v>479</v>
      </c>
      <c r="Z408" s="386">
        <v>0</v>
      </c>
      <c r="AA408" s="386">
        <v>15793550.560000001</v>
      </c>
      <c r="AB408" s="386">
        <f t="shared" si="26"/>
        <v>15793550.560000001</v>
      </c>
      <c r="AC408" s="1171">
        <v>40449</v>
      </c>
      <c r="AD408" s="395">
        <v>15793550</v>
      </c>
      <c r="AE408" s="395" t="s">
        <v>137</v>
      </c>
      <c r="AF408" s="1043">
        <f>SUM(AD408:AD411)</f>
        <v>39483876</v>
      </c>
      <c r="AG408" s="1043">
        <f>AF408</f>
        <v>39483876</v>
      </c>
      <c r="AH408" s="358">
        <f t="shared" si="29"/>
        <v>0.56000000052154064</v>
      </c>
      <c r="AI408" s="1043">
        <f>O408-AD408-AD410</f>
        <v>23704450</v>
      </c>
      <c r="AJ408" s="1062">
        <f>SUM(Z408:Z411)-SUM(AD408:AD411)</f>
        <v>59225815</v>
      </c>
      <c r="AK408" s="1119">
        <f>O408-V408</f>
        <v>14123.60000000149</v>
      </c>
      <c r="AL408" s="1062">
        <f>SUM(V408:V411)-SUM(Z408:Z411)</f>
        <v>0</v>
      </c>
      <c r="AM408" s="1062">
        <f>AK408+AK410+AL408</f>
        <v>35309</v>
      </c>
      <c r="AN408" s="1108" t="s">
        <v>512</v>
      </c>
      <c r="AO408" s="1103" t="s">
        <v>797</v>
      </c>
      <c r="AP408" s="1103" t="s">
        <v>194</v>
      </c>
      <c r="AQ408" s="1103" t="s">
        <v>368</v>
      </c>
      <c r="AR408" s="1074" t="s">
        <v>2501</v>
      </c>
    </row>
    <row r="409" spans="1:44" s="4" customFormat="1">
      <c r="A409" s="1033"/>
      <c r="B409" s="1069"/>
      <c r="C409" s="1033"/>
      <c r="D409" s="1033"/>
      <c r="E409" s="1098"/>
      <c r="F409" s="1098"/>
      <c r="G409" s="1033"/>
      <c r="H409" s="1033"/>
      <c r="I409" s="1033"/>
      <c r="J409" s="1033"/>
      <c r="K409" s="1033"/>
      <c r="L409" s="1033"/>
      <c r="M409" s="1287"/>
      <c r="N409" s="1067"/>
      <c r="O409" s="1064"/>
      <c r="P409" s="1063"/>
      <c r="Q409" s="1063"/>
      <c r="R409" s="1069"/>
      <c r="S409" s="1093"/>
      <c r="T409" s="1064"/>
      <c r="U409" s="1064"/>
      <c r="V409" s="1064"/>
      <c r="W409" s="1063"/>
      <c r="X409" s="1033"/>
      <c r="Y409" s="1123"/>
      <c r="Z409" s="386">
        <v>0</v>
      </c>
      <c r="AA409" s="386">
        <v>23690325.840000004</v>
      </c>
      <c r="AB409" s="386">
        <f t="shared" si="26"/>
        <v>23690325.840000004</v>
      </c>
      <c r="AC409" s="1171"/>
      <c r="AD409" s="395">
        <v>23690326</v>
      </c>
      <c r="AE409" s="395" t="s">
        <v>7</v>
      </c>
      <c r="AF409" s="1044"/>
      <c r="AG409" s="1044"/>
      <c r="AH409" s="358">
        <f t="shared" si="29"/>
        <v>-0.15999999642372131</v>
      </c>
      <c r="AI409" s="1045"/>
      <c r="AJ409" s="1063"/>
      <c r="AK409" s="1119"/>
      <c r="AL409" s="1063"/>
      <c r="AM409" s="1063"/>
      <c r="AN409" s="1109"/>
      <c r="AO409" s="1104"/>
      <c r="AP409" s="1104"/>
      <c r="AQ409" s="1104"/>
      <c r="AR409" s="1074"/>
    </row>
    <row r="410" spans="1:44" s="4" customFormat="1" ht="31.5">
      <c r="A410" s="1033"/>
      <c r="B410" s="1069"/>
      <c r="C410" s="1033"/>
      <c r="D410" s="1033"/>
      <c r="E410" s="1098"/>
      <c r="F410" s="1098"/>
      <c r="G410" s="1033"/>
      <c r="H410" s="1033"/>
      <c r="I410" s="1033"/>
      <c r="J410" s="1033"/>
      <c r="K410" s="1033"/>
      <c r="L410" s="1033"/>
      <c r="M410" s="1287"/>
      <c r="N410" s="1065" t="s">
        <v>7</v>
      </c>
      <c r="O410" s="1062">
        <v>59247000</v>
      </c>
      <c r="P410" s="1063"/>
      <c r="Q410" s="1063"/>
      <c r="R410" s="1069"/>
      <c r="S410" s="1093"/>
      <c r="T410" s="1062">
        <v>59247000</v>
      </c>
      <c r="U410" s="1062">
        <f>O410-T410</f>
        <v>0</v>
      </c>
      <c r="V410" s="1062">
        <v>59225814.600000001</v>
      </c>
      <c r="W410" s="1063"/>
      <c r="X410" s="1033"/>
      <c r="Y410" s="1065" t="s">
        <v>516</v>
      </c>
      <c r="Z410" s="386">
        <v>39483876.399999999</v>
      </c>
      <c r="AA410" s="386">
        <v>-15793550.560000001</v>
      </c>
      <c r="AB410" s="386">
        <f t="shared" si="26"/>
        <v>23690325.839999996</v>
      </c>
      <c r="AC410" s="384"/>
      <c r="AD410" s="395">
        <v>0</v>
      </c>
      <c r="AE410" s="395" t="s">
        <v>137</v>
      </c>
      <c r="AF410" s="1044"/>
      <c r="AG410" s="1044"/>
      <c r="AH410" s="358">
        <f t="shared" si="29"/>
        <v>23690325.839999996</v>
      </c>
      <c r="AI410" s="1043">
        <f>O410-AD409-AD411</f>
        <v>35556674</v>
      </c>
      <c r="AJ410" s="1063"/>
      <c r="AK410" s="1062">
        <f>O410-V410</f>
        <v>21185.39999999851</v>
      </c>
      <c r="AL410" s="1063"/>
      <c r="AM410" s="1063"/>
      <c r="AN410" s="1109"/>
      <c r="AO410" s="1104"/>
      <c r="AP410" s="1104"/>
      <c r="AQ410" s="1104"/>
      <c r="AR410" s="1074"/>
    </row>
    <row r="411" spans="1:44" s="4" customFormat="1">
      <c r="A411" s="1012"/>
      <c r="B411" s="1070"/>
      <c r="C411" s="1012"/>
      <c r="D411" s="1012"/>
      <c r="E411" s="1099"/>
      <c r="F411" s="1099"/>
      <c r="G411" s="1012"/>
      <c r="H411" s="1012"/>
      <c r="I411" s="1012"/>
      <c r="J411" s="1012"/>
      <c r="K411" s="1012"/>
      <c r="L411" s="1012"/>
      <c r="M411" s="1288"/>
      <c r="N411" s="1067"/>
      <c r="O411" s="1064"/>
      <c r="P411" s="1064"/>
      <c r="Q411" s="1064"/>
      <c r="R411" s="1070"/>
      <c r="S411" s="1094"/>
      <c r="T411" s="1064"/>
      <c r="U411" s="1064"/>
      <c r="V411" s="1064"/>
      <c r="W411" s="1064"/>
      <c r="X411" s="1012"/>
      <c r="Y411" s="1067"/>
      <c r="Z411" s="386">
        <v>59225814.600000001</v>
      </c>
      <c r="AA411" s="386">
        <v>-23690325.84</v>
      </c>
      <c r="AB411" s="386">
        <f t="shared" si="26"/>
        <v>35535488.760000005</v>
      </c>
      <c r="AC411" s="384"/>
      <c r="AD411" s="395">
        <v>0</v>
      </c>
      <c r="AE411" s="395" t="s">
        <v>7</v>
      </c>
      <c r="AF411" s="1045"/>
      <c r="AG411" s="1045"/>
      <c r="AH411" s="358">
        <f t="shared" si="29"/>
        <v>35535488.760000005</v>
      </c>
      <c r="AI411" s="1045"/>
      <c r="AJ411" s="1064"/>
      <c r="AK411" s="1064"/>
      <c r="AL411" s="1064"/>
      <c r="AM411" s="1064"/>
      <c r="AN411" s="1110"/>
      <c r="AO411" s="1105"/>
      <c r="AP411" s="1105"/>
      <c r="AQ411" s="1105"/>
      <c r="AR411" s="1074"/>
    </row>
    <row r="412" spans="1:44" s="24" customFormat="1" ht="23.25" customHeight="1">
      <c r="A412" s="1076" t="s">
        <v>525</v>
      </c>
      <c r="B412" s="1171">
        <v>40378</v>
      </c>
      <c r="C412" s="1076" t="s">
        <v>26</v>
      </c>
      <c r="D412" s="1076" t="s">
        <v>526</v>
      </c>
      <c r="E412" s="1252">
        <v>10528780</v>
      </c>
      <c r="F412" s="1281"/>
      <c r="G412" s="1076" t="s">
        <v>527</v>
      </c>
      <c r="H412" s="1076" t="s">
        <v>72</v>
      </c>
      <c r="I412" s="1076" t="s">
        <v>177</v>
      </c>
      <c r="J412" s="1076" t="s">
        <v>489</v>
      </c>
      <c r="K412" s="1076" t="s">
        <v>183</v>
      </c>
      <c r="L412" s="1076" t="s">
        <v>531</v>
      </c>
      <c r="M412" s="1245">
        <v>100</v>
      </c>
      <c r="N412" s="1282" t="s">
        <v>137</v>
      </c>
      <c r="O412" s="1119">
        <v>35918107.600000001</v>
      </c>
      <c r="P412" s="1062">
        <f>O412+O414</f>
        <v>89795269</v>
      </c>
      <c r="Q412" s="1062">
        <f>SUM(P412:P414)</f>
        <v>89795269</v>
      </c>
      <c r="R412" s="1171">
        <v>40413</v>
      </c>
      <c r="S412" s="1062">
        <f>T412+T414</f>
        <v>89795269</v>
      </c>
      <c r="T412" s="1062">
        <v>35918107.600000001</v>
      </c>
      <c r="U412" s="1062">
        <f>O412-T412</f>
        <v>0</v>
      </c>
      <c r="V412" s="1119">
        <v>35844967.68</v>
      </c>
      <c r="W412" s="1062">
        <v>89612419.200000003</v>
      </c>
      <c r="X412" s="1203" t="s">
        <v>467</v>
      </c>
      <c r="Y412" s="1123" t="s">
        <v>528</v>
      </c>
      <c r="Z412" s="386">
        <v>0</v>
      </c>
      <c r="AA412" s="386">
        <v>14337987.072000001</v>
      </c>
      <c r="AB412" s="386">
        <f t="shared" si="26"/>
        <v>14337987.072000001</v>
      </c>
      <c r="AC412" s="1171">
        <v>40466</v>
      </c>
      <c r="AD412" s="423">
        <v>14337987</v>
      </c>
      <c r="AE412" s="386" t="s">
        <v>137</v>
      </c>
      <c r="AF412" s="1119">
        <f>SUM(AD412:AD415)</f>
        <v>89612419.200000003</v>
      </c>
      <c r="AG412" s="1119">
        <v>0</v>
      </c>
      <c r="AH412" s="1119">
        <v>0</v>
      </c>
      <c r="AI412" s="1119">
        <v>0</v>
      </c>
      <c r="AJ412" s="1119">
        <v>0</v>
      </c>
      <c r="AK412" s="1062">
        <v>73139.920000001788</v>
      </c>
      <c r="AL412" s="1119">
        <v>0</v>
      </c>
      <c r="AM412" s="1062">
        <f>AK412+AK414+AL412</f>
        <v>182849.79999999702</v>
      </c>
      <c r="AN412" s="1260" t="s">
        <v>530</v>
      </c>
      <c r="AO412" s="1260" t="s">
        <v>798</v>
      </c>
      <c r="AP412" s="1186" t="s">
        <v>195</v>
      </c>
      <c r="AQ412" s="1103" t="s">
        <v>368</v>
      </c>
    </row>
    <row r="413" spans="1:44" s="24" customFormat="1" ht="22.5" customHeight="1">
      <c r="A413" s="1076"/>
      <c r="B413" s="1171"/>
      <c r="C413" s="1076"/>
      <c r="D413" s="1076"/>
      <c r="E413" s="1252"/>
      <c r="F413" s="1281"/>
      <c r="G413" s="1076"/>
      <c r="H413" s="1076"/>
      <c r="I413" s="1076"/>
      <c r="J413" s="1076"/>
      <c r="K413" s="1076"/>
      <c r="L413" s="1076"/>
      <c r="M413" s="1245"/>
      <c r="N413" s="1282"/>
      <c r="O413" s="1119"/>
      <c r="P413" s="1063"/>
      <c r="Q413" s="1063"/>
      <c r="R413" s="1171"/>
      <c r="S413" s="1063"/>
      <c r="T413" s="1064"/>
      <c r="U413" s="1064"/>
      <c r="V413" s="1119"/>
      <c r="W413" s="1063"/>
      <c r="X413" s="1203"/>
      <c r="Y413" s="1123"/>
      <c r="Z413" s="386">
        <v>0</v>
      </c>
      <c r="AA413" s="386">
        <v>21506980.608000003</v>
      </c>
      <c r="AB413" s="386">
        <f t="shared" si="26"/>
        <v>21506980.608000003</v>
      </c>
      <c r="AC413" s="1171"/>
      <c r="AD413" s="423">
        <v>21506981</v>
      </c>
      <c r="AE413" s="386" t="s">
        <v>7</v>
      </c>
      <c r="AF413" s="1119"/>
      <c r="AG413" s="1119"/>
      <c r="AH413" s="1119"/>
      <c r="AI413" s="1119"/>
      <c r="AJ413" s="1119"/>
      <c r="AK413" s="1064"/>
      <c r="AL413" s="1119"/>
      <c r="AM413" s="1063"/>
      <c r="AN413" s="1260"/>
      <c r="AO413" s="1260"/>
      <c r="AP413" s="1187"/>
      <c r="AQ413" s="1104"/>
    </row>
    <row r="414" spans="1:44" s="24" customFormat="1" ht="31.5">
      <c r="A414" s="1076"/>
      <c r="B414" s="1171"/>
      <c r="C414" s="1076"/>
      <c r="D414" s="1076"/>
      <c r="E414" s="1252"/>
      <c r="F414" s="1281"/>
      <c r="G414" s="1076"/>
      <c r="H414" s="1076"/>
      <c r="I414" s="1076"/>
      <c r="J414" s="1076"/>
      <c r="K414" s="1076"/>
      <c r="L414" s="1076"/>
      <c r="M414" s="1245"/>
      <c r="N414" s="1277" t="s">
        <v>7</v>
      </c>
      <c r="O414" s="1062">
        <v>53877161.399999999</v>
      </c>
      <c r="P414" s="1063"/>
      <c r="Q414" s="1063"/>
      <c r="R414" s="1171"/>
      <c r="S414" s="1063"/>
      <c r="T414" s="1062">
        <v>53877161.399999999</v>
      </c>
      <c r="U414" s="1062">
        <f>O414-T414</f>
        <v>0</v>
      </c>
      <c r="V414" s="1062">
        <v>53767451.520000003</v>
      </c>
      <c r="W414" s="1063"/>
      <c r="X414" s="1203"/>
      <c r="Y414" s="1123" t="s">
        <v>529</v>
      </c>
      <c r="Z414" s="386">
        <v>35844967.68</v>
      </c>
      <c r="AA414" s="386">
        <v>-14337987.072000001</v>
      </c>
      <c r="AB414" s="386">
        <f t="shared" si="26"/>
        <v>21506980.607999999</v>
      </c>
      <c r="AC414" s="1171">
        <v>42880</v>
      </c>
      <c r="AD414" s="423">
        <v>21506980.670000002</v>
      </c>
      <c r="AE414" s="386" t="s">
        <v>137</v>
      </c>
      <c r="AF414" s="1119"/>
      <c r="AG414" s="1119"/>
      <c r="AH414" s="1119"/>
      <c r="AI414" s="1119"/>
      <c r="AJ414" s="1119"/>
      <c r="AK414" s="1062">
        <v>109709.87999999523</v>
      </c>
      <c r="AL414" s="1119"/>
      <c r="AM414" s="1063"/>
      <c r="AN414" s="1260"/>
      <c r="AO414" s="1260"/>
      <c r="AP414" s="1187"/>
      <c r="AQ414" s="1104"/>
    </row>
    <row r="415" spans="1:44" s="24" customFormat="1">
      <c r="A415" s="1076"/>
      <c r="B415" s="1171"/>
      <c r="C415" s="1076"/>
      <c r="D415" s="1076"/>
      <c r="E415" s="1252"/>
      <c r="F415" s="1281"/>
      <c r="G415" s="1076"/>
      <c r="H415" s="1076"/>
      <c r="I415" s="1076"/>
      <c r="J415" s="1076"/>
      <c r="K415" s="1076"/>
      <c r="L415" s="1076"/>
      <c r="M415" s="1245"/>
      <c r="N415" s="1278"/>
      <c r="O415" s="1064"/>
      <c r="P415" s="1064"/>
      <c r="Q415" s="1064"/>
      <c r="R415" s="1171"/>
      <c r="S415" s="1064"/>
      <c r="T415" s="1064"/>
      <c r="U415" s="1064"/>
      <c r="V415" s="1064"/>
      <c r="W415" s="1064"/>
      <c r="X415" s="1203"/>
      <c r="Y415" s="1123" t="s">
        <v>524</v>
      </c>
      <c r="Z415" s="386">
        <v>53767451.520000003</v>
      </c>
      <c r="AA415" s="386">
        <v>-21506980.607999999</v>
      </c>
      <c r="AB415" s="386">
        <f t="shared" si="26"/>
        <v>32260470.912000004</v>
      </c>
      <c r="AC415" s="1171"/>
      <c r="AD415" s="423">
        <v>32260470.530000001</v>
      </c>
      <c r="AE415" s="386" t="s">
        <v>7</v>
      </c>
      <c r="AF415" s="1119"/>
      <c r="AG415" s="1119"/>
      <c r="AH415" s="1119"/>
      <c r="AI415" s="1119"/>
      <c r="AJ415" s="1119"/>
      <c r="AK415" s="1064"/>
      <c r="AL415" s="1119"/>
      <c r="AM415" s="1064"/>
      <c r="AN415" s="1260"/>
      <c r="AO415" s="1260"/>
      <c r="AP415" s="1188"/>
      <c r="AQ415" s="1105"/>
    </row>
    <row r="416" spans="1:44" s="4" customFormat="1" ht="19.5" customHeight="1">
      <c r="A416" s="1011" t="s">
        <v>517</v>
      </c>
      <c r="B416" s="1068">
        <v>40380</v>
      </c>
      <c r="C416" s="1011" t="s">
        <v>26</v>
      </c>
      <c r="D416" s="1011" t="s">
        <v>175</v>
      </c>
      <c r="E416" s="1097">
        <v>900346392</v>
      </c>
      <c r="F416" s="1097">
        <v>2</v>
      </c>
      <c r="G416" s="1011" t="s">
        <v>518</v>
      </c>
      <c r="H416" s="1011" t="s">
        <v>72</v>
      </c>
      <c r="I416" s="1011" t="s">
        <v>177</v>
      </c>
      <c r="J416" s="1011" t="s">
        <v>66</v>
      </c>
      <c r="K416" s="1011" t="s">
        <v>183</v>
      </c>
      <c r="L416" s="1011" t="s">
        <v>522</v>
      </c>
      <c r="M416" s="1286">
        <v>101</v>
      </c>
      <c r="N416" s="1277" t="s">
        <v>137</v>
      </c>
      <c r="O416" s="1062">
        <v>22860138</v>
      </c>
      <c r="P416" s="1062">
        <f>O416+O418</f>
        <v>57150345</v>
      </c>
      <c r="Q416" s="1062">
        <f>P416</f>
        <v>57150345</v>
      </c>
      <c r="R416" s="1068">
        <v>40413</v>
      </c>
      <c r="S416" s="1092">
        <f>T416+T418</f>
        <v>57150345</v>
      </c>
      <c r="T416" s="1062">
        <v>22860138</v>
      </c>
      <c r="U416" s="1062">
        <f>O416-T416</f>
        <v>0</v>
      </c>
      <c r="V416" s="1062">
        <v>22860138</v>
      </c>
      <c r="W416" s="1062">
        <v>57150342</v>
      </c>
      <c r="X416" s="1011" t="s">
        <v>467</v>
      </c>
      <c r="Y416" s="1065" t="s">
        <v>519</v>
      </c>
      <c r="Z416" s="386">
        <v>0</v>
      </c>
      <c r="AA416" s="386">
        <v>9144054</v>
      </c>
      <c r="AB416" s="386">
        <f t="shared" si="26"/>
        <v>9144054</v>
      </c>
      <c r="AC416" s="1068">
        <v>40501</v>
      </c>
      <c r="AD416" s="395">
        <v>9144054</v>
      </c>
      <c r="AE416" s="395" t="s">
        <v>137</v>
      </c>
      <c r="AF416" s="1043">
        <f>SUM(AD416:AD420)</f>
        <v>57150342</v>
      </c>
      <c r="AG416" s="1043">
        <f>AF416</f>
        <v>57150342</v>
      </c>
      <c r="AH416" s="358">
        <f>AB416-AD416</f>
        <v>0</v>
      </c>
      <c r="AI416" s="1043">
        <f>O416-AD416-AD420</f>
        <v>10287064</v>
      </c>
      <c r="AJ416" s="1062">
        <f>SUM(Z416:Z420)-SUM(AD416:AD420)</f>
        <v>0</v>
      </c>
      <c r="AK416" s="1062">
        <f>P416-SUM(V416:V420)</f>
        <v>0</v>
      </c>
      <c r="AL416" s="1062">
        <f>SUM(V416:V420)-SUM(Z416:Z420)</f>
        <v>3</v>
      </c>
      <c r="AM416" s="1062">
        <f>AK416+AL416</f>
        <v>3</v>
      </c>
      <c r="AN416" s="1108" t="s">
        <v>523</v>
      </c>
      <c r="AO416" s="1103" t="s">
        <v>805</v>
      </c>
      <c r="AP416" s="1103" t="s">
        <v>194</v>
      </c>
      <c r="AQ416" s="1103" t="s">
        <v>368</v>
      </c>
    </row>
    <row r="417" spans="1:44" s="4" customFormat="1" ht="26.25" customHeight="1">
      <c r="A417" s="1033"/>
      <c r="B417" s="1069"/>
      <c r="C417" s="1033"/>
      <c r="D417" s="1033"/>
      <c r="E417" s="1098"/>
      <c r="F417" s="1098"/>
      <c r="G417" s="1033"/>
      <c r="H417" s="1033"/>
      <c r="I417" s="1033"/>
      <c r="J417" s="1033"/>
      <c r="K417" s="1033"/>
      <c r="L417" s="1033"/>
      <c r="M417" s="1287"/>
      <c r="N417" s="1278"/>
      <c r="O417" s="1064"/>
      <c r="P417" s="1063"/>
      <c r="Q417" s="1063"/>
      <c r="R417" s="1069"/>
      <c r="S417" s="1093"/>
      <c r="T417" s="1064"/>
      <c r="U417" s="1064"/>
      <c r="V417" s="1064"/>
      <c r="W417" s="1063"/>
      <c r="X417" s="1033"/>
      <c r="Y417" s="1067"/>
      <c r="Z417" s="386">
        <v>0</v>
      </c>
      <c r="AA417" s="386">
        <v>13716082</v>
      </c>
      <c r="AB417" s="386">
        <f t="shared" si="26"/>
        <v>13716082</v>
      </c>
      <c r="AC417" s="1070"/>
      <c r="AD417" s="395">
        <v>13716082</v>
      </c>
      <c r="AE417" s="395" t="s">
        <v>7</v>
      </c>
      <c r="AF417" s="1044"/>
      <c r="AG417" s="1044"/>
      <c r="AH417" s="358">
        <f>AB417-AD417</f>
        <v>0</v>
      </c>
      <c r="AI417" s="1045"/>
      <c r="AJ417" s="1063"/>
      <c r="AK417" s="1063"/>
      <c r="AL417" s="1063"/>
      <c r="AM417" s="1063"/>
      <c r="AN417" s="1109"/>
      <c r="AO417" s="1104"/>
      <c r="AP417" s="1104"/>
      <c r="AQ417" s="1104"/>
    </row>
    <row r="418" spans="1:44" s="4" customFormat="1" ht="63.75" customHeight="1">
      <c r="A418" s="1033"/>
      <c r="B418" s="1069"/>
      <c r="C418" s="1033"/>
      <c r="D418" s="1033"/>
      <c r="E418" s="1098"/>
      <c r="F418" s="1098"/>
      <c r="G418" s="1033"/>
      <c r="H418" s="1033"/>
      <c r="I418" s="1033"/>
      <c r="J418" s="1033"/>
      <c r="K418" s="1033"/>
      <c r="L418" s="1033"/>
      <c r="M418" s="1287"/>
      <c r="N418" s="1277" t="s">
        <v>7</v>
      </c>
      <c r="O418" s="1062">
        <v>34290207</v>
      </c>
      <c r="P418" s="1063"/>
      <c r="Q418" s="1063"/>
      <c r="R418" s="1069"/>
      <c r="S418" s="1093"/>
      <c r="T418" s="1062">
        <v>34290207</v>
      </c>
      <c r="U418" s="1062">
        <f>O418-T418</f>
        <v>0</v>
      </c>
      <c r="V418" s="1062">
        <v>34290207</v>
      </c>
      <c r="W418" s="1063"/>
      <c r="X418" s="1033"/>
      <c r="Y418" s="372" t="s">
        <v>520</v>
      </c>
      <c r="Z418" s="386">
        <v>47625285</v>
      </c>
      <c r="AA418" s="386">
        <v>-19050114</v>
      </c>
      <c r="AB418" s="386">
        <f t="shared" si="26"/>
        <v>28575171</v>
      </c>
      <c r="AC418" s="384">
        <v>40569</v>
      </c>
      <c r="AD418" s="395">
        <v>28575172</v>
      </c>
      <c r="AE418" s="395" t="s">
        <v>7</v>
      </c>
      <c r="AF418" s="1044"/>
      <c r="AG418" s="1044"/>
      <c r="AH418" s="358">
        <f>AB418-AD418</f>
        <v>-1</v>
      </c>
      <c r="AI418" s="1043">
        <f>O418-AD417-AD418-AD419</f>
        <v>-10287061</v>
      </c>
      <c r="AJ418" s="1063"/>
      <c r="AK418" s="1063"/>
      <c r="AL418" s="1063"/>
      <c r="AM418" s="1063"/>
      <c r="AN418" s="1109"/>
      <c r="AO418" s="1104"/>
      <c r="AP418" s="1104"/>
      <c r="AQ418" s="1104"/>
    </row>
    <row r="419" spans="1:44" s="4" customFormat="1" ht="27.75" customHeight="1">
      <c r="A419" s="1033"/>
      <c r="B419" s="1069"/>
      <c r="C419" s="1033"/>
      <c r="D419" s="1033"/>
      <c r="E419" s="1098"/>
      <c r="F419" s="1098"/>
      <c r="G419" s="1033"/>
      <c r="H419" s="1033"/>
      <c r="I419" s="1033"/>
      <c r="J419" s="1033"/>
      <c r="K419" s="1033"/>
      <c r="L419" s="1033"/>
      <c r="M419" s="1287"/>
      <c r="N419" s="1279"/>
      <c r="O419" s="1063"/>
      <c r="P419" s="1063"/>
      <c r="Q419" s="1063"/>
      <c r="R419" s="1069"/>
      <c r="S419" s="1093"/>
      <c r="T419" s="1063"/>
      <c r="U419" s="1063"/>
      <c r="V419" s="1063"/>
      <c r="W419" s="1063"/>
      <c r="X419" s="1033"/>
      <c r="Y419" s="1065" t="s">
        <v>521</v>
      </c>
      <c r="Z419" s="386">
        <v>3810022.8000000003</v>
      </c>
      <c r="AA419" s="386">
        <v>-1524009.12</v>
      </c>
      <c r="AB419" s="386">
        <f t="shared" si="26"/>
        <v>2286013.6800000002</v>
      </c>
      <c r="AC419" s="1068">
        <v>40913</v>
      </c>
      <c r="AD419" s="395">
        <v>2286014</v>
      </c>
      <c r="AE419" s="395" t="s">
        <v>7</v>
      </c>
      <c r="AF419" s="1044"/>
      <c r="AG419" s="1044"/>
      <c r="AH419" s="358">
        <f>AB419-AD419</f>
        <v>-0.31999999983236194</v>
      </c>
      <c r="AI419" s="1044"/>
      <c r="AJ419" s="1063"/>
      <c r="AK419" s="1063"/>
      <c r="AL419" s="1063"/>
      <c r="AM419" s="1063"/>
      <c r="AN419" s="1109"/>
      <c r="AO419" s="1104"/>
      <c r="AP419" s="1104"/>
      <c r="AQ419" s="1104"/>
    </row>
    <row r="420" spans="1:44" s="4" customFormat="1" ht="31.5" customHeight="1">
      <c r="A420" s="1012"/>
      <c r="B420" s="1070"/>
      <c r="C420" s="1012"/>
      <c r="D420" s="1012"/>
      <c r="E420" s="1099"/>
      <c r="F420" s="1099"/>
      <c r="G420" s="1012"/>
      <c r="H420" s="1012"/>
      <c r="I420" s="1012"/>
      <c r="J420" s="1012"/>
      <c r="K420" s="1012"/>
      <c r="L420" s="1012"/>
      <c r="M420" s="1288"/>
      <c r="N420" s="1278"/>
      <c r="O420" s="1064"/>
      <c r="P420" s="1064"/>
      <c r="Q420" s="1064"/>
      <c r="R420" s="1070"/>
      <c r="S420" s="1094"/>
      <c r="T420" s="1064"/>
      <c r="U420" s="1064"/>
      <c r="V420" s="1064"/>
      <c r="W420" s="1064"/>
      <c r="X420" s="1012"/>
      <c r="Y420" s="1067"/>
      <c r="Z420" s="386">
        <v>5715034.2000000002</v>
      </c>
      <c r="AA420" s="386">
        <v>-2286013.6800000002</v>
      </c>
      <c r="AB420" s="386">
        <f t="shared" si="26"/>
        <v>3429020.52</v>
      </c>
      <c r="AC420" s="1070"/>
      <c r="AD420" s="395">
        <v>3429020</v>
      </c>
      <c r="AE420" s="395" t="s">
        <v>137</v>
      </c>
      <c r="AF420" s="1045"/>
      <c r="AG420" s="1045"/>
      <c r="AH420" s="358">
        <f>AB420-AD420</f>
        <v>0.52000000001862645</v>
      </c>
      <c r="AI420" s="1045"/>
      <c r="AJ420" s="1064"/>
      <c r="AK420" s="1064"/>
      <c r="AL420" s="1064"/>
      <c r="AM420" s="1064"/>
      <c r="AN420" s="1110"/>
      <c r="AO420" s="1105"/>
      <c r="AP420" s="1105"/>
      <c r="AQ420" s="1105"/>
    </row>
    <row r="421" spans="1:44" s="24" customFormat="1" ht="20.25" customHeight="1">
      <c r="A421" s="1076" t="s">
        <v>532</v>
      </c>
      <c r="B421" s="1068">
        <v>40382</v>
      </c>
      <c r="C421" s="1076" t="s">
        <v>29</v>
      </c>
      <c r="D421" s="1076" t="s">
        <v>534</v>
      </c>
      <c r="E421" s="1097">
        <v>900370774</v>
      </c>
      <c r="F421" s="1298">
        <v>3</v>
      </c>
      <c r="G421" s="1076" t="s">
        <v>535</v>
      </c>
      <c r="H421" s="1076" t="s">
        <v>72</v>
      </c>
      <c r="I421" s="1076" t="s">
        <v>177</v>
      </c>
      <c r="J421" s="1076" t="s">
        <v>66</v>
      </c>
      <c r="K421" s="1076" t="s">
        <v>183</v>
      </c>
      <c r="L421" s="1076" t="s">
        <v>539</v>
      </c>
      <c r="M421" s="1220">
        <v>102</v>
      </c>
      <c r="N421" s="1277" t="s">
        <v>137</v>
      </c>
      <c r="O421" s="1062">
        <v>24031140</v>
      </c>
      <c r="P421" s="1062">
        <f>O421+O423</f>
        <v>60077850</v>
      </c>
      <c r="Q421" s="1062">
        <f>P421+P425</f>
        <v>77332850</v>
      </c>
      <c r="R421" s="1068">
        <v>40413</v>
      </c>
      <c r="S421" s="1062">
        <f>T421+T423</f>
        <v>59925600</v>
      </c>
      <c r="T421" s="1062">
        <v>23970240</v>
      </c>
      <c r="U421" s="1062">
        <f>O421-T421</f>
        <v>60900</v>
      </c>
      <c r="V421" s="1119">
        <v>23970240</v>
      </c>
      <c r="W421" s="1119">
        <f>V421+V423+V425</f>
        <v>77180600</v>
      </c>
      <c r="X421" s="1108" t="s">
        <v>467</v>
      </c>
      <c r="Y421" s="1123" t="s">
        <v>536</v>
      </c>
      <c r="Z421" s="386">
        <v>0</v>
      </c>
      <c r="AA421" s="386">
        <v>9588096</v>
      </c>
      <c r="AB421" s="386">
        <f>Z421+AA421</f>
        <v>9588096</v>
      </c>
      <c r="AC421" s="1171">
        <v>40452</v>
      </c>
      <c r="AD421" s="423">
        <v>9588096</v>
      </c>
      <c r="AE421" s="386" t="s">
        <v>137</v>
      </c>
      <c r="AF421" s="1119">
        <f>SUM(AD421:AD424)</f>
        <v>59925600</v>
      </c>
      <c r="AG421" s="1119">
        <f>SUM(AF421:AF425)</f>
        <v>77180600</v>
      </c>
      <c r="AH421" s="1119">
        <v>0</v>
      </c>
      <c r="AI421" s="1119">
        <v>0</v>
      </c>
      <c r="AJ421" s="1119">
        <v>0</v>
      </c>
      <c r="AK421" s="1119">
        <v>0</v>
      </c>
      <c r="AL421" s="1119">
        <v>0</v>
      </c>
      <c r="AM421" s="1119">
        <v>0</v>
      </c>
      <c r="AN421" s="1260" t="s">
        <v>540</v>
      </c>
      <c r="AO421" s="1260" t="s">
        <v>799</v>
      </c>
      <c r="AP421" s="1103" t="s">
        <v>195</v>
      </c>
      <c r="AQ421" s="1103" t="s">
        <v>368</v>
      </c>
    </row>
    <row r="422" spans="1:44" s="24" customFormat="1" ht="26.25" customHeight="1">
      <c r="A422" s="1076"/>
      <c r="B422" s="1069"/>
      <c r="C422" s="1076"/>
      <c r="D422" s="1076"/>
      <c r="E422" s="1098"/>
      <c r="F422" s="1299"/>
      <c r="G422" s="1076"/>
      <c r="H422" s="1076"/>
      <c r="I422" s="1076"/>
      <c r="J422" s="1076"/>
      <c r="K422" s="1076"/>
      <c r="L422" s="1076"/>
      <c r="M422" s="1221"/>
      <c r="N422" s="1278"/>
      <c r="O422" s="1064"/>
      <c r="P422" s="1063"/>
      <c r="Q422" s="1063"/>
      <c r="R422" s="1069"/>
      <c r="S422" s="1063"/>
      <c r="T422" s="1064"/>
      <c r="U422" s="1064"/>
      <c r="V422" s="1119"/>
      <c r="W422" s="1119"/>
      <c r="X422" s="1109"/>
      <c r="Y422" s="1123"/>
      <c r="Z422" s="386">
        <v>0</v>
      </c>
      <c r="AA422" s="386">
        <v>14382144</v>
      </c>
      <c r="AB422" s="386">
        <f>Z422+AA422</f>
        <v>14382144</v>
      </c>
      <c r="AC422" s="1171"/>
      <c r="AD422" s="423">
        <v>14382144</v>
      </c>
      <c r="AE422" s="386" t="s">
        <v>7</v>
      </c>
      <c r="AF422" s="1119"/>
      <c r="AG422" s="1119"/>
      <c r="AH422" s="1119"/>
      <c r="AI422" s="1119"/>
      <c r="AJ422" s="1119"/>
      <c r="AK422" s="1119"/>
      <c r="AL422" s="1119"/>
      <c r="AM422" s="1119"/>
      <c r="AN422" s="1260"/>
      <c r="AO422" s="1260"/>
      <c r="AP422" s="1104"/>
      <c r="AQ422" s="1104"/>
    </row>
    <row r="423" spans="1:44" s="24" customFormat="1" ht="40.5" customHeight="1">
      <c r="A423" s="1076"/>
      <c r="B423" s="1069"/>
      <c r="C423" s="1076"/>
      <c r="D423" s="1076"/>
      <c r="E423" s="1098"/>
      <c r="F423" s="1299"/>
      <c r="G423" s="1076"/>
      <c r="H423" s="1076"/>
      <c r="I423" s="1076"/>
      <c r="J423" s="1076"/>
      <c r="K423" s="1076"/>
      <c r="L423" s="1076"/>
      <c r="M423" s="1221"/>
      <c r="N423" s="1277" t="s">
        <v>7</v>
      </c>
      <c r="O423" s="1062">
        <v>36046710</v>
      </c>
      <c r="P423" s="1063"/>
      <c r="Q423" s="1063"/>
      <c r="R423" s="1069"/>
      <c r="S423" s="1063"/>
      <c r="T423" s="1062">
        <v>35955360</v>
      </c>
      <c r="U423" s="1062">
        <f>O423-T423</f>
        <v>91350</v>
      </c>
      <c r="V423" s="1062">
        <v>35955360</v>
      </c>
      <c r="W423" s="1119"/>
      <c r="X423" s="1109"/>
      <c r="Y423" s="1123" t="s">
        <v>537</v>
      </c>
      <c r="Z423" s="386">
        <f>59925600*40%</f>
        <v>23970240</v>
      </c>
      <c r="AA423" s="386">
        <v>-9588096</v>
      </c>
      <c r="AB423" s="386">
        <f>Z423+AA423</f>
        <v>14382144</v>
      </c>
      <c r="AC423" s="1171">
        <v>42451</v>
      </c>
      <c r="AD423" s="423">
        <v>14382144</v>
      </c>
      <c r="AE423" s="386" t="s">
        <v>137</v>
      </c>
      <c r="AF423" s="1119"/>
      <c r="AG423" s="1119"/>
      <c r="AH423" s="1119"/>
      <c r="AI423" s="1119"/>
      <c r="AJ423" s="1119"/>
      <c r="AK423" s="1119"/>
      <c r="AL423" s="1119"/>
      <c r="AM423" s="1119"/>
      <c r="AN423" s="1260"/>
      <c r="AO423" s="1260"/>
      <c r="AP423" s="1104"/>
      <c r="AQ423" s="1104"/>
    </row>
    <row r="424" spans="1:44" s="24" customFormat="1" ht="42.75" customHeight="1">
      <c r="A424" s="1076"/>
      <c r="B424" s="1069"/>
      <c r="C424" s="1076"/>
      <c r="D424" s="1076"/>
      <c r="E424" s="1098"/>
      <c r="F424" s="1299"/>
      <c r="G424" s="1076"/>
      <c r="H424" s="1076"/>
      <c r="I424" s="1076"/>
      <c r="J424" s="1076"/>
      <c r="K424" s="1076"/>
      <c r="L424" s="1076"/>
      <c r="M424" s="1222"/>
      <c r="N424" s="1278"/>
      <c r="O424" s="1064"/>
      <c r="P424" s="1064"/>
      <c r="Q424" s="1063"/>
      <c r="R424" s="1070"/>
      <c r="S424" s="1064"/>
      <c r="T424" s="1064"/>
      <c r="U424" s="1064"/>
      <c r="V424" s="1064"/>
      <c r="W424" s="1119"/>
      <c r="X424" s="1109"/>
      <c r="Y424" s="1123"/>
      <c r="Z424" s="386">
        <f>59925600*60%</f>
        <v>35955360</v>
      </c>
      <c r="AA424" s="386">
        <v>-14382144</v>
      </c>
      <c r="AB424" s="386">
        <f>Z424+AA424</f>
        <v>21573216</v>
      </c>
      <c r="AC424" s="1171"/>
      <c r="AD424" s="423">
        <v>21573216</v>
      </c>
      <c r="AE424" s="386" t="s">
        <v>7</v>
      </c>
      <c r="AF424" s="1119"/>
      <c r="AG424" s="1119"/>
      <c r="AH424" s="1119"/>
      <c r="AI424" s="1119"/>
      <c r="AJ424" s="1119"/>
      <c r="AK424" s="1119"/>
      <c r="AL424" s="1119"/>
      <c r="AM424" s="1119"/>
      <c r="AN424" s="1260"/>
      <c r="AO424" s="1260"/>
      <c r="AP424" s="1104"/>
      <c r="AQ424" s="1104"/>
    </row>
    <row r="425" spans="1:44" s="24" customFormat="1" ht="78.75">
      <c r="A425" s="1076"/>
      <c r="B425" s="1070"/>
      <c r="C425" s="1076"/>
      <c r="D425" s="1076"/>
      <c r="E425" s="1099"/>
      <c r="F425" s="1300"/>
      <c r="G425" s="1076"/>
      <c r="H425" s="1076"/>
      <c r="I425" s="1076"/>
      <c r="J425" s="1076"/>
      <c r="K425" s="1076"/>
      <c r="L425" s="1076"/>
      <c r="M425" s="404">
        <v>205</v>
      </c>
      <c r="N425" s="417" t="s">
        <v>7</v>
      </c>
      <c r="O425" s="386">
        <v>17255000</v>
      </c>
      <c r="P425" s="386">
        <f>O425</f>
        <v>17255000</v>
      </c>
      <c r="Q425" s="1064"/>
      <c r="R425" s="384">
        <v>40779</v>
      </c>
      <c r="S425" s="386">
        <f>T425</f>
        <v>17255000</v>
      </c>
      <c r="T425" s="386">
        <v>17255000</v>
      </c>
      <c r="U425" s="386">
        <f>P425-T425</f>
        <v>0</v>
      </c>
      <c r="V425" s="386">
        <f>P425</f>
        <v>17255000</v>
      </c>
      <c r="W425" s="1119"/>
      <c r="X425" s="1110"/>
      <c r="Y425" s="372" t="s">
        <v>538</v>
      </c>
      <c r="Z425" s="386">
        <f>O425</f>
        <v>17255000</v>
      </c>
      <c r="AA425" s="386">
        <v>0</v>
      </c>
      <c r="AB425" s="386">
        <f>Z425</f>
        <v>17255000</v>
      </c>
      <c r="AC425" s="384">
        <v>42447</v>
      </c>
      <c r="AD425" s="423">
        <v>17255000</v>
      </c>
      <c r="AE425" s="386" t="s">
        <v>7</v>
      </c>
      <c r="AF425" s="386">
        <f>AB425</f>
        <v>17255000</v>
      </c>
      <c r="AG425" s="1119"/>
      <c r="AH425" s="1119"/>
      <c r="AI425" s="1119"/>
      <c r="AJ425" s="1119"/>
      <c r="AK425" s="1119"/>
      <c r="AL425" s="1119"/>
      <c r="AM425" s="1119"/>
      <c r="AN425" s="1260"/>
      <c r="AO425" s="1260"/>
      <c r="AP425" s="1105"/>
      <c r="AQ425" s="1105"/>
    </row>
    <row r="426" spans="1:44" s="4" customFormat="1" ht="23.25" customHeight="1">
      <c r="A426" s="1011" t="s">
        <v>541</v>
      </c>
      <c r="B426" s="1068">
        <v>40372</v>
      </c>
      <c r="C426" s="1011" t="s">
        <v>29</v>
      </c>
      <c r="D426" s="1011" t="s">
        <v>542</v>
      </c>
      <c r="E426" s="1097">
        <v>900224582</v>
      </c>
      <c r="F426" s="1097">
        <v>1</v>
      </c>
      <c r="G426" s="1011" t="s">
        <v>543</v>
      </c>
      <c r="H426" s="1011" t="s">
        <v>72</v>
      </c>
      <c r="I426" s="1011" t="s">
        <v>177</v>
      </c>
      <c r="J426" s="1011" t="s">
        <v>66</v>
      </c>
      <c r="K426" s="1011" t="s">
        <v>217</v>
      </c>
      <c r="L426" s="1011" t="s">
        <v>546</v>
      </c>
      <c r="M426" s="1220">
        <v>103</v>
      </c>
      <c r="N426" s="1282" t="s">
        <v>137</v>
      </c>
      <c r="O426" s="1062">
        <v>30450000</v>
      </c>
      <c r="P426" s="1062">
        <f>O426+O429</f>
        <v>76125000</v>
      </c>
      <c r="Q426" s="1062">
        <f>P426</f>
        <v>76125000</v>
      </c>
      <c r="R426" s="1068">
        <v>40413</v>
      </c>
      <c r="S426" s="1092">
        <f>T426+T429</f>
        <v>76125000</v>
      </c>
      <c r="T426" s="1062">
        <v>30450000</v>
      </c>
      <c r="U426" s="1062">
        <f>O426-T426</f>
        <v>0</v>
      </c>
      <c r="V426" s="1062">
        <v>30450000</v>
      </c>
      <c r="W426" s="1062">
        <v>76125000</v>
      </c>
      <c r="X426" s="1011" t="s">
        <v>545</v>
      </c>
      <c r="Y426" s="1065" t="s">
        <v>544</v>
      </c>
      <c r="Z426" s="386">
        <v>0</v>
      </c>
      <c r="AA426" s="386">
        <v>12180000</v>
      </c>
      <c r="AB426" s="386">
        <f t="shared" ref="AB426:AB489" si="30">Z426+AA426</f>
        <v>12180000</v>
      </c>
      <c r="AC426" s="1068">
        <v>40449</v>
      </c>
      <c r="AD426" s="395">
        <v>12180000</v>
      </c>
      <c r="AE426" s="395" t="s">
        <v>137</v>
      </c>
      <c r="AF426" s="1043">
        <f>SUM(AD426:AD431)</f>
        <v>71557500</v>
      </c>
      <c r="AG426" s="1043">
        <f>AF426</f>
        <v>71557500</v>
      </c>
      <c r="AH426" s="358">
        <f t="shared" ref="AH426:AH489" si="31">AB426-AD426</f>
        <v>0</v>
      </c>
      <c r="AI426" s="1043">
        <f>O426-AD426-AD428-AD429-AD430</f>
        <v>-22837500</v>
      </c>
      <c r="AJ426" s="1062">
        <f>SUM(Z426:Z431)-SUM(AD426:AD431)</f>
        <v>4567500</v>
      </c>
      <c r="AK426" s="1062">
        <f>P426-V426-V429</f>
        <v>0</v>
      </c>
      <c r="AL426" s="1062">
        <f>SUM(V426:V431)-SUM(Z426:Z431)</f>
        <v>0</v>
      </c>
      <c r="AM426" s="1062">
        <f>AK426+AL426</f>
        <v>0</v>
      </c>
      <c r="AN426" s="1108" t="s">
        <v>512</v>
      </c>
      <c r="AO426" s="1103" t="s">
        <v>800</v>
      </c>
      <c r="AP426" s="1103" t="s">
        <v>194</v>
      </c>
      <c r="AQ426" s="1103" t="s">
        <v>368</v>
      </c>
    </row>
    <row r="427" spans="1:44" s="4" customFormat="1" ht="22.5" customHeight="1">
      <c r="A427" s="1033"/>
      <c r="B427" s="1069"/>
      <c r="C427" s="1033"/>
      <c r="D427" s="1033"/>
      <c r="E427" s="1098"/>
      <c r="F427" s="1098"/>
      <c r="G427" s="1033"/>
      <c r="H427" s="1033"/>
      <c r="I427" s="1033"/>
      <c r="J427" s="1033"/>
      <c r="K427" s="1033"/>
      <c r="L427" s="1033"/>
      <c r="M427" s="1221"/>
      <c r="N427" s="1282"/>
      <c r="O427" s="1063"/>
      <c r="P427" s="1063"/>
      <c r="Q427" s="1063"/>
      <c r="R427" s="1069"/>
      <c r="S427" s="1093"/>
      <c r="T427" s="1063"/>
      <c r="U427" s="1063"/>
      <c r="V427" s="1063"/>
      <c r="W427" s="1063"/>
      <c r="X427" s="1033"/>
      <c r="Y427" s="1067"/>
      <c r="Z427" s="386">
        <v>0</v>
      </c>
      <c r="AA427" s="386">
        <v>18270000</v>
      </c>
      <c r="AB427" s="386">
        <f t="shared" si="30"/>
        <v>18270000</v>
      </c>
      <c r="AC427" s="1070"/>
      <c r="AD427" s="395">
        <v>18270000</v>
      </c>
      <c r="AE427" s="395" t="s">
        <v>7</v>
      </c>
      <c r="AF427" s="1044"/>
      <c r="AG427" s="1044"/>
      <c r="AH427" s="358">
        <f t="shared" si="31"/>
        <v>0</v>
      </c>
      <c r="AI427" s="1044"/>
      <c r="AJ427" s="1063"/>
      <c r="AK427" s="1063"/>
      <c r="AL427" s="1063"/>
      <c r="AM427" s="1063"/>
      <c r="AN427" s="1109"/>
      <c r="AO427" s="1104"/>
      <c r="AP427" s="1104"/>
      <c r="AQ427" s="1104"/>
    </row>
    <row r="428" spans="1:44" s="4" customFormat="1" ht="31.5">
      <c r="A428" s="1033"/>
      <c r="B428" s="1069"/>
      <c r="C428" s="1033"/>
      <c r="D428" s="1033"/>
      <c r="E428" s="1098"/>
      <c r="F428" s="1098"/>
      <c r="G428" s="1033"/>
      <c r="H428" s="1033"/>
      <c r="I428" s="1033"/>
      <c r="J428" s="1033"/>
      <c r="K428" s="1033"/>
      <c r="L428" s="1033"/>
      <c r="M428" s="1221"/>
      <c r="N428" s="1282"/>
      <c r="O428" s="1064"/>
      <c r="P428" s="1063"/>
      <c r="Q428" s="1063"/>
      <c r="R428" s="1069"/>
      <c r="S428" s="1093"/>
      <c r="T428" s="1064"/>
      <c r="U428" s="1064"/>
      <c r="V428" s="1064"/>
      <c r="W428" s="1063"/>
      <c r="X428" s="1033"/>
      <c r="Y428" s="1065" t="s">
        <v>547</v>
      </c>
      <c r="Z428" s="386">
        <v>27405000</v>
      </c>
      <c r="AA428" s="386">
        <v>-10962000</v>
      </c>
      <c r="AB428" s="386">
        <f t="shared" si="30"/>
        <v>16443000</v>
      </c>
      <c r="AC428" s="1068">
        <v>40912</v>
      </c>
      <c r="AD428" s="395">
        <v>16443000</v>
      </c>
      <c r="AE428" s="395" t="s">
        <v>137</v>
      </c>
      <c r="AF428" s="1044"/>
      <c r="AG428" s="1044"/>
      <c r="AH428" s="358">
        <f t="shared" si="31"/>
        <v>0</v>
      </c>
      <c r="AI428" s="1045"/>
      <c r="AJ428" s="1063"/>
      <c r="AK428" s="1063"/>
      <c r="AL428" s="1063"/>
      <c r="AM428" s="1063"/>
      <c r="AN428" s="1109"/>
      <c r="AO428" s="1104"/>
      <c r="AP428" s="1104"/>
      <c r="AQ428" s="1104"/>
    </row>
    <row r="429" spans="1:44" s="4" customFormat="1" ht="31.5">
      <c r="A429" s="1033"/>
      <c r="B429" s="1069"/>
      <c r="C429" s="1033"/>
      <c r="D429" s="1033"/>
      <c r="E429" s="1098"/>
      <c r="F429" s="1098"/>
      <c r="G429" s="1033"/>
      <c r="H429" s="1033"/>
      <c r="I429" s="1033"/>
      <c r="J429" s="1033"/>
      <c r="K429" s="1033"/>
      <c r="L429" s="1033"/>
      <c r="M429" s="1221"/>
      <c r="N429" s="1065" t="s">
        <v>7</v>
      </c>
      <c r="O429" s="1062">
        <v>45675000</v>
      </c>
      <c r="P429" s="1063"/>
      <c r="Q429" s="1063"/>
      <c r="R429" s="1069"/>
      <c r="S429" s="1093"/>
      <c r="T429" s="1062">
        <v>45675000</v>
      </c>
      <c r="U429" s="1062">
        <f>O429-T429</f>
        <v>0</v>
      </c>
      <c r="V429" s="1062">
        <v>45675000</v>
      </c>
      <c r="W429" s="1063"/>
      <c r="X429" s="1033"/>
      <c r="Y429" s="1067"/>
      <c r="Z429" s="386">
        <v>41107500</v>
      </c>
      <c r="AA429" s="386">
        <v>-16443000</v>
      </c>
      <c r="AB429" s="386">
        <f t="shared" si="30"/>
        <v>24664500</v>
      </c>
      <c r="AC429" s="1070"/>
      <c r="AD429" s="395">
        <v>24664500</v>
      </c>
      <c r="AE429" s="395" t="s">
        <v>137</v>
      </c>
      <c r="AF429" s="1044"/>
      <c r="AG429" s="1044"/>
      <c r="AH429" s="358">
        <f t="shared" si="31"/>
        <v>0</v>
      </c>
      <c r="AI429" s="1043">
        <f>O429-AD427-AD431</f>
        <v>27405000</v>
      </c>
      <c r="AJ429" s="1063"/>
      <c r="AK429" s="1063"/>
      <c r="AL429" s="1063"/>
      <c r="AM429" s="1063"/>
      <c r="AN429" s="1109"/>
      <c r="AO429" s="1104"/>
      <c r="AP429" s="1104"/>
      <c r="AQ429" s="1104"/>
    </row>
    <row r="430" spans="1:44" s="4" customFormat="1" ht="31.5">
      <c r="A430" s="1033"/>
      <c r="B430" s="1069"/>
      <c r="C430" s="1033"/>
      <c r="D430" s="1033"/>
      <c r="E430" s="1098"/>
      <c r="F430" s="1098"/>
      <c r="G430" s="1033"/>
      <c r="H430" s="1033"/>
      <c r="I430" s="1033"/>
      <c r="J430" s="1033"/>
      <c r="K430" s="1033"/>
      <c r="L430" s="1033"/>
      <c r="M430" s="1221"/>
      <c r="N430" s="1066"/>
      <c r="O430" s="1063"/>
      <c r="P430" s="1063"/>
      <c r="Q430" s="1063"/>
      <c r="R430" s="1069"/>
      <c r="S430" s="1093"/>
      <c r="T430" s="1063"/>
      <c r="U430" s="1063"/>
      <c r="V430" s="1063"/>
      <c r="W430" s="1063"/>
      <c r="X430" s="1033"/>
      <c r="Y430" s="1065" t="s">
        <v>548</v>
      </c>
      <c r="Z430" s="369">
        <v>3045000</v>
      </c>
      <c r="AA430" s="369">
        <v>-1218000</v>
      </c>
      <c r="AB430" s="369">
        <f t="shared" si="30"/>
        <v>1827000</v>
      </c>
      <c r="AC430" s="364"/>
      <c r="AD430" s="177">
        <v>0</v>
      </c>
      <c r="AE430" s="177" t="s">
        <v>137</v>
      </c>
      <c r="AF430" s="1044"/>
      <c r="AG430" s="1044"/>
      <c r="AH430" s="373">
        <f t="shared" si="31"/>
        <v>1827000</v>
      </c>
      <c r="AI430" s="1044"/>
      <c r="AJ430" s="1063"/>
      <c r="AK430" s="1063"/>
      <c r="AL430" s="1063"/>
      <c r="AM430" s="1063"/>
      <c r="AN430" s="1109"/>
      <c r="AO430" s="1104"/>
      <c r="AP430" s="1104"/>
      <c r="AQ430" s="1104"/>
    </row>
    <row r="431" spans="1:44" s="4" customFormat="1">
      <c r="A431" s="1012"/>
      <c r="B431" s="1070"/>
      <c r="C431" s="1012"/>
      <c r="D431" s="1012"/>
      <c r="E431" s="1099"/>
      <c r="F431" s="1099"/>
      <c r="G431" s="1012"/>
      <c r="H431" s="1012"/>
      <c r="I431" s="1012"/>
      <c r="J431" s="1012"/>
      <c r="K431" s="1012"/>
      <c r="L431" s="1012"/>
      <c r="M431" s="1222"/>
      <c r="N431" s="1067"/>
      <c r="O431" s="1064"/>
      <c r="P431" s="1064"/>
      <c r="Q431" s="1064"/>
      <c r="R431" s="1070"/>
      <c r="S431" s="1094"/>
      <c r="T431" s="1064"/>
      <c r="U431" s="1064"/>
      <c r="V431" s="1064"/>
      <c r="W431" s="1064"/>
      <c r="X431" s="1012"/>
      <c r="Y431" s="1067"/>
      <c r="Z431" s="369">
        <v>4567500</v>
      </c>
      <c r="AA431" s="369">
        <v>-1827000</v>
      </c>
      <c r="AB431" s="369">
        <f t="shared" si="30"/>
        <v>2740500</v>
      </c>
      <c r="AC431" s="364"/>
      <c r="AD431" s="177">
        <v>0</v>
      </c>
      <c r="AE431" s="177" t="s">
        <v>7</v>
      </c>
      <c r="AF431" s="1045"/>
      <c r="AG431" s="1045"/>
      <c r="AH431" s="373">
        <f t="shared" si="31"/>
        <v>2740500</v>
      </c>
      <c r="AI431" s="1045"/>
      <c r="AJ431" s="1064"/>
      <c r="AK431" s="1064"/>
      <c r="AL431" s="1064"/>
      <c r="AM431" s="1064"/>
      <c r="AN431" s="1110"/>
      <c r="AO431" s="1105"/>
      <c r="AP431" s="1105"/>
      <c r="AQ431" s="1105"/>
    </row>
    <row r="432" spans="1:44" s="4" customFormat="1" ht="15.75" customHeight="1">
      <c r="A432" s="1076" t="s">
        <v>549</v>
      </c>
      <c r="B432" s="1171">
        <v>40378</v>
      </c>
      <c r="C432" s="1076" t="s">
        <v>41</v>
      </c>
      <c r="D432" s="1076" t="s">
        <v>550</v>
      </c>
      <c r="E432" s="1252">
        <v>900368918</v>
      </c>
      <c r="F432" s="1252">
        <v>0</v>
      </c>
      <c r="G432" s="1076" t="s">
        <v>551</v>
      </c>
      <c r="H432" s="1076" t="s">
        <v>72</v>
      </c>
      <c r="I432" s="1076" t="s">
        <v>177</v>
      </c>
      <c r="J432" s="1076" t="s">
        <v>66</v>
      </c>
      <c r="K432" s="1076" t="s">
        <v>217</v>
      </c>
      <c r="L432" s="1076" t="s">
        <v>553</v>
      </c>
      <c r="M432" s="1251">
        <v>104</v>
      </c>
      <c r="N432" s="1282" t="s">
        <v>137</v>
      </c>
      <c r="O432" s="1119">
        <v>11426000</v>
      </c>
      <c r="P432" s="1119">
        <f>O432+O434</f>
        <v>28565000</v>
      </c>
      <c r="Q432" s="1119">
        <f>P432</f>
        <v>28565000</v>
      </c>
      <c r="R432" s="1171">
        <v>40413</v>
      </c>
      <c r="S432" s="1196">
        <f>T432+T433</f>
        <v>11426000</v>
      </c>
      <c r="T432" s="1119">
        <v>11426000</v>
      </c>
      <c r="U432" s="1119">
        <f>O432-T432</f>
        <v>0</v>
      </c>
      <c r="V432" s="1119">
        <v>11426000</v>
      </c>
      <c r="W432" s="1119">
        <v>28565000</v>
      </c>
      <c r="X432" s="1076" t="s">
        <v>467</v>
      </c>
      <c r="Y432" s="1123" t="s">
        <v>552</v>
      </c>
      <c r="Z432" s="386">
        <v>0</v>
      </c>
      <c r="AA432" s="386">
        <v>4570400</v>
      </c>
      <c r="AB432" s="386">
        <f t="shared" si="30"/>
        <v>4570400</v>
      </c>
      <c r="AC432" s="1171">
        <v>40466</v>
      </c>
      <c r="AD432" s="395">
        <v>4570400</v>
      </c>
      <c r="AE432" s="395" t="s">
        <v>137</v>
      </c>
      <c r="AF432" s="1084">
        <f>SUM(AD432:AD435)</f>
        <v>11426000</v>
      </c>
      <c r="AG432" s="1084">
        <f>AF432</f>
        <v>11426000</v>
      </c>
      <c r="AH432" s="358">
        <f t="shared" si="31"/>
        <v>0</v>
      </c>
      <c r="AI432" s="1084">
        <f>O432-AD432</f>
        <v>6855600</v>
      </c>
      <c r="AJ432" s="1119">
        <f>SUM(Z432:Z435)-SUM(AD432:AD435)</f>
        <v>17139000</v>
      </c>
      <c r="AK432" s="1119">
        <f>P432-V432-V434</f>
        <v>0</v>
      </c>
      <c r="AL432" s="1119">
        <f>W432-SUM(Z432:Z435)</f>
        <v>0</v>
      </c>
      <c r="AM432" s="1119">
        <f>AK432+AL432</f>
        <v>0</v>
      </c>
      <c r="AN432" s="1203" t="s">
        <v>512</v>
      </c>
      <c r="AO432" s="1204" t="s">
        <v>801</v>
      </c>
      <c r="AP432" s="1204" t="s">
        <v>194</v>
      </c>
      <c r="AQ432" s="1204" t="s">
        <v>368</v>
      </c>
      <c r="AR432" s="1074" t="s">
        <v>2506</v>
      </c>
    </row>
    <row r="433" spans="1:44" s="4" customFormat="1">
      <c r="A433" s="1076"/>
      <c r="B433" s="1171"/>
      <c r="C433" s="1076"/>
      <c r="D433" s="1076"/>
      <c r="E433" s="1252"/>
      <c r="F433" s="1252"/>
      <c r="G433" s="1076"/>
      <c r="H433" s="1076"/>
      <c r="I433" s="1076"/>
      <c r="J433" s="1076"/>
      <c r="K433" s="1076"/>
      <c r="L433" s="1076"/>
      <c r="M433" s="1251"/>
      <c r="N433" s="1282"/>
      <c r="O433" s="1119"/>
      <c r="P433" s="1119"/>
      <c r="Q433" s="1119"/>
      <c r="R433" s="1171"/>
      <c r="S433" s="1196"/>
      <c r="T433" s="1119"/>
      <c r="U433" s="1119"/>
      <c r="V433" s="1119"/>
      <c r="W433" s="1119"/>
      <c r="X433" s="1076"/>
      <c r="Y433" s="1123"/>
      <c r="Z433" s="386">
        <v>0</v>
      </c>
      <c r="AA433" s="386">
        <v>6855600</v>
      </c>
      <c r="AB433" s="386">
        <f t="shared" si="30"/>
        <v>6855600</v>
      </c>
      <c r="AC433" s="1171"/>
      <c r="AD433" s="395">
        <v>6855600</v>
      </c>
      <c r="AE433" s="395" t="s">
        <v>7</v>
      </c>
      <c r="AF433" s="1084"/>
      <c r="AG433" s="1084"/>
      <c r="AH433" s="358">
        <f t="shared" si="31"/>
        <v>0</v>
      </c>
      <c r="AI433" s="1084"/>
      <c r="AJ433" s="1119"/>
      <c r="AK433" s="1119"/>
      <c r="AL433" s="1119"/>
      <c r="AM433" s="1119"/>
      <c r="AN433" s="1203"/>
      <c r="AO433" s="1204"/>
      <c r="AP433" s="1204"/>
      <c r="AQ433" s="1204"/>
      <c r="AR433" s="1074"/>
    </row>
    <row r="434" spans="1:44" s="4" customFormat="1" ht="31.5">
      <c r="A434" s="1076"/>
      <c r="B434" s="1171"/>
      <c r="C434" s="1076"/>
      <c r="D434" s="1076"/>
      <c r="E434" s="1252"/>
      <c r="F434" s="1252"/>
      <c r="G434" s="1076"/>
      <c r="H434" s="1076"/>
      <c r="I434" s="1076"/>
      <c r="J434" s="1076"/>
      <c r="K434" s="1076"/>
      <c r="L434" s="1076"/>
      <c r="M434" s="1251"/>
      <c r="N434" s="1282" t="s">
        <v>7</v>
      </c>
      <c r="O434" s="1119">
        <v>17139000</v>
      </c>
      <c r="P434" s="1119"/>
      <c r="Q434" s="1119"/>
      <c r="R434" s="1171"/>
      <c r="S434" s="1196"/>
      <c r="T434" s="1119">
        <v>17139000</v>
      </c>
      <c r="U434" s="1119">
        <f>O434-T434</f>
        <v>0</v>
      </c>
      <c r="V434" s="1119">
        <v>17139000</v>
      </c>
      <c r="W434" s="1119"/>
      <c r="X434" s="1076"/>
      <c r="Y434" s="1123" t="s">
        <v>554</v>
      </c>
      <c r="Z434" s="386">
        <v>11426000</v>
      </c>
      <c r="AA434" s="386">
        <v>-4570400</v>
      </c>
      <c r="AB434" s="386">
        <f t="shared" si="30"/>
        <v>6855600</v>
      </c>
      <c r="AC434" s="384"/>
      <c r="AD434" s="395">
        <v>0</v>
      </c>
      <c r="AE434" s="395" t="s">
        <v>137</v>
      </c>
      <c r="AF434" s="1084"/>
      <c r="AG434" s="1084"/>
      <c r="AH434" s="358">
        <f t="shared" si="31"/>
        <v>6855600</v>
      </c>
      <c r="AI434" s="1084">
        <f>O434-AD433</f>
        <v>10283400</v>
      </c>
      <c r="AJ434" s="1119"/>
      <c r="AK434" s="1119"/>
      <c r="AL434" s="1119"/>
      <c r="AM434" s="1119"/>
      <c r="AN434" s="1203"/>
      <c r="AO434" s="1204"/>
      <c r="AP434" s="1204"/>
      <c r="AQ434" s="1204"/>
      <c r="AR434" s="1074"/>
    </row>
    <row r="435" spans="1:44" s="4" customFormat="1">
      <c r="A435" s="1076"/>
      <c r="B435" s="1171"/>
      <c r="C435" s="1076"/>
      <c r="D435" s="1076"/>
      <c r="E435" s="1252"/>
      <c r="F435" s="1252"/>
      <c r="G435" s="1076"/>
      <c r="H435" s="1076"/>
      <c r="I435" s="1076"/>
      <c r="J435" s="1076"/>
      <c r="K435" s="1076"/>
      <c r="L435" s="1076"/>
      <c r="M435" s="1251"/>
      <c r="N435" s="1282"/>
      <c r="O435" s="1119"/>
      <c r="P435" s="1119"/>
      <c r="Q435" s="1119"/>
      <c r="R435" s="1171"/>
      <c r="S435" s="1196"/>
      <c r="T435" s="1119"/>
      <c r="U435" s="1119"/>
      <c r="V435" s="1119"/>
      <c r="W435" s="1119"/>
      <c r="X435" s="1076"/>
      <c r="Y435" s="1123"/>
      <c r="Z435" s="386">
        <v>17139000</v>
      </c>
      <c r="AA435" s="386">
        <v>-6855600</v>
      </c>
      <c r="AB435" s="386">
        <f t="shared" si="30"/>
        <v>10283400</v>
      </c>
      <c r="AC435" s="384"/>
      <c r="AD435" s="395">
        <v>0</v>
      </c>
      <c r="AE435" s="395" t="s">
        <v>7</v>
      </c>
      <c r="AF435" s="1084"/>
      <c r="AG435" s="1084"/>
      <c r="AH435" s="358">
        <f t="shared" si="31"/>
        <v>10283400</v>
      </c>
      <c r="AI435" s="1084"/>
      <c r="AJ435" s="1119"/>
      <c r="AK435" s="1119"/>
      <c r="AL435" s="1119"/>
      <c r="AM435" s="1119"/>
      <c r="AN435" s="1203"/>
      <c r="AO435" s="1204"/>
      <c r="AP435" s="1204"/>
      <c r="AQ435" s="1204"/>
      <c r="AR435" s="1074"/>
    </row>
    <row r="436" spans="1:44" s="27" customFormat="1" ht="27" customHeight="1">
      <c r="A436" s="1076" t="s">
        <v>555</v>
      </c>
      <c r="B436" s="1171">
        <v>40372</v>
      </c>
      <c r="C436" s="1076" t="s">
        <v>41</v>
      </c>
      <c r="D436" s="1076" t="s">
        <v>556</v>
      </c>
      <c r="E436" s="1252">
        <v>900367387</v>
      </c>
      <c r="F436" s="1252">
        <v>5</v>
      </c>
      <c r="G436" s="1076" t="s">
        <v>557</v>
      </c>
      <c r="H436" s="1076" t="s">
        <v>72</v>
      </c>
      <c r="I436" s="1076" t="s">
        <v>177</v>
      </c>
      <c r="J436" s="1076" t="s">
        <v>66</v>
      </c>
      <c r="K436" s="1076" t="s">
        <v>217</v>
      </c>
      <c r="L436" s="1076" t="s">
        <v>559</v>
      </c>
      <c r="M436" s="1268">
        <v>105</v>
      </c>
      <c r="N436" s="1123" t="s">
        <v>137</v>
      </c>
      <c r="O436" s="1119">
        <v>15080000</v>
      </c>
      <c r="P436" s="1119">
        <f>O436+O438</f>
        <v>37700000</v>
      </c>
      <c r="Q436" s="1119">
        <f>P436</f>
        <v>37700000</v>
      </c>
      <c r="R436" s="1171">
        <v>42970</v>
      </c>
      <c r="S436" s="1119">
        <f>T436+T438</f>
        <v>37700000</v>
      </c>
      <c r="T436" s="1119">
        <v>15080000</v>
      </c>
      <c r="U436" s="1119">
        <f>O436-T436</f>
        <v>0</v>
      </c>
      <c r="V436" s="1119">
        <v>15073371.200000001</v>
      </c>
      <c r="W436" s="1119">
        <v>37683428</v>
      </c>
      <c r="X436" s="1203" t="s">
        <v>467</v>
      </c>
      <c r="Y436" s="1123" t="s">
        <v>560</v>
      </c>
      <c r="Z436" s="386">
        <v>0</v>
      </c>
      <c r="AA436" s="386">
        <v>6029348.4800000004</v>
      </c>
      <c r="AB436" s="386">
        <f t="shared" si="30"/>
        <v>6029348.4800000004</v>
      </c>
      <c r="AC436" s="1171">
        <v>40448</v>
      </c>
      <c r="AD436" s="423">
        <v>6029348</v>
      </c>
      <c r="AE436" s="386" t="s">
        <v>137</v>
      </c>
      <c r="AF436" s="1119">
        <f>SUM(AD436:AD439)</f>
        <v>15073371</v>
      </c>
      <c r="AG436" s="1119">
        <f>AF436+AF437</f>
        <v>15073371</v>
      </c>
      <c r="AH436" s="386">
        <f t="shared" si="31"/>
        <v>0.48000000044703484</v>
      </c>
      <c r="AI436" s="1119">
        <f>O436-AD436-AD438</f>
        <v>9050652</v>
      </c>
      <c r="AJ436" s="1119">
        <f>SUM(Z436:Z439)-SUM(AD436:AD439)</f>
        <v>22610057</v>
      </c>
      <c r="AK436" s="1119">
        <f>O436-V436</f>
        <v>6628.7999999988824</v>
      </c>
      <c r="AL436" s="1119">
        <f>SUM(V436:V439)-SUM(Z436:Z439)</f>
        <v>0</v>
      </c>
      <c r="AM436" s="1119">
        <f>AK436+AK438+AL436</f>
        <v>16571.999999998137</v>
      </c>
      <c r="AN436" s="1260" t="s">
        <v>562</v>
      </c>
      <c r="AO436" s="1260" t="s">
        <v>777</v>
      </c>
      <c r="AP436" s="1438" t="s">
        <v>195</v>
      </c>
      <c r="AQ436" s="1438" t="s">
        <v>558</v>
      </c>
    </row>
    <row r="437" spans="1:44" s="27" customFormat="1" ht="32.25" customHeight="1">
      <c r="A437" s="1076"/>
      <c r="B437" s="1171"/>
      <c r="C437" s="1076"/>
      <c r="D437" s="1076"/>
      <c r="E437" s="1252"/>
      <c r="F437" s="1252"/>
      <c r="G437" s="1076"/>
      <c r="H437" s="1076"/>
      <c r="I437" s="1076"/>
      <c r="J437" s="1076"/>
      <c r="K437" s="1076"/>
      <c r="L437" s="1076"/>
      <c r="M437" s="1268"/>
      <c r="N437" s="1123"/>
      <c r="O437" s="1119"/>
      <c r="P437" s="1119"/>
      <c r="Q437" s="1119"/>
      <c r="R437" s="1171"/>
      <c r="S437" s="1119"/>
      <c r="T437" s="1119"/>
      <c r="U437" s="1119"/>
      <c r="V437" s="1119"/>
      <c r="W437" s="1119"/>
      <c r="X437" s="1203"/>
      <c r="Y437" s="1123"/>
      <c r="Z437" s="386">
        <v>0</v>
      </c>
      <c r="AA437" s="386">
        <v>9044022.7200000007</v>
      </c>
      <c r="AB437" s="386">
        <f t="shared" si="30"/>
        <v>9044022.7200000007</v>
      </c>
      <c r="AC437" s="1171"/>
      <c r="AD437" s="423">
        <v>9044023</v>
      </c>
      <c r="AE437" s="386" t="s">
        <v>7</v>
      </c>
      <c r="AF437" s="1119"/>
      <c r="AG437" s="1119"/>
      <c r="AH437" s="386">
        <f t="shared" si="31"/>
        <v>-0.27999999932944775</v>
      </c>
      <c r="AI437" s="1119"/>
      <c r="AJ437" s="1119"/>
      <c r="AK437" s="1119"/>
      <c r="AL437" s="1119"/>
      <c r="AM437" s="1119"/>
      <c r="AN437" s="1260"/>
      <c r="AO437" s="1260"/>
      <c r="AP437" s="1438"/>
      <c r="AQ437" s="1438"/>
    </row>
    <row r="438" spans="1:44" s="27" customFormat="1" ht="31.5">
      <c r="A438" s="1076"/>
      <c r="B438" s="1171"/>
      <c r="C438" s="1076"/>
      <c r="D438" s="1076"/>
      <c r="E438" s="1252"/>
      <c r="F438" s="1252"/>
      <c r="G438" s="1076"/>
      <c r="H438" s="1076"/>
      <c r="I438" s="1076"/>
      <c r="J438" s="1076"/>
      <c r="K438" s="1076"/>
      <c r="L438" s="1076"/>
      <c r="M438" s="1268"/>
      <c r="N438" s="1123" t="s">
        <v>7</v>
      </c>
      <c r="O438" s="1119">
        <v>22620000</v>
      </c>
      <c r="P438" s="1119"/>
      <c r="Q438" s="1119"/>
      <c r="R438" s="1171"/>
      <c r="S438" s="1119"/>
      <c r="T438" s="1119">
        <v>22620000</v>
      </c>
      <c r="U438" s="1119">
        <f>O438-T438</f>
        <v>0</v>
      </c>
      <c r="V438" s="1119">
        <v>22610056.800000001</v>
      </c>
      <c r="W438" s="1119"/>
      <c r="X438" s="1203"/>
      <c r="Y438" s="1123" t="s">
        <v>561</v>
      </c>
      <c r="Z438" s="386">
        <v>15073371.200000001</v>
      </c>
      <c r="AA438" s="386">
        <v>-6029348.4800000004</v>
      </c>
      <c r="AB438" s="386">
        <f t="shared" si="30"/>
        <v>9044022.7200000007</v>
      </c>
      <c r="AC438" s="384"/>
      <c r="AD438" s="423">
        <v>0</v>
      </c>
      <c r="AE438" s="386" t="s">
        <v>137</v>
      </c>
      <c r="AF438" s="1119"/>
      <c r="AG438" s="1119"/>
      <c r="AH438" s="386">
        <f t="shared" si="31"/>
        <v>9044022.7200000007</v>
      </c>
      <c r="AI438" s="1119">
        <f>V438-AD437-AD439</f>
        <v>13566033.800000001</v>
      </c>
      <c r="AJ438" s="1119"/>
      <c r="AK438" s="1119">
        <f>O438-V438</f>
        <v>9943.1999999992549</v>
      </c>
      <c r="AL438" s="1119"/>
      <c r="AM438" s="1119"/>
      <c r="AN438" s="1260"/>
      <c r="AO438" s="1260"/>
      <c r="AP438" s="1438"/>
      <c r="AQ438" s="1438"/>
    </row>
    <row r="439" spans="1:44" s="27" customFormat="1">
      <c r="A439" s="1076"/>
      <c r="B439" s="1171"/>
      <c r="C439" s="1076"/>
      <c r="D439" s="1076"/>
      <c r="E439" s="1252"/>
      <c r="F439" s="1252"/>
      <c r="G439" s="1076"/>
      <c r="H439" s="1076"/>
      <c r="I439" s="1076"/>
      <c r="J439" s="1076"/>
      <c r="K439" s="1076"/>
      <c r="L439" s="1076"/>
      <c r="M439" s="1268"/>
      <c r="N439" s="1123"/>
      <c r="O439" s="1119"/>
      <c r="P439" s="1119"/>
      <c r="Q439" s="1119"/>
      <c r="R439" s="1171"/>
      <c r="S439" s="1119"/>
      <c r="T439" s="1119"/>
      <c r="U439" s="1119"/>
      <c r="V439" s="1119"/>
      <c r="W439" s="1119"/>
      <c r="X439" s="1203"/>
      <c r="Y439" s="1123"/>
      <c r="Z439" s="386">
        <v>22610056.800000001</v>
      </c>
      <c r="AA439" s="386">
        <v>-9044022.7200000007</v>
      </c>
      <c r="AB439" s="386">
        <f t="shared" si="30"/>
        <v>13566034.08</v>
      </c>
      <c r="AC439" s="384"/>
      <c r="AD439" s="423">
        <v>0</v>
      </c>
      <c r="AE439" s="386" t="s">
        <v>7</v>
      </c>
      <c r="AF439" s="1119"/>
      <c r="AG439" s="1119"/>
      <c r="AH439" s="386">
        <f t="shared" si="31"/>
        <v>13566034.08</v>
      </c>
      <c r="AI439" s="1119"/>
      <c r="AJ439" s="1119"/>
      <c r="AK439" s="1119"/>
      <c r="AL439" s="1119"/>
      <c r="AM439" s="1119"/>
      <c r="AN439" s="1260"/>
      <c r="AO439" s="1260"/>
      <c r="AP439" s="1438"/>
      <c r="AQ439" s="1438"/>
    </row>
    <row r="440" spans="1:44" s="28" customFormat="1" ht="25.5" customHeight="1">
      <c r="A440" s="1076" t="s">
        <v>592</v>
      </c>
      <c r="B440" s="1171">
        <v>40372</v>
      </c>
      <c r="C440" s="1076" t="s">
        <v>41</v>
      </c>
      <c r="D440" s="1076" t="s">
        <v>593</v>
      </c>
      <c r="E440" s="1252">
        <v>900367513</v>
      </c>
      <c r="F440" s="1252">
        <v>7</v>
      </c>
      <c r="G440" s="1076" t="s">
        <v>594</v>
      </c>
      <c r="H440" s="1076" t="s">
        <v>72</v>
      </c>
      <c r="I440" s="1076" t="s">
        <v>177</v>
      </c>
      <c r="J440" s="1076" t="s">
        <v>66</v>
      </c>
      <c r="K440" s="1076" t="s">
        <v>217</v>
      </c>
      <c r="L440" s="1076" t="s">
        <v>595</v>
      </c>
      <c r="M440" s="1268">
        <v>106</v>
      </c>
      <c r="N440" s="1123" t="s">
        <v>137</v>
      </c>
      <c r="O440" s="1119">
        <v>23084000</v>
      </c>
      <c r="P440" s="1119">
        <v>57710000</v>
      </c>
      <c r="Q440" s="1119">
        <v>81765500</v>
      </c>
      <c r="R440" s="1171">
        <v>40413</v>
      </c>
      <c r="S440" s="1119">
        <f>T440+T443</f>
        <v>57710000</v>
      </c>
      <c r="T440" s="1119">
        <v>23084000</v>
      </c>
      <c r="U440" s="1119">
        <f>O440-T440</f>
        <v>0</v>
      </c>
      <c r="V440" s="1119">
        <v>23076620.400000002</v>
      </c>
      <c r="W440" s="1119">
        <v>81747051</v>
      </c>
      <c r="X440" s="1203" t="s">
        <v>467</v>
      </c>
      <c r="Y440" s="1123" t="s">
        <v>596</v>
      </c>
      <c r="Z440" s="386">
        <v>0</v>
      </c>
      <c r="AA440" s="386">
        <v>9230648.160000002</v>
      </c>
      <c r="AB440" s="386">
        <f t="shared" si="30"/>
        <v>9230648.160000002</v>
      </c>
      <c r="AC440" s="1171">
        <v>40448</v>
      </c>
      <c r="AD440" s="423">
        <v>9230648</v>
      </c>
      <c r="AE440" s="386" t="s">
        <v>137</v>
      </c>
      <c r="AF440" s="1119">
        <f>SUM(AD440:AD443)</f>
        <v>54230058</v>
      </c>
      <c r="AG440" s="1119">
        <f>AF440+AF445</f>
        <v>75880008</v>
      </c>
      <c r="AH440" s="386">
        <f t="shared" si="31"/>
        <v>0.16000000201165676</v>
      </c>
      <c r="AI440" s="1119">
        <f>O440-AD440-AD442-AD443</f>
        <v>-17300086</v>
      </c>
      <c r="AJ440" s="1119">
        <f>SUM(Z440:Z444)-SUM(AD440:AD444)</f>
        <v>3461493</v>
      </c>
      <c r="AK440" s="1119">
        <f>O440-V440</f>
        <v>7379.5999999977648</v>
      </c>
      <c r="AL440" s="1119">
        <f>SUM(V440:V444)-SUM(Z440:Z444)</f>
        <v>0</v>
      </c>
      <c r="AM440" s="1119">
        <f>AK440+AK443+AL440</f>
        <v>18448.999999996275</v>
      </c>
      <c r="AN440" s="1260" t="s">
        <v>591</v>
      </c>
      <c r="AO440" s="1260" t="s">
        <v>771</v>
      </c>
      <c r="AP440" s="1438" t="s">
        <v>195</v>
      </c>
      <c r="AQ440" s="1438" t="s">
        <v>558</v>
      </c>
      <c r="AR440" s="1365" t="s">
        <v>2502</v>
      </c>
    </row>
    <row r="441" spans="1:44" s="28" customFormat="1" ht="25.5" customHeight="1">
      <c r="A441" s="1076"/>
      <c r="B441" s="1171"/>
      <c r="C441" s="1076"/>
      <c r="D441" s="1076"/>
      <c r="E441" s="1252"/>
      <c r="F441" s="1252"/>
      <c r="G441" s="1076"/>
      <c r="H441" s="1076"/>
      <c r="I441" s="1076"/>
      <c r="J441" s="1076"/>
      <c r="K441" s="1076"/>
      <c r="L441" s="1076"/>
      <c r="M441" s="1268"/>
      <c r="N441" s="1123"/>
      <c r="O441" s="1119"/>
      <c r="P441" s="1119"/>
      <c r="Q441" s="1119"/>
      <c r="R441" s="1171"/>
      <c r="S441" s="1119"/>
      <c r="T441" s="1119"/>
      <c r="U441" s="1119"/>
      <c r="V441" s="1119"/>
      <c r="W441" s="1119"/>
      <c r="X441" s="1203"/>
      <c r="Y441" s="1123"/>
      <c r="Z441" s="386">
        <v>0</v>
      </c>
      <c r="AA441" s="386">
        <v>13845972.240000002</v>
      </c>
      <c r="AB441" s="386">
        <f t="shared" si="30"/>
        <v>13845972.240000002</v>
      </c>
      <c r="AC441" s="1171"/>
      <c r="AD441" s="423">
        <v>13845972</v>
      </c>
      <c r="AE441" s="386" t="s">
        <v>7</v>
      </c>
      <c r="AF441" s="1119"/>
      <c r="AG441" s="1119"/>
      <c r="AH441" s="386">
        <f t="shared" si="31"/>
        <v>0.24000000208616257</v>
      </c>
      <c r="AI441" s="1119"/>
      <c r="AJ441" s="1119"/>
      <c r="AK441" s="1119"/>
      <c r="AL441" s="1119"/>
      <c r="AM441" s="1119"/>
      <c r="AN441" s="1260"/>
      <c r="AO441" s="1260"/>
      <c r="AP441" s="1438"/>
      <c r="AQ441" s="1438"/>
      <c r="AR441" s="1365"/>
    </row>
    <row r="442" spans="1:44" s="28" customFormat="1" ht="31.5">
      <c r="A442" s="1076"/>
      <c r="B442" s="1171"/>
      <c r="C442" s="1076"/>
      <c r="D442" s="1076"/>
      <c r="E442" s="1252"/>
      <c r="F442" s="1252"/>
      <c r="G442" s="1076"/>
      <c r="H442" s="1076"/>
      <c r="I442" s="1076"/>
      <c r="J442" s="1076"/>
      <c r="K442" s="1076"/>
      <c r="L442" s="1076"/>
      <c r="M442" s="1268"/>
      <c r="N442" s="1123"/>
      <c r="O442" s="1119"/>
      <c r="P442" s="1119"/>
      <c r="Q442" s="1119"/>
      <c r="R442" s="1171"/>
      <c r="S442" s="1119"/>
      <c r="T442" s="1119"/>
      <c r="U442" s="1119"/>
      <c r="V442" s="1119"/>
      <c r="W442" s="1119"/>
      <c r="X442" s="1203"/>
      <c r="Y442" s="1123" t="s">
        <v>770</v>
      </c>
      <c r="Z442" s="386">
        <f>51922395.9*40%</f>
        <v>20768958.359999999</v>
      </c>
      <c r="AA442" s="386">
        <v>-9230648</v>
      </c>
      <c r="AB442" s="386">
        <f t="shared" si="30"/>
        <v>11538310.359999999</v>
      </c>
      <c r="AC442" s="1171">
        <v>41136</v>
      </c>
      <c r="AD442" s="423">
        <v>12461375</v>
      </c>
      <c r="AE442" s="386" t="s">
        <v>137</v>
      </c>
      <c r="AF442" s="1119"/>
      <c r="AG442" s="1119"/>
      <c r="AH442" s="386">
        <f t="shared" si="31"/>
        <v>-923064.6400000006</v>
      </c>
      <c r="AI442" s="1119"/>
      <c r="AJ442" s="1119"/>
      <c r="AK442" s="1119"/>
      <c r="AL442" s="1119"/>
      <c r="AM442" s="1119"/>
      <c r="AN442" s="1260"/>
      <c r="AO442" s="1260"/>
      <c r="AP442" s="1438"/>
      <c r="AQ442" s="1438"/>
      <c r="AR442" s="1365"/>
    </row>
    <row r="443" spans="1:44" s="28" customFormat="1" ht="31.5">
      <c r="A443" s="1076"/>
      <c r="B443" s="1171"/>
      <c r="C443" s="1076"/>
      <c r="D443" s="1076"/>
      <c r="E443" s="1252"/>
      <c r="F443" s="1252"/>
      <c r="G443" s="1076"/>
      <c r="H443" s="1076"/>
      <c r="I443" s="1076"/>
      <c r="J443" s="1076"/>
      <c r="K443" s="1076"/>
      <c r="L443" s="1076"/>
      <c r="M443" s="1268"/>
      <c r="N443" s="1123" t="s">
        <v>7</v>
      </c>
      <c r="O443" s="1119">
        <v>34626000</v>
      </c>
      <c r="P443" s="1119"/>
      <c r="Q443" s="1119"/>
      <c r="R443" s="1171"/>
      <c r="S443" s="1119"/>
      <c r="T443" s="1119">
        <v>34626000</v>
      </c>
      <c r="U443" s="1119">
        <f>O443-T443</f>
        <v>0</v>
      </c>
      <c r="V443" s="1119">
        <v>34614930.600000001</v>
      </c>
      <c r="W443" s="1119"/>
      <c r="X443" s="1203"/>
      <c r="Y443" s="1123"/>
      <c r="Z443" s="386">
        <f>51922395.9*60%</f>
        <v>31153437.539999999</v>
      </c>
      <c r="AA443" s="386">
        <v>-13845972</v>
      </c>
      <c r="AB443" s="386">
        <f t="shared" si="30"/>
        <v>17307465.539999999</v>
      </c>
      <c r="AC443" s="1171"/>
      <c r="AD443" s="423">
        <v>18692063</v>
      </c>
      <c r="AE443" s="386" t="s">
        <v>137</v>
      </c>
      <c r="AF443" s="1119"/>
      <c r="AG443" s="1119"/>
      <c r="AH443" s="386">
        <f t="shared" si="31"/>
        <v>-1384597.4600000009</v>
      </c>
      <c r="AI443" s="1119">
        <f>O443-AD441-AD444</f>
        <v>20780028</v>
      </c>
      <c r="AJ443" s="1119"/>
      <c r="AK443" s="1119">
        <f>O443-V443</f>
        <v>11069.39999999851</v>
      </c>
      <c r="AL443" s="1119"/>
      <c r="AM443" s="1119"/>
      <c r="AN443" s="1260"/>
      <c r="AO443" s="1260"/>
      <c r="AP443" s="1438"/>
      <c r="AQ443" s="1438"/>
      <c r="AR443" s="1365"/>
    </row>
    <row r="444" spans="1:44" s="28" customFormat="1" ht="47.25">
      <c r="A444" s="1076"/>
      <c r="B444" s="1171"/>
      <c r="C444" s="1076"/>
      <c r="D444" s="1076"/>
      <c r="E444" s="1252"/>
      <c r="F444" s="1252"/>
      <c r="G444" s="1076"/>
      <c r="H444" s="1076"/>
      <c r="I444" s="1076"/>
      <c r="J444" s="1076"/>
      <c r="K444" s="1076"/>
      <c r="L444" s="1076"/>
      <c r="M444" s="1268"/>
      <c r="N444" s="1123"/>
      <c r="O444" s="1119"/>
      <c r="P444" s="1119"/>
      <c r="Q444" s="1119"/>
      <c r="R444" s="1171"/>
      <c r="S444" s="1119"/>
      <c r="T444" s="1119"/>
      <c r="U444" s="1119"/>
      <c r="V444" s="1119"/>
      <c r="W444" s="1119"/>
      <c r="X444" s="1203"/>
      <c r="Y444" s="372" t="s">
        <v>769</v>
      </c>
      <c r="Z444" s="386">
        <v>5769155.1000000015</v>
      </c>
      <c r="AA444" s="386">
        <v>0</v>
      </c>
      <c r="AB444" s="386">
        <f t="shared" si="30"/>
        <v>5769155.1000000015</v>
      </c>
      <c r="AC444" s="384"/>
      <c r="AD444" s="423">
        <v>0</v>
      </c>
      <c r="AE444" s="386" t="s">
        <v>7</v>
      </c>
      <c r="AF444" s="1119"/>
      <c r="AG444" s="1119"/>
      <c r="AH444" s="386">
        <f t="shared" si="31"/>
        <v>5769155.1000000015</v>
      </c>
      <c r="AI444" s="1119"/>
      <c r="AJ444" s="1119"/>
      <c r="AK444" s="1119"/>
      <c r="AL444" s="1119"/>
      <c r="AM444" s="1119"/>
      <c r="AN444" s="1260"/>
      <c r="AO444" s="1260"/>
      <c r="AP444" s="1438"/>
      <c r="AQ444" s="1438"/>
      <c r="AR444" s="1365"/>
    </row>
    <row r="445" spans="1:44" s="28" customFormat="1" ht="47.25">
      <c r="A445" s="1076"/>
      <c r="B445" s="1171"/>
      <c r="C445" s="1076"/>
      <c r="D445" s="1076"/>
      <c r="E445" s="1252"/>
      <c r="F445" s="1252"/>
      <c r="G445" s="1076"/>
      <c r="H445" s="1076"/>
      <c r="I445" s="1076"/>
      <c r="J445" s="1076"/>
      <c r="K445" s="1076"/>
      <c r="L445" s="1076"/>
      <c r="M445" s="1268">
        <v>188</v>
      </c>
      <c r="N445" s="1123" t="s">
        <v>7</v>
      </c>
      <c r="O445" s="1119">
        <v>24055500</v>
      </c>
      <c r="P445" s="1119">
        <v>24055500</v>
      </c>
      <c r="Q445" s="1119"/>
      <c r="R445" s="1171">
        <v>40759</v>
      </c>
      <c r="S445" s="1119">
        <f>T445</f>
        <v>24055500</v>
      </c>
      <c r="T445" s="1119">
        <v>24055500</v>
      </c>
      <c r="U445" s="1119">
        <f>O445-T445</f>
        <v>0</v>
      </c>
      <c r="V445" s="1119">
        <v>24055500</v>
      </c>
      <c r="W445" s="1119"/>
      <c r="X445" s="1203"/>
      <c r="Y445" s="372" t="s">
        <v>770</v>
      </c>
      <c r="Z445" s="386">
        <v>21649950</v>
      </c>
      <c r="AA445" s="386">
        <v>0</v>
      </c>
      <c r="AB445" s="386">
        <f t="shared" si="30"/>
        <v>21649950</v>
      </c>
      <c r="AC445" s="384">
        <v>41136</v>
      </c>
      <c r="AD445" s="423">
        <v>21649950</v>
      </c>
      <c r="AE445" s="386" t="s">
        <v>7</v>
      </c>
      <c r="AF445" s="1119">
        <f>SUM(AD445:AE445)</f>
        <v>21649950</v>
      </c>
      <c r="AG445" s="1119"/>
      <c r="AH445" s="386">
        <f t="shared" si="31"/>
        <v>0</v>
      </c>
      <c r="AI445" s="1119">
        <f>O445-AD445-AD446</f>
        <v>2405550</v>
      </c>
      <c r="AJ445" s="1119">
        <f>SUM(Z445:Z446)-SUM(AD445:AD446)</f>
        <v>2405550</v>
      </c>
      <c r="AK445" s="1119">
        <f>P445-V445</f>
        <v>0</v>
      </c>
      <c r="AL445" s="1119">
        <f>V445-SUM(Z445:Z446)</f>
        <v>0</v>
      </c>
      <c r="AM445" s="1119">
        <f>AK445+AL445</f>
        <v>0</v>
      </c>
      <c r="AN445" s="1260"/>
      <c r="AO445" s="1260"/>
      <c r="AP445" s="1438"/>
      <c r="AQ445" s="1438"/>
      <c r="AR445" s="1365"/>
    </row>
    <row r="446" spans="1:44" s="28" customFormat="1" ht="47.25">
      <c r="A446" s="1076"/>
      <c r="B446" s="1171"/>
      <c r="C446" s="1076"/>
      <c r="D446" s="1076"/>
      <c r="E446" s="1252"/>
      <c r="F446" s="1252"/>
      <c r="G446" s="1076"/>
      <c r="H446" s="1076"/>
      <c r="I446" s="1076"/>
      <c r="J446" s="1076"/>
      <c r="K446" s="1076"/>
      <c r="L446" s="1076"/>
      <c r="M446" s="1268"/>
      <c r="N446" s="1123"/>
      <c r="O446" s="1119"/>
      <c r="P446" s="1119"/>
      <c r="Q446" s="1119"/>
      <c r="R446" s="1171"/>
      <c r="S446" s="1119"/>
      <c r="T446" s="1119"/>
      <c r="U446" s="1119"/>
      <c r="V446" s="1119"/>
      <c r="W446" s="1119"/>
      <c r="X446" s="1203"/>
      <c r="Y446" s="372" t="s">
        <v>769</v>
      </c>
      <c r="Z446" s="386">
        <v>2405550</v>
      </c>
      <c r="AA446" s="386">
        <v>0</v>
      </c>
      <c r="AB446" s="386">
        <f t="shared" si="30"/>
        <v>2405550</v>
      </c>
      <c r="AC446" s="384"/>
      <c r="AD446" s="423">
        <v>0</v>
      </c>
      <c r="AE446" s="386" t="s">
        <v>7</v>
      </c>
      <c r="AF446" s="1119"/>
      <c r="AG446" s="1119"/>
      <c r="AH446" s="386">
        <f t="shared" si="31"/>
        <v>2405550</v>
      </c>
      <c r="AI446" s="1119"/>
      <c r="AJ446" s="1119"/>
      <c r="AK446" s="1119"/>
      <c r="AL446" s="1119"/>
      <c r="AM446" s="1119"/>
      <c r="AN446" s="1260"/>
      <c r="AO446" s="1260"/>
      <c r="AP446" s="1438"/>
      <c r="AQ446" s="1438"/>
      <c r="AR446" s="1365"/>
    </row>
    <row r="447" spans="1:44" ht="25.5" customHeight="1">
      <c r="A447" s="1076" t="s">
        <v>563</v>
      </c>
      <c r="B447" s="1171">
        <v>40380</v>
      </c>
      <c r="C447" s="1076" t="s">
        <v>36</v>
      </c>
      <c r="D447" s="1076" t="s">
        <v>564</v>
      </c>
      <c r="E447" s="1252">
        <v>900369284</v>
      </c>
      <c r="F447" s="1252">
        <v>4</v>
      </c>
      <c r="G447" s="1076" t="s">
        <v>565</v>
      </c>
      <c r="H447" s="1076" t="s">
        <v>72</v>
      </c>
      <c r="I447" s="1076" t="s">
        <v>177</v>
      </c>
      <c r="J447" s="1076" t="s">
        <v>66</v>
      </c>
      <c r="K447" s="1076" t="s">
        <v>183</v>
      </c>
      <c r="L447" s="1076" t="s">
        <v>566</v>
      </c>
      <c r="M447" s="1268">
        <v>107</v>
      </c>
      <c r="N447" s="1123" t="s">
        <v>137</v>
      </c>
      <c r="O447" s="1119">
        <v>19720000</v>
      </c>
      <c r="P447" s="1119">
        <f>O447+O449</f>
        <v>49300000</v>
      </c>
      <c r="Q447" s="1119">
        <f>P447</f>
        <v>49300000</v>
      </c>
      <c r="R447" s="1171">
        <v>40413</v>
      </c>
      <c r="S447" s="1196">
        <f>T447+T449</f>
        <v>49300000</v>
      </c>
      <c r="T447" s="1119">
        <v>19720000</v>
      </c>
      <c r="U447" s="1119">
        <f>O447-T447</f>
        <v>0</v>
      </c>
      <c r="V447" s="1119">
        <v>19720000</v>
      </c>
      <c r="W447" s="1119">
        <v>49300000</v>
      </c>
      <c r="X447" s="1076" t="s">
        <v>467</v>
      </c>
      <c r="Y447" s="1123" t="s">
        <v>567</v>
      </c>
      <c r="Z447" s="386">
        <v>0</v>
      </c>
      <c r="AA447" s="386">
        <v>7888000</v>
      </c>
      <c r="AB447" s="386">
        <f t="shared" si="30"/>
        <v>7888000</v>
      </c>
      <c r="AC447" s="1171">
        <v>40473</v>
      </c>
      <c r="AD447" s="395">
        <v>7888000</v>
      </c>
      <c r="AE447" s="395" t="s">
        <v>137</v>
      </c>
      <c r="AF447" s="1084">
        <f>SUM(AD447:AD450)</f>
        <v>31552000</v>
      </c>
      <c r="AG447" s="1084">
        <f>AF447</f>
        <v>31552000</v>
      </c>
      <c r="AH447" s="358">
        <f t="shared" si="31"/>
        <v>0</v>
      </c>
      <c r="AI447" s="1084">
        <f>O447-AD447-AD449</f>
        <v>0</v>
      </c>
      <c r="AJ447" s="1119">
        <f>SUM(Z447:Z450)-SUM(AD447:AD450)</f>
        <v>17748000</v>
      </c>
      <c r="AK447" s="1119">
        <f>P447-SUM(V447:V450)</f>
        <v>0</v>
      </c>
      <c r="AL447" s="1119">
        <f>SUM(V447:V450)-SUM(Z447:Z450)</f>
        <v>0</v>
      </c>
      <c r="AM447" s="1119">
        <f>AK447+AL447+AL449</f>
        <v>0</v>
      </c>
      <c r="AN447" s="1203" t="s">
        <v>569</v>
      </c>
      <c r="AO447" s="1204" t="s">
        <v>778</v>
      </c>
      <c r="AP447" s="1204" t="s">
        <v>194</v>
      </c>
      <c r="AQ447" s="1204" t="s">
        <v>558</v>
      </c>
    </row>
    <row r="448" spans="1:44" ht="37.5" customHeight="1">
      <c r="A448" s="1076"/>
      <c r="B448" s="1171"/>
      <c r="C448" s="1076"/>
      <c r="D448" s="1076"/>
      <c r="E448" s="1252"/>
      <c r="F448" s="1252"/>
      <c r="G448" s="1076"/>
      <c r="H448" s="1076"/>
      <c r="I448" s="1076"/>
      <c r="J448" s="1076"/>
      <c r="K448" s="1076"/>
      <c r="L448" s="1076"/>
      <c r="M448" s="1268"/>
      <c r="N448" s="1123"/>
      <c r="O448" s="1119"/>
      <c r="P448" s="1119"/>
      <c r="Q448" s="1119"/>
      <c r="R448" s="1171"/>
      <c r="S448" s="1196"/>
      <c r="T448" s="1119"/>
      <c r="U448" s="1119"/>
      <c r="V448" s="1119"/>
      <c r="W448" s="1119"/>
      <c r="X448" s="1076"/>
      <c r="Y448" s="1123"/>
      <c r="Z448" s="386">
        <v>0</v>
      </c>
      <c r="AA448" s="386">
        <v>11832000</v>
      </c>
      <c r="AB448" s="386">
        <f t="shared" si="30"/>
        <v>11832000</v>
      </c>
      <c r="AC448" s="1171"/>
      <c r="AD448" s="395">
        <v>11832000</v>
      </c>
      <c r="AE448" s="395" t="s">
        <v>7</v>
      </c>
      <c r="AF448" s="1084"/>
      <c r="AG448" s="1084"/>
      <c r="AH448" s="358">
        <f t="shared" si="31"/>
        <v>0</v>
      </c>
      <c r="AI448" s="1084"/>
      <c r="AJ448" s="1119"/>
      <c r="AK448" s="1119"/>
      <c r="AL448" s="1119"/>
      <c r="AM448" s="1119"/>
      <c r="AN448" s="1203"/>
      <c r="AO448" s="1204"/>
      <c r="AP448" s="1204"/>
      <c r="AQ448" s="1204"/>
    </row>
    <row r="449" spans="1:43" ht="39.75" customHeight="1">
      <c r="A449" s="1076"/>
      <c r="B449" s="1171"/>
      <c r="C449" s="1076"/>
      <c r="D449" s="1076"/>
      <c r="E449" s="1252"/>
      <c r="F449" s="1252"/>
      <c r="G449" s="1076"/>
      <c r="H449" s="1076"/>
      <c r="I449" s="1076"/>
      <c r="J449" s="1076"/>
      <c r="K449" s="1076"/>
      <c r="L449" s="1076"/>
      <c r="M449" s="1268"/>
      <c r="N449" s="1123" t="s">
        <v>7</v>
      </c>
      <c r="O449" s="1119">
        <v>29580000</v>
      </c>
      <c r="P449" s="1119"/>
      <c r="Q449" s="1119"/>
      <c r="R449" s="1171"/>
      <c r="S449" s="1196"/>
      <c r="T449" s="1119">
        <v>29580000</v>
      </c>
      <c r="U449" s="1119">
        <f>O449-T449</f>
        <v>0</v>
      </c>
      <c r="V449" s="1119">
        <v>29580000</v>
      </c>
      <c r="W449" s="1119"/>
      <c r="X449" s="1076"/>
      <c r="Y449" s="1123" t="s">
        <v>568</v>
      </c>
      <c r="Z449" s="386">
        <v>19720000</v>
      </c>
      <c r="AA449" s="386">
        <v>-7888000</v>
      </c>
      <c r="AB449" s="386">
        <f t="shared" si="30"/>
        <v>11832000</v>
      </c>
      <c r="AC449" s="1171">
        <v>42928</v>
      </c>
      <c r="AD449" s="395">
        <v>11832000</v>
      </c>
      <c r="AE449" s="395" t="s">
        <v>137</v>
      </c>
      <c r="AF449" s="1084"/>
      <c r="AG449" s="1084"/>
      <c r="AH449" s="358">
        <f t="shared" si="31"/>
        <v>0</v>
      </c>
      <c r="AI449" s="1084">
        <f>O449-AD448</f>
        <v>17748000</v>
      </c>
      <c r="AJ449" s="1119"/>
      <c r="AK449" s="1119"/>
      <c r="AL449" s="1119"/>
      <c r="AM449" s="1119"/>
      <c r="AN449" s="1203"/>
      <c r="AO449" s="1204"/>
      <c r="AP449" s="1204"/>
      <c r="AQ449" s="1204"/>
    </row>
    <row r="450" spans="1:43" ht="51" customHeight="1">
      <c r="A450" s="1076"/>
      <c r="B450" s="1171"/>
      <c r="C450" s="1076"/>
      <c r="D450" s="1076"/>
      <c r="E450" s="1252"/>
      <c r="F450" s="1252"/>
      <c r="G450" s="1076"/>
      <c r="H450" s="1076"/>
      <c r="I450" s="1076"/>
      <c r="J450" s="1076"/>
      <c r="K450" s="1076"/>
      <c r="L450" s="1076"/>
      <c r="M450" s="1268"/>
      <c r="N450" s="1123"/>
      <c r="O450" s="1119"/>
      <c r="P450" s="1119"/>
      <c r="Q450" s="1119"/>
      <c r="R450" s="1171"/>
      <c r="S450" s="1196"/>
      <c r="T450" s="1119"/>
      <c r="U450" s="1119"/>
      <c r="V450" s="1119"/>
      <c r="W450" s="1119"/>
      <c r="X450" s="1076"/>
      <c r="Y450" s="1123"/>
      <c r="Z450" s="386">
        <v>29580000</v>
      </c>
      <c r="AA450" s="386">
        <v>-11832000</v>
      </c>
      <c r="AB450" s="386">
        <f t="shared" si="30"/>
        <v>17748000</v>
      </c>
      <c r="AC450" s="1171"/>
      <c r="AD450" s="395">
        <v>0</v>
      </c>
      <c r="AE450" s="395" t="s">
        <v>7</v>
      </c>
      <c r="AF450" s="1084"/>
      <c r="AG450" s="1084"/>
      <c r="AH450" s="358">
        <f t="shared" si="31"/>
        <v>17748000</v>
      </c>
      <c r="AI450" s="1084"/>
      <c r="AJ450" s="1119"/>
      <c r="AK450" s="1119"/>
      <c r="AL450" s="1119"/>
      <c r="AM450" s="1119"/>
      <c r="AN450" s="1203"/>
      <c r="AO450" s="1204"/>
      <c r="AP450" s="1204"/>
      <c r="AQ450" s="1204"/>
    </row>
    <row r="451" spans="1:43" ht="26.25" customHeight="1">
      <c r="A451" s="1076" t="s">
        <v>570</v>
      </c>
      <c r="B451" s="1171">
        <v>40372</v>
      </c>
      <c r="C451" s="1076" t="s">
        <v>36</v>
      </c>
      <c r="D451" s="1076" t="s">
        <v>571</v>
      </c>
      <c r="E451" s="1252">
        <v>900368715</v>
      </c>
      <c r="F451" s="1252">
        <v>2</v>
      </c>
      <c r="G451" s="1076" t="s">
        <v>572</v>
      </c>
      <c r="H451" s="1076" t="s">
        <v>72</v>
      </c>
      <c r="I451" s="1076" t="s">
        <v>177</v>
      </c>
      <c r="J451" s="1076" t="s">
        <v>66</v>
      </c>
      <c r="K451" s="1076" t="s">
        <v>183</v>
      </c>
      <c r="L451" s="1076" t="s">
        <v>578</v>
      </c>
      <c r="M451" s="1268">
        <v>108</v>
      </c>
      <c r="N451" s="1123" t="s">
        <v>137</v>
      </c>
      <c r="O451" s="1119">
        <v>17632000</v>
      </c>
      <c r="P451" s="1119">
        <f>O451+O456</f>
        <v>44080000</v>
      </c>
      <c r="Q451" s="1119">
        <f>P451+P459</f>
        <v>65920000</v>
      </c>
      <c r="R451" s="1171">
        <v>40413</v>
      </c>
      <c r="S451" s="1196">
        <f>T451+T456</f>
        <v>44080000</v>
      </c>
      <c r="T451" s="1119">
        <v>17632000</v>
      </c>
      <c r="U451" s="1119">
        <f>O451-T451</f>
        <v>0</v>
      </c>
      <c r="V451" s="1119">
        <v>17632000</v>
      </c>
      <c r="W451" s="1119">
        <v>65920000</v>
      </c>
      <c r="X451" s="1076" t="s">
        <v>467</v>
      </c>
      <c r="Y451" s="1123" t="s">
        <v>573</v>
      </c>
      <c r="Z451" s="386">
        <v>0</v>
      </c>
      <c r="AA451" s="386">
        <v>7052800</v>
      </c>
      <c r="AB451" s="386">
        <f t="shared" si="30"/>
        <v>7052800</v>
      </c>
      <c r="AC451" s="1171">
        <v>40456</v>
      </c>
      <c r="AD451" s="395">
        <v>7052800</v>
      </c>
      <c r="AE451" s="395" t="s">
        <v>137</v>
      </c>
      <c r="AF451" s="1084">
        <f>SUM(AD451:AD458)</f>
        <v>44080000</v>
      </c>
      <c r="AG451" s="1084">
        <f>AF451+AF459</f>
        <v>65920000</v>
      </c>
      <c r="AH451" s="358">
        <f t="shared" si="31"/>
        <v>0</v>
      </c>
      <c r="AI451" s="1084">
        <f>O451-AD451-AD453-AD455-AD456-AD457</f>
        <v>-2115840</v>
      </c>
      <c r="AJ451" s="1119">
        <f>SUM(Z451:Z459)-SUM(AD451:AD459)</f>
        <v>0</v>
      </c>
      <c r="AK451" s="1119">
        <f>P451-SUM(V451:V458)</f>
        <v>0</v>
      </c>
      <c r="AL451" s="1119">
        <f>SUM(V451:V458)-SUM(Z451:Z458)</f>
        <v>0</v>
      </c>
      <c r="AM451" s="1119">
        <f>AK451+AL451</f>
        <v>0</v>
      </c>
      <c r="AN451" s="1203" t="s">
        <v>577</v>
      </c>
      <c r="AO451" s="1237" t="s">
        <v>779</v>
      </c>
      <c r="AP451" s="1204" t="s">
        <v>194</v>
      </c>
      <c r="AQ451" s="1204" t="s">
        <v>558</v>
      </c>
    </row>
    <row r="452" spans="1:43" ht="31.5" customHeight="1">
      <c r="A452" s="1076"/>
      <c r="B452" s="1171"/>
      <c r="C452" s="1076"/>
      <c r="D452" s="1076"/>
      <c r="E452" s="1252"/>
      <c r="F452" s="1252"/>
      <c r="G452" s="1076"/>
      <c r="H452" s="1076"/>
      <c r="I452" s="1076"/>
      <c r="J452" s="1076"/>
      <c r="K452" s="1076"/>
      <c r="L452" s="1076"/>
      <c r="M452" s="1268"/>
      <c r="N452" s="1123"/>
      <c r="O452" s="1119"/>
      <c r="P452" s="1119"/>
      <c r="Q452" s="1119"/>
      <c r="R452" s="1171"/>
      <c r="S452" s="1196"/>
      <c r="T452" s="1119"/>
      <c r="U452" s="1119"/>
      <c r="V452" s="1119"/>
      <c r="W452" s="1119"/>
      <c r="X452" s="1076"/>
      <c r="Y452" s="1123"/>
      <c r="Z452" s="386">
        <v>0</v>
      </c>
      <c r="AA452" s="386">
        <v>10579200</v>
      </c>
      <c r="AB452" s="386">
        <f t="shared" si="30"/>
        <v>10579200</v>
      </c>
      <c r="AC452" s="1171"/>
      <c r="AD452" s="395">
        <v>10579200</v>
      </c>
      <c r="AE452" s="395" t="s">
        <v>7</v>
      </c>
      <c r="AF452" s="1084"/>
      <c r="AG452" s="1084"/>
      <c r="AH452" s="358">
        <f t="shared" si="31"/>
        <v>0</v>
      </c>
      <c r="AI452" s="1084"/>
      <c r="AJ452" s="1119"/>
      <c r="AK452" s="1119"/>
      <c r="AL452" s="1119"/>
      <c r="AM452" s="1119"/>
      <c r="AN452" s="1203"/>
      <c r="AO452" s="1204"/>
      <c r="AP452" s="1204"/>
      <c r="AQ452" s="1204"/>
    </row>
    <row r="453" spans="1:43" ht="25.5" customHeight="1">
      <c r="A453" s="1076"/>
      <c r="B453" s="1171"/>
      <c r="C453" s="1076"/>
      <c r="D453" s="1076"/>
      <c r="E453" s="1252"/>
      <c r="F453" s="1252"/>
      <c r="G453" s="1076"/>
      <c r="H453" s="1076"/>
      <c r="I453" s="1076"/>
      <c r="J453" s="1076"/>
      <c r="K453" s="1076"/>
      <c r="L453" s="1076"/>
      <c r="M453" s="1268"/>
      <c r="N453" s="1123"/>
      <c r="O453" s="1119"/>
      <c r="P453" s="1119"/>
      <c r="Q453" s="1119"/>
      <c r="R453" s="1171"/>
      <c r="S453" s="1196"/>
      <c r="T453" s="1119"/>
      <c r="U453" s="1119"/>
      <c r="V453" s="1119"/>
      <c r="W453" s="1119"/>
      <c r="X453" s="1076"/>
      <c r="Y453" s="1123" t="s">
        <v>574</v>
      </c>
      <c r="Z453" s="386">
        <f>30856000*40%</f>
        <v>12342400</v>
      </c>
      <c r="AA453" s="386">
        <v>-4936960</v>
      </c>
      <c r="AB453" s="386">
        <f t="shared" si="30"/>
        <v>7405440</v>
      </c>
      <c r="AC453" s="1171">
        <v>40724</v>
      </c>
      <c r="AD453" s="395">
        <v>7405440</v>
      </c>
      <c r="AE453" s="395" t="s">
        <v>137</v>
      </c>
      <c r="AF453" s="1084"/>
      <c r="AG453" s="1084"/>
      <c r="AH453" s="358">
        <f t="shared" si="31"/>
        <v>0</v>
      </c>
      <c r="AI453" s="1084"/>
      <c r="AJ453" s="1119"/>
      <c r="AK453" s="1119"/>
      <c r="AL453" s="1119"/>
      <c r="AM453" s="1119"/>
      <c r="AN453" s="1203"/>
      <c r="AO453" s="1204"/>
      <c r="AP453" s="1204"/>
      <c r="AQ453" s="1204"/>
    </row>
    <row r="454" spans="1:43" ht="24" customHeight="1">
      <c r="A454" s="1076"/>
      <c r="B454" s="1171"/>
      <c r="C454" s="1076"/>
      <c r="D454" s="1076"/>
      <c r="E454" s="1252"/>
      <c r="F454" s="1252"/>
      <c r="G454" s="1076"/>
      <c r="H454" s="1076"/>
      <c r="I454" s="1076"/>
      <c r="J454" s="1076"/>
      <c r="K454" s="1076"/>
      <c r="L454" s="1076"/>
      <c r="M454" s="1268"/>
      <c r="N454" s="1123"/>
      <c r="O454" s="1119"/>
      <c r="P454" s="1119"/>
      <c r="Q454" s="1119"/>
      <c r="R454" s="1171"/>
      <c r="S454" s="1196"/>
      <c r="T454" s="1119"/>
      <c r="U454" s="1119"/>
      <c r="V454" s="1119"/>
      <c r="W454" s="1119"/>
      <c r="X454" s="1076"/>
      <c r="Y454" s="1123"/>
      <c r="Z454" s="386">
        <f>30856000*60%</f>
        <v>18513600</v>
      </c>
      <c r="AA454" s="386">
        <v>-7405440</v>
      </c>
      <c r="AB454" s="386">
        <f t="shared" si="30"/>
        <v>11108160</v>
      </c>
      <c r="AC454" s="1171"/>
      <c r="AD454" s="395">
        <v>11108160</v>
      </c>
      <c r="AE454" s="395" t="s">
        <v>7</v>
      </c>
      <c r="AF454" s="1084"/>
      <c r="AG454" s="1084"/>
      <c r="AH454" s="358">
        <f t="shared" si="31"/>
        <v>0</v>
      </c>
      <c r="AI454" s="1084"/>
      <c r="AJ454" s="1119"/>
      <c r="AK454" s="1119"/>
      <c r="AL454" s="1119"/>
      <c r="AM454" s="1119"/>
      <c r="AN454" s="1203"/>
      <c r="AO454" s="1204"/>
      <c r="AP454" s="1204"/>
      <c r="AQ454" s="1204"/>
    </row>
    <row r="455" spans="1:43" ht="29.25" customHeight="1">
      <c r="A455" s="1076"/>
      <c r="B455" s="1171"/>
      <c r="C455" s="1076"/>
      <c r="D455" s="1076"/>
      <c r="E455" s="1252"/>
      <c r="F455" s="1252"/>
      <c r="G455" s="1076"/>
      <c r="H455" s="1076"/>
      <c r="I455" s="1076"/>
      <c r="J455" s="1076"/>
      <c r="K455" s="1076"/>
      <c r="L455" s="1076"/>
      <c r="M455" s="1268"/>
      <c r="N455" s="1123"/>
      <c r="O455" s="1119"/>
      <c r="P455" s="1119"/>
      <c r="Q455" s="1119"/>
      <c r="R455" s="1171"/>
      <c r="S455" s="1196"/>
      <c r="T455" s="1119"/>
      <c r="U455" s="1119"/>
      <c r="V455" s="1119"/>
      <c r="W455" s="1119"/>
      <c r="X455" s="1076"/>
      <c r="Y455" s="1123" t="s">
        <v>575</v>
      </c>
      <c r="Z455" s="386">
        <v>3526400</v>
      </c>
      <c r="AA455" s="386">
        <v>-2115840</v>
      </c>
      <c r="AB455" s="386">
        <f t="shared" si="30"/>
        <v>1410560</v>
      </c>
      <c r="AC455" s="1171">
        <v>41029</v>
      </c>
      <c r="AD455" s="395">
        <v>1410560</v>
      </c>
      <c r="AE455" s="395" t="s">
        <v>137</v>
      </c>
      <c r="AF455" s="1084"/>
      <c r="AG455" s="1084"/>
      <c r="AH455" s="358">
        <f t="shared" si="31"/>
        <v>0</v>
      </c>
      <c r="AI455" s="1084"/>
      <c r="AJ455" s="1119"/>
      <c r="AK455" s="1119"/>
      <c r="AL455" s="1119"/>
      <c r="AM455" s="1119"/>
      <c r="AN455" s="1203"/>
      <c r="AO455" s="1204"/>
      <c r="AP455" s="1204"/>
      <c r="AQ455" s="1204"/>
    </row>
    <row r="456" spans="1:43" ht="36.75" customHeight="1">
      <c r="A456" s="1076"/>
      <c r="B456" s="1171"/>
      <c r="C456" s="1076"/>
      <c r="D456" s="1076"/>
      <c r="E456" s="1252"/>
      <c r="F456" s="1252"/>
      <c r="G456" s="1076"/>
      <c r="H456" s="1076"/>
      <c r="I456" s="1076"/>
      <c r="J456" s="1076"/>
      <c r="K456" s="1076"/>
      <c r="L456" s="1076"/>
      <c r="M456" s="1268"/>
      <c r="N456" s="1123" t="s">
        <v>7</v>
      </c>
      <c r="O456" s="1119">
        <v>26448000</v>
      </c>
      <c r="P456" s="1119"/>
      <c r="Q456" s="1119"/>
      <c r="R456" s="1171"/>
      <c r="S456" s="1196"/>
      <c r="T456" s="1119">
        <v>26448000</v>
      </c>
      <c r="U456" s="1119">
        <f>O456-T456</f>
        <v>0</v>
      </c>
      <c r="V456" s="1119">
        <v>26448000</v>
      </c>
      <c r="W456" s="1119"/>
      <c r="X456" s="1076"/>
      <c r="Y456" s="1123"/>
      <c r="Z456" s="386">
        <v>5289600</v>
      </c>
      <c r="AA456" s="386">
        <v>-3173760</v>
      </c>
      <c r="AB456" s="386">
        <f t="shared" si="30"/>
        <v>2115840</v>
      </c>
      <c r="AC456" s="1171"/>
      <c r="AD456" s="395">
        <v>2115840</v>
      </c>
      <c r="AE456" s="395" t="s">
        <v>137</v>
      </c>
      <c r="AF456" s="1084"/>
      <c r="AG456" s="1084"/>
      <c r="AH456" s="358">
        <f t="shared" si="31"/>
        <v>0</v>
      </c>
      <c r="AI456" s="1084">
        <f>O456-AD452-AD454-AD458</f>
        <v>2115840</v>
      </c>
      <c r="AJ456" s="1119"/>
      <c r="AK456" s="1119"/>
      <c r="AL456" s="1119"/>
      <c r="AM456" s="1119"/>
      <c r="AN456" s="1203"/>
      <c r="AO456" s="1204"/>
      <c r="AP456" s="1204"/>
      <c r="AQ456" s="1204"/>
    </row>
    <row r="457" spans="1:43" ht="31.5">
      <c r="A457" s="1076"/>
      <c r="B457" s="1171"/>
      <c r="C457" s="1076"/>
      <c r="D457" s="1076"/>
      <c r="E457" s="1252"/>
      <c r="F457" s="1252"/>
      <c r="G457" s="1076"/>
      <c r="H457" s="1076"/>
      <c r="I457" s="1076"/>
      <c r="J457" s="1076"/>
      <c r="K457" s="1076"/>
      <c r="L457" s="1076"/>
      <c r="M457" s="1268"/>
      <c r="N457" s="1123"/>
      <c r="O457" s="1119"/>
      <c r="P457" s="1119"/>
      <c r="Q457" s="1119"/>
      <c r="R457" s="1171"/>
      <c r="S457" s="1196"/>
      <c r="T457" s="1119"/>
      <c r="U457" s="1119"/>
      <c r="V457" s="1119"/>
      <c r="W457" s="1119"/>
      <c r="X457" s="1076"/>
      <c r="Y457" s="1123" t="s">
        <v>576</v>
      </c>
      <c r="Z457" s="386">
        <v>1763200</v>
      </c>
      <c r="AA457" s="386">
        <v>0</v>
      </c>
      <c r="AB457" s="386">
        <f t="shared" si="30"/>
        <v>1763200</v>
      </c>
      <c r="AC457" s="1171">
        <v>42916</v>
      </c>
      <c r="AD457" s="395">
        <v>1763200</v>
      </c>
      <c r="AE457" s="395" t="s">
        <v>137</v>
      </c>
      <c r="AF457" s="1084"/>
      <c r="AG457" s="1084"/>
      <c r="AH457" s="358">
        <f t="shared" si="31"/>
        <v>0</v>
      </c>
      <c r="AI457" s="1084"/>
      <c r="AJ457" s="1119"/>
      <c r="AK457" s="1119"/>
      <c r="AL457" s="1119"/>
      <c r="AM457" s="1119"/>
      <c r="AN457" s="1203"/>
      <c r="AO457" s="1204"/>
      <c r="AP457" s="1204"/>
      <c r="AQ457" s="1204"/>
    </row>
    <row r="458" spans="1:43">
      <c r="A458" s="1076"/>
      <c r="B458" s="1171"/>
      <c r="C458" s="1076"/>
      <c r="D458" s="1076"/>
      <c r="E458" s="1252"/>
      <c r="F458" s="1252"/>
      <c r="G458" s="1076"/>
      <c r="H458" s="1076"/>
      <c r="I458" s="1076"/>
      <c r="J458" s="1076"/>
      <c r="K458" s="1076"/>
      <c r="L458" s="1076"/>
      <c r="M458" s="1268"/>
      <c r="N458" s="1123"/>
      <c r="O458" s="1119"/>
      <c r="P458" s="1119"/>
      <c r="Q458" s="1119"/>
      <c r="R458" s="1171"/>
      <c r="S458" s="1196"/>
      <c r="T458" s="1119"/>
      <c r="U458" s="1119"/>
      <c r="V458" s="1119"/>
      <c r="W458" s="1119"/>
      <c r="X458" s="1076"/>
      <c r="Y458" s="1123"/>
      <c r="Z458" s="386">
        <v>2644800</v>
      </c>
      <c r="AA458" s="386">
        <v>0</v>
      </c>
      <c r="AB458" s="386">
        <f t="shared" si="30"/>
        <v>2644800</v>
      </c>
      <c r="AC458" s="1171"/>
      <c r="AD458" s="395">
        <v>2644800</v>
      </c>
      <c r="AE458" s="395" t="s">
        <v>7</v>
      </c>
      <c r="AF458" s="1084"/>
      <c r="AG458" s="1084"/>
      <c r="AH458" s="358">
        <f t="shared" si="31"/>
        <v>0</v>
      </c>
      <c r="AI458" s="1084"/>
      <c r="AJ458" s="1119"/>
      <c r="AK458" s="1119"/>
      <c r="AL458" s="1119"/>
      <c r="AM458" s="1119"/>
      <c r="AN458" s="1203"/>
      <c r="AO458" s="1204"/>
      <c r="AP458" s="1204"/>
      <c r="AQ458" s="1204"/>
    </row>
    <row r="459" spans="1:43" ht="78.75">
      <c r="A459" s="1076"/>
      <c r="B459" s="1171"/>
      <c r="C459" s="1076"/>
      <c r="D459" s="1076"/>
      <c r="E459" s="1252"/>
      <c r="F459" s="1252"/>
      <c r="G459" s="1076"/>
      <c r="H459" s="1076"/>
      <c r="I459" s="1076"/>
      <c r="J459" s="1076" t="s">
        <v>171</v>
      </c>
      <c r="K459" s="1076"/>
      <c r="L459" s="1076"/>
      <c r="M459" s="1268">
        <v>203</v>
      </c>
      <c r="N459" s="1123" t="s">
        <v>7</v>
      </c>
      <c r="O459" s="1119">
        <v>21840000</v>
      </c>
      <c r="P459" s="1119">
        <f>O459</f>
        <v>21840000</v>
      </c>
      <c r="Q459" s="1119"/>
      <c r="R459" s="1171">
        <v>40779</v>
      </c>
      <c r="S459" s="1196">
        <f>T459</f>
        <v>21840000</v>
      </c>
      <c r="T459" s="1119">
        <v>21840000</v>
      </c>
      <c r="U459" s="1119">
        <f>O459-T459</f>
        <v>0</v>
      </c>
      <c r="V459" s="1119">
        <v>21840000</v>
      </c>
      <c r="W459" s="1119"/>
      <c r="X459" s="1076"/>
      <c r="Y459" s="372" t="s">
        <v>575</v>
      </c>
      <c r="Z459" s="386">
        <v>19656000</v>
      </c>
      <c r="AA459" s="386">
        <v>0</v>
      </c>
      <c r="AB459" s="386">
        <f t="shared" si="30"/>
        <v>19656000</v>
      </c>
      <c r="AC459" s="384">
        <v>41029</v>
      </c>
      <c r="AD459" s="395">
        <v>19656000</v>
      </c>
      <c r="AE459" s="395" t="s">
        <v>7</v>
      </c>
      <c r="AF459" s="1084">
        <f>SUM(AD459:AD460)</f>
        <v>21840000</v>
      </c>
      <c r="AG459" s="1084"/>
      <c r="AH459" s="358">
        <f t="shared" si="31"/>
        <v>0</v>
      </c>
      <c r="AI459" s="1084">
        <f>O459-AD459-AD460</f>
        <v>0</v>
      </c>
      <c r="AJ459" s="1119">
        <f>SUM(Z459:Z460)-SUM(AD459:AD460)</f>
        <v>0</v>
      </c>
      <c r="AK459" s="1119">
        <f>P459-V459</f>
        <v>0</v>
      </c>
      <c r="AL459" s="1119">
        <f>V459-Z459-Z460</f>
        <v>0</v>
      </c>
      <c r="AM459" s="1119">
        <f>AK459+AL459</f>
        <v>0</v>
      </c>
      <c r="AN459" s="1203"/>
      <c r="AO459" s="1204"/>
      <c r="AP459" s="1204"/>
      <c r="AQ459" s="1204"/>
    </row>
    <row r="460" spans="1:43" ht="70.5" customHeight="1">
      <c r="A460" s="1076"/>
      <c r="B460" s="1171"/>
      <c r="C460" s="1076"/>
      <c r="D460" s="1076"/>
      <c r="E460" s="1252"/>
      <c r="F460" s="1252"/>
      <c r="G460" s="1076"/>
      <c r="H460" s="1076"/>
      <c r="I460" s="1076"/>
      <c r="J460" s="1076"/>
      <c r="K460" s="1076"/>
      <c r="L460" s="1076"/>
      <c r="M460" s="1268"/>
      <c r="N460" s="1123"/>
      <c r="O460" s="1119"/>
      <c r="P460" s="1119"/>
      <c r="Q460" s="1119"/>
      <c r="R460" s="1171"/>
      <c r="S460" s="1196"/>
      <c r="T460" s="1119"/>
      <c r="U460" s="1119"/>
      <c r="V460" s="1119"/>
      <c r="W460" s="1119"/>
      <c r="X460" s="1076"/>
      <c r="Y460" s="372" t="s">
        <v>576</v>
      </c>
      <c r="Z460" s="386">
        <v>2184000</v>
      </c>
      <c r="AA460" s="386">
        <v>0</v>
      </c>
      <c r="AB460" s="386">
        <f t="shared" si="30"/>
        <v>2184000</v>
      </c>
      <c r="AC460" s="384">
        <v>42916</v>
      </c>
      <c r="AD460" s="395">
        <v>2184000</v>
      </c>
      <c r="AE460" s="395" t="s">
        <v>7</v>
      </c>
      <c r="AF460" s="1084"/>
      <c r="AG460" s="1084"/>
      <c r="AH460" s="358">
        <f t="shared" si="31"/>
        <v>0</v>
      </c>
      <c r="AI460" s="1084"/>
      <c r="AJ460" s="1119"/>
      <c r="AK460" s="1119"/>
      <c r="AL460" s="1119"/>
      <c r="AM460" s="1119"/>
      <c r="AN460" s="1203"/>
      <c r="AO460" s="1204"/>
      <c r="AP460" s="1204"/>
      <c r="AQ460" s="1204"/>
    </row>
    <row r="461" spans="1:43" ht="22.5" customHeight="1">
      <c r="A461" s="1076" t="s">
        <v>533</v>
      </c>
      <c r="B461" s="1171">
        <v>40372</v>
      </c>
      <c r="C461" s="1076" t="s">
        <v>36</v>
      </c>
      <c r="D461" s="1076" t="s">
        <v>508</v>
      </c>
      <c r="E461" s="1252">
        <v>900368713</v>
      </c>
      <c r="F461" s="1252">
        <v>8</v>
      </c>
      <c r="G461" s="1076" t="s">
        <v>579</v>
      </c>
      <c r="H461" s="1076" t="s">
        <v>72</v>
      </c>
      <c r="I461" s="1076" t="s">
        <v>177</v>
      </c>
      <c r="J461" s="1076" t="s">
        <v>66</v>
      </c>
      <c r="K461" s="1076" t="s">
        <v>697</v>
      </c>
      <c r="L461" s="1076" t="s">
        <v>507</v>
      </c>
      <c r="M461" s="1268">
        <v>109</v>
      </c>
      <c r="N461" s="1123" t="s">
        <v>137</v>
      </c>
      <c r="O461" s="1119">
        <v>17632000.399999999</v>
      </c>
      <c r="P461" s="1119">
        <f>O461+O464</f>
        <v>44080001</v>
      </c>
      <c r="Q461" s="1119">
        <f>P461</f>
        <v>44080001</v>
      </c>
      <c r="R461" s="1171">
        <v>40413</v>
      </c>
      <c r="S461" s="1119">
        <f>T461+T464</f>
        <v>44080001</v>
      </c>
      <c r="T461" s="1119">
        <v>17632000.399999999</v>
      </c>
      <c r="U461" s="1119">
        <f>O461-T461</f>
        <v>0</v>
      </c>
      <c r="V461" s="1119">
        <v>17631981.600000001</v>
      </c>
      <c r="W461" s="1119">
        <v>44079954</v>
      </c>
      <c r="X461" s="1203" t="s">
        <v>467</v>
      </c>
      <c r="Y461" s="1123" t="s">
        <v>573</v>
      </c>
      <c r="Z461" s="386">
        <v>0</v>
      </c>
      <c r="AA461" s="386">
        <v>7052800</v>
      </c>
      <c r="AB461" s="386">
        <f t="shared" si="30"/>
        <v>7052800</v>
      </c>
      <c r="AC461" s="1171">
        <v>40476</v>
      </c>
      <c r="AD461" s="423">
        <v>7052811</v>
      </c>
      <c r="AE461" s="386" t="s">
        <v>137</v>
      </c>
      <c r="AF461" s="1119">
        <f>SUM(AD461:AD465)</f>
        <v>41435175</v>
      </c>
      <c r="AG461" s="1119">
        <f>AF461</f>
        <v>41435175</v>
      </c>
      <c r="AH461" s="386">
        <f t="shared" si="31"/>
        <v>-11</v>
      </c>
      <c r="AI461" s="1119">
        <f>O461-AD461-AD463-AD464</f>
        <v>-13223985.600000001</v>
      </c>
      <c r="AJ461" s="1119">
        <f>SUM(Z461:Z465)-SUM(AD461:AD465)</f>
        <v>-1763216</v>
      </c>
      <c r="AK461" s="1119">
        <f>P461-W461</f>
        <v>47</v>
      </c>
      <c r="AL461" s="1119">
        <f>W461-SUM(Z461:Z465)+AJ461</f>
        <v>2644779</v>
      </c>
      <c r="AM461" s="1119">
        <f>AK461+AL461</f>
        <v>2644826</v>
      </c>
      <c r="AN461" s="1203" t="s">
        <v>581</v>
      </c>
      <c r="AO461" s="1203" t="s">
        <v>780</v>
      </c>
      <c r="AP461" s="1204" t="s">
        <v>195</v>
      </c>
      <c r="AQ461" s="1204" t="s">
        <v>558</v>
      </c>
    </row>
    <row r="462" spans="1:43" ht="26.25" customHeight="1">
      <c r="A462" s="1076"/>
      <c r="B462" s="1171"/>
      <c r="C462" s="1076"/>
      <c r="D462" s="1076"/>
      <c r="E462" s="1252"/>
      <c r="F462" s="1252"/>
      <c r="G462" s="1076"/>
      <c r="H462" s="1076"/>
      <c r="I462" s="1076"/>
      <c r="J462" s="1076"/>
      <c r="K462" s="1076"/>
      <c r="L462" s="1076"/>
      <c r="M462" s="1268"/>
      <c r="N462" s="1123"/>
      <c r="O462" s="1119"/>
      <c r="P462" s="1119"/>
      <c r="Q462" s="1119"/>
      <c r="R462" s="1171"/>
      <c r="S462" s="1119"/>
      <c r="T462" s="1119"/>
      <c r="U462" s="1119"/>
      <c r="V462" s="1119"/>
      <c r="W462" s="1119"/>
      <c r="X462" s="1203"/>
      <c r="Y462" s="1123"/>
      <c r="Z462" s="386">
        <v>0</v>
      </c>
      <c r="AA462" s="386">
        <v>10579200</v>
      </c>
      <c r="AB462" s="386">
        <f t="shared" si="30"/>
        <v>10579200</v>
      </c>
      <c r="AC462" s="1171"/>
      <c r="AD462" s="423">
        <v>10579189</v>
      </c>
      <c r="AE462" s="386" t="s">
        <v>7</v>
      </c>
      <c r="AF462" s="1119"/>
      <c r="AG462" s="1119"/>
      <c r="AH462" s="386">
        <f t="shared" si="31"/>
        <v>11</v>
      </c>
      <c r="AI462" s="1119"/>
      <c r="AJ462" s="1119"/>
      <c r="AK462" s="1119"/>
      <c r="AL462" s="1119"/>
      <c r="AM462" s="1119"/>
      <c r="AN462" s="1203"/>
      <c r="AO462" s="1203"/>
      <c r="AP462" s="1204"/>
      <c r="AQ462" s="1204"/>
    </row>
    <row r="463" spans="1:43" ht="23.25" customHeight="1">
      <c r="A463" s="1076"/>
      <c r="B463" s="1171"/>
      <c r="C463" s="1076"/>
      <c r="D463" s="1076"/>
      <c r="E463" s="1252"/>
      <c r="F463" s="1252"/>
      <c r="G463" s="1076"/>
      <c r="H463" s="1076"/>
      <c r="I463" s="1076"/>
      <c r="J463" s="1076"/>
      <c r="K463" s="1076"/>
      <c r="L463" s="1076"/>
      <c r="M463" s="1268"/>
      <c r="N463" s="1123"/>
      <c r="O463" s="1119"/>
      <c r="P463" s="1119"/>
      <c r="Q463" s="1119"/>
      <c r="R463" s="1171"/>
      <c r="S463" s="1119"/>
      <c r="T463" s="1119"/>
      <c r="U463" s="1119"/>
      <c r="V463" s="1119"/>
      <c r="W463" s="1119"/>
      <c r="X463" s="1203"/>
      <c r="Y463" s="1204" t="s">
        <v>580</v>
      </c>
      <c r="Z463" s="386">
        <v>15868783.600000001</v>
      </c>
      <c r="AA463" s="386">
        <v>-6347513.5999999996</v>
      </c>
      <c r="AB463" s="386">
        <f t="shared" si="30"/>
        <v>9521270.0000000019</v>
      </c>
      <c r="AC463" s="1171">
        <v>40830</v>
      </c>
      <c r="AD463" s="423">
        <v>9521269.8699999992</v>
      </c>
      <c r="AE463" s="386" t="s">
        <v>137</v>
      </c>
      <c r="AF463" s="1119"/>
      <c r="AG463" s="1119"/>
      <c r="AH463" s="386">
        <f t="shared" si="31"/>
        <v>0.13000000268220901</v>
      </c>
      <c r="AI463" s="1119"/>
      <c r="AJ463" s="1119"/>
      <c r="AK463" s="1119"/>
      <c r="AL463" s="1119"/>
      <c r="AM463" s="1119"/>
      <c r="AN463" s="1203"/>
      <c r="AO463" s="1203"/>
      <c r="AP463" s="1204"/>
      <c r="AQ463" s="1204"/>
    </row>
    <row r="464" spans="1:43" ht="22.5" customHeight="1">
      <c r="A464" s="1076"/>
      <c r="B464" s="1171"/>
      <c r="C464" s="1076"/>
      <c r="D464" s="1076"/>
      <c r="E464" s="1252"/>
      <c r="F464" s="1252"/>
      <c r="G464" s="1076"/>
      <c r="H464" s="1076"/>
      <c r="I464" s="1076"/>
      <c r="J464" s="1076"/>
      <c r="K464" s="1076"/>
      <c r="L464" s="1076"/>
      <c r="M464" s="1268"/>
      <c r="N464" s="1123" t="s">
        <v>7</v>
      </c>
      <c r="O464" s="1119">
        <v>26448000.600000001</v>
      </c>
      <c r="P464" s="1119"/>
      <c r="Q464" s="1119"/>
      <c r="R464" s="1171"/>
      <c r="S464" s="1119"/>
      <c r="T464" s="1119">
        <v>26448000.600000001</v>
      </c>
      <c r="U464" s="1119">
        <f>O464-T464</f>
        <v>0</v>
      </c>
      <c r="V464" s="1119">
        <v>26447972.399999999</v>
      </c>
      <c r="W464" s="1119"/>
      <c r="X464" s="1203"/>
      <c r="Y464" s="1204"/>
      <c r="Z464" s="386">
        <v>23803175.399999999</v>
      </c>
      <c r="AA464" s="386">
        <v>-9521270.4000000004</v>
      </c>
      <c r="AB464" s="386">
        <f t="shared" si="30"/>
        <v>14281904.999999998</v>
      </c>
      <c r="AC464" s="1171"/>
      <c r="AD464" s="423">
        <v>14281905.130000001</v>
      </c>
      <c r="AE464" s="386" t="s">
        <v>137</v>
      </c>
      <c r="AF464" s="1119"/>
      <c r="AG464" s="1119"/>
      <c r="AH464" s="386">
        <f t="shared" si="31"/>
        <v>-0.13000000268220901</v>
      </c>
      <c r="AI464" s="1119">
        <f>O464-AD462-AD465</f>
        <v>15868811.600000001</v>
      </c>
      <c r="AJ464" s="1119"/>
      <c r="AK464" s="1119"/>
      <c r="AL464" s="1119"/>
      <c r="AM464" s="1119"/>
      <c r="AN464" s="1203"/>
      <c r="AO464" s="1203"/>
      <c r="AP464" s="1204"/>
      <c r="AQ464" s="1204"/>
    </row>
    <row r="465" spans="1:43">
      <c r="A465" s="1076"/>
      <c r="B465" s="1171"/>
      <c r="C465" s="1076"/>
      <c r="D465" s="1076"/>
      <c r="E465" s="1252"/>
      <c r="F465" s="1252"/>
      <c r="G465" s="1076"/>
      <c r="H465" s="1076"/>
      <c r="I465" s="1076"/>
      <c r="J465" s="1076"/>
      <c r="K465" s="1076"/>
      <c r="L465" s="1076"/>
      <c r="M465" s="1268"/>
      <c r="N465" s="1123"/>
      <c r="O465" s="1119"/>
      <c r="P465" s="1119"/>
      <c r="Q465" s="1119"/>
      <c r="R465" s="1171"/>
      <c r="S465" s="1119"/>
      <c r="T465" s="1119"/>
      <c r="U465" s="1119"/>
      <c r="V465" s="1119"/>
      <c r="W465" s="1119"/>
      <c r="X465" s="1203"/>
      <c r="Y465" s="372"/>
      <c r="Z465" s="386">
        <v>0</v>
      </c>
      <c r="AA465" s="386">
        <v>0</v>
      </c>
      <c r="AB465" s="386">
        <f t="shared" si="30"/>
        <v>0</v>
      </c>
      <c r="AC465" s="384"/>
      <c r="AD465" s="395">
        <v>0</v>
      </c>
      <c r="AE465" s="395"/>
      <c r="AF465" s="1119"/>
      <c r="AG465" s="1119"/>
      <c r="AH465" s="386">
        <f t="shared" si="31"/>
        <v>0</v>
      </c>
      <c r="AI465" s="1119"/>
      <c r="AJ465" s="1119"/>
      <c r="AK465" s="1119"/>
      <c r="AL465" s="1119"/>
      <c r="AM465" s="1119"/>
      <c r="AN465" s="1203"/>
      <c r="AO465" s="1203"/>
      <c r="AP465" s="1204"/>
      <c r="AQ465" s="1204"/>
    </row>
    <row r="466" spans="1:43" ht="23.25" customHeight="1">
      <c r="A466" s="1076" t="s">
        <v>582</v>
      </c>
      <c r="B466" s="1171">
        <v>40380</v>
      </c>
      <c r="C466" s="1076" t="s">
        <v>36</v>
      </c>
      <c r="D466" s="1076" t="s">
        <v>583</v>
      </c>
      <c r="E466" s="1252">
        <v>900368961</v>
      </c>
      <c r="F466" s="1252">
        <v>8</v>
      </c>
      <c r="G466" s="1076" t="s">
        <v>584</v>
      </c>
      <c r="H466" s="1076" t="s">
        <v>72</v>
      </c>
      <c r="I466" s="1076" t="s">
        <v>177</v>
      </c>
      <c r="J466" s="1076" t="s">
        <v>66</v>
      </c>
      <c r="K466" s="1076" t="s">
        <v>183</v>
      </c>
      <c r="L466" s="1076" t="s">
        <v>589</v>
      </c>
      <c r="M466" s="1268">
        <v>110</v>
      </c>
      <c r="N466" s="1123" t="s">
        <v>137</v>
      </c>
      <c r="O466" s="1119">
        <v>17632001</v>
      </c>
      <c r="P466" s="1119">
        <f>O466+O470</f>
        <v>44080002</v>
      </c>
      <c r="Q466" s="1119">
        <f>P466+P474</f>
        <v>66120002</v>
      </c>
      <c r="R466" s="1171">
        <v>40413</v>
      </c>
      <c r="S466" s="1196">
        <f>T466+T470</f>
        <v>44080002</v>
      </c>
      <c r="T466" s="1119">
        <v>17632000.800000001</v>
      </c>
      <c r="U466" s="1119">
        <f>O466-T466</f>
        <v>0.19999999925494194</v>
      </c>
      <c r="V466" s="1119">
        <v>17632000</v>
      </c>
      <c r="W466" s="1119">
        <f>SUM(V466:V474)</f>
        <v>66120000</v>
      </c>
      <c r="X466" s="1076" t="s">
        <v>467</v>
      </c>
      <c r="Y466" s="1123" t="s">
        <v>585</v>
      </c>
      <c r="Z466" s="386">
        <v>0</v>
      </c>
      <c r="AA466" s="386">
        <v>7052800</v>
      </c>
      <c r="AB466" s="386">
        <f t="shared" si="30"/>
        <v>7052800</v>
      </c>
      <c r="AC466" s="1171">
        <v>40480</v>
      </c>
      <c r="AD466" s="395">
        <v>7052800</v>
      </c>
      <c r="AE466" s="395" t="s">
        <v>137</v>
      </c>
      <c r="AF466" s="1084">
        <f>SUM(AD466:AD473)</f>
        <v>44080000</v>
      </c>
      <c r="AG466" s="1084">
        <f>AF466+AF474</f>
        <v>66120000</v>
      </c>
      <c r="AH466" s="358">
        <f t="shared" si="31"/>
        <v>0</v>
      </c>
      <c r="AI466" s="1084">
        <f>O466-AD466-AD468-AD469-AD472</f>
        <v>-10579199</v>
      </c>
      <c r="AJ466" s="1119">
        <f>SUM(Z466:Z473)-SUM(AD466:AD473)</f>
        <v>0</v>
      </c>
      <c r="AK466" s="1119">
        <f>P466-V466-V470</f>
        <v>2</v>
      </c>
      <c r="AL466" s="1119">
        <f>SUM(V466:V473)-SUM(Z466:Z473)</f>
        <v>0</v>
      </c>
      <c r="AM466" s="1119">
        <f>AK466+AL466</f>
        <v>2</v>
      </c>
      <c r="AN466" s="1203" t="s">
        <v>586</v>
      </c>
      <c r="AO466" s="1204" t="s">
        <v>781</v>
      </c>
      <c r="AP466" s="1204" t="s">
        <v>194</v>
      </c>
      <c r="AQ466" s="1204" t="s">
        <v>558</v>
      </c>
    </row>
    <row r="467" spans="1:43" ht="21.75" customHeight="1">
      <c r="A467" s="1076"/>
      <c r="B467" s="1171"/>
      <c r="C467" s="1076"/>
      <c r="D467" s="1076"/>
      <c r="E467" s="1252"/>
      <c r="F467" s="1252"/>
      <c r="G467" s="1076"/>
      <c r="H467" s="1076"/>
      <c r="I467" s="1076"/>
      <c r="J467" s="1076"/>
      <c r="K467" s="1076"/>
      <c r="L467" s="1076"/>
      <c r="M467" s="1268"/>
      <c r="N467" s="1123"/>
      <c r="O467" s="1119"/>
      <c r="P467" s="1119"/>
      <c r="Q467" s="1119"/>
      <c r="R467" s="1171"/>
      <c r="S467" s="1196"/>
      <c r="T467" s="1119"/>
      <c r="U467" s="1119"/>
      <c r="V467" s="1119"/>
      <c r="W467" s="1119"/>
      <c r="X467" s="1076"/>
      <c r="Y467" s="1123"/>
      <c r="Z467" s="386">
        <v>0</v>
      </c>
      <c r="AA467" s="386">
        <v>10579200</v>
      </c>
      <c r="AB467" s="386">
        <f t="shared" si="30"/>
        <v>10579200</v>
      </c>
      <c r="AC467" s="1171"/>
      <c r="AD467" s="395">
        <v>10579200</v>
      </c>
      <c r="AE467" s="395" t="s">
        <v>7</v>
      </c>
      <c r="AF467" s="1084"/>
      <c r="AG467" s="1084"/>
      <c r="AH467" s="358">
        <f t="shared" si="31"/>
        <v>0</v>
      </c>
      <c r="AI467" s="1084"/>
      <c r="AJ467" s="1119"/>
      <c r="AK467" s="1119"/>
      <c r="AL467" s="1119"/>
      <c r="AM467" s="1119"/>
      <c r="AN467" s="1203"/>
      <c r="AO467" s="1204"/>
      <c r="AP467" s="1204"/>
      <c r="AQ467" s="1204"/>
    </row>
    <row r="468" spans="1:43" ht="31.5">
      <c r="A468" s="1076"/>
      <c r="B468" s="1171"/>
      <c r="C468" s="1076"/>
      <c r="D468" s="1076"/>
      <c r="E468" s="1252"/>
      <c r="F468" s="1252"/>
      <c r="G468" s="1076"/>
      <c r="H468" s="1076"/>
      <c r="I468" s="1076"/>
      <c r="J468" s="1076"/>
      <c r="K468" s="1076"/>
      <c r="L468" s="1076"/>
      <c r="M468" s="1268"/>
      <c r="N468" s="1123"/>
      <c r="O468" s="1119"/>
      <c r="P468" s="1119"/>
      <c r="Q468" s="1119"/>
      <c r="R468" s="1171"/>
      <c r="S468" s="1196"/>
      <c r="T468" s="1119"/>
      <c r="U468" s="1119"/>
      <c r="V468" s="1119"/>
      <c r="W468" s="1119"/>
      <c r="X468" s="1076"/>
      <c r="Y468" s="1123" t="s">
        <v>587</v>
      </c>
      <c r="Z468" s="386">
        <v>12342400</v>
      </c>
      <c r="AA468" s="386">
        <v>-4936960</v>
      </c>
      <c r="AB468" s="386">
        <f t="shared" si="30"/>
        <v>7405440</v>
      </c>
      <c r="AC468" s="1171">
        <v>40694</v>
      </c>
      <c r="AD468" s="395">
        <v>7405440</v>
      </c>
      <c r="AE468" s="395" t="s">
        <v>137</v>
      </c>
      <c r="AF468" s="1084"/>
      <c r="AG468" s="1084"/>
      <c r="AH468" s="358">
        <f t="shared" si="31"/>
        <v>0</v>
      </c>
      <c r="AI468" s="1084"/>
      <c r="AJ468" s="1119"/>
      <c r="AK468" s="1119"/>
      <c r="AL468" s="1119"/>
      <c r="AM468" s="1119"/>
      <c r="AN468" s="1203"/>
      <c r="AO468" s="1204"/>
      <c r="AP468" s="1204"/>
      <c r="AQ468" s="1204"/>
    </row>
    <row r="469" spans="1:43" ht="31.5">
      <c r="A469" s="1076"/>
      <c r="B469" s="1171"/>
      <c r="C469" s="1076"/>
      <c r="D469" s="1076"/>
      <c r="E469" s="1252"/>
      <c r="F469" s="1252"/>
      <c r="G469" s="1076"/>
      <c r="H469" s="1076"/>
      <c r="I469" s="1076"/>
      <c r="J469" s="1076"/>
      <c r="K469" s="1076"/>
      <c r="L469" s="1076"/>
      <c r="M469" s="1268"/>
      <c r="N469" s="1123"/>
      <c r="O469" s="1119"/>
      <c r="P469" s="1119"/>
      <c r="Q469" s="1119"/>
      <c r="R469" s="1171"/>
      <c r="S469" s="1196"/>
      <c r="T469" s="1119"/>
      <c r="U469" s="1119"/>
      <c r="V469" s="1119"/>
      <c r="W469" s="1119"/>
      <c r="X469" s="1076"/>
      <c r="Y469" s="1123"/>
      <c r="Z469" s="386">
        <v>18513600</v>
      </c>
      <c r="AA469" s="386">
        <v>-7405440</v>
      </c>
      <c r="AB469" s="386">
        <f t="shared" si="30"/>
        <v>11108160</v>
      </c>
      <c r="AC469" s="1171"/>
      <c r="AD469" s="395">
        <v>11108160</v>
      </c>
      <c r="AE469" s="395" t="s">
        <v>137</v>
      </c>
      <c r="AF469" s="1084"/>
      <c r="AG469" s="1084"/>
      <c r="AH469" s="358">
        <f t="shared" si="31"/>
        <v>0</v>
      </c>
      <c r="AI469" s="1084"/>
      <c r="AJ469" s="1119"/>
      <c r="AK469" s="1119"/>
      <c r="AL469" s="1119"/>
      <c r="AM469" s="1119"/>
      <c r="AN469" s="1203"/>
      <c r="AO469" s="1204"/>
      <c r="AP469" s="1204"/>
      <c r="AQ469" s="1204"/>
    </row>
    <row r="470" spans="1:43" ht="25.5" customHeight="1">
      <c r="A470" s="1076"/>
      <c r="B470" s="1171"/>
      <c r="C470" s="1076"/>
      <c r="D470" s="1076"/>
      <c r="E470" s="1252"/>
      <c r="F470" s="1252"/>
      <c r="G470" s="1076"/>
      <c r="H470" s="1076"/>
      <c r="I470" s="1076"/>
      <c r="J470" s="1076"/>
      <c r="K470" s="1076"/>
      <c r="L470" s="1076"/>
      <c r="M470" s="1268"/>
      <c r="N470" s="1123" t="s">
        <v>7</v>
      </c>
      <c r="O470" s="1119">
        <v>26448001</v>
      </c>
      <c r="P470" s="1119"/>
      <c r="Q470" s="1119"/>
      <c r="R470" s="1171"/>
      <c r="S470" s="1196"/>
      <c r="T470" s="1119">
        <v>26448001.199999999</v>
      </c>
      <c r="U470" s="1119">
        <f>O470-T470</f>
        <v>-0.19999999925494194</v>
      </c>
      <c r="V470" s="1119">
        <v>26448000</v>
      </c>
      <c r="W470" s="1119"/>
      <c r="X470" s="1076"/>
      <c r="Y470" s="1123" t="s">
        <v>588</v>
      </c>
      <c r="Z470" s="386">
        <v>2644800</v>
      </c>
      <c r="AA470" s="386">
        <v>-2115840</v>
      </c>
      <c r="AB470" s="386">
        <f t="shared" si="30"/>
        <v>528960</v>
      </c>
      <c r="AC470" s="1171">
        <v>40876</v>
      </c>
      <c r="AD470" s="395">
        <v>528960</v>
      </c>
      <c r="AE470" s="395" t="s">
        <v>7</v>
      </c>
      <c r="AF470" s="1084"/>
      <c r="AG470" s="1084"/>
      <c r="AH470" s="358">
        <f t="shared" si="31"/>
        <v>0</v>
      </c>
      <c r="AI470" s="1084">
        <f>O470-AD467-AD470-AD471-AD473</f>
        <v>10579201</v>
      </c>
      <c r="AJ470" s="1119"/>
      <c r="AK470" s="1119"/>
      <c r="AL470" s="1119"/>
      <c r="AM470" s="1119"/>
      <c r="AN470" s="1203"/>
      <c r="AO470" s="1204"/>
      <c r="AP470" s="1204"/>
      <c r="AQ470" s="1204"/>
    </row>
    <row r="471" spans="1:43" ht="39" customHeight="1">
      <c r="A471" s="1076"/>
      <c r="B471" s="1171"/>
      <c r="C471" s="1076"/>
      <c r="D471" s="1076"/>
      <c r="E471" s="1252"/>
      <c r="F471" s="1252"/>
      <c r="G471" s="1076"/>
      <c r="H471" s="1076"/>
      <c r="I471" s="1076"/>
      <c r="J471" s="1076"/>
      <c r="K471" s="1076"/>
      <c r="L471" s="1076"/>
      <c r="M471" s="1268"/>
      <c r="N471" s="1123"/>
      <c r="O471" s="1119"/>
      <c r="P471" s="1119"/>
      <c r="Q471" s="1119"/>
      <c r="R471" s="1171"/>
      <c r="S471" s="1196"/>
      <c r="T471" s="1119"/>
      <c r="U471" s="1119"/>
      <c r="V471" s="1119"/>
      <c r="W471" s="1119"/>
      <c r="X471" s="1076"/>
      <c r="Y471" s="1123"/>
      <c r="Z471" s="386">
        <v>3967200</v>
      </c>
      <c r="AA471" s="386">
        <v>-3173760</v>
      </c>
      <c r="AB471" s="386">
        <f t="shared" si="30"/>
        <v>793440</v>
      </c>
      <c r="AC471" s="1171"/>
      <c r="AD471" s="395">
        <v>793440</v>
      </c>
      <c r="AE471" s="395" t="s">
        <v>7</v>
      </c>
      <c r="AF471" s="1084"/>
      <c r="AG471" s="1084"/>
      <c r="AH471" s="358">
        <f t="shared" si="31"/>
        <v>0</v>
      </c>
      <c r="AI471" s="1084"/>
      <c r="AJ471" s="1119"/>
      <c r="AK471" s="1119"/>
      <c r="AL471" s="1119"/>
      <c r="AM471" s="1119"/>
      <c r="AN471" s="1203"/>
      <c r="AO471" s="1204"/>
      <c r="AP471" s="1204"/>
      <c r="AQ471" s="1204"/>
    </row>
    <row r="472" spans="1:43" ht="27" customHeight="1">
      <c r="A472" s="1076"/>
      <c r="B472" s="1171"/>
      <c r="C472" s="1076"/>
      <c r="D472" s="1076"/>
      <c r="E472" s="1252"/>
      <c r="F472" s="1252"/>
      <c r="G472" s="1076"/>
      <c r="H472" s="1076"/>
      <c r="I472" s="1076"/>
      <c r="J472" s="1076"/>
      <c r="K472" s="1076"/>
      <c r="L472" s="1076"/>
      <c r="M472" s="1268"/>
      <c r="N472" s="1123"/>
      <c r="O472" s="1119"/>
      <c r="P472" s="1119"/>
      <c r="Q472" s="1119"/>
      <c r="R472" s="1171"/>
      <c r="S472" s="1196"/>
      <c r="T472" s="1119"/>
      <c r="U472" s="1119"/>
      <c r="V472" s="1119"/>
      <c r="W472" s="1119"/>
      <c r="X472" s="1076"/>
      <c r="Y472" s="1123" t="s">
        <v>590</v>
      </c>
      <c r="Z472" s="386">
        <v>2644800</v>
      </c>
      <c r="AA472" s="386">
        <v>0</v>
      </c>
      <c r="AB472" s="386">
        <f t="shared" si="30"/>
        <v>2644800</v>
      </c>
      <c r="AC472" s="1171">
        <v>41767</v>
      </c>
      <c r="AD472" s="395">
        <v>2644800</v>
      </c>
      <c r="AE472" s="395" t="s">
        <v>137</v>
      </c>
      <c r="AF472" s="1084"/>
      <c r="AG472" s="1084"/>
      <c r="AH472" s="358">
        <f t="shared" si="31"/>
        <v>0</v>
      </c>
      <c r="AI472" s="1084"/>
      <c r="AJ472" s="1119"/>
      <c r="AK472" s="1119"/>
      <c r="AL472" s="1119"/>
      <c r="AM472" s="1119"/>
      <c r="AN472" s="1203"/>
      <c r="AO472" s="1204"/>
      <c r="AP472" s="1204"/>
      <c r="AQ472" s="1204"/>
    </row>
    <row r="473" spans="1:43" ht="22.5" customHeight="1">
      <c r="A473" s="1076"/>
      <c r="B473" s="1171"/>
      <c r="C473" s="1076"/>
      <c r="D473" s="1076"/>
      <c r="E473" s="1252"/>
      <c r="F473" s="1252"/>
      <c r="G473" s="1076"/>
      <c r="H473" s="1076"/>
      <c r="I473" s="1076"/>
      <c r="J473" s="1076"/>
      <c r="K473" s="1076"/>
      <c r="L473" s="1076"/>
      <c r="M473" s="1268"/>
      <c r="N473" s="1123"/>
      <c r="O473" s="1119"/>
      <c r="P473" s="1119"/>
      <c r="Q473" s="1119"/>
      <c r="R473" s="1171"/>
      <c r="S473" s="1196"/>
      <c r="T473" s="1119"/>
      <c r="U473" s="1119"/>
      <c r="V473" s="1119"/>
      <c r="W473" s="1119"/>
      <c r="X473" s="1076"/>
      <c r="Y473" s="1123"/>
      <c r="Z473" s="386">
        <v>3967200</v>
      </c>
      <c r="AA473" s="386">
        <v>0</v>
      </c>
      <c r="AB473" s="386">
        <f t="shared" si="30"/>
        <v>3967200</v>
      </c>
      <c r="AC473" s="1171"/>
      <c r="AD473" s="395">
        <v>3967200</v>
      </c>
      <c r="AE473" s="395" t="s">
        <v>7</v>
      </c>
      <c r="AF473" s="1084"/>
      <c r="AG473" s="1084"/>
      <c r="AH473" s="358">
        <f t="shared" si="31"/>
        <v>0</v>
      </c>
      <c r="AI473" s="1084"/>
      <c r="AJ473" s="1119"/>
      <c r="AK473" s="1119"/>
      <c r="AL473" s="1119"/>
      <c r="AM473" s="1119"/>
      <c r="AN473" s="1203"/>
      <c r="AO473" s="1204"/>
      <c r="AP473" s="1204"/>
      <c r="AQ473" s="1204"/>
    </row>
    <row r="474" spans="1:43" ht="78.75">
      <c r="A474" s="1076"/>
      <c r="B474" s="1171"/>
      <c r="C474" s="1076"/>
      <c r="D474" s="1076"/>
      <c r="E474" s="1252"/>
      <c r="F474" s="1252"/>
      <c r="G474" s="1076"/>
      <c r="H474" s="1076"/>
      <c r="I474" s="1076"/>
      <c r="J474" s="354" t="s">
        <v>171</v>
      </c>
      <c r="K474" s="1076"/>
      <c r="L474" s="1076"/>
      <c r="M474" s="414">
        <v>202</v>
      </c>
      <c r="N474" s="372" t="s">
        <v>7</v>
      </c>
      <c r="O474" s="386">
        <v>22040000</v>
      </c>
      <c r="P474" s="386">
        <f>O474</f>
        <v>22040000</v>
      </c>
      <c r="Q474" s="1119"/>
      <c r="R474" s="384">
        <v>40779</v>
      </c>
      <c r="S474" s="390">
        <f>T474</f>
        <v>22040000</v>
      </c>
      <c r="T474" s="386">
        <v>22040000</v>
      </c>
      <c r="U474" s="386">
        <f>O474-T474</f>
        <v>0</v>
      </c>
      <c r="V474" s="386">
        <v>22040000</v>
      </c>
      <c r="W474" s="1119"/>
      <c r="X474" s="1076"/>
      <c r="Y474" s="372" t="s">
        <v>588</v>
      </c>
      <c r="Z474" s="386">
        <v>22040000</v>
      </c>
      <c r="AA474" s="386">
        <v>0</v>
      </c>
      <c r="AB474" s="386">
        <f t="shared" si="30"/>
        <v>22040000</v>
      </c>
      <c r="AC474" s="384">
        <v>40876</v>
      </c>
      <c r="AD474" s="395">
        <v>22040000</v>
      </c>
      <c r="AE474" s="395" t="s">
        <v>7</v>
      </c>
      <c r="AF474" s="358">
        <f>AD474</f>
        <v>22040000</v>
      </c>
      <c r="AG474" s="1084"/>
      <c r="AH474" s="358">
        <f t="shared" si="31"/>
        <v>0</v>
      </c>
      <c r="AI474" s="358">
        <f>O474-AD474</f>
        <v>0</v>
      </c>
      <c r="AJ474" s="386">
        <f>Z474-AD474</f>
        <v>0</v>
      </c>
      <c r="AK474" s="386">
        <f>P474-V474</f>
        <v>0</v>
      </c>
      <c r="AL474" s="386">
        <f>V474-Z474</f>
        <v>0</v>
      </c>
      <c r="AM474" s="386">
        <f>AK474+AL474</f>
        <v>0</v>
      </c>
      <c r="AN474" s="1203"/>
      <c r="AO474" s="1204"/>
      <c r="AP474" s="1204"/>
      <c r="AQ474" s="1204"/>
    </row>
    <row r="475" spans="1:43" ht="27" customHeight="1">
      <c r="A475" s="1076" t="s">
        <v>597</v>
      </c>
      <c r="B475" s="1171">
        <v>40378</v>
      </c>
      <c r="C475" s="1076" t="s">
        <v>37</v>
      </c>
      <c r="D475" s="1076" t="s">
        <v>598</v>
      </c>
      <c r="E475" s="1252">
        <v>900368699</v>
      </c>
      <c r="F475" s="1252">
        <v>2</v>
      </c>
      <c r="G475" s="1076" t="s">
        <v>599</v>
      </c>
      <c r="H475" s="1076" t="s">
        <v>72</v>
      </c>
      <c r="I475" s="1076" t="s">
        <v>177</v>
      </c>
      <c r="J475" s="1076" t="s">
        <v>66</v>
      </c>
      <c r="K475" s="1076" t="s">
        <v>183</v>
      </c>
      <c r="L475" s="1076" t="s">
        <v>604</v>
      </c>
      <c r="M475" s="1268">
        <v>111</v>
      </c>
      <c r="N475" s="1123" t="s">
        <v>137</v>
      </c>
      <c r="O475" s="1119">
        <v>111538461</v>
      </c>
      <c r="P475" s="1119">
        <f>O475+O479</f>
        <v>278846153</v>
      </c>
      <c r="Q475" s="1119">
        <f>P475+P481</f>
        <v>323738153</v>
      </c>
      <c r="R475" s="1171">
        <v>40413</v>
      </c>
      <c r="S475" s="1196">
        <f>T475+T479</f>
        <v>278846000</v>
      </c>
      <c r="T475" s="1119">
        <v>111538400.2</v>
      </c>
      <c r="U475" s="1119">
        <f>O475-T475</f>
        <v>60.799999997019768</v>
      </c>
      <c r="V475" s="1119">
        <v>111538400</v>
      </c>
      <c r="W475" s="1119">
        <f>V475+V479+V481</f>
        <v>323738000</v>
      </c>
      <c r="X475" s="1076" t="s">
        <v>467</v>
      </c>
      <c r="Y475" s="1123" t="s">
        <v>600</v>
      </c>
      <c r="Z475" s="386">
        <v>0</v>
      </c>
      <c r="AA475" s="386">
        <v>44615360</v>
      </c>
      <c r="AB475" s="386">
        <f t="shared" si="30"/>
        <v>44615360</v>
      </c>
      <c r="AC475" s="1171">
        <v>40456</v>
      </c>
      <c r="AD475" s="395">
        <v>44615360</v>
      </c>
      <c r="AE475" s="395" t="s">
        <v>137</v>
      </c>
      <c r="AF475" s="1084">
        <f>SUM(AD475:AD480)</f>
        <v>278846000</v>
      </c>
      <c r="AG475" s="1084">
        <f>AF475+AF481</f>
        <v>323738000</v>
      </c>
      <c r="AH475" s="358">
        <f t="shared" si="31"/>
        <v>0</v>
      </c>
      <c r="AI475" s="1084">
        <f>O475-AD475-AD477-AD479-AD480</f>
        <v>-10038395.009999998</v>
      </c>
      <c r="AJ475" s="1119">
        <f>SUM(Z475:Z480)-SUM(AD475:AD480)</f>
        <v>39.600000023841858</v>
      </c>
      <c r="AK475" s="1119">
        <v>0</v>
      </c>
      <c r="AL475" s="1119">
        <v>0</v>
      </c>
      <c r="AM475" s="1119">
        <v>0</v>
      </c>
      <c r="AN475" s="1203" t="s">
        <v>606</v>
      </c>
      <c r="AO475" s="1204" t="s">
        <v>774</v>
      </c>
      <c r="AP475" s="1204" t="s">
        <v>194</v>
      </c>
      <c r="AQ475" s="1204" t="s">
        <v>558</v>
      </c>
    </row>
    <row r="476" spans="1:43" ht="19.5" customHeight="1">
      <c r="A476" s="1076"/>
      <c r="B476" s="1171"/>
      <c r="C476" s="1076"/>
      <c r="D476" s="1076"/>
      <c r="E476" s="1252"/>
      <c r="F476" s="1252"/>
      <c r="G476" s="1076"/>
      <c r="H476" s="1076"/>
      <c r="I476" s="1076"/>
      <c r="J476" s="1076"/>
      <c r="K476" s="1076"/>
      <c r="L476" s="1076"/>
      <c r="M476" s="1268"/>
      <c r="N476" s="1123"/>
      <c r="O476" s="1119"/>
      <c r="P476" s="1119"/>
      <c r="Q476" s="1119"/>
      <c r="R476" s="1171"/>
      <c r="S476" s="1196"/>
      <c r="T476" s="1119"/>
      <c r="U476" s="1119"/>
      <c r="V476" s="1119"/>
      <c r="W476" s="1119"/>
      <c r="X476" s="1076"/>
      <c r="Y476" s="1123"/>
      <c r="Z476" s="386">
        <v>0</v>
      </c>
      <c r="AA476" s="386">
        <v>66923040</v>
      </c>
      <c r="AB476" s="386">
        <f t="shared" si="30"/>
        <v>66923040</v>
      </c>
      <c r="AC476" s="1171"/>
      <c r="AD476" s="395">
        <v>66923040</v>
      </c>
      <c r="AE476" s="395" t="s">
        <v>7</v>
      </c>
      <c r="AF476" s="1084"/>
      <c r="AG476" s="1084"/>
      <c r="AH476" s="358">
        <f t="shared" si="31"/>
        <v>0</v>
      </c>
      <c r="AI476" s="1084"/>
      <c r="AJ476" s="1119"/>
      <c r="AK476" s="1119"/>
      <c r="AL476" s="1119"/>
      <c r="AM476" s="1119"/>
      <c r="AN476" s="1203"/>
      <c r="AO476" s="1204"/>
      <c r="AP476" s="1204"/>
      <c r="AQ476" s="1204"/>
    </row>
    <row r="477" spans="1:43" ht="30.75" customHeight="1">
      <c r="A477" s="1076"/>
      <c r="B477" s="1171"/>
      <c r="C477" s="1076"/>
      <c r="D477" s="1076"/>
      <c r="E477" s="1252"/>
      <c r="F477" s="1252"/>
      <c r="G477" s="1076"/>
      <c r="H477" s="1076"/>
      <c r="I477" s="1076"/>
      <c r="J477" s="1076"/>
      <c r="K477" s="1076"/>
      <c r="L477" s="1076"/>
      <c r="M477" s="1268"/>
      <c r="N477" s="1123"/>
      <c r="O477" s="1119"/>
      <c r="P477" s="1119"/>
      <c r="Q477" s="1119"/>
      <c r="R477" s="1171"/>
      <c r="S477" s="1196"/>
      <c r="T477" s="1119"/>
      <c r="U477" s="1119"/>
      <c r="V477" s="1119"/>
      <c r="W477" s="1119"/>
      <c r="X477" s="1076"/>
      <c r="Y477" s="1123" t="s">
        <v>601</v>
      </c>
      <c r="Z477" s="386">
        <v>100384599.60000001</v>
      </c>
      <c r="AA477" s="386">
        <v>-40153863.590000004</v>
      </c>
      <c r="AB477" s="386">
        <f t="shared" si="30"/>
        <v>60230736.010000005</v>
      </c>
      <c r="AC477" s="1171">
        <v>40757</v>
      </c>
      <c r="AD477" s="395">
        <v>60230736.009999998</v>
      </c>
      <c r="AE477" s="395" t="s">
        <v>137</v>
      </c>
      <c r="AF477" s="1084"/>
      <c r="AG477" s="1084"/>
      <c r="AH477" s="358">
        <f t="shared" si="31"/>
        <v>0</v>
      </c>
      <c r="AI477" s="1084"/>
      <c r="AJ477" s="1119"/>
      <c r="AK477" s="1119"/>
      <c r="AL477" s="1119"/>
      <c r="AM477" s="1119"/>
      <c r="AN477" s="1203"/>
      <c r="AO477" s="1204"/>
      <c r="AP477" s="1204"/>
      <c r="AQ477" s="1204"/>
    </row>
    <row r="478" spans="1:43" ht="27" customHeight="1">
      <c r="A478" s="1076"/>
      <c r="B478" s="1171"/>
      <c r="C478" s="1076"/>
      <c r="D478" s="1076"/>
      <c r="E478" s="1252"/>
      <c r="F478" s="1252"/>
      <c r="G478" s="1076"/>
      <c r="H478" s="1076"/>
      <c r="I478" s="1076"/>
      <c r="J478" s="1076"/>
      <c r="K478" s="1076"/>
      <c r="L478" s="1076"/>
      <c r="M478" s="1268"/>
      <c r="N478" s="1123"/>
      <c r="O478" s="1119"/>
      <c r="P478" s="1119"/>
      <c r="Q478" s="1119"/>
      <c r="R478" s="1171"/>
      <c r="S478" s="1196"/>
      <c r="T478" s="1119"/>
      <c r="U478" s="1119"/>
      <c r="V478" s="1119"/>
      <c r="W478" s="1119"/>
      <c r="X478" s="1076"/>
      <c r="Y478" s="1123"/>
      <c r="Z478" s="386">
        <v>150576840</v>
      </c>
      <c r="AA478" s="386">
        <v>-60230736.009999998</v>
      </c>
      <c r="AB478" s="386">
        <f t="shared" si="30"/>
        <v>90346103.99000001</v>
      </c>
      <c r="AC478" s="1171"/>
      <c r="AD478" s="395">
        <v>90346103.989999995</v>
      </c>
      <c r="AE478" s="395" t="s">
        <v>7</v>
      </c>
      <c r="AF478" s="1084"/>
      <c r="AG478" s="1084"/>
      <c r="AH478" s="358">
        <f t="shared" si="31"/>
        <v>0</v>
      </c>
      <c r="AI478" s="1084"/>
      <c r="AJ478" s="1119"/>
      <c r="AK478" s="1119"/>
      <c r="AL478" s="1119"/>
      <c r="AM478" s="1119"/>
      <c r="AN478" s="1203"/>
      <c r="AO478" s="1204"/>
      <c r="AP478" s="1204"/>
      <c r="AQ478" s="1204"/>
    </row>
    <row r="479" spans="1:43" ht="29.25" customHeight="1">
      <c r="A479" s="1076"/>
      <c r="B479" s="1171"/>
      <c r="C479" s="1076"/>
      <c r="D479" s="1076"/>
      <c r="E479" s="1252"/>
      <c r="F479" s="1252"/>
      <c r="G479" s="1076"/>
      <c r="H479" s="1076"/>
      <c r="I479" s="1076"/>
      <c r="J479" s="1076"/>
      <c r="K479" s="1076"/>
      <c r="L479" s="1076"/>
      <c r="M479" s="1268"/>
      <c r="N479" s="1123" t="s">
        <v>7</v>
      </c>
      <c r="O479" s="1119">
        <v>167307692</v>
      </c>
      <c r="P479" s="1119"/>
      <c r="Q479" s="1119"/>
      <c r="R479" s="1171"/>
      <c r="S479" s="1196"/>
      <c r="T479" s="1119">
        <v>167307599.80000001</v>
      </c>
      <c r="U479" s="1119">
        <f>O479-T479</f>
        <v>92.199999988079071</v>
      </c>
      <c r="V479" s="1119">
        <v>167307600</v>
      </c>
      <c r="W479" s="1119"/>
      <c r="X479" s="1076"/>
      <c r="Y479" s="1123" t="s">
        <v>602</v>
      </c>
      <c r="Z479" s="386">
        <v>11153840</v>
      </c>
      <c r="AA479" s="386">
        <v>-4461536</v>
      </c>
      <c r="AB479" s="386">
        <f t="shared" si="30"/>
        <v>6692304</v>
      </c>
      <c r="AC479" s="1171">
        <v>41516</v>
      </c>
      <c r="AD479" s="395">
        <v>6692304</v>
      </c>
      <c r="AE479" s="395" t="s">
        <v>137</v>
      </c>
      <c r="AF479" s="1084"/>
      <c r="AG479" s="1084"/>
      <c r="AH479" s="358">
        <f t="shared" si="31"/>
        <v>0</v>
      </c>
      <c r="AI479" s="1084">
        <f>T479-AD476-AD478</f>
        <v>10038455.810000017</v>
      </c>
      <c r="AJ479" s="1119"/>
      <c r="AK479" s="1119"/>
      <c r="AL479" s="1119"/>
      <c r="AM479" s="1119"/>
      <c r="AN479" s="1203"/>
      <c r="AO479" s="1204"/>
      <c r="AP479" s="1204"/>
      <c r="AQ479" s="1204"/>
    </row>
    <row r="480" spans="1:43" ht="32.25" customHeight="1">
      <c r="A480" s="1076"/>
      <c r="B480" s="1171"/>
      <c r="C480" s="1076"/>
      <c r="D480" s="1076"/>
      <c r="E480" s="1252"/>
      <c r="F480" s="1252"/>
      <c r="G480" s="1076"/>
      <c r="H480" s="1076"/>
      <c r="I480" s="1076"/>
      <c r="J480" s="1076"/>
      <c r="K480" s="1076"/>
      <c r="L480" s="1076"/>
      <c r="M480" s="1268"/>
      <c r="N480" s="1123"/>
      <c r="O480" s="1119"/>
      <c r="P480" s="1119"/>
      <c r="Q480" s="1119"/>
      <c r="R480" s="1171"/>
      <c r="S480" s="1196"/>
      <c r="T480" s="1119"/>
      <c r="U480" s="1119"/>
      <c r="V480" s="1119"/>
      <c r="W480" s="1119"/>
      <c r="X480" s="1076"/>
      <c r="Y480" s="1123"/>
      <c r="Z480" s="386">
        <v>16730760</v>
      </c>
      <c r="AA480" s="386">
        <v>-6692304</v>
      </c>
      <c r="AB480" s="386">
        <f t="shared" si="30"/>
        <v>10038456</v>
      </c>
      <c r="AC480" s="1171"/>
      <c r="AD480" s="395">
        <v>10038456</v>
      </c>
      <c r="AE480" s="395" t="s">
        <v>137</v>
      </c>
      <c r="AF480" s="1084"/>
      <c r="AG480" s="1084"/>
      <c r="AH480" s="358">
        <f t="shared" si="31"/>
        <v>0</v>
      </c>
      <c r="AI480" s="1084"/>
      <c r="AJ480" s="1119"/>
      <c r="AK480" s="1119"/>
      <c r="AL480" s="1119"/>
      <c r="AM480" s="1119"/>
      <c r="AN480" s="1203"/>
      <c r="AO480" s="1204"/>
      <c r="AP480" s="1204"/>
      <c r="AQ480" s="1204"/>
    </row>
    <row r="481" spans="1:43" ht="63">
      <c r="A481" s="1076"/>
      <c r="B481" s="1171"/>
      <c r="C481" s="1076"/>
      <c r="D481" s="1076"/>
      <c r="E481" s="1252"/>
      <c r="F481" s="1252"/>
      <c r="G481" s="1076"/>
      <c r="H481" s="1076"/>
      <c r="I481" s="1076"/>
      <c r="J481" s="1076" t="s">
        <v>67</v>
      </c>
      <c r="K481" s="1076"/>
      <c r="L481" s="1076"/>
      <c r="M481" s="1268">
        <v>174</v>
      </c>
      <c r="N481" s="1123" t="s">
        <v>7</v>
      </c>
      <c r="O481" s="1119">
        <v>44892000</v>
      </c>
      <c r="P481" s="1119">
        <f>O481</f>
        <v>44892000</v>
      </c>
      <c r="Q481" s="1119"/>
      <c r="R481" s="384"/>
      <c r="S481" s="1196"/>
      <c r="T481" s="1119"/>
      <c r="U481" s="1119"/>
      <c r="V481" s="1119">
        <v>44892000</v>
      </c>
      <c r="W481" s="1119"/>
      <c r="X481" s="1076"/>
      <c r="Y481" s="372" t="s">
        <v>603</v>
      </c>
      <c r="Z481" s="386">
        <v>40402800</v>
      </c>
      <c r="AA481" s="386">
        <v>0</v>
      </c>
      <c r="AB481" s="386">
        <f t="shared" si="30"/>
        <v>40402800</v>
      </c>
      <c r="AC481" s="384">
        <v>40780</v>
      </c>
      <c r="AD481" s="395">
        <v>40402800</v>
      </c>
      <c r="AE481" s="395" t="s">
        <v>7</v>
      </c>
      <c r="AF481" s="1084">
        <f>SUM(AD481:AD482)</f>
        <v>44892000</v>
      </c>
      <c r="AG481" s="1084"/>
      <c r="AH481" s="358">
        <f t="shared" si="31"/>
        <v>0</v>
      </c>
      <c r="AI481" s="1084">
        <f>O481-AD481-AD482</f>
        <v>0</v>
      </c>
      <c r="AJ481" s="1119">
        <f>SUM(Z481:Z482)-SUM(AD481:AD482)</f>
        <v>0</v>
      </c>
      <c r="AK481" s="1119">
        <f>P481-V481</f>
        <v>0</v>
      </c>
      <c r="AL481" s="1119">
        <f>V481-SUM(Z481:Z482)</f>
        <v>0</v>
      </c>
      <c r="AM481" s="1119">
        <f>AK481+AL481</f>
        <v>0</v>
      </c>
      <c r="AN481" s="1203"/>
      <c r="AO481" s="1204"/>
      <c r="AP481" s="1204"/>
      <c r="AQ481" s="1204"/>
    </row>
    <row r="482" spans="1:43" ht="63">
      <c r="A482" s="1076"/>
      <c r="B482" s="1171"/>
      <c r="C482" s="1076"/>
      <c r="D482" s="1076"/>
      <c r="E482" s="1252"/>
      <c r="F482" s="1252"/>
      <c r="G482" s="1076"/>
      <c r="H482" s="1076"/>
      <c r="I482" s="1076"/>
      <c r="J482" s="1076"/>
      <c r="K482" s="1076"/>
      <c r="L482" s="1076"/>
      <c r="M482" s="1268"/>
      <c r="N482" s="1123"/>
      <c r="O482" s="1119"/>
      <c r="P482" s="1119"/>
      <c r="Q482" s="1119"/>
      <c r="R482" s="384"/>
      <c r="S482" s="1196"/>
      <c r="T482" s="1119"/>
      <c r="U482" s="1119"/>
      <c r="V482" s="1119"/>
      <c r="W482" s="1119"/>
      <c r="X482" s="1076"/>
      <c r="Y482" s="372" t="s">
        <v>605</v>
      </c>
      <c r="Z482" s="386">
        <v>4489200</v>
      </c>
      <c r="AA482" s="386">
        <v>0</v>
      </c>
      <c r="AB482" s="386">
        <f t="shared" si="30"/>
        <v>4489200</v>
      </c>
      <c r="AC482" s="384">
        <v>41516</v>
      </c>
      <c r="AD482" s="395">
        <f>P481-AD481</f>
        <v>4489200</v>
      </c>
      <c r="AE482" s="395" t="s">
        <v>7</v>
      </c>
      <c r="AF482" s="1084"/>
      <c r="AG482" s="1084"/>
      <c r="AH482" s="358">
        <f t="shared" si="31"/>
        <v>0</v>
      </c>
      <c r="AI482" s="1084"/>
      <c r="AJ482" s="1119"/>
      <c r="AK482" s="1119"/>
      <c r="AL482" s="1119"/>
      <c r="AM482" s="1119"/>
      <c r="AN482" s="1203"/>
      <c r="AO482" s="1204"/>
      <c r="AP482" s="1204"/>
      <c r="AQ482" s="1204"/>
    </row>
    <row r="483" spans="1:43" ht="15.75" customHeight="1">
      <c r="A483" s="1076" t="s">
        <v>614</v>
      </c>
      <c r="B483" s="1171">
        <v>40378</v>
      </c>
      <c r="C483" s="1076" t="s">
        <v>17</v>
      </c>
      <c r="D483" s="1076" t="s">
        <v>615</v>
      </c>
      <c r="E483" s="1252">
        <v>900368932</v>
      </c>
      <c r="F483" s="1252">
        <v>4</v>
      </c>
      <c r="G483" s="1076" t="s">
        <v>616</v>
      </c>
      <c r="H483" s="1076" t="s">
        <v>72</v>
      </c>
      <c r="I483" s="1076" t="s">
        <v>177</v>
      </c>
      <c r="J483" s="1076" t="s">
        <v>66</v>
      </c>
      <c r="K483" s="1076" t="s">
        <v>183</v>
      </c>
      <c r="L483" s="1076" t="s">
        <v>696</v>
      </c>
      <c r="M483" s="1251">
        <v>112</v>
      </c>
      <c r="N483" s="1123" t="s">
        <v>137</v>
      </c>
      <c r="O483" s="1119">
        <v>24000000</v>
      </c>
      <c r="P483" s="1119">
        <f>O483+O488</f>
        <v>60000000</v>
      </c>
      <c r="Q483" s="1119">
        <f>P483+P491</f>
        <v>90000000</v>
      </c>
      <c r="R483" s="1171">
        <v>40413</v>
      </c>
      <c r="S483" s="1196">
        <f>T483+T488</f>
        <v>60000000</v>
      </c>
      <c r="T483" s="1119">
        <v>24000000</v>
      </c>
      <c r="U483" s="1119">
        <f>O483-T483</f>
        <v>0</v>
      </c>
      <c r="V483" s="1119">
        <v>24000000</v>
      </c>
      <c r="W483" s="1119">
        <f>SUM(V483:V492)</f>
        <v>90000000</v>
      </c>
      <c r="X483" s="1076" t="s">
        <v>467</v>
      </c>
      <c r="Y483" s="1123" t="s">
        <v>617</v>
      </c>
      <c r="Z483" s="386">
        <v>0</v>
      </c>
      <c r="AA483" s="386">
        <v>9600000</v>
      </c>
      <c r="AB483" s="386">
        <f t="shared" si="30"/>
        <v>9600000</v>
      </c>
      <c r="AC483" s="1171">
        <v>40448</v>
      </c>
      <c r="AD483" s="395">
        <v>9600000</v>
      </c>
      <c r="AE483" s="395" t="s">
        <v>137</v>
      </c>
      <c r="AF483" s="1084">
        <f>SUM(AD483:AD714)</f>
        <v>6930396091.1399994</v>
      </c>
      <c r="AG483" s="1084">
        <f>AF483+AF491</f>
        <v>6960396091.1399994</v>
      </c>
      <c r="AH483" s="358">
        <f t="shared" si="31"/>
        <v>0</v>
      </c>
      <c r="AI483" s="1084">
        <f>O483-AD483-AD485-AD487-AD488-AD489</f>
        <v>-8640000</v>
      </c>
      <c r="AJ483" s="1119">
        <f>SUM(Z483:Z490)-SUM(AD483:AD490)</f>
        <v>0</v>
      </c>
      <c r="AK483" s="1119">
        <f>P483-V483-V488</f>
        <v>0</v>
      </c>
      <c r="AL483" s="1119">
        <f>SUM(V483:V490)-SUM(Z483:Z490)</f>
        <v>0</v>
      </c>
      <c r="AM483" s="1119">
        <f>AK483+AL483</f>
        <v>0</v>
      </c>
      <c r="AN483" s="1203" t="s">
        <v>620</v>
      </c>
      <c r="AO483" s="1204" t="s">
        <v>782</v>
      </c>
      <c r="AP483" s="1204" t="s">
        <v>194</v>
      </c>
      <c r="AQ483" s="1204" t="s">
        <v>558</v>
      </c>
    </row>
    <row r="484" spans="1:43">
      <c r="A484" s="1076"/>
      <c r="B484" s="1171"/>
      <c r="C484" s="1076"/>
      <c r="D484" s="1076"/>
      <c r="E484" s="1252"/>
      <c r="F484" s="1252"/>
      <c r="G484" s="1076"/>
      <c r="H484" s="1076"/>
      <c r="I484" s="1076"/>
      <c r="J484" s="1076"/>
      <c r="K484" s="1076"/>
      <c r="L484" s="1076"/>
      <c r="M484" s="1251"/>
      <c r="N484" s="1123"/>
      <c r="O484" s="1119"/>
      <c r="P484" s="1119"/>
      <c r="Q484" s="1119"/>
      <c r="R484" s="1171"/>
      <c r="S484" s="1196"/>
      <c r="T484" s="1119"/>
      <c r="U484" s="1119"/>
      <c r="V484" s="1119"/>
      <c r="W484" s="1119"/>
      <c r="X484" s="1076"/>
      <c r="Y484" s="1123"/>
      <c r="Z484" s="386">
        <v>0</v>
      </c>
      <c r="AA484" s="386">
        <v>14400000</v>
      </c>
      <c r="AB484" s="386">
        <f t="shared" si="30"/>
        <v>14400000</v>
      </c>
      <c r="AC484" s="1171"/>
      <c r="AD484" s="395">
        <v>14400000</v>
      </c>
      <c r="AE484" s="395" t="s">
        <v>7</v>
      </c>
      <c r="AF484" s="1084"/>
      <c r="AG484" s="1084"/>
      <c r="AH484" s="358">
        <f t="shared" si="31"/>
        <v>0</v>
      </c>
      <c r="AI484" s="1084"/>
      <c r="AJ484" s="1119"/>
      <c r="AK484" s="1119"/>
      <c r="AL484" s="1119"/>
      <c r="AM484" s="1119"/>
      <c r="AN484" s="1203"/>
      <c r="AO484" s="1204"/>
      <c r="AP484" s="1204"/>
      <c r="AQ484" s="1204"/>
    </row>
    <row r="485" spans="1:43" ht="23.25" customHeight="1">
      <c r="A485" s="1076"/>
      <c r="B485" s="1171"/>
      <c r="C485" s="1076"/>
      <c r="D485" s="1076"/>
      <c r="E485" s="1252"/>
      <c r="F485" s="1252"/>
      <c r="G485" s="1076"/>
      <c r="H485" s="1076"/>
      <c r="I485" s="1076"/>
      <c r="J485" s="1076"/>
      <c r="K485" s="1076"/>
      <c r="L485" s="1076"/>
      <c r="M485" s="1251"/>
      <c r="N485" s="1123"/>
      <c r="O485" s="1119"/>
      <c r="P485" s="1119"/>
      <c r="Q485" s="1119"/>
      <c r="R485" s="1171"/>
      <c r="S485" s="1196"/>
      <c r="T485" s="1119"/>
      <c r="U485" s="1119"/>
      <c r="V485" s="1119"/>
      <c r="W485" s="1119"/>
      <c r="X485" s="1076"/>
      <c r="Y485" s="1123" t="s">
        <v>618</v>
      </c>
      <c r="Z485" s="386">
        <v>12000000</v>
      </c>
      <c r="AA485" s="386">
        <v>-4800000</v>
      </c>
      <c r="AB485" s="386">
        <f t="shared" si="30"/>
        <v>7200000</v>
      </c>
      <c r="AC485" s="1171">
        <v>40788</v>
      </c>
      <c r="AD485" s="395">
        <v>7200000</v>
      </c>
      <c r="AE485" s="395" t="s">
        <v>137</v>
      </c>
      <c r="AF485" s="1084"/>
      <c r="AG485" s="1084"/>
      <c r="AH485" s="358">
        <f t="shared" si="31"/>
        <v>0</v>
      </c>
      <c r="AI485" s="1084"/>
      <c r="AJ485" s="1119"/>
      <c r="AK485" s="1119"/>
      <c r="AL485" s="1119"/>
      <c r="AM485" s="1119"/>
      <c r="AN485" s="1203"/>
      <c r="AO485" s="1204"/>
      <c r="AP485" s="1204"/>
      <c r="AQ485" s="1204"/>
    </row>
    <row r="486" spans="1:43" ht="23.25" customHeight="1">
      <c r="A486" s="1076"/>
      <c r="B486" s="1171"/>
      <c r="C486" s="1076"/>
      <c r="D486" s="1076"/>
      <c r="E486" s="1252"/>
      <c r="F486" s="1252"/>
      <c r="G486" s="1076"/>
      <c r="H486" s="1076"/>
      <c r="I486" s="1076"/>
      <c r="J486" s="1076"/>
      <c r="K486" s="1076"/>
      <c r="L486" s="1076"/>
      <c r="M486" s="1251"/>
      <c r="N486" s="1123"/>
      <c r="O486" s="1119"/>
      <c r="P486" s="1119"/>
      <c r="Q486" s="1119"/>
      <c r="R486" s="1171"/>
      <c r="S486" s="1196"/>
      <c r="T486" s="1119"/>
      <c r="U486" s="1119"/>
      <c r="V486" s="1119"/>
      <c r="W486" s="1119"/>
      <c r="X486" s="1076"/>
      <c r="Y486" s="1123"/>
      <c r="Z486" s="386">
        <v>18000000</v>
      </c>
      <c r="AA486" s="386">
        <v>-7200000</v>
      </c>
      <c r="AB486" s="386">
        <f t="shared" si="30"/>
        <v>10800000</v>
      </c>
      <c r="AC486" s="1171"/>
      <c r="AD486" s="395">
        <v>10800000</v>
      </c>
      <c r="AE486" s="395" t="s">
        <v>7</v>
      </c>
      <c r="AF486" s="1084"/>
      <c r="AG486" s="1084"/>
      <c r="AH486" s="358">
        <f t="shared" si="31"/>
        <v>0</v>
      </c>
      <c r="AI486" s="1084"/>
      <c r="AJ486" s="1119"/>
      <c r="AK486" s="1119"/>
      <c r="AL486" s="1119"/>
      <c r="AM486" s="1119"/>
      <c r="AN486" s="1203"/>
      <c r="AO486" s="1204"/>
      <c r="AP486" s="1204"/>
      <c r="AQ486" s="1204"/>
    </row>
    <row r="487" spans="1:43" ht="26.25" customHeight="1">
      <c r="A487" s="1076"/>
      <c r="B487" s="1171"/>
      <c r="C487" s="1076"/>
      <c r="D487" s="1076"/>
      <c r="E487" s="1252"/>
      <c r="F487" s="1252"/>
      <c r="G487" s="1076"/>
      <c r="H487" s="1076"/>
      <c r="I487" s="1076"/>
      <c r="J487" s="1076"/>
      <c r="K487" s="1076"/>
      <c r="L487" s="1076"/>
      <c r="M487" s="1251"/>
      <c r="N487" s="1123"/>
      <c r="O487" s="1119"/>
      <c r="P487" s="1119"/>
      <c r="Q487" s="1119"/>
      <c r="R487" s="1171"/>
      <c r="S487" s="1196"/>
      <c r="T487" s="1119"/>
      <c r="U487" s="1119"/>
      <c r="V487" s="1119"/>
      <c r="W487" s="1119"/>
      <c r="X487" s="1076"/>
      <c r="Y487" s="1123" t="s">
        <v>619</v>
      </c>
      <c r="Z487" s="386">
        <v>9600000</v>
      </c>
      <c r="AA487" s="386">
        <v>-3840000</v>
      </c>
      <c r="AB487" s="386">
        <f t="shared" si="30"/>
        <v>5760000</v>
      </c>
      <c r="AC487" s="1171">
        <v>40913</v>
      </c>
      <c r="AD487" s="395">
        <v>5760000.0099999998</v>
      </c>
      <c r="AE487" s="395" t="s">
        <v>137</v>
      </c>
      <c r="AF487" s="1084"/>
      <c r="AG487" s="1084"/>
      <c r="AH487" s="358">
        <f t="shared" si="31"/>
        <v>-9.9999997764825821E-3</v>
      </c>
      <c r="AI487" s="1084"/>
      <c r="AJ487" s="1119"/>
      <c r="AK487" s="1119"/>
      <c r="AL487" s="1119"/>
      <c r="AM487" s="1119"/>
      <c r="AN487" s="1203"/>
      <c r="AO487" s="1204"/>
      <c r="AP487" s="1204"/>
      <c r="AQ487" s="1204"/>
    </row>
    <row r="488" spans="1:43" ht="24" customHeight="1">
      <c r="A488" s="1076"/>
      <c r="B488" s="1171"/>
      <c r="C488" s="1076"/>
      <c r="D488" s="1076"/>
      <c r="E488" s="1252"/>
      <c r="F488" s="1252"/>
      <c r="G488" s="1076"/>
      <c r="H488" s="1076"/>
      <c r="I488" s="1076"/>
      <c r="J488" s="1076"/>
      <c r="K488" s="1076"/>
      <c r="L488" s="1076"/>
      <c r="M488" s="1251"/>
      <c r="N488" s="1123" t="s">
        <v>7</v>
      </c>
      <c r="O488" s="1119">
        <v>36000000</v>
      </c>
      <c r="P488" s="1119"/>
      <c r="Q488" s="1119"/>
      <c r="R488" s="1171"/>
      <c r="S488" s="1196"/>
      <c r="T488" s="1119">
        <v>36000000</v>
      </c>
      <c r="U488" s="1119">
        <f>O488-T488</f>
        <v>0</v>
      </c>
      <c r="V488" s="1119">
        <v>36000000</v>
      </c>
      <c r="W488" s="1119"/>
      <c r="X488" s="1076"/>
      <c r="Y488" s="1123"/>
      <c r="Z488" s="386">
        <v>14400000</v>
      </c>
      <c r="AA488" s="386">
        <v>-5760000</v>
      </c>
      <c r="AB488" s="386">
        <f t="shared" si="30"/>
        <v>8640000</v>
      </c>
      <c r="AC488" s="1171"/>
      <c r="AD488" s="395">
        <v>8639999.9900000002</v>
      </c>
      <c r="AE488" s="395" t="s">
        <v>137</v>
      </c>
      <c r="AF488" s="1084"/>
      <c r="AG488" s="1084"/>
      <c r="AH488" s="358">
        <f t="shared" si="31"/>
        <v>9.9999997764825821E-3</v>
      </c>
      <c r="AI488" s="1084">
        <f>O488-AD484-AD486-AD490</f>
        <v>8640000</v>
      </c>
      <c r="AJ488" s="1119"/>
      <c r="AK488" s="1119"/>
      <c r="AL488" s="1119"/>
      <c r="AM488" s="1119"/>
      <c r="AN488" s="1203"/>
      <c r="AO488" s="1204"/>
      <c r="AP488" s="1204"/>
      <c r="AQ488" s="1204"/>
    </row>
    <row r="489" spans="1:43" ht="30" customHeight="1">
      <c r="A489" s="1076"/>
      <c r="B489" s="1171"/>
      <c r="C489" s="1076"/>
      <c r="D489" s="1076"/>
      <c r="E489" s="1252"/>
      <c r="F489" s="1252"/>
      <c r="G489" s="1076"/>
      <c r="H489" s="1076"/>
      <c r="I489" s="1076"/>
      <c r="J489" s="1076"/>
      <c r="K489" s="1076"/>
      <c r="L489" s="1076"/>
      <c r="M489" s="1251"/>
      <c r="N489" s="1123"/>
      <c r="O489" s="1119"/>
      <c r="P489" s="1119"/>
      <c r="Q489" s="1119"/>
      <c r="R489" s="1171"/>
      <c r="S489" s="1196"/>
      <c r="T489" s="1119"/>
      <c r="U489" s="1119"/>
      <c r="V489" s="1119"/>
      <c r="W489" s="1119"/>
      <c r="X489" s="1076"/>
      <c r="Y489" s="1123" t="s">
        <v>621</v>
      </c>
      <c r="Z489" s="386">
        <v>2400000</v>
      </c>
      <c r="AA489" s="386">
        <v>-960000</v>
      </c>
      <c r="AB489" s="386">
        <f t="shared" si="30"/>
        <v>1440000</v>
      </c>
      <c r="AC489" s="1171">
        <v>41604</v>
      </c>
      <c r="AD489" s="395">
        <v>1440000</v>
      </c>
      <c r="AE489" s="395" t="s">
        <v>137</v>
      </c>
      <c r="AF489" s="1084"/>
      <c r="AG489" s="1084"/>
      <c r="AH489" s="358">
        <f t="shared" si="31"/>
        <v>0</v>
      </c>
      <c r="AI489" s="1084"/>
      <c r="AJ489" s="1119"/>
      <c r="AK489" s="1119"/>
      <c r="AL489" s="1119"/>
      <c r="AM489" s="1119"/>
      <c r="AN489" s="1203"/>
      <c r="AO489" s="1204"/>
      <c r="AP489" s="1204"/>
      <c r="AQ489" s="1204"/>
    </row>
    <row r="490" spans="1:43" ht="30.75" customHeight="1">
      <c r="A490" s="1076"/>
      <c r="B490" s="1171"/>
      <c r="C490" s="1076"/>
      <c r="D490" s="1076"/>
      <c r="E490" s="1252"/>
      <c r="F490" s="1252"/>
      <c r="G490" s="1076"/>
      <c r="H490" s="1076"/>
      <c r="I490" s="1076"/>
      <c r="J490" s="1076"/>
      <c r="K490" s="1076"/>
      <c r="L490" s="1076"/>
      <c r="M490" s="1251"/>
      <c r="N490" s="1123"/>
      <c r="O490" s="1119"/>
      <c r="P490" s="1119"/>
      <c r="Q490" s="1119"/>
      <c r="R490" s="1171"/>
      <c r="S490" s="1196"/>
      <c r="T490" s="1119"/>
      <c r="U490" s="1119"/>
      <c r="V490" s="1119"/>
      <c r="W490" s="1119"/>
      <c r="X490" s="1076"/>
      <c r="Y490" s="1123"/>
      <c r="Z490" s="386">
        <v>3600000</v>
      </c>
      <c r="AA490" s="386">
        <v>-1440000</v>
      </c>
      <c r="AB490" s="386">
        <f t="shared" ref="AB490:AB553" si="32">Z490+AA490</f>
        <v>2160000</v>
      </c>
      <c r="AC490" s="1171"/>
      <c r="AD490" s="395">
        <v>2160000</v>
      </c>
      <c r="AE490" s="395" t="s">
        <v>7</v>
      </c>
      <c r="AF490" s="1084"/>
      <c r="AG490" s="1084"/>
      <c r="AH490" s="358">
        <f t="shared" ref="AH490:AH553" si="33">AB490-AD490</f>
        <v>0</v>
      </c>
      <c r="AI490" s="1084"/>
      <c r="AJ490" s="1119"/>
      <c r="AK490" s="1119"/>
      <c r="AL490" s="1119"/>
      <c r="AM490" s="1119"/>
      <c r="AN490" s="1203"/>
      <c r="AO490" s="1204"/>
      <c r="AP490" s="1204"/>
      <c r="AQ490" s="1204"/>
    </row>
    <row r="491" spans="1:43" ht="63">
      <c r="A491" s="1076"/>
      <c r="B491" s="1171"/>
      <c r="C491" s="1076"/>
      <c r="D491" s="1076"/>
      <c r="E491" s="1252"/>
      <c r="F491" s="1252"/>
      <c r="G491" s="1076"/>
      <c r="H491" s="1076"/>
      <c r="I491" s="1076"/>
      <c r="J491" s="1076"/>
      <c r="K491" s="1076"/>
      <c r="L491" s="1076"/>
      <c r="M491" s="1251">
        <v>174</v>
      </c>
      <c r="N491" s="1123" t="s">
        <v>7</v>
      </c>
      <c r="O491" s="1119">
        <v>30000000</v>
      </c>
      <c r="P491" s="1119">
        <f>O491</f>
        <v>30000000</v>
      </c>
      <c r="Q491" s="1119"/>
      <c r="R491" s="1171"/>
      <c r="S491" s="1196"/>
      <c r="T491" s="1119"/>
      <c r="U491" s="1119"/>
      <c r="V491" s="1119">
        <v>30000000</v>
      </c>
      <c r="W491" s="1119"/>
      <c r="X491" s="1076"/>
      <c r="Y491" s="372" t="s">
        <v>622</v>
      </c>
      <c r="Z491" s="386">
        <v>27000000</v>
      </c>
      <c r="AA491" s="386">
        <v>0</v>
      </c>
      <c r="AB491" s="386">
        <f t="shared" si="32"/>
        <v>27000000</v>
      </c>
      <c r="AC491" s="384">
        <v>40912</v>
      </c>
      <c r="AD491" s="395">
        <v>27000000</v>
      </c>
      <c r="AE491" s="395" t="s">
        <v>7</v>
      </c>
      <c r="AF491" s="1084">
        <f>SUM(AD491:AD492)</f>
        <v>30000000</v>
      </c>
      <c r="AG491" s="1084"/>
      <c r="AH491" s="358">
        <f t="shared" si="33"/>
        <v>0</v>
      </c>
      <c r="AI491" s="1084">
        <f>P491-AD491-AD492</f>
        <v>0</v>
      </c>
      <c r="AJ491" s="1119">
        <f>SUM(Z491:Z492)-SUM(AD491:AD492)</f>
        <v>0</v>
      </c>
      <c r="AK491" s="1119">
        <f>P491-V491</f>
        <v>0</v>
      </c>
      <c r="AL491" s="1119">
        <f>P491-Z491-Z492</f>
        <v>0</v>
      </c>
      <c r="AM491" s="1119">
        <f>AK491+AL491</f>
        <v>0</v>
      </c>
      <c r="AN491" s="1203"/>
      <c r="AO491" s="1204"/>
      <c r="AP491" s="1204"/>
      <c r="AQ491" s="1204"/>
    </row>
    <row r="492" spans="1:43" ht="63">
      <c r="A492" s="1076"/>
      <c r="B492" s="1171"/>
      <c r="C492" s="1076"/>
      <c r="D492" s="1076"/>
      <c r="E492" s="1252"/>
      <c r="F492" s="1252"/>
      <c r="G492" s="1076"/>
      <c r="H492" s="1076"/>
      <c r="I492" s="1076"/>
      <c r="J492" s="1076"/>
      <c r="K492" s="1076"/>
      <c r="L492" s="1076"/>
      <c r="M492" s="1251"/>
      <c r="N492" s="1123"/>
      <c r="O492" s="1119"/>
      <c r="P492" s="1119"/>
      <c r="Q492" s="1119"/>
      <c r="R492" s="1171"/>
      <c r="S492" s="1196"/>
      <c r="T492" s="1119"/>
      <c r="U492" s="1119"/>
      <c r="V492" s="1119"/>
      <c r="W492" s="1119"/>
      <c r="X492" s="1076"/>
      <c r="Y492" s="372" t="s">
        <v>623</v>
      </c>
      <c r="Z492" s="386">
        <v>3000000</v>
      </c>
      <c r="AA492" s="386">
        <v>0</v>
      </c>
      <c r="AB492" s="386">
        <f t="shared" si="32"/>
        <v>3000000</v>
      </c>
      <c r="AC492" s="384">
        <v>41604</v>
      </c>
      <c r="AD492" s="395">
        <v>3000000</v>
      </c>
      <c r="AE492" s="395" t="s">
        <v>7</v>
      </c>
      <c r="AF492" s="1084"/>
      <c r="AG492" s="1084"/>
      <c r="AH492" s="358">
        <f t="shared" si="33"/>
        <v>0</v>
      </c>
      <c r="AI492" s="1084"/>
      <c r="AJ492" s="1119"/>
      <c r="AK492" s="1119"/>
      <c r="AL492" s="1119"/>
      <c r="AM492" s="1119"/>
      <c r="AN492" s="1203"/>
      <c r="AO492" s="1204"/>
      <c r="AP492" s="1204"/>
      <c r="AQ492" s="1204"/>
    </row>
    <row r="493" spans="1:43" ht="48" customHeight="1">
      <c r="A493" s="1076" t="s">
        <v>607</v>
      </c>
      <c r="B493" s="1171">
        <v>40388</v>
      </c>
      <c r="C493" s="1076" t="s">
        <v>12</v>
      </c>
      <c r="D493" s="1076" t="s">
        <v>608</v>
      </c>
      <c r="E493" s="1252">
        <v>76308580</v>
      </c>
      <c r="F493" s="1252"/>
      <c r="G493" s="1076" t="s">
        <v>609</v>
      </c>
      <c r="H493" s="1076" t="s">
        <v>72</v>
      </c>
      <c r="I493" s="1076" t="s">
        <v>177</v>
      </c>
      <c r="J493" s="1076" t="s">
        <v>66</v>
      </c>
      <c r="K493" s="1076" t="s">
        <v>217</v>
      </c>
      <c r="L493" s="1076" t="s">
        <v>613</v>
      </c>
      <c r="M493" s="1268">
        <v>22</v>
      </c>
      <c r="N493" s="1123" t="s">
        <v>137</v>
      </c>
      <c r="O493" s="1119">
        <v>15370000</v>
      </c>
      <c r="P493" s="1119">
        <f>O493</f>
        <v>15370000</v>
      </c>
      <c r="Q493" s="1119">
        <f>P493</f>
        <v>15370000</v>
      </c>
      <c r="R493" s="1171">
        <v>40211</v>
      </c>
      <c r="S493" s="1196">
        <f>T493</f>
        <v>15370000</v>
      </c>
      <c r="T493" s="1119">
        <v>15370000</v>
      </c>
      <c r="U493" s="1119">
        <f>O493-T493</f>
        <v>0</v>
      </c>
      <c r="V493" s="1119">
        <v>15370000</v>
      </c>
      <c r="W493" s="1119">
        <v>15370000</v>
      </c>
      <c r="X493" s="1076" t="s">
        <v>467</v>
      </c>
      <c r="Y493" s="372" t="s">
        <v>610</v>
      </c>
      <c r="Z493" s="386">
        <v>0</v>
      </c>
      <c r="AA493" s="386">
        <v>6148000</v>
      </c>
      <c r="AB493" s="386">
        <f t="shared" si="32"/>
        <v>6148000</v>
      </c>
      <c r="AC493" s="384">
        <v>40452</v>
      </c>
      <c r="AD493" s="395">
        <v>6148000</v>
      </c>
      <c r="AE493" s="395" t="s">
        <v>137</v>
      </c>
      <c r="AF493" s="1084">
        <f>SUM(AD493:AD495)</f>
        <v>14893000</v>
      </c>
      <c r="AG493" s="1084">
        <f>AF493</f>
        <v>14893000</v>
      </c>
      <c r="AH493" s="358">
        <f t="shared" si="33"/>
        <v>0</v>
      </c>
      <c r="AI493" s="1084">
        <f>P493-AD493-AD494-AD495</f>
        <v>477000</v>
      </c>
      <c r="AJ493" s="1119">
        <f>SUM(Z493:Z495)-SUM(AD493:AD495)</f>
        <v>477000</v>
      </c>
      <c r="AK493" s="1119">
        <f>P493-V493</f>
        <v>0</v>
      </c>
      <c r="AL493" s="1119">
        <f>V493-SUM(Z493:Z495)</f>
        <v>0</v>
      </c>
      <c r="AM493" s="1119">
        <f>AK493+AL493</f>
        <v>0</v>
      </c>
      <c r="AN493" s="1203" t="s">
        <v>523</v>
      </c>
      <c r="AO493" s="1204" t="s">
        <v>772</v>
      </c>
      <c r="AP493" s="1204" t="s">
        <v>194</v>
      </c>
      <c r="AQ493" s="1204" t="s">
        <v>558</v>
      </c>
    </row>
    <row r="494" spans="1:43" ht="63">
      <c r="A494" s="1076"/>
      <c r="B494" s="1171"/>
      <c r="C494" s="1076"/>
      <c r="D494" s="1076"/>
      <c r="E494" s="1252"/>
      <c r="F494" s="1252"/>
      <c r="G494" s="1076"/>
      <c r="H494" s="1076"/>
      <c r="I494" s="1076"/>
      <c r="J494" s="1076"/>
      <c r="K494" s="1076"/>
      <c r="L494" s="1076"/>
      <c r="M494" s="1268"/>
      <c r="N494" s="1123"/>
      <c r="O494" s="1119"/>
      <c r="P494" s="1119"/>
      <c r="Q494" s="1119"/>
      <c r="R494" s="1171"/>
      <c r="S494" s="1196"/>
      <c r="T494" s="1119"/>
      <c r="U494" s="1119"/>
      <c r="V494" s="1119"/>
      <c r="W494" s="1119"/>
      <c r="X494" s="1076"/>
      <c r="Y494" s="372" t="s">
        <v>611</v>
      </c>
      <c r="Z494" s="386">
        <v>7685000</v>
      </c>
      <c r="AA494" s="386">
        <v>-3074000</v>
      </c>
      <c r="AB494" s="386">
        <f t="shared" si="32"/>
        <v>4611000</v>
      </c>
      <c r="AC494" s="384">
        <v>40611</v>
      </c>
      <c r="AD494" s="395">
        <v>4134000</v>
      </c>
      <c r="AE494" s="395" t="s">
        <v>137</v>
      </c>
      <c r="AF494" s="1084"/>
      <c r="AG494" s="1084"/>
      <c r="AH494" s="358">
        <f t="shared" si="33"/>
        <v>477000</v>
      </c>
      <c r="AI494" s="1084"/>
      <c r="AJ494" s="1119"/>
      <c r="AK494" s="1119"/>
      <c r="AL494" s="1119"/>
      <c r="AM494" s="1119"/>
      <c r="AN494" s="1203"/>
      <c r="AO494" s="1204"/>
      <c r="AP494" s="1204"/>
      <c r="AQ494" s="1204"/>
    </row>
    <row r="495" spans="1:43" ht="63">
      <c r="A495" s="1076"/>
      <c r="B495" s="1171"/>
      <c r="C495" s="1076"/>
      <c r="D495" s="1076"/>
      <c r="E495" s="1252"/>
      <c r="F495" s="1252"/>
      <c r="G495" s="1076"/>
      <c r="H495" s="1076"/>
      <c r="I495" s="1076"/>
      <c r="J495" s="1076"/>
      <c r="K495" s="1076"/>
      <c r="L495" s="1076"/>
      <c r="M495" s="1268"/>
      <c r="N495" s="1123"/>
      <c r="O495" s="1119"/>
      <c r="P495" s="1119"/>
      <c r="Q495" s="1119"/>
      <c r="R495" s="1171"/>
      <c r="S495" s="1196"/>
      <c r="T495" s="1119"/>
      <c r="U495" s="1119"/>
      <c r="V495" s="1119"/>
      <c r="W495" s="1119"/>
      <c r="X495" s="1076"/>
      <c r="Y495" s="372" t="s">
        <v>612</v>
      </c>
      <c r="Z495" s="386">
        <v>7685000</v>
      </c>
      <c r="AA495" s="386">
        <v>-3074000</v>
      </c>
      <c r="AB495" s="386">
        <f t="shared" si="32"/>
        <v>4611000</v>
      </c>
      <c r="AC495" s="384">
        <v>41008</v>
      </c>
      <c r="AD495" s="395">
        <v>4611000</v>
      </c>
      <c r="AE495" s="395" t="s">
        <v>137</v>
      </c>
      <c r="AF495" s="1084"/>
      <c r="AG495" s="1084"/>
      <c r="AH495" s="358">
        <f t="shared" si="33"/>
        <v>0</v>
      </c>
      <c r="AI495" s="1084"/>
      <c r="AJ495" s="1119"/>
      <c r="AK495" s="1119"/>
      <c r="AL495" s="1119"/>
      <c r="AM495" s="1119"/>
      <c r="AN495" s="1203"/>
      <c r="AO495" s="1204"/>
      <c r="AP495" s="1204"/>
      <c r="AQ495" s="1204"/>
    </row>
    <row r="496" spans="1:43" ht="61.5" customHeight="1">
      <c r="A496" s="1076" t="s">
        <v>688</v>
      </c>
      <c r="B496" s="1171">
        <v>40423</v>
      </c>
      <c r="C496" s="1076" t="s">
        <v>22</v>
      </c>
      <c r="D496" s="1076" t="s">
        <v>689</v>
      </c>
      <c r="E496" s="1252">
        <v>900316215</v>
      </c>
      <c r="F496" s="1252">
        <v>9</v>
      </c>
      <c r="G496" s="1076" t="s">
        <v>690</v>
      </c>
      <c r="H496" s="1076" t="s">
        <v>71</v>
      </c>
      <c r="I496" s="1076" t="s">
        <v>692</v>
      </c>
      <c r="J496" s="1076" t="s">
        <v>66</v>
      </c>
      <c r="K496" s="1076" t="s">
        <v>49</v>
      </c>
      <c r="L496" s="1076" t="s">
        <v>706</v>
      </c>
      <c r="M496" s="1251">
        <v>1</v>
      </c>
      <c r="N496" s="1123" t="s">
        <v>145</v>
      </c>
      <c r="O496" s="1119">
        <v>284250058</v>
      </c>
      <c r="P496" s="1119">
        <v>284250058</v>
      </c>
      <c r="Q496" s="1119">
        <f>P496+P499+P505+P508+P514</f>
        <v>1629482527</v>
      </c>
      <c r="R496" s="1171">
        <v>40441</v>
      </c>
      <c r="S496" s="1196">
        <v>284250058</v>
      </c>
      <c r="T496" s="1196">
        <v>284250058</v>
      </c>
      <c r="U496" s="1119">
        <f>O496-T496</f>
        <v>0</v>
      </c>
      <c r="V496" s="1119">
        <v>273727984</v>
      </c>
      <c r="W496" s="1119">
        <v>1596076364</v>
      </c>
      <c r="X496" s="1076" t="s">
        <v>691</v>
      </c>
      <c r="Y496" s="372" t="s">
        <v>698</v>
      </c>
      <c r="Z496" s="386">
        <v>0</v>
      </c>
      <c r="AA496" s="386">
        <v>273727984</v>
      </c>
      <c r="AB496" s="386">
        <f t="shared" si="32"/>
        <v>273727984</v>
      </c>
      <c r="AC496" s="384">
        <v>40463</v>
      </c>
      <c r="AD496" s="395">
        <v>273727984</v>
      </c>
      <c r="AE496" s="395" t="s">
        <v>704</v>
      </c>
      <c r="AF496" s="1084">
        <f>SUM(AD496:AD498)</f>
        <v>273727984</v>
      </c>
      <c r="AG496" s="1084">
        <f>SUM(AD496:AD515)</f>
        <v>1435114380</v>
      </c>
      <c r="AH496" s="358">
        <f t="shared" si="33"/>
        <v>0</v>
      </c>
      <c r="AI496" s="1084">
        <f>O496-AD496</f>
        <v>10522074</v>
      </c>
      <c r="AJ496" s="1119">
        <f>SUM(Z496:Z515)-SUM(AD496:AD515)</f>
        <v>2.2899999618530273</v>
      </c>
      <c r="AK496" s="1119">
        <f>P496-V496</f>
        <v>10522074</v>
      </c>
      <c r="AL496" s="1119">
        <f>SUM(V496:V515)-SUM(Z496:Z515)</f>
        <v>160961981.71000004</v>
      </c>
      <c r="AM496" s="1119"/>
      <c r="AN496" s="1204" t="s">
        <v>703</v>
      </c>
      <c r="AO496" s="1204" t="s">
        <v>705</v>
      </c>
      <c r="AP496" s="1204" t="s">
        <v>194</v>
      </c>
      <c r="AQ496" s="1204" t="s">
        <v>558</v>
      </c>
    </row>
    <row r="497" spans="1:43" ht="61.5" customHeight="1">
      <c r="A497" s="1076"/>
      <c r="B497" s="1171"/>
      <c r="C497" s="1076"/>
      <c r="D497" s="1076"/>
      <c r="E497" s="1252"/>
      <c r="F497" s="1252"/>
      <c r="G497" s="1076"/>
      <c r="H497" s="1076"/>
      <c r="I497" s="1076"/>
      <c r="J497" s="1076"/>
      <c r="K497" s="1076"/>
      <c r="L497" s="1076"/>
      <c r="M497" s="1251"/>
      <c r="N497" s="1123"/>
      <c r="O497" s="1119"/>
      <c r="P497" s="1119"/>
      <c r="Q497" s="1119"/>
      <c r="R497" s="1171"/>
      <c r="S497" s="1196"/>
      <c r="T497" s="1196"/>
      <c r="U497" s="1119"/>
      <c r="V497" s="1119"/>
      <c r="W497" s="1119"/>
      <c r="X497" s="1076"/>
      <c r="Y497" s="372" t="s">
        <v>702</v>
      </c>
      <c r="Z497" s="386">
        <v>25014562</v>
      </c>
      <c r="AA497" s="386">
        <v>-25014562</v>
      </c>
      <c r="AB497" s="386">
        <f t="shared" si="32"/>
        <v>0</v>
      </c>
      <c r="AC497" s="384">
        <v>41012</v>
      </c>
      <c r="AD497" s="395">
        <v>0</v>
      </c>
      <c r="AE497" s="395" t="s">
        <v>704</v>
      </c>
      <c r="AF497" s="1084"/>
      <c r="AG497" s="1084"/>
      <c r="AH497" s="358">
        <f t="shared" si="33"/>
        <v>0</v>
      </c>
      <c r="AI497" s="1084"/>
      <c r="AJ497" s="1119"/>
      <c r="AK497" s="1119"/>
      <c r="AL497" s="1119"/>
      <c r="AM497" s="1119"/>
      <c r="AN497" s="1204"/>
      <c r="AO497" s="1204"/>
      <c r="AP497" s="1204"/>
      <c r="AQ497" s="1204"/>
    </row>
    <row r="498" spans="1:43" ht="78.75">
      <c r="A498" s="1076"/>
      <c r="B498" s="1171"/>
      <c r="C498" s="1076"/>
      <c r="D498" s="1076"/>
      <c r="E498" s="1252"/>
      <c r="F498" s="1252"/>
      <c r="G498" s="1076"/>
      <c r="H498" s="1076"/>
      <c r="I498" s="1076"/>
      <c r="J498" s="1076"/>
      <c r="K498" s="1076"/>
      <c r="L498" s="1076"/>
      <c r="M498" s="1251"/>
      <c r="N498" s="1123"/>
      <c r="O498" s="1119"/>
      <c r="P498" s="1119"/>
      <c r="Q498" s="1119"/>
      <c r="R498" s="1171"/>
      <c r="S498" s="1196"/>
      <c r="T498" s="1196"/>
      <c r="U498" s="1119"/>
      <c r="V498" s="1119"/>
      <c r="W498" s="1119"/>
      <c r="X498" s="1076"/>
      <c r="Y498" s="372" t="s">
        <v>700</v>
      </c>
      <c r="Z498" s="386">
        <v>10823292.109999999</v>
      </c>
      <c r="AA498" s="386">
        <v>-10823292.109999999</v>
      </c>
      <c r="AB498" s="386">
        <f t="shared" si="32"/>
        <v>0</v>
      </c>
      <c r="AC498" s="384">
        <v>41254</v>
      </c>
      <c r="AD498" s="395">
        <v>0</v>
      </c>
      <c r="AE498" s="395" t="s">
        <v>704</v>
      </c>
      <c r="AF498" s="1084"/>
      <c r="AG498" s="1084"/>
      <c r="AH498" s="358">
        <f t="shared" si="33"/>
        <v>0</v>
      </c>
      <c r="AI498" s="1084"/>
      <c r="AJ498" s="1119"/>
      <c r="AK498" s="1119"/>
      <c r="AL498" s="1119"/>
      <c r="AM498" s="1119"/>
      <c r="AN498" s="1204"/>
      <c r="AO498" s="1204"/>
      <c r="AP498" s="1204"/>
      <c r="AQ498" s="1204"/>
    </row>
    <row r="499" spans="1:43" ht="35.25" customHeight="1">
      <c r="A499" s="1076"/>
      <c r="B499" s="1171"/>
      <c r="C499" s="1076"/>
      <c r="D499" s="1076"/>
      <c r="E499" s="1252"/>
      <c r="F499" s="1252"/>
      <c r="G499" s="1076"/>
      <c r="H499" s="1076"/>
      <c r="I499" s="1076"/>
      <c r="J499" s="1076"/>
      <c r="K499" s="1076"/>
      <c r="L499" s="1076"/>
      <c r="M499" s="1251">
        <v>118</v>
      </c>
      <c r="N499" s="1123" t="s">
        <v>137</v>
      </c>
      <c r="O499" s="1119">
        <v>83161992</v>
      </c>
      <c r="P499" s="1119">
        <v>154180668</v>
      </c>
      <c r="Q499" s="1119"/>
      <c r="R499" s="1171">
        <v>40441</v>
      </c>
      <c r="S499" s="1196">
        <f>T499+T502</f>
        <v>154180668</v>
      </c>
      <c r="T499" s="1119">
        <v>83161992</v>
      </c>
      <c r="U499" s="1119">
        <f>O499-T499</f>
        <v>0</v>
      </c>
      <c r="V499" s="1119">
        <v>83161992</v>
      </c>
      <c r="W499" s="1119"/>
      <c r="X499" s="1076"/>
      <c r="Y499" s="1123" t="s">
        <v>698</v>
      </c>
      <c r="Z499" s="386">
        <v>0</v>
      </c>
      <c r="AA499" s="386">
        <v>71018676</v>
      </c>
      <c r="AB499" s="386">
        <f t="shared" si="32"/>
        <v>71018676</v>
      </c>
      <c r="AC499" s="1171">
        <v>40463</v>
      </c>
      <c r="AD499" s="395">
        <v>71018676</v>
      </c>
      <c r="AE499" s="395" t="s">
        <v>7</v>
      </c>
      <c r="AF499" s="1084">
        <f>SUM(AD499:AD504)</f>
        <v>154180668</v>
      </c>
      <c r="AG499" s="1084"/>
      <c r="AH499" s="358">
        <f t="shared" si="33"/>
        <v>0</v>
      </c>
      <c r="AI499" s="1084">
        <f>O499-AD500</f>
        <v>0</v>
      </c>
      <c r="AJ499" s="1119"/>
      <c r="AK499" s="1119">
        <f>P499-V499-V502</f>
        <v>0</v>
      </c>
      <c r="AL499" s="1119"/>
      <c r="AM499" s="1119"/>
      <c r="AN499" s="1204"/>
      <c r="AO499" s="1204"/>
      <c r="AP499" s="1204"/>
      <c r="AQ499" s="1204"/>
    </row>
    <row r="500" spans="1:43" ht="28.5" customHeight="1">
      <c r="A500" s="1076"/>
      <c r="B500" s="1171"/>
      <c r="C500" s="1076"/>
      <c r="D500" s="1076"/>
      <c r="E500" s="1252"/>
      <c r="F500" s="1252"/>
      <c r="G500" s="1076"/>
      <c r="H500" s="1076"/>
      <c r="I500" s="1076"/>
      <c r="J500" s="1076"/>
      <c r="K500" s="1076"/>
      <c r="L500" s="1076"/>
      <c r="M500" s="1251"/>
      <c r="N500" s="1123"/>
      <c r="O500" s="1119"/>
      <c r="P500" s="1119"/>
      <c r="Q500" s="1119"/>
      <c r="R500" s="1171"/>
      <c r="S500" s="1196"/>
      <c r="T500" s="1119"/>
      <c r="U500" s="1119"/>
      <c r="V500" s="1119"/>
      <c r="W500" s="1119"/>
      <c r="X500" s="1076"/>
      <c r="Y500" s="1123"/>
      <c r="Z500" s="386">
        <v>0</v>
      </c>
      <c r="AA500" s="386">
        <v>83161992</v>
      </c>
      <c r="AB500" s="386">
        <f t="shared" si="32"/>
        <v>83161992</v>
      </c>
      <c r="AC500" s="1171"/>
      <c r="AD500" s="395">
        <v>83161992</v>
      </c>
      <c r="AE500" s="395" t="s">
        <v>137</v>
      </c>
      <c r="AF500" s="1084"/>
      <c r="AG500" s="1084"/>
      <c r="AH500" s="358">
        <f t="shared" si="33"/>
        <v>0</v>
      </c>
      <c r="AI500" s="1084"/>
      <c r="AJ500" s="1119"/>
      <c r="AK500" s="1119"/>
      <c r="AL500" s="1119"/>
      <c r="AM500" s="1119"/>
      <c r="AN500" s="1204"/>
      <c r="AO500" s="1204"/>
      <c r="AP500" s="1204"/>
      <c r="AQ500" s="1204"/>
    </row>
    <row r="501" spans="1:43" ht="28.5" customHeight="1">
      <c r="A501" s="1076"/>
      <c r="B501" s="1171"/>
      <c r="C501" s="1076"/>
      <c r="D501" s="1076"/>
      <c r="E501" s="1252"/>
      <c r="F501" s="1252"/>
      <c r="G501" s="1076"/>
      <c r="H501" s="1076"/>
      <c r="I501" s="1076"/>
      <c r="J501" s="1076"/>
      <c r="K501" s="1076"/>
      <c r="L501" s="1076"/>
      <c r="M501" s="1251"/>
      <c r="N501" s="1123"/>
      <c r="O501" s="1119"/>
      <c r="P501" s="1119"/>
      <c r="Q501" s="1119"/>
      <c r="R501" s="1171"/>
      <c r="S501" s="1196"/>
      <c r="T501" s="1119"/>
      <c r="U501" s="1119"/>
      <c r="V501" s="1119"/>
      <c r="W501" s="1119"/>
      <c r="X501" s="1076"/>
      <c r="Y501" s="1123" t="s">
        <v>702</v>
      </c>
      <c r="Z501" s="386">
        <v>6490023.5099999998</v>
      </c>
      <c r="AA501" s="386">
        <v>-6490023.5099999998</v>
      </c>
      <c r="AB501" s="386">
        <f t="shared" si="32"/>
        <v>0</v>
      </c>
      <c r="AC501" s="1171">
        <v>41012</v>
      </c>
      <c r="AD501" s="395">
        <v>0</v>
      </c>
      <c r="AE501" s="395" t="s">
        <v>7</v>
      </c>
      <c r="AF501" s="1084"/>
      <c r="AG501" s="1084"/>
      <c r="AH501" s="358">
        <f t="shared" si="33"/>
        <v>0</v>
      </c>
      <c r="AI501" s="1084"/>
      <c r="AJ501" s="1119"/>
      <c r="AK501" s="1119"/>
      <c r="AL501" s="1119"/>
      <c r="AM501" s="1119"/>
      <c r="AN501" s="1204"/>
      <c r="AO501" s="1204"/>
      <c r="AP501" s="1204"/>
      <c r="AQ501" s="1204"/>
    </row>
    <row r="502" spans="1:43" ht="28.5" customHeight="1">
      <c r="A502" s="1076"/>
      <c r="B502" s="1171"/>
      <c r="C502" s="1076"/>
      <c r="D502" s="1076"/>
      <c r="E502" s="1252"/>
      <c r="F502" s="1252"/>
      <c r="G502" s="1076"/>
      <c r="H502" s="1076"/>
      <c r="I502" s="1076"/>
      <c r="J502" s="1076"/>
      <c r="K502" s="1076"/>
      <c r="L502" s="1076"/>
      <c r="M502" s="1251"/>
      <c r="N502" s="1123" t="s">
        <v>7</v>
      </c>
      <c r="O502" s="1119">
        <v>71018676</v>
      </c>
      <c r="P502" s="1119"/>
      <c r="Q502" s="1119"/>
      <c r="R502" s="1171"/>
      <c r="S502" s="1196"/>
      <c r="T502" s="1119">
        <v>71018676</v>
      </c>
      <c r="U502" s="1119">
        <f>O502-T502</f>
        <v>0</v>
      </c>
      <c r="V502" s="1119">
        <v>71018676</v>
      </c>
      <c r="W502" s="1119"/>
      <c r="X502" s="1076"/>
      <c r="Y502" s="1123"/>
      <c r="Z502" s="386">
        <v>7599737.3399999999</v>
      </c>
      <c r="AA502" s="386">
        <v>-7599737.3399999999</v>
      </c>
      <c r="AB502" s="386">
        <f t="shared" si="32"/>
        <v>0</v>
      </c>
      <c r="AC502" s="1171"/>
      <c r="AD502" s="395">
        <v>0</v>
      </c>
      <c r="AE502" s="395" t="s">
        <v>137</v>
      </c>
      <c r="AF502" s="1084"/>
      <c r="AG502" s="1084"/>
      <c r="AH502" s="358">
        <f t="shared" si="33"/>
        <v>0</v>
      </c>
      <c r="AI502" s="1084">
        <f>O502-AD499</f>
        <v>0</v>
      </c>
      <c r="AJ502" s="1119"/>
      <c r="AK502" s="1119"/>
      <c r="AL502" s="1119"/>
      <c r="AM502" s="1119"/>
      <c r="AN502" s="1204"/>
      <c r="AO502" s="1204"/>
      <c r="AP502" s="1204"/>
      <c r="AQ502" s="1204"/>
    </row>
    <row r="503" spans="1:43" ht="48.75" customHeight="1">
      <c r="A503" s="1076"/>
      <c r="B503" s="1171"/>
      <c r="C503" s="1076"/>
      <c r="D503" s="1076"/>
      <c r="E503" s="1252"/>
      <c r="F503" s="1252"/>
      <c r="G503" s="1076"/>
      <c r="H503" s="1076"/>
      <c r="I503" s="1076"/>
      <c r="J503" s="1076"/>
      <c r="K503" s="1076"/>
      <c r="L503" s="1076"/>
      <c r="M503" s="1251"/>
      <c r="N503" s="1123"/>
      <c r="O503" s="1119"/>
      <c r="P503" s="1119"/>
      <c r="Q503" s="1119"/>
      <c r="R503" s="1171"/>
      <c r="S503" s="1196"/>
      <c r="T503" s="1119"/>
      <c r="U503" s="1119"/>
      <c r="V503" s="1119"/>
      <c r="W503" s="1119"/>
      <c r="X503" s="1076"/>
      <c r="Y503" s="1123" t="s">
        <v>700</v>
      </c>
      <c r="Z503" s="386">
        <v>3288251.78</v>
      </c>
      <c r="AA503" s="386">
        <v>-3288251.78</v>
      </c>
      <c r="AB503" s="386">
        <f t="shared" si="32"/>
        <v>0</v>
      </c>
      <c r="AC503" s="1171">
        <v>41254</v>
      </c>
      <c r="AD503" s="395">
        <v>0</v>
      </c>
      <c r="AE503" s="395" t="s">
        <v>137</v>
      </c>
      <c r="AF503" s="1084"/>
      <c r="AG503" s="1084"/>
      <c r="AH503" s="358">
        <f t="shared" si="33"/>
        <v>0</v>
      </c>
      <c r="AI503" s="1084"/>
      <c r="AJ503" s="1119"/>
      <c r="AK503" s="1119"/>
      <c r="AL503" s="1119"/>
      <c r="AM503" s="1119"/>
      <c r="AN503" s="1204"/>
      <c r="AO503" s="1204"/>
      <c r="AP503" s="1204"/>
      <c r="AQ503" s="1204"/>
    </row>
    <row r="504" spans="1:43" ht="33" customHeight="1">
      <c r="A504" s="1076"/>
      <c r="B504" s="1171"/>
      <c r="C504" s="1076"/>
      <c r="D504" s="1076"/>
      <c r="E504" s="1252"/>
      <c r="F504" s="1252"/>
      <c r="G504" s="1076"/>
      <c r="H504" s="1076"/>
      <c r="I504" s="1076"/>
      <c r="J504" s="1076"/>
      <c r="K504" s="1076"/>
      <c r="L504" s="1076"/>
      <c r="M504" s="1251"/>
      <c r="N504" s="1123"/>
      <c r="O504" s="1119"/>
      <c r="P504" s="1119"/>
      <c r="Q504" s="1119"/>
      <c r="R504" s="1171"/>
      <c r="S504" s="1196"/>
      <c r="T504" s="1119"/>
      <c r="U504" s="1119"/>
      <c r="V504" s="1119"/>
      <c r="W504" s="1119"/>
      <c r="X504" s="1076"/>
      <c r="Y504" s="1123"/>
      <c r="Z504" s="386">
        <v>2808101.18</v>
      </c>
      <c r="AA504" s="386">
        <v>-2808101.18</v>
      </c>
      <c r="AB504" s="386">
        <f t="shared" si="32"/>
        <v>0</v>
      </c>
      <c r="AC504" s="1171"/>
      <c r="AD504" s="395">
        <v>0</v>
      </c>
      <c r="AE504" s="395" t="s">
        <v>7</v>
      </c>
      <c r="AF504" s="1084"/>
      <c r="AG504" s="1084"/>
      <c r="AH504" s="358">
        <f t="shared" si="33"/>
        <v>0</v>
      </c>
      <c r="AI504" s="1084"/>
      <c r="AJ504" s="1119"/>
      <c r="AK504" s="1119"/>
      <c r="AL504" s="1119"/>
      <c r="AM504" s="1119"/>
      <c r="AN504" s="1204"/>
      <c r="AO504" s="1204"/>
      <c r="AP504" s="1204"/>
      <c r="AQ504" s="1204"/>
    </row>
    <row r="505" spans="1:43" ht="78.75">
      <c r="A505" s="1076"/>
      <c r="B505" s="1171"/>
      <c r="C505" s="1076"/>
      <c r="D505" s="1076"/>
      <c r="E505" s="1252"/>
      <c r="F505" s="1252"/>
      <c r="G505" s="1076"/>
      <c r="H505" s="1076"/>
      <c r="I505" s="1076"/>
      <c r="J505" s="1076"/>
      <c r="K505" s="1076"/>
      <c r="L505" s="1076"/>
      <c r="M505" s="1251">
        <v>2</v>
      </c>
      <c r="N505" s="1123" t="s">
        <v>145</v>
      </c>
      <c r="O505" s="1119">
        <v>401701302</v>
      </c>
      <c r="P505" s="1119">
        <v>401701302</v>
      </c>
      <c r="Q505" s="1119"/>
      <c r="R505" s="1171">
        <v>40681</v>
      </c>
      <c r="S505" s="1196">
        <f>T505</f>
        <v>401701302</v>
      </c>
      <c r="T505" s="1119">
        <v>401701302</v>
      </c>
      <c r="U505" s="1119">
        <f>O505-T505</f>
        <v>0</v>
      </c>
      <c r="V505" s="1119">
        <v>395050918</v>
      </c>
      <c r="W505" s="1119"/>
      <c r="X505" s="1076"/>
      <c r="Y505" s="372" t="s">
        <v>699</v>
      </c>
      <c r="Z505" s="386">
        <v>337741427</v>
      </c>
      <c r="AA505" s="386">
        <v>-158018072</v>
      </c>
      <c r="AB505" s="386">
        <f t="shared" si="32"/>
        <v>179723355</v>
      </c>
      <c r="AC505" s="384">
        <v>40829</v>
      </c>
      <c r="AD505" s="395">
        <v>179723355</v>
      </c>
      <c r="AE505" s="395" t="s">
        <v>145</v>
      </c>
      <c r="AF505" s="1084">
        <f>SUM(AD505:AD507)</f>
        <v>395050918</v>
      </c>
      <c r="AG505" s="1084"/>
      <c r="AH505" s="358">
        <f t="shared" si="33"/>
        <v>0</v>
      </c>
      <c r="AI505" s="1084">
        <f>O505-AD505-AD506-AD507</f>
        <v>6650384</v>
      </c>
      <c r="AJ505" s="1119"/>
      <c r="AK505" s="1119">
        <f>P505-V505</f>
        <v>6650384</v>
      </c>
      <c r="AL505" s="1119"/>
      <c r="AM505" s="1119"/>
      <c r="AN505" s="1204"/>
      <c r="AO505" s="1204"/>
      <c r="AP505" s="1204"/>
      <c r="AQ505" s="1204"/>
    </row>
    <row r="506" spans="1:43">
      <c r="A506" s="1076"/>
      <c r="B506" s="1171"/>
      <c r="C506" s="1076"/>
      <c r="D506" s="1076"/>
      <c r="E506" s="1252"/>
      <c r="F506" s="1252"/>
      <c r="G506" s="1076"/>
      <c r="H506" s="1076"/>
      <c r="I506" s="1076"/>
      <c r="J506" s="1076"/>
      <c r="K506" s="1076"/>
      <c r="L506" s="1076"/>
      <c r="M506" s="1251"/>
      <c r="N506" s="1123"/>
      <c r="O506" s="1119"/>
      <c r="P506" s="1119"/>
      <c r="Q506" s="1119"/>
      <c r="R506" s="1171"/>
      <c r="S506" s="1196"/>
      <c r="T506" s="1119"/>
      <c r="U506" s="1119"/>
      <c r="V506" s="1119"/>
      <c r="W506" s="1119"/>
      <c r="X506" s="1076"/>
      <c r="Y506" s="372" t="s">
        <v>702</v>
      </c>
      <c r="Z506" s="386">
        <v>117524587.94</v>
      </c>
      <c r="AA506" s="386">
        <v>-36101627</v>
      </c>
      <c r="AB506" s="386">
        <f t="shared" si="32"/>
        <v>81422960.939999998</v>
      </c>
      <c r="AC506" s="384">
        <v>41012</v>
      </c>
      <c r="AD506" s="395">
        <v>81422961</v>
      </c>
      <c r="AE506" s="395" t="s">
        <v>145</v>
      </c>
      <c r="AF506" s="1084"/>
      <c r="AG506" s="1084"/>
      <c r="AH506" s="358">
        <f t="shared" si="33"/>
        <v>-6.0000002384185791E-2</v>
      </c>
      <c r="AI506" s="1084"/>
      <c r="AJ506" s="1119"/>
      <c r="AK506" s="1119"/>
      <c r="AL506" s="1119"/>
      <c r="AM506" s="1119"/>
      <c r="AN506" s="1204"/>
      <c r="AO506" s="1204"/>
      <c r="AP506" s="1204"/>
      <c r="AQ506" s="1204"/>
    </row>
    <row r="507" spans="1:43" ht="78.75">
      <c r="A507" s="1076"/>
      <c r="B507" s="1171"/>
      <c r="C507" s="1076"/>
      <c r="D507" s="1076"/>
      <c r="E507" s="1252"/>
      <c r="F507" s="1252"/>
      <c r="G507" s="1076"/>
      <c r="H507" s="1076"/>
      <c r="I507" s="1076"/>
      <c r="J507" s="1076"/>
      <c r="K507" s="1076"/>
      <c r="L507" s="1076"/>
      <c r="M507" s="1251"/>
      <c r="N507" s="1123"/>
      <c r="O507" s="1119"/>
      <c r="P507" s="1119"/>
      <c r="Q507" s="1119"/>
      <c r="R507" s="1171"/>
      <c r="S507" s="1196"/>
      <c r="T507" s="1119"/>
      <c r="U507" s="1119"/>
      <c r="V507" s="1119"/>
      <c r="W507" s="1119"/>
      <c r="X507" s="1076"/>
      <c r="Y507" s="372" t="s">
        <v>700</v>
      </c>
      <c r="Z507" s="386">
        <v>149525041.75999999</v>
      </c>
      <c r="AA507" s="386">
        <v>-15620439.76</v>
      </c>
      <c r="AB507" s="386">
        <f t="shared" si="32"/>
        <v>133904601.99999999</v>
      </c>
      <c r="AC507" s="384">
        <v>41254</v>
      </c>
      <c r="AD507" s="395">
        <v>133904602</v>
      </c>
      <c r="AE507" s="395" t="s">
        <v>145</v>
      </c>
      <c r="AF507" s="1084"/>
      <c r="AG507" s="1084"/>
      <c r="AH507" s="358">
        <f t="shared" si="33"/>
        <v>0</v>
      </c>
      <c r="AI507" s="1084"/>
      <c r="AJ507" s="1119"/>
      <c r="AK507" s="1119"/>
      <c r="AL507" s="1119"/>
      <c r="AM507" s="1119"/>
      <c r="AN507" s="1204"/>
      <c r="AO507" s="1204"/>
      <c r="AP507" s="1204"/>
      <c r="AQ507" s="1204"/>
    </row>
    <row r="508" spans="1:43" ht="35.25" customHeight="1">
      <c r="A508" s="1076"/>
      <c r="B508" s="1171"/>
      <c r="C508" s="1076"/>
      <c r="D508" s="1076"/>
      <c r="E508" s="1252"/>
      <c r="F508" s="1252"/>
      <c r="G508" s="1076"/>
      <c r="H508" s="1076"/>
      <c r="I508" s="1076"/>
      <c r="J508" s="1076"/>
      <c r="K508" s="1076"/>
      <c r="L508" s="1076"/>
      <c r="M508" s="1251">
        <v>150</v>
      </c>
      <c r="N508" s="1123" t="s">
        <v>137</v>
      </c>
      <c r="O508" s="1119">
        <v>306863188</v>
      </c>
      <c r="P508" s="1119">
        <f>O508+O512</f>
        <v>476576558</v>
      </c>
      <c r="Q508" s="1119"/>
      <c r="R508" s="1171">
        <v>40681</v>
      </c>
      <c r="S508" s="1196">
        <f>T508+T512</f>
        <v>476576558</v>
      </c>
      <c r="T508" s="1119">
        <v>306863188</v>
      </c>
      <c r="U508" s="1119">
        <f>O508-T508</f>
        <v>0</v>
      </c>
      <c r="V508" s="1119">
        <v>292542474</v>
      </c>
      <c r="W508" s="1119"/>
      <c r="X508" s="1076"/>
      <c r="Y508" s="1123" t="s">
        <v>699</v>
      </c>
      <c r="Z508" s="386">
        <v>116910494</v>
      </c>
      <c r="AA508" s="386">
        <v>-42676934</v>
      </c>
      <c r="AB508" s="386">
        <f t="shared" si="32"/>
        <v>74233560</v>
      </c>
      <c r="AC508" s="1171">
        <v>40829</v>
      </c>
      <c r="AD508" s="395">
        <v>74233560</v>
      </c>
      <c r="AE508" s="395" t="s">
        <v>7</v>
      </c>
      <c r="AF508" s="1084">
        <f>SUM(AD508:AD513)</f>
        <v>460244814</v>
      </c>
      <c r="AG508" s="1084"/>
      <c r="AH508" s="358">
        <f t="shared" si="33"/>
        <v>0</v>
      </c>
      <c r="AI508" s="358"/>
      <c r="AJ508" s="1119"/>
      <c r="AK508" s="1119">
        <f>P508-V508-V512</f>
        <v>14320714</v>
      </c>
      <c r="AL508" s="1119"/>
      <c r="AM508" s="1119"/>
      <c r="AN508" s="1204"/>
      <c r="AO508" s="1204"/>
      <c r="AP508" s="1204"/>
      <c r="AQ508" s="1204"/>
    </row>
    <row r="509" spans="1:43" ht="30.75" customHeight="1">
      <c r="A509" s="1076"/>
      <c r="B509" s="1171"/>
      <c r="C509" s="1076"/>
      <c r="D509" s="1076"/>
      <c r="E509" s="1252"/>
      <c r="F509" s="1252"/>
      <c r="G509" s="1076"/>
      <c r="H509" s="1076"/>
      <c r="I509" s="1076"/>
      <c r="J509" s="1076"/>
      <c r="K509" s="1076"/>
      <c r="L509" s="1076"/>
      <c r="M509" s="1251"/>
      <c r="N509" s="1123"/>
      <c r="O509" s="1119"/>
      <c r="P509" s="1119"/>
      <c r="Q509" s="1119"/>
      <c r="R509" s="1171"/>
      <c r="S509" s="1196"/>
      <c r="T509" s="1119"/>
      <c r="U509" s="1119"/>
      <c r="V509" s="1119"/>
      <c r="W509" s="1119"/>
      <c r="X509" s="1076"/>
      <c r="Y509" s="1123"/>
      <c r="Z509" s="386">
        <v>194850824</v>
      </c>
      <c r="AA509" s="386">
        <v>-58104794</v>
      </c>
      <c r="AB509" s="386">
        <f t="shared" si="32"/>
        <v>136746030</v>
      </c>
      <c r="AC509" s="1171"/>
      <c r="AD509" s="395">
        <v>136746030</v>
      </c>
      <c r="AE509" s="395" t="s">
        <v>137</v>
      </c>
      <c r="AF509" s="1084"/>
      <c r="AG509" s="1084"/>
      <c r="AH509" s="358">
        <f t="shared" si="33"/>
        <v>0</v>
      </c>
      <c r="AI509" s="358"/>
      <c r="AJ509" s="1119"/>
      <c r="AK509" s="1119"/>
      <c r="AL509" s="1119"/>
      <c r="AM509" s="1119"/>
      <c r="AN509" s="1204"/>
      <c r="AO509" s="1204"/>
      <c r="AP509" s="1204"/>
      <c r="AQ509" s="1204"/>
    </row>
    <row r="510" spans="1:43" ht="31.5">
      <c r="A510" s="1076"/>
      <c r="B510" s="1171"/>
      <c r="C510" s="1076"/>
      <c r="D510" s="1076"/>
      <c r="E510" s="1252"/>
      <c r="F510" s="1252"/>
      <c r="G510" s="1076"/>
      <c r="H510" s="1076"/>
      <c r="I510" s="1076"/>
      <c r="J510" s="1076"/>
      <c r="K510" s="1076"/>
      <c r="L510" s="1076"/>
      <c r="M510" s="1251"/>
      <c r="N510" s="1123"/>
      <c r="O510" s="1119"/>
      <c r="P510" s="1119"/>
      <c r="Q510" s="1119"/>
      <c r="R510" s="1171"/>
      <c r="S510" s="1196"/>
      <c r="T510" s="1119"/>
      <c r="U510" s="1119"/>
      <c r="V510" s="1119"/>
      <c r="W510" s="1119"/>
      <c r="X510" s="1076"/>
      <c r="Y510" s="1123" t="s">
        <v>702</v>
      </c>
      <c r="Z510" s="386">
        <v>50294293.399999999</v>
      </c>
      <c r="AA510" s="386">
        <v>-15252449</v>
      </c>
      <c r="AB510" s="386">
        <f t="shared" si="32"/>
        <v>35041844.399999999</v>
      </c>
      <c r="AC510" s="1171">
        <v>41012</v>
      </c>
      <c r="AD510" s="395">
        <v>35041844</v>
      </c>
      <c r="AE510" s="395" t="s">
        <v>137</v>
      </c>
      <c r="AF510" s="1084"/>
      <c r="AG510" s="1084"/>
      <c r="AH510" s="358">
        <f t="shared" si="33"/>
        <v>0.39999999850988388</v>
      </c>
      <c r="AI510" s="358"/>
      <c r="AJ510" s="1119"/>
      <c r="AK510" s="1119"/>
      <c r="AL510" s="1119"/>
      <c r="AM510" s="1119"/>
      <c r="AN510" s="1204"/>
      <c r="AO510" s="1204"/>
      <c r="AP510" s="1204"/>
      <c r="AQ510" s="1204"/>
    </row>
    <row r="511" spans="1:43" ht="31.5">
      <c r="A511" s="1076"/>
      <c r="B511" s="1171"/>
      <c r="C511" s="1076"/>
      <c r="D511" s="1076"/>
      <c r="E511" s="1252"/>
      <c r="F511" s="1252"/>
      <c r="G511" s="1076"/>
      <c r="H511" s="1076"/>
      <c r="I511" s="1076"/>
      <c r="J511" s="1076"/>
      <c r="K511" s="1076"/>
      <c r="L511" s="1076"/>
      <c r="M511" s="1251"/>
      <c r="N511" s="1123"/>
      <c r="O511" s="1119"/>
      <c r="P511" s="1119"/>
      <c r="Q511" s="1119"/>
      <c r="R511" s="1171"/>
      <c r="S511" s="1196"/>
      <c r="T511" s="1119"/>
      <c r="U511" s="1119"/>
      <c r="V511" s="1119"/>
      <c r="W511" s="1119"/>
      <c r="X511" s="1076"/>
      <c r="Y511" s="1123"/>
      <c r="Z511" s="386">
        <v>89984626.099999994</v>
      </c>
      <c r="AA511" s="386">
        <v>-27578353</v>
      </c>
      <c r="AB511" s="386">
        <f t="shared" si="32"/>
        <v>62406273.099999994</v>
      </c>
      <c r="AC511" s="1171"/>
      <c r="AD511" s="395">
        <v>62406273</v>
      </c>
      <c r="AE511" s="395" t="s">
        <v>137</v>
      </c>
      <c r="AF511" s="1084"/>
      <c r="AG511" s="1084"/>
      <c r="AH511" s="358">
        <f t="shared" si="33"/>
        <v>9.9999994039535522E-2</v>
      </c>
      <c r="AI511" s="358"/>
      <c r="AJ511" s="1119"/>
      <c r="AK511" s="1119"/>
      <c r="AL511" s="1119"/>
      <c r="AM511" s="1119"/>
      <c r="AN511" s="1204"/>
      <c r="AO511" s="1204"/>
      <c r="AP511" s="1204"/>
      <c r="AQ511" s="1204"/>
    </row>
    <row r="512" spans="1:43" ht="28.5" customHeight="1">
      <c r="A512" s="1076"/>
      <c r="B512" s="1171"/>
      <c r="C512" s="1076"/>
      <c r="D512" s="1076"/>
      <c r="E512" s="1252"/>
      <c r="F512" s="1252"/>
      <c r="G512" s="1076"/>
      <c r="H512" s="1076"/>
      <c r="I512" s="1076"/>
      <c r="J512" s="1076"/>
      <c r="K512" s="1076"/>
      <c r="L512" s="1076"/>
      <c r="M512" s="1251"/>
      <c r="N512" s="1123" t="s">
        <v>7</v>
      </c>
      <c r="O512" s="1119">
        <v>169713370</v>
      </c>
      <c r="P512" s="1119"/>
      <c r="Q512" s="1119"/>
      <c r="R512" s="1171"/>
      <c r="S512" s="1196"/>
      <c r="T512" s="1119">
        <v>169713370</v>
      </c>
      <c r="U512" s="1119">
        <f>O512-T512</f>
        <v>0</v>
      </c>
      <c r="V512" s="1119">
        <f>T512</f>
        <v>169713370</v>
      </c>
      <c r="W512" s="1119"/>
      <c r="X512" s="1076"/>
      <c r="Y512" s="1123" t="s">
        <v>700</v>
      </c>
      <c r="Z512" s="386">
        <v>64227693.659999996</v>
      </c>
      <c r="AA512" s="386">
        <v>-6599424.6600000001</v>
      </c>
      <c r="AB512" s="386">
        <f t="shared" si="32"/>
        <v>57628269</v>
      </c>
      <c r="AC512" s="1171">
        <v>41254</v>
      </c>
      <c r="AD512" s="395">
        <v>57628269</v>
      </c>
      <c r="AE512" s="395" t="s">
        <v>7</v>
      </c>
      <c r="AF512" s="1084"/>
      <c r="AG512" s="1084"/>
      <c r="AH512" s="358">
        <f t="shared" si="33"/>
        <v>0</v>
      </c>
      <c r="AI512" s="358"/>
      <c r="AJ512" s="1119"/>
      <c r="AK512" s="1119"/>
      <c r="AL512" s="1119"/>
      <c r="AM512" s="1119"/>
      <c r="AN512" s="1204"/>
      <c r="AO512" s="1204"/>
      <c r="AP512" s="1204"/>
      <c r="AQ512" s="1204"/>
    </row>
    <row r="513" spans="1:43" ht="35.25" customHeight="1">
      <c r="A513" s="1076"/>
      <c r="B513" s="1171"/>
      <c r="C513" s="1076"/>
      <c r="D513" s="1076"/>
      <c r="E513" s="1252"/>
      <c r="F513" s="1252"/>
      <c r="G513" s="1076"/>
      <c r="H513" s="1076"/>
      <c r="I513" s="1076"/>
      <c r="J513" s="1076"/>
      <c r="K513" s="1076"/>
      <c r="L513" s="1076"/>
      <c r="M513" s="1251"/>
      <c r="N513" s="1123"/>
      <c r="O513" s="1119"/>
      <c r="P513" s="1119"/>
      <c r="Q513" s="1119"/>
      <c r="R513" s="1171"/>
      <c r="S513" s="1196"/>
      <c r="T513" s="1119"/>
      <c r="U513" s="1119"/>
      <c r="V513" s="1119"/>
      <c r="W513" s="1119"/>
      <c r="X513" s="1076"/>
      <c r="Y513" s="1123"/>
      <c r="Z513" s="386">
        <v>106121430.51000001</v>
      </c>
      <c r="AA513" s="386">
        <v>-11932592.51</v>
      </c>
      <c r="AB513" s="386">
        <f t="shared" si="32"/>
        <v>94188838</v>
      </c>
      <c r="AC513" s="1171"/>
      <c r="AD513" s="395">
        <v>94188838</v>
      </c>
      <c r="AE513" s="395" t="s">
        <v>137</v>
      </c>
      <c r="AF513" s="1084"/>
      <c r="AG513" s="1084"/>
      <c r="AH513" s="358">
        <f t="shared" si="33"/>
        <v>0</v>
      </c>
      <c r="AI513" s="358"/>
      <c r="AJ513" s="1119"/>
      <c r="AK513" s="1119"/>
      <c r="AL513" s="1119"/>
      <c r="AM513" s="1119"/>
      <c r="AN513" s="1204"/>
      <c r="AO513" s="1204"/>
      <c r="AP513" s="1204"/>
      <c r="AQ513" s="1204"/>
    </row>
    <row r="514" spans="1:43" ht="63">
      <c r="A514" s="1076"/>
      <c r="B514" s="1171"/>
      <c r="C514" s="1076"/>
      <c r="D514" s="1076"/>
      <c r="E514" s="1252"/>
      <c r="F514" s="1252"/>
      <c r="G514" s="1076"/>
      <c r="H514" s="1076"/>
      <c r="I514" s="1076"/>
      <c r="J514" s="1076" t="s">
        <v>171</v>
      </c>
      <c r="K514" s="1076"/>
      <c r="L514" s="1076"/>
      <c r="M514" s="1251">
        <v>233</v>
      </c>
      <c r="N514" s="1123" t="s">
        <v>7</v>
      </c>
      <c r="O514" s="1119">
        <v>312773941</v>
      </c>
      <c r="P514" s="1119">
        <f>O514</f>
        <v>312773941</v>
      </c>
      <c r="Q514" s="1119"/>
      <c r="R514" s="1171">
        <v>40899</v>
      </c>
      <c r="S514" s="1196">
        <f>T514</f>
        <v>312773941</v>
      </c>
      <c r="T514" s="1119">
        <v>312773941</v>
      </c>
      <c r="U514" s="1119">
        <f>O514-T514</f>
        <v>0</v>
      </c>
      <c r="V514" s="1119">
        <v>310860950</v>
      </c>
      <c r="W514" s="1119"/>
      <c r="X514" s="1076"/>
      <c r="Y514" s="372" t="s">
        <v>701</v>
      </c>
      <c r="Z514" s="386">
        <v>151909996</v>
      </c>
      <c r="AA514" s="386">
        <v>0</v>
      </c>
      <c r="AB514" s="386">
        <f t="shared" si="32"/>
        <v>151909996</v>
      </c>
      <c r="AC514" s="384">
        <v>41404</v>
      </c>
      <c r="AD514" s="395">
        <v>151909996</v>
      </c>
      <c r="AE514" s="395" t="s">
        <v>7</v>
      </c>
      <c r="AF514" s="1084">
        <f>SUM(AD514:AD515)</f>
        <v>151909996</v>
      </c>
      <c r="AG514" s="1084"/>
      <c r="AH514" s="358">
        <f t="shared" si="33"/>
        <v>0</v>
      </c>
      <c r="AI514" s="358"/>
      <c r="AJ514" s="1119"/>
      <c r="AK514" s="1119">
        <f>P514-V514</f>
        <v>1912991</v>
      </c>
      <c r="AL514" s="1119"/>
      <c r="AM514" s="1119"/>
      <c r="AN514" s="1204"/>
      <c r="AO514" s="1204"/>
      <c r="AP514" s="1204"/>
      <c r="AQ514" s="1204"/>
    </row>
    <row r="515" spans="1:43">
      <c r="A515" s="1076"/>
      <c r="B515" s="1171"/>
      <c r="C515" s="1076"/>
      <c r="D515" s="1076"/>
      <c r="E515" s="1252"/>
      <c r="F515" s="1252"/>
      <c r="G515" s="1076"/>
      <c r="H515" s="1076"/>
      <c r="I515" s="1076"/>
      <c r="J515" s="1076"/>
      <c r="K515" s="1076"/>
      <c r="L515" s="1076"/>
      <c r="M515" s="1251"/>
      <c r="N515" s="1123"/>
      <c r="O515" s="1119"/>
      <c r="P515" s="1119"/>
      <c r="Q515" s="1119"/>
      <c r="R515" s="1171"/>
      <c r="S515" s="1196"/>
      <c r="T515" s="1119"/>
      <c r="U515" s="1119"/>
      <c r="V515" s="1119"/>
      <c r="W515" s="1119"/>
      <c r="X515" s="1076"/>
      <c r="Y515" s="372"/>
      <c r="Z515" s="386"/>
      <c r="AA515" s="386"/>
      <c r="AB515" s="386">
        <f t="shared" si="32"/>
        <v>0</v>
      </c>
      <c r="AC515" s="384"/>
      <c r="AD515" s="395"/>
      <c r="AE515" s="395"/>
      <c r="AF515" s="1084"/>
      <c r="AG515" s="1084"/>
      <c r="AH515" s="358">
        <f t="shared" si="33"/>
        <v>0</v>
      </c>
      <c r="AI515" s="358"/>
      <c r="AJ515" s="1119"/>
      <c r="AK515" s="1119"/>
      <c r="AL515" s="1119"/>
      <c r="AM515" s="1119"/>
      <c r="AN515" s="1204"/>
      <c r="AO515" s="1204"/>
      <c r="AP515" s="1204"/>
      <c r="AQ515" s="1204"/>
    </row>
    <row r="516" spans="1:43" ht="26.25" customHeight="1">
      <c r="A516" s="1076" t="s">
        <v>956</v>
      </c>
      <c r="B516" s="1171">
        <v>40423</v>
      </c>
      <c r="C516" s="1076" t="s">
        <v>9</v>
      </c>
      <c r="D516" s="1076" t="s">
        <v>957</v>
      </c>
      <c r="E516" s="1252">
        <v>900379281</v>
      </c>
      <c r="F516" s="1252">
        <v>5</v>
      </c>
      <c r="G516" s="1076" t="s">
        <v>958</v>
      </c>
      <c r="H516" s="1076" t="s">
        <v>71</v>
      </c>
      <c r="I516" s="1076" t="s">
        <v>692</v>
      </c>
      <c r="J516" s="1076" t="s">
        <v>66</v>
      </c>
      <c r="K516" s="1076" t="s">
        <v>183</v>
      </c>
      <c r="L516" s="1076" t="s">
        <v>967</v>
      </c>
      <c r="M516" s="1268">
        <v>117</v>
      </c>
      <c r="N516" s="1123" t="s">
        <v>137</v>
      </c>
      <c r="O516" s="1119">
        <v>58299702</v>
      </c>
      <c r="P516" s="1119">
        <v>108075497</v>
      </c>
      <c r="Q516" s="1119">
        <f>P516+P524+P528+P531+P537</f>
        <v>470397893</v>
      </c>
      <c r="R516" s="1171">
        <v>40441</v>
      </c>
      <c r="S516" s="1196">
        <f>T516+T520</f>
        <v>108075497</v>
      </c>
      <c r="T516" s="1196">
        <v>58299702</v>
      </c>
      <c r="U516" s="1196">
        <f>O516-T516</f>
        <v>0</v>
      </c>
      <c r="V516" s="1119">
        <v>55380668</v>
      </c>
      <c r="W516" s="1119">
        <f>SUM(V516:V538)</f>
        <v>453176901</v>
      </c>
      <c r="X516" s="1076" t="s">
        <v>959</v>
      </c>
      <c r="Y516" s="1123" t="s">
        <v>960</v>
      </c>
      <c r="Z516" s="386">
        <v>0</v>
      </c>
      <c r="AA516" s="386">
        <v>19024728</v>
      </c>
      <c r="AB516" s="386">
        <f t="shared" si="32"/>
        <v>19024728</v>
      </c>
      <c r="AC516" s="1171">
        <v>40494</v>
      </c>
      <c r="AD516" s="395">
        <v>19024727.859999999</v>
      </c>
      <c r="AE516" s="395" t="s">
        <v>7</v>
      </c>
      <c r="AF516" s="1084">
        <f>SUM(AD516:AD523)</f>
        <v>102662486</v>
      </c>
      <c r="AG516" s="1084">
        <f>AF516+AF524+AF528+AF531+AF537</f>
        <v>453170909</v>
      </c>
      <c r="AH516" s="358">
        <f t="shared" si="33"/>
        <v>0.14000000059604645</v>
      </c>
      <c r="AI516" s="1084">
        <f>O516-AD517-AD519-AD520-AD521-AD523</f>
        <v>-6907375.1400000006</v>
      </c>
      <c r="AJ516" s="1119">
        <f>SUM(Z516:Z523)-SUM(AD516:AD523)</f>
        <v>1.3799999952316284</v>
      </c>
      <c r="AK516" s="1119">
        <f>O516-V516</f>
        <v>2919034</v>
      </c>
      <c r="AL516" s="1119">
        <f>SUM(V516:V523)-SUM(Z516:Z523)</f>
        <v>1729.6200000047684</v>
      </c>
      <c r="AM516" s="1119">
        <f>AK516+AK520+AL516+AJ516</f>
        <v>5413011</v>
      </c>
      <c r="AN516" s="1204" t="s">
        <v>970</v>
      </c>
      <c r="AO516" s="1237" t="s">
        <v>971</v>
      </c>
      <c r="AP516" s="1204" t="s">
        <v>194</v>
      </c>
      <c r="AQ516" s="1204" t="s">
        <v>558</v>
      </c>
    </row>
    <row r="517" spans="1:43" ht="24" customHeight="1">
      <c r="A517" s="1076"/>
      <c r="B517" s="1171"/>
      <c r="C517" s="1076"/>
      <c r="D517" s="1076"/>
      <c r="E517" s="1252"/>
      <c r="F517" s="1252"/>
      <c r="G517" s="1076"/>
      <c r="H517" s="1076"/>
      <c r="I517" s="1076"/>
      <c r="J517" s="1076"/>
      <c r="K517" s="1076"/>
      <c r="L517" s="1076"/>
      <c r="M517" s="1268"/>
      <c r="N517" s="1123"/>
      <c r="O517" s="1119"/>
      <c r="P517" s="1119"/>
      <c r="Q517" s="1119"/>
      <c r="R517" s="1171"/>
      <c r="S517" s="1196"/>
      <c r="T517" s="1196"/>
      <c r="U517" s="1196"/>
      <c r="V517" s="1119"/>
      <c r="W517" s="1119"/>
      <c r="X517" s="1076"/>
      <c r="Y517" s="1123"/>
      <c r="Z517" s="386">
        <v>0</v>
      </c>
      <c r="AA517" s="386">
        <v>22282636</v>
      </c>
      <c r="AB517" s="386">
        <f t="shared" si="32"/>
        <v>22282636</v>
      </c>
      <c r="AC517" s="1171"/>
      <c r="AD517" s="395">
        <v>22282635.140000001</v>
      </c>
      <c r="AE517" s="395" t="s">
        <v>137</v>
      </c>
      <c r="AF517" s="1084"/>
      <c r="AG517" s="1084"/>
      <c r="AH517" s="358">
        <f t="shared" si="33"/>
        <v>0.85999999940395355</v>
      </c>
      <c r="AI517" s="1084"/>
      <c r="AJ517" s="1119"/>
      <c r="AK517" s="1119"/>
      <c r="AL517" s="1119"/>
      <c r="AM517" s="1119"/>
      <c r="AN517" s="1204"/>
      <c r="AO517" s="1204"/>
      <c r="AP517" s="1204"/>
      <c r="AQ517" s="1204"/>
    </row>
    <row r="518" spans="1:43" ht="28.5" customHeight="1">
      <c r="A518" s="1076"/>
      <c r="B518" s="1171"/>
      <c r="C518" s="1076"/>
      <c r="D518" s="1076"/>
      <c r="E518" s="1252"/>
      <c r="F518" s="1252"/>
      <c r="G518" s="1076"/>
      <c r="H518" s="1076"/>
      <c r="I518" s="1076"/>
      <c r="J518" s="1076"/>
      <c r="K518" s="1076"/>
      <c r="L518" s="1076"/>
      <c r="M518" s="1268"/>
      <c r="N518" s="1123"/>
      <c r="O518" s="1119"/>
      <c r="P518" s="1119"/>
      <c r="Q518" s="1119"/>
      <c r="R518" s="1171"/>
      <c r="S518" s="1196"/>
      <c r="T518" s="1196"/>
      <c r="U518" s="1196"/>
      <c r="V518" s="1119"/>
      <c r="W518" s="1119"/>
      <c r="X518" s="1076"/>
      <c r="Y518" s="1123" t="s">
        <v>961</v>
      </c>
      <c r="Z518" s="386">
        <v>26336665.129999999</v>
      </c>
      <c r="AA518" s="386">
        <f>-{10534666}</f>
        <v>-10534666</v>
      </c>
      <c r="AB518" s="386">
        <f t="shared" si="32"/>
        <v>15801999.129999999</v>
      </c>
      <c r="AC518" s="1171">
        <v>40732</v>
      </c>
      <c r="AD518" s="395">
        <v>15801999</v>
      </c>
      <c r="AE518" s="395" t="s">
        <v>7</v>
      </c>
      <c r="AF518" s="1084"/>
      <c r="AG518" s="1084"/>
      <c r="AH518" s="358">
        <f t="shared" si="33"/>
        <v>0.12999999895691872</v>
      </c>
      <c r="AI518" s="1084"/>
      <c r="AJ518" s="1119"/>
      <c r="AK518" s="1119"/>
      <c r="AL518" s="1119"/>
      <c r="AM518" s="1119"/>
      <c r="AN518" s="1204"/>
      <c r="AO518" s="1204"/>
      <c r="AP518" s="1204"/>
      <c r="AQ518" s="1204"/>
    </row>
    <row r="519" spans="1:43" ht="39" customHeight="1">
      <c r="A519" s="1076"/>
      <c r="B519" s="1171"/>
      <c r="C519" s="1076"/>
      <c r="D519" s="1076"/>
      <c r="E519" s="1252"/>
      <c r="F519" s="1252"/>
      <c r="G519" s="1076"/>
      <c r="H519" s="1076"/>
      <c r="I519" s="1076"/>
      <c r="J519" s="1076"/>
      <c r="K519" s="1076"/>
      <c r="L519" s="1076"/>
      <c r="M519" s="1268"/>
      <c r="N519" s="1123"/>
      <c r="O519" s="1119"/>
      <c r="P519" s="1119"/>
      <c r="Q519" s="1119"/>
      <c r="R519" s="1171"/>
      <c r="S519" s="1196"/>
      <c r="T519" s="1196"/>
      <c r="U519" s="1196"/>
      <c r="V519" s="1119"/>
      <c r="W519" s="1119"/>
      <c r="X519" s="1076"/>
      <c r="Y519" s="1123"/>
      <c r="Z519" s="386">
        <v>30846713.25</v>
      </c>
      <c r="AA519" s="386">
        <v>-12338685</v>
      </c>
      <c r="AB519" s="386">
        <f t="shared" si="32"/>
        <v>18508028.25</v>
      </c>
      <c r="AC519" s="1171"/>
      <c r="AD519" s="395">
        <v>18508028</v>
      </c>
      <c r="AE519" s="395" t="s">
        <v>137</v>
      </c>
      <c r="AF519" s="1084"/>
      <c r="AG519" s="1084"/>
      <c r="AH519" s="358">
        <f t="shared" si="33"/>
        <v>0.25</v>
      </c>
      <c r="AI519" s="1084"/>
      <c r="AJ519" s="1119"/>
      <c r="AK519" s="1119"/>
      <c r="AL519" s="1119"/>
      <c r="AM519" s="1119"/>
      <c r="AN519" s="1204"/>
      <c r="AO519" s="1204"/>
      <c r="AP519" s="1204"/>
      <c r="AQ519" s="1204"/>
    </row>
    <row r="520" spans="1:43" ht="31.5" customHeight="1">
      <c r="A520" s="1076"/>
      <c r="B520" s="1171"/>
      <c r="C520" s="1076"/>
      <c r="D520" s="1076"/>
      <c r="E520" s="1252"/>
      <c r="F520" s="1252"/>
      <c r="G520" s="1076"/>
      <c r="H520" s="1076"/>
      <c r="I520" s="1076"/>
      <c r="J520" s="1076"/>
      <c r="K520" s="1076"/>
      <c r="L520" s="1076"/>
      <c r="M520" s="1268"/>
      <c r="N520" s="1123" t="s">
        <v>7</v>
      </c>
      <c r="O520" s="1119">
        <v>49775795</v>
      </c>
      <c r="P520" s="1119"/>
      <c r="Q520" s="1119"/>
      <c r="R520" s="1171"/>
      <c r="S520" s="1196"/>
      <c r="T520" s="1196">
        <v>49775795</v>
      </c>
      <c r="U520" s="1196">
        <f>O520-T520</f>
        <v>0</v>
      </c>
      <c r="V520" s="1119">
        <v>47283549</v>
      </c>
      <c r="W520" s="1119"/>
      <c r="X520" s="1076"/>
      <c r="Y520" s="1123" t="s">
        <v>962</v>
      </c>
      <c r="Z520" s="386">
        <v>16378905</v>
      </c>
      <c r="AA520" s="386">
        <v>-6551562</v>
      </c>
      <c r="AB520" s="386">
        <f t="shared" si="32"/>
        <v>9827343</v>
      </c>
      <c r="AC520" s="1171">
        <v>41120</v>
      </c>
      <c r="AD520" s="395">
        <v>9827343</v>
      </c>
      <c r="AE520" s="395" t="s">
        <v>137</v>
      </c>
      <c r="AF520" s="1084"/>
      <c r="AG520" s="1084"/>
      <c r="AH520" s="358">
        <f t="shared" si="33"/>
        <v>0</v>
      </c>
      <c r="AI520" s="1084">
        <f>O520-AD516-AD518-AD522</f>
        <v>12320386.140000001</v>
      </c>
      <c r="AJ520" s="1119"/>
      <c r="AK520" s="1119">
        <f>O520-V520</f>
        <v>2492246</v>
      </c>
      <c r="AL520" s="1119"/>
      <c r="AM520" s="1119"/>
      <c r="AN520" s="1204"/>
      <c r="AO520" s="1204"/>
      <c r="AP520" s="1204"/>
      <c r="AQ520" s="1204"/>
    </row>
    <row r="521" spans="1:43" ht="30.75" customHeight="1">
      <c r="A521" s="1076"/>
      <c r="B521" s="1171"/>
      <c r="C521" s="1076"/>
      <c r="D521" s="1076"/>
      <c r="E521" s="1252"/>
      <c r="F521" s="1252"/>
      <c r="G521" s="1076"/>
      <c r="H521" s="1076"/>
      <c r="I521" s="1076"/>
      <c r="J521" s="1076"/>
      <c r="K521" s="1076"/>
      <c r="L521" s="1076"/>
      <c r="M521" s="1268"/>
      <c r="N521" s="1123"/>
      <c r="O521" s="1119"/>
      <c r="P521" s="1119"/>
      <c r="Q521" s="1119"/>
      <c r="R521" s="1171"/>
      <c r="S521" s="1196"/>
      <c r="T521" s="1196"/>
      <c r="U521" s="1196"/>
      <c r="V521" s="1119"/>
      <c r="W521" s="1119"/>
      <c r="X521" s="1076"/>
      <c r="Y521" s="1123"/>
      <c r="Z521" s="386">
        <v>19183725</v>
      </c>
      <c r="AA521" s="386">
        <v>-7673490</v>
      </c>
      <c r="AB521" s="386">
        <f t="shared" si="32"/>
        <v>11510235</v>
      </c>
      <c r="AC521" s="1171"/>
      <c r="AD521" s="395">
        <v>11510235</v>
      </c>
      <c r="AE521" s="395" t="s">
        <v>137</v>
      </c>
      <c r="AF521" s="1084"/>
      <c r="AG521" s="1084"/>
      <c r="AH521" s="358">
        <f t="shared" si="33"/>
        <v>0</v>
      </c>
      <c r="AI521" s="1084"/>
      <c r="AJ521" s="1119"/>
      <c r="AK521" s="1119"/>
      <c r="AL521" s="1119"/>
      <c r="AM521" s="1119"/>
      <c r="AN521" s="1204"/>
      <c r="AO521" s="1204"/>
      <c r="AP521" s="1204"/>
      <c r="AQ521" s="1204"/>
    </row>
    <row r="522" spans="1:43" ht="42" customHeight="1">
      <c r="A522" s="1076"/>
      <c r="B522" s="1171"/>
      <c r="C522" s="1076"/>
      <c r="D522" s="1076"/>
      <c r="E522" s="1252"/>
      <c r="F522" s="1252"/>
      <c r="G522" s="1076"/>
      <c r="H522" s="1076"/>
      <c r="I522" s="1076"/>
      <c r="J522" s="1076"/>
      <c r="K522" s="1076"/>
      <c r="L522" s="1076"/>
      <c r="M522" s="1268"/>
      <c r="N522" s="1123"/>
      <c r="O522" s="1119"/>
      <c r="P522" s="1119"/>
      <c r="Q522" s="1119"/>
      <c r="R522" s="1171"/>
      <c r="S522" s="1196"/>
      <c r="T522" s="1196"/>
      <c r="U522" s="1196"/>
      <c r="V522" s="1119"/>
      <c r="W522" s="1119"/>
      <c r="X522" s="1076"/>
      <c r="Y522" s="1123" t="s">
        <v>963</v>
      </c>
      <c r="Z522" s="386">
        <v>4567183</v>
      </c>
      <c r="AA522" s="386">
        <v>-1938501</v>
      </c>
      <c r="AB522" s="386">
        <f t="shared" si="32"/>
        <v>2628682</v>
      </c>
      <c r="AC522" s="1171">
        <v>41598</v>
      </c>
      <c r="AD522" s="395">
        <v>2628682</v>
      </c>
      <c r="AE522" s="395" t="s">
        <v>7</v>
      </c>
      <c r="AF522" s="1084"/>
      <c r="AG522" s="1084"/>
      <c r="AH522" s="358">
        <f t="shared" si="33"/>
        <v>0</v>
      </c>
      <c r="AI522" s="1084"/>
      <c r="AJ522" s="1119"/>
      <c r="AK522" s="1119"/>
      <c r="AL522" s="1119"/>
      <c r="AM522" s="1119"/>
      <c r="AN522" s="1204"/>
      <c r="AO522" s="1204"/>
      <c r="AP522" s="1204"/>
      <c r="AQ522" s="1204"/>
    </row>
    <row r="523" spans="1:43" ht="30" customHeight="1">
      <c r="A523" s="1076"/>
      <c r="B523" s="1171"/>
      <c r="C523" s="1076"/>
      <c r="D523" s="1076"/>
      <c r="E523" s="1252"/>
      <c r="F523" s="1252"/>
      <c r="G523" s="1076"/>
      <c r="H523" s="1076"/>
      <c r="I523" s="1076"/>
      <c r="J523" s="1076"/>
      <c r="K523" s="1076"/>
      <c r="L523" s="1076"/>
      <c r="M523" s="1268"/>
      <c r="N523" s="1123"/>
      <c r="O523" s="1119"/>
      <c r="P523" s="1119"/>
      <c r="Q523" s="1119"/>
      <c r="R523" s="1171"/>
      <c r="S523" s="1196"/>
      <c r="T523" s="1196"/>
      <c r="U523" s="1196"/>
      <c r="V523" s="1119"/>
      <c r="W523" s="1119"/>
      <c r="X523" s="1076"/>
      <c r="Y523" s="1123"/>
      <c r="Z523" s="386">
        <v>5349296</v>
      </c>
      <c r="AA523" s="386">
        <v>-2270460</v>
      </c>
      <c r="AB523" s="386">
        <f t="shared" si="32"/>
        <v>3078836</v>
      </c>
      <c r="AC523" s="1171"/>
      <c r="AD523" s="395">
        <v>3078836</v>
      </c>
      <c r="AE523" s="395" t="s">
        <v>137</v>
      </c>
      <c r="AF523" s="1084"/>
      <c r="AG523" s="1084"/>
      <c r="AH523" s="358">
        <f t="shared" si="33"/>
        <v>0</v>
      </c>
      <c r="AI523" s="1084"/>
      <c r="AJ523" s="1119"/>
      <c r="AK523" s="1119"/>
      <c r="AL523" s="1119"/>
      <c r="AM523" s="1119"/>
      <c r="AN523" s="1204"/>
      <c r="AO523" s="1204"/>
      <c r="AP523" s="1204"/>
      <c r="AQ523" s="1204"/>
    </row>
    <row r="524" spans="1:43" ht="49.5" customHeight="1">
      <c r="A524" s="1076"/>
      <c r="B524" s="1171"/>
      <c r="C524" s="1076"/>
      <c r="D524" s="1076"/>
      <c r="E524" s="1252"/>
      <c r="F524" s="1252"/>
      <c r="G524" s="1076"/>
      <c r="H524" s="1076"/>
      <c r="I524" s="1076"/>
      <c r="J524" s="1076"/>
      <c r="K524" s="1076"/>
      <c r="L524" s="1076"/>
      <c r="M524" s="1251">
        <v>1</v>
      </c>
      <c r="N524" s="1123" t="s">
        <v>129</v>
      </c>
      <c r="O524" s="1119">
        <v>209980704</v>
      </c>
      <c r="P524" s="1119">
        <v>209980704</v>
      </c>
      <c r="Q524" s="1119"/>
      <c r="R524" s="1171">
        <v>40441</v>
      </c>
      <c r="S524" s="1196">
        <f>T524</f>
        <v>207632918</v>
      </c>
      <c r="T524" s="1196">
        <v>207632918</v>
      </c>
      <c r="U524" s="1196">
        <f>O524-T524</f>
        <v>2347786</v>
      </c>
      <c r="V524" s="1119">
        <v>199467087</v>
      </c>
      <c r="W524" s="1119"/>
      <c r="X524" s="1076"/>
      <c r="Y524" s="372" t="s">
        <v>960</v>
      </c>
      <c r="Z524" s="386">
        <v>0</v>
      </c>
      <c r="AA524" s="386">
        <v>79549157</v>
      </c>
      <c r="AB524" s="386">
        <f t="shared" si="32"/>
        <v>79549157</v>
      </c>
      <c r="AC524" s="384">
        <v>41225</v>
      </c>
      <c r="AD524" s="395">
        <v>79549157</v>
      </c>
      <c r="AE524" s="395" t="s">
        <v>129</v>
      </c>
      <c r="AF524" s="1084">
        <f>SUM(AD524:AD527)</f>
        <v>199463225</v>
      </c>
      <c r="AG524" s="1084"/>
      <c r="AH524" s="358">
        <f t="shared" si="33"/>
        <v>0</v>
      </c>
      <c r="AI524" s="1084">
        <f>S524-SUM(AD524:AD527)</f>
        <v>8169693</v>
      </c>
      <c r="AJ524" s="1119">
        <f>SUM(Z524:Z527)-SUM(AD524:AD527)</f>
        <v>-2</v>
      </c>
      <c r="AK524" s="1119">
        <f>S524-V524</f>
        <v>8165831</v>
      </c>
      <c r="AL524" s="1119">
        <f>V524-SUM(Z524:Z527)</f>
        <v>3864</v>
      </c>
      <c r="AM524" s="1119">
        <f>AK524+AL524+AJ524</f>
        <v>8169693</v>
      </c>
      <c r="AN524" s="1204"/>
      <c r="AO524" s="1204"/>
      <c r="AP524" s="1204"/>
      <c r="AQ524" s="1204"/>
    </row>
    <row r="525" spans="1:43" ht="63" customHeight="1">
      <c r="A525" s="1076"/>
      <c r="B525" s="1171"/>
      <c r="C525" s="1076"/>
      <c r="D525" s="1076"/>
      <c r="E525" s="1252"/>
      <c r="F525" s="1252"/>
      <c r="G525" s="1076"/>
      <c r="H525" s="1076"/>
      <c r="I525" s="1076"/>
      <c r="J525" s="1076"/>
      <c r="K525" s="1076"/>
      <c r="L525" s="1076"/>
      <c r="M525" s="1251"/>
      <c r="N525" s="1123"/>
      <c r="O525" s="1119"/>
      <c r="P525" s="1119"/>
      <c r="Q525" s="1119"/>
      <c r="R525" s="1171"/>
      <c r="S525" s="1196"/>
      <c r="T525" s="1196"/>
      <c r="U525" s="1196"/>
      <c r="V525" s="1119"/>
      <c r="W525" s="1119"/>
      <c r="X525" s="1076"/>
      <c r="Y525" s="372" t="s">
        <v>961</v>
      </c>
      <c r="Z525" s="386">
        <v>110122969</v>
      </c>
      <c r="AA525" s="386">
        <v>-44049187</v>
      </c>
      <c r="AB525" s="386">
        <f t="shared" si="32"/>
        <v>66073782</v>
      </c>
      <c r="AC525" s="384">
        <v>40732</v>
      </c>
      <c r="AD525" s="395">
        <v>66073782</v>
      </c>
      <c r="AE525" s="395" t="s">
        <v>129</v>
      </c>
      <c r="AF525" s="1084"/>
      <c r="AG525" s="1084"/>
      <c r="AH525" s="358">
        <f t="shared" si="33"/>
        <v>0</v>
      </c>
      <c r="AI525" s="1084"/>
      <c r="AJ525" s="1119"/>
      <c r="AK525" s="1119"/>
      <c r="AL525" s="1119"/>
      <c r="AM525" s="1119"/>
      <c r="AN525" s="1204"/>
      <c r="AO525" s="1204"/>
      <c r="AP525" s="1204"/>
      <c r="AQ525" s="1204"/>
    </row>
    <row r="526" spans="1:43" ht="78.75">
      <c r="A526" s="1076"/>
      <c r="B526" s="1171"/>
      <c r="C526" s="1076"/>
      <c r="D526" s="1076"/>
      <c r="E526" s="1252"/>
      <c r="F526" s="1252"/>
      <c r="G526" s="1076"/>
      <c r="H526" s="1076"/>
      <c r="I526" s="1076"/>
      <c r="J526" s="1076"/>
      <c r="K526" s="1076"/>
      <c r="L526" s="1076"/>
      <c r="M526" s="1251"/>
      <c r="N526" s="1123"/>
      <c r="O526" s="1119"/>
      <c r="P526" s="1119"/>
      <c r="Q526" s="1119"/>
      <c r="R526" s="1171"/>
      <c r="S526" s="1196"/>
      <c r="T526" s="1196"/>
      <c r="U526" s="1196"/>
      <c r="V526" s="1119"/>
      <c r="W526" s="1119"/>
      <c r="X526" s="1076"/>
      <c r="Y526" s="372" t="s">
        <v>962</v>
      </c>
      <c r="Z526" s="386">
        <v>68486026</v>
      </c>
      <c r="AA526" s="386">
        <v>-27394411</v>
      </c>
      <c r="AB526" s="386">
        <f t="shared" si="32"/>
        <v>41091615</v>
      </c>
      <c r="AC526" s="384">
        <v>40389</v>
      </c>
      <c r="AD526" s="395">
        <v>41091615</v>
      </c>
      <c r="AE526" s="395" t="s">
        <v>129</v>
      </c>
      <c r="AF526" s="1084"/>
      <c r="AG526" s="1084"/>
      <c r="AH526" s="358">
        <f t="shared" si="33"/>
        <v>0</v>
      </c>
      <c r="AI526" s="1084"/>
      <c r="AJ526" s="1119"/>
      <c r="AK526" s="1119"/>
      <c r="AL526" s="1119"/>
      <c r="AM526" s="1119"/>
      <c r="AN526" s="1204"/>
      <c r="AO526" s="1204"/>
      <c r="AP526" s="1204"/>
      <c r="AQ526" s="1204"/>
    </row>
    <row r="527" spans="1:43" ht="94.5">
      <c r="A527" s="1076"/>
      <c r="B527" s="1171"/>
      <c r="C527" s="1076"/>
      <c r="D527" s="1076"/>
      <c r="E527" s="1252"/>
      <c r="F527" s="1252"/>
      <c r="G527" s="1076"/>
      <c r="H527" s="1076"/>
      <c r="I527" s="1076"/>
      <c r="J527" s="1076"/>
      <c r="K527" s="1076"/>
      <c r="L527" s="1076"/>
      <c r="M527" s="1251"/>
      <c r="N527" s="1123"/>
      <c r="O527" s="1119"/>
      <c r="P527" s="1119"/>
      <c r="Q527" s="1119"/>
      <c r="R527" s="1171"/>
      <c r="S527" s="1196"/>
      <c r="T527" s="1196"/>
      <c r="U527" s="1196"/>
      <c r="V527" s="1119"/>
      <c r="W527" s="1119"/>
      <c r="X527" s="1076"/>
      <c r="Y527" s="372" t="s">
        <v>963</v>
      </c>
      <c r="Z527" s="386">
        <v>20854228</v>
      </c>
      <c r="AA527" s="386">
        <v>-8105558</v>
      </c>
      <c r="AB527" s="386">
        <f t="shared" si="32"/>
        <v>12748670</v>
      </c>
      <c r="AC527" s="384">
        <v>41598</v>
      </c>
      <c r="AD527" s="395">
        <v>12748671</v>
      </c>
      <c r="AE527" s="395" t="s">
        <v>129</v>
      </c>
      <c r="AF527" s="1084"/>
      <c r="AG527" s="1084"/>
      <c r="AH527" s="358">
        <f t="shared" si="33"/>
        <v>-1</v>
      </c>
      <c r="AI527" s="1084"/>
      <c r="AJ527" s="1119"/>
      <c r="AK527" s="1119"/>
      <c r="AL527" s="1119"/>
      <c r="AM527" s="1119"/>
      <c r="AN527" s="1204"/>
      <c r="AO527" s="1204"/>
      <c r="AP527" s="1204"/>
      <c r="AQ527" s="1204"/>
    </row>
    <row r="528" spans="1:43" ht="94.5">
      <c r="A528" s="1076"/>
      <c r="B528" s="1171"/>
      <c r="C528" s="1076"/>
      <c r="D528" s="1076"/>
      <c r="E528" s="1252"/>
      <c r="F528" s="1252"/>
      <c r="G528" s="1076"/>
      <c r="H528" s="1076"/>
      <c r="I528" s="1076"/>
      <c r="J528" s="1076" t="s">
        <v>171</v>
      </c>
      <c r="K528" s="1076"/>
      <c r="L528" s="1076"/>
      <c r="M528" s="1251">
        <v>5</v>
      </c>
      <c r="N528" s="1123" t="s">
        <v>129</v>
      </c>
      <c r="O528" s="1119">
        <v>12683823</v>
      </c>
      <c r="P528" s="1119">
        <v>12683823</v>
      </c>
      <c r="Q528" s="1119"/>
      <c r="R528" s="1171">
        <v>40878</v>
      </c>
      <c r="S528" s="1196">
        <f>T528</f>
        <v>12409670</v>
      </c>
      <c r="T528" s="1119">
        <v>12409670</v>
      </c>
      <c r="U528" s="1119">
        <f>O528-T528</f>
        <v>274153</v>
      </c>
      <c r="V528" s="1119">
        <v>12409670</v>
      </c>
      <c r="W528" s="1119"/>
      <c r="X528" s="1076"/>
      <c r="Y528" s="372" t="s">
        <v>964</v>
      </c>
      <c r="Z528" s="386">
        <v>5954900</v>
      </c>
      <c r="AA528" s="386">
        <v>0</v>
      </c>
      <c r="AB528" s="386">
        <f t="shared" si="32"/>
        <v>5954900</v>
      </c>
      <c r="AC528" s="384">
        <v>41145</v>
      </c>
      <c r="AD528" s="395">
        <v>5954900</v>
      </c>
      <c r="AE528" s="395" t="s">
        <v>129</v>
      </c>
      <c r="AF528" s="1084">
        <f>SUM(AD528:AD530)</f>
        <v>12409627</v>
      </c>
      <c r="AG528" s="1084"/>
      <c r="AH528" s="358">
        <f t="shared" si="33"/>
        <v>0</v>
      </c>
      <c r="AI528" s="1084">
        <f>S528-SUM(AD528:AD530)</f>
        <v>43</v>
      </c>
      <c r="AJ528" s="1119">
        <f>SUM(Z528:Z530)-SUM(AD528:AD530)</f>
        <v>0</v>
      </c>
      <c r="AK528" s="1119">
        <f>S528-V528</f>
        <v>0</v>
      </c>
      <c r="AL528" s="1119">
        <f>V528-SUM(Z528:Z530)</f>
        <v>43</v>
      </c>
      <c r="AM528" s="1119">
        <f>AK528+AL528</f>
        <v>43</v>
      </c>
      <c r="AN528" s="1204"/>
      <c r="AO528" s="1204"/>
      <c r="AP528" s="1204"/>
      <c r="AQ528" s="1204"/>
    </row>
    <row r="529" spans="1:43" ht="94.5">
      <c r="A529" s="1076"/>
      <c r="B529" s="1171"/>
      <c r="C529" s="1076"/>
      <c r="D529" s="1076"/>
      <c r="E529" s="1252"/>
      <c r="F529" s="1252"/>
      <c r="G529" s="1076"/>
      <c r="H529" s="1076"/>
      <c r="I529" s="1076"/>
      <c r="J529" s="1076"/>
      <c r="K529" s="1076"/>
      <c r="L529" s="1076"/>
      <c r="M529" s="1251"/>
      <c r="N529" s="1123"/>
      <c r="O529" s="1119"/>
      <c r="P529" s="1119"/>
      <c r="Q529" s="1119"/>
      <c r="R529" s="1171"/>
      <c r="S529" s="1196"/>
      <c r="T529" s="1119"/>
      <c r="U529" s="1119"/>
      <c r="V529" s="1119"/>
      <c r="W529" s="1119"/>
      <c r="X529" s="1076"/>
      <c r="Y529" s="372" t="s">
        <v>965</v>
      </c>
      <c r="Z529" s="386">
        <v>5214032</v>
      </c>
      <c r="AA529" s="386">
        <v>0</v>
      </c>
      <c r="AB529" s="386">
        <f t="shared" si="32"/>
        <v>5214032</v>
      </c>
      <c r="AC529" s="384">
        <v>41271</v>
      </c>
      <c r="AD529" s="395">
        <v>5214032</v>
      </c>
      <c r="AE529" s="395" t="s">
        <v>129</v>
      </c>
      <c r="AF529" s="1084"/>
      <c r="AG529" s="1084"/>
      <c r="AH529" s="358">
        <f t="shared" si="33"/>
        <v>0</v>
      </c>
      <c r="AI529" s="1084"/>
      <c r="AJ529" s="1119"/>
      <c r="AK529" s="1119"/>
      <c r="AL529" s="1119"/>
      <c r="AM529" s="1119"/>
      <c r="AN529" s="1204"/>
      <c r="AO529" s="1204"/>
      <c r="AP529" s="1204"/>
      <c r="AQ529" s="1204"/>
    </row>
    <row r="530" spans="1:43" ht="94.5">
      <c r="A530" s="1076"/>
      <c r="B530" s="1171"/>
      <c r="C530" s="1076"/>
      <c r="D530" s="1076"/>
      <c r="E530" s="1252"/>
      <c r="F530" s="1252"/>
      <c r="G530" s="1076"/>
      <c r="H530" s="1076"/>
      <c r="I530" s="1076"/>
      <c r="J530" s="1076"/>
      <c r="K530" s="1076"/>
      <c r="L530" s="1076"/>
      <c r="M530" s="1251"/>
      <c r="N530" s="1123"/>
      <c r="O530" s="1119"/>
      <c r="P530" s="1119"/>
      <c r="Q530" s="1119"/>
      <c r="R530" s="1171"/>
      <c r="S530" s="1196"/>
      <c r="T530" s="1119"/>
      <c r="U530" s="1119"/>
      <c r="V530" s="1119"/>
      <c r="W530" s="1119"/>
      <c r="X530" s="1076"/>
      <c r="Y530" s="372" t="s">
        <v>966</v>
      </c>
      <c r="Z530" s="386">
        <v>1240695</v>
      </c>
      <c r="AA530" s="386">
        <v>0</v>
      </c>
      <c r="AB530" s="386">
        <f t="shared" si="32"/>
        <v>1240695</v>
      </c>
      <c r="AC530" s="384">
        <v>41598</v>
      </c>
      <c r="AD530" s="395">
        <v>1240695</v>
      </c>
      <c r="AE530" s="395" t="s">
        <v>129</v>
      </c>
      <c r="AF530" s="1084"/>
      <c r="AG530" s="1084"/>
      <c r="AH530" s="358">
        <f t="shared" si="33"/>
        <v>0</v>
      </c>
      <c r="AI530" s="1084"/>
      <c r="AJ530" s="1119"/>
      <c r="AK530" s="1119"/>
      <c r="AL530" s="1119"/>
      <c r="AM530" s="1119"/>
      <c r="AN530" s="1204"/>
      <c r="AO530" s="1204"/>
      <c r="AP530" s="1204"/>
      <c r="AQ530" s="1204"/>
    </row>
    <row r="531" spans="1:43" ht="40.5" customHeight="1">
      <c r="A531" s="1076"/>
      <c r="B531" s="1171"/>
      <c r="C531" s="1076"/>
      <c r="D531" s="1076"/>
      <c r="E531" s="1252"/>
      <c r="F531" s="1252"/>
      <c r="G531" s="1076"/>
      <c r="H531" s="1076"/>
      <c r="I531" s="1076"/>
      <c r="J531" s="1076"/>
      <c r="K531" s="1076"/>
      <c r="L531" s="1076"/>
      <c r="M531" s="1251">
        <v>227</v>
      </c>
      <c r="N531" s="1123" t="s">
        <v>7</v>
      </c>
      <c r="O531" s="1119">
        <v>8755316</v>
      </c>
      <c r="P531" s="1119">
        <f>O531+O534</f>
        <v>47280649</v>
      </c>
      <c r="Q531" s="1119"/>
      <c r="R531" s="1171">
        <v>40878</v>
      </c>
      <c r="S531" s="1273">
        <f>T531+T534</f>
        <v>47091408</v>
      </c>
      <c r="T531" s="1119">
        <v>8566075</v>
      </c>
      <c r="U531" s="1119">
        <f>O531-T531</f>
        <v>189241</v>
      </c>
      <c r="V531" s="1119">
        <v>8566075</v>
      </c>
      <c r="W531" s="1119"/>
      <c r="X531" s="1076"/>
      <c r="Y531" s="1123" t="s">
        <v>964</v>
      </c>
      <c r="Z531" s="386">
        <v>18087174</v>
      </c>
      <c r="AA531" s="386">
        <v>0</v>
      </c>
      <c r="AB531" s="386">
        <f t="shared" si="32"/>
        <v>18087174</v>
      </c>
      <c r="AC531" s="1171">
        <v>41145</v>
      </c>
      <c r="AD531" s="395">
        <v>4110514</v>
      </c>
      <c r="AE531" s="395" t="s">
        <v>137</v>
      </c>
      <c r="AF531" s="1084">
        <f>SUM(AD531:AD536)</f>
        <v>46258547</v>
      </c>
      <c r="AG531" s="1084"/>
      <c r="AH531" s="358">
        <f t="shared" si="33"/>
        <v>13976660</v>
      </c>
      <c r="AI531" s="1084">
        <f>T531-AD532-AD533-AD535</f>
        <v>-13976631</v>
      </c>
      <c r="AJ531" s="1119">
        <f>SUM(Z531:Z536)-SUM(AD531:AD536)</f>
        <v>0</v>
      </c>
      <c r="AK531" s="1119">
        <f>T531-V531</f>
        <v>0</v>
      </c>
      <c r="AL531" s="1119">
        <f>SUM(V531:V536)-SUM(Z531:Z536)</f>
        <v>160</v>
      </c>
      <c r="AM531" s="1119">
        <f>AK531+AK534+AL531</f>
        <v>832861</v>
      </c>
      <c r="AN531" s="1204"/>
      <c r="AO531" s="1204"/>
      <c r="AP531" s="1204"/>
      <c r="AQ531" s="1204"/>
    </row>
    <row r="532" spans="1:43" ht="40.5" customHeight="1">
      <c r="A532" s="1076"/>
      <c r="B532" s="1171"/>
      <c r="C532" s="1076"/>
      <c r="D532" s="1076"/>
      <c r="E532" s="1252"/>
      <c r="F532" s="1252"/>
      <c r="G532" s="1076"/>
      <c r="H532" s="1076"/>
      <c r="I532" s="1076"/>
      <c r="J532" s="1076"/>
      <c r="K532" s="1076"/>
      <c r="L532" s="1076"/>
      <c r="M532" s="1251"/>
      <c r="N532" s="1123"/>
      <c r="O532" s="1119"/>
      <c r="P532" s="1119"/>
      <c r="Q532" s="1119"/>
      <c r="R532" s="1171"/>
      <c r="S532" s="1273"/>
      <c r="T532" s="1119"/>
      <c r="U532" s="1119"/>
      <c r="V532" s="1119"/>
      <c r="W532" s="1119"/>
      <c r="X532" s="1076"/>
      <c r="Y532" s="1123"/>
      <c r="Z532" s="386">
        <v>4110514</v>
      </c>
      <c r="AA532" s="386">
        <v>0</v>
      </c>
      <c r="AB532" s="386">
        <f t="shared" si="32"/>
        <v>4110514</v>
      </c>
      <c r="AC532" s="1171"/>
      <c r="AD532" s="395">
        <v>18087174</v>
      </c>
      <c r="AE532" s="395" t="s">
        <v>7</v>
      </c>
      <c r="AF532" s="1084"/>
      <c r="AG532" s="1084"/>
      <c r="AH532" s="358">
        <f t="shared" si="33"/>
        <v>-13976660</v>
      </c>
      <c r="AI532" s="1084"/>
      <c r="AJ532" s="1119"/>
      <c r="AK532" s="1119"/>
      <c r="AL532" s="1119"/>
      <c r="AM532" s="1119"/>
      <c r="AN532" s="1204"/>
      <c r="AO532" s="1204"/>
      <c r="AP532" s="1204"/>
      <c r="AQ532" s="1204"/>
    </row>
    <row r="533" spans="1:43" ht="37.5" customHeight="1">
      <c r="A533" s="1076"/>
      <c r="B533" s="1171"/>
      <c r="C533" s="1076"/>
      <c r="D533" s="1076"/>
      <c r="E533" s="1252"/>
      <c r="F533" s="1252"/>
      <c r="G533" s="1076"/>
      <c r="H533" s="1076"/>
      <c r="I533" s="1076"/>
      <c r="J533" s="1076"/>
      <c r="K533" s="1076"/>
      <c r="L533" s="1076"/>
      <c r="M533" s="1251"/>
      <c r="N533" s="1123"/>
      <c r="O533" s="1119"/>
      <c r="P533" s="1119"/>
      <c r="Q533" s="1119"/>
      <c r="R533" s="1171"/>
      <c r="S533" s="1273"/>
      <c r="T533" s="1119"/>
      <c r="U533" s="1119"/>
      <c r="V533" s="1119"/>
      <c r="W533" s="1119"/>
      <c r="X533" s="1076"/>
      <c r="Y533" s="1123" t="s">
        <v>965</v>
      </c>
      <c r="Z533" s="386">
        <v>3599112</v>
      </c>
      <c r="AA533" s="386">
        <v>0</v>
      </c>
      <c r="AB533" s="386">
        <f t="shared" si="32"/>
        <v>3599112</v>
      </c>
      <c r="AC533" s="1171">
        <v>41270</v>
      </c>
      <c r="AD533" s="395">
        <v>3599112</v>
      </c>
      <c r="AE533" s="395" t="s">
        <v>7</v>
      </c>
      <c r="AF533" s="1084"/>
      <c r="AG533" s="1084"/>
      <c r="AH533" s="358">
        <f t="shared" si="33"/>
        <v>0</v>
      </c>
      <c r="AI533" s="1084"/>
      <c r="AJ533" s="1119"/>
      <c r="AK533" s="1119"/>
      <c r="AL533" s="1119"/>
      <c r="AM533" s="1119"/>
      <c r="AN533" s="1204"/>
      <c r="AO533" s="1204"/>
      <c r="AP533" s="1204"/>
      <c r="AQ533" s="1204"/>
    </row>
    <row r="534" spans="1:43" ht="45.75" customHeight="1">
      <c r="A534" s="1076"/>
      <c r="B534" s="1171"/>
      <c r="C534" s="1076"/>
      <c r="D534" s="1076"/>
      <c r="E534" s="1252"/>
      <c r="F534" s="1252"/>
      <c r="G534" s="1076"/>
      <c r="H534" s="1076"/>
      <c r="I534" s="1076"/>
      <c r="J534" s="1076"/>
      <c r="K534" s="1076"/>
      <c r="L534" s="1076"/>
      <c r="M534" s="1251"/>
      <c r="N534" s="1123" t="s">
        <v>137</v>
      </c>
      <c r="O534" s="1119">
        <v>38525333</v>
      </c>
      <c r="P534" s="1119"/>
      <c r="Q534" s="1119"/>
      <c r="R534" s="1171"/>
      <c r="S534" s="1273"/>
      <c r="T534" s="1119">
        <v>38525333</v>
      </c>
      <c r="U534" s="1119">
        <f>O534-T534</f>
        <v>0</v>
      </c>
      <c r="V534" s="1119">
        <v>37692632</v>
      </c>
      <c r="W534" s="1119"/>
      <c r="X534" s="1076"/>
      <c r="Y534" s="1123"/>
      <c r="Z534" s="386">
        <v>15836890</v>
      </c>
      <c r="AA534" s="386">
        <v>0</v>
      </c>
      <c r="AB534" s="386">
        <f t="shared" si="32"/>
        <v>15836890</v>
      </c>
      <c r="AC534" s="1171"/>
      <c r="AD534" s="395">
        <v>15836890</v>
      </c>
      <c r="AE534" s="395" t="s">
        <v>137</v>
      </c>
      <c r="AF534" s="1084"/>
      <c r="AG534" s="1084"/>
      <c r="AH534" s="358">
        <f t="shared" si="33"/>
        <v>0</v>
      </c>
      <c r="AI534" s="1084">
        <f>T534-AD531-AD534-AD536</f>
        <v>14809492</v>
      </c>
      <c r="AJ534" s="1119"/>
      <c r="AK534" s="1119">
        <f>T534-V534</f>
        <v>832701</v>
      </c>
      <c r="AL534" s="1119"/>
      <c r="AM534" s="1119"/>
      <c r="AN534" s="1204"/>
      <c r="AO534" s="1204"/>
      <c r="AP534" s="1204"/>
      <c r="AQ534" s="1204"/>
    </row>
    <row r="535" spans="1:43" ht="39" customHeight="1">
      <c r="A535" s="1076"/>
      <c r="B535" s="1171"/>
      <c r="C535" s="1076"/>
      <c r="D535" s="1076"/>
      <c r="E535" s="1252"/>
      <c r="F535" s="1252"/>
      <c r="G535" s="1076"/>
      <c r="H535" s="1076"/>
      <c r="I535" s="1076"/>
      <c r="J535" s="1076"/>
      <c r="K535" s="1076"/>
      <c r="L535" s="1076"/>
      <c r="M535" s="1251"/>
      <c r="N535" s="1123"/>
      <c r="O535" s="1119"/>
      <c r="P535" s="1119"/>
      <c r="Q535" s="1119"/>
      <c r="R535" s="1171"/>
      <c r="S535" s="1273"/>
      <c r="T535" s="1119"/>
      <c r="U535" s="1119"/>
      <c r="V535" s="1119"/>
      <c r="W535" s="1119"/>
      <c r="X535" s="1076"/>
      <c r="Y535" s="1123" t="s">
        <v>966</v>
      </c>
      <c r="Z535" s="386">
        <v>856420</v>
      </c>
      <c r="AA535" s="386">
        <v>0</v>
      </c>
      <c r="AB535" s="386">
        <f t="shared" si="32"/>
        <v>856420</v>
      </c>
      <c r="AC535" s="1171">
        <v>41598</v>
      </c>
      <c r="AD535" s="395">
        <v>856420</v>
      </c>
      <c r="AE535" s="395" t="s">
        <v>7</v>
      </c>
      <c r="AF535" s="1084"/>
      <c r="AG535" s="1084"/>
      <c r="AH535" s="358">
        <f t="shared" si="33"/>
        <v>0</v>
      </c>
      <c r="AI535" s="1084"/>
      <c r="AJ535" s="1119"/>
      <c r="AK535" s="1119"/>
      <c r="AL535" s="1119"/>
      <c r="AM535" s="1119"/>
      <c r="AN535" s="1204"/>
      <c r="AO535" s="1204"/>
      <c r="AP535" s="1204"/>
      <c r="AQ535" s="1204"/>
    </row>
    <row r="536" spans="1:43" ht="39" customHeight="1">
      <c r="A536" s="1076"/>
      <c r="B536" s="1171"/>
      <c r="C536" s="1076"/>
      <c r="D536" s="1076"/>
      <c r="E536" s="1252"/>
      <c r="F536" s="1252"/>
      <c r="G536" s="1076"/>
      <c r="H536" s="1076"/>
      <c r="I536" s="1076"/>
      <c r="J536" s="1076"/>
      <c r="K536" s="1076"/>
      <c r="L536" s="1076"/>
      <c r="M536" s="1251"/>
      <c r="N536" s="1123"/>
      <c r="O536" s="1119"/>
      <c r="P536" s="1119"/>
      <c r="Q536" s="1119"/>
      <c r="R536" s="1171"/>
      <c r="S536" s="1273"/>
      <c r="T536" s="1119"/>
      <c r="U536" s="1119"/>
      <c r="V536" s="1119"/>
      <c r="W536" s="1119"/>
      <c r="X536" s="1076"/>
      <c r="Y536" s="1123"/>
      <c r="Z536" s="386">
        <v>3768437</v>
      </c>
      <c r="AA536" s="386">
        <v>0</v>
      </c>
      <c r="AB536" s="386">
        <f t="shared" si="32"/>
        <v>3768437</v>
      </c>
      <c r="AC536" s="1171"/>
      <c r="AD536" s="395">
        <v>3768437</v>
      </c>
      <c r="AE536" s="395" t="s">
        <v>137</v>
      </c>
      <c r="AF536" s="1084"/>
      <c r="AG536" s="1084"/>
      <c r="AH536" s="358">
        <f t="shared" si="33"/>
        <v>0</v>
      </c>
      <c r="AI536" s="1084"/>
      <c r="AJ536" s="1119"/>
      <c r="AK536" s="1119"/>
      <c r="AL536" s="1119"/>
      <c r="AM536" s="1119"/>
      <c r="AN536" s="1204"/>
      <c r="AO536" s="1204"/>
      <c r="AP536" s="1204"/>
      <c r="AQ536" s="1204"/>
    </row>
    <row r="537" spans="1:43" ht="78.75">
      <c r="A537" s="1076"/>
      <c r="B537" s="1171"/>
      <c r="C537" s="1076"/>
      <c r="D537" s="1076"/>
      <c r="E537" s="1252"/>
      <c r="F537" s="1252"/>
      <c r="G537" s="1076"/>
      <c r="H537" s="1076"/>
      <c r="I537" s="1076"/>
      <c r="J537" s="1076" t="s">
        <v>172</v>
      </c>
      <c r="K537" s="1076"/>
      <c r="L537" s="1076"/>
      <c r="M537" s="1251">
        <v>236</v>
      </c>
      <c r="N537" s="1123" t="s">
        <v>7</v>
      </c>
      <c r="O537" s="1119">
        <v>92377220</v>
      </c>
      <c r="P537" s="1119">
        <v>92377220</v>
      </c>
      <c r="Q537" s="1119"/>
      <c r="R537" s="1171">
        <v>40906</v>
      </c>
      <c r="S537" s="1196">
        <f>T537</f>
        <v>92377220</v>
      </c>
      <c r="T537" s="1119">
        <v>92377220</v>
      </c>
      <c r="U537" s="1119">
        <f>O537-T537</f>
        <v>0</v>
      </c>
      <c r="V537" s="1119">
        <v>92377220</v>
      </c>
      <c r="W537" s="1119"/>
      <c r="X537" s="1076"/>
      <c r="Y537" s="372" t="s">
        <v>969</v>
      </c>
      <c r="Z537" s="386">
        <v>80791611</v>
      </c>
      <c r="AA537" s="386">
        <v>0</v>
      </c>
      <c r="AB537" s="386">
        <f t="shared" si="32"/>
        <v>80791611</v>
      </c>
      <c r="AC537" s="384">
        <v>41270</v>
      </c>
      <c r="AD537" s="395">
        <v>80791611</v>
      </c>
      <c r="AE537" s="395" t="s">
        <v>7</v>
      </c>
      <c r="AF537" s="1084">
        <f>SUM(AD537:AD538)</f>
        <v>92377024</v>
      </c>
      <c r="AG537" s="1084"/>
      <c r="AH537" s="358">
        <f t="shared" si="33"/>
        <v>0</v>
      </c>
      <c r="AI537" s="1084">
        <f>O537-AD537-AD538</f>
        <v>196</v>
      </c>
      <c r="AJ537" s="1119">
        <f>SUM(Z537:Z538)-SUM(AD537:AD538)</f>
        <v>0</v>
      </c>
      <c r="AK537" s="1119">
        <f>P537-V537</f>
        <v>0</v>
      </c>
      <c r="AL537" s="1119">
        <f>V537-SUM(Z537:Z538)</f>
        <v>196</v>
      </c>
      <c r="AM537" s="1119">
        <f>AK537+AL537</f>
        <v>196</v>
      </c>
      <c r="AN537" s="1204"/>
      <c r="AO537" s="1204"/>
      <c r="AP537" s="1204"/>
      <c r="AQ537" s="1204"/>
    </row>
    <row r="538" spans="1:43" ht="47.25">
      <c r="A538" s="1076"/>
      <c r="B538" s="1171"/>
      <c r="C538" s="1076"/>
      <c r="D538" s="1076"/>
      <c r="E538" s="1252"/>
      <c r="F538" s="1252"/>
      <c r="G538" s="1076"/>
      <c r="H538" s="1076"/>
      <c r="I538" s="1076"/>
      <c r="J538" s="1076"/>
      <c r="K538" s="1076"/>
      <c r="L538" s="1076"/>
      <c r="M538" s="1251"/>
      <c r="N538" s="1123"/>
      <c r="O538" s="1119"/>
      <c r="P538" s="1119"/>
      <c r="Q538" s="1119"/>
      <c r="R538" s="1171"/>
      <c r="S538" s="1196"/>
      <c r="T538" s="1119"/>
      <c r="U538" s="1119"/>
      <c r="V538" s="1119"/>
      <c r="W538" s="1119"/>
      <c r="X538" s="1076"/>
      <c r="Y538" s="372" t="s">
        <v>968</v>
      </c>
      <c r="Z538" s="386">
        <v>11585413</v>
      </c>
      <c r="AA538" s="386">
        <v>0</v>
      </c>
      <c r="AB538" s="386">
        <f t="shared" si="32"/>
        <v>11585413</v>
      </c>
      <c r="AC538" s="384">
        <v>41598</v>
      </c>
      <c r="AD538" s="395">
        <v>11585413</v>
      </c>
      <c r="AE538" s="395" t="s">
        <v>7</v>
      </c>
      <c r="AF538" s="1084"/>
      <c r="AG538" s="1084"/>
      <c r="AH538" s="358">
        <f t="shared" si="33"/>
        <v>0</v>
      </c>
      <c r="AI538" s="1084"/>
      <c r="AJ538" s="1119"/>
      <c r="AK538" s="1119"/>
      <c r="AL538" s="1119"/>
      <c r="AM538" s="1119"/>
      <c r="AN538" s="1204"/>
      <c r="AO538" s="1204"/>
      <c r="AP538" s="1204"/>
      <c r="AQ538" s="1204"/>
    </row>
    <row r="539" spans="1:43" s="24" customFormat="1" ht="63">
      <c r="A539" s="1204" t="s">
        <v>1581</v>
      </c>
      <c r="B539" s="1171">
        <v>40423</v>
      </c>
      <c r="C539" s="1204" t="s">
        <v>31</v>
      </c>
      <c r="D539" s="1204" t="s">
        <v>1582</v>
      </c>
      <c r="E539" s="1204">
        <v>79299421</v>
      </c>
      <c r="F539" s="1204"/>
      <c r="G539" s="1204" t="s">
        <v>1583</v>
      </c>
      <c r="H539" s="1204" t="s">
        <v>71</v>
      </c>
      <c r="I539" s="1204" t="s">
        <v>1221</v>
      </c>
      <c r="J539" s="1274" t="s">
        <v>67</v>
      </c>
      <c r="K539" s="1204" t="s">
        <v>1584</v>
      </c>
      <c r="L539" s="1204" t="s">
        <v>1585</v>
      </c>
      <c r="M539" s="1350">
        <v>151</v>
      </c>
      <c r="N539" s="1259" t="s">
        <v>7</v>
      </c>
      <c r="O539" s="1257">
        <v>38265697</v>
      </c>
      <c r="P539" s="1258">
        <f>SUM(O539:O544)</f>
        <v>148304257</v>
      </c>
      <c r="Q539" s="1265">
        <f>P539+P545+P546+P548+P550+P551</f>
        <v>635419318</v>
      </c>
      <c r="R539" s="1132">
        <v>40681</v>
      </c>
      <c r="S539" s="386"/>
      <c r="T539" s="386"/>
      <c r="U539" s="386"/>
      <c r="V539" s="1258">
        <v>38221476</v>
      </c>
      <c r="W539" s="1119">
        <f>SUM(V539:V551)</f>
        <v>629172341</v>
      </c>
      <c r="X539" s="1011"/>
      <c r="Y539" s="392" t="s">
        <v>1586</v>
      </c>
      <c r="Z539" s="386">
        <v>108524326</v>
      </c>
      <c r="AA539" s="43">
        <v>-43409730</v>
      </c>
      <c r="AB539" s="386">
        <f>SUM(Z539:AA539)</f>
        <v>65114596</v>
      </c>
      <c r="AC539" s="426">
        <v>40830</v>
      </c>
      <c r="AD539" s="415">
        <v>7567186</v>
      </c>
      <c r="AE539" s="1257">
        <f>SUM(AD539:AD540)</f>
        <v>11011296</v>
      </c>
      <c r="AF539" s="1256">
        <f>SUM(AE539:AE544)</f>
        <v>148117963</v>
      </c>
      <c r="AG539" s="1256">
        <f>AF539+AF545+AF546+AF548</f>
        <v>486550308.13999999</v>
      </c>
      <c r="AH539" s="386"/>
      <c r="AI539" s="1257">
        <f>O539-AE539</f>
        <v>27254401</v>
      </c>
      <c r="AJ539" s="1224">
        <f>Z539+Z540+Z541+Z550-AG539</f>
        <v>142621902.86000001</v>
      </c>
      <c r="AK539" s="423">
        <f>P539-V539-V541</f>
        <v>186294</v>
      </c>
      <c r="AL539" s="1224">
        <f>W539-Z539-Z540-Z541-Z550</f>
        <v>130</v>
      </c>
      <c r="AM539" s="1119">
        <f>AK539+AK545+AK546+AL539</f>
        <v>6246942</v>
      </c>
      <c r="AN539" s="1204"/>
      <c r="AO539" s="392" t="s">
        <v>1587</v>
      </c>
      <c r="AP539" s="1103" t="s">
        <v>195</v>
      </c>
      <c r="AQ539" s="1103" t="s">
        <v>1563</v>
      </c>
    </row>
    <row r="540" spans="1:43" s="24" customFormat="1" ht="63">
      <c r="A540" s="1204"/>
      <c r="B540" s="1171"/>
      <c r="C540" s="1204"/>
      <c r="D540" s="1204"/>
      <c r="E540" s="1204"/>
      <c r="F540" s="1204"/>
      <c r="G540" s="1204"/>
      <c r="H540" s="1204"/>
      <c r="I540" s="1204"/>
      <c r="J540" s="1274"/>
      <c r="K540" s="1204"/>
      <c r="L540" s="1204"/>
      <c r="M540" s="1350"/>
      <c r="N540" s="1259"/>
      <c r="O540" s="1257"/>
      <c r="P540" s="1258"/>
      <c r="Q540" s="1266"/>
      <c r="R540" s="1104"/>
      <c r="S540" s="386"/>
      <c r="T540" s="386"/>
      <c r="U540" s="386"/>
      <c r="V540" s="1258"/>
      <c r="W540" s="1119"/>
      <c r="X540" s="1033"/>
      <c r="Y540" s="392" t="s">
        <v>1588</v>
      </c>
      <c r="Z540" s="386">
        <v>139868824</v>
      </c>
      <c r="AA540" s="386">
        <v>-5451170</v>
      </c>
      <c r="AB540" s="386">
        <f>Z540+AA540</f>
        <v>134417654</v>
      </c>
      <c r="AC540" s="426">
        <v>41241</v>
      </c>
      <c r="AD540" s="415">
        <v>3444110</v>
      </c>
      <c r="AE540" s="1257"/>
      <c r="AF540" s="1256"/>
      <c r="AG540" s="1256"/>
      <c r="AH540" s="386"/>
      <c r="AI540" s="1257"/>
      <c r="AJ540" s="1224"/>
      <c r="AK540" s="386"/>
      <c r="AL540" s="1224"/>
      <c r="AM540" s="1119"/>
      <c r="AN540" s="1204"/>
      <c r="AO540" s="1204" t="s">
        <v>1589</v>
      </c>
      <c r="AP540" s="1104"/>
      <c r="AQ540" s="1104"/>
    </row>
    <row r="541" spans="1:43" s="24" customFormat="1" ht="63">
      <c r="A541" s="1204"/>
      <c r="B541" s="1171"/>
      <c r="C541" s="1204"/>
      <c r="D541" s="1204"/>
      <c r="E541" s="1204"/>
      <c r="F541" s="1204"/>
      <c r="G541" s="1204"/>
      <c r="H541" s="1204"/>
      <c r="I541" s="1204"/>
      <c r="J541" s="1274"/>
      <c r="K541" s="1204"/>
      <c r="L541" s="1204"/>
      <c r="M541" s="1350"/>
      <c r="N541" s="1259" t="s">
        <v>137</v>
      </c>
      <c r="O541" s="1257">
        <v>110038560</v>
      </c>
      <c r="P541" s="1258"/>
      <c r="Q541" s="1266"/>
      <c r="R541" s="1104"/>
      <c r="S541" s="386"/>
      <c r="T541" s="386"/>
      <c r="U541" s="386"/>
      <c r="V541" s="1258">
        <v>109896487</v>
      </c>
      <c r="W541" s="1119"/>
      <c r="X541" s="1033"/>
      <c r="Y541" s="392" t="s">
        <v>1590</v>
      </c>
      <c r="Z541" s="415">
        <v>367931579</v>
      </c>
      <c r="AA541" s="43">
        <v>-118999296</v>
      </c>
      <c r="AB541" s="415">
        <f>Z541+AA541</f>
        <v>248932283</v>
      </c>
      <c r="AC541" s="426">
        <v>40715</v>
      </c>
      <c r="AD541" s="415">
        <v>84717995</v>
      </c>
      <c r="AE541" s="1257">
        <f>SUM(AD541:AD544)</f>
        <v>137106667</v>
      </c>
      <c r="AF541" s="1256"/>
      <c r="AG541" s="1256"/>
      <c r="AH541" s="386"/>
      <c r="AI541" s="1119">
        <f>O541-AE541</f>
        <v>-27068107</v>
      </c>
      <c r="AJ541" s="1224"/>
      <c r="AK541" s="386"/>
      <c r="AL541" s="1224"/>
      <c r="AM541" s="1119"/>
      <c r="AN541" s="1204"/>
      <c r="AO541" s="1204"/>
      <c r="AP541" s="1104"/>
      <c r="AQ541" s="1104"/>
    </row>
    <row r="542" spans="1:43" s="24" customFormat="1" ht="63">
      <c r="A542" s="1204"/>
      <c r="B542" s="1171"/>
      <c r="C542" s="1204"/>
      <c r="D542" s="1204"/>
      <c r="E542" s="1204"/>
      <c r="F542" s="1204"/>
      <c r="G542" s="1204"/>
      <c r="H542" s="1204"/>
      <c r="I542" s="1204"/>
      <c r="J542" s="1274"/>
      <c r="K542" s="1204"/>
      <c r="L542" s="1204"/>
      <c r="M542" s="1350"/>
      <c r="N542" s="1259"/>
      <c r="O542" s="1257"/>
      <c r="P542" s="1258"/>
      <c r="Q542" s="1266"/>
      <c r="R542" s="1104"/>
      <c r="S542" s="386"/>
      <c r="T542" s="386"/>
      <c r="U542" s="386"/>
      <c r="V542" s="1258"/>
      <c r="W542" s="1119"/>
      <c r="X542" s="1033"/>
      <c r="Y542" s="392" t="s">
        <v>1590</v>
      </c>
      <c r="Z542" s="386"/>
      <c r="AA542" s="386"/>
      <c r="AB542" s="386"/>
      <c r="AC542" s="426">
        <v>40715</v>
      </c>
      <c r="AD542" s="415">
        <v>29455166</v>
      </c>
      <c r="AE542" s="1257"/>
      <c r="AF542" s="1256"/>
      <c r="AG542" s="1256"/>
      <c r="AH542" s="386"/>
      <c r="AI542" s="1119"/>
      <c r="AJ542" s="1224"/>
      <c r="AK542" s="386"/>
      <c r="AL542" s="1224"/>
      <c r="AM542" s="1119"/>
      <c r="AN542" s="1204"/>
      <c r="AO542" s="1204"/>
      <c r="AP542" s="1104"/>
      <c r="AQ542" s="1104"/>
    </row>
    <row r="543" spans="1:43" s="24" customFormat="1" ht="63">
      <c r="A543" s="1204"/>
      <c r="B543" s="1171"/>
      <c r="C543" s="1204"/>
      <c r="D543" s="1204"/>
      <c r="E543" s="1204"/>
      <c r="F543" s="1204"/>
      <c r="G543" s="1204"/>
      <c r="H543" s="1204"/>
      <c r="I543" s="1204"/>
      <c r="J543" s="1274"/>
      <c r="K543" s="1204"/>
      <c r="L543" s="1204"/>
      <c r="M543" s="1350"/>
      <c r="N543" s="1259"/>
      <c r="O543" s="1257"/>
      <c r="P543" s="1258"/>
      <c r="Q543" s="1266"/>
      <c r="R543" s="1104"/>
      <c r="S543" s="386"/>
      <c r="T543" s="386"/>
      <c r="U543" s="386"/>
      <c r="V543" s="1258"/>
      <c r="W543" s="1119"/>
      <c r="X543" s="1033"/>
      <c r="Y543" s="392" t="s">
        <v>1586</v>
      </c>
      <c r="Z543" s="386"/>
      <c r="AA543" s="386"/>
      <c r="AB543" s="386"/>
      <c r="AC543" s="426">
        <v>40830</v>
      </c>
      <c r="AD543" s="415">
        <v>21734382</v>
      </c>
      <c r="AE543" s="1257"/>
      <c r="AF543" s="1256"/>
      <c r="AG543" s="1256"/>
      <c r="AH543" s="386"/>
      <c r="AI543" s="1119"/>
      <c r="AJ543" s="1224"/>
      <c r="AK543" s="386"/>
      <c r="AL543" s="1224"/>
      <c r="AM543" s="1119"/>
      <c r="AN543" s="1204"/>
      <c r="AO543" s="392"/>
      <c r="AP543" s="1104"/>
      <c r="AQ543" s="1104"/>
    </row>
    <row r="544" spans="1:43" s="24" customFormat="1" ht="63">
      <c r="A544" s="1204"/>
      <c r="B544" s="1171"/>
      <c r="C544" s="1204"/>
      <c r="D544" s="1204"/>
      <c r="E544" s="1204"/>
      <c r="F544" s="1204"/>
      <c r="G544" s="1204"/>
      <c r="H544" s="1204"/>
      <c r="I544" s="1204"/>
      <c r="J544" s="1274"/>
      <c r="K544" s="1204"/>
      <c r="L544" s="1204"/>
      <c r="M544" s="1350"/>
      <c r="N544" s="1259"/>
      <c r="O544" s="1257"/>
      <c r="P544" s="1258"/>
      <c r="Q544" s="1266"/>
      <c r="R544" s="1105"/>
      <c r="S544" s="386"/>
      <c r="T544" s="386"/>
      <c r="U544" s="386"/>
      <c r="V544" s="1258"/>
      <c r="W544" s="1119"/>
      <c r="X544" s="1033"/>
      <c r="Y544" s="392" t="s">
        <v>1588</v>
      </c>
      <c r="Z544" s="386"/>
      <c r="AA544" s="386"/>
      <c r="AB544" s="386"/>
      <c r="AC544" s="426">
        <v>41241</v>
      </c>
      <c r="AD544" s="415">
        <v>1199124</v>
      </c>
      <c r="AE544" s="1257"/>
      <c r="AF544" s="1256"/>
      <c r="AG544" s="1256"/>
      <c r="AH544" s="386"/>
      <c r="AI544" s="1119"/>
      <c r="AJ544" s="1224"/>
      <c r="AK544" s="386"/>
      <c r="AL544" s="1224"/>
      <c r="AM544" s="1119"/>
      <c r="AN544" s="1204"/>
      <c r="AO544" s="392" t="s">
        <v>1591</v>
      </c>
      <c r="AP544" s="1104"/>
      <c r="AQ544" s="1104"/>
    </row>
    <row r="545" spans="1:43" s="24" customFormat="1" ht="63">
      <c r="A545" s="1204"/>
      <c r="B545" s="1171"/>
      <c r="C545" s="1204"/>
      <c r="D545" s="1204"/>
      <c r="E545" s="1204"/>
      <c r="F545" s="1204"/>
      <c r="G545" s="1204"/>
      <c r="H545" s="1204"/>
      <c r="I545" s="1204"/>
      <c r="J545" s="1274"/>
      <c r="K545" s="1204"/>
      <c r="L545" s="1204"/>
      <c r="M545" s="422">
        <v>1</v>
      </c>
      <c r="N545" s="392" t="s">
        <v>157</v>
      </c>
      <c r="O545" s="415">
        <v>98628079</v>
      </c>
      <c r="P545" s="416">
        <f>O545</f>
        <v>98628079</v>
      </c>
      <c r="Q545" s="1266"/>
      <c r="R545" s="396">
        <v>40445</v>
      </c>
      <c r="S545" s="386"/>
      <c r="T545" s="386"/>
      <c r="U545" s="386"/>
      <c r="V545" s="416">
        <v>93017358</v>
      </c>
      <c r="W545" s="1119"/>
      <c r="X545" s="1033"/>
      <c r="Y545" s="392" t="s">
        <v>1592</v>
      </c>
      <c r="Z545" s="386"/>
      <c r="AA545" s="415">
        <v>167860196</v>
      </c>
      <c r="AB545" s="386">
        <f>AA545</f>
        <v>167860196</v>
      </c>
      <c r="AC545" s="426">
        <v>40554</v>
      </c>
      <c r="AD545" s="415">
        <v>93017358</v>
      </c>
      <c r="AE545" s="415">
        <f>AD545</f>
        <v>93017358</v>
      </c>
      <c r="AF545" s="415">
        <f>AE545</f>
        <v>93017358</v>
      </c>
      <c r="AG545" s="1256"/>
      <c r="AH545" s="386"/>
      <c r="AI545" s="415">
        <f>O545-AE545</f>
        <v>5610721</v>
      </c>
      <c r="AJ545" s="1224"/>
      <c r="AK545" s="423">
        <f>P545-V545</f>
        <v>5610721</v>
      </c>
      <c r="AL545" s="1224"/>
      <c r="AM545" s="1119"/>
      <c r="AN545" s="1204"/>
      <c r="AO545" s="392"/>
      <c r="AP545" s="1104"/>
      <c r="AQ545" s="1104"/>
    </row>
    <row r="546" spans="1:43" s="24" customFormat="1" ht="63">
      <c r="A546" s="1204"/>
      <c r="B546" s="1171"/>
      <c r="C546" s="1204"/>
      <c r="D546" s="1204"/>
      <c r="E546" s="1204"/>
      <c r="F546" s="1204"/>
      <c r="G546" s="1204"/>
      <c r="H546" s="1204"/>
      <c r="I546" s="1204"/>
      <c r="J546" s="1274"/>
      <c r="K546" s="1204"/>
      <c r="L546" s="1204"/>
      <c r="M546" s="1285">
        <v>2</v>
      </c>
      <c r="N546" s="1259" t="s">
        <v>157</v>
      </c>
      <c r="O546" s="1257">
        <v>175067821</v>
      </c>
      <c r="P546" s="1258">
        <f>O546</f>
        <v>175067821</v>
      </c>
      <c r="Q546" s="1266"/>
      <c r="R546" s="1132">
        <v>40681</v>
      </c>
      <c r="S546" s="386"/>
      <c r="T546" s="386"/>
      <c r="U546" s="386"/>
      <c r="V546" s="1258">
        <v>174618024</v>
      </c>
      <c r="W546" s="1119"/>
      <c r="X546" s="1033"/>
      <c r="Y546" s="392" t="s">
        <v>1590</v>
      </c>
      <c r="Z546" s="386"/>
      <c r="AA546" s="386"/>
      <c r="AB546" s="386"/>
      <c r="AC546" s="426">
        <v>40715</v>
      </c>
      <c r="AD546" s="415">
        <v>134759121.13999999</v>
      </c>
      <c r="AE546" s="1258">
        <f>SUM(AD546:AD547)</f>
        <v>170572149.13999999</v>
      </c>
      <c r="AF546" s="1258">
        <f>SUM(AE546:AE547)</f>
        <v>170572149.13999999</v>
      </c>
      <c r="AG546" s="1256"/>
      <c r="AH546" s="386"/>
      <c r="AI546" s="1258">
        <f>O546-AE546</f>
        <v>4495671.8600000143</v>
      </c>
      <c r="AJ546" s="1224"/>
      <c r="AK546" s="423">
        <f>P546-V546</f>
        <v>449797</v>
      </c>
      <c r="AL546" s="1224"/>
      <c r="AM546" s="1119"/>
      <c r="AN546" s="1204"/>
      <c r="AO546" s="392"/>
      <c r="AP546" s="1104"/>
      <c r="AQ546" s="1104"/>
    </row>
    <row r="547" spans="1:43" s="24" customFormat="1" ht="63">
      <c r="A547" s="1204"/>
      <c r="B547" s="1171"/>
      <c r="C547" s="1204"/>
      <c r="D547" s="1204"/>
      <c r="E547" s="1204"/>
      <c r="F547" s="1204"/>
      <c r="G547" s="1204"/>
      <c r="H547" s="1204"/>
      <c r="I547" s="1204"/>
      <c r="J547" s="1274"/>
      <c r="K547" s="1204"/>
      <c r="L547" s="1204"/>
      <c r="M547" s="1285"/>
      <c r="N547" s="1259"/>
      <c r="O547" s="1257"/>
      <c r="P547" s="1258"/>
      <c r="Q547" s="1266"/>
      <c r="R547" s="1105"/>
      <c r="S547" s="386"/>
      <c r="T547" s="386"/>
      <c r="U547" s="386"/>
      <c r="V547" s="1258"/>
      <c r="W547" s="1119"/>
      <c r="X547" s="1033"/>
      <c r="Y547" s="392" t="s">
        <v>1586</v>
      </c>
      <c r="Z547" s="386"/>
      <c r="AA547" s="386"/>
      <c r="AB547" s="386"/>
      <c r="AC547" s="426">
        <v>40830</v>
      </c>
      <c r="AD547" s="415">
        <v>35813028</v>
      </c>
      <c r="AE547" s="1258"/>
      <c r="AF547" s="1258"/>
      <c r="AG547" s="1256"/>
      <c r="AH547" s="386"/>
      <c r="AI547" s="1258"/>
      <c r="AJ547" s="1224"/>
      <c r="AK547" s="386"/>
      <c r="AL547" s="1224"/>
      <c r="AM547" s="1119"/>
      <c r="AN547" s="1204"/>
      <c r="AO547" s="392" t="s">
        <v>1593</v>
      </c>
      <c r="AP547" s="1104"/>
      <c r="AQ547" s="1104"/>
    </row>
    <row r="548" spans="1:43" s="24" customFormat="1" ht="63">
      <c r="A548" s="1204"/>
      <c r="B548" s="1171"/>
      <c r="C548" s="1204"/>
      <c r="D548" s="1204"/>
      <c r="E548" s="1204"/>
      <c r="F548" s="1204"/>
      <c r="G548" s="1204"/>
      <c r="H548" s="1204"/>
      <c r="I548" s="1204"/>
      <c r="J548" s="1204" t="s">
        <v>67</v>
      </c>
      <c r="K548" s="1204"/>
      <c r="L548" s="1204"/>
      <c r="M548" s="1285">
        <v>119</v>
      </c>
      <c r="N548" s="424" t="s">
        <v>137</v>
      </c>
      <c r="O548" s="415">
        <v>40370720</v>
      </c>
      <c r="P548" s="1258">
        <f>SUM(O548:O549)</f>
        <v>74842838</v>
      </c>
      <c r="Q548" s="1266"/>
      <c r="R548" s="1132">
        <v>40441</v>
      </c>
      <c r="S548" s="386"/>
      <c r="T548" s="386"/>
      <c r="U548" s="386"/>
      <c r="V548" s="416">
        <f>O548</f>
        <v>40370720</v>
      </c>
      <c r="W548" s="1119"/>
      <c r="X548" s="1033"/>
      <c r="Y548" s="392" t="s">
        <v>1592</v>
      </c>
      <c r="Z548" s="386"/>
      <c r="AA548" s="386"/>
      <c r="AB548" s="386"/>
      <c r="AC548" s="426">
        <v>40554</v>
      </c>
      <c r="AD548" s="415">
        <v>40370720</v>
      </c>
      <c r="AE548" s="415">
        <f>AD548</f>
        <v>40370720</v>
      </c>
      <c r="AF548" s="1258">
        <f>SUM(AE548:AE549)</f>
        <v>74842838</v>
      </c>
      <c r="AG548" s="1256"/>
      <c r="AH548" s="386"/>
      <c r="AI548" s="415">
        <f>O548-AE548</f>
        <v>0</v>
      </c>
      <c r="AJ548" s="1224"/>
      <c r="AK548" s="386"/>
      <c r="AL548" s="1224"/>
      <c r="AM548" s="1119"/>
      <c r="AN548" s="1204"/>
      <c r="AO548" s="392"/>
      <c r="AP548" s="1104"/>
      <c r="AQ548" s="1104"/>
    </row>
    <row r="549" spans="1:43" s="24" customFormat="1" ht="63">
      <c r="A549" s="1204"/>
      <c r="B549" s="1171"/>
      <c r="C549" s="1204"/>
      <c r="D549" s="1204"/>
      <c r="E549" s="1204"/>
      <c r="F549" s="1204"/>
      <c r="G549" s="1204"/>
      <c r="H549" s="1204"/>
      <c r="I549" s="1204"/>
      <c r="J549" s="1204"/>
      <c r="K549" s="1204"/>
      <c r="L549" s="1204"/>
      <c r="M549" s="1285"/>
      <c r="N549" s="424" t="s">
        <v>7</v>
      </c>
      <c r="O549" s="415">
        <v>34472118</v>
      </c>
      <c r="P549" s="1258"/>
      <c r="Q549" s="1266"/>
      <c r="R549" s="1105"/>
      <c r="S549" s="386"/>
      <c r="T549" s="386"/>
      <c r="U549" s="386"/>
      <c r="V549" s="416">
        <f>O549</f>
        <v>34472118</v>
      </c>
      <c r="W549" s="1119"/>
      <c r="X549" s="1033"/>
      <c r="Y549" s="392" t="s">
        <v>1592</v>
      </c>
      <c r="Z549" s="386"/>
      <c r="AA549" s="386"/>
      <c r="AB549" s="386"/>
      <c r="AC549" s="426">
        <v>40554</v>
      </c>
      <c r="AD549" s="415">
        <v>34472118</v>
      </c>
      <c r="AE549" s="415">
        <f>AD549</f>
        <v>34472118</v>
      </c>
      <c r="AF549" s="1258"/>
      <c r="AG549" s="1256"/>
      <c r="AH549" s="386"/>
      <c r="AI549" s="415">
        <f>O549-AE549</f>
        <v>0</v>
      </c>
      <c r="AJ549" s="1224"/>
      <c r="AK549" s="386"/>
      <c r="AL549" s="1224"/>
      <c r="AM549" s="1119"/>
      <c r="AN549" s="1204"/>
      <c r="AO549" s="392"/>
      <c r="AP549" s="1104"/>
      <c r="AQ549" s="1104"/>
    </row>
    <row r="550" spans="1:43" s="24" customFormat="1" ht="31.5">
      <c r="A550" s="1204"/>
      <c r="B550" s="1171"/>
      <c r="C550" s="1204"/>
      <c r="D550" s="1204"/>
      <c r="E550" s="1204"/>
      <c r="F550" s="1204"/>
      <c r="G550" s="1204"/>
      <c r="H550" s="1204"/>
      <c r="I550" s="1204"/>
      <c r="J550" s="1204"/>
      <c r="K550" s="1204"/>
      <c r="L550" s="1204"/>
      <c r="M550" s="422">
        <v>6</v>
      </c>
      <c r="N550" s="392" t="s">
        <v>157</v>
      </c>
      <c r="O550" s="415">
        <v>12032741</v>
      </c>
      <c r="P550" s="416">
        <f>O550</f>
        <v>12032741</v>
      </c>
      <c r="Q550" s="1266"/>
      <c r="R550" s="396">
        <v>41009</v>
      </c>
      <c r="S550" s="386"/>
      <c r="T550" s="386"/>
      <c r="U550" s="386"/>
      <c r="V550" s="416">
        <f>12032741-165</f>
        <v>12032576</v>
      </c>
      <c r="W550" s="1119"/>
      <c r="X550" s="1033"/>
      <c r="Y550" s="392" t="s">
        <v>1594</v>
      </c>
      <c r="Z550" s="415">
        <v>12847482</v>
      </c>
      <c r="AA550" s="386"/>
      <c r="AB550" s="386"/>
      <c r="AC550" s="392"/>
      <c r="AD550" s="386">
        <v>0</v>
      </c>
      <c r="AE550" s="386"/>
      <c r="AF550" s="386"/>
      <c r="AG550" s="386"/>
      <c r="AH550" s="386"/>
      <c r="AI550" s="415">
        <f>O550-AE550</f>
        <v>12032741</v>
      </c>
      <c r="AJ550" s="1224"/>
      <c r="AK550" s="386"/>
      <c r="AL550" s="1224"/>
      <c r="AM550" s="1119"/>
      <c r="AN550" s="1204"/>
      <c r="AO550" s="392"/>
      <c r="AP550" s="1104"/>
      <c r="AQ550" s="1104"/>
    </row>
    <row r="551" spans="1:43" s="24" customFormat="1" ht="31.5">
      <c r="A551" s="1204"/>
      <c r="B551" s="1171"/>
      <c r="C551" s="1204"/>
      <c r="D551" s="1204"/>
      <c r="E551" s="1204"/>
      <c r="F551" s="1204"/>
      <c r="G551" s="1204"/>
      <c r="H551" s="1204"/>
      <c r="I551" s="1204"/>
      <c r="J551" s="1204"/>
      <c r="K551" s="1204"/>
      <c r="L551" s="1204"/>
      <c r="M551" s="404">
        <v>4</v>
      </c>
      <c r="N551" s="392" t="s">
        <v>157</v>
      </c>
      <c r="O551" s="386">
        <v>126543582</v>
      </c>
      <c r="P551" s="416">
        <f>O551</f>
        <v>126543582</v>
      </c>
      <c r="Q551" s="1267"/>
      <c r="R551" s="384">
        <v>40921</v>
      </c>
      <c r="S551" s="386"/>
      <c r="T551" s="386"/>
      <c r="U551" s="386"/>
      <c r="V551" s="416">
        <v>126543582</v>
      </c>
      <c r="W551" s="1119"/>
      <c r="X551" s="1012"/>
      <c r="Y551" s="372"/>
      <c r="Z551" s="386"/>
      <c r="AA551" s="386"/>
      <c r="AB551" s="386"/>
      <c r="AC551" s="384"/>
      <c r="AD551" s="395"/>
      <c r="AE551" s="395"/>
      <c r="AF551" s="395"/>
      <c r="AG551" s="395"/>
      <c r="AH551" s="395"/>
      <c r="AI551" s="415">
        <f>O551-AE551</f>
        <v>126543582</v>
      </c>
      <c r="AJ551" s="1224"/>
      <c r="AK551" s="386"/>
      <c r="AL551" s="1224"/>
      <c r="AM551" s="1119"/>
      <c r="AN551" s="1204"/>
      <c r="AO551" s="392"/>
      <c r="AP551" s="1105"/>
      <c r="AQ551" s="1105"/>
    </row>
    <row r="552" spans="1:43" ht="78" customHeight="1">
      <c r="A552" s="1076" t="s">
        <v>707</v>
      </c>
      <c r="B552" s="1171">
        <v>40449</v>
      </c>
      <c r="C552" s="1076" t="s">
        <v>9</v>
      </c>
      <c r="D552" s="1076" t="s">
        <v>708</v>
      </c>
      <c r="E552" s="1252">
        <v>900384816</v>
      </c>
      <c r="F552" s="1252">
        <v>5</v>
      </c>
      <c r="G552" s="1076" t="s">
        <v>709</v>
      </c>
      <c r="H552" s="1076" t="s">
        <v>70</v>
      </c>
      <c r="I552" s="1076" t="s">
        <v>177</v>
      </c>
      <c r="J552" s="1076" t="s">
        <v>66</v>
      </c>
      <c r="K552" s="1076" t="s">
        <v>49</v>
      </c>
      <c r="L552" s="1076" t="s">
        <v>718</v>
      </c>
      <c r="M552" s="1251">
        <v>3</v>
      </c>
      <c r="N552" s="1123" t="s">
        <v>129</v>
      </c>
      <c r="O552" s="1119">
        <v>17813162</v>
      </c>
      <c r="P552" s="1119">
        <f>O552</f>
        <v>17813162</v>
      </c>
      <c r="Q552" s="1119">
        <f>P552+P554+P558+P560+P564+P566+P567+P568</f>
        <v>218803979</v>
      </c>
      <c r="R552" s="1171">
        <v>40686</v>
      </c>
      <c r="S552" s="1196">
        <f>T552</f>
        <v>17813162</v>
      </c>
      <c r="T552" s="1119">
        <v>17813162</v>
      </c>
      <c r="U552" s="1119">
        <f>O552-T552</f>
        <v>0</v>
      </c>
      <c r="V552" s="1119">
        <v>17813162</v>
      </c>
      <c r="W552" s="1119">
        <f>172688384+43498198</f>
        <v>216186582</v>
      </c>
      <c r="X552" s="1076" t="s">
        <v>710</v>
      </c>
      <c r="Y552" s="372" t="s">
        <v>711</v>
      </c>
      <c r="Z552" s="386">
        <v>0</v>
      </c>
      <c r="AA552" s="386">
        <v>7125264.8000000007</v>
      </c>
      <c r="AB552" s="386">
        <f t="shared" si="32"/>
        <v>7125264.8000000007</v>
      </c>
      <c r="AC552" s="384">
        <v>40494</v>
      </c>
      <c r="AD552" s="395">
        <v>7125265</v>
      </c>
      <c r="AE552" s="395" t="s">
        <v>129</v>
      </c>
      <c r="AF552" s="1084">
        <f>SUM(AD552:AD553)</f>
        <v>16031701.539999999</v>
      </c>
      <c r="AG552" s="1084">
        <f>AF552+AF554+AF558+AF560+AF564+AF566+AF567+AF568</f>
        <v>155419547.53999999</v>
      </c>
      <c r="AH552" s="358">
        <f t="shared" si="33"/>
        <v>-0.19999999925494194</v>
      </c>
      <c r="AI552" s="1084">
        <f>O552-AD552-AD553</f>
        <v>1781460.4600000009</v>
      </c>
      <c r="AJ552" s="1119">
        <f>SUM(Z552:Z553)-SUM(AD552:AD553)</f>
        <v>-1177835.5399999991</v>
      </c>
      <c r="AK552" s="1119">
        <f>P552-V552</f>
        <v>0</v>
      </c>
      <c r="AL552" s="1119">
        <f>V552-Z552-Z553+AJ552</f>
        <v>1781460.4600000009</v>
      </c>
      <c r="AM552" s="1119"/>
      <c r="AN552" s="1203" t="s">
        <v>719</v>
      </c>
      <c r="AO552" s="1204" t="s">
        <v>773</v>
      </c>
      <c r="AP552" s="1204" t="s">
        <v>194</v>
      </c>
      <c r="AQ552" s="1204" t="s">
        <v>558</v>
      </c>
    </row>
    <row r="553" spans="1:43" ht="47.25">
      <c r="A553" s="1076"/>
      <c r="B553" s="1171"/>
      <c r="C553" s="1076"/>
      <c r="D553" s="1076"/>
      <c r="E553" s="1252"/>
      <c r="F553" s="1252"/>
      <c r="G553" s="1076"/>
      <c r="H553" s="1076"/>
      <c r="I553" s="1076"/>
      <c r="J553" s="1076"/>
      <c r="K553" s="1076"/>
      <c r="L553" s="1076"/>
      <c r="M553" s="1251"/>
      <c r="N553" s="1123"/>
      <c r="O553" s="1119"/>
      <c r="P553" s="1119"/>
      <c r="Q553" s="1119"/>
      <c r="R553" s="1171"/>
      <c r="S553" s="1196"/>
      <c r="T553" s="1119"/>
      <c r="U553" s="1119"/>
      <c r="V553" s="1119"/>
      <c r="W553" s="1119"/>
      <c r="X553" s="1076"/>
      <c r="Y553" s="372" t="s">
        <v>716</v>
      </c>
      <c r="Z553" s="386">
        <v>14853866</v>
      </c>
      <c r="AA553" s="386">
        <v>-5947428.9199999999</v>
      </c>
      <c r="AB553" s="386">
        <f t="shared" si="32"/>
        <v>8906437.0800000001</v>
      </c>
      <c r="AC553" s="384">
        <v>40913</v>
      </c>
      <c r="AD553" s="395">
        <v>8906436.5399999991</v>
      </c>
      <c r="AE553" s="395" t="s">
        <v>129</v>
      </c>
      <c r="AF553" s="1084"/>
      <c r="AG553" s="1084"/>
      <c r="AH553" s="358">
        <f t="shared" si="33"/>
        <v>0.54000000096857548</v>
      </c>
      <c r="AI553" s="1084"/>
      <c r="AJ553" s="1119"/>
      <c r="AK553" s="1119"/>
      <c r="AL553" s="1119"/>
      <c r="AM553" s="1119"/>
      <c r="AN553" s="1203"/>
      <c r="AO553" s="1204"/>
      <c r="AP553" s="1204"/>
      <c r="AQ553" s="1204"/>
    </row>
    <row r="554" spans="1:43" ht="40.5" customHeight="1">
      <c r="A554" s="1076"/>
      <c r="B554" s="1171"/>
      <c r="C554" s="1076"/>
      <c r="D554" s="1076"/>
      <c r="E554" s="1252"/>
      <c r="F554" s="1252"/>
      <c r="G554" s="1076"/>
      <c r="H554" s="1076"/>
      <c r="I554" s="1076"/>
      <c r="J554" s="1076"/>
      <c r="K554" s="1076"/>
      <c r="L554" s="1076"/>
      <c r="M554" s="1251">
        <v>156</v>
      </c>
      <c r="N554" s="372" t="s">
        <v>7</v>
      </c>
      <c r="O554" s="386">
        <v>4682489</v>
      </c>
      <c r="P554" s="1119">
        <f>O554+O555</f>
        <v>12428492</v>
      </c>
      <c r="Q554" s="1119"/>
      <c r="R554" s="1171">
        <v>40686</v>
      </c>
      <c r="S554" s="1196">
        <f>T554+T555</f>
        <v>12428492</v>
      </c>
      <c r="T554" s="386">
        <v>4682489</v>
      </c>
      <c r="U554" s="386">
        <f>O554-T554</f>
        <v>0</v>
      </c>
      <c r="V554" s="386">
        <v>4682489</v>
      </c>
      <c r="W554" s="1119"/>
      <c r="X554" s="1076"/>
      <c r="Y554" s="1123" t="s">
        <v>712</v>
      </c>
      <c r="Z554" s="386">
        <v>0</v>
      </c>
      <c r="AA554" s="386">
        <v>3098401.2</v>
      </c>
      <c r="AB554" s="386">
        <f t="shared" ref="AB554:AB602" si="34">Z554+AA554</f>
        <v>3098401.2</v>
      </c>
      <c r="AC554" s="1171">
        <v>40717</v>
      </c>
      <c r="AD554" s="395">
        <v>3098401</v>
      </c>
      <c r="AE554" s="395" t="s">
        <v>137</v>
      </c>
      <c r="AF554" s="1084">
        <f>SUM(AD554:AD557)</f>
        <v>11185543</v>
      </c>
      <c r="AG554" s="1084"/>
      <c r="AH554" s="358">
        <f t="shared" ref="AH554:AH601" si="35">AB554-AD554</f>
        <v>0.20000000018626451</v>
      </c>
      <c r="AI554" s="358">
        <f>O554-AD555</f>
        <v>2809493</v>
      </c>
      <c r="AJ554" s="1119">
        <f>SUM(Z554:Z557)-SUM(AD554:AD557)</f>
        <v>-838438</v>
      </c>
      <c r="AK554" s="1119">
        <f>P554-V554-V555</f>
        <v>0</v>
      </c>
      <c r="AL554" s="1119">
        <f>AL149</f>
        <v>0</v>
      </c>
      <c r="AM554" s="1119"/>
      <c r="AN554" s="1203"/>
      <c r="AO554" s="1204"/>
      <c r="AP554" s="1204"/>
      <c r="AQ554" s="1204"/>
    </row>
    <row r="555" spans="1:43" ht="41.25" customHeight="1">
      <c r="A555" s="1076"/>
      <c r="B555" s="1171"/>
      <c r="C555" s="1076"/>
      <c r="D555" s="1076"/>
      <c r="E555" s="1252"/>
      <c r="F555" s="1252"/>
      <c r="G555" s="1076"/>
      <c r="H555" s="1076"/>
      <c r="I555" s="1076"/>
      <c r="J555" s="1076"/>
      <c r="K555" s="1076"/>
      <c r="L555" s="1076"/>
      <c r="M555" s="1251"/>
      <c r="N555" s="1123" t="s">
        <v>137</v>
      </c>
      <c r="O555" s="1119">
        <v>7746003</v>
      </c>
      <c r="P555" s="1119"/>
      <c r="Q555" s="1119"/>
      <c r="R555" s="1171"/>
      <c r="S555" s="1196"/>
      <c r="T555" s="1119">
        <v>7746003</v>
      </c>
      <c r="U555" s="1119">
        <f>O555-T555</f>
        <v>0</v>
      </c>
      <c r="V555" s="1119">
        <v>7746003</v>
      </c>
      <c r="W555" s="1119"/>
      <c r="X555" s="1076"/>
      <c r="Y555" s="1123"/>
      <c r="Z555" s="386">
        <v>0</v>
      </c>
      <c r="AA555" s="386">
        <v>1872995.6</v>
      </c>
      <c r="AB555" s="386">
        <f t="shared" si="34"/>
        <v>1872995.6</v>
      </c>
      <c r="AC555" s="1171"/>
      <c r="AD555" s="395">
        <v>1872996</v>
      </c>
      <c r="AE555" s="395" t="s">
        <v>7</v>
      </c>
      <c r="AF555" s="1084"/>
      <c r="AG555" s="1084"/>
      <c r="AH555" s="358">
        <f t="shared" si="35"/>
        <v>-0.39999999990686774</v>
      </c>
      <c r="AI555" s="1084">
        <f>O555-AD554-AD556-AD557</f>
        <v>-1566544</v>
      </c>
      <c r="AJ555" s="1119"/>
      <c r="AK555" s="1119"/>
      <c r="AL555" s="1119"/>
      <c r="AM555" s="1119"/>
      <c r="AN555" s="1203"/>
      <c r="AO555" s="1204"/>
      <c r="AP555" s="1204"/>
      <c r="AQ555" s="1204"/>
    </row>
    <row r="556" spans="1:43" ht="31.5" customHeight="1">
      <c r="A556" s="1076"/>
      <c r="B556" s="1171"/>
      <c r="C556" s="1076"/>
      <c r="D556" s="1076"/>
      <c r="E556" s="1252"/>
      <c r="F556" s="1252"/>
      <c r="G556" s="1076"/>
      <c r="H556" s="1076"/>
      <c r="I556" s="1076"/>
      <c r="J556" s="1076"/>
      <c r="K556" s="1076"/>
      <c r="L556" s="1076"/>
      <c r="M556" s="1251"/>
      <c r="N556" s="1123"/>
      <c r="O556" s="1119"/>
      <c r="P556" s="1119"/>
      <c r="Q556" s="1119"/>
      <c r="R556" s="1171"/>
      <c r="S556" s="1196"/>
      <c r="T556" s="1119"/>
      <c r="U556" s="1119"/>
      <c r="V556" s="1119"/>
      <c r="W556" s="1119"/>
      <c r="X556" s="1076"/>
      <c r="Y556" s="1123" t="s">
        <v>716</v>
      </c>
      <c r="Z556" s="386">
        <v>6493840</v>
      </c>
      <c r="AA556" s="386">
        <v>-2620900.88</v>
      </c>
      <c r="AB556" s="386">
        <f t="shared" si="34"/>
        <v>3872939.12</v>
      </c>
      <c r="AC556" s="1171">
        <v>40913</v>
      </c>
      <c r="AD556" s="395">
        <v>3872939</v>
      </c>
      <c r="AE556" s="395" t="s">
        <v>137</v>
      </c>
      <c r="AF556" s="1084"/>
      <c r="AG556" s="1084"/>
      <c r="AH556" s="358">
        <f t="shared" si="35"/>
        <v>0.12000000011175871</v>
      </c>
      <c r="AI556" s="1084"/>
      <c r="AJ556" s="1119"/>
      <c r="AK556" s="1119"/>
      <c r="AL556" s="1119"/>
      <c r="AM556" s="1119"/>
      <c r="AN556" s="1203"/>
      <c r="AO556" s="1204"/>
      <c r="AP556" s="1204"/>
      <c r="AQ556" s="1204"/>
    </row>
    <row r="557" spans="1:43" ht="23.25" customHeight="1">
      <c r="A557" s="1076"/>
      <c r="B557" s="1171"/>
      <c r="C557" s="1076"/>
      <c r="D557" s="1076"/>
      <c r="E557" s="1252"/>
      <c r="F557" s="1252"/>
      <c r="G557" s="1076"/>
      <c r="H557" s="1076"/>
      <c r="I557" s="1076"/>
      <c r="J557" s="1076"/>
      <c r="K557" s="1076"/>
      <c r="L557" s="1076"/>
      <c r="M557" s="1251"/>
      <c r="N557" s="1123"/>
      <c r="O557" s="1119"/>
      <c r="P557" s="1119"/>
      <c r="Q557" s="1119"/>
      <c r="R557" s="1171"/>
      <c r="S557" s="1196"/>
      <c r="T557" s="1119"/>
      <c r="U557" s="1119"/>
      <c r="V557" s="1119"/>
      <c r="W557" s="1119"/>
      <c r="X557" s="1076"/>
      <c r="Y557" s="1123"/>
      <c r="Z557" s="386">
        <v>3853265</v>
      </c>
      <c r="AA557" s="386">
        <v>-1512058.2</v>
      </c>
      <c r="AB557" s="386">
        <f t="shared" si="34"/>
        <v>2341206.7999999998</v>
      </c>
      <c r="AC557" s="1171"/>
      <c r="AD557" s="395">
        <v>2341207</v>
      </c>
      <c r="AE557" s="395" t="s">
        <v>137</v>
      </c>
      <c r="AF557" s="1084"/>
      <c r="AG557" s="1084"/>
      <c r="AH557" s="358">
        <f t="shared" si="35"/>
        <v>-0.20000000018626451</v>
      </c>
      <c r="AI557" s="1084"/>
      <c r="AJ557" s="1119"/>
      <c r="AK557" s="1119"/>
      <c r="AL557" s="1119"/>
      <c r="AM557" s="1119"/>
      <c r="AN557" s="1203"/>
      <c r="AO557" s="1204"/>
      <c r="AP557" s="1204"/>
      <c r="AQ557" s="1204"/>
    </row>
    <row r="558" spans="1:43" ht="63">
      <c r="A558" s="1076"/>
      <c r="B558" s="1171"/>
      <c r="C558" s="1076" t="s">
        <v>22</v>
      </c>
      <c r="D558" s="1076"/>
      <c r="E558" s="1252"/>
      <c r="F558" s="1252"/>
      <c r="G558" s="1076"/>
      <c r="H558" s="1076"/>
      <c r="I558" s="1076"/>
      <c r="J558" s="1076"/>
      <c r="K558" s="1076"/>
      <c r="L558" s="1076"/>
      <c r="M558" s="1251">
        <v>3</v>
      </c>
      <c r="N558" s="1123" t="s">
        <v>145</v>
      </c>
      <c r="O558" s="1119">
        <v>105336687</v>
      </c>
      <c r="P558" s="1119">
        <f>O558</f>
        <v>105336687</v>
      </c>
      <c r="Q558" s="1119"/>
      <c r="R558" s="1171">
        <v>40686</v>
      </c>
      <c r="S558" s="1196">
        <f>T558</f>
        <v>105336687</v>
      </c>
      <c r="T558" s="1119">
        <v>105336687</v>
      </c>
      <c r="U558" s="1119">
        <f>O558-T558</f>
        <v>0</v>
      </c>
      <c r="V558" s="1119">
        <v>102719290</v>
      </c>
      <c r="W558" s="1119"/>
      <c r="X558" s="1076"/>
      <c r="Y558" s="372" t="s">
        <v>713</v>
      </c>
      <c r="Z558" s="386">
        <v>0</v>
      </c>
      <c r="AA558" s="386">
        <v>41087716</v>
      </c>
      <c r="AB558" s="386">
        <f t="shared" si="34"/>
        <v>41087716</v>
      </c>
      <c r="AC558" s="384">
        <v>40717</v>
      </c>
      <c r="AD558" s="395">
        <v>41087716</v>
      </c>
      <c r="AE558" s="395" t="s">
        <v>145</v>
      </c>
      <c r="AF558" s="1084">
        <f>SUM(AD558:AD559)</f>
        <v>92447606</v>
      </c>
      <c r="AG558" s="1084"/>
      <c r="AH558" s="358">
        <f t="shared" si="35"/>
        <v>0</v>
      </c>
      <c r="AI558" s="1084">
        <f>O558-AD558-AD559</f>
        <v>12889081</v>
      </c>
      <c r="AJ558" s="1119">
        <f>SUM(Z558:Z559)-SUM(AD558:AD559)</f>
        <v>-6847789.299999997</v>
      </c>
      <c r="AK558" s="1119">
        <f>P558-V558</f>
        <v>2617397</v>
      </c>
      <c r="AL558" s="1119">
        <f>V558-Z558-Z559+AJ558</f>
        <v>10271684</v>
      </c>
      <c r="AM558" s="1119"/>
      <c r="AN558" s="1203"/>
      <c r="AO558" s="1204"/>
      <c r="AP558" s="1204"/>
      <c r="AQ558" s="1204"/>
    </row>
    <row r="559" spans="1:43" ht="47.25">
      <c r="A559" s="1076"/>
      <c r="B559" s="1171"/>
      <c r="C559" s="1076"/>
      <c r="D559" s="1076"/>
      <c r="E559" s="1252"/>
      <c r="F559" s="1252"/>
      <c r="G559" s="1076"/>
      <c r="H559" s="1076"/>
      <c r="I559" s="1076"/>
      <c r="J559" s="1076"/>
      <c r="K559" s="1076"/>
      <c r="L559" s="1076"/>
      <c r="M559" s="1251"/>
      <c r="N559" s="1123"/>
      <c r="O559" s="1119"/>
      <c r="P559" s="1119"/>
      <c r="Q559" s="1119"/>
      <c r="R559" s="1171"/>
      <c r="S559" s="1196"/>
      <c r="T559" s="1119"/>
      <c r="U559" s="1119"/>
      <c r="V559" s="1119"/>
      <c r="W559" s="1119"/>
      <c r="X559" s="1076"/>
      <c r="Y559" s="372" t="s">
        <v>717</v>
      </c>
      <c r="Z559" s="386">
        <v>85599816.700000003</v>
      </c>
      <c r="AA559" s="386">
        <v>-34239927</v>
      </c>
      <c r="AB559" s="386">
        <f t="shared" si="34"/>
        <v>51359889.700000003</v>
      </c>
      <c r="AC559" s="384">
        <v>40911</v>
      </c>
      <c r="AD559" s="395">
        <v>51359890</v>
      </c>
      <c r="AE559" s="395" t="s">
        <v>145</v>
      </c>
      <c r="AF559" s="1084"/>
      <c r="AG559" s="1084"/>
      <c r="AH559" s="358">
        <f t="shared" si="35"/>
        <v>-0.29999999701976776</v>
      </c>
      <c r="AI559" s="1084"/>
      <c r="AJ559" s="1119"/>
      <c r="AK559" s="1119"/>
      <c r="AL559" s="1119"/>
      <c r="AM559" s="1119"/>
      <c r="AN559" s="1203"/>
      <c r="AO559" s="1204"/>
      <c r="AP559" s="1204"/>
      <c r="AQ559" s="1204"/>
    </row>
    <row r="560" spans="1:43" ht="36.75" customHeight="1">
      <c r="A560" s="1076"/>
      <c r="B560" s="1171"/>
      <c r="C560" s="1076" t="s">
        <v>31</v>
      </c>
      <c r="D560" s="1076"/>
      <c r="E560" s="1252"/>
      <c r="F560" s="1252"/>
      <c r="G560" s="1076"/>
      <c r="H560" s="1076"/>
      <c r="I560" s="1076"/>
      <c r="J560" s="1076"/>
      <c r="K560" s="1076"/>
      <c r="L560" s="1076"/>
      <c r="M560" s="1251">
        <v>157</v>
      </c>
      <c r="N560" s="372" t="s">
        <v>7</v>
      </c>
      <c r="O560" s="386">
        <v>5819025</v>
      </c>
      <c r="P560" s="1119">
        <f>O560+O561</f>
        <v>17831767</v>
      </c>
      <c r="Q560" s="1119"/>
      <c r="R560" s="1171">
        <v>40686</v>
      </c>
      <c r="S560" s="1196">
        <f>T560+T561</f>
        <v>17831767</v>
      </c>
      <c r="T560" s="386">
        <v>5819025</v>
      </c>
      <c r="U560" s="386">
        <f>O560-T560</f>
        <v>0</v>
      </c>
      <c r="V560" s="386">
        <v>5819025</v>
      </c>
      <c r="W560" s="1119"/>
      <c r="X560" s="1076"/>
      <c r="Y560" s="1123" t="s">
        <v>714</v>
      </c>
      <c r="Z560" s="386">
        <v>0</v>
      </c>
      <c r="AA560" s="386">
        <v>2383646</v>
      </c>
      <c r="AB560" s="386">
        <f t="shared" si="34"/>
        <v>2383646</v>
      </c>
      <c r="AC560" s="1171">
        <v>40717</v>
      </c>
      <c r="AD560" s="395">
        <v>2383646</v>
      </c>
      <c r="AE560" s="395" t="s">
        <v>7</v>
      </c>
      <c r="AF560" s="1084">
        <f>SUM(AD560:AD563)</f>
        <v>16066823</v>
      </c>
      <c r="AG560" s="1084"/>
      <c r="AH560" s="358">
        <f t="shared" si="35"/>
        <v>0</v>
      </c>
      <c r="AI560" s="358">
        <f>O560-AD560</f>
        <v>3435379</v>
      </c>
      <c r="AJ560" s="1119">
        <f>SUM(Z560:Z563)-SUM(AD560:AD563)</f>
        <v>-1207017.17</v>
      </c>
      <c r="AK560" s="1119">
        <f>P560-V560-V561</f>
        <v>0</v>
      </c>
      <c r="AL560" s="1119">
        <f>SUM(V560:V563)-SUM(Z560:Z563)+AJ560</f>
        <v>1764944</v>
      </c>
      <c r="AM560" s="1119"/>
      <c r="AN560" s="1203"/>
      <c r="AO560" s="1204"/>
      <c r="AP560" s="1204"/>
      <c r="AQ560" s="1204"/>
    </row>
    <row r="561" spans="1:44" ht="38.25" customHeight="1">
      <c r="A561" s="1076"/>
      <c r="B561" s="1171"/>
      <c r="C561" s="1076"/>
      <c r="D561" s="1076"/>
      <c r="E561" s="1252"/>
      <c r="F561" s="1252"/>
      <c r="G561" s="1076"/>
      <c r="H561" s="1076"/>
      <c r="I561" s="1076"/>
      <c r="J561" s="1076"/>
      <c r="K561" s="1076"/>
      <c r="L561" s="1076"/>
      <c r="M561" s="1251"/>
      <c r="N561" s="1123" t="s">
        <v>137</v>
      </c>
      <c r="O561" s="1119">
        <v>12012742</v>
      </c>
      <c r="P561" s="1119"/>
      <c r="Q561" s="1119"/>
      <c r="R561" s="1171"/>
      <c r="S561" s="1196"/>
      <c r="T561" s="1119">
        <v>12012742</v>
      </c>
      <c r="U561" s="1119">
        <f>O561-T561</f>
        <v>0</v>
      </c>
      <c r="V561" s="1119">
        <v>12012742</v>
      </c>
      <c r="W561" s="1119"/>
      <c r="X561" s="1076"/>
      <c r="Y561" s="1123"/>
      <c r="Z561" s="386">
        <v>0</v>
      </c>
      <c r="AA561" s="386">
        <v>4767293</v>
      </c>
      <c r="AB561" s="386">
        <f t="shared" si="34"/>
        <v>4767293</v>
      </c>
      <c r="AC561" s="1171"/>
      <c r="AD561" s="395">
        <v>4767293</v>
      </c>
      <c r="AE561" s="395" t="s">
        <v>137</v>
      </c>
      <c r="AF561" s="1084"/>
      <c r="AG561" s="1084"/>
      <c r="AH561" s="358">
        <f t="shared" si="35"/>
        <v>0</v>
      </c>
      <c r="AI561" s="1084">
        <f>O561-AD561-AD562-AD563</f>
        <v>-1670435</v>
      </c>
      <c r="AJ561" s="1119"/>
      <c r="AK561" s="1119"/>
      <c r="AL561" s="1119"/>
      <c r="AM561" s="1119"/>
      <c r="AN561" s="1203"/>
      <c r="AO561" s="1204"/>
      <c r="AP561" s="1204"/>
      <c r="AQ561" s="1204"/>
    </row>
    <row r="562" spans="1:44" ht="45.75" customHeight="1">
      <c r="A562" s="1076"/>
      <c r="B562" s="1171"/>
      <c r="C562" s="1076"/>
      <c r="D562" s="1076"/>
      <c r="E562" s="1252"/>
      <c r="F562" s="1252"/>
      <c r="G562" s="1076"/>
      <c r="H562" s="1076"/>
      <c r="I562" s="1076"/>
      <c r="J562" s="1076"/>
      <c r="K562" s="1076"/>
      <c r="L562" s="1076"/>
      <c r="M562" s="1251"/>
      <c r="N562" s="1123"/>
      <c r="O562" s="1119"/>
      <c r="P562" s="1119"/>
      <c r="Q562" s="1119"/>
      <c r="R562" s="1171"/>
      <c r="S562" s="1196"/>
      <c r="T562" s="1119"/>
      <c r="U562" s="1119"/>
      <c r="V562" s="1119"/>
      <c r="W562" s="1119"/>
      <c r="X562" s="1076"/>
      <c r="Y562" s="1123" t="s">
        <v>715</v>
      </c>
      <c r="Z562" s="386">
        <v>4849187.5</v>
      </c>
      <c r="AA562" s="386">
        <v>-1939675</v>
      </c>
      <c r="AB562" s="386">
        <f t="shared" si="34"/>
        <v>2909512.5</v>
      </c>
      <c r="AC562" s="1171">
        <v>41031</v>
      </c>
      <c r="AD562" s="395">
        <v>2909513</v>
      </c>
      <c r="AE562" s="395" t="s">
        <v>137</v>
      </c>
      <c r="AF562" s="1084"/>
      <c r="AG562" s="1084"/>
      <c r="AH562" s="358">
        <f t="shared" si="35"/>
        <v>-0.5</v>
      </c>
      <c r="AI562" s="1084"/>
      <c r="AJ562" s="1119"/>
      <c r="AK562" s="1119"/>
      <c r="AL562" s="1119"/>
      <c r="AM562" s="1119"/>
      <c r="AN562" s="1203"/>
      <c r="AO562" s="1204"/>
      <c r="AP562" s="1204"/>
      <c r="AQ562" s="1204"/>
    </row>
    <row r="563" spans="1:44" ht="51" customHeight="1">
      <c r="A563" s="1076"/>
      <c r="B563" s="1171"/>
      <c r="C563" s="1076"/>
      <c r="D563" s="1076"/>
      <c r="E563" s="1252"/>
      <c r="F563" s="1252"/>
      <c r="G563" s="1076"/>
      <c r="H563" s="1076"/>
      <c r="I563" s="1076"/>
      <c r="J563" s="1076"/>
      <c r="K563" s="1076"/>
      <c r="L563" s="1076"/>
      <c r="M563" s="1251"/>
      <c r="N563" s="1123"/>
      <c r="O563" s="1119"/>
      <c r="P563" s="1119"/>
      <c r="Q563" s="1119"/>
      <c r="R563" s="1171"/>
      <c r="S563" s="1196"/>
      <c r="T563" s="1119"/>
      <c r="U563" s="1119"/>
      <c r="V563" s="1119"/>
      <c r="W563" s="1119"/>
      <c r="X563" s="1076"/>
      <c r="Y563" s="1123"/>
      <c r="Z563" s="386">
        <v>10010618.33</v>
      </c>
      <c r="AA563" s="386">
        <v>-4004247.33</v>
      </c>
      <c r="AB563" s="386">
        <f t="shared" si="34"/>
        <v>6006371</v>
      </c>
      <c r="AC563" s="1171"/>
      <c r="AD563" s="395">
        <v>6006371</v>
      </c>
      <c r="AE563" s="395" t="s">
        <v>137</v>
      </c>
      <c r="AF563" s="1084"/>
      <c r="AG563" s="1084"/>
      <c r="AH563" s="358">
        <f t="shared" si="35"/>
        <v>0</v>
      </c>
      <c r="AI563" s="1084"/>
      <c r="AJ563" s="1119"/>
      <c r="AK563" s="1119"/>
      <c r="AL563" s="1119"/>
      <c r="AM563" s="1119"/>
      <c r="AN563" s="1203"/>
      <c r="AO563" s="1204"/>
      <c r="AP563" s="1204"/>
      <c r="AQ563" s="1204"/>
    </row>
    <row r="564" spans="1:44" ht="78.75">
      <c r="A564" s="1076"/>
      <c r="B564" s="1171"/>
      <c r="C564" s="1076"/>
      <c r="D564" s="1076"/>
      <c r="E564" s="1252"/>
      <c r="F564" s="1252"/>
      <c r="G564" s="1076"/>
      <c r="H564" s="1076"/>
      <c r="I564" s="1076"/>
      <c r="J564" s="1076"/>
      <c r="K564" s="1076"/>
      <c r="L564" s="1076"/>
      <c r="M564" s="1251">
        <v>3</v>
      </c>
      <c r="N564" s="1123" t="s">
        <v>157</v>
      </c>
      <c r="O564" s="1119">
        <v>21895673</v>
      </c>
      <c r="P564" s="1119">
        <f>O564</f>
        <v>21895673</v>
      </c>
      <c r="Q564" s="1119"/>
      <c r="R564" s="1171">
        <v>40686</v>
      </c>
      <c r="S564" s="1196">
        <f>T564</f>
        <v>21895673</v>
      </c>
      <c r="T564" s="1196">
        <v>21895673</v>
      </c>
      <c r="U564" s="1196">
        <f>O564-T564</f>
        <v>0</v>
      </c>
      <c r="V564" s="1119">
        <v>21895673</v>
      </c>
      <c r="W564" s="1119"/>
      <c r="X564" s="1076"/>
      <c r="Y564" s="372" t="s">
        <v>714</v>
      </c>
      <c r="Z564" s="386">
        <v>0</v>
      </c>
      <c r="AA564" s="386">
        <v>8740037</v>
      </c>
      <c r="AB564" s="386">
        <f t="shared" si="34"/>
        <v>8740037</v>
      </c>
      <c r="AC564" s="384">
        <v>40717</v>
      </c>
      <c r="AD564" s="395">
        <v>8740037</v>
      </c>
      <c r="AE564" s="395" t="s">
        <v>157</v>
      </c>
      <c r="AF564" s="1084">
        <f>SUM(AD564:AD565)</f>
        <v>19687874</v>
      </c>
      <c r="AG564" s="1084"/>
      <c r="AH564" s="358">
        <f t="shared" si="35"/>
        <v>0</v>
      </c>
      <c r="AI564" s="1084">
        <f>O564-AD564-AD565</f>
        <v>2207799</v>
      </c>
      <c r="AJ564" s="1119">
        <f>SUM(Z564:Z565)-SUM(AD564:AD565)</f>
        <v>-1441479.8299999982</v>
      </c>
      <c r="AK564" s="1119">
        <f>P564-V564</f>
        <v>0</v>
      </c>
      <c r="AL564" s="1119">
        <f>SUM(V564)-SUM(Z564:Z565)+AJ564</f>
        <v>2207799</v>
      </c>
      <c r="AM564" s="1119"/>
      <c r="AN564" s="1203"/>
      <c r="AO564" s="1204"/>
      <c r="AP564" s="1204"/>
      <c r="AQ564" s="1204"/>
    </row>
    <row r="565" spans="1:44" ht="110.25">
      <c r="A565" s="1076"/>
      <c r="B565" s="1171"/>
      <c r="C565" s="1076"/>
      <c r="D565" s="1076"/>
      <c r="E565" s="1252"/>
      <c r="F565" s="1252"/>
      <c r="G565" s="1076"/>
      <c r="H565" s="1076"/>
      <c r="I565" s="1076"/>
      <c r="J565" s="1076"/>
      <c r="K565" s="1076"/>
      <c r="L565" s="1076"/>
      <c r="M565" s="1251"/>
      <c r="N565" s="1123"/>
      <c r="O565" s="1119"/>
      <c r="P565" s="1119"/>
      <c r="Q565" s="1119"/>
      <c r="R565" s="1171"/>
      <c r="S565" s="1196"/>
      <c r="T565" s="1196"/>
      <c r="U565" s="1196"/>
      <c r="V565" s="1119"/>
      <c r="W565" s="1119"/>
      <c r="X565" s="1076"/>
      <c r="Y565" s="372" t="s">
        <v>715</v>
      </c>
      <c r="Z565" s="386">
        <v>18246394.170000002</v>
      </c>
      <c r="AA565" s="386">
        <v>-7298557.6699999999</v>
      </c>
      <c r="AB565" s="386">
        <f t="shared" si="34"/>
        <v>10947836.500000002</v>
      </c>
      <c r="AC565" s="384">
        <v>41031</v>
      </c>
      <c r="AD565" s="395">
        <v>10947837</v>
      </c>
      <c r="AE565" s="395" t="s">
        <v>157</v>
      </c>
      <c r="AF565" s="1084"/>
      <c r="AG565" s="1084"/>
      <c r="AH565" s="358">
        <f t="shared" si="35"/>
        <v>-0.49999999813735485</v>
      </c>
      <c r="AI565" s="1084"/>
      <c r="AJ565" s="1119"/>
      <c r="AK565" s="1119"/>
      <c r="AL565" s="1119"/>
      <c r="AM565" s="1119"/>
      <c r="AN565" s="1203"/>
      <c r="AO565" s="1204"/>
      <c r="AP565" s="1204"/>
      <c r="AQ565" s="1204"/>
    </row>
    <row r="566" spans="1:44" ht="31.5">
      <c r="A566" s="1076"/>
      <c r="B566" s="1171"/>
      <c r="C566" s="1076"/>
      <c r="D566" s="1076"/>
      <c r="E566" s="1252"/>
      <c r="F566" s="1252"/>
      <c r="G566" s="1076"/>
      <c r="H566" s="1076"/>
      <c r="I566" s="1076"/>
      <c r="J566" s="1076" t="s">
        <v>171</v>
      </c>
      <c r="K566" s="1076"/>
      <c r="L566" s="1076"/>
      <c r="M566" s="408">
        <v>5</v>
      </c>
      <c r="N566" s="372" t="s">
        <v>157</v>
      </c>
      <c r="O566" s="386">
        <v>11086105</v>
      </c>
      <c r="P566" s="386">
        <f>O566</f>
        <v>11086105</v>
      </c>
      <c r="Q566" s="1119"/>
      <c r="R566" s="384">
        <v>40921</v>
      </c>
      <c r="S566" s="390">
        <f>T566</f>
        <v>11086105</v>
      </c>
      <c r="T566" s="386">
        <v>11086105</v>
      </c>
      <c r="U566" s="386">
        <f>O566-T566</f>
        <v>0</v>
      </c>
      <c r="V566" s="386">
        <v>11086105</v>
      </c>
      <c r="W566" s="1119"/>
      <c r="X566" s="1076"/>
      <c r="Y566" s="372"/>
      <c r="Z566" s="386"/>
      <c r="AA566" s="386"/>
      <c r="AB566" s="386">
        <f t="shared" si="34"/>
        <v>0</v>
      </c>
      <c r="AC566" s="384"/>
      <c r="AD566" s="395">
        <v>0</v>
      </c>
      <c r="AE566" s="395"/>
      <c r="AF566" s="358"/>
      <c r="AG566" s="1084"/>
      <c r="AH566" s="358">
        <f t="shared" si="35"/>
        <v>0</v>
      </c>
      <c r="AI566" s="358"/>
      <c r="AJ566" s="386">
        <f>Z566-AD566</f>
        <v>0</v>
      </c>
      <c r="AK566" s="358">
        <f>P566-V566</f>
        <v>0</v>
      </c>
      <c r="AL566" s="386">
        <f>V566-Z566</f>
        <v>11086105</v>
      </c>
      <c r="AM566" s="386"/>
      <c r="AN566" s="1203"/>
      <c r="AO566" s="1204"/>
      <c r="AP566" s="1204"/>
      <c r="AQ566" s="1204"/>
    </row>
    <row r="567" spans="1:44">
      <c r="A567" s="1076"/>
      <c r="B567" s="1171"/>
      <c r="C567" s="354" t="s">
        <v>9</v>
      </c>
      <c r="D567" s="1076"/>
      <c r="E567" s="1252"/>
      <c r="F567" s="1252"/>
      <c r="G567" s="1076"/>
      <c r="H567" s="1076"/>
      <c r="I567" s="1076"/>
      <c r="J567" s="1076"/>
      <c r="K567" s="1076"/>
      <c r="L567" s="1076"/>
      <c r="M567" s="408">
        <v>237</v>
      </c>
      <c r="N567" s="372" t="s">
        <v>7</v>
      </c>
      <c r="O567" s="386">
        <v>7390178</v>
      </c>
      <c r="P567" s="386">
        <v>7390178</v>
      </c>
      <c r="Q567" s="1119"/>
      <c r="R567" s="384">
        <v>40906</v>
      </c>
      <c r="S567" s="390">
        <f>T567</f>
        <v>7390178</v>
      </c>
      <c r="T567" s="386">
        <v>7390178</v>
      </c>
      <c r="U567" s="386">
        <f>O567-T567</f>
        <v>0</v>
      </c>
      <c r="V567" s="386">
        <v>7390178</v>
      </c>
      <c r="W567" s="1119"/>
      <c r="X567" s="1076"/>
      <c r="Y567" s="372"/>
      <c r="Z567" s="386"/>
      <c r="AA567" s="386"/>
      <c r="AB567" s="386">
        <f t="shared" si="34"/>
        <v>0</v>
      </c>
      <c r="AC567" s="384"/>
      <c r="AD567" s="395">
        <v>0</v>
      </c>
      <c r="AE567" s="395"/>
      <c r="AF567" s="358"/>
      <c r="AG567" s="1084"/>
      <c r="AH567" s="358">
        <f t="shared" si="35"/>
        <v>0</v>
      </c>
      <c r="AI567" s="358"/>
      <c r="AJ567" s="386">
        <f>Z567-AD567</f>
        <v>0</v>
      </c>
      <c r="AK567" s="386">
        <f>P567-V567</f>
        <v>0</v>
      </c>
      <c r="AL567" s="386">
        <f>V567-Z567</f>
        <v>7390178</v>
      </c>
      <c r="AM567" s="386"/>
      <c r="AN567" s="1203"/>
      <c r="AO567" s="1204"/>
      <c r="AP567" s="1204"/>
      <c r="AQ567" s="1204"/>
    </row>
    <row r="568" spans="1:44">
      <c r="A568" s="1076"/>
      <c r="B568" s="1171"/>
      <c r="C568" s="354" t="s">
        <v>22</v>
      </c>
      <c r="D568" s="1076"/>
      <c r="E568" s="1252"/>
      <c r="F568" s="1252"/>
      <c r="G568" s="1076"/>
      <c r="H568" s="1076"/>
      <c r="I568" s="1076"/>
      <c r="J568" s="1076"/>
      <c r="K568" s="1076"/>
      <c r="L568" s="1076"/>
      <c r="M568" s="408">
        <v>234</v>
      </c>
      <c r="N568" s="372" t="s">
        <v>7</v>
      </c>
      <c r="O568" s="386">
        <v>25021915</v>
      </c>
      <c r="P568" s="386">
        <f>O568</f>
        <v>25021915</v>
      </c>
      <c r="Q568" s="1119"/>
      <c r="R568" s="384">
        <v>40899</v>
      </c>
      <c r="S568" s="390">
        <f>T568</f>
        <v>25021915</v>
      </c>
      <c r="T568" s="386">
        <v>25021915</v>
      </c>
      <c r="U568" s="386">
        <f>O568-T568</f>
        <v>0</v>
      </c>
      <c r="V568" s="386">
        <v>25021915</v>
      </c>
      <c r="W568" s="1119"/>
      <c r="X568" s="1076"/>
      <c r="Y568" s="372"/>
      <c r="Z568" s="386"/>
      <c r="AA568" s="386"/>
      <c r="AB568" s="386">
        <f t="shared" si="34"/>
        <v>0</v>
      </c>
      <c r="AC568" s="384"/>
      <c r="AD568" s="395">
        <v>0</v>
      </c>
      <c r="AE568" s="395"/>
      <c r="AF568" s="358"/>
      <c r="AG568" s="1084"/>
      <c r="AH568" s="358">
        <f t="shared" si="35"/>
        <v>0</v>
      </c>
      <c r="AI568" s="358"/>
      <c r="AJ568" s="386">
        <f>Z568-AD568</f>
        <v>0</v>
      </c>
      <c r="AK568" s="386">
        <f>P568-V568</f>
        <v>0</v>
      </c>
      <c r="AL568" s="386">
        <f>V568-Z568</f>
        <v>25021915</v>
      </c>
      <c r="AM568" s="386"/>
      <c r="AN568" s="1203"/>
      <c r="AO568" s="1204"/>
      <c r="AP568" s="1204"/>
      <c r="AQ568" s="1204"/>
    </row>
    <row r="569" spans="1:44" ht="94.5">
      <c r="A569" s="1076" t="s">
        <v>720</v>
      </c>
      <c r="B569" s="1171">
        <v>40450</v>
      </c>
      <c r="C569" s="1076" t="s">
        <v>36</v>
      </c>
      <c r="D569" s="1076" t="s">
        <v>481</v>
      </c>
      <c r="E569" s="1252">
        <v>900385116</v>
      </c>
      <c r="F569" s="1252">
        <v>2</v>
      </c>
      <c r="G569" s="1076" t="s">
        <v>721</v>
      </c>
      <c r="H569" s="1076" t="s">
        <v>70</v>
      </c>
      <c r="I569" s="1076" t="s">
        <v>177</v>
      </c>
      <c r="J569" s="1076" t="s">
        <v>66</v>
      </c>
      <c r="K569" s="1076" t="s">
        <v>50</v>
      </c>
      <c r="L569" s="1076" t="s">
        <v>725</v>
      </c>
      <c r="M569" s="1251">
        <v>223</v>
      </c>
      <c r="N569" s="1123" t="s">
        <v>137</v>
      </c>
      <c r="O569" s="1119">
        <v>66155932</v>
      </c>
      <c r="P569" s="1119">
        <f>O569</f>
        <v>66155932</v>
      </c>
      <c r="Q569" s="1119">
        <f>P569+P572</f>
        <v>155091415</v>
      </c>
      <c r="R569" s="1171">
        <v>40855</v>
      </c>
      <c r="S569" s="1196">
        <f>T569</f>
        <v>66155932</v>
      </c>
      <c r="T569" s="1119">
        <v>66155932</v>
      </c>
      <c r="U569" s="1119">
        <f>O569-T569</f>
        <v>0</v>
      </c>
      <c r="V569" s="1119">
        <v>66155932</v>
      </c>
      <c r="W569" s="1119">
        <v>154929600</v>
      </c>
      <c r="X569" s="1076" t="s">
        <v>722</v>
      </c>
      <c r="Y569" s="372" t="s">
        <v>723</v>
      </c>
      <c r="Z569" s="386">
        <v>0</v>
      </c>
      <c r="AA569" s="386">
        <v>26462372.800000001</v>
      </c>
      <c r="AB569" s="386">
        <f t="shared" si="34"/>
        <v>26462372.800000001</v>
      </c>
      <c r="AC569" s="384">
        <v>40910</v>
      </c>
      <c r="AD569" s="395">
        <v>26462373</v>
      </c>
      <c r="AE569" s="395" t="s">
        <v>137</v>
      </c>
      <c r="AF569" s="1084">
        <f>SUM(AD569:AD571)</f>
        <v>61436368.289999999</v>
      </c>
      <c r="AG569" s="1084">
        <f>AF569+AF572</f>
        <v>143876923</v>
      </c>
      <c r="AH569" s="358">
        <f t="shared" si="35"/>
        <v>-0.19999999925494194</v>
      </c>
      <c r="AI569" s="1084">
        <f>O569-AD569-AD570-AD571</f>
        <v>4719563.7100000009</v>
      </c>
      <c r="AJ569" s="1119">
        <f>SUM(Z569:Z571)-SUM(AD569:AD571)</f>
        <v>4101849.7800000012</v>
      </c>
      <c r="AK569" s="1119">
        <f>P569-V569</f>
        <v>0</v>
      </c>
      <c r="AL569" s="1119">
        <f>V569-SUM(Z569:Z571)</f>
        <v>617713.9299999997</v>
      </c>
      <c r="AM569" s="1119">
        <f>AK569+AL569</f>
        <v>617713.9299999997</v>
      </c>
      <c r="AN569" s="1204" t="s">
        <v>728</v>
      </c>
      <c r="AO569" s="1204" t="s">
        <v>727</v>
      </c>
      <c r="AP569" s="1204" t="s">
        <v>194</v>
      </c>
      <c r="AQ569" s="1204" t="s">
        <v>558</v>
      </c>
      <c r="AR569" s="1202" t="s">
        <v>2476</v>
      </c>
    </row>
    <row r="570" spans="1:44" ht="31.5">
      <c r="A570" s="1076"/>
      <c r="B570" s="1171"/>
      <c r="C570" s="1076"/>
      <c r="D570" s="1076"/>
      <c r="E570" s="1252"/>
      <c r="F570" s="1252"/>
      <c r="G570" s="1076"/>
      <c r="H570" s="1076"/>
      <c r="I570" s="1076"/>
      <c r="J570" s="1076"/>
      <c r="K570" s="1076"/>
      <c r="L570" s="1076"/>
      <c r="M570" s="1251"/>
      <c r="N570" s="1123"/>
      <c r="O570" s="1119"/>
      <c r="P570" s="1119"/>
      <c r="Q570" s="1119"/>
      <c r="R570" s="1171"/>
      <c r="S570" s="1196"/>
      <c r="T570" s="1119"/>
      <c r="U570" s="1119"/>
      <c r="V570" s="1119"/>
      <c r="W570" s="1119"/>
      <c r="X570" s="1076"/>
      <c r="Y570" s="372" t="s">
        <v>724</v>
      </c>
      <c r="Z570" s="386">
        <v>58289991.869999997</v>
      </c>
      <c r="AA570" s="386">
        <v>-23315996.579999998</v>
      </c>
      <c r="AB570" s="386">
        <f t="shared" si="34"/>
        <v>34973995.289999999</v>
      </c>
      <c r="AC570" s="384">
        <v>41941</v>
      </c>
      <c r="AD570" s="395">
        <v>34973995.289999999</v>
      </c>
      <c r="AE570" s="395" t="s">
        <v>137</v>
      </c>
      <c r="AF570" s="1084"/>
      <c r="AG570" s="1084"/>
      <c r="AH570" s="358">
        <f t="shared" si="35"/>
        <v>0</v>
      </c>
      <c r="AI570" s="1084"/>
      <c r="AJ570" s="1119"/>
      <c r="AK570" s="1119"/>
      <c r="AL570" s="1119"/>
      <c r="AM570" s="1119"/>
      <c r="AN570" s="1204"/>
      <c r="AO570" s="1204"/>
      <c r="AP570" s="1204"/>
      <c r="AQ570" s="1204"/>
      <c r="AR570" s="1202"/>
    </row>
    <row r="571" spans="1:44" ht="47.25">
      <c r="A571" s="1076"/>
      <c r="B571" s="1171"/>
      <c r="C571" s="1076"/>
      <c r="D571" s="1076"/>
      <c r="E571" s="1252"/>
      <c r="F571" s="1252"/>
      <c r="G571" s="1076"/>
      <c r="H571" s="1076"/>
      <c r="I571" s="1076"/>
      <c r="J571" s="1076"/>
      <c r="K571" s="1076"/>
      <c r="L571" s="1076"/>
      <c r="M571" s="1251"/>
      <c r="N571" s="1123"/>
      <c r="O571" s="1119"/>
      <c r="P571" s="1119"/>
      <c r="Q571" s="1119"/>
      <c r="R571" s="1171"/>
      <c r="S571" s="1196"/>
      <c r="T571" s="1119"/>
      <c r="U571" s="1119"/>
      <c r="V571" s="1119"/>
      <c r="W571" s="1119"/>
      <c r="X571" s="1076"/>
      <c r="Y571" s="372" t="s">
        <v>726</v>
      </c>
      <c r="Z571" s="386">
        <v>7248226.2000000002</v>
      </c>
      <c r="AA571" s="386">
        <v>-3146376</v>
      </c>
      <c r="AB571" s="386">
        <f t="shared" si="34"/>
        <v>4101850.2</v>
      </c>
      <c r="AC571" s="384"/>
      <c r="AD571" s="395">
        <v>0</v>
      </c>
      <c r="AE571" s="395" t="s">
        <v>137</v>
      </c>
      <c r="AF571" s="1084"/>
      <c r="AG571" s="1084"/>
      <c r="AH571" s="358">
        <f t="shared" si="35"/>
        <v>4101850.2</v>
      </c>
      <c r="AI571" s="1084"/>
      <c r="AJ571" s="1119"/>
      <c r="AK571" s="1119"/>
      <c r="AL571" s="1119"/>
      <c r="AM571" s="1119"/>
      <c r="AN571" s="1204"/>
      <c r="AO571" s="1204"/>
      <c r="AP571" s="1204"/>
      <c r="AQ571" s="1204"/>
      <c r="AR571" s="1202"/>
    </row>
    <row r="572" spans="1:44" ht="94.5">
      <c r="A572" s="1076"/>
      <c r="B572" s="1171"/>
      <c r="C572" s="1076"/>
      <c r="D572" s="1076"/>
      <c r="E572" s="1252"/>
      <c r="F572" s="1252"/>
      <c r="G572" s="1076"/>
      <c r="H572" s="1076"/>
      <c r="I572" s="1076"/>
      <c r="J572" s="1076"/>
      <c r="K572" s="1076"/>
      <c r="L572" s="1076"/>
      <c r="M572" s="1251">
        <v>2</v>
      </c>
      <c r="N572" s="1123" t="s">
        <v>161</v>
      </c>
      <c r="O572" s="1119">
        <v>88935483</v>
      </c>
      <c r="P572" s="1119">
        <f>O572</f>
        <v>88935483</v>
      </c>
      <c r="Q572" s="1119"/>
      <c r="R572" s="1171">
        <v>40855</v>
      </c>
      <c r="S572" s="1119">
        <f>T572</f>
        <v>88935483</v>
      </c>
      <c r="T572" s="1119">
        <v>88935483</v>
      </c>
      <c r="U572" s="1119">
        <f>O572-T572</f>
        <v>0</v>
      </c>
      <c r="V572" s="1119">
        <v>88773668</v>
      </c>
      <c r="W572" s="1119"/>
      <c r="X572" s="1076"/>
      <c r="Y572" s="372" t="s">
        <v>723</v>
      </c>
      <c r="Z572" s="386">
        <v>0</v>
      </c>
      <c r="AA572" s="386">
        <v>35509467.200000003</v>
      </c>
      <c r="AB572" s="386">
        <f t="shared" si="34"/>
        <v>35509467.200000003</v>
      </c>
      <c r="AC572" s="384">
        <v>40910</v>
      </c>
      <c r="AD572" s="395">
        <v>35509467</v>
      </c>
      <c r="AE572" s="395" t="s">
        <v>161</v>
      </c>
      <c r="AF572" s="1084">
        <f>SUM(AD572:AD574)</f>
        <v>82440554.710000008</v>
      </c>
      <c r="AG572" s="1084"/>
      <c r="AH572" s="358">
        <f t="shared" si="35"/>
        <v>0.20000000298023224</v>
      </c>
      <c r="AI572" s="1084">
        <f>O572-AD572-AD573-AD574</f>
        <v>6494928.2899999991</v>
      </c>
      <c r="AJ572" s="1119">
        <f>SUM(Z572:Z574)-SUM(AD572:AD574)</f>
        <v>5386038.2199999839</v>
      </c>
      <c r="AK572" s="1119">
        <f>P572-V572</f>
        <v>161815</v>
      </c>
      <c r="AL572" s="1119">
        <f>V572-SUM(Z572:Z574)</f>
        <v>947075.07000000775</v>
      </c>
      <c r="AM572" s="1119">
        <f>AK572+AL572</f>
        <v>1108890.0700000077</v>
      </c>
      <c r="AN572" s="1204"/>
      <c r="AO572" s="1204"/>
      <c r="AP572" s="1204"/>
      <c r="AQ572" s="1204"/>
      <c r="AR572" s="1202"/>
    </row>
    <row r="573" spans="1:44" ht="31.5">
      <c r="A573" s="1076"/>
      <c r="B573" s="1171"/>
      <c r="C573" s="1076"/>
      <c r="D573" s="1076"/>
      <c r="E573" s="1252"/>
      <c r="F573" s="1252"/>
      <c r="G573" s="1076"/>
      <c r="H573" s="1076"/>
      <c r="I573" s="1076"/>
      <c r="J573" s="1076"/>
      <c r="K573" s="1076"/>
      <c r="L573" s="1076"/>
      <c r="M573" s="1251"/>
      <c r="N573" s="1123"/>
      <c r="O573" s="1119"/>
      <c r="P573" s="1119"/>
      <c r="Q573" s="1119"/>
      <c r="R573" s="1171"/>
      <c r="S573" s="1119"/>
      <c r="T573" s="1119"/>
      <c r="U573" s="1119"/>
      <c r="V573" s="1119"/>
      <c r="W573" s="1119"/>
      <c r="X573" s="1076"/>
      <c r="Y573" s="372" t="s">
        <v>724</v>
      </c>
      <c r="Z573" s="386">
        <v>78218479.129999995</v>
      </c>
      <c r="AA573" s="386">
        <v>-31287391.420000002</v>
      </c>
      <c r="AB573" s="386">
        <f t="shared" si="34"/>
        <v>46931087.709999993</v>
      </c>
      <c r="AC573" s="384">
        <v>41941</v>
      </c>
      <c r="AD573" s="395">
        <v>46931087.710000001</v>
      </c>
      <c r="AE573" s="395" t="s">
        <v>161</v>
      </c>
      <c r="AF573" s="1084"/>
      <c r="AG573" s="1084"/>
      <c r="AH573" s="358">
        <f t="shared" si="35"/>
        <v>0</v>
      </c>
      <c r="AI573" s="1084"/>
      <c r="AJ573" s="1119"/>
      <c r="AK573" s="1119"/>
      <c r="AL573" s="1119"/>
      <c r="AM573" s="1119"/>
      <c r="AN573" s="1204"/>
      <c r="AO573" s="1204"/>
      <c r="AP573" s="1204"/>
      <c r="AQ573" s="1204"/>
      <c r="AR573" s="1202"/>
    </row>
    <row r="574" spans="1:44" ht="47.25">
      <c r="A574" s="1076"/>
      <c r="B574" s="1171"/>
      <c r="C574" s="1076"/>
      <c r="D574" s="1076"/>
      <c r="E574" s="1252"/>
      <c r="F574" s="1252"/>
      <c r="G574" s="1076"/>
      <c r="H574" s="1076"/>
      <c r="I574" s="1076"/>
      <c r="J574" s="1076"/>
      <c r="K574" s="1076"/>
      <c r="L574" s="1076"/>
      <c r="M574" s="1251"/>
      <c r="N574" s="1123"/>
      <c r="O574" s="1119"/>
      <c r="P574" s="1119"/>
      <c r="Q574" s="1119"/>
      <c r="R574" s="1171"/>
      <c r="S574" s="1119"/>
      <c r="T574" s="1119"/>
      <c r="U574" s="1119"/>
      <c r="V574" s="1119"/>
      <c r="W574" s="1119"/>
      <c r="X574" s="1076"/>
      <c r="Y574" s="372" t="s">
        <v>726</v>
      </c>
      <c r="Z574" s="386">
        <v>9608113.7999999989</v>
      </c>
      <c r="AA574" s="386">
        <v>-4222076</v>
      </c>
      <c r="AB574" s="386">
        <f t="shared" si="34"/>
        <v>5386037.7999999989</v>
      </c>
      <c r="AC574" s="384"/>
      <c r="AD574" s="395">
        <v>0</v>
      </c>
      <c r="AE574" s="395" t="s">
        <v>161</v>
      </c>
      <c r="AF574" s="1084"/>
      <c r="AG574" s="1084"/>
      <c r="AH574" s="358">
        <f t="shared" si="35"/>
        <v>5386037.7999999989</v>
      </c>
      <c r="AI574" s="1084"/>
      <c r="AJ574" s="1119"/>
      <c r="AK574" s="1119"/>
      <c r="AL574" s="1119"/>
      <c r="AM574" s="1119"/>
      <c r="AN574" s="1204"/>
      <c r="AO574" s="1204"/>
      <c r="AP574" s="1204"/>
      <c r="AQ574" s="1204"/>
      <c r="AR574" s="1202"/>
    </row>
    <row r="575" spans="1:44" ht="31.5">
      <c r="A575" s="1076" t="s">
        <v>729</v>
      </c>
      <c r="B575" s="1171">
        <v>40450</v>
      </c>
      <c r="C575" s="1076" t="s">
        <v>37</v>
      </c>
      <c r="D575" s="1076" t="s">
        <v>730</v>
      </c>
      <c r="E575" s="1252">
        <v>900384739</v>
      </c>
      <c r="F575" s="1252">
        <v>6</v>
      </c>
      <c r="G575" s="1076" t="s">
        <v>731</v>
      </c>
      <c r="H575" s="1076" t="s">
        <v>70</v>
      </c>
      <c r="I575" s="1076" t="s">
        <v>177</v>
      </c>
      <c r="J575" s="1076" t="s">
        <v>66</v>
      </c>
      <c r="K575" s="1076" t="s">
        <v>183</v>
      </c>
      <c r="L575" s="1076" t="s">
        <v>736</v>
      </c>
      <c r="M575" s="1251">
        <v>175</v>
      </c>
      <c r="N575" s="1123" t="s">
        <v>137</v>
      </c>
      <c r="O575" s="1119">
        <v>12074159</v>
      </c>
      <c r="P575" s="1119">
        <f>O575+O578</f>
        <v>145333633</v>
      </c>
      <c r="Q575" s="1119">
        <f>P575</f>
        <v>145333633</v>
      </c>
      <c r="R575" s="1171">
        <v>40750</v>
      </c>
      <c r="S575" s="1196">
        <f>T575+T578</f>
        <v>145333633</v>
      </c>
      <c r="T575" s="1119">
        <v>12074159</v>
      </c>
      <c r="U575" s="1119">
        <f>O575-T575</f>
        <v>0</v>
      </c>
      <c r="V575" s="1119">
        <v>12074159</v>
      </c>
      <c r="W575" s="1119">
        <v>145333632</v>
      </c>
      <c r="X575" s="1076" t="s">
        <v>732</v>
      </c>
      <c r="Y575" s="1123" t="s">
        <v>733</v>
      </c>
      <c r="Z575" s="386">
        <v>0</v>
      </c>
      <c r="AA575" s="386">
        <v>4829663.2</v>
      </c>
      <c r="AB575" s="386">
        <f t="shared" si="34"/>
        <v>4829663.2</v>
      </c>
      <c r="AC575" s="1171">
        <v>40781</v>
      </c>
      <c r="AD575" s="395">
        <v>4829663.2</v>
      </c>
      <c r="AE575" s="395" t="s">
        <v>137</v>
      </c>
      <c r="AF575" s="1084">
        <f>SUM(AD575:AD580)</f>
        <v>145333632</v>
      </c>
      <c r="AG575" s="1084">
        <f>AF575</f>
        <v>145333632</v>
      </c>
      <c r="AH575" s="358">
        <f t="shared" si="35"/>
        <v>0</v>
      </c>
      <c r="AI575" s="1084">
        <f>V575-AD575-AD577-AD578-AD579-AD580</f>
        <v>-79955683.200000003</v>
      </c>
      <c r="AJ575" s="1119">
        <f>SUM(Z575:Z580)-SUM(AD575:AD580)</f>
        <v>0</v>
      </c>
      <c r="AK575" s="1119">
        <f>P575-V575-V578</f>
        <v>1</v>
      </c>
      <c r="AL575" s="1119">
        <f>W575-SUM(Z575:Z580)</f>
        <v>0</v>
      </c>
      <c r="AM575" s="1119">
        <f>AK575+AL575</f>
        <v>1</v>
      </c>
      <c r="AN575" s="1204" t="s">
        <v>523</v>
      </c>
      <c r="AO575" s="1204" t="s">
        <v>783</v>
      </c>
      <c r="AP575" s="1204" t="s">
        <v>194</v>
      </c>
      <c r="AQ575" s="1204" t="s">
        <v>558</v>
      </c>
    </row>
    <row r="576" spans="1:44">
      <c r="A576" s="1076"/>
      <c r="B576" s="1171"/>
      <c r="C576" s="1076"/>
      <c r="D576" s="1076"/>
      <c r="E576" s="1252"/>
      <c r="F576" s="1252"/>
      <c r="G576" s="1076"/>
      <c r="H576" s="1076"/>
      <c r="I576" s="1076"/>
      <c r="J576" s="1076"/>
      <c r="K576" s="1076"/>
      <c r="L576" s="1076"/>
      <c r="M576" s="1251"/>
      <c r="N576" s="1123"/>
      <c r="O576" s="1119"/>
      <c r="P576" s="1119"/>
      <c r="Q576" s="1119"/>
      <c r="R576" s="1171"/>
      <c r="S576" s="1196"/>
      <c r="T576" s="1119"/>
      <c r="U576" s="1119"/>
      <c r="V576" s="1119"/>
      <c r="W576" s="1119"/>
      <c r="X576" s="1076"/>
      <c r="Y576" s="1123"/>
      <c r="Z576" s="386">
        <v>0</v>
      </c>
      <c r="AA576" s="386">
        <v>53303789.799999997</v>
      </c>
      <c r="AB576" s="386">
        <f t="shared" si="34"/>
        <v>53303789.799999997</v>
      </c>
      <c r="AC576" s="1171"/>
      <c r="AD576" s="395">
        <v>53303789.799999997</v>
      </c>
      <c r="AE576" s="395" t="s">
        <v>7</v>
      </c>
      <c r="AF576" s="1084"/>
      <c r="AG576" s="1084"/>
      <c r="AH576" s="358">
        <f t="shared" si="35"/>
        <v>0</v>
      </c>
      <c r="AI576" s="1084"/>
      <c r="AJ576" s="1119"/>
      <c r="AK576" s="1119"/>
      <c r="AL576" s="1119"/>
      <c r="AM576" s="1119"/>
      <c r="AN576" s="1204"/>
      <c r="AO576" s="1204"/>
      <c r="AP576" s="1204"/>
      <c r="AQ576" s="1204"/>
    </row>
    <row r="577" spans="1:44" ht="31.5">
      <c r="A577" s="1076"/>
      <c r="B577" s="1171"/>
      <c r="C577" s="1076"/>
      <c r="D577" s="1076"/>
      <c r="E577" s="1252"/>
      <c r="F577" s="1252"/>
      <c r="G577" s="1076"/>
      <c r="H577" s="1076"/>
      <c r="I577" s="1076"/>
      <c r="J577" s="1076"/>
      <c r="K577" s="1076"/>
      <c r="L577" s="1076"/>
      <c r="M577" s="1251"/>
      <c r="N577" s="1123"/>
      <c r="O577" s="1119"/>
      <c r="P577" s="1119"/>
      <c r="Q577" s="1119"/>
      <c r="R577" s="1171"/>
      <c r="S577" s="1196"/>
      <c r="T577" s="1119"/>
      <c r="U577" s="1119"/>
      <c r="V577" s="1119"/>
      <c r="W577" s="1119"/>
      <c r="X577" s="1076"/>
      <c r="Y577" s="1123" t="s">
        <v>734</v>
      </c>
      <c r="Z577" s="386">
        <v>10564889</v>
      </c>
      <c r="AA577" s="386">
        <v>-4225956</v>
      </c>
      <c r="AB577" s="386">
        <f t="shared" si="34"/>
        <v>6338933</v>
      </c>
      <c r="AC577" s="1171">
        <v>40911</v>
      </c>
      <c r="AD577" s="395">
        <v>6338932.8399999999</v>
      </c>
      <c r="AE577" s="395" t="s">
        <v>137</v>
      </c>
      <c r="AF577" s="1084"/>
      <c r="AG577" s="1084"/>
      <c r="AH577" s="358">
        <f t="shared" si="35"/>
        <v>0.16000000014901161</v>
      </c>
      <c r="AI577" s="1084"/>
      <c r="AJ577" s="1119"/>
      <c r="AK577" s="1119"/>
      <c r="AL577" s="1119"/>
      <c r="AM577" s="1119"/>
      <c r="AN577" s="1204"/>
      <c r="AO577" s="1204"/>
      <c r="AP577" s="1204"/>
      <c r="AQ577" s="1204"/>
    </row>
    <row r="578" spans="1:44" ht="31.5">
      <c r="A578" s="1076"/>
      <c r="B578" s="1171"/>
      <c r="C578" s="1076"/>
      <c r="D578" s="1076"/>
      <c r="E578" s="1252"/>
      <c r="F578" s="1252"/>
      <c r="G578" s="1076"/>
      <c r="H578" s="1076"/>
      <c r="I578" s="1076"/>
      <c r="J578" s="1076"/>
      <c r="K578" s="1076"/>
      <c r="L578" s="1076"/>
      <c r="M578" s="1251"/>
      <c r="N578" s="1123" t="s">
        <v>7</v>
      </c>
      <c r="O578" s="1119">
        <v>133259474</v>
      </c>
      <c r="P578" s="1119"/>
      <c r="Q578" s="1119"/>
      <c r="R578" s="1171"/>
      <c r="S578" s="1196"/>
      <c r="T578" s="1119">
        <v>133259474</v>
      </c>
      <c r="U578" s="1119">
        <f>O578-T578</f>
        <v>0</v>
      </c>
      <c r="V578" s="1119">
        <v>133259473</v>
      </c>
      <c r="W578" s="1119"/>
      <c r="X578" s="1076"/>
      <c r="Y578" s="1123"/>
      <c r="Z578" s="386">
        <v>116602039</v>
      </c>
      <c r="AA578" s="386">
        <v>-46640815</v>
      </c>
      <c r="AB578" s="386">
        <f t="shared" si="34"/>
        <v>69961224</v>
      </c>
      <c r="AC578" s="1171"/>
      <c r="AD578" s="395">
        <v>69961224.159999996</v>
      </c>
      <c r="AE578" s="395" t="s">
        <v>137</v>
      </c>
      <c r="AF578" s="1084"/>
      <c r="AG578" s="1084"/>
      <c r="AH578" s="358">
        <f t="shared" si="35"/>
        <v>-0.15999999642372131</v>
      </c>
      <c r="AI578" s="1084">
        <f>V578-AD576</f>
        <v>79955683.200000003</v>
      </c>
      <c r="AJ578" s="1119"/>
      <c r="AK578" s="1119"/>
      <c r="AL578" s="1119"/>
      <c r="AM578" s="1119"/>
      <c r="AN578" s="1204"/>
      <c r="AO578" s="1204"/>
      <c r="AP578" s="1204"/>
      <c r="AQ578" s="1204"/>
    </row>
    <row r="579" spans="1:44" ht="31.5">
      <c r="A579" s="1076"/>
      <c r="B579" s="1171"/>
      <c r="C579" s="1076"/>
      <c r="D579" s="1076"/>
      <c r="E579" s="1252"/>
      <c r="F579" s="1252"/>
      <c r="G579" s="1076"/>
      <c r="H579" s="1076"/>
      <c r="I579" s="1076"/>
      <c r="J579" s="1076"/>
      <c r="K579" s="1076"/>
      <c r="L579" s="1076"/>
      <c r="M579" s="1251"/>
      <c r="N579" s="1123"/>
      <c r="O579" s="1119"/>
      <c r="P579" s="1119"/>
      <c r="Q579" s="1119"/>
      <c r="R579" s="1171"/>
      <c r="S579" s="1196"/>
      <c r="T579" s="1119"/>
      <c r="U579" s="1119"/>
      <c r="V579" s="1119"/>
      <c r="W579" s="1119"/>
      <c r="X579" s="1076"/>
      <c r="Y579" s="1123" t="s">
        <v>735</v>
      </c>
      <c r="Z579" s="386">
        <v>1509268.8</v>
      </c>
      <c r="AA579" s="386">
        <v>-603707</v>
      </c>
      <c r="AB579" s="386">
        <f t="shared" si="34"/>
        <v>905561.8</v>
      </c>
      <c r="AC579" s="1171">
        <v>41789</v>
      </c>
      <c r="AD579" s="395">
        <v>905561.8</v>
      </c>
      <c r="AE579" s="395" t="s">
        <v>137</v>
      </c>
      <c r="AF579" s="1084"/>
      <c r="AG579" s="1084"/>
      <c r="AH579" s="358">
        <f t="shared" si="35"/>
        <v>0</v>
      </c>
      <c r="AI579" s="1084"/>
      <c r="AJ579" s="1119"/>
      <c r="AK579" s="1119"/>
      <c r="AL579" s="1119"/>
      <c r="AM579" s="1119"/>
      <c r="AN579" s="1204"/>
      <c r="AO579" s="1204"/>
      <c r="AP579" s="1204"/>
      <c r="AQ579" s="1204"/>
    </row>
    <row r="580" spans="1:44" ht="31.5">
      <c r="A580" s="1076"/>
      <c r="B580" s="1171"/>
      <c r="C580" s="1076"/>
      <c r="D580" s="1076"/>
      <c r="E580" s="1252"/>
      <c r="F580" s="1252"/>
      <c r="G580" s="1076"/>
      <c r="H580" s="1076"/>
      <c r="I580" s="1076"/>
      <c r="J580" s="1076"/>
      <c r="K580" s="1076"/>
      <c r="L580" s="1076"/>
      <c r="M580" s="1251"/>
      <c r="N580" s="1123"/>
      <c r="O580" s="1119"/>
      <c r="P580" s="1119"/>
      <c r="Q580" s="1119"/>
      <c r="R580" s="1171"/>
      <c r="S580" s="1196"/>
      <c r="T580" s="1119"/>
      <c r="U580" s="1119"/>
      <c r="V580" s="1119"/>
      <c r="W580" s="1119"/>
      <c r="X580" s="1076"/>
      <c r="Y580" s="1123"/>
      <c r="Z580" s="386">
        <v>16657435.199999999</v>
      </c>
      <c r="AA580" s="386">
        <v>-6662975</v>
      </c>
      <c r="AB580" s="386">
        <f t="shared" si="34"/>
        <v>9994460.1999999993</v>
      </c>
      <c r="AC580" s="1171"/>
      <c r="AD580" s="395">
        <v>9994460.1999999993</v>
      </c>
      <c r="AE580" s="395" t="s">
        <v>137</v>
      </c>
      <c r="AF580" s="1084"/>
      <c r="AG580" s="1084"/>
      <c r="AH580" s="358">
        <f t="shared" si="35"/>
        <v>0</v>
      </c>
      <c r="AI580" s="1084"/>
      <c r="AJ580" s="1119"/>
      <c r="AK580" s="1119"/>
      <c r="AL580" s="1119"/>
      <c r="AM580" s="1119"/>
      <c r="AN580" s="1204"/>
      <c r="AO580" s="1204"/>
      <c r="AP580" s="1204"/>
      <c r="AQ580" s="1204"/>
    </row>
    <row r="581" spans="1:44" ht="63">
      <c r="A581" s="1076" t="s">
        <v>737</v>
      </c>
      <c r="B581" s="1171">
        <v>40450</v>
      </c>
      <c r="C581" s="1076" t="s">
        <v>29</v>
      </c>
      <c r="D581" s="1076" t="s">
        <v>738</v>
      </c>
      <c r="E581" s="1252">
        <v>900384706</v>
      </c>
      <c r="F581" s="1252">
        <v>3</v>
      </c>
      <c r="G581" s="1076" t="s">
        <v>739</v>
      </c>
      <c r="H581" s="1076" t="s">
        <v>70</v>
      </c>
      <c r="I581" s="1076" t="s">
        <v>177</v>
      </c>
      <c r="J581" s="1076" t="s">
        <v>66</v>
      </c>
      <c r="K581" s="1076" t="s">
        <v>49</v>
      </c>
      <c r="L581" s="1076" t="s">
        <v>747</v>
      </c>
      <c r="M581" s="1251">
        <v>124</v>
      </c>
      <c r="N581" s="1123" t="s">
        <v>7</v>
      </c>
      <c r="O581" s="1119">
        <v>231269200</v>
      </c>
      <c r="P581" s="1119">
        <f>O581</f>
        <v>231269200</v>
      </c>
      <c r="Q581" s="1119">
        <f>P581</f>
        <v>231269200</v>
      </c>
      <c r="R581" s="1171">
        <v>40570</v>
      </c>
      <c r="S581" s="1196">
        <f>T581</f>
        <v>231269200</v>
      </c>
      <c r="T581" s="1196">
        <v>231269200</v>
      </c>
      <c r="U581" s="1196">
        <f>O581-T581</f>
        <v>0</v>
      </c>
      <c r="V581" s="1119">
        <v>231269200</v>
      </c>
      <c r="W581" s="1119">
        <v>231269200</v>
      </c>
      <c r="X581" s="1076" t="s">
        <v>740</v>
      </c>
      <c r="Y581" s="372" t="s">
        <v>741</v>
      </c>
      <c r="Z581" s="386">
        <v>0</v>
      </c>
      <c r="AA581" s="386">
        <v>92507680</v>
      </c>
      <c r="AB581" s="386">
        <f t="shared" si="34"/>
        <v>92507680</v>
      </c>
      <c r="AC581" s="384">
        <v>40583</v>
      </c>
      <c r="AD581" s="395">
        <v>92507680</v>
      </c>
      <c r="AE581" s="395" t="s">
        <v>7</v>
      </c>
      <c r="AF581" s="1084">
        <f>SUM(AD581:AD586)</f>
        <v>217393048</v>
      </c>
      <c r="AG581" s="1084">
        <f>AF581</f>
        <v>217393048</v>
      </c>
      <c r="AH581" s="358">
        <f t="shared" si="35"/>
        <v>0</v>
      </c>
      <c r="AI581" s="1084">
        <f>O581-AD581-AD582-AD583-AD584-AD585-AD586</f>
        <v>13876152</v>
      </c>
      <c r="AJ581" s="1119">
        <f>SUM(Z581:Z586)-SUM(AD581:AD586)</f>
        <v>-770768</v>
      </c>
      <c r="AK581" s="1119">
        <f>P581-V581</f>
        <v>0</v>
      </c>
      <c r="AL581" s="1119">
        <f>V581-SUM(Z581:Z586)+AJ581</f>
        <v>13876152</v>
      </c>
      <c r="AM581" s="1119"/>
      <c r="AN581" s="1249" t="s">
        <v>746</v>
      </c>
      <c r="AO581" s="1248" t="s">
        <v>748</v>
      </c>
      <c r="AP581" s="1249" t="s">
        <v>194</v>
      </c>
      <c r="AQ581" s="1249" t="s">
        <v>558</v>
      </c>
    </row>
    <row r="582" spans="1:44" ht="47.25">
      <c r="A582" s="1076"/>
      <c r="B582" s="1171"/>
      <c r="C582" s="1076"/>
      <c r="D582" s="1076"/>
      <c r="E582" s="1252"/>
      <c r="F582" s="1252"/>
      <c r="G582" s="1076"/>
      <c r="H582" s="1076"/>
      <c r="I582" s="1076"/>
      <c r="J582" s="1076"/>
      <c r="K582" s="1076"/>
      <c r="L582" s="1076"/>
      <c r="M582" s="1251"/>
      <c r="N582" s="1123"/>
      <c r="O582" s="1119"/>
      <c r="P582" s="1119"/>
      <c r="Q582" s="1119"/>
      <c r="R582" s="1171"/>
      <c r="S582" s="1196"/>
      <c r="T582" s="1196"/>
      <c r="U582" s="1196"/>
      <c r="V582" s="1119"/>
      <c r="W582" s="1119"/>
      <c r="X582" s="1076"/>
      <c r="Y582" s="372" t="s">
        <v>742</v>
      </c>
      <c r="Z582" s="386">
        <v>57817300</v>
      </c>
      <c r="AA582" s="386">
        <v>-23126920</v>
      </c>
      <c r="AB582" s="386">
        <f t="shared" si="34"/>
        <v>34690380</v>
      </c>
      <c r="AC582" s="384">
        <v>40676</v>
      </c>
      <c r="AD582" s="395">
        <v>34690380</v>
      </c>
      <c r="AE582" s="395" t="s">
        <v>7</v>
      </c>
      <c r="AF582" s="1084"/>
      <c r="AG582" s="1084"/>
      <c r="AH582" s="358">
        <f t="shared" si="35"/>
        <v>0</v>
      </c>
      <c r="AI582" s="1084"/>
      <c r="AJ582" s="1119"/>
      <c r="AK582" s="1119"/>
      <c r="AL582" s="1119"/>
      <c r="AM582" s="1119"/>
      <c r="AN582" s="1249"/>
      <c r="AO582" s="1249"/>
      <c r="AP582" s="1249"/>
      <c r="AQ582" s="1249"/>
    </row>
    <row r="583" spans="1:44" ht="78.75">
      <c r="A583" s="1076"/>
      <c r="B583" s="1171"/>
      <c r="C583" s="1076"/>
      <c r="D583" s="1076"/>
      <c r="E583" s="1252"/>
      <c r="F583" s="1252"/>
      <c r="G583" s="1076"/>
      <c r="H583" s="1076"/>
      <c r="I583" s="1076"/>
      <c r="J583" s="1076"/>
      <c r="K583" s="1076"/>
      <c r="L583" s="1076"/>
      <c r="M583" s="1251"/>
      <c r="N583" s="1123"/>
      <c r="O583" s="1119"/>
      <c r="P583" s="1119"/>
      <c r="Q583" s="1119"/>
      <c r="R583" s="1171"/>
      <c r="S583" s="1196"/>
      <c r="T583" s="1196"/>
      <c r="U583" s="1196"/>
      <c r="V583" s="1119"/>
      <c r="W583" s="1119"/>
      <c r="X583" s="1076"/>
      <c r="Y583" s="372" t="s">
        <v>743</v>
      </c>
      <c r="Z583" s="386">
        <v>57817300</v>
      </c>
      <c r="AA583" s="386">
        <v>-23126920</v>
      </c>
      <c r="AB583" s="386">
        <f t="shared" si="34"/>
        <v>34690380</v>
      </c>
      <c r="AC583" s="384">
        <v>40732</v>
      </c>
      <c r="AD583" s="395">
        <v>34690380</v>
      </c>
      <c r="AE583" s="395" t="s">
        <v>7</v>
      </c>
      <c r="AF583" s="1084"/>
      <c r="AG583" s="1084"/>
      <c r="AH583" s="358">
        <f t="shared" si="35"/>
        <v>0</v>
      </c>
      <c r="AI583" s="1084"/>
      <c r="AJ583" s="1119"/>
      <c r="AK583" s="1119"/>
      <c r="AL583" s="1119"/>
      <c r="AM583" s="1119"/>
      <c r="AN583" s="1249"/>
      <c r="AO583" s="1249"/>
      <c r="AP583" s="1249"/>
      <c r="AQ583" s="1249"/>
    </row>
    <row r="584" spans="1:44" ht="94.5">
      <c r="A584" s="1076"/>
      <c r="B584" s="1171"/>
      <c r="C584" s="1076"/>
      <c r="D584" s="1076"/>
      <c r="E584" s="1252"/>
      <c r="F584" s="1252"/>
      <c r="G584" s="1076"/>
      <c r="H584" s="1076"/>
      <c r="I584" s="1076"/>
      <c r="J584" s="1076"/>
      <c r="K584" s="1076"/>
      <c r="L584" s="1076"/>
      <c r="M584" s="1251"/>
      <c r="N584" s="1123"/>
      <c r="O584" s="1119"/>
      <c r="P584" s="1119"/>
      <c r="Q584" s="1119"/>
      <c r="R584" s="1171"/>
      <c r="S584" s="1196"/>
      <c r="T584" s="1196"/>
      <c r="U584" s="1196"/>
      <c r="V584" s="1119"/>
      <c r="W584" s="1119"/>
      <c r="X584" s="1076"/>
      <c r="Y584" s="372" t="s">
        <v>744</v>
      </c>
      <c r="Z584" s="386">
        <v>57817300</v>
      </c>
      <c r="AA584" s="386">
        <v>-23126920</v>
      </c>
      <c r="AB584" s="386">
        <f t="shared" si="34"/>
        <v>34690380</v>
      </c>
      <c r="AC584" s="384">
        <v>40815</v>
      </c>
      <c r="AD584" s="395">
        <v>34690380</v>
      </c>
      <c r="AE584" s="395" t="s">
        <v>7</v>
      </c>
      <c r="AF584" s="1084"/>
      <c r="AG584" s="1084"/>
      <c r="AH584" s="358">
        <f t="shared" si="35"/>
        <v>0</v>
      </c>
      <c r="AI584" s="1084"/>
      <c r="AJ584" s="1119"/>
      <c r="AK584" s="1119"/>
      <c r="AL584" s="1119"/>
      <c r="AM584" s="1119"/>
      <c r="AN584" s="1249"/>
      <c r="AO584" s="1249"/>
      <c r="AP584" s="1249"/>
      <c r="AQ584" s="1249"/>
    </row>
    <row r="585" spans="1:44" ht="31.5">
      <c r="A585" s="1076"/>
      <c r="B585" s="1171"/>
      <c r="C585" s="1076"/>
      <c r="D585" s="1076"/>
      <c r="E585" s="1252"/>
      <c r="F585" s="1252"/>
      <c r="G585" s="1076"/>
      <c r="H585" s="1076"/>
      <c r="I585" s="1076"/>
      <c r="J585" s="1076"/>
      <c r="K585" s="1076"/>
      <c r="L585" s="1076"/>
      <c r="M585" s="1251"/>
      <c r="N585" s="1123"/>
      <c r="O585" s="1119"/>
      <c r="P585" s="1119"/>
      <c r="Q585" s="1119"/>
      <c r="R585" s="1171"/>
      <c r="S585" s="1196"/>
      <c r="T585" s="1196"/>
      <c r="U585" s="1196"/>
      <c r="V585" s="1119"/>
      <c r="W585" s="1119"/>
      <c r="X585" s="1076"/>
      <c r="Y585" s="372" t="s">
        <v>745</v>
      </c>
      <c r="Z585" s="386">
        <v>43170380</v>
      </c>
      <c r="AA585" s="386">
        <v>-22356152</v>
      </c>
      <c r="AB585" s="386">
        <f t="shared" si="34"/>
        <v>20814228</v>
      </c>
      <c r="AC585" s="384">
        <v>40875</v>
      </c>
      <c r="AD585" s="395">
        <v>20814228</v>
      </c>
      <c r="AE585" s="395" t="s">
        <v>7</v>
      </c>
      <c r="AF585" s="1084"/>
      <c r="AG585" s="1084"/>
      <c r="AH585" s="358">
        <f t="shared" si="35"/>
        <v>0</v>
      </c>
      <c r="AI585" s="1084"/>
      <c r="AJ585" s="1119"/>
      <c r="AK585" s="1119"/>
      <c r="AL585" s="1119"/>
      <c r="AM585" s="1119"/>
      <c r="AN585" s="1249"/>
      <c r="AO585" s="1249"/>
      <c r="AP585" s="1249"/>
      <c r="AQ585" s="1249"/>
    </row>
    <row r="586" spans="1:44">
      <c r="A586" s="1076"/>
      <c r="B586" s="1171"/>
      <c r="C586" s="1076"/>
      <c r="D586" s="1076"/>
      <c r="E586" s="1252"/>
      <c r="F586" s="1252"/>
      <c r="G586" s="1076"/>
      <c r="H586" s="1076"/>
      <c r="I586" s="1076"/>
      <c r="J586" s="1076"/>
      <c r="K586" s="1076"/>
      <c r="L586" s="1076"/>
      <c r="M586" s="1251"/>
      <c r="N586" s="1123"/>
      <c r="O586" s="1119"/>
      <c r="P586" s="1119"/>
      <c r="Q586" s="1119"/>
      <c r="R586" s="1171"/>
      <c r="S586" s="1196"/>
      <c r="T586" s="1196"/>
      <c r="U586" s="1196"/>
      <c r="V586" s="1119"/>
      <c r="W586" s="1119"/>
      <c r="X586" s="1076"/>
      <c r="Y586" s="372"/>
      <c r="Z586" s="386"/>
      <c r="AA586" s="386"/>
      <c r="AB586" s="386">
        <f t="shared" si="34"/>
        <v>0</v>
      </c>
      <c r="AC586" s="384"/>
      <c r="AD586" s="395"/>
      <c r="AE586" s="395"/>
      <c r="AF586" s="1084"/>
      <c r="AG586" s="1084"/>
      <c r="AH586" s="358">
        <f t="shared" si="35"/>
        <v>0</v>
      </c>
      <c r="AI586" s="1084"/>
      <c r="AJ586" s="1119"/>
      <c r="AK586" s="1119"/>
      <c r="AL586" s="1119"/>
      <c r="AM586" s="1119"/>
      <c r="AN586" s="1249"/>
      <c r="AO586" s="1249"/>
      <c r="AP586" s="1249"/>
      <c r="AQ586" s="1249"/>
    </row>
    <row r="587" spans="1:44" ht="47.25">
      <c r="A587" s="1011" t="s">
        <v>2112</v>
      </c>
      <c r="B587" s="1068">
        <v>40455</v>
      </c>
      <c r="C587" s="1011" t="s">
        <v>15</v>
      </c>
      <c r="D587" s="1011" t="s">
        <v>2111</v>
      </c>
      <c r="E587" s="1071">
        <v>10524510</v>
      </c>
      <c r="F587" s="1071"/>
      <c r="G587" s="1011" t="s">
        <v>2110</v>
      </c>
      <c r="H587" s="1011" t="s">
        <v>72</v>
      </c>
      <c r="I587" s="1011" t="s">
        <v>206</v>
      </c>
      <c r="J587" s="1011" t="s">
        <v>66</v>
      </c>
      <c r="K587" s="1011" t="s">
        <v>183</v>
      </c>
      <c r="L587" s="1011" t="s">
        <v>2109</v>
      </c>
      <c r="M587" s="1009">
        <v>143</v>
      </c>
      <c r="N587" s="1065" t="s">
        <v>7</v>
      </c>
      <c r="O587" s="1062">
        <v>96222000</v>
      </c>
      <c r="P587" s="1062">
        <v>96222000</v>
      </c>
      <c r="Q587" s="1062">
        <v>96222000</v>
      </c>
      <c r="R587" s="1068">
        <v>40647</v>
      </c>
      <c r="S587" s="1092">
        <f>T587</f>
        <v>96222000</v>
      </c>
      <c r="T587" s="1092">
        <v>96222000</v>
      </c>
      <c r="U587" s="1092">
        <f>P587-T587</f>
        <v>0</v>
      </c>
      <c r="V587" s="1043">
        <v>96222000</v>
      </c>
      <c r="W587" s="1043">
        <v>96222000</v>
      </c>
      <c r="X587" s="1011" t="s">
        <v>2108</v>
      </c>
      <c r="Y587" s="372" t="s">
        <v>2107</v>
      </c>
      <c r="Z587" s="386">
        <v>0</v>
      </c>
      <c r="AA587" s="386">
        <v>38488800</v>
      </c>
      <c r="AB587" s="386">
        <f>Z587+AA587</f>
        <v>38488800</v>
      </c>
      <c r="AC587" s="384">
        <v>40690</v>
      </c>
      <c r="AD587" s="395">
        <v>38488800</v>
      </c>
      <c r="AE587" s="371" t="s">
        <v>7</v>
      </c>
      <c r="AF587" s="1043">
        <f>AD587+AD588</f>
        <v>96222000</v>
      </c>
      <c r="AG587" s="1043">
        <f>AF587</f>
        <v>96222000</v>
      </c>
      <c r="AH587" s="358">
        <f>AB587-AD587</f>
        <v>0</v>
      </c>
      <c r="AI587" s="1043">
        <f>P587-AF587</f>
        <v>0</v>
      </c>
      <c r="AJ587" s="1062">
        <f>SUM(Z587:Z588)-SUM(AD587:AD588)</f>
        <v>0</v>
      </c>
      <c r="AK587" s="1062">
        <f>P587-V587</f>
        <v>0</v>
      </c>
      <c r="AL587" s="1062">
        <f>V587-Z587-Z588</f>
        <v>0</v>
      </c>
      <c r="AM587" s="1062">
        <f>AK587+AL587</f>
        <v>0</v>
      </c>
      <c r="AN587" s="1108" t="s">
        <v>2106</v>
      </c>
      <c r="AO587" s="1103" t="s">
        <v>2105</v>
      </c>
      <c r="AP587" s="1103" t="s">
        <v>194</v>
      </c>
      <c r="AQ587" s="1103" t="s">
        <v>1911</v>
      </c>
    </row>
    <row r="588" spans="1:44">
      <c r="A588" s="1012"/>
      <c r="B588" s="1070"/>
      <c r="C588" s="1012"/>
      <c r="D588" s="1012"/>
      <c r="E588" s="1073"/>
      <c r="F588" s="1073"/>
      <c r="G588" s="1012"/>
      <c r="H588" s="1012"/>
      <c r="I588" s="1012"/>
      <c r="J588" s="1012"/>
      <c r="K588" s="1012"/>
      <c r="L588" s="1012"/>
      <c r="M588" s="1010"/>
      <c r="N588" s="1067"/>
      <c r="O588" s="1064"/>
      <c r="P588" s="1064"/>
      <c r="Q588" s="1064"/>
      <c r="R588" s="1070"/>
      <c r="S588" s="1094"/>
      <c r="T588" s="1094"/>
      <c r="U588" s="1094"/>
      <c r="V588" s="1045"/>
      <c r="W588" s="1045"/>
      <c r="X588" s="1012"/>
      <c r="Y588" s="372" t="s">
        <v>2104</v>
      </c>
      <c r="Z588" s="386">
        <v>96222000</v>
      </c>
      <c r="AA588" s="386">
        <v>-38488800</v>
      </c>
      <c r="AB588" s="386">
        <f>Z588+AA588</f>
        <v>57733200</v>
      </c>
      <c r="AC588" s="384">
        <v>43095</v>
      </c>
      <c r="AD588" s="395">
        <v>57733200</v>
      </c>
      <c r="AE588" s="371" t="s">
        <v>7</v>
      </c>
      <c r="AF588" s="1045"/>
      <c r="AG588" s="1045"/>
      <c r="AH588" s="358">
        <f>AB588-AD588</f>
        <v>0</v>
      </c>
      <c r="AI588" s="1045"/>
      <c r="AJ588" s="1064"/>
      <c r="AK588" s="1064"/>
      <c r="AL588" s="1064"/>
      <c r="AM588" s="1064"/>
      <c r="AN588" s="1110"/>
      <c r="AO588" s="1105"/>
      <c r="AP588" s="1105"/>
      <c r="AQ588" s="1105"/>
    </row>
    <row r="589" spans="1:44" ht="63">
      <c r="A589" s="1076" t="s">
        <v>749</v>
      </c>
      <c r="B589" s="1171">
        <v>40455</v>
      </c>
      <c r="C589" s="1076" t="s">
        <v>15</v>
      </c>
      <c r="D589" s="1076" t="s">
        <v>598</v>
      </c>
      <c r="E589" s="1252">
        <v>900368699</v>
      </c>
      <c r="F589" s="1252">
        <v>2</v>
      </c>
      <c r="G589" s="1076" t="s">
        <v>750</v>
      </c>
      <c r="H589" s="1076" t="s">
        <v>72</v>
      </c>
      <c r="I589" s="1076" t="s">
        <v>177</v>
      </c>
      <c r="J589" s="1076" t="s">
        <v>66</v>
      </c>
      <c r="K589" s="1076" t="s">
        <v>50</v>
      </c>
      <c r="L589" s="1076" t="s">
        <v>753</v>
      </c>
      <c r="M589" s="1251">
        <v>144</v>
      </c>
      <c r="N589" s="1123" t="s">
        <v>7</v>
      </c>
      <c r="O589" s="1119">
        <v>57362000</v>
      </c>
      <c r="P589" s="1119">
        <f>O589</f>
        <v>57362000</v>
      </c>
      <c r="Q589" s="1119">
        <f>P589+P592</f>
        <v>86043000</v>
      </c>
      <c r="R589" s="1171">
        <v>40647</v>
      </c>
      <c r="S589" s="1196">
        <f>T589</f>
        <v>57362000</v>
      </c>
      <c r="T589" s="1119">
        <v>57362000</v>
      </c>
      <c r="U589" s="1119">
        <f>O589-T589</f>
        <v>0</v>
      </c>
      <c r="V589" s="1119">
        <v>57362000</v>
      </c>
      <c r="W589" s="1119">
        <v>86043000</v>
      </c>
      <c r="X589" s="1076" t="s">
        <v>751</v>
      </c>
      <c r="Y589" s="372" t="s">
        <v>752</v>
      </c>
      <c r="Z589" s="386">
        <v>0</v>
      </c>
      <c r="AA589" s="386">
        <v>22944800</v>
      </c>
      <c r="AB589" s="386">
        <f t="shared" si="34"/>
        <v>22944800</v>
      </c>
      <c r="AC589" s="384">
        <v>40690</v>
      </c>
      <c r="AD589" s="395">
        <v>22944800</v>
      </c>
      <c r="AE589" s="395" t="s">
        <v>7</v>
      </c>
      <c r="AF589" s="1084">
        <f>SUM(AD589:AD591)</f>
        <v>47036840</v>
      </c>
      <c r="AG589" s="1084">
        <f>AF589+AF592</f>
        <v>67113540</v>
      </c>
      <c r="AH589" s="358">
        <f t="shared" si="35"/>
        <v>0</v>
      </c>
      <c r="AI589" s="1084">
        <f>V589-Z589-Z590-Z591</f>
        <v>0</v>
      </c>
      <c r="AJ589" s="1119">
        <f>SUM(Z589:Z591)-SUM(AD589:AD591)</f>
        <v>10325160</v>
      </c>
      <c r="AK589" s="1119">
        <f>P589-V589</f>
        <v>0</v>
      </c>
      <c r="AL589" s="1119">
        <f>V589-SUM(Z589:Z591)</f>
        <v>0</v>
      </c>
      <c r="AM589" s="1119">
        <f>AK589+AL589</f>
        <v>0</v>
      </c>
      <c r="AN589" s="1203" t="s">
        <v>757</v>
      </c>
      <c r="AO589" s="1203" t="s">
        <v>1702</v>
      </c>
      <c r="AP589" s="1203" t="s">
        <v>194</v>
      </c>
      <c r="AQ589" s="1203" t="s">
        <v>558</v>
      </c>
      <c r="AR589" s="1074" t="s">
        <v>2500</v>
      </c>
    </row>
    <row r="590" spans="1:44" ht="63">
      <c r="A590" s="1076"/>
      <c r="B590" s="1171"/>
      <c r="C590" s="1076"/>
      <c r="D590" s="1076"/>
      <c r="E590" s="1252"/>
      <c r="F590" s="1252"/>
      <c r="G590" s="1076"/>
      <c r="H590" s="1076"/>
      <c r="I590" s="1076"/>
      <c r="J590" s="1076"/>
      <c r="K590" s="1076"/>
      <c r="L590" s="1076"/>
      <c r="M590" s="1251"/>
      <c r="N590" s="1123"/>
      <c r="O590" s="1119"/>
      <c r="P590" s="1119"/>
      <c r="Q590" s="1119"/>
      <c r="R590" s="1171"/>
      <c r="S590" s="1196"/>
      <c r="T590" s="1119"/>
      <c r="U590" s="1119"/>
      <c r="V590" s="1119"/>
      <c r="W590" s="1119"/>
      <c r="X590" s="1076"/>
      <c r="Y590" s="372" t="s">
        <v>754</v>
      </c>
      <c r="Z590" s="386">
        <v>40153400</v>
      </c>
      <c r="AA590" s="386">
        <v>-16061360</v>
      </c>
      <c r="AB590" s="386">
        <f t="shared" si="34"/>
        <v>24092040</v>
      </c>
      <c r="AC590" s="384">
        <v>41554</v>
      </c>
      <c r="AD590" s="395">
        <v>24092040</v>
      </c>
      <c r="AE590" s="395" t="s">
        <v>7</v>
      </c>
      <c r="AF590" s="1084"/>
      <c r="AG590" s="1084"/>
      <c r="AH590" s="358">
        <f t="shared" si="35"/>
        <v>0</v>
      </c>
      <c r="AI590" s="1084"/>
      <c r="AJ590" s="1119"/>
      <c r="AK590" s="1119"/>
      <c r="AL590" s="1119"/>
      <c r="AM590" s="1119"/>
      <c r="AN590" s="1203"/>
      <c r="AO590" s="1203"/>
      <c r="AP590" s="1203"/>
      <c r="AQ590" s="1203"/>
      <c r="AR590" s="1074"/>
    </row>
    <row r="591" spans="1:44">
      <c r="A591" s="1076"/>
      <c r="B591" s="1171"/>
      <c r="C591" s="1076"/>
      <c r="D591" s="1076"/>
      <c r="E591" s="1252"/>
      <c r="F591" s="1252"/>
      <c r="G591" s="1076"/>
      <c r="H591" s="1076"/>
      <c r="I591" s="1076"/>
      <c r="J591" s="1076"/>
      <c r="K591" s="1076"/>
      <c r="L591" s="1076"/>
      <c r="M591" s="1251"/>
      <c r="N591" s="1123"/>
      <c r="O591" s="1119"/>
      <c r="P591" s="1119"/>
      <c r="Q591" s="1119"/>
      <c r="R591" s="1171"/>
      <c r="S591" s="1196"/>
      <c r="T591" s="1119"/>
      <c r="U591" s="1119"/>
      <c r="V591" s="1119"/>
      <c r="W591" s="1119"/>
      <c r="X591" s="1076"/>
      <c r="Y591" s="372" t="s">
        <v>756</v>
      </c>
      <c r="Z591" s="386">
        <v>17208600</v>
      </c>
      <c r="AA591" s="386">
        <v>-6883440</v>
      </c>
      <c r="AB591" s="386">
        <f t="shared" si="34"/>
        <v>10325160</v>
      </c>
      <c r="AC591" s="384"/>
      <c r="AD591" s="395">
        <v>0</v>
      </c>
      <c r="AE591" s="395"/>
      <c r="AF591" s="1084"/>
      <c r="AG591" s="1084"/>
      <c r="AH591" s="358">
        <f t="shared" si="35"/>
        <v>10325160</v>
      </c>
      <c r="AI591" s="1084"/>
      <c r="AJ591" s="1119"/>
      <c r="AK591" s="1119"/>
      <c r="AL591" s="1119"/>
      <c r="AM591" s="1119"/>
      <c r="AN591" s="1203"/>
      <c r="AO591" s="1203"/>
      <c r="AP591" s="1203"/>
      <c r="AQ591" s="1203"/>
      <c r="AR591" s="1074"/>
    </row>
    <row r="592" spans="1:44" ht="63">
      <c r="A592" s="1076"/>
      <c r="B592" s="1171"/>
      <c r="C592" s="1076"/>
      <c r="D592" s="1076"/>
      <c r="E592" s="1252"/>
      <c r="F592" s="1252"/>
      <c r="G592" s="1076"/>
      <c r="H592" s="1076"/>
      <c r="I592" s="1076"/>
      <c r="J592" s="1076" t="s">
        <v>171</v>
      </c>
      <c r="K592" s="1076"/>
      <c r="L592" s="1076"/>
      <c r="M592" s="1251">
        <v>174</v>
      </c>
      <c r="N592" s="1123" t="s">
        <v>7</v>
      </c>
      <c r="O592" s="1119">
        <v>28681000</v>
      </c>
      <c r="P592" s="1119">
        <f>O592</f>
        <v>28681000</v>
      </c>
      <c r="Q592" s="1119"/>
      <c r="R592" s="1171"/>
      <c r="S592" s="1196"/>
      <c r="T592" s="1119"/>
      <c r="U592" s="1119"/>
      <c r="V592" s="1119">
        <v>28681000</v>
      </c>
      <c r="W592" s="1119"/>
      <c r="X592" s="1076"/>
      <c r="Y592" s="372" t="s">
        <v>755</v>
      </c>
      <c r="Z592" s="386">
        <v>20076700</v>
      </c>
      <c r="AA592" s="386">
        <v>0</v>
      </c>
      <c r="AB592" s="386">
        <f t="shared" si="34"/>
        <v>20076700</v>
      </c>
      <c r="AC592" s="384">
        <v>41554</v>
      </c>
      <c r="AD592" s="395">
        <v>20076700</v>
      </c>
      <c r="AE592" s="395" t="s">
        <v>7</v>
      </c>
      <c r="AF592" s="1084">
        <f>SUM(AD592:AD593)</f>
        <v>20076700</v>
      </c>
      <c r="AG592" s="1084"/>
      <c r="AH592" s="358">
        <f t="shared" si="35"/>
        <v>0</v>
      </c>
      <c r="AI592" s="1084">
        <f>V592-Z592-Z593</f>
        <v>0</v>
      </c>
      <c r="AJ592" s="1119">
        <f>SUM(Z592:Z593)-SUM(AD592:AD593)</f>
        <v>8604300</v>
      </c>
      <c r="AK592" s="1119">
        <f>P592-V592</f>
        <v>0</v>
      </c>
      <c r="AL592" s="1119">
        <f>V592-SUM(Z592:Z593)</f>
        <v>0</v>
      </c>
      <c r="AM592" s="1119">
        <f>AK592+AL592</f>
        <v>0</v>
      </c>
      <c r="AN592" s="1203"/>
      <c r="AO592" s="1203"/>
      <c r="AP592" s="1203"/>
      <c r="AQ592" s="1203"/>
      <c r="AR592" s="1074"/>
    </row>
    <row r="593" spans="1:44">
      <c r="A593" s="1076"/>
      <c r="B593" s="1171"/>
      <c r="C593" s="1076"/>
      <c r="D593" s="1076"/>
      <c r="E593" s="1252"/>
      <c r="F593" s="1252"/>
      <c r="G593" s="1076"/>
      <c r="H593" s="1076"/>
      <c r="I593" s="1076"/>
      <c r="J593" s="1076"/>
      <c r="K593" s="1076"/>
      <c r="L593" s="1076"/>
      <c r="M593" s="1251"/>
      <c r="N593" s="1123"/>
      <c r="O593" s="1119"/>
      <c r="P593" s="1119"/>
      <c r="Q593" s="1119"/>
      <c r="R593" s="1171"/>
      <c r="S593" s="1196"/>
      <c r="T593" s="1119"/>
      <c r="U593" s="1119"/>
      <c r="V593" s="1119"/>
      <c r="W593" s="1119"/>
      <c r="X593" s="1076"/>
      <c r="Y593" s="372" t="s">
        <v>756</v>
      </c>
      <c r="Z593" s="386">
        <v>8604300</v>
      </c>
      <c r="AA593" s="386">
        <v>0</v>
      </c>
      <c r="AB593" s="386">
        <f t="shared" si="34"/>
        <v>8604300</v>
      </c>
      <c r="AC593" s="384"/>
      <c r="AD593" s="395">
        <v>0</v>
      </c>
      <c r="AE593" s="395"/>
      <c r="AF593" s="1084"/>
      <c r="AG593" s="1084"/>
      <c r="AH593" s="358">
        <f t="shared" si="35"/>
        <v>8604300</v>
      </c>
      <c r="AI593" s="1084"/>
      <c r="AJ593" s="1119"/>
      <c r="AK593" s="1119"/>
      <c r="AL593" s="1119"/>
      <c r="AM593" s="1119"/>
      <c r="AN593" s="1203"/>
      <c r="AO593" s="1203"/>
      <c r="AP593" s="1203"/>
      <c r="AQ593" s="1203"/>
      <c r="AR593" s="1074"/>
    </row>
    <row r="594" spans="1:44" s="4" customFormat="1" ht="31.5">
      <c r="A594" s="1011" t="s">
        <v>2113</v>
      </c>
      <c r="B594" s="1068">
        <v>40455</v>
      </c>
      <c r="C594" s="1011" t="s">
        <v>10</v>
      </c>
      <c r="D594" s="1011" t="s">
        <v>2120</v>
      </c>
      <c r="E594" s="1011">
        <v>900368699</v>
      </c>
      <c r="F594" s="1011">
        <v>2</v>
      </c>
      <c r="G594" s="1011" t="s">
        <v>2119</v>
      </c>
      <c r="H594" s="1011" t="s">
        <v>72</v>
      </c>
      <c r="I594" s="1011" t="s">
        <v>206</v>
      </c>
      <c r="J594" s="1011" t="s">
        <v>66</v>
      </c>
      <c r="K594" s="1011" t="s">
        <v>49</v>
      </c>
      <c r="L594" s="1011" t="s">
        <v>2118</v>
      </c>
      <c r="M594" s="1009">
        <v>166</v>
      </c>
      <c r="N594" s="1065" t="s">
        <v>7</v>
      </c>
      <c r="O594" s="1062">
        <v>188642825</v>
      </c>
      <c r="P594" s="1062">
        <v>188642825</v>
      </c>
      <c r="Q594" s="1062">
        <f>SUM(O594:O597)</f>
        <v>282950825</v>
      </c>
      <c r="R594" s="1068">
        <v>40701</v>
      </c>
      <c r="S594" s="1089">
        <f>T594</f>
        <v>188642825</v>
      </c>
      <c r="T594" s="1089">
        <v>188642825</v>
      </c>
      <c r="U594" s="1089">
        <f>P594-T594</f>
        <v>0</v>
      </c>
      <c r="V594" s="1062">
        <v>188642825</v>
      </c>
      <c r="W594" s="1062">
        <f>V594+V597</f>
        <v>282950825</v>
      </c>
      <c r="X594" s="1011"/>
      <c r="Y594" s="372" t="s">
        <v>2117</v>
      </c>
      <c r="Z594" s="386">
        <v>0</v>
      </c>
      <c r="AA594" s="386">
        <v>75457130</v>
      </c>
      <c r="AB594" s="386">
        <f>Z594+AA594</f>
        <v>75457130</v>
      </c>
      <c r="AC594" s="384">
        <v>40736</v>
      </c>
      <c r="AD594" s="395">
        <v>75457130</v>
      </c>
      <c r="AE594" s="372" t="s">
        <v>7</v>
      </c>
      <c r="AF594" s="1043">
        <f>SUM(AD594:AD596)</f>
        <v>188642825</v>
      </c>
      <c r="AG594" s="1043">
        <f>AF594+AF597</f>
        <v>235794142.5</v>
      </c>
      <c r="AH594" s="358">
        <f>AB594-AD594</f>
        <v>0</v>
      </c>
      <c r="AI594" s="1043">
        <f>P594-AF594</f>
        <v>0</v>
      </c>
      <c r="AJ594" s="1043">
        <f>SUM(Z594:Z598)-SUM(AD594:AD598)</f>
        <v>0</v>
      </c>
      <c r="AK594" s="1043">
        <f>P594-V594</f>
        <v>0</v>
      </c>
      <c r="AL594" s="1043">
        <f>V594-SUM(Z594:Z596)</f>
        <v>0</v>
      </c>
      <c r="AM594" s="1043"/>
      <c r="AN594" s="1023"/>
      <c r="AO594" s="1023" t="s">
        <v>2116</v>
      </c>
      <c r="AP594" s="1023" t="s">
        <v>195</v>
      </c>
      <c r="AQ594" s="1023" t="s">
        <v>1911</v>
      </c>
    </row>
    <row r="595" spans="1:44" s="4" customFormat="1" ht="31.5">
      <c r="A595" s="1033"/>
      <c r="B595" s="1069"/>
      <c r="C595" s="1033"/>
      <c r="D595" s="1033"/>
      <c r="E595" s="1033"/>
      <c r="F595" s="1033"/>
      <c r="G595" s="1033"/>
      <c r="H595" s="1033"/>
      <c r="I595" s="1033"/>
      <c r="J595" s="1033"/>
      <c r="K595" s="1033"/>
      <c r="L595" s="1033"/>
      <c r="M595" s="1039"/>
      <c r="N595" s="1066"/>
      <c r="O595" s="1063"/>
      <c r="P595" s="1063"/>
      <c r="Q595" s="1063"/>
      <c r="R595" s="1069"/>
      <c r="S595" s="1090"/>
      <c r="T595" s="1090"/>
      <c r="U595" s="1090"/>
      <c r="V595" s="1063"/>
      <c r="W595" s="1063"/>
      <c r="X595" s="1033"/>
      <c r="Y595" s="372" t="s">
        <v>2115</v>
      </c>
      <c r="Z595" s="386">
        <v>122617836.25</v>
      </c>
      <c r="AA595" s="386">
        <v>-49047134.5</v>
      </c>
      <c r="AB595" s="386">
        <f>Z595+AA595</f>
        <v>73570701.75</v>
      </c>
      <c r="AC595" s="384">
        <v>41988</v>
      </c>
      <c r="AD595" s="395">
        <v>73570701.75</v>
      </c>
      <c r="AE595" s="372" t="s">
        <v>7</v>
      </c>
      <c r="AF595" s="1044"/>
      <c r="AG595" s="1044"/>
      <c r="AH595" s="358">
        <f>AB595-AD595</f>
        <v>0</v>
      </c>
      <c r="AI595" s="1044"/>
      <c r="AJ595" s="1044"/>
      <c r="AK595" s="1044"/>
      <c r="AL595" s="1044"/>
      <c r="AM595" s="1044"/>
      <c r="AN595" s="1124"/>
      <c r="AO595" s="1124"/>
      <c r="AP595" s="1124"/>
      <c r="AQ595" s="1124"/>
    </row>
    <row r="596" spans="1:44" s="4" customFormat="1" ht="47.25">
      <c r="A596" s="1033"/>
      <c r="B596" s="1069"/>
      <c r="C596" s="1033"/>
      <c r="D596" s="1033"/>
      <c r="E596" s="1033"/>
      <c r="F596" s="1033"/>
      <c r="G596" s="1033"/>
      <c r="H596" s="1033"/>
      <c r="I596" s="1033"/>
      <c r="J596" s="1033"/>
      <c r="K596" s="1033"/>
      <c r="L596" s="1033"/>
      <c r="M596" s="1039"/>
      <c r="N596" s="1067"/>
      <c r="O596" s="1064"/>
      <c r="P596" s="1064"/>
      <c r="Q596" s="1063"/>
      <c r="R596" s="1070"/>
      <c r="S596" s="1091"/>
      <c r="T596" s="1091"/>
      <c r="U596" s="1091"/>
      <c r="V596" s="1064"/>
      <c r="W596" s="1063"/>
      <c r="X596" s="1033"/>
      <c r="Y596" s="372" t="s">
        <v>2114</v>
      </c>
      <c r="Z596" s="386">
        <v>66024988.75</v>
      </c>
      <c r="AA596" s="386">
        <v>-26409995.5</v>
      </c>
      <c r="AB596" s="386">
        <f>Z596+AA596</f>
        <v>39614993.25</v>
      </c>
      <c r="AC596" s="384">
        <v>43014</v>
      </c>
      <c r="AD596" s="395">
        <v>39614993.25</v>
      </c>
      <c r="AE596" s="372" t="s">
        <v>7</v>
      </c>
      <c r="AF596" s="1045"/>
      <c r="AG596" s="1044"/>
      <c r="AH596" s="358">
        <f>AB596-AD596</f>
        <v>0</v>
      </c>
      <c r="AI596" s="1045"/>
      <c r="AJ596" s="1044"/>
      <c r="AK596" s="1045"/>
      <c r="AL596" s="1045"/>
      <c r="AM596" s="1045"/>
      <c r="AN596" s="1124"/>
      <c r="AO596" s="1124"/>
      <c r="AP596" s="1124"/>
      <c r="AQ596" s="1124"/>
    </row>
    <row r="597" spans="1:44" s="4" customFormat="1" ht="47.25">
      <c r="A597" s="1033"/>
      <c r="B597" s="1069"/>
      <c r="C597" s="1033"/>
      <c r="D597" s="1033"/>
      <c r="E597" s="1033"/>
      <c r="F597" s="1033"/>
      <c r="G597" s="1033"/>
      <c r="H597" s="1033"/>
      <c r="I597" s="1033"/>
      <c r="J597" s="1033"/>
      <c r="K597" s="1033"/>
      <c r="L597" s="1033"/>
      <c r="M597" s="1009">
        <v>174</v>
      </c>
      <c r="N597" s="1021" t="s">
        <v>7</v>
      </c>
      <c r="O597" s="1062">
        <v>94308000</v>
      </c>
      <c r="P597" s="1062">
        <f>O597</f>
        <v>94308000</v>
      </c>
      <c r="Q597" s="1063"/>
      <c r="R597" s="1068">
        <v>40701</v>
      </c>
      <c r="S597" s="1089">
        <f>T597</f>
        <v>94308000</v>
      </c>
      <c r="T597" s="1089">
        <v>94308000</v>
      </c>
      <c r="U597" s="1089">
        <f>P597-T597</f>
        <v>0</v>
      </c>
      <c r="V597" s="1062">
        <f>O597</f>
        <v>94308000</v>
      </c>
      <c r="W597" s="1063"/>
      <c r="X597" s="1033"/>
      <c r="Y597" s="372" t="s">
        <v>2114</v>
      </c>
      <c r="Z597" s="386">
        <v>47151317.5</v>
      </c>
      <c r="AA597" s="386">
        <v>0</v>
      </c>
      <c r="AB597" s="386">
        <f>Z597+AA597</f>
        <v>47151317.5</v>
      </c>
      <c r="AC597" s="384">
        <v>43014</v>
      </c>
      <c r="AD597" s="395">
        <v>47151317.5</v>
      </c>
      <c r="AE597" s="371" t="s">
        <v>7</v>
      </c>
      <c r="AF597" s="1043">
        <f>SUM(AD597:AD598)</f>
        <v>47151317.5</v>
      </c>
      <c r="AG597" s="1044"/>
      <c r="AH597" s="358">
        <f>AB597-AD597</f>
        <v>0</v>
      </c>
      <c r="AI597" s="1043">
        <f>P597-AF597</f>
        <v>47156682.5</v>
      </c>
      <c r="AJ597" s="1044"/>
      <c r="AK597" s="1043">
        <f>P597-V597</f>
        <v>0</v>
      </c>
      <c r="AL597" s="1043">
        <f>V597-SUM(Z597:Z598)</f>
        <v>47156682.5</v>
      </c>
      <c r="AM597" s="1043"/>
      <c r="AN597" s="1124"/>
      <c r="AO597" s="1124"/>
      <c r="AP597" s="1124"/>
      <c r="AQ597" s="1124"/>
    </row>
    <row r="598" spans="1:44" s="4" customFormat="1">
      <c r="A598" s="1012"/>
      <c r="B598" s="1070"/>
      <c r="C598" s="1012"/>
      <c r="D598" s="1012"/>
      <c r="E598" s="1012"/>
      <c r="F598" s="1012"/>
      <c r="G598" s="1012"/>
      <c r="H598" s="1012"/>
      <c r="I598" s="1012"/>
      <c r="J598" s="1012"/>
      <c r="K598" s="1012"/>
      <c r="L598" s="1012"/>
      <c r="M598" s="1010"/>
      <c r="N598" s="1038"/>
      <c r="O598" s="1064"/>
      <c r="P598" s="1064"/>
      <c r="Q598" s="1064"/>
      <c r="R598" s="1070"/>
      <c r="S598" s="1091"/>
      <c r="T598" s="1091"/>
      <c r="U598" s="1091"/>
      <c r="V598" s="1064"/>
      <c r="W598" s="1064"/>
      <c r="X598" s="1012"/>
      <c r="Y598" s="372"/>
      <c r="Z598" s="386"/>
      <c r="AA598" s="386"/>
      <c r="AB598" s="386">
        <f>Z598+AA598</f>
        <v>0</v>
      </c>
      <c r="AC598" s="384"/>
      <c r="AD598" s="395"/>
      <c r="AE598" s="371"/>
      <c r="AF598" s="1045"/>
      <c r="AG598" s="1045"/>
      <c r="AH598" s="358">
        <f>AB598-AD598</f>
        <v>0</v>
      </c>
      <c r="AI598" s="1045"/>
      <c r="AJ598" s="1045"/>
      <c r="AK598" s="1045"/>
      <c r="AL598" s="1045"/>
      <c r="AM598" s="1045"/>
      <c r="AN598" s="1024"/>
      <c r="AO598" s="1024"/>
      <c r="AP598" s="1024"/>
      <c r="AQ598" s="1024"/>
    </row>
    <row r="599" spans="1:44" ht="47.25" customHeight="1">
      <c r="A599" s="1076" t="s">
        <v>758</v>
      </c>
      <c r="B599" s="1171">
        <v>40455</v>
      </c>
      <c r="C599" s="1076" t="s">
        <v>28</v>
      </c>
      <c r="D599" s="1076" t="s">
        <v>759</v>
      </c>
      <c r="E599" s="1252">
        <v>830040053</v>
      </c>
      <c r="F599" s="1252">
        <v>2</v>
      </c>
      <c r="G599" s="1076" t="s">
        <v>760</v>
      </c>
      <c r="H599" s="1076" t="s">
        <v>72</v>
      </c>
      <c r="I599" s="1076" t="s">
        <v>177</v>
      </c>
      <c r="J599" s="1076" t="s">
        <v>66</v>
      </c>
      <c r="K599" s="1076" t="s">
        <v>49</v>
      </c>
      <c r="L599" s="1076" t="s">
        <v>763</v>
      </c>
      <c r="M599" s="1251">
        <v>149</v>
      </c>
      <c r="N599" s="1123" t="s">
        <v>7</v>
      </c>
      <c r="O599" s="1119">
        <v>39875000</v>
      </c>
      <c r="P599" s="1119">
        <f>O599</f>
        <v>39875000</v>
      </c>
      <c r="Q599" s="1119">
        <f>P599</f>
        <v>39875000</v>
      </c>
      <c r="R599" s="1171">
        <v>40647</v>
      </c>
      <c r="S599" s="1196">
        <f>T599</f>
        <v>39875000</v>
      </c>
      <c r="T599" s="1119">
        <v>39875000</v>
      </c>
      <c r="U599" s="1119">
        <f>O599-T599</f>
        <v>0</v>
      </c>
      <c r="V599" s="1119">
        <v>39875000</v>
      </c>
      <c r="W599" s="1119">
        <v>39875000</v>
      </c>
      <c r="X599" s="1076" t="s">
        <v>761</v>
      </c>
      <c r="Y599" s="372" t="s">
        <v>762</v>
      </c>
      <c r="Z599" s="386">
        <v>0</v>
      </c>
      <c r="AA599" s="386">
        <v>15950000</v>
      </c>
      <c r="AB599" s="386">
        <f t="shared" si="34"/>
        <v>15950000</v>
      </c>
      <c r="AC599" s="384">
        <v>40694</v>
      </c>
      <c r="AD599" s="395">
        <v>15950000</v>
      </c>
      <c r="AE599" s="395" t="s">
        <v>7</v>
      </c>
      <c r="AF599" s="1084">
        <f>SUM(AD599:AD601)</f>
        <v>15950000</v>
      </c>
      <c r="AG599" s="1084">
        <f>AF599</f>
        <v>15950000</v>
      </c>
      <c r="AH599" s="358">
        <f t="shared" si="35"/>
        <v>0</v>
      </c>
      <c r="AI599" s="1084">
        <f>O599-AD599-AD600-AD601</f>
        <v>23925000</v>
      </c>
      <c r="AJ599" s="1119">
        <f>SUM(Z599:Z601)-SUM(AD599:AD601)</f>
        <v>-15950000</v>
      </c>
      <c r="AK599" s="1119">
        <f>P599-V599</f>
        <v>0</v>
      </c>
      <c r="AL599" s="1119">
        <f>V599-SUM(Z599:Z601)+AJ599</f>
        <v>23925000</v>
      </c>
      <c r="AM599" s="1119"/>
      <c r="AN599" s="1203" t="s">
        <v>764</v>
      </c>
      <c r="AO599" s="1237" t="s">
        <v>765</v>
      </c>
      <c r="AP599" s="1204" t="s">
        <v>194</v>
      </c>
      <c r="AQ599" s="1204" t="s">
        <v>558</v>
      </c>
    </row>
    <row r="600" spans="1:44">
      <c r="A600" s="1076"/>
      <c r="B600" s="1171"/>
      <c r="C600" s="1076"/>
      <c r="D600" s="1076"/>
      <c r="E600" s="1252"/>
      <c r="F600" s="1252"/>
      <c r="G600" s="1076"/>
      <c r="H600" s="1076"/>
      <c r="I600" s="1076"/>
      <c r="J600" s="1076"/>
      <c r="K600" s="1076"/>
      <c r="L600" s="1076"/>
      <c r="M600" s="1251"/>
      <c r="N600" s="1123"/>
      <c r="O600" s="1119"/>
      <c r="P600" s="1119"/>
      <c r="Q600" s="1119"/>
      <c r="R600" s="1171"/>
      <c r="S600" s="1196"/>
      <c r="T600" s="1119"/>
      <c r="U600" s="1119"/>
      <c r="V600" s="1119"/>
      <c r="W600" s="1119"/>
      <c r="X600" s="1076"/>
      <c r="Y600" s="372"/>
      <c r="Z600" s="386"/>
      <c r="AA600" s="386"/>
      <c r="AB600" s="386">
        <f t="shared" si="34"/>
        <v>0</v>
      </c>
      <c r="AC600" s="384"/>
      <c r="AD600" s="395">
        <v>0</v>
      </c>
      <c r="AE600" s="395"/>
      <c r="AF600" s="1084"/>
      <c r="AG600" s="1084"/>
      <c r="AH600" s="358">
        <f t="shared" si="35"/>
        <v>0</v>
      </c>
      <c r="AI600" s="1084"/>
      <c r="AJ600" s="1119"/>
      <c r="AK600" s="1119"/>
      <c r="AL600" s="1119"/>
      <c r="AM600" s="1119"/>
      <c r="AN600" s="1203"/>
      <c r="AO600" s="1204"/>
      <c r="AP600" s="1204"/>
      <c r="AQ600" s="1204"/>
    </row>
    <row r="601" spans="1:44">
      <c r="A601" s="1076"/>
      <c r="B601" s="1171"/>
      <c r="C601" s="1076"/>
      <c r="D601" s="1076"/>
      <c r="E601" s="1252"/>
      <c r="F601" s="1252"/>
      <c r="G601" s="1076"/>
      <c r="H601" s="1076"/>
      <c r="I601" s="1076"/>
      <c r="J601" s="1076"/>
      <c r="K601" s="1076"/>
      <c r="L601" s="1076"/>
      <c r="M601" s="1251"/>
      <c r="N601" s="1123"/>
      <c r="O601" s="1119"/>
      <c r="P601" s="1119"/>
      <c r="Q601" s="1119"/>
      <c r="R601" s="1171"/>
      <c r="S601" s="1196"/>
      <c r="T601" s="1119"/>
      <c r="U601" s="1119"/>
      <c r="V601" s="1119"/>
      <c r="W601" s="1119"/>
      <c r="X601" s="1076"/>
      <c r="Y601" s="372"/>
      <c r="Z601" s="386"/>
      <c r="AA601" s="386"/>
      <c r="AB601" s="386">
        <f t="shared" si="34"/>
        <v>0</v>
      </c>
      <c r="AC601" s="384"/>
      <c r="AD601" s="395">
        <v>0</v>
      </c>
      <c r="AE601" s="395"/>
      <c r="AF601" s="1084"/>
      <c r="AG601" s="1084"/>
      <c r="AH601" s="358">
        <f t="shared" si="35"/>
        <v>0</v>
      </c>
      <c r="AI601" s="1084"/>
      <c r="AJ601" s="1119"/>
      <c r="AK601" s="1119"/>
      <c r="AL601" s="1119"/>
      <c r="AM601" s="1119"/>
      <c r="AN601" s="1203"/>
      <c r="AO601" s="1204"/>
      <c r="AP601" s="1204"/>
      <c r="AQ601" s="1204"/>
    </row>
    <row r="602" spans="1:44" ht="30.75" customHeight="1">
      <c r="A602" s="1076" t="s">
        <v>813</v>
      </c>
      <c r="B602" s="1171">
        <v>40455</v>
      </c>
      <c r="C602" s="1076" t="s">
        <v>28</v>
      </c>
      <c r="D602" s="1076" t="s">
        <v>759</v>
      </c>
      <c r="E602" s="1076" t="s">
        <v>814</v>
      </c>
      <c r="F602" s="1252">
        <v>2</v>
      </c>
      <c r="G602" s="1076" t="s">
        <v>815</v>
      </c>
      <c r="H602" s="1076" t="s">
        <v>72</v>
      </c>
      <c r="I602" s="1076" t="s">
        <v>177</v>
      </c>
      <c r="J602" s="1076" t="s">
        <v>66</v>
      </c>
      <c r="K602" s="1076" t="s">
        <v>49</v>
      </c>
      <c r="L602" s="1076" t="s">
        <v>763</v>
      </c>
      <c r="M602" s="1251">
        <v>141</v>
      </c>
      <c r="N602" s="1123" t="s">
        <v>7</v>
      </c>
      <c r="O602" s="1119">
        <v>40745000</v>
      </c>
      <c r="P602" s="1119">
        <f>O602</f>
        <v>40745000</v>
      </c>
      <c r="Q602" s="1119">
        <f>P602</f>
        <v>40745000</v>
      </c>
      <c r="R602" s="1171">
        <v>40647</v>
      </c>
      <c r="S602" s="1196">
        <f>T602</f>
        <v>40745000</v>
      </c>
      <c r="T602" s="1196">
        <v>40745000</v>
      </c>
      <c r="U602" s="1196">
        <f>O602-T602</f>
        <v>0</v>
      </c>
      <c r="V602" s="1119">
        <v>40745000</v>
      </c>
      <c r="W602" s="1119">
        <v>40745000</v>
      </c>
      <c r="X602" s="1076" t="s">
        <v>816</v>
      </c>
      <c r="Y602" s="1123" t="s">
        <v>818</v>
      </c>
      <c r="Z602" s="1119">
        <v>0</v>
      </c>
      <c r="AA602" s="1119">
        <v>16298000</v>
      </c>
      <c r="AB602" s="1119">
        <f t="shared" si="34"/>
        <v>16298000</v>
      </c>
      <c r="AC602" s="1171">
        <v>40694</v>
      </c>
      <c r="AD602" s="395">
        <v>4691569</v>
      </c>
      <c r="AE602" s="395" t="s">
        <v>7</v>
      </c>
      <c r="AF602" s="1084">
        <f>SUM(AD602:AD605)</f>
        <v>16298000</v>
      </c>
      <c r="AG602" s="1084">
        <f>AF602</f>
        <v>16298000</v>
      </c>
      <c r="AH602" s="1084">
        <f>AB602-AD602-AD603</f>
        <v>0</v>
      </c>
      <c r="AI602" s="1084">
        <f>O602-SUM(AD602:AD605)</f>
        <v>24447000</v>
      </c>
      <c r="AJ602" s="1119">
        <f>SUM(Z602:Z605)-SUM(AD602:AD605)</f>
        <v>-16298000</v>
      </c>
      <c r="AK602" s="1119">
        <f>P602-V602</f>
        <v>0</v>
      </c>
      <c r="AL602" s="1119">
        <f>V602-SUM(Z602:Z605)+AJ602</f>
        <v>24447000</v>
      </c>
      <c r="AM602" s="1119"/>
      <c r="AN602" s="1203" t="s">
        <v>817</v>
      </c>
      <c r="AO602" s="1204" t="s">
        <v>819</v>
      </c>
      <c r="AP602" s="1204" t="s">
        <v>194</v>
      </c>
      <c r="AQ602" s="1204" t="s">
        <v>558</v>
      </c>
    </row>
    <row r="603" spans="1:44" ht="30.75" customHeight="1">
      <c r="A603" s="1076"/>
      <c r="B603" s="1171"/>
      <c r="C603" s="1076"/>
      <c r="D603" s="1076"/>
      <c r="E603" s="1076"/>
      <c r="F603" s="1252"/>
      <c r="G603" s="1076"/>
      <c r="H603" s="1076"/>
      <c r="I603" s="1076"/>
      <c r="J603" s="1076"/>
      <c r="K603" s="1076"/>
      <c r="L603" s="1076"/>
      <c r="M603" s="1251"/>
      <c r="N603" s="1123"/>
      <c r="O603" s="1119"/>
      <c r="P603" s="1119"/>
      <c r="Q603" s="1119"/>
      <c r="R603" s="1171"/>
      <c r="S603" s="1196"/>
      <c r="T603" s="1196"/>
      <c r="U603" s="1196"/>
      <c r="V603" s="1119"/>
      <c r="W603" s="1119"/>
      <c r="X603" s="1076"/>
      <c r="Y603" s="1123"/>
      <c r="Z603" s="1119"/>
      <c r="AA603" s="1119"/>
      <c r="AB603" s="1119"/>
      <c r="AC603" s="1171"/>
      <c r="AD603" s="395">
        <v>11606431</v>
      </c>
      <c r="AE603" s="395" t="s">
        <v>7</v>
      </c>
      <c r="AF603" s="1084"/>
      <c r="AG603" s="1084"/>
      <c r="AH603" s="1084"/>
      <c r="AI603" s="1084"/>
      <c r="AJ603" s="1119"/>
      <c r="AK603" s="1119"/>
      <c r="AL603" s="1119"/>
      <c r="AM603" s="1119"/>
      <c r="AN603" s="1203"/>
      <c r="AO603" s="1204"/>
      <c r="AP603" s="1204"/>
      <c r="AQ603" s="1204"/>
    </row>
    <row r="604" spans="1:44">
      <c r="A604" s="1076"/>
      <c r="B604" s="1171"/>
      <c r="C604" s="1076"/>
      <c r="D604" s="1076"/>
      <c r="E604" s="1076"/>
      <c r="F604" s="1252"/>
      <c r="G604" s="1076"/>
      <c r="H604" s="1076"/>
      <c r="I604" s="1076"/>
      <c r="J604" s="1076"/>
      <c r="K604" s="1076"/>
      <c r="L604" s="1076"/>
      <c r="M604" s="1251"/>
      <c r="N604" s="1123"/>
      <c r="O604" s="1119"/>
      <c r="P604" s="1119"/>
      <c r="Q604" s="1119"/>
      <c r="R604" s="1171"/>
      <c r="S604" s="1196"/>
      <c r="T604" s="1196"/>
      <c r="U604" s="1196"/>
      <c r="V604" s="1119"/>
      <c r="W604" s="1119"/>
      <c r="X604" s="1076"/>
      <c r="Y604" s="372"/>
      <c r="Z604" s="386"/>
      <c r="AA604" s="386"/>
      <c r="AB604" s="386">
        <f t="shared" ref="AB604:AB619" si="36">Z604+AA604</f>
        <v>0</v>
      </c>
      <c r="AC604" s="384"/>
      <c r="AD604" s="395"/>
      <c r="AE604" s="395"/>
      <c r="AF604" s="1084"/>
      <c r="AG604" s="1084"/>
      <c r="AH604" s="358">
        <f t="shared" ref="AH604:AH649" si="37">AB604-AD604</f>
        <v>0</v>
      </c>
      <c r="AI604" s="1084"/>
      <c r="AJ604" s="1119"/>
      <c r="AK604" s="1119"/>
      <c r="AL604" s="1119"/>
      <c r="AM604" s="1119"/>
      <c r="AN604" s="1203"/>
      <c r="AO604" s="1204"/>
      <c r="AP604" s="1204"/>
      <c r="AQ604" s="1204"/>
    </row>
    <row r="605" spans="1:44">
      <c r="A605" s="1076"/>
      <c r="B605" s="1171"/>
      <c r="C605" s="1076"/>
      <c r="D605" s="1076"/>
      <c r="E605" s="1076"/>
      <c r="F605" s="1252"/>
      <c r="G605" s="1076"/>
      <c r="H605" s="1076"/>
      <c r="I605" s="1076"/>
      <c r="J605" s="1076"/>
      <c r="K605" s="1076"/>
      <c r="L605" s="1076"/>
      <c r="M605" s="1251"/>
      <c r="N605" s="1123"/>
      <c r="O605" s="1119"/>
      <c r="P605" s="1119"/>
      <c r="Q605" s="1119"/>
      <c r="R605" s="1171"/>
      <c r="S605" s="1196"/>
      <c r="T605" s="1196"/>
      <c r="U605" s="1196"/>
      <c r="V605" s="1119"/>
      <c r="W605" s="1119"/>
      <c r="X605" s="1076"/>
      <c r="Y605" s="372"/>
      <c r="Z605" s="386"/>
      <c r="AA605" s="386"/>
      <c r="AB605" s="386">
        <f t="shared" si="36"/>
        <v>0</v>
      </c>
      <c r="AC605" s="384"/>
      <c r="AD605" s="395"/>
      <c r="AE605" s="395"/>
      <c r="AF605" s="1084"/>
      <c r="AG605" s="1084"/>
      <c r="AH605" s="358">
        <f t="shared" si="37"/>
        <v>0</v>
      </c>
      <c r="AI605" s="1084"/>
      <c r="AJ605" s="1119"/>
      <c r="AK605" s="1119"/>
      <c r="AL605" s="1119"/>
      <c r="AM605" s="1119"/>
      <c r="AN605" s="1203"/>
      <c r="AO605" s="1204"/>
      <c r="AP605" s="1204"/>
      <c r="AQ605" s="1204"/>
    </row>
    <row r="606" spans="1:44" ht="48.75" customHeight="1">
      <c r="A606" s="1076" t="s">
        <v>820</v>
      </c>
      <c r="B606" s="1171">
        <v>40455</v>
      </c>
      <c r="C606" s="1076" t="s">
        <v>28</v>
      </c>
      <c r="D606" s="1076" t="s">
        <v>759</v>
      </c>
      <c r="E606" s="1252">
        <v>830040053</v>
      </c>
      <c r="F606" s="1252">
        <v>2</v>
      </c>
      <c r="G606" s="1076" t="s">
        <v>821</v>
      </c>
      <c r="H606" s="1076" t="s">
        <v>72</v>
      </c>
      <c r="I606" s="1076" t="s">
        <v>177</v>
      </c>
      <c r="J606" s="1076" t="s">
        <v>489</v>
      </c>
      <c r="K606" s="1076" t="s">
        <v>49</v>
      </c>
      <c r="L606" s="1076" t="s">
        <v>823</v>
      </c>
      <c r="M606" s="1251">
        <v>142</v>
      </c>
      <c r="N606" s="1123" t="s">
        <v>7</v>
      </c>
      <c r="O606" s="1119">
        <v>36540000</v>
      </c>
      <c r="P606" s="1119">
        <f>O606</f>
        <v>36540000</v>
      </c>
      <c r="Q606" s="1119">
        <f>P606</f>
        <v>36540000</v>
      </c>
      <c r="R606" s="1171">
        <v>40647</v>
      </c>
      <c r="S606" s="1196">
        <f>T606</f>
        <v>36540000</v>
      </c>
      <c r="T606" s="1119">
        <v>36540000</v>
      </c>
      <c r="U606" s="1119">
        <f>O606-T606</f>
        <v>0</v>
      </c>
      <c r="V606" s="1119">
        <v>36540000</v>
      </c>
      <c r="W606" s="1119">
        <v>36540000</v>
      </c>
      <c r="X606" s="1076" t="s">
        <v>822</v>
      </c>
      <c r="Y606" s="372" t="s">
        <v>825</v>
      </c>
      <c r="Z606" s="386">
        <v>0</v>
      </c>
      <c r="AA606" s="386">
        <v>14616000</v>
      </c>
      <c r="AB606" s="386">
        <f t="shared" si="36"/>
        <v>14616000</v>
      </c>
      <c r="AC606" s="384">
        <v>40694</v>
      </c>
      <c r="AD606" s="395">
        <v>14616000</v>
      </c>
      <c r="AE606" s="395" t="s">
        <v>7</v>
      </c>
      <c r="AF606" s="1084">
        <f>SUM(AD606:AD608)</f>
        <v>14616000</v>
      </c>
      <c r="AG606" s="1084">
        <f>AF606</f>
        <v>14616000</v>
      </c>
      <c r="AH606" s="358">
        <f t="shared" si="37"/>
        <v>0</v>
      </c>
      <c r="AI606" s="1084">
        <f>O606-AD606-AD607-AD608</f>
        <v>21924000</v>
      </c>
      <c r="AJ606" s="1119">
        <f>SUM(Z606:Z608)-SUM(AD606:AD608)</f>
        <v>-14616000</v>
      </c>
      <c r="AK606" s="1119">
        <f>P606-V606</f>
        <v>0</v>
      </c>
      <c r="AL606" s="1119">
        <f>V606-SUM(Z606:Z608)+AJ606</f>
        <v>21924000</v>
      </c>
      <c r="AM606" s="1119">
        <f>AK606+AL606</f>
        <v>21924000</v>
      </c>
      <c r="AN606" s="1203" t="s">
        <v>824</v>
      </c>
      <c r="AO606" s="1237" t="s">
        <v>826</v>
      </c>
      <c r="AP606" s="1204" t="s">
        <v>194</v>
      </c>
      <c r="AQ606" s="1204" t="s">
        <v>558</v>
      </c>
    </row>
    <row r="607" spans="1:44" ht="30.75" customHeight="1">
      <c r="A607" s="1076"/>
      <c r="B607" s="1171"/>
      <c r="C607" s="1076"/>
      <c r="D607" s="1076"/>
      <c r="E607" s="1252"/>
      <c r="F607" s="1252"/>
      <c r="G607" s="1076"/>
      <c r="H607" s="1076"/>
      <c r="I607" s="1076"/>
      <c r="J607" s="1076"/>
      <c r="K607" s="1076"/>
      <c r="L607" s="1076"/>
      <c r="M607" s="1251"/>
      <c r="N607" s="1123"/>
      <c r="O607" s="1119"/>
      <c r="P607" s="1119"/>
      <c r="Q607" s="1119"/>
      <c r="R607" s="1171"/>
      <c r="S607" s="1196"/>
      <c r="T607" s="1119"/>
      <c r="U607" s="1119"/>
      <c r="V607" s="1119"/>
      <c r="W607" s="1119"/>
      <c r="X607" s="1076"/>
      <c r="Y607" s="372"/>
      <c r="Z607" s="386"/>
      <c r="AA607" s="386"/>
      <c r="AB607" s="386">
        <f t="shared" si="36"/>
        <v>0</v>
      </c>
      <c r="AC607" s="384"/>
      <c r="AD607" s="395"/>
      <c r="AE607" s="395"/>
      <c r="AF607" s="1084"/>
      <c r="AG607" s="1084"/>
      <c r="AH607" s="358">
        <f t="shared" si="37"/>
        <v>0</v>
      </c>
      <c r="AI607" s="1084"/>
      <c r="AJ607" s="1119"/>
      <c r="AK607" s="1119"/>
      <c r="AL607" s="1119"/>
      <c r="AM607" s="1119"/>
      <c r="AN607" s="1203"/>
      <c r="AO607" s="1204"/>
      <c r="AP607" s="1204"/>
      <c r="AQ607" s="1204"/>
    </row>
    <row r="608" spans="1:44" ht="40.5" customHeight="1">
      <c r="A608" s="1076"/>
      <c r="B608" s="1171"/>
      <c r="C608" s="1076"/>
      <c r="D608" s="1076"/>
      <c r="E608" s="1252"/>
      <c r="F608" s="1252"/>
      <c r="G608" s="1076"/>
      <c r="H608" s="1076"/>
      <c r="I608" s="1076"/>
      <c r="J608" s="1076"/>
      <c r="K608" s="1076"/>
      <c r="L608" s="1076"/>
      <c r="M608" s="1251"/>
      <c r="N608" s="1123"/>
      <c r="O608" s="1119"/>
      <c r="P608" s="1119"/>
      <c r="Q608" s="1119"/>
      <c r="R608" s="1171"/>
      <c r="S608" s="1196"/>
      <c r="T608" s="1119"/>
      <c r="U608" s="1119"/>
      <c r="V608" s="1119"/>
      <c r="W608" s="1119"/>
      <c r="X608" s="1076"/>
      <c r="Y608" s="372"/>
      <c r="Z608" s="386"/>
      <c r="AA608" s="386"/>
      <c r="AB608" s="386">
        <f t="shared" si="36"/>
        <v>0</v>
      </c>
      <c r="AC608" s="384"/>
      <c r="AD608" s="395"/>
      <c r="AE608" s="395"/>
      <c r="AF608" s="1084"/>
      <c r="AG608" s="1084"/>
      <c r="AH608" s="358">
        <f t="shared" si="37"/>
        <v>0</v>
      </c>
      <c r="AI608" s="1084"/>
      <c r="AJ608" s="1119"/>
      <c r="AK608" s="1119"/>
      <c r="AL608" s="1119"/>
      <c r="AM608" s="1119"/>
      <c r="AN608" s="1203"/>
      <c r="AO608" s="1204"/>
      <c r="AP608" s="1204"/>
      <c r="AQ608" s="1204"/>
    </row>
    <row r="609" spans="1:44" ht="63">
      <c r="A609" s="1076" t="s">
        <v>827</v>
      </c>
      <c r="B609" s="1171">
        <v>40466</v>
      </c>
      <c r="C609" s="1076" t="s">
        <v>30</v>
      </c>
      <c r="D609" s="1076" t="s">
        <v>297</v>
      </c>
      <c r="E609" s="1252">
        <v>25287865</v>
      </c>
      <c r="F609" s="1252"/>
      <c r="G609" s="1076" t="s">
        <v>828</v>
      </c>
      <c r="H609" s="1076" t="s">
        <v>70</v>
      </c>
      <c r="I609" s="1076" t="s">
        <v>177</v>
      </c>
      <c r="J609" s="1076" t="s">
        <v>66</v>
      </c>
      <c r="K609" s="1076" t="s">
        <v>49</v>
      </c>
      <c r="L609" s="1076" t="s">
        <v>830</v>
      </c>
      <c r="M609" s="1251">
        <v>170</v>
      </c>
      <c r="N609" s="1123" t="s">
        <v>7</v>
      </c>
      <c r="O609" s="1119">
        <v>11070000</v>
      </c>
      <c r="P609" s="1119">
        <f>O609</f>
        <v>11070000</v>
      </c>
      <c r="Q609" s="1119">
        <f>P609+P612+P615</f>
        <v>21681520</v>
      </c>
      <c r="R609" s="1171">
        <v>40707</v>
      </c>
      <c r="S609" s="1119">
        <f>T609</f>
        <v>11070000</v>
      </c>
      <c r="T609" s="1119">
        <v>11070000</v>
      </c>
      <c r="U609" s="1119">
        <f>O609-T609</f>
        <v>0</v>
      </c>
      <c r="V609" s="1119">
        <v>11070000</v>
      </c>
      <c r="W609" s="1119">
        <v>21681520</v>
      </c>
      <c r="X609" s="1076" t="s">
        <v>829</v>
      </c>
      <c r="Y609" s="372" t="s">
        <v>832</v>
      </c>
      <c r="Z609" s="386">
        <v>0</v>
      </c>
      <c r="AA609" s="386">
        <v>4428000</v>
      </c>
      <c r="AB609" s="386">
        <f t="shared" si="36"/>
        <v>4428000</v>
      </c>
      <c r="AC609" s="384">
        <v>40746</v>
      </c>
      <c r="AD609" s="395">
        <v>4428000</v>
      </c>
      <c r="AE609" s="395" t="s">
        <v>7</v>
      </c>
      <c r="AF609" s="1084">
        <f>SUM(AD609:AD611)</f>
        <v>4428000</v>
      </c>
      <c r="AG609" s="1084">
        <f>AF609+AF612+AF615</f>
        <v>8672608</v>
      </c>
      <c r="AH609" s="358">
        <f t="shared" si="37"/>
        <v>0</v>
      </c>
      <c r="AI609" s="1084">
        <f>V609-AD609-AD610-AD611</f>
        <v>6642000</v>
      </c>
      <c r="AJ609" s="1119">
        <f>SUM(Z609:Z611)-SUM(AD609:AD611)</f>
        <v>-4428000</v>
      </c>
      <c r="AK609" s="1119">
        <f>P609-V609</f>
        <v>0</v>
      </c>
      <c r="AL609" s="1119">
        <f>V609-SUM(Z609:Z611)+AJ609</f>
        <v>6642000</v>
      </c>
      <c r="AM609" s="1119"/>
      <c r="AN609" s="1204" t="s">
        <v>824</v>
      </c>
      <c r="AO609" s="1237" t="s">
        <v>831</v>
      </c>
      <c r="AP609" s="1204" t="s">
        <v>194</v>
      </c>
      <c r="AQ609" s="1204" t="s">
        <v>558</v>
      </c>
    </row>
    <row r="610" spans="1:44">
      <c r="A610" s="1076"/>
      <c r="B610" s="1171"/>
      <c r="C610" s="1076"/>
      <c r="D610" s="1076"/>
      <c r="E610" s="1252"/>
      <c r="F610" s="1252"/>
      <c r="G610" s="1076"/>
      <c r="H610" s="1076"/>
      <c r="I610" s="1076"/>
      <c r="J610" s="1076"/>
      <c r="K610" s="1076"/>
      <c r="L610" s="1076"/>
      <c r="M610" s="1251"/>
      <c r="N610" s="1123"/>
      <c r="O610" s="1119"/>
      <c r="P610" s="1119"/>
      <c r="Q610" s="1119"/>
      <c r="R610" s="1171"/>
      <c r="S610" s="1119"/>
      <c r="T610" s="1119"/>
      <c r="U610" s="1119"/>
      <c r="V610" s="1119"/>
      <c r="W610" s="1119"/>
      <c r="X610" s="1076"/>
      <c r="Y610" s="372"/>
      <c r="Z610" s="386"/>
      <c r="AA610" s="386"/>
      <c r="AB610" s="386">
        <f t="shared" si="36"/>
        <v>0</v>
      </c>
      <c r="AC610" s="384"/>
      <c r="AD610" s="395"/>
      <c r="AE610" s="395"/>
      <c r="AF610" s="1084"/>
      <c r="AG610" s="1084"/>
      <c r="AH610" s="358">
        <f t="shared" si="37"/>
        <v>0</v>
      </c>
      <c r="AI610" s="1084"/>
      <c r="AJ610" s="1119"/>
      <c r="AK610" s="1119"/>
      <c r="AL610" s="1119"/>
      <c r="AM610" s="1119"/>
      <c r="AN610" s="1204"/>
      <c r="AO610" s="1237"/>
      <c r="AP610" s="1204"/>
      <c r="AQ610" s="1204"/>
    </row>
    <row r="611" spans="1:44">
      <c r="A611" s="1076"/>
      <c r="B611" s="1171"/>
      <c r="C611" s="1076"/>
      <c r="D611" s="1076"/>
      <c r="E611" s="1252"/>
      <c r="F611" s="1252"/>
      <c r="G611" s="1076"/>
      <c r="H611" s="1076"/>
      <c r="I611" s="1076"/>
      <c r="J611" s="1076"/>
      <c r="K611" s="1076"/>
      <c r="L611" s="1076"/>
      <c r="M611" s="1251"/>
      <c r="N611" s="1123"/>
      <c r="O611" s="1119"/>
      <c r="P611" s="1119"/>
      <c r="Q611" s="1119"/>
      <c r="R611" s="1171"/>
      <c r="S611" s="1119"/>
      <c r="T611" s="1119"/>
      <c r="U611" s="1119"/>
      <c r="V611" s="1119"/>
      <c r="W611" s="1119"/>
      <c r="X611" s="1076"/>
      <c r="Y611" s="372"/>
      <c r="Z611" s="386"/>
      <c r="AA611" s="386"/>
      <c r="AB611" s="386">
        <f t="shared" si="36"/>
        <v>0</v>
      </c>
      <c r="AC611" s="384"/>
      <c r="AD611" s="395"/>
      <c r="AE611" s="395"/>
      <c r="AF611" s="1084"/>
      <c r="AG611" s="1084"/>
      <c r="AH611" s="358">
        <f t="shared" si="37"/>
        <v>0</v>
      </c>
      <c r="AI611" s="1084"/>
      <c r="AJ611" s="1119"/>
      <c r="AK611" s="1119"/>
      <c r="AL611" s="1119"/>
      <c r="AM611" s="1119"/>
      <c r="AN611" s="1204"/>
      <c r="AO611" s="1237"/>
      <c r="AP611" s="1204"/>
      <c r="AQ611" s="1204"/>
    </row>
    <row r="612" spans="1:44" ht="63">
      <c r="A612" s="1076"/>
      <c r="B612" s="1171"/>
      <c r="C612" s="1076" t="s">
        <v>15</v>
      </c>
      <c r="D612" s="1076"/>
      <c r="E612" s="1252"/>
      <c r="F612" s="1252"/>
      <c r="G612" s="1076"/>
      <c r="H612" s="1076"/>
      <c r="I612" s="1076"/>
      <c r="J612" s="1076"/>
      <c r="K612" s="1076"/>
      <c r="L612" s="1076"/>
      <c r="M612" s="1251">
        <v>171</v>
      </c>
      <c r="N612" s="1123" t="s">
        <v>7</v>
      </c>
      <c r="O612" s="1119">
        <v>3956000</v>
      </c>
      <c r="P612" s="1119">
        <f>O612</f>
        <v>3956000</v>
      </c>
      <c r="Q612" s="1119"/>
      <c r="R612" s="1171">
        <v>40707</v>
      </c>
      <c r="S612" s="1119">
        <f>T612</f>
        <v>3956000</v>
      </c>
      <c r="T612" s="1119">
        <v>3956000</v>
      </c>
      <c r="U612" s="1119">
        <f>O612-T612</f>
        <v>0</v>
      </c>
      <c r="V612" s="1119">
        <v>3956000</v>
      </c>
      <c r="W612" s="1119"/>
      <c r="X612" s="1076"/>
      <c r="Y612" s="372" t="s">
        <v>833</v>
      </c>
      <c r="Z612" s="386">
        <v>0</v>
      </c>
      <c r="AA612" s="386">
        <v>1582400</v>
      </c>
      <c r="AB612" s="386">
        <f t="shared" si="36"/>
        <v>1582400</v>
      </c>
      <c r="AC612" s="384">
        <v>40746</v>
      </c>
      <c r="AD612" s="395">
        <v>1582400</v>
      </c>
      <c r="AE612" s="395" t="s">
        <v>7</v>
      </c>
      <c r="AF612" s="1084">
        <f>SUM(AD612:AD614)</f>
        <v>1582400</v>
      </c>
      <c r="AG612" s="1084"/>
      <c r="AH612" s="358">
        <f t="shared" si="37"/>
        <v>0</v>
      </c>
      <c r="AI612" s="1084">
        <f>V612-AD612-AD613-AD614</f>
        <v>2373600</v>
      </c>
      <c r="AJ612" s="1119">
        <f>SUM(Z612:Z614)-SUM(AD612:AD614)</f>
        <v>-1582400</v>
      </c>
      <c r="AK612" s="1119">
        <f>P612-V612</f>
        <v>0</v>
      </c>
      <c r="AL612" s="1119">
        <f>V612-SUM(Z612:Z614)+AJ612</f>
        <v>2373600</v>
      </c>
      <c r="AM612" s="1119"/>
      <c r="AN612" s="1204"/>
      <c r="AO612" s="1237"/>
      <c r="AP612" s="1204"/>
      <c r="AQ612" s="1204"/>
    </row>
    <row r="613" spans="1:44">
      <c r="A613" s="1076"/>
      <c r="B613" s="1171"/>
      <c r="C613" s="1076"/>
      <c r="D613" s="1076"/>
      <c r="E613" s="1252"/>
      <c r="F613" s="1252"/>
      <c r="G613" s="1076"/>
      <c r="H613" s="1076"/>
      <c r="I613" s="1076"/>
      <c r="J613" s="1076"/>
      <c r="K613" s="1076"/>
      <c r="L613" s="1076"/>
      <c r="M613" s="1251"/>
      <c r="N613" s="1123"/>
      <c r="O613" s="1119"/>
      <c r="P613" s="1119"/>
      <c r="Q613" s="1119"/>
      <c r="R613" s="1171"/>
      <c r="S613" s="1119"/>
      <c r="T613" s="1119"/>
      <c r="U613" s="1119"/>
      <c r="V613" s="1119"/>
      <c r="W613" s="1119"/>
      <c r="X613" s="1076"/>
      <c r="Y613" s="372"/>
      <c r="Z613" s="386"/>
      <c r="AA613" s="386"/>
      <c r="AB613" s="386">
        <f t="shared" si="36"/>
        <v>0</v>
      </c>
      <c r="AC613" s="384"/>
      <c r="AD613" s="395"/>
      <c r="AE613" s="395"/>
      <c r="AF613" s="1084"/>
      <c r="AG613" s="1084"/>
      <c r="AH613" s="358">
        <f t="shared" si="37"/>
        <v>0</v>
      </c>
      <c r="AI613" s="1084"/>
      <c r="AJ613" s="1119"/>
      <c r="AK613" s="1119"/>
      <c r="AL613" s="1119"/>
      <c r="AM613" s="1119"/>
      <c r="AN613" s="1204"/>
      <c r="AO613" s="1237"/>
      <c r="AP613" s="1204"/>
      <c r="AQ613" s="1204"/>
    </row>
    <row r="614" spans="1:44">
      <c r="A614" s="1076"/>
      <c r="B614" s="1171"/>
      <c r="C614" s="1076"/>
      <c r="D614" s="1076"/>
      <c r="E614" s="1252"/>
      <c r="F614" s="1252"/>
      <c r="G614" s="1076"/>
      <c r="H614" s="1076"/>
      <c r="I614" s="1076"/>
      <c r="J614" s="1076"/>
      <c r="K614" s="1076"/>
      <c r="L614" s="1076"/>
      <c r="M614" s="1251"/>
      <c r="N614" s="1123"/>
      <c r="O614" s="1119"/>
      <c r="P614" s="1119"/>
      <c r="Q614" s="1119"/>
      <c r="R614" s="1171"/>
      <c r="S614" s="1119"/>
      <c r="T614" s="1119"/>
      <c r="U614" s="1119"/>
      <c r="V614" s="1119"/>
      <c r="W614" s="1119"/>
      <c r="X614" s="1076"/>
      <c r="Y614" s="372"/>
      <c r="Z614" s="386"/>
      <c r="AA614" s="386"/>
      <c r="AB614" s="386">
        <f t="shared" si="36"/>
        <v>0</v>
      </c>
      <c r="AC614" s="384"/>
      <c r="AD614" s="395"/>
      <c r="AE614" s="395"/>
      <c r="AF614" s="1084"/>
      <c r="AG614" s="1084"/>
      <c r="AH614" s="358">
        <f t="shared" si="37"/>
        <v>0</v>
      </c>
      <c r="AI614" s="1084"/>
      <c r="AJ614" s="1119"/>
      <c r="AK614" s="1119"/>
      <c r="AL614" s="1119"/>
      <c r="AM614" s="1119"/>
      <c r="AN614" s="1204"/>
      <c r="AO614" s="1237"/>
      <c r="AP614" s="1204"/>
      <c r="AQ614" s="1204"/>
    </row>
    <row r="615" spans="1:44" ht="63">
      <c r="A615" s="1076"/>
      <c r="B615" s="1171"/>
      <c r="C615" s="1076"/>
      <c r="D615" s="1076"/>
      <c r="E615" s="1252"/>
      <c r="F615" s="1252"/>
      <c r="G615" s="1076"/>
      <c r="H615" s="1076"/>
      <c r="I615" s="1076"/>
      <c r="J615" s="1076"/>
      <c r="K615" s="1076"/>
      <c r="L615" s="1076"/>
      <c r="M615" s="1251">
        <v>172</v>
      </c>
      <c r="N615" s="1123" t="s">
        <v>7</v>
      </c>
      <c r="O615" s="1119">
        <v>6655520</v>
      </c>
      <c r="P615" s="1119">
        <f>O615</f>
        <v>6655520</v>
      </c>
      <c r="Q615" s="1119"/>
      <c r="R615" s="1171">
        <v>40707</v>
      </c>
      <c r="S615" s="1119">
        <f>T615</f>
        <v>6655520</v>
      </c>
      <c r="T615" s="1119">
        <v>6655520</v>
      </c>
      <c r="U615" s="1119">
        <f>O615-T615</f>
        <v>0</v>
      </c>
      <c r="V615" s="1119">
        <v>6655520</v>
      </c>
      <c r="W615" s="1119"/>
      <c r="X615" s="1076"/>
      <c r="Y615" s="372" t="s">
        <v>834</v>
      </c>
      <c r="Z615" s="386">
        <v>0</v>
      </c>
      <c r="AA615" s="386">
        <v>2662208</v>
      </c>
      <c r="AB615" s="386">
        <f t="shared" si="36"/>
        <v>2662208</v>
      </c>
      <c r="AC615" s="384">
        <v>40746</v>
      </c>
      <c r="AD615" s="395">
        <v>2662208</v>
      </c>
      <c r="AE615" s="395" t="s">
        <v>7</v>
      </c>
      <c r="AF615" s="1084">
        <f>SUM(AD615:AD617)</f>
        <v>2662208</v>
      </c>
      <c r="AG615" s="1084"/>
      <c r="AH615" s="358">
        <f t="shared" si="37"/>
        <v>0</v>
      </c>
      <c r="AI615" s="1084">
        <f>V615-AD615-AD616-AD617</f>
        <v>3993312</v>
      </c>
      <c r="AJ615" s="1119">
        <f>SUM(Z615:Z617)-SUM(AD615:AD617)</f>
        <v>-2662208</v>
      </c>
      <c r="AK615" s="1119">
        <f>P615-V615</f>
        <v>0</v>
      </c>
      <c r="AL615" s="1119">
        <f>V615-SUM(Z615:Z617)+AJ615</f>
        <v>3993312</v>
      </c>
      <c r="AM615" s="1119"/>
      <c r="AN615" s="1204"/>
      <c r="AO615" s="1237"/>
      <c r="AP615" s="1204"/>
      <c r="AQ615" s="1204"/>
    </row>
    <row r="616" spans="1:44">
      <c r="A616" s="1076"/>
      <c r="B616" s="1171"/>
      <c r="C616" s="1076"/>
      <c r="D616" s="1076"/>
      <c r="E616" s="1252"/>
      <c r="F616" s="1252"/>
      <c r="G616" s="1076"/>
      <c r="H616" s="1076"/>
      <c r="I616" s="1076"/>
      <c r="J616" s="1076"/>
      <c r="K616" s="1076"/>
      <c r="L616" s="1076"/>
      <c r="M616" s="1251"/>
      <c r="N616" s="1123"/>
      <c r="O616" s="1119"/>
      <c r="P616" s="1119"/>
      <c r="Q616" s="1119"/>
      <c r="R616" s="1171"/>
      <c r="S616" s="1119"/>
      <c r="T616" s="1119"/>
      <c r="U616" s="1119"/>
      <c r="V616" s="1119"/>
      <c r="W616" s="1119"/>
      <c r="X616" s="1076"/>
      <c r="Y616" s="372"/>
      <c r="Z616" s="386"/>
      <c r="AA616" s="386"/>
      <c r="AB616" s="386">
        <f t="shared" si="36"/>
        <v>0</v>
      </c>
      <c r="AC616" s="384"/>
      <c r="AD616" s="395"/>
      <c r="AE616" s="395"/>
      <c r="AF616" s="1084"/>
      <c r="AG616" s="1084"/>
      <c r="AH616" s="358">
        <f t="shared" si="37"/>
        <v>0</v>
      </c>
      <c r="AI616" s="1084"/>
      <c r="AJ616" s="1119"/>
      <c r="AK616" s="1119"/>
      <c r="AL616" s="1119"/>
      <c r="AM616" s="1119"/>
      <c r="AN616" s="1204"/>
      <c r="AO616" s="1237"/>
      <c r="AP616" s="1204"/>
      <c r="AQ616" s="1204"/>
    </row>
    <row r="617" spans="1:44">
      <c r="A617" s="1076"/>
      <c r="B617" s="1171"/>
      <c r="C617" s="1076"/>
      <c r="D617" s="1076"/>
      <c r="E617" s="1252"/>
      <c r="F617" s="1252"/>
      <c r="G617" s="1076"/>
      <c r="H617" s="1076"/>
      <c r="I617" s="1076"/>
      <c r="J617" s="1076"/>
      <c r="K617" s="1076"/>
      <c r="L617" s="1076"/>
      <c r="M617" s="1251"/>
      <c r="N617" s="1123"/>
      <c r="O617" s="1119"/>
      <c r="P617" s="1119"/>
      <c r="Q617" s="1119"/>
      <c r="R617" s="1171"/>
      <c r="S617" s="1119"/>
      <c r="T617" s="1119"/>
      <c r="U617" s="1119"/>
      <c r="V617" s="1119"/>
      <c r="W617" s="1119"/>
      <c r="X617" s="1076"/>
      <c r="Y617" s="372"/>
      <c r="Z617" s="386"/>
      <c r="AA617" s="386"/>
      <c r="AB617" s="386">
        <f t="shared" si="36"/>
        <v>0</v>
      </c>
      <c r="AC617" s="384"/>
      <c r="AD617" s="395"/>
      <c r="AE617" s="395"/>
      <c r="AF617" s="1084"/>
      <c r="AG617" s="1084"/>
      <c r="AH617" s="358">
        <f t="shared" si="37"/>
        <v>0</v>
      </c>
      <c r="AI617" s="1084"/>
      <c r="AJ617" s="1119"/>
      <c r="AK617" s="1119"/>
      <c r="AL617" s="1119"/>
      <c r="AM617" s="1119"/>
      <c r="AN617" s="1204"/>
      <c r="AO617" s="1237"/>
      <c r="AP617" s="1204"/>
      <c r="AQ617" s="1204"/>
    </row>
    <row r="618" spans="1:44" ht="63">
      <c r="A618" s="1076" t="s">
        <v>835</v>
      </c>
      <c r="B618" s="1171">
        <v>40472</v>
      </c>
      <c r="C618" s="1076"/>
      <c r="D618" s="1076" t="s">
        <v>836</v>
      </c>
      <c r="E618" s="1252">
        <v>34560843</v>
      </c>
      <c r="F618" s="1252"/>
      <c r="G618" s="1076" t="s">
        <v>838</v>
      </c>
      <c r="H618" s="1076" t="s">
        <v>70</v>
      </c>
      <c r="I618" s="1076" t="s">
        <v>177</v>
      </c>
      <c r="J618" s="1076" t="s">
        <v>66</v>
      </c>
      <c r="K618" s="1076" t="s">
        <v>48</v>
      </c>
      <c r="L618" s="1076" t="s">
        <v>839</v>
      </c>
      <c r="M618" s="1251">
        <v>138</v>
      </c>
      <c r="N618" s="1123" t="s">
        <v>7</v>
      </c>
      <c r="O618" s="1119">
        <v>13860000</v>
      </c>
      <c r="P618" s="1119">
        <f>O618</f>
        <v>13860000</v>
      </c>
      <c r="Q618" s="1119">
        <f>P618</f>
        <v>13860000</v>
      </c>
      <c r="R618" s="1171">
        <v>40647</v>
      </c>
      <c r="S618" s="1196">
        <v>13860000</v>
      </c>
      <c r="T618" s="1196">
        <v>13860000</v>
      </c>
      <c r="U618" s="1119">
        <f>O618-T618</f>
        <v>0</v>
      </c>
      <c r="V618" s="1119">
        <v>13860000</v>
      </c>
      <c r="W618" s="1119">
        <v>13860000</v>
      </c>
      <c r="X618" s="1076" t="s">
        <v>837</v>
      </c>
      <c r="Y618" s="372" t="s">
        <v>840</v>
      </c>
      <c r="Z618" s="386">
        <v>0</v>
      </c>
      <c r="AA618" s="386">
        <v>5544000</v>
      </c>
      <c r="AB618" s="386">
        <f t="shared" si="36"/>
        <v>5544000</v>
      </c>
      <c r="AC618" s="384">
        <v>40667</v>
      </c>
      <c r="AD618" s="395">
        <v>5544000</v>
      </c>
      <c r="AE618" s="395" t="s">
        <v>7</v>
      </c>
      <c r="AF618" s="1084">
        <f>SUM(AD618:AD622)</f>
        <v>13028400</v>
      </c>
      <c r="AG618" s="1084">
        <f>AF618</f>
        <v>13028400</v>
      </c>
      <c r="AH618" s="358">
        <f t="shared" si="37"/>
        <v>0</v>
      </c>
      <c r="AI618" s="1084">
        <f>W618-AD618-AD619-AD620-AD621-AD622</f>
        <v>831600</v>
      </c>
      <c r="AJ618" s="1119">
        <f>SUM(Z618:Z622)-SUM(AD618:AD622)</f>
        <v>-554400</v>
      </c>
      <c r="AK618" s="1119">
        <f>P618-V618</f>
        <v>0</v>
      </c>
      <c r="AL618" s="1119">
        <f>V618-SUM(Z618:Z622)+AJ618</f>
        <v>831600</v>
      </c>
      <c r="AM618" s="1119"/>
      <c r="AN618" s="1204" t="s">
        <v>843</v>
      </c>
      <c r="AO618" s="1237" t="s">
        <v>842</v>
      </c>
      <c r="AP618" s="1204" t="s">
        <v>194</v>
      </c>
      <c r="AQ618" s="1204" t="s">
        <v>558</v>
      </c>
      <c r="AR618" s="1364" t="s">
        <v>2476</v>
      </c>
    </row>
    <row r="619" spans="1:44">
      <c r="A619" s="1076"/>
      <c r="B619" s="1171"/>
      <c r="C619" s="1076"/>
      <c r="D619" s="1076"/>
      <c r="E619" s="1252"/>
      <c r="F619" s="1252"/>
      <c r="G619" s="1076"/>
      <c r="H619" s="1076"/>
      <c r="I619" s="1076"/>
      <c r="J619" s="1076"/>
      <c r="K619" s="1076"/>
      <c r="L619" s="1076"/>
      <c r="M619" s="1251"/>
      <c r="N619" s="1123"/>
      <c r="O619" s="1119"/>
      <c r="P619" s="1119"/>
      <c r="Q619" s="1119"/>
      <c r="R619" s="1171"/>
      <c r="S619" s="1196"/>
      <c r="T619" s="1196"/>
      <c r="U619" s="1119"/>
      <c r="V619" s="1119"/>
      <c r="W619" s="1119"/>
      <c r="X619" s="1076"/>
      <c r="Y619" s="1123" t="s">
        <v>841</v>
      </c>
      <c r="Z619" s="1119">
        <v>12474000</v>
      </c>
      <c r="AA619" s="1119">
        <v>-4989600</v>
      </c>
      <c r="AB619" s="1119">
        <f t="shared" si="36"/>
        <v>7484400</v>
      </c>
      <c r="AC619" s="1171">
        <v>40898</v>
      </c>
      <c r="AD619" s="395">
        <v>2174497</v>
      </c>
      <c r="AE619" s="395" t="s">
        <v>7</v>
      </c>
      <c r="AF619" s="1084"/>
      <c r="AG619" s="1084"/>
      <c r="AH619" s="358">
        <f t="shared" si="37"/>
        <v>5309903</v>
      </c>
      <c r="AI619" s="1084"/>
      <c r="AJ619" s="1119"/>
      <c r="AK619" s="1119"/>
      <c r="AL619" s="1119"/>
      <c r="AM619" s="1119"/>
      <c r="AN619" s="1204"/>
      <c r="AO619" s="1237"/>
      <c r="AP619" s="1204"/>
      <c r="AQ619" s="1204"/>
      <c r="AR619" s="1364"/>
    </row>
    <row r="620" spans="1:44">
      <c r="A620" s="1076"/>
      <c r="B620" s="1171"/>
      <c r="C620" s="1076"/>
      <c r="D620" s="1076"/>
      <c r="E620" s="1252"/>
      <c r="F620" s="1252"/>
      <c r="G620" s="1076"/>
      <c r="H620" s="1076"/>
      <c r="I620" s="1076"/>
      <c r="J620" s="1076"/>
      <c r="K620" s="1076"/>
      <c r="L620" s="1076"/>
      <c r="M620" s="1251"/>
      <c r="N620" s="1123"/>
      <c r="O620" s="1119"/>
      <c r="P620" s="1119"/>
      <c r="Q620" s="1119"/>
      <c r="R620" s="1171"/>
      <c r="S620" s="1196"/>
      <c r="T620" s="1196"/>
      <c r="U620" s="1119"/>
      <c r="V620" s="1119"/>
      <c r="W620" s="1119"/>
      <c r="X620" s="1076"/>
      <c r="Y620" s="1123"/>
      <c r="Z620" s="1119"/>
      <c r="AA620" s="1119"/>
      <c r="AB620" s="1119"/>
      <c r="AC620" s="1171"/>
      <c r="AD620" s="395">
        <v>2444384</v>
      </c>
      <c r="AE620" s="395" t="s">
        <v>7</v>
      </c>
      <c r="AF620" s="1084"/>
      <c r="AG620" s="1084"/>
      <c r="AH620" s="358">
        <f t="shared" si="37"/>
        <v>-2444384</v>
      </c>
      <c r="AI620" s="1084"/>
      <c r="AJ620" s="1119"/>
      <c r="AK620" s="1119"/>
      <c r="AL620" s="1119"/>
      <c r="AM620" s="1119"/>
      <c r="AN620" s="1204"/>
      <c r="AO620" s="1237"/>
      <c r="AP620" s="1204"/>
      <c r="AQ620" s="1204"/>
      <c r="AR620" s="1364"/>
    </row>
    <row r="621" spans="1:44">
      <c r="A621" s="1076"/>
      <c r="B621" s="1171"/>
      <c r="C621" s="1076"/>
      <c r="D621" s="1076"/>
      <c r="E621" s="1252"/>
      <c r="F621" s="1252"/>
      <c r="G621" s="1076"/>
      <c r="H621" s="1076"/>
      <c r="I621" s="1076"/>
      <c r="J621" s="1076"/>
      <c r="K621" s="1076"/>
      <c r="L621" s="1076"/>
      <c r="M621" s="1251"/>
      <c r="N621" s="1123"/>
      <c r="O621" s="1119"/>
      <c r="P621" s="1119"/>
      <c r="Q621" s="1119"/>
      <c r="R621" s="1171"/>
      <c r="S621" s="1196"/>
      <c r="T621" s="1196"/>
      <c r="U621" s="1119"/>
      <c r="V621" s="1119"/>
      <c r="W621" s="1119"/>
      <c r="X621" s="1076"/>
      <c r="Y621" s="1123"/>
      <c r="Z621" s="1119"/>
      <c r="AA621" s="1119"/>
      <c r="AB621" s="1119"/>
      <c r="AC621" s="1171"/>
      <c r="AD621" s="395">
        <v>2865519</v>
      </c>
      <c r="AE621" s="395" t="s">
        <v>7</v>
      </c>
      <c r="AF621" s="1084"/>
      <c r="AG621" s="1084"/>
      <c r="AH621" s="358">
        <f t="shared" si="37"/>
        <v>-2865519</v>
      </c>
      <c r="AI621" s="1084"/>
      <c r="AJ621" s="1119"/>
      <c r="AK621" s="1119"/>
      <c r="AL621" s="1119"/>
      <c r="AM621" s="1119"/>
      <c r="AN621" s="1204"/>
      <c r="AO621" s="1237"/>
      <c r="AP621" s="1204"/>
      <c r="AQ621" s="1204"/>
      <c r="AR621" s="1364"/>
    </row>
    <row r="622" spans="1:44">
      <c r="A622" s="1076"/>
      <c r="B622" s="1171"/>
      <c r="C622" s="1076"/>
      <c r="D622" s="1076"/>
      <c r="E622" s="1252"/>
      <c r="F622" s="1252"/>
      <c r="G622" s="1076"/>
      <c r="H622" s="1076"/>
      <c r="I622" s="1076"/>
      <c r="J622" s="1076"/>
      <c r="K622" s="1076"/>
      <c r="L622" s="1076"/>
      <c r="M622" s="1251"/>
      <c r="N622" s="1123"/>
      <c r="O622" s="1119"/>
      <c r="P622" s="1119"/>
      <c r="Q622" s="1119"/>
      <c r="R622" s="1171"/>
      <c r="S622" s="1196"/>
      <c r="T622" s="1196"/>
      <c r="U622" s="1119"/>
      <c r="V622" s="1119"/>
      <c r="W622" s="1119"/>
      <c r="X622" s="1076"/>
      <c r="Y622" s="372"/>
      <c r="Z622" s="386"/>
      <c r="AA622" s="386"/>
      <c r="AB622" s="386">
        <f t="shared" ref="AB622:AB650" si="38">Z622+AA622</f>
        <v>0</v>
      </c>
      <c r="AC622" s="384"/>
      <c r="AD622" s="395"/>
      <c r="AE622" s="395"/>
      <c r="AF622" s="1084"/>
      <c r="AG622" s="1084"/>
      <c r="AH622" s="358">
        <f t="shared" si="37"/>
        <v>0</v>
      </c>
      <c r="AI622" s="1084"/>
      <c r="AJ622" s="1119"/>
      <c r="AK622" s="1119"/>
      <c r="AL622" s="1119"/>
      <c r="AM622" s="1119"/>
      <c r="AN622" s="1204"/>
      <c r="AO622" s="1237"/>
      <c r="AP622" s="1204"/>
      <c r="AQ622" s="1204"/>
      <c r="AR622" s="1364"/>
    </row>
    <row r="623" spans="1:44" ht="63">
      <c r="A623" s="1076" t="s">
        <v>844</v>
      </c>
      <c r="B623" s="1171">
        <v>40473</v>
      </c>
      <c r="C623" s="1076"/>
      <c r="D623" s="1076" t="s">
        <v>846</v>
      </c>
      <c r="E623" s="1252">
        <v>34541197</v>
      </c>
      <c r="F623" s="1252"/>
      <c r="G623" s="1076" t="s">
        <v>845</v>
      </c>
      <c r="H623" s="1076" t="s">
        <v>70</v>
      </c>
      <c r="I623" s="1076" t="s">
        <v>177</v>
      </c>
      <c r="J623" s="1076" t="s">
        <v>66</v>
      </c>
      <c r="K623" s="1076" t="s">
        <v>49</v>
      </c>
      <c r="L623" s="1076" t="s">
        <v>848</v>
      </c>
      <c r="M623" s="1251">
        <v>189</v>
      </c>
      <c r="N623" s="1123" t="s">
        <v>7</v>
      </c>
      <c r="O623" s="1119">
        <v>13009850</v>
      </c>
      <c r="P623" s="1119">
        <f>O623</f>
        <v>13009850</v>
      </c>
      <c r="Q623" s="1119">
        <f>P623</f>
        <v>13009850</v>
      </c>
      <c r="R623" s="1171">
        <v>40759</v>
      </c>
      <c r="S623" s="1196">
        <v>13009850</v>
      </c>
      <c r="T623" s="1119">
        <v>13009850</v>
      </c>
      <c r="U623" s="1119">
        <f>O623-T623</f>
        <v>0</v>
      </c>
      <c r="V623" s="1119">
        <v>13009284</v>
      </c>
      <c r="W623" s="1119">
        <v>13009284</v>
      </c>
      <c r="X623" s="1076" t="s">
        <v>847</v>
      </c>
      <c r="Y623" s="372" t="s">
        <v>849</v>
      </c>
      <c r="Z623" s="386">
        <v>0</v>
      </c>
      <c r="AA623" s="386">
        <v>5203713.6000000006</v>
      </c>
      <c r="AB623" s="386">
        <f t="shared" si="38"/>
        <v>5203713.6000000006</v>
      </c>
      <c r="AC623" s="384">
        <v>40858</v>
      </c>
      <c r="AD623" s="395">
        <v>5203714</v>
      </c>
      <c r="AE623" s="395" t="s">
        <v>7</v>
      </c>
      <c r="AF623" s="1084">
        <f>SUM(AD623:AD625)</f>
        <v>10277336</v>
      </c>
      <c r="AG623" s="1084">
        <f>AF623</f>
        <v>10277336</v>
      </c>
      <c r="AH623" s="358">
        <f t="shared" si="37"/>
        <v>-0.39999999944120646</v>
      </c>
      <c r="AI623" s="1084">
        <f>O623-AD623-AD624-AD625</f>
        <v>2732514</v>
      </c>
      <c r="AJ623" s="1119">
        <f>SUM(Z623:Z625)-SUM(AD623:AD625)</f>
        <v>-1821301</v>
      </c>
      <c r="AK623" s="1119">
        <f>P623-V623</f>
        <v>566</v>
      </c>
      <c r="AL623" s="1119">
        <f>V623-SUM(Z623:Z625)+AJ623</f>
        <v>2731948</v>
      </c>
      <c r="AM623" s="1119">
        <f>AK623</f>
        <v>566</v>
      </c>
      <c r="AN623" s="1204" t="s">
        <v>851</v>
      </c>
      <c r="AO623" s="1237" t="s">
        <v>852</v>
      </c>
      <c r="AP623" s="1204" t="s">
        <v>194</v>
      </c>
      <c r="AQ623" s="1204" t="s">
        <v>558</v>
      </c>
    </row>
    <row r="624" spans="1:44" ht="47.25">
      <c r="A624" s="1076"/>
      <c r="B624" s="1171"/>
      <c r="C624" s="1076"/>
      <c r="D624" s="1076"/>
      <c r="E624" s="1252"/>
      <c r="F624" s="1252"/>
      <c r="G624" s="1076"/>
      <c r="H624" s="1076"/>
      <c r="I624" s="1076"/>
      <c r="J624" s="1076"/>
      <c r="K624" s="1076"/>
      <c r="L624" s="1076"/>
      <c r="M624" s="1251"/>
      <c r="N624" s="1123"/>
      <c r="O624" s="1119"/>
      <c r="P624" s="1119"/>
      <c r="Q624" s="1119"/>
      <c r="R624" s="1171"/>
      <c r="S624" s="1196"/>
      <c r="T624" s="1119"/>
      <c r="U624" s="1119"/>
      <c r="V624" s="1119"/>
      <c r="W624" s="1119"/>
      <c r="X624" s="1076"/>
      <c r="Y624" s="372" t="s">
        <v>850</v>
      </c>
      <c r="Z624" s="386">
        <v>8456035</v>
      </c>
      <c r="AA624" s="386">
        <v>-3382413</v>
      </c>
      <c r="AB624" s="386">
        <f t="shared" si="38"/>
        <v>5073622</v>
      </c>
      <c r="AC624" s="384">
        <v>41991</v>
      </c>
      <c r="AD624" s="395">
        <v>5073622</v>
      </c>
      <c r="AE624" s="395" t="s">
        <v>7</v>
      </c>
      <c r="AF624" s="1084"/>
      <c r="AG624" s="1084"/>
      <c r="AH624" s="358">
        <f t="shared" si="37"/>
        <v>0</v>
      </c>
      <c r="AI624" s="1084"/>
      <c r="AJ624" s="1119"/>
      <c r="AK624" s="1119"/>
      <c r="AL624" s="1119"/>
      <c r="AM624" s="1119"/>
      <c r="AN624" s="1204"/>
      <c r="AO624" s="1204"/>
      <c r="AP624" s="1204"/>
      <c r="AQ624" s="1204"/>
    </row>
    <row r="625" spans="1:43" ht="30" customHeight="1">
      <c r="A625" s="1076"/>
      <c r="B625" s="1171"/>
      <c r="C625" s="1076"/>
      <c r="D625" s="1076"/>
      <c r="E625" s="1252"/>
      <c r="F625" s="1252"/>
      <c r="G625" s="1076"/>
      <c r="H625" s="1076"/>
      <c r="I625" s="1076"/>
      <c r="J625" s="1076"/>
      <c r="K625" s="1076"/>
      <c r="L625" s="1076"/>
      <c r="M625" s="1251"/>
      <c r="N625" s="1123"/>
      <c r="O625" s="1119"/>
      <c r="P625" s="1119"/>
      <c r="Q625" s="1119"/>
      <c r="R625" s="1171"/>
      <c r="S625" s="1196"/>
      <c r="T625" s="1119"/>
      <c r="U625" s="1119"/>
      <c r="V625" s="1119"/>
      <c r="W625" s="1119"/>
      <c r="X625" s="1076"/>
      <c r="Y625" s="372"/>
      <c r="Z625" s="386"/>
      <c r="AA625" s="386"/>
      <c r="AB625" s="386">
        <f t="shared" si="38"/>
        <v>0</v>
      </c>
      <c r="AC625" s="384"/>
      <c r="AD625" s="395"/>
      <c r="AE625" s="395"/>
      <c r="AF625" s="1084"/>
      <c r="AG625" s="1084"/>
      <c r="AH625" s="358">
        <f t="shared" si="37"/>
        <v>0</v>
      </c>
      <c r="AI625" s="1084"/>
      <c r="AJ625" s="1119"/>
      <c r="AK625" s="1119"/>
      <c r="AL625" s="1119"/>
      <c r="AM625" s="1119"/>
      <c r="AN625" s="1204"/>
      <c r="AO625" s="1204"/>
      <c r="AP625" s="1204"/>
      <c r="AQ625" s="1204"/>
    </row>
    <row r="626" spans="1:43" ht="63">
      <c r="A626" s="1076" t="s">
        <v>853</v>
      </c>
      <c r="B626" s="1171">
        <v>40473</v>
      </c>
      <c r="C626" s="1076" t="s">
        <v>19</v>
      </c>
      <c r="D626" s="1076" t="s">
        <v>854</v>
      </c>
      <c r="E626" s="1252">
        <v>76308120</v>
      </c>
      <c r="F626" s="1252"/>
      <c r="G626" s="1076" t="s">
        <v>855</v>
      </c>
      <c r="H626" s="1076" t="s">
        <v>72</v>
      </c>
      <c r="I626" s="1076" t="s">
        <v>177</v>
      </c>
      <c r="J626" s="1076" t="s">
        <v>66</v>
      </c>
      <c r="K626" s="1076" t="s">
        <v>697</v>
      </c>
      <c r="L626" s="1076" t="s">
        <v>507</v>
      </c>
      <c r="M626" s="1251">
        <v>173</v>
      </c>
      <c r="N626" s="1123" t="s">
        <v>7</v>
      </c>
      <c r="O626" s="1119">
        <v>23000000</v>
      </c>
      <c r="P626" s="1119">
        <f>O626</f>
        <v>23000000</v>
      </c>
      <c r="Q626" s="1119">
        <f>P626</f>
        <v>23000000</v>
      </c>
      <c r="R626" s="1171">
        <v>40718</v>
      </c>
      <c r="S626" s="1196">
        <f>T626</f>
        <v>23000000</v>
      </c>
      <c r="T626" s="1119">
        <v>23000000</v>
      </c>
      <c r="U626" s="1119">
        <f>O626-T626</f>
        <v>0</v>
      </c>
      <c r="V626" s="1119">
        <v>23000000</v>
      </c>
      <c r="W626" s="1119">
        <v>23000000</v>
      </c>
      <c r="X626" s="1076" t="s">
        <v>856</v>
      </c>
      <c r="Y626" s="372" t="s">
        <v>857</v>
      </c>
      <c r="Z626" s="386">
        <v>0</v>
      </c>
      <c r="AA626" s="386">
        <v>9200000</v>
      </c>
      <c r="AB626" s="386">
        <f t="shared" si="38"/>
        <v>9200000</v>
      </c>
      <c r="AC626" s="384">
        <v>40750</v>
      </c>
      <c r="AD626" s="395">
        <v>9200000</v>
      </c>
      <c r="AE626" s="395" t="s">
        <v>7</v>
      </c>
      <c r="AF626" s="1084">
        <f>SUM(AD626:AD627)</f>
        <v>21620000</v>
      </c>
      <c r="AG626" s="1084">
        <f>AF626</f>
        <v>21620000</v>
      </c>
      <c r="AH626" s="358">
        <f t="shared" si="37"/>
        <v>0</v>
      </c>
      <c r="AI626" s="1084">
        <v>0</v>
      </c>
      <c r="AJ626" s="1119">
        <v>0</v>
      </c>
      <c r="AK626" s="1119">
        <f>P626-V626</f>
        <v>0</v>
      </c>
      <c r="AL626" s="1119">
        <f>V626-SUM(Z626:Z627)-920000</f>
        <v>1380000</v>
      </c>
      <c r="AM626" s="1119">
        <f>AK626+AL626</f>
        <v>1380000</v>
      </c>
      <c r="AN626" s="1249" t="s">
        <v>523</v>
      </c>
      <c r="AO626" s="1248" t="s">
        <v>859</v>
      </c>
      <c r="AP626" s="1249" t="s">
        <v>194</v>
      </c>
      <c r="AQ626" s="1249" t="s">
        <v>558</v>
      </c>
    </row>
    <row r="627" spans="1:43" ht="63">
      <c r="A627" s="1076"/>
      <c r="B627" s="1171"/>
      <c r="C627" s="1076"/>
      <c r="D627" s="1076"/>
      <c r="E627" s="1252"/>
      <c r="F627" s="1252"/>
      <c r="G627" s="1076"/>
      <c r="H627" s="1076"/>
      <c r="I627" s="1076"/>
      <c r="J627" s="1076"/>
      <c r="K627" s="1076"/>
      <c r="L627" s="1076"/>
      <c r="M627" s="1251"/>
      <c r="N627" s="1123"/>
      <c r="O627" s="1119"/>
      <c r="P627" s="1119"/>
      <c r="Q627" s="1119"/>
      <c r="R627" s="1171"/>
      <c r="S627" s="1196"/>
      <c r="T627" s="1119"/>
      <c r="U627" s="1119"/>
      <c r="V627" s="1119"/>
      <c r="W627" s="1119"/>
      <c r="X627" s="1076"/>
      <c r="Y627" s="372" t="s">
        <v>858</v>
      </c>
      <c r="Z627" s="386">
        <v>20700000</v>
      </c>
      <c r="AA627" s="386">
        <v>-8280000</v>
      </c>
      <c r="AB627" s="386">
        <f t="shared" si="38"/>
        <v>12420000</v>
      </c>
      <c r="AC627" s="384">
        <v>41103</v>
      </c>
      <c r="AD627" s="395">
        <v>12420000</v>
      </c>
      <c r="AE627" s="395" t="s">
        <v>7</v>
      </c>
      <c r="AF627" s="1084"/>
      <c r="AG627" s="1084"/>
      <c r="AH627" s="358">
        <f t="shared" si="37"/>
        <v>0</v>
      </c>
      <c r="AI627" s="1084"/>
      <c r="AJ627" s="1119"/>
      <c r="AK627" s="1119"/>
      <c r="AL627" s="1119"/>
      <c r="AM627" s="1119"/>
      <c r="AN627" s="1249"/>
      <c r="AO627" s="1249"/>
      <c r="AP627" s="1249"/>
      <c r="AQ627" s="1249"/>
    </row>
    <row r="628" spans="1:43" ht="15.75" customHeight="1">
      <c r="A628" s="1076" t="s">
        <v>860</v>
      </c>
      <c r="B628" s="1171">
        <v>40473</v>
      </c>
      <c r="C628" s="1076" t="s">
        <v>39</v>
      </c>
      <c r="D628" s="1076" t="s">
        <v>861</v>
      </c>
      <c r="E628" s="1252">
        <v>10532319</v>
      </c>
      <c r="F628" s="1252"/>
      <c r="G628" s="1076" t="s">
        <v>862</v>
      </c>
      <c r="H628" s="1076" t="s">
        <v>70</v>
      </c>
      <c r="I628" s="1076" t="s">
        <v>177</v>
      </c>
      <c r="J628" s="1076" t="s">
        <v>489</v>
      </c>
      <c r="K628" s="1076" t="s">
        <v>49</v>
      </c>
      <c r="L628" s="1076" t="s">
        <v>873</v>
      </c>
      <c r="M628" s="1268">
        <v>47</v>
      </c>
      <c r="N628" s="1123" t="s">
        <v>7</v>
      </c>
      <c r="O628" s="1119">
        <v>1381339</v>
      </c>
      <c r="P628" s="1119">
        <f>O628+O631</f>
        <v>4204988</v>
      </c>
      <c r="Q628" s="1119">
        <f>P628+P634+P637+P640+P643</f>
        <v>14124988</v>
      </c>
      <c r="R628" s="1171">
        <v>40353</v>
      </c>
      <c r="S628" s="1196">
        <f>T628+T631</f>
        <v>4204988</v>
      </c>
      <c r="T628" s="1196">
        <v>1381339</v>
      </c>
      <c r="U628" s="1196">
        <f>O628-T628</f>
        <v>0</v>
      </c>
      <c r="V628" s="1119">
        <v>1300000</v>
      </c>
      <c r="W628" s="1119">
        <v>13545000</v>
      </c>
      <c r="X628" s="1076" t="s">
        <v>863</v>
      </c>
      <c r="Y628" s="1123" t="s">
        <v>864</v>
      </c>
      <c r="Z628" s="386">
        <v>0</v>
      </c>
      <c r="AA628" s="386">
        <v>520000</v>
      </c>
      <c r="AB628" s="386">
        <f t="shared" si="38"/>
        <v>520000</v>
      </c>
      <c r="AC628" s="1171">
        <v>40581</v>
      </c>
      <c r="AD628" s="395">
        <v>520000</v>
      </c>
      <c r="AE628" s="395" t="s">
        <v>7</v>
      </c>
      <c r="AF628" s="1084">
        <f>SUM(AD628:AD633)</f>
        <v>3625000</v>
      </c>
      <c r="AG628" s="1084">
        <f>AF628+AF634+AF637+AF640+AF643</f>
        <v>8586600</v>
      </c>
      <c r="AH628" s="358">
        <f t="shared" si="37"/>
        <v>0</v>
      </c>
      <c r="AI628" s="1084">
        <f>V628-AD628-AD629-AD632</f>
        <v>-228000</v>
      </c>
      <c r="AJ628" s="1119">
        <f>SUM(Z628:Z633)-SUM(AD628:AD633)</f>
        <v>0</v>
      </c>
      <c r="AK628" s="1119">
        <f>O628-V628</f>
        <v>81339</v>
      </c>
      <c r="AL628" s="1119">
        <f>SUM(V628:V633)-SUM(Z628:Z633)</f>
        <v>0</v>
      </c>
      <c r="AM628" s="1119">
        <f>AK628+AK631+AL628</f>
        <v>579988</v>
      </c>
      <c r="AN628" s="1204" t="s">
        <v>865</v>
      </c>
      <c r="AO628" s="1237" t="s">
        <v>874</v>
      </c>
      <c r="AP628" s="1204" t="s">
        <v>194</v>
      </c>
      <c r="AQ628" s="1204" t="s">
        <v>558</v>
      </c>
    </row>
    <row r="629" spans="1:43">
      <c r="A629" s="1076"/>
      <c r="B629" s="1171"/>
      <c r="C629" s="1076"/>
      <c r="D629" s="1076"/>
      <c r="E629" s="1252"/>
      <c r="F629" s="1252"/>
      <c r="G629" s="1076"/>
      <c r="H629" s="1076"/>
      <c r="I629" s="1076"/>
      <c r="J629" s="1076"/>
      <c r="K629" s="1076"/>
      <c r="L629" s="1076"/>
      <c r="M629" s="1268"/>
      <c r="N629" s="1123"/>
      <c r="O629" s="1119"/>
      <c r="P629" s="1119"/>
      <c r="Q629" s="1119"/>
      <c r="R629" s="1171"/>
      <c r="S629" s="1196"/>
      <c r="T629" s="1196"/>
      <c r="U629" s="1196"/>
      <c r="V629" s="1119"/>
      <c r="W629" s="1119"/>
      <c r="X629" s="1076"/>
      <c r="Y629" s="1123"/>
      <c r="Z629" s="386">
        <v>0</v>
      </c>
      <c r="AA629" s="386">
        <v>930000</v>
      </c>
      <c r="AB629" s="386">
        <f t="shared" si="38"/>
        <v>930000</v>
      </c>
      <c r="AC629" s="1171"/>
      <c r="AD629" s="395">
        <v>930000</v>
      </c>
      <c r="AE629" s="395" t="s">
        <v>7</v>
      </c>
      <c r="AF629" s="1084"/>
      <c r="AG629" s="1084"/>
      <c r="AH629" s="358">
        <f t="shared" si="37"/>
        <v>0</v>
      </c>
      <c r="AI629" s="1084"/>
      <c r="AJ629" s="1119"/>
      <c r="AK629" s="1119"/>
      <c r="AL629" s="1119"/>
      <c r="AM629" s="1119"/>
      <c r="AN629" s="1204"/>
      <c r="AO629" s="1204"/>
      <c r="AP629" s="1204"/>
      <c r="AQ629" s="1204"/>
    </row>
    <row r="630" spans="1:43" ht="21.75" customHeight="1">
      <c r="A630" s="1076"/>
      <c r="B630" s="1171"/>
      <c r="C630" s="1076"/>
      <c r="D630" s="1076"/>
      <c r="E630" s="1252"/>
      <c r="F630" s="1252"/>
      <c r="G630" s="1076"/>
      <c r="H630" s="1076"/>
      <c r="I630" s="1076"/>
      <c r="J630" s="1076"/>
      <c r="K630" s="1076"/>
      <c r="L630" s="1076"/>
      <c r="M630" s="1268"/>
      <c r="N630" s="1123"/>
      <c r="O630" s="1119"/>
      <c r="P630" s="1119"/>
      <c r="Q630" s="1119"/>
      <c r="R630" s="1171"/>
      <c r="S630" s="1196"/>
      <c r="T630" s="1196"/>
      <c r="U630" s="1196"/>
      <c r="V630" s="1119"/>
      <c r="W630" s="1119"/>
      <c r="X630" s="1076"/>
      <c r="Y630" s="1123" t="s">
        <v>870</v>
      </c>
      <c r="Z630" s="386">
        <v>1170000</v>
      </c>
      <c r="AA630" s="386">
        <v>-468000</v>
      </c>
      <c r="AB630" s="386">
        <f t="shared" si="38"/>
        <v>702000</v>
      </c>
      <c r="AC630" s="1171">
        <v>40864</v>
      </c>
      <c r="AD630" s="395">
        <v>702000</v>
      </c>
      <c r="AE630" s="395" t="s">
        <v>137</v>
      </c>
      <c r="AF630" s="1084"/>
      <c r="AG630" s="1084"/>
      <c r="AH630" s="358">
        <f t="shared" si="37"/>
        <v>0</v>
      </c>
      <c r="AI630" s="1084"/>
      <c r="AJ630" s="1119"/>
      <c r="AK630" s="1119"/>
      <c r="AL630" s="1119"/>
      <c r="AM630" s="1119"/>
      <c r="AN630" s="1204"/>
      <c r="AO630" s="1204"/>
      <c r="AP630" s="1204"/>
      <c r="AQ630" s="1204"/>
    </row>
    <row r="631" spans="1:43" ht="27" customHeight="1">
      <c r="A631" s="1076"/>
      <c r="B631" s="1171"/>
      <c r="C631" s="1076"/>
      <c r="D631" s="1076"/>
      <c r="E631" s="1252"/>
      <c r="F631" s="1252"/>
      <c r="G631" s="1076"/>
      <c r="H631" s="1076"/>
      <c r="I631" s="1076"/>
      <c r="J631" s="1076"/>
      <c r="K631" s="1076"/>
      <c r="L631" s="1076"/>
      <c r="M631" s="1268"/>
      <c r="N631" s="1123" t="s">
        <v>137</v>
      </c>
      <c r="O631" s="1119">
        <v>2823649</v>
      </c>
      <c r="P631" s="1119"/>
      <c r="Q631" s="1119"/>
      <c r="R631" s="1171"/>
      <c r="S631" s="1196"/>
      <c r="T631" s="1196">
        <v>2823649</v>
      </c>
      <c r="U631" s="1196">
        <f>O631-T631</f>
        <v>0</v>
      </c>
      <c r="V631" s="1119">
        <v>2325000</v>
      </c>
      <c r="W631" s="1119"/>
      <c r="X631" s="1076"/>
      <c r="Y631" s="1123"/>
      <c r="Z631" s="386">
        <v>2092500</v>
      </c>
      <c r="AA631" s="386">
        <v>-837000</v>
      </c>
      <c r="AB631" s="386">
        <f t="shared" si="38"/>
        <v>1255500</v>
      </c>
      <c r="AC631" s="1171"/>
      <c r="AD631" s="395">
        <v>1255500</v>
      </c>
      <c r="AE631" s="395" t="s">
        <v>137</v>
      </c>
      <c r="AF631" s="1084"/>
      <c r="AG631" s="1084"/>
      <c r="AH631" s="358">
        <f t="shared" si="37"/>
        <v>0</v>
      </c>
      <c r="AI631" s="1084">
        <f>V631-AD630-AD631-AD633</f>
        <v>228000</v>
      </c>
      <c r="AJ631" s="1119"/>
      <c r="AK631" s="1119">
        <f>O631-V631</f>
        <v>498649</v>
      </c>
      <c r="AL631" s="1119"/>
      <c r="AM631" s="1119"/>
      <c r="AN631" s="1204"/>
      <c r="AO631" s="1204"/>
      <c r="AP631" s="1204"/>
      <c r="AQ631" s="1204"/>
    </row>
    <row r="632" spans="1:43">
      <c r="A632" s="1076"/>
      <c r="B632" s="1171"/>
      <c r="C632" s="1076"/>
      <c r="D632" s="1076"/>
      <c r="E632" s="1252"/>
      <c r="F632" s="1252"/>
      <c r="G632" s="1076"/>
      <c r="H632" s="1076"/>
      <c r="I632" s="1076"/>
      <c r="J632" s="1076"/>
      <c r="K632" s="1076"/>
      <c r="L632" s="1076"/>
      <c r="M632" s="1268"/>
      <c r="N632" s="1123"/>
      <c r="O632" s="1119"/>
      <c r="P632" s="1119"/>
      <c r="Q632" s="1119"/>
      <c r="R632" s="1171"/>
      <c r="S632" s="1196"/>
      <c r="T632" s="1196"/>
      <c r="U632" s="1196"/>
      <c r="V632" s="1119"/>
      <c r="W632" s="1119"/>
      <c r="X632" s="1076"/>
      <c r="Y632" s="1123" t="s">
        <v>871</v>
      </c>
      <c r="Z632" s="386">
        <v>130200</v>
      </c>
      <c r="AA632" s="386">
        <v>-52200</v>
      </c>
      <c r="AB632" s="386">
        <f t="shared" si="38"/>
        <v>78000</v>
      </c>
      <c r="AC632" s="1171">
        <v>41459</v>
      </c>
      <c r="AD632" s="395">
        <v>78000</v>
      </c>
      <c r="AE632" s="395" t="s">
        <v>7</v>
      </c>
      <c r="AF632" s="1084"/>
      <c r="AG632" s="1084"/>
      <c r="AH632" s="358">
        <f t="shared" si="37"/>
        <v>0</v>
      </c>
      <c r="AI632" s="1084"/>
      <c r="AJ632" s="1119"/>
      <c r="AK632" s="1119"/>
      <c r="AL632" s="1119"/>
      <c r="AM632" s="1119"/>
      <c r="AN632" s="1204"/>
      <c r="AO632" s="1204"/>
      <c r="AP632" s="1204"/>
      <c r="AQ632" s="1204"/>
    </row>
    <row r="633" spans="1:43" ht="31.5">
      <c r="A633" s="1076"/>
      <c r="B633" s="1171"/>
      <c r="C633" s="1076"/>
      <c r="D633" s="1076"/>
      <c r="E633" s="1252"/>
      <c r="F633" s="1252"/>
      <c r="G633" s="1076"/>
      <c r="H633" s="1076"/>
      <c r="I633" s="1076"/>
      <c r="J633" s="1076"/>
      <c r="K633" s="1076"/>
      <c r="L633" s="1076"/>
      <c r="M633" s="1268"/>
      <c r="N633" s="1123"/>
      <c r="O633" s="1119"/>
      <c r="P633" s="1119"/>
      <c r="Q633" s="1119"/>
      <c r="R633" s="1171"/>
      <c r="S633" s="1196"/>
      <c r="T633" s="1196"/>
      <c r="U633" s="1196"/>
      <c r="V633" s="1119"/>
      <c r="W633" s="1119"/>
      <c r="X633" s="1076"/>
      <c r="Y633" s="1123"/>
      <c r="Z633" s="386">
        <v>232300</v>
      </c>
      <c r="AA633" s="386">
        <v>-92800</v>
      </c>
      <c r="AB633" s="386">
        <f t="shared" si="38"/>
        <v>139500</v>
      </c>
      <c r="AC633" s="1171"/>
      <c r="AD633" s="395">
        <v>139500</v>
      </c>
      <c r="AE633" s="395" t="s">
        <v>137</v>
      </c>
      <c r="AF633" s="1084"/>
      <c r="AG633" s="1084"/>
      <c r="AH633" s="358">
        <f t="shared" si="37"/>
        <v>0</v>
      </c>
      <c r="AI633" s="1084"/>
      <c r="AJ633" s="1119"/>
      <c r="AK633" s="1119"/>
      <c r="AL633" s="1119"/>
      <c r="AM633" s="1119"/>
      <c r="AN633" s="1204"/>
      <c r="AO633" s="1204"/>
      <c r="AP633" s="1204"/>
      <c r="AQ633" s="1204"/>
    </row>
    <row r="634" spans="1:43" ht="31.5">
      <c r="A634" s="1076"/>
      <c r="B634" s="1171"/>
      <c r="C634" s="1076" t="s">
        <v>28</v>
      </c>
      <c r="D634" s="1076"/>
      <c r="E634" s="1252"/>
      <c r="F634" s="1252"/>
      <c r="G634" s="1076"/>
      <c r="H634" s="1076"/>
      <c r="I634" s="1076"/>
      <c r="J634" s="1076"/>
      <c r="K634" s="1076"/>
      <c r="L634" s="1076"/>
      <c r="M634" s="1251">
        <v>195</v>
      </c>
      <c r="N634" s="1123" t="s">
        <v>7</v>
      </c>
      <c r="O634" s="1119">
        <v>2750000</v>
      </c>
      <c r="P634" s="1119">
        <v>2750000</v>
      </c>
      <c r="Q634" s="1119"/>
      <c r="R634" s="1171">
        <v>40759</v>
      </c>
      <c r="S634" s="1196">
        <v>2750000</v>
      </c>
      <c r="T634" s="1196">
        <v>2750000</v>
      </c>
      <c r="U634" s="1196">
        <f>O634-T634</f>
        <v>0</v>
      </c>
      <c r="V634" s="1119">
        <v>2750000</v>
      </c>
      <c r="W634" s="1119"/>
      <c r="X634" s="1076"/>
      <c r="Y634" s="372" t="s">
        <v>866</v>
      </c>
      <c r="Z634" s="386">
        <v>0</v>
      </c>
      <c r="AA634" s="386">
        <v>1100000</v>
      </c>
      <c r="AB634" s="386">
        <f t="shared" si="38"/>
        <v>1100000</v>
      </c>
      <c r="AC634" s="384">
        <v>40823</v>
      </c>
      <c r="AD634" s="395">
        <v>1100000</v>
      </c>
      <c r="AE634" s="395" t="s">
        <v>7</v>
      </c>
      <c r="AF634" s="1084">
        <f>SUM(AD634:AD636)</f>
        <v>1100000</v>
      </c>
      <c r="AG634" s="1084"/>
      <c r="AH634" s="358">
        <f t="shared" si="37"/>
        <v>0</v>
      </c>
      <c r="AI634" s="1084"/>
      <c r="AJ634" s="1119">
        <f>SUM(Z634:Z636)-SUM(AD634:AD636)</f>
        <v>-1100000</v>
      </c>
      <c r="AK634" s="1119">
        <f>P634-V634</f>
        <v>0</v>
      </c>
      <c r="AL634" s="1119">
        <f>V634-SUM(Z634:Z636)</f>
        <v>2750000</v>
      </c>
      <c r="AM634" s="1119"/>
      <c r="AN634" s="1204"/>
      <c r="AO634" s="1204"/>
      <c r="AP634" s="1204"/>
      <c r="AQ634" s="1204"/>
    </row>
    <row r="635" spans="1:43">
      <c r="A635" s="1076"/>
      <c r="B635" s="1171"/>
      <c r="C635" s="1076"/>
      <c r="D635" s="1076"/>
      <c r="E635" s="1252"/>
      <c r="F635" s="1252"/>
      <c r="G635" s="1076"/>
      <c r="H635" s="1076"/>
      <c r="I635" s="1076"/>
      <c r="J635" s="1076"/>
      <c r="K635" s="1076"/>
      <c r="L635" s="1076"/>
      <c r="M635" s="1251"/>
      <c r="N635" s="1123"/>
      <c r="O635" s="1119"/>
      <c r="P635" s="1119"/>
      <c r="Q635" s="1119"/>
      <c r="R635" s="1171"/>
      <c r="S635" s="1196"/>
      <c r="T635" s="1196"/>
      <c r="U635" s="1196"/>
      <c r="V635" s="1119"/>
      <c r="W635" s="1119"/>
      <c r="X635" s="1076"/>
      <c r="Y635" s="372"/>
      <c r="Z635" s="386"/>
      <c r="AA635" s="386"/>
      <c r="AB635" s="386">
        <f t="shared" si="38"/>
        <v>0</v>
      </c>
      <c r="AC635" s="384"/>
      <c r="AD635" s="395"/>
      <c r="AE635" s="395"/>
      <c r="AF635" s="1084"/>
      <c r="AG635" s="1084"/>
      <c r="AH635" s="358">
        <f t="shared" si="37"/>
        <v>0</v>
      </c>
      <c r="AI635" s="1084"/>
      <c r="AJ635" s="1119"/>
      <c r="AK635" s="1119"/>
      <c r="AL635" s="1119"/>
      <c r="AM635" s="1119"/>
      <c r="AN635" s="1204"/>
      <c r="AO635" s="1204"/>
      <c r="AP635" s="1204"/>
      <c r="AQ635" s="1204"/>
    </row>
    <row r="636" spans="1:43">
      <c r="A636" s="1076"/>
      <c r="B636" s="1171"/>
      <c r="C636" s="1076"/>
      <c r="D636" s="1076"/>
      <c r="E636" s="1252"/>
      <c r="F636" s="1252"/>
      <c r="G636" s="1076"/>
      <c r="H636" s="1076"/>
      <c r="I636" s="1076"/>
      <c r="J636" s="1076"/>
      <c r="K636" s="1076"/>
      <c r="L636" s="1076"/>
      <c r="M636" s="1251"/>
      <c r="N636" s="1123"/>
      <c r="O636" s="1119"/>
      <c r="P636" s="1119"/>
      <c r="Q636" s="1119"/>
      <c r="R636" s="1171"/>
      <c r="S636" s="1196"/>
      <c r="T636" s="1196"/>
      <c r="U636" s="1196"/>
      <c r="V636" s="1119"/>
      <c r="W636" s="1119"/>
      <c r="X636" s="1076"/>
      <c r="Y636" s="372"/>
      <c r="Z636" s="386"/>
      <c r="AA636" s="386"/>
      <c r="AB636" s="386">
        <f t="shared" si="38"/>
        <v>0</v>
      </c>
      <c r="AC636" s="384"/>
      <c r="AD636" s="395"/>
      <c r="AE636" s="395"/>
      <c r="AF636" s="1084"/>
      <c r="AG636" s="1084"/>
      <c r="AH636" s="358">
        <f t="shared" si="37"/>
        <v>0</v>
      </c>
      <c r="AI636" s="1084"/>
      <c r="AJ636" s="1119"/>
      <c r="AK636" s="1119"/>
      <c r="AL636" s="1119"/>
      <c r="AM636" s="1119"/>
      <c r="AN636" s="1204"/>
      <c r="AO636" s="1204"/>
      <c r="AP636" s="1204"/>
      <c r="AQ636" s="1204"/>
    </row>
    <row r="637" spans="1:43" ht="31.5">
      <c r="A637" s="1076"/>
      <c r="B637" s="1171"/>
      <c r="C637" s="1076"/>
      <c r="D637" s="1076"/>
      <c r="E637" s="1252"/>
      <c r="F637" s="1252"/>
      <c r="G637" s="1076"/>
      <c r="H637" s="1076"/>
      <c r="I637" s="1076"/>
      <c r="J637" s="1076"/>
      <c r="K637" s="1076"/>
      <c r="L637" s="1076"/>
      <c r="M637" s="1251">
        <v>210</v>
      </c>
      <c r="N637" s="1123" t="s">
        <v>7</v>
      </c>
      <c r="O637" s="1119">
        <v>2810000</v>
      </c>
      <c r="P637" s="1119">
        <v>2810000</v>
      </c>
      <c r="Q637" s="1119"/>
      <c r="R637" s="1171">
        <v>40779</v>
      </c>
      <c r="S637" s="1196">
        <v>2810000</v>
      </c>
      <c r="T637" s="1196">
        <v>2810000</v>
      </c>
      <c r="U637" s="1196">
        <f>O637-T637</f>
        <v>0</v>
      </c>
      <c r="V637" s="1119">
        <v>2810000</v>
      </c>
      <c r="W637" s="1119"/>
      <c r="X637" s="1076"/>
      <c r="Y637" s="372" t="s">
        <v>867</v>
      </c>
      <c r="Z637" s="386">
        <v>0</v>
      </c>
      <c r="AA637" s="386">
        <v>1124000</v>
      </c>
      <c r="AB637" s="386">
        <f t="shared" si="38"/>
        <v>1124000</v>
      </c>
      <c r="AC637" s="384">
        <v>40823</v>
      </c>
      <c r="AD637" s="395">
        <v>1124000</v>
      </c>
      <c r="AE637" s="395" t="s">
        <v>7</v>
      </c>
      <c r="AF637" s="1084">
        <f>SUM(AD637:AD639)</f>
        <v>1124000</v>
      </c>
      <c r="AG637" s="1084"/>
      <c r="AH637" s="358">
        <f t="shared" si="37"/>
        <v>0</v>
      </c>
      <c r="AI637" s="1084"/>
      <c r="AJ637" s="1119">
        <f>SUM(Z637:Z639)-SUM(AD637:AD639)</f>
        <v>-1124000</v>
      </c>
      <c r="AK637" s="1119">
        <f>P637-V637</f>
        <v>0</v>
      </c>
      <c r="AL637" s="1119">
        <f>V637-SUM(Z637:Z639)</f>
        <v>2810000</v>
      </c>
      <c r="AM637" s="1119"/>
      <c r="AN637" s="1204"/>
      <c r="AO637" s="1204"/>
      <c r="AP637" s="1204"/>
      <c r="AQ637" s="1204"/>
    </row>
    <row r="638" spans="1:43">
      <c r="A638" s="1076"/>
      <c r="B638" s="1171"/>
      <c r="C638" s="1076"/>
      <c r="D638" s="1076"/>
      <c r="E638" s="1252"/>
      <c r="F638" s="1252"/>
      <c r="G638" s="1076"/>
      <c r="H638" s="1076"/>
      <c r="I638" s="1076"/>
      <c r="J638" s="1076"/>
      <c r="K638" s="1076"/>
      <c r="L638" s="1076"/>
      <c r="M638" s="1251"/>
      <c r="N638" s="1123"/>
      <c r="O638" s="1119"/>
      <c r="P638" s="1119"/>
      <c r="Q638" s="1119"/>
      <c r="R638" s="1171"/>
      <c r="S638" s="1196"/>
      <c r="T638" s="1196"/>
      <c r="U638" s="1196"/>
      <c r="V638" s="1119"/>
      <c r="W638" s="1119"/>
      <c r="X638" s="1076"/>
      <c r="Y638" s="372"/>
      <c r="Z638" s="386"/>
      <c r="AA638" s="386"/>
      <c r="AB638" s="386">
        <f t="shared" si="38"/>
        <v>0</v>
      </c>
      <c r="AC638" s="384"/>
      <c r="AD638" s="395"/>
      <c r="AE638" s="395"/>
      <c r="AF638" s="1084"/>
      <c r="AG638" s="1084"/>
      <c r="AH638" s="358">
        <f t="shared" si="37"/>
        <v>0</v>
      </c>
      <c r="AI638" s="1084"/>
      <c r="AJ638" s="1119"/>
      <c r="AK638" s="1119"/>
      <c r="AL638" s="1119"/>
      <c r="AM638" s="1119"/>
      <c r="AN638" s="1204"/>
      <c r="AO638" s="1204"/>
      <c r="AP638" s="1204"/>
      <c r="AQ638" s="1204"/>
    </row>
    <row r="639" spans="1:43">
      <c r="A639" s="1076"/>
      <c r="B639" s="1171"/>
      <c r="C639" s="1076"/>
      <c r="D639" s="1076"/>
      <c r="E639" s="1252"/>
      <c r="F639" s="1252"/>
      <c r="G639" s="1076"/>
      <c r="H639" s="1076"/>
      <c r="I639" s="1076"/>
      <c r="J639" s="1076"/>
      <c r="K639" s="1076"/>
      <c r="L639" s="1076"/>
      <c r="M639" s="1251"/>
      <c r="N639" s="1123"/>
      <c r="O639" s="1119"/>
      <c r="P639" s="1119"/>
      <c r="Q639" s="1119"/>
      <c r="R639" s="1171"/>
      <c r="S639" s="1196"/>
      <c r="T639" s="1196"/>
      <c r="U639" s="1196"/>
      <c r="V639" s="1119"/>
      <c r="W639" s="1119"/>
      <c r="X639" s="1076"/>
      <c r="Y639" s="372"/>
      <c r="Z639" s="386"/>
      <c r="AA639" s="386"/>
      <c r="AB639" s="386">
        <f t="shared" si="38"/>
        <v>0</v>
      </c>
      <c r="AC639" s="384"/>
      <c r="AD639" s="395"/>
      <c r="AE639" s="395"/>
      <c r="AF639" s="1084"/>
      <c r="AG639" s="1084"/>
      <c r="AH639" s="358">
        <f t="shared" si="37"/>
        <v>0</v>
      </c>
      <c r="AI639" s="1084"/>
      <c r="AJ639" s="1119"/>
      <c r="AK639" s="1119"/>
      <c r="AL639" s="1119"/>
      <c r="AM639" s="1119"/>
      <c r="AN639" s="1204"/>
      <c r="AO639" s="1204"/>
      <c r="AP639" s="1204"/>
      <c r="AQ639" s="1204"/>
    </row>
    <row r="640" spans="1:43" ht="31.5">
      <c r="A640" s="1076"/>
      <c r="B640" s="1171"/>
      <c r="C640" s="1076"/>
      <c r="D640" s="1076"/>
      <c r="E640" s="1252"/>
      <c r="F640" s="1252"/>
      <c r="G640" s="1076"/>
      <c r="H640" s="1076"/>
      <c r="I640" s="1076"/>
      <c r="J640" s="1076"/>
      <c r="K640" s="1076"/>
      <c r="L640" s="1076"/>
      <c r="M640" s="1251">
        <v>209</v>
      </c>
      <c r="N640" s="1123" t="s">
        <v>7</v>
      </c>
      <c r="O640" s="1119">
        <v>2520000</v>
      </c>
      <c r="P640" s="1119">
        <f>O640</f>
        <v>2520000</v>
      </c>
      <c r="Q640" s="1119"/>
      <c r="R640" s="1171">
        <v>40779</v>
      </c>
      <c r="S640" s="1196">
        <v>2520000</v>
      </c>
      <c r="T640" s="1196">
        <v>2520000</v>
      </c>
      <c r="U640" s="1196">
        <f>O640-T640</f>
        <v>0</v>
      </c>
      <c r="V640" s="1119">
        <v>2520000</v>
      </c>
      <c r="W640" s="1119"/>
      <c r="X640" s="1076"/>
      <c r="Y640" s="372" t="s">
        <v>868</v>
      </c>
      <c r="Z640" s="386">
        <v>0</v>
      </c>
      <c r="AA640" s="386">
        <v>1008000</v>
      </c>
      <c r="AB640" s="386">
        <f t="shared" si="38"/>
        <v>1008000</v>
      </c>
      <c r="AC640" s="384">
        <v>40823</v>
      </c>
      <c r="AD640" s="395">
        <v>1008000</v>
      </c>
      <c r="AE640" s="395" t="s">
        <v>7</v>
      </c>
      <c r="AF640" s="1084">
        <f>SUM(AD640:AD642)</f>
        <v>1008000</v>
      </c>
      <c r="AG640" s="1084"/>
      <c r="AH640" s="358">
        <f t="shared" si="37"/>
        <v>0</v>
      </c>
      <c r="AI640" s="1084"/>
      <c r="AJ640" s="1119">
        <f>SUM(Z640:Z642)-SUM(AD640:AD642)</f>
        <v>-1008000</v>
      </c>
      <c r="AK640" s="1119">
        <f>P640-V640</f>
        <v>0</v>
      </c>
      <c r="AL640" s="1119">
        <f>V640-SUM(Z640:Z642)</f>
        <v>2520000</v>
      </c>
      <c r="AM640" s="1119"/>
      <c r="AN640" s="1204"/>
      <c r="AO640" s="1204"/>
      <c r="AP640" s="1204"/>
      <c r="AQ640" s="1204"/>
    </row>
    <row r="641" spans="1:44">
      <c r="A641" s="1076"/>
      <c r="B641" s="1171"/>
      <c r="C641" s="1076"/>
      <c r="D641" s="1076"/>
      <c r="E641" s="1252"/>
      <c r="F641" s="1252"/>
      <c r="G641" s="1076"/>
      <c r="H641" s="1076"/>
      <c r="I641" s="1076"/>
      <c r="J641" s="1076"/>
      <c r="K641" s="1076"/>
      <c r="L641" s="1076"/>
      <c r="M641" s="1251"/>
      <c r="N641" s="1123"/>
      <c r="O641" s="1119"/>
      <c r="P641" s="1119"/>
      <c r="Q641" s="1119"/>
      <c r="R641" s="1171"/>
      <c r="S641" s="1196"/>
      <c r="T641" s="1196"/>
      <c r="U641" s="1196"/>
      <c r="V641" s="1119"/>
      <c r="W641" s="1119"/>
      <c r="X641" s="1076"/>
      <c r="Y641" s="372"/>
      <c r="Z641" s="386"/>
      <c r="AA641" s="386"/>
      <c r="AB641" s="386">
        <f t="shared" si="38"/>
        <v>0</v>
      </c>
      <c r="AC641" s="384"/>
      <c r="AD641" s="395"/>
      <c r="AE641" s="395"/>
      <c r="AF641" s="1084"/>
      <c r="AG641" s="1084"/>
      <c r="AH641" s="358">
        <f t="shared" si="37"/>
        <v>0</v>
      </c>
      <c r="AI641" s="1084"/>
      <c r="AJ641" s="1119"/>
      <c r="AK641" s="1119"/>
      <c r="AL641" s="1119"/>
      <c r="AM641" s="1119"/>
      <c r="AN641" s="1204"/>
      <c r="AO641" s="1204"/>
      <c r="AP641" s="1204"/>
      <c r="AQ641" s="1204"/>
    </row>
    <row r="642" spans="1:44">
      <c r="A642" s="1076"/>
      <c r="B642" s="1171"/>
      <c r="C642" s="1076"/>
      <c r="D642" s="1076"/>
      <c r="E642" s="1252"/>
      <c r="F642" s="1252"/>
      <c r="G642" s="1076"/>
      <c r="H642" s="1076"/>
      <c r="I642" s="1076"/>
      <c r="J642" s="1076"/>
      <c r="K642" s="1076"/>
      <c r="L642" s="1076"/>
      <c r="M642" s="1251"/>
      <c r="N642" s="1123"/>
      <c r="O642" s="1119"/>
      <c r="P642" s="1119"/>
      <c r="Q642" s="1119"/>
      <c r="R642" s="1171"/>
      <c r="S642" s="1196"/>
      <c r="T642" s="1196"/>
      <c r="U642" s="1196"/>
      <c r="V642" s="1119"/>
      <c r="W642" s="1119"/>
      <c r="X642" s="1076"/>
      <c r="Y642" s="372"/>
      <c r="Z642" s="386"/>
      <c r="AA642" s="386"/>
      <c r="AB642" s="386">
        <f t="shared" si="38"/>
        <v>0</v>
      </c>
      <c r="AC642" s="384"/>
      <c r="AD642" s="395"/>
      <c r="AE642" s="395"/>
      <c r="AF642" s="1084"/>
      <c r="AG642" s="1084"/>
      <c r="AH642" s="358">
        <f t="shared" si="37"/>
        <v>0</v>
      </c>
      <c r="AI642" s="1084"/>
      <c r="AJ642" s="1119"/>
      <c r="AK642" s="1119"/>
      <c r="AL642" s="1119"/>
      <c r="AM642" s="1119"/>
      <c r="AN642" s="1204"/>
      <c r="AO642" s="1204"/>
      <c r="AP642" s="1204"/>
      <c r="AQ642" s="1204"/>
    </row>
    <row r="643" spans="1:44" ht="31.5">
      <c r="A643" s="1076"/>
      <c r="B643" s="1171"/>
      <c r="C643" s="1076" t="s">
        <v>19</v>
      </c>
      <c r="D643" s="1076"/>
      <c r="E643" s="1252"/>
      <c r="F643" s="1252"/>
      <c r="G643" s="1076"/>
      <c r="H643" s="1076"/>
      <c r="I643" s="1076"/>
      <c r="J643" s="1076"/>
      <c r="K643" s="1076"/>
      <c r="L643" s="1076"/>
      <c r="M643" s="1251">
        <v>145</v>
      </c>
      <c r="N643" s="1123" t="s">
        <v>7</v>
      </c>
      <c r="O643" s="1119">
        <v>1840000</v>
      </c>
      <c r="P643" s="1119">
        <f>O643</f>
        <v>1840000</v>
      </c>
      <c r="Q643" s="1119"/>
      <c r="R643" s="1171">
        <v>40647</v>
      </c>
      <c r="S643" s="1196">
        <v>1840000</v>
      </c>
      <c r="T643" s="1196">
        <v>1840000</v>
      </c>
      <c r="U643" s="1196">
        <f>O643-T643</f>
        <v>0</v>
      </c>
      <c r="V643" s="1119">
        <v>1840000</v>
      </c>
      <c r="W643" s="1119"/>
      <c r="X643" s="1076"/>
      <c r="Y643" s="372" t="s">
        <v>869</v>
      </c>
      <c r="Z643" s="386">
        <v>0</v>
      </c>
      <c r="AA643" s="386">
        <v>736000</v>
      </c>
      <c r="AB643" s="386">
        <f t="shared" si="38"/>
        <v>736000</v>
      </c>
      <c r="AC643" s="384">
        <v>40823</v>
      </c>
      <c r="AD643" s="395">
        <v>736000</v>
      </c>
      <c r="AE643" s="395" t="s">
        <v>7</v>
      </c>
      <c r="AF643" s="1084">
        <f>SUM(AD643:AD645)</f>
        <v>1729600</v>
      </c>
      <c r="AG643" s="1084"/>
      <c r="AH643" s="358">
        <f t="shared" si="37"/>
        <v>0</v>
      </c>
      <c r="AI643" s="1084"/>
      <c r="AJ643" s="1119">
        <f>SUM(Z643:Z645)-SUM(AD643:AD645)</f>
        <v>-73600</v>
      </c>
      <c r="AK643" s="1119">
        <f>P643-V643</f>
        <v>0</v>
      </c>
      <c r="AL643" s="1119">
        <f>V643-SUM(Z643:Z645)</f>
        <v>184000</v>
      </c>
      <c r="AM643" s="1119"/>
      <c r="AN643" s="1204"/>
      <c r="AO643" s="1204"/>
      <c r="AP643" s="1204"/>
      <c r="AQ643" s="1204"/>
    </row>
    <row r="644" spans="1:44" ht="63">
      <c r="A644" s="1076"/>
      <c r="B644" s="1171"/>
      <c r="C644" s="1076"/>
      <c r="D644" s="1076"/>
      <c r="E644" s="1252"/>
      <c r="F644" s="1252"/>
      <c r="G644" s="1076"/>
      <c r="H644" s="1076"/>
      <c r="I644" s="1076"/>
      <c r="J644" s="1076"/>
      <c r="K644" s="1076"/>
      <c r="L644" s="1076"/>
      <c r="M644" s="1251"/>
      <c r="N644" s="1123"/>
      <c r="O644" s="1119"/>
      <c r="P644" s="1119"/>
      <c r="Q644" s="1119"/>
      <c r="R644" s="1171"/>
      <c r="S644" s="1196"/>
      <c r="T644" s="1196"/>
      <c r="U644" s="1196"/>
      <c r="V644" s="1119"/>
      <c r="W644" s="1119"/>
      <c r="X644" s="1076"/>
      <c r="Y644" s="372" t="s">
        <v>872</v>
      </c>
      <c r="Z644" s="386">
        <v>1656000</v>
      </c>
      <c r="AA644" s="386">
        <v>-662400</v>
      </c>
      <c r="AB644" s="386">
        <f t="shared" si="38"/>
        <v>993600</v>
      </c>
      <c r="AC644" s="384">
        <v>41117</v>
      </c>
      <c r="AD644" s="395">
        <v>993600</v>
      </c>
      <c r="AE644" s="395" t="s">
        <v>7</v>
      </c>
      <c r="AF644" s="1084"/>
      <c r="AG644" s="1084"/>
      <c r="AH644" s="358">
        <f t="shared" si="37"/>
        <v>0</v>
      </c>
      <c r="AI644" s="1084"/>
      <c r="AJ644" s="1119"/>
      <c r="AK644" s="1119"/>
      <c r="AL644" s="1119"/>
      <c r="AM644" s="1119"/>
      <c r="AN644" s="1204"/>
      <c r="AO644" s="1204"/>
      <c r="AP644" s="1204"/>
      <c r="AQ644" s="1204"/>
    </row>
    <row r="645" spans="1:44">
      <c r="A645" s="1076"/>
      <c r="B645" s="1171"/>
      <c r="C645" s="1076"/>
      <c r="D645" s="1076"/>
      <c r="E645" s="1252"/>
      <c r="F645" s="1252"/>
      <c r="G645" s="1076"/>
      <c r="H645" s="1076"/>
      <c r="I645" s="1076"/>
      <c r="J645" s="1076"/>
      <c r="K645" s="1076"/>
      <c r="L645" s="1076"/>
      <c r="M645" s="1251"/>
      <c r="N645" s="1123"/>
      <c r="O645" s="1119"/>
      <c r="P645" s="1119"/>
      <c r="Q645" s="1119"/>
      <c r="R645" s="1171"/>
      <c r="S645" s="1196"/>
      <c r="T645" s="1196"/>
      <c r="U645" s="1196"/>
      <c r="V645" s="1119"/>
      <c r="W645" s="1119"/>
      <c r="X645" s="1076"/>
      <c r="Y645" s="372"/>
      <c r="Z645" s="386"/>
      <c r="AA645" s="386"/>
      <c r="AB645" s="386">
        <f t="shared" si="38"/>
        <v>0</v>
      </c>
      <c r="AC645" s="384"/>
      <c r="AD645" s="395"/>
      <c r="AE645" s="395"/>
      <c r="AF645" s="1084"/>
      <c r="AG645" s="1084"/>
      <c r="AH645" s="358">
        <f t="shared" si="37"/>
        <v>0</v>
      </c>
      <c r="AI645" s="1084"/>
      <c r="AJ645" s="1119"/>
      <c r="AK645" s="1119"/>
      <c r="AL645" s="1119"/>
      <c r="AM645" s="1119"/>
      <c r="AN645" s="1204"/>
      <c r="AO645" s="1204"/>
      <c r="AP645" s="1204"/>
      <c r="AQ645" s="1204"/>
    </row>
    <row r="646" spans="1:44" ht="63">
      <c r="A646" s="1076" t="s">
        <v>875</v>
      </c>
      <c r="B646" s="1171">
        <v>40473</v>
      </c>
      <c r="C646" s="1076" t="s">
        <v>45</v>
      </c>
      <c r="D646" s="1076" t="s">
        <v>876</v>
      </c>
      <c r="E646" s="1252">
        <v>10527597</v>
      </c>
      <c r="F646" s="1252"/>
      <c r="G646" s="1076" t="s">
        <v>877</v>
      </c>
      <c r="H646" s="1076" t="s">
        <v>72</v>
      </c>
      <c r="I646" s="1076" t="s">
        <v>177</v>
      </c>
      <c r="J646" s="1076" t="s">
        <v>489</v>
      </c>
      <c r="K646" s="1076" t="s">
        <v>217</v>
      </c>
      <c r="L646" s="1076" t="s">
        <v>882</v>
      </c>
      <c r="M646" s="1251">
        <v>169</v>
      </c>
      <c r="N646" s="1123" t="s">
        <v>7</v>
      </c>
      <c r="O646" s="1119">
        <v>23000000</v>
      </c>
      <c r="P646" s="1119">
        <v>23000000</v>
      </c>
      <c r="Q646" s="1119">
        <f>P646</f>
        <v>23000000</v>
      </c>
      <c r="R646" s="1171">
        <v>40707</v>
      </c>
      <c r="S646" s="1196">
        <v>23000000</v>
      </c>
      <c r="T646" s="1196">
        <v>23000000</v>
      </c>
      <c r="U646" s="1196">
        <f>O646-T646</f>
        <v>0</v>
      </c>
      <c r="V646" s="1196">
        <v>23000000</v>
      </c>
      <c r="W646" s="1119">
        <v>23000000</v>
      </c>
      <c r="X646" s="1076" t="s">
        <v>878</v>
      </c>
      <c r="Y646" s="372" t="s">
        <v>879</v>
      </c>
      <c r="Z646" s="386">
        <v>0</v>
      </c>
      <c r="AA646" s="386">
        <v>9200000</v>
      </c>
      <c r="AB646" s="386">
        <f t="shared" si="38"/>
        <v>9200000</v>
      </c>
      <c r="AC646" s="384">
        <v>41106</v>
      </c>
      <c r="AD646" s="395">
        <v>9200000</v>
      </c>
      <c r="AE646" s="395" t="s">
        <v>7</v>
      </c>
      <c r="AF646" s="1084">
        <f>SUM(AD646:AD648)</f>
        <v>18860000</v>
      </c>
      <c r="AG646" s="1084">
        <f>AF646</f>
        <v>18860000</v>
      </c>
      <c r="AH646" s="358">
        <f t="shared" si="37"/>
        <v>0</v>
      </c>
      <c r="AI646" s="1084">
        <f>O646-AD646-AD647-AD648</f>
        <v>4140000</v>
      </c>
      <c r="AJ646" s="1119">
        <f>SUM(Z646:Z648)-SUM(AD646:AD648)</f>
        <v>4140000</v>
      </c>
      <c r="AK646" s="1119">
        <f>P646-V646</f>
        <v>0</v>
      </c>
      <c r="AL646" s="1119">
        <v>0</v>
      </c>
      <c r="AM646" s="1119">
        <f>AK646+AL646</f>
        <v>0</v>
      </c>
      <c r="AN646" s="1204" t="s">
        <v>883</v>
      </c>
      <c r="AO646" s="1237" t="s">
        <v>884</v>
      </c>
      <c r="AP646" s="1204" t="s">
        <v>194</v>
      </c>
      <c r="AQ646" s="1204" t="s">
        <v>558</v>
      </c>
      <c r="AR646" s="203" t="s">
        <v>2503</v>
      </c>
    </row>
    <row r="647" spans="1:44" ht="47.25">
      <c r="A647" s="1076"/>
      <c r="B647" s="1171"/>
      <c r="C647" s="1076"/>
      <c r="D647" s="1076"/>
      <c r="E647" s="1252"/>
      <c r="F647" s="1252"/>
      <c r="G647" s="1076"/>
      <c r="H647" s="1076"/>
      <c r="I647" s="1076"/>
      <c r="J647" s="1076"/>
      <c r="K647" s="1076"/>
      <c r="L647" s="1076"/>
      <c r="M647" s="1251"/>
      <c r="N647" s="1123"/>
      <c r="O647" s="1119"/>
      <c r="P647" s="1119"/>
      <c r="Q647" s="1119"/>
      <c r="R647" s="1171"/>
      <c r="S647" s="1196"/>
      <c r="T647" s="1196"/>
      <c r="U647" s="1196"/>
      <c r="V647" s="1196"/>
      <c r="W647" s="1119"/>
      <c r="X647" s="1076"/>
      <c r="Y647" s="372" t="s">
        <v>880</v>
      </c>
      <c r="Z647" s="386">
        <v>16100000</v>
      </c>
      <c r="AA647" s="386">
        <v>-6440000</v>
      </c>
      <c r="AB647" s="386">
        <f t="shared" si="38"/>
        <v>9660000</v>
      </c>
      <c r="AC647" s="384">
        <v>41618</v>
      </c>
      <c r="AD647" s="395">
        <v>9660000</v>
      </c>
      <c r="AE647" s="395" t="s">
        <v>7</v>
      </c>
      <c r="AF647" s="1084"/>
      <c r="AG647" s="1084"/>
      <c r="AH647" s="358">
        <f t="shared" si="37"/>
        <v>0</v>
      </c>
      <c r="AI647" s="1084"/>
      <c r="AJ647" s="1119"/>
      <c r="AK647" s="1119"/>
      <c r="AL647" s="1119"/>
      <c r="AM647" s="1119"/>
      <c r="AN647" s="1204"/>
      <c r="AO647" s="1204"/>
      <c r="AP647" s="1204"/>
      <c r="AQ647" s="1204"/>
    </row>
    <row r="648" spans="1:44" ht="29.25" customHeight="1">
      <c r="A648" s="1076"/>
      <c r="B648" s="1171"/>
      <c r="C648" s="1076"/>
      <c r="D648" s="1076"/>
      <c r="E648" s="1252"/>
      <c r="F648" s="1252"/>
      <c r="G648" s="1076"/>
      <c r="H648" s="1076"/>
      <c r="I648" s="1076"/>
      <c r="J648" s="1076"/>
      <c r="K648" s="1076"/>
      <c r="L648" s="1076"/>
      <c r="M648" s="1251"/>
      <c r="N648" s="1123"/>
      <c r="O648" s="1119"/>
      <c r="P648" s="1119"/>
      <c r="Q648" s="1119"/>
      <c r="R648" s="1171"/>
      <c r="S648" s="1196"/>
      <c r="T648" s="1196"/>
      <c r="U648" s="1196"/>
      <c r="V648" s="1196"/>
      <c r="W648" s="1119"/>
      <c r="X648" s="1076"/>
      <c r="Y648" s="372" t="s">
        <v>881</v>
      </c>
      <c r="Z648" s="386">
        <v>6900000</v>
      </c>
      <c r="AA648" s="386">
        <v>-2760000</v>
      </c>
      <c r="AB648" s="386">
        <f t="shared" si="38"/>
        <v>4140000</v>
      </c>
      <c r="AC648" s="384"/>
      <c r="AD648" s="395">
        <v>0</v>
      </c>
      <c r="AE648" s="395" t="s">
        <v>7</v>
      </c>
      <c r="AF648" s="1084"/>
      <c r="AG648" s="1084"/>
      <c r="AH648" s="358">
        <f t="shared" si="37"/>
        <v>4140000</v>
      </c>
      <c r="AI648" s="1084"/>
      <c r="AJ648" s="1119"/>
      <c r="AK648" s="1119"/>
      <c r="AL648" s="1119"/>
      <c r="AM648" s="1119"/>
      <c r="AN648" s="1204"/>
      <c r="AO648" s="1204"/>
      <c r="AP648" s="1204"/>
      <c r="AQ648" s="1204"/>
    </row>
    <row r="649" spans="1:44" ht="47.25">
      <c r="A649" s="1076" t="s">
        <v>885</v>
      </c>
      <c r="B649" s="1171">
        <v>40499</v>
      </c>
      <c r="C649" s="1076"/>
      <c r="D649" s="1076" t="s">
        <v>886</v>
      </c>
      <c r="E649" s="1252">
        <v>17649042</v>
      </c>
      <c r="F649" s="1252"/>
      <c r="G649" s="1076" t="s">
        <v>887</v>
      </c>
      <c r="H649" s="1076" t="s">
        <v>72</v>
      </c>
      <c r="I649" s="1076" t="s">
        <v>177</v>
      </c>
      <c r="J649" s="1076" t="s">
        <v>66</v>
      </c>
      <c r="K649" s="1076" t="s">
        <v>48</v>
      </c>
      <c r="L649" s="1076" t="s">
        <v>839</v>
      </c>
      <c r="M649" s="1251">
        <v>137</v>
      </c>
      <c r="N649" s="1123" t="s">
        <v>7</v>
      </c>
      <c r="O649" s="1119">
        <v>199875694</v>
      </c>
      <c r="P649" s="1119">
        <v>199875694</v>
      </c>
      <c r="Q649" s="1119">
        <f>P649</f>
        <v>199875694</v>
      </c>
      <c r="R649" s="1171">
        <v>40647</v>
      </c>
      <c r="S649" s="1196">
        <v>199875694</v>
      </c>
      <c r="T649" s="1196">
        <v>199875694</v>
      </c>
      <c r="U649" s="1196">
        <f>O649-T649</f>
        <v>0</v>
      </c>
      <c r="V649" s="1196">
        <v>199875693.84</v>
      </c>
      <c r="W649" s="1119">
        <v>199875693.84</v>
      </c>
      <c r="X649" s="1076" t="s">
        <v>888</v>
      </c>
      <c r="Y649" s="372" t="s">
        <v>889</v>
      </c>
      <c r="Z649" s="386">
        <v>0</v>
      </c>
      <c r="AA649" s="386">
        <v>79950277.535999998</v>
      </c>
      <c r="AB649" s="386">
        <f t="shared" si="38"/>
        <v>79950277.535999998</v>
      </c>
      <c r="AC649" s="384">
        <v>40694</v>
      </c>
      <c r="AD649" s="395">
        <v>79950277.540000007</v>
      </c>
      <c r="AE649" s="395" t="s">
        <v>7</v>
      </c>
      <c r="AF649" s="1084">
        <f>SUM(AD649:AD653)</f>
        <v>187883150.54000002</v>
      </c>
      <c r="AG649" s="1084">
        <f>AF649</f>
        <v>187883150.54000002</v>
      </c>
      <c r="AH649" s="358">
        <f t="shared" si="37"/>
        <v>-4.0000081062316895E-3</v>
      </c>
      <c r="AI649" s="1084"/>
      <c r="AJ649" s="1119">
        <f>SUM(Z649:Z653)-SUM(AD649:AD653)</f>
        <v>-7995026.5400000215</v>
      </c>
      <c r="AK649" s="1119">
        <f>P649-W649</f>
        <v>0.15999999642372131</v>
      </c>
      <c r="AL649" s="1119">
        <f>V649-SUM(Z649:Z653)+AJ649</f>
        <v>11992543.299999982</v>
      </c>
      <c r="AM649" s="1119">
        <f>AK649+AL649</f>
        <v>11992543.459999979</v>
      </c>
      <c r="AN649" s="1204" t="s">
        <v>891</v>
      </c>
      <c r="AO649" s="1204" t="s">
        <v>892</v>
      </c>
      <c r="AP649" s="1204" t="s">
        <v>194</v>
      </c>
      <c r="AQ649" s="1204" t="s">
        <v>558</v>
      </c>
      <c r="AR649" s="1074" t="s">
        <v>2505</v>
      </c>
    </row>
    <row r="650" spans="1:44">
      <c r="A650" s="1076"/>
      <c r="B650" s="1171"/>
      <c r="C650" s="1076"/>
      <c r="D650" s="1076"/>
      <c r="E650" s="1252"/>
      <c r="F650" s="1252"/>
      <c r="G650" s="1076"/>
      <c r="H650" s="1076"/>
      <c r="I650" s="1076"/>
      <c r="J650" s="1076"/>
      <c r="K650" s="1076"/>
      <c r="L650" s="1076"/>
      <c r="M650" s="1251"/>
      <c r="N650" s="1123"/>
      <c r="O650" s="1119"/>
      <c r="P650" s="1119"/>
      <c r="Q650" s="1119"/>
      <c r="R650" s="1171"/>
      <c r="S650" s="1196"/>
      <c r="T650" s="1196"/>
      <c r="U650" s="1196"/>
      <c r="V650" s="1196"/>
      <c r="W650" s="1119"/>
      <c r="X650" s="1076"/>
      <c r="Y650" s="1123" t="s">
        <v>890</v>
      </c>
      <c r="Z650" s="1119">
        <v>179888124</v>
      </c>
      <c r="AA650" s="1119">
        <v>-71955249.599999994</v>
      </c>
      <c r="AB650" s="1119">
        <f t="shared" si="38"/>
        <v>107932874.40000001</v>
      </c>
      <c r="AC650" s="1171">
        <v>40898</v>
      </c>
      <c r="AD650" s="395">
        <v>31358524</v>
      </c>
      <c r="AE650" s="395" t="s">
        <v>7</v>
      </c>
      <c r="AF650" s="1084"/>
      <c r="AG650" s="1084"/>
      <c r="AH650" s="1084">
        <f>AB650-AD650-AD651-AD652</f>
        <v>1.4000000059604645</v>
      </c>
      <c r="AI650" s="1084"/>
      <c r="AJ650" s="1119"/>
      <c r="AK650" s="1119"/>
      <c r="AL650" s="1119"/>
      <c r="AM650" s="1119"/>
      <c r="AN650" s="1204"/>
      <c r="AO650" s="1204"/>
      <c r="AP650" s="1204"/>
      <c r="AQ650" s="1204"/>
      <c r="AR650" s="1074"/>
    </row>
    <row r="651" spans="1:44">
      <c r="A651" s="1076"/>
      <c r="B651" s="1171"/>
      <c r="C651" s="1076"/>
      <c r="D651" s="1076"/>
      <c r="E651" s="1252"/>
      <c r="F651" s="1252"/>
      <c r="G651" s="1076"/>
      <c r="H651" s="1076"/>
      <c r="I651" s="1076"/>
      <c r="J651" s="1076"/>
      <c r="K651" s="1076"/>
      <c r="L651" s="1076"/>
      <c r="M651" s="1251"/>
      <c r="N651" s="1123"/>
      <c r="O651" s="1119"/>
      <c r="P651" s="1119"/>
      <c r="Q651" s="1119"/>
      <c r="R651" s="1171"/>
      <c r="S651" s="1196"/>
      <c r="T651" s="1196"/>
      <c r="U651" s="1196"/>
      <c r="V651" s="1196"/>
      <c r="W651" s="1119"/>
      <c r="X651" s="1076"/>
      <c r="Y651" s="1123"/>
      <c r="Z651" s="1119"/>
      <c r="AA651" s="1119"/>
      <c r="AB651" s="1119"/>
      <c r="AC651" s="1171"/>
      <c r="AD651" s="395">
        <v>35250571</v>
      </c>
      <c r="AE651" s="395" t="s">
        <v>7</v>
      </c>
      <c r="AF651" s="1084"/>
      <c r="AG651" s="1084"/>
      <c r="AH651" s="1084"/>
      <c r="AI651" s="1084"/>
      <c r="AJ651" s="1119"/>
      <c r="AK651" s="1119"/>
      <c r="AL651" s="1119"/>
      <c r="AM651" s="1119"/>
      <c r="AN651" s="1204"/>
      <c r="AO651" s="1204"/>
      <c r="AP651" s="1204"/>
      <c r="AQ651" s="1204"/>
      <c r="AR651" s="1074"/>
    </row>
    <row r="652" spans="1:44">
      <c r="A652" s="1076"/>
      <c r="B652" s="1171"/>
      <c r="C652" s="1076"/>
      <c r="D652" s="1076"/>
      <c r="E652" s="1252"/>
      <c r="F652" s="1252"/>
      <c r="G652" s="1076"/>
      <c r="H652" s="1076"/>
      <c r="I652" s="1076"/>
      <c r="J652" s="1076"/>
      <c r="K652" s="1076"/>
      <c r="L652" s="1076"/>
      <c r="M652" s="1251"/>
      <c r="N652" s="1123"/>
      <c r="O652" s="1119"/>
      <c r="P652" s="1119"/>
      <c r="Q652" s="1119"/>
      <c r="R652" s="1171"/>
      <c r="S652" s="1196"/>
      <c r="T652" s="1196"/>
      <c r="U652" s="1196"/>
      <c r="V652" s="1196"/>
      <c r="W652" s="1119"/>
      <c r="X652" s="1076"/>
      <c r="Y652" s="1123"/>
      <c r="Z652" s="1119"/>
      <c r="AA652" s="1119"/>
      <c r="AB652" s="1119"/>
      <c r="AC652" s="1171"/>
      <c r="AD652" s="395">
        <v>41323778</v>
      </c>
      <c r="AE652" s="395" t="s">
        <v>7</v>
      </c>
      <c r="AF652" s="1084"/>
      <c r="AG652" s="1084"/>
      <c r="AH652" s="1084"/>
      <c r="AI652" s="1084"/>
      <c r="AJ652" s="1119"/>
      <c r="AK652" s="1119"/>
      <c r="AL652" s="1119"/>
      <c r="AM652" s="1119"/>
      <c r="AN652" s="1204"/>
      <c r="AO652" s="1204"/>
      <c r="AP652" s="1204"/>
      <c r="AQ652" s="1204"/>
      <c r="AR652" s="1074"/>
    </row>
    <row r="653" spans="1:44">
      <c r="A653" s="1076"/>
      <c r="B653" s="1171"/>
      <c r="C653" s="1076"/>
      <c r="D653" s="1076"/>
      <c r="E653" s="1252"/>
      <c r="F653" s="1252"/>
      <c r="G653" s="1076"/>
      <c r="H653" s="1076"/>
      <c r="I653" s="1076"/>
      <c r="J653" s="1076"/>
      <c r="K653" s="1076"/>
      <c r="L653" s="1076"/>
      <c r="M653" s="1251"/>
      <c r="N653" s="1123"/>
      <c r="O653" s="1119"/>
      <c r="P653" s="1119"/>
      <c r="Q653" s="1119"/>
      <c r="R653" s="1171"/>
      <c r="S653" s="1196"/>
      <c r="T653" s="1196"/>
      <c r="U653" s="1196"/>
      <c r="V653" s="1196"/>
      <c r="W653" s="1119"/>
      <c r="X653" s="1076"/>
      <c r="Y653" s="372"/>
      <c r="Z653" s="386"/>
      <c r="AA653" s="386"/>
      <c r="AB653" s="386">
        <f>Z653+AA653</f>
        <v>0</v>
      </c>
      <c r="AC653" s="384"/>
      <c r="AD653" s="395"/>
      <c r="AE653" s="395"/>
      <c r="AF653" s="1084"/>
      <c r="AG653" s="1084"/>
      <c r="AH653" s="358">
        <f t="shared" ref="AH653:AH716" si="39">AB653-AD653</f>
        <v>0</v>
      </c>
      <c r="AI653" s="1084"/>
      <c r="AJ653" s="1119"/>
      <c r="AK653" s="1119"/>
      <c r="AL653" s="1119"/>
      <c r="AM653" s="1119"/>
      <c r="AN653" s="1204"/>
      <c r="AO653" s="1204"/>
      <c r="AP653" s="1204"/>
      <c r="AQ653" s="1204"/>
      <c r="AR653" s="1074"/>
    </row>
    <row r="654" spans="1:44" s="30" customFormat="1" ht="45" customHeight="1">
      <c r="A654" s="1076" t="s">
        <v>972</v>
      </c>
      <c r="B654" s="1213">
        <v>40653</v>
      </c>
      <c r="C654" s="1076" t="s">
        <v>12</v>
      </c>
      <c r="D654" s="1076" t="s">
        <v>976</v>
      </c>
      <c r="E654" s="1076" t="s">
        <v>977</v>
      </c>
      <c r="F654" s="1076" t="s">
        <v>978</v>
      </c>
      <c r="G654" s="1076" t="s">
        <v>979</v>
      </c>
      <c r="H654" s="1076" t="s">
        <v>71</v>
      </c>
      <c r="I654" s="1076" t="s">
        <v>692</v>
      </c>
      <c r="J654" s="1076" t="s">
        <v>66</v>
      </c>
      <c r="K654" s="1076" t="s">
        <v>183</v>
      </c>
      <c r="L654" s="1076" t="s">
        <v>983</v>
      </c>
      <c r="M654" s="1216">
        <v>1</v>
      </c>
      <c r="N654" s="1076" t="s">
        <v>132</v>
      </c>
      <c r="O654" s="1119">
        <v>93175970</v>
      </c>
      <c r="P654" s="1119">
        <f>O654</f>
        <v>93175970</v>
      </c>
      <c r="Q654" s="1119">
        <f>P654</f>
        <v>93175970</v>
      </c>
      <c r="R654" s="1171">
        <v>40709</v>
      </c>
      <c r="S654" s="1119">
        <v>93175970</v>
      </c>
      <c r="T654" s="1119">
        <v>93175970</v>
      </c>
      <c r="U654" s="1119">
        <f>O654-T654</f>
        <v>0</v>
      </c>
      <c r="V654" s="1119">
        <v>93175000</v>
      </c>
      <c r="W654" s="1119">
        <v>93175000</v>
      </c>
      <c r="X654" s="1203" t="s">
        <v>959</v>
      </c>
      <c r="Y654" s="372" t="s">
        <v>981</v>
      </c>
      <c r="Z654" s="386">
        <v>0</v>
      </c>
      <c r="AA654" s="386">
        <v>37270000</v>
      </c>
      <c r="AB654" s="386">
        <f t="shared" ref="AB654:AB661" si="40">AA654+Z654</f>
        <v>37270000</v>
      </c>
      <c r="AC654" s="384">
        <v>40812</v>
      </c>
      <c r="AD654" s="395">
        <f>AB654</f>
        <v>37270000</v>
      </c>
      <c r="AE654" s="395" t="s">
        <v>132</v>
      </c>
      <c r="AF654" s="1215">
        <f>SUM(AD654:AD655)</f>
        <v>93174130</v>
      </c>
      <c r="AG654" s="1215">
        <f>AF654</f>
        <v>93174130</v>
      </c>
      <c r="AH654" s="395">
        <f t="shared" si="39"/>
        <v>0</v>
      </c>
      <c r="AI654" s="1215">
        <f>O654-AD654-AD655</f>
        <v>1840</v>
      </c>
      <c r="AJ654" s="1215">
        <f>SUM(Z654:Z655)-SUM(AD654:AD655)</f>
        <v>0</v>
      </c>
      <c r="AK654" s="1215">
        <f>P654-V654</f>
        <v>970</v>
      </c>
      <c r="AL654" s="1215">
        <f>V654-SUM(Z654:Z655)</f>
        <v>870</v>
      </c>
      <c r="AM654" s="1215">
        <f>AK654+AL654</f>
        <v>1840</v>
      </c>
      <c r="AN654" s="1247" t="s">
        <v>606</v>
      </c>
      <c r="AO654" s="1246" t="s">
        <v>984</v>
      </c>
      <c r="AP654" s="1405" t="s">
        <v>195</v>
      </c>
      <c r="AQ654" s="1405" t="s">
        <v>980</v>
      </c>
    </row>
    <row r="655" spans="1:44" s="30" customFormat="1" ht="52.5" customHeight="1">
      <c r="A655" s="1076"/>
      <c r="B655" s="1213"/>
      <c r="C655" s="1076"/>
      <c r="D655" s="1076"/>
      <c r="E655" s="1076"/>
      <c r="F655" s="1076"/>
      <c r="G655" s="1076"/>
      <c r="H655" s="1076"/>
      <c r="I655" s="1076"/>
      <c r="J655" s="1076"/>
      <c r="K655" s="1076"/>
      <c r="L655" s="1076"/>
      <c r="M655" s="1218"/>
      <c r="N655" s="1076"/>
      <c r="O655" s="1119"/>
      <c r="P655" s="1119"/>
      <c r="Q655" s="1119"/>
      <c r="R655" s="1171"/>
      <c r="S655" s="1119"/>
      <c r="T655" s="1119"/>
      <c r="U655" s="1119"/>
      <c r="V655" s="1119"/>
      <c r="W655" s="1119"/>
      <c r="X655" s="1203"/>
      <c r="Y655" s="372" t="s">
        <v>982</v>
      </c>
      <c r="Z655" s="386">
        <v>93174130</v>
      </c>
      <c r="AA655" s="386">
        <f>-AA654</f>
        <v>-37270000</v>
      </c>
      <c r="AB655" s="386">
        <f t="shared" si="40"/>
        <v>55904130</v>
      </c>
      <c r="AC655" s="384">
        <v>41129</v>
      </c>
      <c r="AD655" s="395">
        <f>AB655</f>
        <v>55904130</v>
      </c>
      <c r="AE655" s="395" t="s">
        <v>132</v>
      </c>
      <c r="AF655" s="1215"/>
      <c r="AG655" s="1215"/>
      <c r="AH655" s="395">
        <f t="shared" si="39"/>
        <v>0</v>
      </c>
      <c r="AI655" s="1215"/>
      <c r="AJ655" s="1215"/>
      <c r="AK655" s="1215"/>
      <c r="AL655" s="1215"/>
      <c r="AM655" s="1215"/>
      <c r="AN655" s="1247"/>
      <c r="AO655" s="1246"/>
      <c r="AP655" s="1407"/>
      <c r="AQ655" s="1407"/>
    </row>
    <row r="656" spans="1:44" s="30" customFormat="1" ht="47.25">
      <c r="A656" s="1076" t="s">
        <v>975</v>
      </c>
      <c r="B656" s="1213">
        <v>40630</v>
      </c>
      <c r="C656" s="1076" t="s">
        <v>41</v>
      </c>
      <c r="D656" s="1076" t="s">
        <v>985</v>
      </c>
      <c r="E656" s="1076" t="s">
        <v>986</v>
      </c>
      <c r="F656" s="1076"/>
      <c r="G656" s="1076" t="s">
        <v>987</v>
      </c>
      <c r="H656" s="1076" t="s">
        <v>71</v>
      </c>
      <c r="I656" s="1076" t="s">
        <v>692</v>
      </c>
      <c r="J656" s="1076" t="s">
        <v>489</v>
      </c>
      <c r="K656" s="1076" t="s">
        <v>217</v>
      </c>
      <c r="L656" s="1076" t="s">
        <v>974</v>
      </c>
      <c r="M656" s="1216" t="s">
        <v>973</v>
      </c>
      <c r="N656" s="1076" t="s">
        <v>7</v>
      </c>
      <c r="O656" s="1119">
        <v>190119770</v>
      </c>
      <c r="P656" s="1119">
        <f>O656</f>
        <v>190119770</v>
      </c>
      <c r="Q656" s="1119">
        <f>P656</f>
        <v>190119770</v>
      </c>
      <c r="R656" s="1171">
        <v>40637</v>
      </c>
      <c r="S656" s="1119">
        <v>190119770</v>
      </c>
      <c r="T656" s="1119">
        <v>190119770</v>
      </c>
      <c r="U656" s="1119">
        <f>O656-T656</f>
        <v>0</v>
      </c>
      <c r="V656" s="1119">
        <v>190010000</v>
      </c>
      <c r="W656" s="1119">
        <v>190010000</v>
      </c>
      <c r="X656" s="1203" t="s">
        <v>988</v>
      </c>
      <c r="Y656" s="372" t="s">
        <v>989</v>
      </c>
      <c r="Z656" s="386">
        <v>0</v>
      </c>
      <c r="AA656" s="386">
        <v>95005000</v>
      </c>
      <c r="AB656" s="386">
        <f t="shared" si="40"/>
        <v>95005000</v>
      </c>
      <c r="AC656" s="384">
        <v>40667</v>
      </c>
      <c r="AD656" s="395">
        <f>AB656</f>
        <v>95005000</v>
      </c>
      <c r="AE656" s="395" t="s">
        <v>7</v>
      </c>
      <c r="AF656" s="1215">
        <f>SUM(AD656:AD658)</f>
        <v>180259138.5</v>
      </c>
      <c r="AG656" s="1215">
        <f>AF656</f>
        <v>180259138.5</v>
      </c>
      <c r="AH656" s="395">
        <f t="shared" si="39"/>
        <v>0</v>
      </c>
      <c r="AI656" s="1215">
        <f>O656-SUM(AD656:AD658)</f>
        <v>9860631.5</v>
      </c>
      <c r="AJ656" s="1215">
        <f>SUM(Z656:Z658)-SUM(AD656:AD658)</f>
        <v>9750151.5</v>
      </c>
      <c r="AK656" s="1215">
        <f>P656-V656</f>
        <v>109770</v>
      </c>
      <c r="AL656" s="1215">
        <f>V656-SUM(Z656:Z658)</f>
        <v>710</v>
      </c>
      <c r="AM656" s="1215">
        <f>AK656+AL656</f>
        <v>110480</v>
      </c>
      <c r="AN656" s="1247" t="s">
        <v>992</v>
      </c>
      <c r="AO656" s="1246" t="s">
        <v>993</v>
      </c>
      <c r="AP656" s="1405" t="s">
        <v>195</v>
      </c>
      <c r="AQ656" s="1405" t="s">
        <v>558</v>
      </c>
    </row>
    <row r="657" spans="1:44" s="30" customFormat="1" ht="63">
      <c r="A657" s="1076"/>
      <c r="B657" s="1213"/>
      <c r="C657" s="1076"/>
      <c r="D657" s="1076"/>
      <c r="E657" s="1076"/>
      <c r="F657" s="1076"/>
      <c r="G657" s="1076"/>
      <c r="H657" s="1076"/>
      <c r="I657" s="1076"/>
      <c r="J657" s="1076"/>
      <c r="K657" s="1076"/>
      <c r="L657" s="1076"/>
      <c r="M657" s="1217"/>
      <c r="N657" s="1076"/>
      <c r="O657" s="1119"/>
      <c r="P657" s="1119"/>
      <c r="Q657" s="1119"/>
      <c r="R657" s="1171"/>
      <c r="S657" s="1119"/>
      <c r="T657" s="1119"/>
      <c r="U657" s="1119"/>
      <c r="V657" s="1119"/>
      <c r="W657" s="1119"/>
      <c r="X657" s="1203"/>
      <c r="Y657" s="372" t="s">
        <v>990</v>
      </c>
      <c r="Z657" s="386">
        <v>170508277</v>
      </c>
      <c r="AA657" s="386">
        <v>-85254138.5</v>
      </c>
      <c r="AB657" s="386">
        <f t="shared" si="40"/>
        <v>85254138.5</v>
      </c>
      <c r="AC657" s="384">
        <v>41271</v>
      </c>
      <c r="AD657" s="395">
        <f>AB657</f>
        <v>85254138.5</v>
      </c>
      <c r="AE657" s="395" t="s">
        <v>7</v>
      </c>
      <c r="AF657" s="1215"/>
      <c r="AG657" s="1215"/>
      <c r="AH657" s="395">
        <f t="shared" si="39"/>
        <v>0</v>
      </c>
      <c r="AI657" s="1215"/>
      <c r="AJ657" s="1215"/>
      <c r="AK657" s="1215"/>
      <c r="AL657" s="1215"/>
      <c r="AM657" s="1215"/>
      <c r="AN657" s="1247"/>
      <c r="AO657" s="1246"/>
      <c r="AP657" s="1406"/>
      <c r="AQ657" s="1406"/>
    </row>
    <row r="658" spans="1:44" s="30" customFormat="1" ht="31.5">
      <c r="A658" s="1076"/>
      <c r="B658" s="1213"/>
      <c r="C658" s="1076"/>
      <c r="D658" s="1076"/>
      <c r="E658" s="1076"/>
      <c r="F658" s="1076"/>
      <c r="G658" s="1076"/>
      <c r="H658" s="1076"/>
      <c r="I658" s="1076"/>
      <c r="J658" s="1076"/>
      <c r="K658" s="1076"/>
      <c r="L658" s="1076"/>
      <c r="M658" s="1218"/>
      <c r="N658" s="1076"/>
      <c r="O658" s="1119"/>
      <c r="P658" s="1119"/>
      <c r="Q658" s="1119"/>
      <c r="R658" s="1171"/>
      <c r="S658" s="1119"/>
      <c r="T658" s="1119"/>
      <c r="U658" s="1119"/>
      <c r="V658" s="1119"/>
      <c r="W658" s="1119"/>
      <c r="X658" s="1203"/>
      <c r="Y658" s="372" t="s">
        <v>991</v>
      </c>
      <c r="Z658" s="386">
        <v>19501013</v>
      </c>
      <c r="AA658" s="386">
        <v>-9750861.5</v>
      </c>
      <c r="AB658" s="386">
        <f t="shared" si="40"/>
        <v>9750151.5</v>
      </c>
      <c r="AC658" s="384"/>
      <c r="AD658" s="395">
        <v>0</v>
      </c>
      <c r="AE658" s="395" t="s">
        <v>7</v>
      </c>
      <c r="AF658" s="1215"/>
      <c r="AG658" s="1215"/>
      <c r="AH658" s="395">
        <f t="shared" si="39"/>
        <v>9750151.5</v>
      </c>
      <c r="AI658" s="1215"/>
      <c r="AJ658" s="1215"/>
      <c r="AK658" s="1215"/>
      <c r="AL658" s="1215"/>
      <c r="AM658" s="1215"/>
      <c r="AN658" s="1247"/>
      <c r="AO658" s="1246"/>
      <c r="AP658" s="1407"/>
      <c r="AQ658" s="1407"/>
    </row>
    <row r="659" spans="1:44" s="30" customFormat="1" ht="63">
      <c r="A659" s="1076" t="s">
        <v>994</v>
      </c>
      <c r="B659" s="1213">
        <v>40630</v>
      </c>
      <c r="C659" s="1076" t="s">
        <v>41</v>
      </c>
      <c r="D659" s="1076" t="s">
        <v>995</v>
      </c>
      <c r="E659" s="1076" t="s">
        <v>996</v>
      </c>
      <c r="F659" s="1076"/>
      <c r="G659" s="1076" t="s">
        <v>997</v>
      </c>
      <c r="H659" s="1076" t="s">
        <v>71</v>
      </c>
      <c r="I659" s="1076" t="s">
        <v>692</v>
      </c>
      <c r="J659" s="1076" t="s">
        <v>66</v>
      </c>
      <c r="K659" s="1076" t="s">
        <v>183</v>
      </c>
      <c r="L659" s="1076" t="s">
        <v>998</v>
      </c>
      <c r="M659" s="1216">
        <v>131</v>
      </c>
      <c r="N659" s="1076" t="s">
        <v>7</v>
      </c>
      <c r="O659" s="1119">
        <v>141212150</v>
      </c>
      <c r="P659" s="1119">
        <v>141212150</v>
      </c>
      <c r="Q659" s="1119">
        <f>P659</f>
        <v>141212150</v>
      </c>
      <c r="R659" s="1171">
        <v>40637</v>
      </c>
      <c r="S659" s="1119">
        <v>140957310</v>
      </c>
      <c r="T659" s="1119">
        <v>140957310</v>
      </c>
      <c r="U659" s="1119">
        <f>O659-T659</f>
        <v>254840</v>
      </c>
      <c r="V659" s="1119">
        <v>140957310</v>
      </c>
      <c r="W659" s="1119">
        <v>140957310</v>
      </c>
      <c r="X659" s="1203" t="s">
        <v>988</v>
      </c>
      <c r="Y659" s="372" t="s">
        <v>999</v>
      </c>
      <c r="Z659" s="386">
        <v>0</v>
      </c>
      <c r="AA659" s="386">
        <v>70478655</v>
      </c>
      <c r="AB659" s="386">
        <f t="shared" si="40"/>
        <v>70478655</v>
      </c>
      <c r="AC659" s="384">
        <v>40693</v>
      </c>
      <c r="AD659" s="395">
        <v>70478655</v>
      </c>
      <c r="AE659" s="395" t="s">
        <v>7</v>
      </c>
      <c r="AF659" s="1215">
        <f>SUM(AD659:AD661)</f>
        <v>140957200</v>
      </c>
      <c r="AG659" s="1215">
        <f>AF659</f>
        <v>140957200</v>
      </c>
      <c r="AH659" s="395">
        <f t="shared" si="39"/>
        <v>0</v>
      </c>
      <c r="AI659" s="1215">
        <f>O659-AG659</f>
        <v>254950</v>
      </c>
      <c r="AJ659" s="1215">
        <f>SUM(Z659:Z661)-SUM(AD659:AD661)</f>
        <v>-1</v>
      </c>
      <c r="AK659" s="1215">
        <f>S659-V659</f>
        <v>0</v>
      </c>
      <c r="AL659" s="1215">
        <f>V659-SUM(Z659:Z661)+AJ659</f>
        <v>110</v>
      </c>
      <c r="AM659" s="1215">
        <f>AK659+AL659</f>
        <v>110</v>
      </c>
      <c r="AN659" s="1246" t="s">
        <v>606</v>
      </c>
      <c r="AO659" s="1246" t="s">
        <v>1002</v>
      </c>
      <c r="AP659" s="1408" t="s">
        <v>195</v>
      </c>
      <c r="AQ659" s="1408" t="s">
        <v>558</v>
      </c>
    </row>
    <row r="660" spans="1:44" s="30" customFormat="1" ht="63">
      <c r="A660" s="1076"/>
      <c r="B660" s="1213"/>
      <c r="C660" s="1076"/>
      <c r="D660" s="1076"/>
      <c r="E660" s="1076"/>
      <c r="F660" s="1076"/>
      <c r="G660" s="1076"/>
      <c r="H660" s="1076"/>
      <c r="I660" s="1076"/>
      <c r="J660" s="1076"/>
      <c r="K660" s="1076"/>
      <c r="L660" s="1076"/>
      <c r="M660" s="1217"/>
      <c r="N660" s="1076"/>
      <c r="O660" s="1119"/>
      <c r="P660" s="1119"/>
      <c r="Q660" s="1119"/>
      <c r="R660" s="1171"/>
      <c r="S660" s="1119"/>
      <c r="T660" s="1119"/>
      <c r="U660" s="1119"/>
      <c r="V660" s="1119"/>
      <c r="W660" s="1119"/>
      <c r="X660" s="1203"/>
      <c r="Y660" s="372" t="s">
        <v>1000</v>
      </c>
      <c r="Z660" s="386">
        <v>125662963</v>
      </c>
      <c r="AA660" s="386">
        <v>-62831481</v>
      </c>
      <c r="AB660" s="386">
        <f t="shared" si="40"/>
        <v>62831482</v>
      </c>
      <c r="AC660" s="384">
        <v>41158</v>
      </c>
      <c r="AD660" s="395">
        <v>62831482</v>
      </c>
      <c r="AE660" s="395" t="s">
        <v>7</v>
      </c>
      <c r="AF660" s="1215"/>
      <c r="AG660" s="1215"/>
      <c r="AH660" s="395">
        <f t="shared" si="39"/>
        <v>0</v>
      </c>
      <c r="AI660" s="1215"/>
      <c r="AJ660" s="1215"/>
      <c r="AK660" s="1215"/>
      <c r="AL660" s="1215"/>
      <c r="AM660" s="1215"/>
      <c r="AN660" s="1246"/>
      <c r="AO660" s="1246"/>
      <c r="AP660" s="1408"/>
      <c r="AQ660" s="1408"/>
    </row>
    <row r="661" spans="1:44" s="30" customFormat="1" ht="63">
      <c r="A661" s="1076"/>
      <c r="B661" s="1213"/>
      <c r="C661" s="1076"/>
      <c r="D661" s="1076"/>
      <c r="E661" s="1076"/>
      <c r="F661" s="1076"/>
      <c r="G661" s="1076"/>
      <c r="H661" s="1076"/>
      <c r="I661" s="1076"/>
      <c r="J661" s="1076"/>
      <c r="K661" s="1076"/>
      <c r="L661" s="1076"/>
      <c r="M661" s="1218"/>
      <c r="N661" s="1076"/>
      <c r="O661" s="1119"/>
      <c r="P661" s="1119"/>
      <c r="Q661" s="1119"/>
      <c r="R661" s="1171"/>
      <c r="S661" s="1119"/>
      <c r="T661" s="1119"/>
      <c r="U661" s="1119"/>
      <c r="V661" s="1119"/>
      <c r="W661" s="1119"/>
      <c r="X661" s="1203"/>
      <c r="Y661" s="372" t="s">
        <v>1001</v>
      </c>
      <c r="Z661" s="386">
        <v>15294236</v>
      </c>
      <c r="AA661" s="386">
        <v>-7647174</v>
      </c>
      <c r="AB661" s="386">
        <f t="shared" si="40"/>
        <v>7647062</v>
      </c>
      <c r="AC661" s="384">
        <v>41879</v>
      </c>
      <c r="AD661" s="395">
        <v>7647063</v>
      </c>
      <c r="AE661" s="395" t="s">
        <v>7</v>
      </c>
      <c r="AF661" s="1215"/>
      <c r="AG661" s="1215"/>
      <c r="AH661" s="395">
        <f t="shared" si="39"/>
        <v>-1</v>
      </c>
      <c r="AI661" s="1215"/>
      <c r="AJ661" s="1215"/>
      <c r="AK661" s="1215"/>
      <c r="AL661" s="1215"/>
      <c r="AM661" s="1215"/>
      <c r="AN661" s="1246"/>
      <c r="AO661" s="1246"/>
      <c r="AP661" s="1408"/>
      <c r="AQ661" s="1408"/>
    </row>
    <row r="662" spans="1:44" s="30" customFormat="1">
      <c r="A662" s="1076" t="s">
        <v>1015</v>
      </c>
      <c r="B662" s="1213">
        <v>40630</v>
      </c>
      <c r="C662" s="1076" t="s">
        <v>41</v>
      </c>
      <c r="D662" s="1076" t="s">
        <v>1016</v>
      </c>
      <c r="E662" s="1076" t="s">
        <v>1017</v>
      </c>
      <c r="F662" s="1076"/>
      <c r="G662" s="1076" t="s">
        <v>1018</v>
      </c>
      <c r="H662" s="1076" t="s">
        <v>71</v>
      </c>
      <c r="I662" s="1076" t="s">
        <v>692</v>
      </c>
      <c r="J662" s="1076" t="s">
        <v>66</v>
      </c>
      <c r="K662" s="1076" t="s">
        <v>183</v>
      </c>
      <c r="L662" s="1076" t="s">
        <v>1014</v>
      </c>
      <c r="M662" s="1223">
        <v>135</v>
      </c>
      <c r="N662" s="1076" t="s">
        <v>7</v>
      </c>
      <c r="O662" s="1119">
        <v>191854661</v>
      </c>
      <c r="P662" s="1119">
        <f>O662</f>
        <v>191854661</v>
      </c>
      <c r="Q662" s="1119">
        <f>P662</f>
        <v>191854661</v>
      </c>
      <c r="R662" s="1171">
        <v>40637</v>
      </c>
      <c r="S662" s="1119">
        <v>191854661</v>
      </c>
      <c r="T662" s="1119">
        <v>191854661</v>
      </c>
      <c r="U662" s="1119">
        <f>O662-T662</f>
        <v>0</v>
      </c>
      <c r="V662" s="1119">
        <v>191150000</v>
      </c>
      <c r="W662" s="1119">
        <v>191150000</v>
      </c>
      <c r="X662" s="1203" t="s">
        <v>1006</v>
      </c>
      <c r="Y662" s="372" t="s">
        <v>1019</v>
      </c>
      <c r="Z662" s="386">
        <v>0</v>
      </c>
      <c r="AA662" s="386">
        <v>95005000</v>
      </c>
      <c r="AB662" s="386">
        <f t="shared" ref="AB662:AB668" si="41">Z662+AA662</f>
        <v>95005000</v>
      </c>
      <c r="AC662" s="384">
        <v>40672</v>
      </c>
      <c r="AD662" s="395">
        <v>95005000</v>
      </c>
      <c r="AE662" s="395" t="s">
        <v>7</v>
      </c>
      <c r="AF662" s="1215">
        <f>SUM(AD662:AD664)</f>
        <v>191149996.00999999</v>
      </c>
      <c r="AG662" s="1215">
        <f>AF662</f>
        <v>191149996.00999999</v>
      </c>
      <c r="AH662" s="395">
        <f t="shared" si="39"/>
        <v>0</v>
      </c>
      <c r="AI662" s="1215">
        <f>O662-AG662</f>
        <v>704664.99000000954</v>
      </c>
      <c r="AJ662" s="1215">
        <f>SUM(Z662:Z664)-SUM(AD662:AD664)</f>
        <v>-9.9999904632568359E-3</v>
      </c>
      <c r="AK662" s="1215">
        <f>P662-V662</f>
        <v>704661</v>
      </c>
      <c r="AL662" s="1215">
        <f>V662-SUM(Z662:Z664)</f>
        <v>4</v>
      </c>
      <c r="AM662" s="1215">
        <f>AK662+AL662</f>
        <v>704665</v>
      </c>
      <c r="AN662" s="1246" t="s">
        <v>1023</v>
      </c>
      <c r="AO662" s="1246" t="s">
        <v>1022</v>
      </c>
      <c r="AP662" s="1405" t="s">
        <v>194</v>
      </c>
      <c r="AQ662" s="1405" t="s">
        <v>558</v>
      </c>
    </row>
    <row r="663" spans="1:44" s="30" customFormat="1" ht="63">
      <c r="A663" s="1076"/>
      <c r="B663" s="1213"/>
      <c r="C663" s="1076"/>
      <c r="D663" s="1076"/>
      <c r="E663" s="1076"/>
      <c r="F663" s="1076"/>
      <c r="G663" s="1076"/>
      <c r="H663" s="1076"/>
      <c r="I663" s="1076"/>
      <c r="J663" s="1076"/>
      <c r="K663" s="1076"/>
      <c r="L663" s="1076"/>
      <c r="M663" s="1223"/>
      <c r="N663" s="1076"/>
      <c r="O663" s="1119"/>
      <c r="P663" s="1119"/>
      <c r="Q663" s="1119"/>
      <c r="R663" s="1171"/>
      <c r="S663" s="1119"/>
      <c r="T663" s="1119"/>
      <c r="U663" s="1119"/>
      <c r="V663" s="1119"/>
      <c r="W663" s="1119"/>
      <c r="X663" s="1203"/>
      <c r="Y663" s="372" t="s">
        <v>1020</v>
      </c>
      <c r="Z663" s="386">
        <v>170556627</v>
      </c>
      <c r="AA663" s="386">
        <v>-85278313.5</v>
      </c>
      <c r="AB663" s="386">
        <f t="shared" si="41"/>
        <v>85278313.5</v>
      </c>
      <c r="AC663" s="384">
        <v>41284</v>
      </c>
      <c r="AD663" s="395">
        <v>85278313.510000005</v>
      </c>
      <c r="AE663" s="395" t="s">
        <v>7</v>
      </c>
      <c r="AF663" s="1215"/>
      <c r="AG663" s="1215"/>
      <c r="AH663" s="395">
        <f t="shared" si="39"/>
        <v>-1.000000536441803E-2</v>
      </c>
      <c r="AI663" s="1215"/>
      <c r="AJ663" s="1215"/>
      <c r="AK663" s="1215"/>
      <c r="AL663" s="1215"/>
      <c r="AM663" s="1215"/>
      <c r="AN663" s="1246"/>
      <c r="AO663" s="1246"/>
      <c r="AP663" s="1406"/>
      <c r="AQ663" s="1406"/>
    </row>
    <row r="664" spans="1:44" s="30" customFormat="1" ht="63">
      <c r="A664" s="1076"/>
      <c r="B664" s="1213"/>
      <c r="C664" s="1076"/>
      <c r="D664" s="1076"/>
      <c r="E664" s="1076"/>
      <c r="F664" s="1076"/>
      <c r="G664" s="1076"/>
      <c r="H664" s="1076"/>
      <c r="I664" s="1076"/>
      <c r="J664" s="1076"/>
      <c r="K664" s="1076"/>
      <c r="L664" s="1076"/>
      <c r="M664" s="1223"/>
      <c r="N664" s="1076"/>
      <c r="O664" s="1119"/>
      <c r="P664" s="1119"/>
      <c r="Q664" s="1119"/>
      <c r="R664" s="1171"/>
      <c r="S664" s="1119"/>
      <c r="T664" s="1119"/>
      <c r="U664" s="1119"/>
      <c r="V664" s="1119"/>
      <c r="W664" s="1119"/>
      <c r="X664" s="1203"/>
      <c r="Y664" s="372" t="s">
        <v>1021</v>
      </c>
      <c r="Z664" s="386">
        <v>20593369</v>
      </c>
      <c r="AA664" s="386">
        <v>-9726686.5</v>
      </c>
      <c r="AB664" s="386">
        <f t="shared" si="41"/>
        <v>10866682.5</v>
      </c>
      <c r="AC664" s="384">
        <v>41827</v>
      </c>
      <c r="AD664" s="395">
        <v>10866682.5</v>
      </c>
      <c r="AE664" s="395" t="s">
        <v>7</v>
      </c>
      <c r="AF664" s="1215"/>
      <c r="AG664" s="1215"/>
      <c r="AH664" s="395">
        <f t="shared" si="39"/>
        <v>0</v>
      </c>
      <c r="AI664" s="1215"/>
      <c r="AJ664" s="1215"/>
      <c r="AK664" s="1215"/>
      <c r="AL664" s="1215"/>
      <c r="AM664" s="1215"/>
      <c r="AN664" s="1246"/>
      <c r="AO664" s="1246"/>
      <c r="AP664" s="1407"/>
      <c r="AQ664" s="1407"/>
    </row>
    <row r="665" spans="1:44" ht="63">
      <c r="A665" s="1011" t="s">
        <v>1003</v>
      </c>
      <c r="B665" s="1068">
        <v>40630</v>
      </c>
      <c r="C665" s="1011"/>
      <c r="D665" s="1011" t="s">
        <v>1004</v>
      </c>
      <c r="E665" s="1097">
        <v>76316908</v>
      </c>
      <c r="F665" s="1097"/>
      <c r="G665" s="1011" t="s">
        <v>1005</v>
      </c>
      <c r="H665" s="1011" t="s">
        <v>71</v>
      </c>
      <c r="I665" s="1011" t="s">
        <v>692</v>
      </c>
      <c r="J665" s="1011" t="s">
        <v>489</v>
      </c>
      <c r="K665" s="1011" t="s">
        <v>183</v>
      </c>
      <c r="L665" s="1011" t="s">
        <v>1078</v>
      </c>
      <c r="M665" s="1220">
        <v>127</v>
      </c>
      <c r="N665" s="1065" t="s">
        <v>7</v>
      </c>
      <c r="O665" s="1062">
        <v>373831776</v>
      </c>
      <c r="P665" s="1062">
        <v>373831776</v>
      </c>
      <c r="Q665" s="1062">
        <f>P665+P669</f>
        <v>501107476</v>
      </c>
      <c r="R665" s="1068">
        <v>40637</v>
      </c>
      <c r="S665" s="1092">
        <v>373765710</v>
      </c>
      <c r="T665" s="1092">
        <v>373765710</v>
      </c>
      <c r="U665" s="1092">
        <f>O665-T665</f>
        <v>66066</v>
      </c>
      <c r="V665" s="1062">
        <v>373765710</v>
      </c>
      <c r="W665" s="1062">
        <v>501041410</v>
      </c>
      <c r="X665" s="1011" t="s">
        <v>1006</v>
      </c>
      <c r="Y665" s="372" t="s">
        <v>1007</v>
      </c>
      <c r="Z665" s="386">
        <v>0</v>
      </c>
      <c r="AA665" s="386">
        <v>186882855</v>
      </c>
      <c r="AB665" s="386">
        <f t="shared" si="41"/>
        <v>186882855</v>
      </c>
      <c r="AC665" s="384">
        <v>40666</v>
      </c>
      <c r="AD665" s="395">
        <v>186882855</v>
      </c>
      <c r="AE665" s="395" t="s">
        <v>7</v>
      </c>
      <c r="AF665" s="1043">
        <f>SUM(AD665:AD668)</f>
        <v>373765708</v>
      </c>
      <c r="AG665" s="1043">
        <f>AF665+AF669</f>
        <v>475269823</v>
      </c>
      <c r="AH665" s="358">
        <f t="shared" si="39"/>
        <v>0</v>
      </c>
      <c r="AI665" s="1043">
        <f>S665-SUM(AD665:AD668)</f>
        <v>2</v>
      </c>
      <c r="AJ665" s="1062">
        <f>SUM(Z665:Z670)-SUM(AD665:AD670)</f>
        <v>1</v>
      </c>
      <c r="AK665" s="1062">
        <f>S665-V665</f>
        <v>0</v>
      </c>
      <c r="AL665" s="1062">
        <f>V665-SUM(Z665:Z668)</f>
        <v>1</v>
      </c>
      <c r="AM665" s="1062">
        <f>AK665+AL665+AJ665</f>
        <v>2</v>
      </c>
      <c r="AN665" s="1103" t="s">
        <v>523</v>
      </c>
      <c r="AO665" s="1195" t="s">
        <v>1013</v>
      </c>
      <c r="AP665" s="1103" t="s">
        <v>194</v>
      </c>
      <c r="AQ665" s="1103" t="s">
        <v>558</v>
      </c>
    </row>
    <row r="666" spans="1:44" ht="63">
      <c r="A666" s="1033"/>
      <c r="B666" s="1069"/>
      <c r="C666" s="1033"/>
      <c r="D666" s="1033"/>
      <c r="E666" s="1098"/>
      <c r="F666" s="1098"/>
      <c r="G666" s="1033"/>
      <c r="H666" s="1033"/>
      <c r="I666" s="1033"/>
      <c r="J666" s="1033"/>
      <c r="K666" s="1033"/>
      <c r="L666" s="1033"/>
      <c r="M666" s="1221"/>
      <c r="N666" s="1066"/>
      <c r="O666" s="1063"/>
      <c r="P666" s="1063"/>
      <c r="Q666" s="1063"/>
      <c r="R666" s="1069"/>
      <c r="S666" s="1093"/>
      <c r="T666" s="1093"/>
      <c r="U666" s="1093"/>
      <c r="V666" s="1063"/>
      <c r="W666" s="1063"/>
      <c r="X666" s="1033"/>
      <c r="Y666" s="372" t="s">
        <v>1008</v>
      </c>
      <c r="Z666" s="386">
        <v>189808327</v>
      </c>
      <c r="AA666" s="386">
        <v>-94904163.5</v>
      </c>
      <c r="AB666" s="386">
        <f t="shared" si="41"/>
        <v>94904163.5</v>
      </c>
      <c r="AC666" s="384">
        <v>40788</v>
      </c>
      <c r="AD666" s="395">
        <v>94904163</v>
      </c>
      <c r="AE666" s="395" t="s">
        <v>7</v>
      </c>
      <c r="AF666" s="1044"/>
      <c r="AG666" s="1044"/>
      <c r="AH666" s="358">
        <f t="shared" si="39"/>
        <v>0.5</v>
      </c>
      <c r="AI666" s="1044"/>
      <c r="AJ666" s="1063"/>
      <c r="AK666" s="1063"/>
      <c r="AL666" s="1063"/>
      <c r="AM666" s="1063"/>
      <c r="AN666" s="1104"/>
      <c r="AO666" s="1104"/>
      <c r="AP666" s="1104"/>
      <c r="AQ666" s="1104"/>
    </row>
    <row r="667" spans="1:44" ht="63">
      <c r="A667" s="1033"/>
      <c r="B667" s="1069"/>
      <c r="C667" s="1033"/>
      <c r="D667" s="1033"/>
      <c r="E667" s="1098"/>
      <c r="F667" s="1098"/>
      <c r="G667" s="1033"/>
      <c r="H667" s="1033"/>
      <c r="I667" s="1033"/>
      <c r="J667" s="1033"/>
      <c r="K667" s="1033"/>
      <c r="L667" s="1033"/>
      <c r="M667" s="1221"/>
      <c r="N667" s="1066"/>
      <c r="O667" s="1063"/>
      <c r="P667" s="1063"/>
      <c r="Q667" s="1063"/>
      <c r="R667" s="1069"/>
      <c r="S667" s="1093"/>
      <c r="T667" s="1093"/>
      <c r="U667" s="1093"/>
      <c r="V667" s="1063"/>
      <c r="W667" s="1063"/>
      <c r="X667" s="1033"/>
      <c r="Y667" s="372" t="s">
        <v>1009</v>
      </c>
      <c r="Z667" s="386">
        <v>128018691</v>
      </c>
      <c r="AA667" s="386">
        <v>-64009345.5</v>
      </c>
      <c r="AB667" s="386">
        <f t="shared" si="41"/>
        <v>64009345.5</v>
      </c>
      <c r="AC667" s="384">
        <v>40864</v>
      </c>
      <c r="AD667" s="395">
        <v>64009345</v>
      </c>
      <c r="AE667" s="395" t="s">
        <v>7</v>
      </c>
      <c r="AF667" s="1044"/>
      <c r="AG667" s="1044"/>
      <c r="AH667" s="358">
        <f t="shared" si="39"/>
        <v>0.5</v>
      </c>
      <c r="AI667" s="1044"/>
      <c r="AJ667" s="1063"/>
      <c r="AK667" s="1063"/>
      <c r="AL667" s="1063"/>
      <c r="AM667" s="1063"/>
      <c r="AN667" s="1104"/>
      <c r="AO667" s="1104"/>
      <c r="AP667" s="1104"/>
      <c r="AQ667" s="1104"/>
    </row>
    <row r="668" spans="1:44" ht="94.5">
      <c r="A668" s="1033"/>
      <c r="B668" s="1069"/>
      <c r="C668" s="1033"/>
      <c r="D668" s="1033"/>
      <c r="E668" s="1098"/>
      <c r="F668" s="1098"/>
      <c r="G668" s="1033"/>
      <c r="H668" s="1033"/>
      <c r="I668" s="1033"/>
      <c r="J668" s="1012"/>
      <c r="K668" s="1033"/>
      <c r="L668" s="1033"/>
      <c r="M668" s="1222"/>
      <c r="N668" s="1067"/>
      <c r="O668" s="1064"/>
      <c r="P668" s="1064"/>
      <c r="Q668" s="1063"/>
      <c r="R668" s="1070"/>
      <c r="S668" s="1094"/>
      <c r="T668" s="1094"/>
      <c r="U668" s="1094"/>
      <c r="V668" s="1064"/>
      <c r="W668" s="1063"/>
      <c r="X668" s="1033"/>
      <c r="Y668" s="372" t="s">
        <v>1010</v>
      </c>
      <c r="Z668" s="386">
        <v>55938691</v>
      </c>
      <c r="AA668" s="386">
        <v>-27969346</v>
      </c>
      <c r="AB668" s="386">
        <f t="shared" si="41"/>
        <v>27969345</v>
      </c>
      <c r="AC668" s="384">
        <v>41149</v>
      </c>
      <c r="AD668" s="395">
        <v>27969345</v>
      </c>
      <c r="AE668" s="395" t="s">
        <v>7</v>
      </c>
      <c r="AF668" s="1045"/>
      <c r="AG668" s="1044"/>
      <c r="AH668" s="358">
        <f t="shared" si="39"/>
        <v>0</v>
      </c>
      <c r="AI668" s="1045"/>
      <c r="AJ668" s="1063"/>
      <c r="AK668" s="1064"/>
      <c r="AL668" s="1064"/>
      <c r="AM668" s="1064"/>
      <c r="AN668" s="1104"/>
      <c r="AO668" s="1104"/>
      <c r="AP668" s="1104"/>
      <c r="AQ668" s="1104"/>
    </row>
    <row r="669" spans="1:44" ht="80.25" customHeight="1">
      <c r="A669" s="1033"/>
      <c r="B669" s="1069"/>
      <c r="C669" s="1033"/>
      <c r="D669" s="1033"/>
      <c r="E669" s="1098"/>
      <c r="F669" s="1098"/>
      <c r="G669" s="1033"/>
      <c r="H669" s="1033"/>
      <c r="I669" s="1033"/>
      <c r="J669" s="1011" t="s">
        <v>67</v>
      </c>
      <c r="K669" s="1033"/>
      <c r="L669" s="1033"/>
      <c r="M669" s="1220">
        <v>241</v>
      </c>
      <c r="N669" s="1065" t="s">
        <v>7</v>
      </c>
      <c r="O669" s="1062">
        <v>127275700</v>
      </c>
      <c r="P669" s="1062">
        <v>127275700</v>
      </c>
      <c r="Q669" s="1063"/>
      <c r="R669" s="1068">
        <v>41081</v>
      </c>
      <c r="S669" s="1092">
        <v>101504115</v>
      </c>
      <c r="T669" s="1092">
        <v>101504115</v>
      </c>
      <c r="U669" s="1092">
        <f>O669-T669</f>
        <v>25771585</v>
      </c>
      <c r="V669" s="1062">
        <v>127275700</v>
      </c>
      <c r="W669" s="1063"/>
      <c r="X669" s="1033"/>
      <c r="Y669" s="372" t="s">
        <v>1011</v>
      </c>
      <c r="Z669" s="386">
        <v>49586118</v>
      </c>
      <c r="AA669" s="386">
        <v>0</v>
      </c>
      <c r="AB669" s="386">
        <f>Z669-AA669</f>
        <v>49586118</v>
      </c>
      <c r="AC669" s="384">
        <v>41149</v>
      </c>
      <c r="AD669" s="395">
        <v>49586118</v>
      </c>
      <c r="AE669" s="395" t="s">
        <v>7</v>
      </c>
      <c r="AF669" s="1043">
        <f>SUM(AD669:AD670)</f>
        <v>101504115</v>
      </c>
      <c r="AG669" s="1044"/>
      <c r="AH669" s="358">
        <f t="shared" si="39"/>
        <v>0</v>
      </c>
      <c r="AI669" s="1043">
        <f>S669-SUM(AD669:AD670)</f>
        <v>0</v>
      </c>
      <c r="AJ669" s="1063"/>
      <c r="AK669" s="1062">
        <f>P669-V669</f>
        <v>0</v>
      </c>
      <c r="AL669" s="1062">
        <f>V669-SUM(Z669:Z670)</f>
        <v>25771585</v>
      </c>
      <c r="AM669" s="1062">
        <v>0</v>
      </c>
      <c r="AN669" s="1104"/>
      <c r="AO669" s="1104"/>
      <c r="AP669" s="1104"/>
      <c r="AQ669" s="1104"/>
    </row>
    <row r="670" spans="1:44" ht="63">
      <c r="A670" s="1012"/>
      <c r="B670" s="1070"/>
      <c r="C670" s="1012"/>
      <c r="D670" s="1012"/>
      <c r="E670" s="1099"/>
      <c r="F670" s="1099"/>
      <c r="G670" s="1012"/>
      <c r="H670" s="1012"/>
      <c r="I670" s="1012"/>
      <c r="J670" s="1012"/>
      <c r="K670" s="1012"/>
      <c r="L670" s="1012"/>
      <c r="M670" s="1222"/>
      <c r="N670" s="1067"/>
      <c r="O670" s="1064"/>
      <c r="P670" s="1064"/>
      <c r="Q670" s="1064"/>
      <c r="R670" s="1070"/>
      <c r="S670" s="1094"/>
      <c r="T670" s="1094"/>
      <c r="U670" s="1094"/>
      <c r="V670" s="1064"/>
      <c r="W670" s="1064"/>
      <c r="X670" s="1012"/>
      <c r="Y670" s="372" t="s">
        <v>1012</v>
      </c>
      <c r="Z670" s="386">
        <v>51917997</v>
      </c>
      <c r="AA670" s="386">
        <v>0</v>
      </c>
      <c r="AB670" s="386">
        <f>Z670-AA670</f>
        <v>51917997</v>
      </c>
      <c r="AC670" s="384">
        <v>41451</v>
      </c>
      <c r="AD670" s="395">
        <v>51917997</v>
      </c>
      <c r="AE670" s="395" t="s">
        <v>7</v>
      </c>
      <c r="AF670" s="1045"/>
      <c r="AG670" s="1045"/>
      <c r="AH670" s="358">
        <f t="shared" si="39"/>
        <v>0</v>
      </c>
      <c r="AI670" s="1045"/>
      <c r="AJ670" s="1064"/>
      <c r="AK670" s="1064"/>
      <c r="AL670" s="1064"/>
      <c r="AM670" s="1064"/>
      <c r="AN670" s="1105"/>
      <c r="AO670" s="1105"/>
      <c r="AP670" s="1105"/>
      <c r="AQ670" s="1105"/>
    </row>
    <row r="671" spans="1:44" s="4" customFormat="1" ht="31.5">
      <c r="A671" s="1076" t="s">
        <v>1083</v>
      </c>
      <c r="B671" s="1171">
        <v>40630</v>
      </c>
      <c r="C671" s="1076" t="s">
        <v>5</v>
      </c>
      <c r="D671" s="1076" t="s">
        <v>1084</v>
      </c>
      <c r="E671" s="1208">
        <v>10529407</v>
      </c>
      <c r="F671" s="1208"/>
      <c r="G671" s="1076" t="s">
        <v>1085</v>
      </c>
      <c r="H671" s="1076" t="s">
        <v>71</v>
      </c>
      <c r="I671" s="1076" t="s">
        <v>1086</v>
      </c>
      <c r="J671" s="1076" t="s">
        <v>66</v>
      </c>
      <c r="K671" s="1076" t="s">
        <v>48</v>
      </c>
      <c r="L671" s="1076" t="s">
        <v>1088</v>
      </c>
      <c r="M671" s="1245">
        <v>125</v>
      </c>
      <c r="N671" s="1123" t="s">
        <v>137</v>
      </c>
      <c r="O671" s="1119">
        <v>695806847</v>
      </c>
      <c r="P671" s="1224">
        <f>O671+O677</f>
        <v>1177691989</v>
      </c>
      <c r="Q671" s="1119">
        <f>P671+P685</f>
        <v>1233691989</v>
      </c>
      <c r="R671" s="1171">
        <v>40637</v>
      </c>
      <c r="S671" s="1119">
        <f>T671+T677</f>
        <v>1177691989</v>
      </c>
      <c r="T671" s="1119">
        <v>695806847</v>
      </c>
      <c r="U671" s="1119">
        <f>O671-T671</f>
        <v>0</v>
      </c>
      <c r="V671" s="1119">
        <v>695704640.86225295</v>
      </c>
      <c r="W671" s="1224">
        <v>1233519000</v>
      </c>
      <c r="X671" s="1076" t="s">
        <v>1087</v>
      </c>
      <c r="Y671" s="1123" t="s">
        <v>1089</v>
      </c>
      <c r="Z671" s="386">
        <v>0</v>
      </c>
      <c r="AA671" s="386">
        <f>V677*50%</f>
        <v>240907179.56887269</v>
      </c>
      <c r="AB671" s="386">
        <f t="shared" ref="AB671:AB734" si="42">Z671+AA671</f>
        <v>240907179.56887269</v>
      </c>
      <c r="AC671" s="1171">
        <v>40659</v>
      </c>
      <c r="AD671" s="423">
        <v>240942570.66</v>
      </c>
      <c r="AE671" s="423" t="s">
        <v>137</v>
      </c>
      <c r="AF671" s="1224">
        <f>SUM(AD671:AD684)</f>
        <v>1138413605.96</v>
      </c>
      <c r="AG671" s="1224">
        <f>AF671+AF685</f>
        <v>1138413605.96</v>
      </c>
      <c r="AH671" s="423">
        <f t="shared" si="39"/>
        <v>-35391.091127306223</v>
      </c>
      <c r="AI671" s="1224">
        <f>O671-AD671-AD672-AD673-AD674-AD682</f>
        <v>-102304456.93999994</v>
      </c>
      <c r="AJ671" s="1119">
        <f>SUM(Z671:Z684)-SUM(AD671:AD684)</f>
        <v>-39278377.960000038</v>
      </c>
      <c r="AK671" s="1119">
        <f>O671-V671</f>
        <v>102206.13774704933</v>
      </c>
      <c r="AL671" s="1119">
        <f>SUM(V671:V684)-SUM(Z671:Z684)+AJ671</f>
        <v>39105394.039998293</v>
      </c>
      <c r="AM671" s="1119"/>
      <c r="AN671" s="1203" t="s">
        <v>1096</v>
      </c>
      <c r="AO671" s="1237" t="s">
        <v>1098</v>
      </c>
      <c r="AP671" s="1203" t="s">
        <v>195</v>
      </c>
      <c r="AQ671" s="1203" t="s">
        <v>1097</v>
      </c>
      <c r="AR671" s="1074" t="s">
        <v>2507</v>
      </c>
    </row>
    <row r="672" spans="1:44" s="4" customFormat="1" ht="17.25" customHeight="1">
      <c r="A672" s="1076"/>
      <c r="B672" s="1171"/>
      <c r="C672" s="1076"/>
      <c r="D672" s="1076"/>
      <c r="E672" s="1208"/>
      <c r="F672" s="1208"/>
      <c r="G672" s="1076"/>
      <c r="H672" s="1076"/>
      <c r="I672" s="1076"/>
      <c r="J672" s="1076"/>
      <c r="K672" s="1076"/>
      <c r="L672" s="1076"/>
      <c r="M672" s="1245"/>
      <c r="N672" s="1123"/>
      <c r="O672" s="1119"/>
      <c r="P672" s="1224"/>
      <c r="Q672" s="1119"/>
      <c r="R672" s="1171"/>
      <c r="S672" s="1119"/>
      <c r="T672" s="1119"/>
      <c r="U672" s="1119"/>
      <c r="V672" s="1119"/>
      <c r="W672" s="1224"/>
      <c r="X672" s="1076"/>
      <c r="Y672" s="1123"/>
      <c r="Z672" s="386">
        <v>0</v>
      </c>
      <c r="AA672" s="386">
        <f>V671*50%</f>
        <v>347852320.43112648</v>
      </c>
      <c r="AB672" s="386">
        <f t="shared" si="42"/>
        <v>347852320.43112648</v>
      </c>
      <c r="AC672" s="1171"/>
      <c r="AD672" s="423">
        <v>347903423.33999997</v>
      </c>
      <c r="AE672" s="423" t="s">
        <v>137</v>
      </c>
      <c r="AF672" s="1224"/>
      <c r="AG672" s="1224"/>
      <c r="AH672" s="423">
        <f t="shared" si="39"/>
        <v>-51102.90887349844</v>
      </c>
      <c r="AI672" s="1224"/>
      <c r="AJ672" s="1119"/>
      <c r="AK672" s="1119"/>
      <c r="AL672" s="1119"/>
      <c r="AM672" s="1119"/>
      <c r="AN672" s="1203"/>
      <c r="AO672" s="1204"/>
      <c r="AP672" s="1203"/>
      <c r="AQ672" s="1203"/>
      <c r="AR672" s="1074"/>
    </row>
    <row r="673" spans="1:44" s="4" customFormat="1" ht="31.5">
      <c r="A673" s="1076"/>
      <c r="B673" s="1171"/>
      <c r="C673" s="1076"/>
      <c r="D673" s="1076"/>
      <c r="E673" s="1208"/>
      <c r="F673" s="1208"/>
      <c r="G673" s="1076"/>
      <c r="H673" s="1076"/>
      <c r="I673" s="1076"/>
      <c r="J673" s="1076"/>
      <c r="K673" s="1076"/>
      <c r="L673" s="1076"/>
      <c r="M673" s="1245"/>
      <c r="N673" s="1123"/>
      <c r="O673" s="1119"/>
      <c r="P673" s="1224"/>
      <c r="Q673" s="1119"/>
      <c r="R673" s="1171"/>
      <c r="S673" s="1119"/>
      <c r="T673" s="1119"/>
      <c r="U673" s="1119"/>
      <c r="V673" s="1119"/>
      <c r="W673" s="1224"/>
      <c r="X673" s="1076"/>
      <c r="Y673" s="1123" t="s">
        <v>1091</v>
      </c>
      <c r="Z673" s="386">
        <v>150951638.78</v>
      </c>
      <c r="AA673" s="386">
        <v>-75475819.390000001</v>
      </c>
      <c r="AB673" s="386">
        <f t="shared" si="42"/>
        <v>75475819.390000001</v>
      </c>
      <c r="AC673" s="1171">
        <v>40767</v>
      </c>
      <c r="AD673" s="423">
        <v>75475819.109999999</v>
      </c>
      <c r="AE673" s="423" t="s">
        <v>137</v>
      </c>
      <c r="AF673" s="1224"/>
      <c r="AG673" s="1224"/>
      <c r="AH673" s="423">
        <f t="shared" si="39"/>
        <v>0.2800000011920929</v>
      </c>
      <c r="AI673" s="1224"/>
      <c r="AJ673" s="1119"/>
      <c r="AK673" s="1119"/>
      <c r="AL673" s="1119"/>
      <c r="AM673" s="1119"/>
      <c r="AN673" s="1203"/>
      <c r="AO673" s="1204"/>
      <c r="AP673" s="1203"/>
      <c r="AQ673" s="1203"/>
      <c r="AR673" s="1074"/>
    </row>
    <row r="674" spans="1:44" s="4" customFormat="1" ht="31.5">
      <c r="A674" s="1076"/>
      <c r="B674" s="1171"/>
      <c r="C674" s="1076"/>
      <c r="D674" s="1076"/>
      <c r="E674" s="1208"/>
      <c r="F674" s="1208"/>
      <c r="G674" s="1076"/>
      <c r="H674" s="1076"/>
      <c r="I674" s="1076"/>
      <c r="J674" s="1076"/>
      <c r="K674" s="1076"/>
      <c r="L674" s="1076"/>
      <c r="M674" s="1245"/>
      <c r="N674" s="1123"/>
      <c r="O674" s="1119"/>
      <c r="P674" s="1224"/>
      <c r="Q674" s="1119"/>
      <c r="R674" s="1171"/>
      <c r="S674" s="1119"/>
      <c r="T674" s="1119"/>
      <c r="U674" s="1119"/>
      <c r="V674" s="1119"/>
      <c r="W674" s="1224"/>
      <c r="X674" s="1076"/>
      <c r="Y674" s="1123"/>
      <c r="Z674" s="386">
        <v>217963109.22</v>
      </c>
      <c r="AA674" s="386">
        <v>-108981554.61</v>
      </c>
      <c r="AB674" s="386">
        <f t="shared" si="42"/>
        <v>108981554.61</v>
      </c>
      <c r="AC674" s="1171"/>
      <c r="AD674" s="423">
        <v>108981552.89</v>
      </c>
      <c r="AE674" s="423" t="s">
        <v>137</v>
      </c>
      <c r="AF674" s="1224"/>
      <c r="AG674" s="1224"/>
      <c r="AH674" s="423">
        <f t="shared" si="39"/>
        <v>1.7199999988079071</v>
      </c>
      <c r="AI674" s="1224"/>
      <c r="AJ674" s="1119"/>
      <c r="AK674" s="1119"/>
      <c r="AL674" s="1119"/>
      <c r="AM674" s="1119"/>
      <c r="AN674" s="1203"/>
      <c r="AO674" s="1204"/>
      <c r="AP674" s="1203"/>
      <c r="AQ674" s="1203"/>
      <c r="AR674" s="1074"/>
    </row>
    <row r="675" spans="1:44" s="4" customFormat="1" ht="17.25" customHeight="1">
      <c r="A675" s="1076"/>
      <c r="B675" s="1171"/>
      <c r="C675" s="1076"/>
      <c r="D675" s="1076"/>
      <c r="E675" s="1208"/>
      <c r="F675" s="1208"/>
      <c r="G675" s="1076"/>
      <c r="H675" s="1076"/>
      <c r="I675" s="1076"/>
      <c r="J675" s="1076"/>
      <c r="K675" s="1076"/>
      <c r="L675" s="1076"/>
      <c r="M675" s="1245"/>
      <c r="N675" s="1123"/>
      <c r="O675" s="1119"/>
      <c r="P675" s="1224"/>
      <c r="Q675" s="1119"/>
      <c r="R675" s="1171"/>
      <c r="S675" s="1119"/>
      <c r="T675" s="1119"/>
      <c r="U675" s="1119"/>
      <c r="V675" s="1119"/>
      <c r="W675" s="1224"/>
      <c r="X675" s="1076"/>
      <c r="Y675" s="1123" t="s">
        <v>1092</v>
      </c>
      <c r="Z675" s="386">
        <v>69273326</v>
      </c>
      <c r="AA675" s="386">
        <v>-34636663</v>
      </c>
      <c r="AB675" s="386">
        <f t="shared" si="42"/>
        <v>34636663</v>
      </c>
      <c r="AC675" s="1171">
        <v>40835</v>
      </c>
      <c r="AD675" s="423">
        <v>34636663</v>
      </c>
      <c r="AE675" s="423" t="s">
        <v>7</v>
      </c>
      <c r="AF675" s="1224"/>
      <c r="AG675" s="1224"/>
      <c r="AH675" s="423">
        <f t="shared" si="39"/>
        <v>0</v>
      </c>
      <c r="AI675" s="1224"/>
      <c r="AJ675" s="1119"/>
      <c r="AK675" s="1119"/>
      <c r="AL675" s="1119"/>
      <c r="AM675" s="1119"/>
      <c r="AN675" s="1203"/>
      <c r="AO675" s="1204"/>
      <c r="AP675" s="1203"/>
      <c r="AQ675" s="1203"/>
      <c r="AR675" s="1074"/>
    </row>
    <row r="676" spans="1:44" s="4" customFormat="1">
      <c r="A676" s="1076"/>
      <c r="B676" s="1171"/>
      <c r="C676" s="1076"/>
      <c r="D676" s="1076"/>
      <c r="E676" s="1208"/>
      <c r="F676" s="1208"/>
      <c r="G676" s="1076"/>
      <c r="H676" s="1076"/>
      <c r="I676" s="1076"/>
      <c r="J676" s="1076"/>
      <c r="K676" s="1076"/>
      <c r="L676" s="1076"/>
      <c r="M676" s="1245"/>
      <c r="N676" s="1123"/>
      <c r="O676" s="1119"/>
      <c r="P676" s="1224"/>
      <c r="Q676" s="1119"/>
      <c r="R676" s="1171"/>
      <c r="S676" s="1119"/>
      <c r="T676" s="1119"/>
      <c r="U676" s="1119"/>
      <c r="V676" s="1119"/>
      <c r="W676" s="1224"/>
      <c r="X676" s="1076"/>
      <c r="Y676" s="1123"/>
      <c r="Z676" s="386">
        <v>99686006</v>
      </c>
      <c r="AA676" s="386">
        <v>-49843003</v>
      </c>
      <c r="AB676" s="386">
        <f t="shared" si="42"/>
        <v>49843003</v>
      </c>
      <c r="AC676" s="1171"/>
      <c r="AD676" s="423">
        <v>49843003</v>
      </c>
      <c r="AE676" s="423" t="s">
        <v>7</v>
      </c>
      <c r="AF676" s="1224"/>
      <c r="AG676" s="1224"/>
      <c r="AH676" s="423">
        <f t="shared" si="39"/>
        <v>0</v>
      </c>
      <c r="AI676" s="1224"/>
      <c r="AJ676" s="1119"/>
      <c r="AK676" s="1119"/>
      <c r="AL676" s="1119"/>
      <c r="AM676" s="1119"/>
      <c r="AN676" s="1203"/>
      <c r="AO676" s="1204"/>
      <c r="AP676" s="1203"/>
      <c r="AQ676" s="1203"/>
      <c r="AR676" s="1074"/>
    </row>
    <row r="677" spans="1:44" s="4" customFormat="1">
      <c r="A677" s="1076"/>
      <c r="B677" s="1171"/>
      <c r="C677" s="1076"/>
      <c r="D677" s="1076"/>
      <c r="E677" s="1208"/>
      <c r="F677" s="1208"/>
      <c r="G677" s="1076"/>
      <c r="H677" s="1076"/>
      <c r="I677" s="1076"/>
      <c r="J677" s="1076"/>
      <c r="K677" s="1076"/>
      <c r="L677" s="1076"/>
      <c r="M677" s="1245"/>
      <c r="N677" s="1123" t="s">
        <v>7</v>
      </c>
      <c r="O677" s="1119">
        <v>481885142</v>
      </c>
      <c r="P677" s="1224"/>
      <c r="Q677" s="1119"/>
      <c r="R677" s="1171"/>
      <c r="S677" s="1119"/>
      <c r="T677" s="1295">
        <v>481885142</v>
      </c>
      <c r="U677" s="1295">
        <f>O677-T677</f>
        <v>0</v>
      </c>
      <c r="V677" s="1119">
        <v>481814359.13774538</v>
      </c>
      <c r="W677" s="1224"/>
      <c r="X677" s="1076"/>
      <c r="Y677" s="1123" t="s">
        <v>1093</v>
      </c>
      <c r="Z677" s="386">
        <v>133569632</v>
      </c>
      <c r="AA677" s="386">
        <v>-66784816</v>
      </c>
      <c r="AB677" s="386">
        <f t="shared" si="42"/>
        <v>66784816</v>
      </c>
      <c r="AC677" s="1171">
        <v>40856</v>
      </c>
      <c r="AD677" s="423">
        <v>66784816</v>
      </c>
      <c r="AE677" s="423" t="s">
        <v>7</v>
      </c>
      <c r="AF677" s="1224"/>
      <c r="AG677" s="1224"/>
      <c r="AH677" s="423">
        <f t="shared" si="39"/>
        <v>0</v>
      </c>
      <c r="AI677" s="1119">
        <f>O677-AD675-AD676-AD677-AD678-AD679-AD680-AD681</f>
        <v>141582839.97999999</v>
      </c>
      <c r="AJ677" s="1119"/>
      <c r="AK677" s="1119">
        <f>O677-V677</f>
        <v>70782.862254619598</v>
      </c>
      <c r="AL677" s="1119"/>
      <c r="AM677" s="1119"/>
      <c r="AN677" s="1203"/>
      <c r="AO677" s="1204"/>
      <c r="AP677" s="1203"/>
      <c r="AQ677" s="1203"/>
      <c r="AR677" s="1074"/>
    </row>
    <row r="678" spans="1:44" s="4" customFormat="1">
      <c r="A678" s="1076"/>
      <c r="B678" s="1171"/>
      <c r="C678" s="1076"/>
      <c r="D678" s="1076"/>
      <c r="E678" s="1208"/>
      <c r="F678" s="1208"/>
      <c r="G678" s="1076"/>
      <c r="H678" s="1076"/>
      <c r="I678" s="1076"/>
      <c r="J678" s="1076"/>
      <c r="K678" s="1076"/>
      <c r="L678" s="1076"/>
      <c r="M678" s="1245"/>
      <c r="N678" s="1123"/>
      <c r="O678" s="1119"/>
      <c r="P678" s="1224"/>
      <c r="Q678" s="1119"/>
      <c r="R678" s="1171"/>
      <c r="S678" s="1119"/>
      <c r="T678" s="1295"/>
      <c r="U678" s="1295"/>
      <c r="V678" s="1119"/>
      <c r="W678" s="1224"/>
      <c r="X678" s="1076"/>
      <c r="Y678" s="1123"/>
      <c r="Z678" s="386">
        <v>192209958</v>
      </c>
      <c r="AA678" s="386">
        <v>-96104979</v>
      </c>
      <c r="AB678" s="386">
        <f t="shared" si="42"/>
        <v>96104979</v>
      </c>
      <c r="AC678" s="1171"/>
      <c r="AD678" s="423">
        <v>96104979</v>
      </c>
      <c r="AE678" s="423" t="s">
        <v>7</v>
      </c>
      <c r="AF678" s="1224"/>
      <c r="AG678" s="1224"/>
      <c r="AH678" s="423">
        <f t="shared" si="39"/>
        <v>0</v>
      </c>
      <c r="AI678" s="1119"/>
      <c r="AJ678" s="1119"/>
      <c r="AK678" s="1119"/>
      <c r="AL678" s="1119"/>
      <c r="AM678" s="1119"/>
      <c r="AN678" s="1203"/>
      <c r="AO678" s="1204"/>
      <c r="AP678" s="1203"/>
      <c r="AQ678" s="1203"/>
      <c r="AR678" s="1074"/>
    </row>
    <row r="679" spans="1:44" s="4" customFormat="1">
      <c r="A679" s="1076"/>
      <c r="B679" s="1171"/>
      <c r="C679" s="1076"/>
      <c r="D679" s="1076"/>
      <c r="E679" s="1208"/>
      <c r="F679" s="1208"/>
      <c r="G679" s="1076"/>
      <c r="H679" s="1076"/>
      <c r="I679" s="1076"/>
      <c r="J679" s="1076"/>
      <c r="K679" s="1076"/>
      <c r="L679" s="1076"/>
      <c r="M679" s="1245"/>
      <c r="N679" s="1123"/>
      <c r="O679" s="1119"/>
      <c r="P679" s="1224"/>
      <c r="Q679" s="1119"/>
      <c r="R679" s="1171"/>
      <c r="S679" s="1119"/>
      <c r="T679" s="1295"/>
      <c r="U679" s="1295"/>
      <c r="V679" s="1119"/>
      <c r="W679" s="1224"/>
      <c r="X679" s="1076"/>
      <c r="Y679" s="1123" t="s">
        <v>1094</v>
      </c>
      <c r="Z679" s="386">
        <v>61992003.039999999</v>
      </c>
      <c r="AA679" s="386">
        <v>-30996001.52</v>
      </c>
      <c r="AB679" s="386">
        <f t="shared" si="42"/>
        <v>30996001.52</v>
      </c>
      <c r="AC679" s="1171">
        <v>41628</v>
      </c>
      <c r="AD679" s="423">
        <v>30996001.489999998</v>
      </c>
      <c r="AE679" s="423" t="s">
        <v>7</v>
      </c>
      <c r="AF679" s="1224"/>
      <c r="AG679" s="1224"/>
      <c r="AH679" s="423">
        <f t="shared" si="39"/>
        <v>3.0000001192092896E-2</v>
      </c>
      <c r="AI679" s="1119"/>
      <c r="AJ679" s="1119"/>
      <c r="AK679" s="1119"/>
      <c r="AL679" s="1119"/>
      <c r="AM679" s="1119"/>
      <c r="AN679" s="1203"/>
      <c r="AO679" s="1204"/>
      <c r="AP679" s="1203"/>
      <c r="AQ679" s="1203"/>
      <c r="AR679" s="1074"/>
    </row>
    <row r="680" spans="1:44" s="4" customFormat="1" ht="17.25" customHeight="1">
      <c r="A680" s="1076"/>
      <c r="B680" s="1171"/>
      <c r="C680" s="1076"/>
      <c r="D680" s="1076"/>
      <c r="E680" s="1208"/>
      <c r="F680" s="1208"/>
      <c r="G680" s="1076"/>
      <c r="H680" s="1076"/>
      <c r="I680" s="1076"/>
      <c r="J680" s="1076"/>
      <c r="K680" s="1076"/>
      <c r="L680" s="1076"/>
      <c r="M680" s="1245"/>
      <c r="N680" s="1123"/>
      <c r="O680" s="1119"/>
      <c r="P680" s="1224"/>
      <c r="Q680" s="1119"/>
      <c r="R680" s="1171"/>
      <c r="S680" s="1119"/>
      <c r="T680" s="1295"/>
      <c r="U680" s="1295"/>
      <c r="V680" s="1119"/>
      <c r="W680" s="1224"/>
      <c r="X680" s="1076"/>
      <c r="Y680" s="1123"/>
      <c r="Z680" s="386">
        <v>89511910.959999993</v>
      </c>
      <c r="AA680" s="386">
        <v>-44755955.479999997</v>
      </c>
      <c r="AB680" s="386">
        <f t="shared" si="42"/>
        <v>44755955.479999997</v>
      </c>
      <c r="AC680" s="1171"/>
      <c r="AD680" s="423">
        <v>44755955.469999999</v>
      </c>
      <c r="AE680" s="423" t="s">
        <v>7</v>
      </c>
      <c r="AF680" s="1224"/>
      <c r="AG680" s="1224"/>
      <c r="AH680" s="423">
        <f t="shared" si="39"/>
        <v>9.9999979138374329E-3</v>
      </c>
      <c r="AI680" s="1119"/>
      <c r="AJ680" s="1119"/>
      <c r="AK680" s="1119"/>
      <c r="AL680" s="1119"/>
      <c r="AM680" s="1119"/>
      <c r="AN680" s="1203"/>
      <c r="AO680" s="1204"/>
      <c r="AP680" s="1203"/>
      <c r="AQ680" s="1203"/>
      <c r="AR680" s="1074"/>
    </row>
    <row r="681" spans="1:44" s="4" customFormat="1" ht="17.25" customHeight="1">
      <c r="A681" s="1076"/>
      <c r="B681" s="1171"/>
      <c r="C681" s="1076"/>
      <c r="D681" s="1076"/>
      <c r="E681" s="1208"/>
      <c r="F681" s="1208"/>
      <c r="G681" s="1076"/>
      <c r="H681" s="1076"/>
      <c r="I681" s="1076"/>
      <c r="J681" s="1076"/>
      <c r="K681" s="1076"/>
      <c r="L681" s="1076"/>
      <c r="M681" s="1245"/>
      <c r="N681" s="1123"/>
      <c r="O681" s="1119"/>
      <c r="P681" s="1224"/>
      <c r="Q681" s="1119"/>
      <c r="R681" s="1171"/>
      <c r="S681" s="1119"/>
      <c r="T681" s="1295"/>
      <c r="U681" s="1295"/>
      <c r="V681" s="1119"/>
      <c r="W681" s="1224"/>
      <c r="X681" s="1076"/>
      <c r="Y681" s="1123" t="s">
        <v>1095</v>
      </c>
      <c r="Z681" s="386">
        <v>34361768.119999997</v>
      </c>
      <c r="AA681" s="386">
        <v>-17180884.059999999</v>
      </c>
      <c r="AB681" s="386">
        <f t="shared" si="42"/>
        <v>17180884.059999999</v>
      </c>
      <c r="AC681" s="1171">
        <v>42159</v>
      </c>
      <c r="AD681" s="423">
        <v>17180884.059999999</v>
      </c>
      <c r="AE681" s="423" t="s">
        <v>7</v>
      </c>
      <c r="AF681" s="1224"/>
      <c r="AG681" s="1224"/>
      <c r="AH681" s="423">
        <f t="shared" si="39"/>
        <v>0</v>
      </c>
      <c r="AI681" s="1119"/>
      <c r="AJ681" s="1119"/>
      <c r="AK681" s="1119"/>
      <c r="AL681" s="1119"/>
      <c r="AM681" s="1119"/>
      <c r="AN681" s="1203"/>
      <c r="AO681" s="1204"/>
      <c r="AP681" s="1203"/>
      <c r="AQ681" s="1203"/>
      <c r="AR681" s="1074"/>
    </row>
    <row r="682" spans="1:44" s="4" customFormat="1" ht="31.5">
      <c r="A682" s="1076"/>
      <c r="B682" s="1171"/>
      <c r="C682" s="1076"/>
      <c r="D682" s="1076"/>
      <c r="E682" s="1208"/>
      <c r="F682" s="1208"/>
      <c r="G682" s="1076"/>
      <c r="H682" s="1076"/>
      <c r="I682" s="1076"/>
      <c r="J682" s="1076"/>
      <c r="K682" s="1076"/>
      <c r="L682" s="1076"/>
      <c r="M682" s="1245"/>
      <c r="N682" s="1123"/>
      <c r="O682" s="1119"/>
      <c r="P682" s="1224"/>
      <c r="Q682" s="1119"/>
      <c r="R682" s="1171"/>
      <c r="S682" s="1119"/>
      <c r="T682" s="1295"/>
      <c r="U682" s="1295"/>
      <c r="V682" s="1119"/>
      <c r="W682" s="1224"/>
      <c r="X682" s="1076"/>
      <c r="Y682" s="1123"/>
      <c r="Z682" s="386">
        <v>49615875.880000003</v>
      </c>
      <c r="AA682" s="386">
        <v>-24807937.940000001</v>
      </c>
      <c r="AB682" s="386">
        <f t="shared" si="42"/>
        <v>24807937.940000001</v>
      </c>
      <c r="AC682" s="1171"/>
      <c r="AD682" s="423">
        <v>24807937.940000001</v>
      </c>
      <c r="AE682" s="423" t="s">
        <v>137</v>
      </c>
      <c r="AF682" s="1224"/>
      <c r="AG682" s="1224"/>
      <c r="AH682" s="423">
        <f t="shared" si="39"/>
        <v>0</v>
      </c>
      <c r="AI682" s="1119"/>
      <c r="AJ682" s="1119"/>
      <c r="AK682" s="1119"/>
      <c r="AL682" s="1119"/>
      <c r="AM682" s="1119"/>
      <c r="AN682" s="1203"/>
      <c r="AO682" s="1204"/>
      <c r="AP682" s="1203"/>
      <c r="AQ682" s="1203"/>
      <c r="AR682" s="1074"/>
    </row>
    <row r="683" spans="1:44" s="4" customFormat="1" ht="17.25" customHeight="1">
      <c r="A683" s="1076"/>
      <c r="B683" s="1171"/>
      <c r="C683" s="1076"/>
      <c r="D683" s="1076"/>
      <c r="E683" s="1208"/>
      <c r="F683" s="1208"/>
      <c r="G683" s="1076"/>
      <c r="H683" s="1076"/>
      <c r="I683" s="1076"/>
      <c r="J683" s="1076"/>
      <c r="K683" s="1076"/>
      <c r="L683" s="1076"/>
      <c r="M683" s="1245"/>
      <c r="N683" s="1123"/>
      <c r="O683" s="1119"/>
      <c r="P683" s="1224"/>
      <c r="Q683" s="1119"/>
      <c r="R683" s="1171"/>
      <c r="S683" s="1119"/>
      <c r="T683" s="1295"/>
      <c r="U683" s="1295"/>
      <c r="V683" s="1119"/>
      <c r="W683" s="1224"/>
      <c r="X683" s="1076"/>
      <c r="Y683" s="1123"/>
      <c r="Z683" s="386"/>
      <c r="AA683" s="386"/>
      <c r="AB683" s="386">
        <f t="shared" si="42"/>
        <v>0</v>
      </c>
      <c r="AC683" s="384"/>
      <c r="AD683" s="423"/>
      <c r="AE683" s="423"/>
      <c r="AF683" s="1224"/>
      <c r="AG683" s="1224"/>
      <c r="AH683" s="423">
        <f t="shared" si="39"/>
        <v>0</v>
      </c>
      <c r="AI683" s="1119"/>
      <c r="AJ683" s="1119"/>
      <c r="AK683" s="1119"/>
      <c r="AL683" s="1119"/>
      <c r="AM683" s="1119"/>
      <c r="AN683" s="1203"/>
      <c r="AO683" s="1204"/>
      <c r="AP683" s="1203"/>
      <c r="AQ683" s="1203"/>
      <c r="AR683" s="1074"/>
    </row>
    <row r="684" spans="1:44" s="4" customFormat="1" ht="17.25" customHeight="1">
      <c r="A684" s="1076"/>
      <c r="B684" s="1171"/>
      <c r="C684" s="1076"/>
      <c r="D684" s="1076"/>
      <c r="E684" s="1208"/>
      <c r="F684" s="1208"/>
      <c r="G684" s="1076"/>
      <c r="H684" s="1076"/>
      <c r="I684" s="1076"/>
      <c r="J684" s="1076"/>
      <c r="K684" s="1076"/>
      <c r="L684" s="1076"/>
      <c r="M684" s="1245"/>
      <c r="N684" s="1123"/>
      <c r="O684" s="1119"/>
      <c r="P684" s="1224"/>
      <c r="Q684" s="1119"/>
      <c r="R684" s="1171"/>
      <c r="S684" s="1119"/>
      <c r="T684" s="1295"/>
      <c r="U684" s="1295"/>
      <c r="V684" s="1119"/>
      <c r="W684" s="1224"/>
      <c r="X684" s="1076"/>
      <c r="Y684" s="1123"/>
      <c r="Z684" s="386"/>
      <c r="AA684" s="386"/>
      <c r="AB684" s="386">
        <f t="shared" si="42"/>
        <v>0</v>
      </c>
      <c r="AC684" s="384"/>
      <c r="AD684" s="423"/>
      <c r="AE684" s="423"/>
      <c r="AF684" s="1224"/>
      <c r="AG684" s="1224"/>
      <c r="AH684" s="423">
        <f t="shared" si="39"/>
        <v>0</v>
      </c>
      <c r="AI684" s="1119"/>
      <c r="AJ684" s="1119"/>
      <c r="AK684" s="1119"/>
      <c r="AL684" s="1119"/>
      <c r="AM684" s="1119"/>
      <c r="AN684" s="1203"/>
      <c r="AO684" s="1204"/>
      <c r="AP684" s="1203"/>
      <c r="AQ684" s="1203"/>
      <c r="AR684" s="1074"/>
    </row>
    <row r="685" spans="1:44" s="4" customFormat="1" ht="94.5">
      <c r="A685" s="1076"/>
      <c r="B685" s="1171"/>
      <c r="C685" s="1076"/>
      <c r="D685" s="1076"/>
      <c r="E685" s="1208"/>
      <c r="F685" s="1208"/>
      <c r="G685" s="1076"/>
      <c r="H685" s="1076"/>
      <c r="I685" s="1076"/>
      <c r="J685" s="1076"/>
      <c r="K685" s="1076"/>
      <c r="L685" s="1076"/>
      <c r="M685" s="1245">
        <v>1</v>
      </c>
      <c r="N685" s="1123" t="s">
        <v>150</v>
      </c>
      <c r="O685" s="1119">
        <v>56000000</v>
      </c>
      <c r="P685" s="1119">
        <f>O685</f>
        <v>56000000</v>
      </c>
      <c r="Q685" s="1119"/>
      <c r="R685" s="1171">
        <v>40637</v>
      </c>
      <c r="S685" s="1295">
        <v>56000000</v>
      </c>
      <c r="T685" s="1295">
        <v>56000000</v>
      </c>
      <c r="U685" s="1295">
        <f>O685-T685</f>
        <v>0</v>
      </c>
      <c r="V685" s="1119">
        <v>56000000</v>
      </c>
      <c r="W685" s="1224"/>
      <c r="X685" s="1076"/>
      <c r="Y685" s="372" t="s">
        <v>1090</v>
      </c>
      <c r="Z685" s="386">
        <v>0</v>
      </c>
      <c r="AA685" s="386">
        <v>28000000</v>
      </c>
      <c r="AB685" s="386">
        <f t="shared" si="42"/>
        <v>28000000</v>
      </c>
      <c r="AC685" s="384"/>
      <c r="AD685" s="423">
        <v>0</v>
      </c>
      <c r="AE685" s="423"/>
      <c r="AF685" s="1119">
        <f>SUM(AD685:AD686)</f>
        <v>0</v>
      </c>
      <c r="AG685" s="1224"/>
      <c r="AH685" s="423">
        <f t="shared" si="39"/>
        <v>28000000</v>
      </c>
      <c r="AI685" s="1119">
        <f>O685-SUM(AH685:AH686)</f>
        <v>28000000</v>
      </c>
      <c r="AJ685" s="1119">
        <f>SUM(Z685:Z686)-SUM(AD685:AD686)</f>
        <v>0</v>
      </c>
      <c r="AK685" s="1119">
        <f>O685-V685</f>
        <v>0</v>
      </c>
      <c r="AL685" s="1119">
        <f>V685-SUM(Z685:Z686)</f>
        <v>56000000</v>
      </c>
      <c r="AM685" s="1119"/>
      <c r="AN685" s="1203"/>
      <c r="AO685" s="1204"/>
      <c r="AP685" s="1203"/>
      <c r="AQ685" s="1203"/>
      <c r="AR685" s="1074"/>
    </row>
    <row r="686" spans="1:44">
      <c r="A686" s="1076"/>
      <c r="B686" s="1171"/>
      <c r="C686" s="1076"/>
      <c r="D686" s="1076"/>
      <c r="E686" s="1208"/>
      <c r="F686" s="1208"/>
      <c r="G686" s="1076"/>
      <c r="H686" s="1076"/>
      <c r="I686" s="1076"/>
      <c r="J686" s="1076"/>
      <c r="K686" s="1076"/>
      <c r="L686" s="1076"/>
      <c r="M686" s="1245"/>
      <c r="N686" s="1123"/>
      <c r="O686" s="1119"/>
      <c r="P686" s="1119"/>
      <c r="Q686" s="1119"/>
      <c r="R686" s="1171"/>
      <c r="S686" s="1295"/>
      <c r="T686" s="1295"/>
      <c r="U686" s="1295"/>
      <c r="V686" s="1119"/>
      <c r="W686" s="1224"/>
      <c r="X686" s="1076"/>
      <c r="Y686" s="372"/>
      <c r="Z686" s="386"/>
      <c r="AA686" s="386"/>
      <c r="AB686" s="386">
        <f t="shared" si="42"/>
        <v>0</v>
      </c>
      <c r="AC686" s="384"/>
      <c r="AD686" s="423"/>
      <c r="AE686" s="423"/>
      <c r="AF686" s="1119"/>
      <c r="AG686" s="1224"/>
      <c r="AH686" s="423">
        <f t="shared" si="39"/>
        <v>0</v>
      </c>
      <c r="AI686" s="1119"/>
      <c r="AJ686" s="1119"/>
      <c r="AK686" s="1119"/>
      <c r="AL686" s="1119"/>
      <c r="AM686" s="1119"/>
      <c r="AN686" s="1203"/>
      <c r="AO686" s="1204"/>
      <c r="AP686" s="1203"/>
      <c r="AQ686" s="1203"/>
      <c r="AR686" s="1074"/>
    </row>
    <row r="687" spans="1:44" ht="63">
      <c r="A687" s="1011" t="s">
        <v>1056</v>
      </c>
      <c r="B687" s="1068">
        <v>40630</v>
      </c>
      <c r="C687" s="1011" t="s">
        <v>45</v>
      </c>
      <c r="D687" s="1011" t="s">
        <v>1057</v>
      </c>
      <c r="E687" s="1097">
        <v>900423055</v>
      </c>
      <c r="F687" s="1097">
        <v>5</v>
      </c>
      <c r="G687" s="1011" t="s">
        <v>1058</v>
      </c>
      <c r="H687" s="1011" t="s">
        <v>71</v>
      </c>
      <c r="I687" s="1011" t="s">
        <v>692</v>
      </c>
      <c r="J687" s="1011" t="s">
        <v>66</v>
      </c>
      <c r="K687" s="1011" t="s">
        <v>183</v>
      </c>
      <c r="L687" s="1011" t="s">
        <v>1065</v>
      </c>
      <c r="M687" s="1220">
        <v>129</v>
      </c>
      <c r="N687" s="1065" t="s">
        <v>7</v>
      </c>
      <c r="O687" s="1062">
        <v>443302491</v>
      </c>
      <c r="P687" s="1062">
        <v>443302491</v>
      </c>
      <c r="Q687" s="1062">
        <f>P687+P692</f>
        <v>660104402</v>
      </c>
      <c r="R687" s="1068">
        <v>40637</v>
      </c>
      <c r="S687" s="1092">
        <v>443238328</v>
      </c>
      <c r="T687" s="1092">
        <v>443238328</v>
      </c>
      <c r="U687" s="1092">
        <f>O687-T687</f>
        <v>64163</v>
      </c>
      <c r="V687" s="1062">
        <v>443238328</v>
      </c>
      <c r="W687" s="1062">
        <f>V687+V692</f>
        <v>660040239</v>
      </c>
      <c r="X687" s="1011" t="s">
        <v>1006</v>
      </c>
      <c r="Y687" s="372" t="s">
        <v>1059</v>
      </c>
      <c r="Z687" s="386">
        <v>0</v>
      </c>
      <c r="AA687" s="386">
        <v>221619164</v>
      </c>
      <c r="AB687" s="386">
        <f t="shared" si="42"/>
        <v>221619164</v>
      </c>
      <c r="AC687" s="384">
        <v>40667</v>
      </c>
      <c r="AD687" s="395">
        <v>221619164</v>
      </c>
      <c r="AE687" s="395" t="s">
        <v>7</v>
      </c>
      <c r="AF687" s="1043">
        <f>SUM(AD687:AD691)</f>
        <v>443238328</v>
      </c>
      <c r="AG687" s="1043">
        <f>AF687+AF692</f>
        <v>659970837</v>
      </c>
      <c r="AH687" s="358">
        <f t="shared" si="39"/>
        <v>0</v>
      </c>
      <c r="AI687" s="1043">
        <f>S687-SUM(AD687:AD691)</f>
        <v>0</v>
      </c>
      <c r="AJ687" s="1062">
        <f>SUM(Z687:Z693)-SUM(AD687:AD693)</f>
        <v>-1</v>
      </c>
      <c r="AK687" s="1062">
        <f>S687-V687</f>
        <v>0</v>
      </c>
      <c r="AL687" s="1062">
        <f>V687-SUM(Z687:Z691)</f>
        <v>0</v>
      </c>
      <c r="AM687" s="1062">
        <f>AK687+AL687</f>
        <v>0</v>
      </c>
      <c r="AN687" s="1108" t="s">
        <v>1060</v>
      </c>
      <c r="AO687" s="1103" t="s">
        <v>1067</v>
      </c>
      <c r="AP687" s="1103" t="s">
        <v>194</v>
      </c>
      <c r="AQ687" s="1103" t="s">
        <v>558</v>
      </c>
    </row>
    <row r="688" spans="1:44" ht="47.25">
      <c r="A688" s="1033"/>
      <c r="B688" s="1069"/>
      <c r="C688" s="1033"/>
      <c r="D688" s="1033"/>
      <c r="E688" s="1098"/>
      <c r="F688" s="1098"/>
      <c r="G688" s="1033"/>
      <c r="H688" s="1033"/>
      <c r="I688" s="1033"/>
      <c r="J688" s="1033"/>
      <c r="K688" s="1033"/>
      <c r="L688" s="1033"/>
      <c r="M688" s="1221"/>
      <c r="N688" s="1066"/>
      <c r="O688" s="1063"/>
      <c r="P688" s="1063"/>
      <c r="Q688" s="1063"/>
      <c r="R688" s="1069"/>
      <c r="S688" s="1093"/>
      <c r="T688" s="1093"/>
      <c r="U688" s="1093"/>
      <c r="V688" s="1063"/>
      <c r="W688" s="1063"/>
      <c r="X688" s="1033"/>
      <c r="Y688" s="372" t="s">
        <v>1062</v>
      </c>
      <c r="Z688" s="386">
        <v>156294980</v>
      </c>
      <c r="AA688" s="386">
        <v>-77669524</v>
      </c>
      <c r="AB688" s="386">
        <f t="shared" si="42"/>
        <v>78625456</v>
      </c>
      <c r="AC688" s="384">
        <v>40807</v>
      </c>
      <c r="AD688" s="395">
        <v>78625457</v>
      </c>
      <c r="AE688" s="395" t="s">
        <v>7</v>
      </c>
      <c r="AF688" s="1044"/>
      <c r="AG688" s="1044"/>
      <c r="AH688" s="358">
        <f t="shared" si="39"/>
        <v>-1</v>
      </c>
      <c r="AI688" s="1044"/>
      <c r="AJ688" s="1063"/>
      <c r="AK688" s="1063"/>
      <c r="AL688" s="1063"/>
      <c r="AM688" s="1063"/>
      <c r="AN688" s="1109"/>
      <c r="AO688" s="1104"/>
      <c r="AP688" s="1104"/>
      <c r="AQ688" s="1104"/>
    </row>
    <row r="689" spans="1:43" ht="47.25">
      <c r="A689" s="1033"/>
      <c r="B689" s="1069"/>
      <c r="C689" s="1033"/>
      <c r="D689" s="1033"/>
      <c r="E689" s="1098"/>
      <c r="F689" s="1098"/>
      <c r="G689" s="1033"/>
      <c r="H689" s="1033"/>
      <c r="I689" s="1033"/>
      <c r="J689" s="1033"/>
      <c r="K689" s="1033"/>
      <c r="L689" s="1033"/>
      <c r="M689" s="1221"/>
      <c r="N689" s="1066"/>
      <c r="O689" s="1063"/>
      <c r="P689" s="1063"/>
      <c r="Q689" s="1063"/>
      <c r="R689" s="1069"/>
      <c r="S689" s="1093"/>
      <c r="T689" s="1093"/>
      <c r="U689" s="1093"/>
      <c r="V689" s="1063"/>
      <c r="W689" s="1063"/>
      <c r="X689" s="1033"/>
      <c r="Y689" s="372" t="s">
        <v>1063</v>
      </c>
      <c r="Z689" s="386">
        <v>205895475</v>
      </c>
      <c r="AA689" s="386">
        <v>-102318088</v>
      </c>
      <c r="AB689" s="386">
        <f t="shared" si="42"/>
        <v>103577387</v>
      </c>
      <c r="AC689" s="384">
        <v>40871</v>
      </c>
      <c r="AD689" s="395">
        <v>103577387</v>
      </c>
      <c r="AE689" s="395" t="s">
        <v>7</v>
      </c>
      <c r="AF689" s="1044"/>
      <c r="AG689" s="1044"/>
      <c r="AH689" s="358">
        <f t="shared" si="39"/>
        <v>0</v>
      </c>
      <c r="AI689" s="1044"/>
      <c r="AJ689" s="1063"/>
      <c r="AK689" s="1063"/>
      <c r="AL689" s="1063"/>
      <c r="AM689" s="1063"/>
      <c r="AN689" s="1109"/>
      <c r="AO689" s="1104"/>
      <c r="AP689" s="1104"/>
      <c r="AQ689" s="1104"/>
    </row>
    <row r="690" spans="1:43" ht="78.75">
      <c r="A690" s="1033"/>
      <c r="B690" s="1069"/>
      <c r="C690" s="1033"/>
      <c r="D690" s="1033"/>
      <c r="E690" s="1098"/>
      <c r="F690" s="1098"/>
      <c r="G690" s="1033"/>
      <c r="H690" s="1033"/>
      <c r="I690" s="1033"/>
      <c r="J690" s="1033"/>
      <c r="K690" s="1033"/>
      <c r="L690" s="1033"/>
      <c r="M690" s="1221"/>
      <c r="N690" s="1066"/>
      <c r="O690" s="1063"/>
      <c r="P690" s="1063"/>
      <c r="Q690" s="1063"/>
      <c r="R690" s="1069"/>
      <c r="S690" s="1093"/>
      <c r="T690" s="1093"/>
      <c r="U690" s="1093"/>
      <c r="V690" s="1063"/>
      <c r="W690" s="1063"/>
      <c r="X690" s="1033"/>
      <c r="Y690" s="372" t="s">
        <v>1064</v>
      </c>
      <c r="Z690" s="386">
        <v>69463669</v>
      </c>
      <c r="AA690" s="386">
        <v>-34519407</v>
      </c>
      <c r="AB690" s="386">
        <f t="shared" si="42"/>
        <v>34944262</v>
      </c>
      <c r="AC690" s="384">
        <v>41169</v>
      </c>
      <c r="AD690" s="395">
        <v>34944262</v>
      </c>
      <c r="AE690" s="395" t="s">
        <v>7</v>
      </c>
      <c r="AF690" s="1044"/>
      <c r="AG690" s="1044"/>
      <c r="AH690" s="358">
        <f t="shared" si="39"/>
        <v>0</v>
      </c>
      <c r="AI690" s="1044"/>
      <c r="AJ690" s="1063"/>
      <c r="AK690" s="1063"/>
      <c r="AL690" s="1063"/>
      <c r="AM690" s="1063"/>
      <c r="AN690" s="1109"/>
      <c r="AO690" s="1104"/>
      <c r="AP690" s="1104"/>
      <c r="AQ690" s="1104"/>
    </row>
    <row r="691" spans="1:43" ht="78.75">
      <c r="A691" s="1033"/>
      <c r="B691" s="1069"/>
      <c r="C691" s="1033"/>
      <c r="D691" s="1033"/>
      <c r="E691" s="1098"/>
      <c r="F691" s="1098"/>
      <c r="G691" s="1033"/>
      <c r="H691" s="1033"/>
      <c r="I691" s="1033"/>
      <c r="J691" s="1012"/>
      <c r="K691" s="1033"/>
      <c r="L691" s="1033"/>
      <c r="M691" s="1222"/>
      <c r="N691" s="1067"/>
      <c r="O691" s="1064"/>
      <c r="P691" s="1064"/>
      <c r="Q691" s="1063"/>
      <c r="R691" s="1070"/>
      <c r="S691" s="1094"/>
      <c r="T691" s="1094"/>
      <c r="U691" s="1094"/>
      <c r="V691" s="1064"/>
      <c r="W691" s="1063"/>
      <c r="X691" s="1033"/>
      <c r="Y691" s="372" t="s">
        <v>1066</v>
      </c>
      <c r="Z691" s="386">
        <v>11584204</v>
      </c>
      <c r="AA691" s="386">
        <v>-7112145</v>
      </c>
      <c r="AB691" s="386">
        <f t="shared" si="42"/>
        <v>4472059</v>
      </c>
      <c r="AC691" s="384">
        <v>41212</v>
      </c>
      <c r="AD691" s="395">
        <v>4472058</v>
      </c>
      <c r="AE691" s="395" t="s">
        <v>7</v>
      </c>
      <c r="AF691" s="1045"/>
      <c r="AG691" s="1044"/>
      <c r="AH691" s="358">
        <f t="shared" si="39"/>
        <v>1</v>
      </c>
      <c r="AI691" s="1045"/>
      <c r="AJ691" s="1063"/>
      <c r="AK691" s="1064"/>
      <c r="AL691" s="1064"/>
      <c r="AM691" s="1064"/>
      <c r="AN691" s="1109"/>
      <c r="AO691" s="1104"/>
      <c r="AP691" s="1104"/>
      <c r="AQ691" s="1104"/>
    </row>
    <row r="692" spans="1:43" ht="78.75">
      <c r="A692" s="1033"/>
      <c r="B692" s="1069"/>
      <c r="C692" s="1033"/>
      <c r="D692" s="1033"/>
      <c r="E692" s="1098"/>
      <c r="F692" s="1098"/>
      <c r="G692" s="1033"/>
      <c r="H692" s="1033"/>
      <c r="I692" s="1033"/>
      <c r="J692" s="1076" t="s">
        <v>67</v>
      </c>
      <c r="K692" s="1033"/>
      <c r="L692" s="1033"/>
      <c r="M692" s="1220">
        <v>243</v>
      </c>
      <c r="N692" s="1065" t="s">
        <v>7</v>
      </c>
      <c r="O692" s="1062">
        <v>216801911</v>
      </c>
      <c r="P692" s="1062">
        <v>216801911</v>
      </c>
      <c r="Q692" s="1063"/>
      <c r="R692" s="1068">
        <v>41081</v>
      </c>
      <c r="S692" s="1092">
        <v>216801911</v>
      </c>
      <c r="T692" s="1062">
        <v>216801911</v>
      </c>
      <c r="U692" s="1062">
        <f>O692-T692</f>
        <v>0</v>
      </c>
      <c r="V692" s="1062">
        <v>216801911</v>
      </c>
      <c r="W692" s="1063"/>
      <c r="X692" s="1033"/>
      <c r="Y692" s="372" t="s">
        <v>1066</v>
      </c>
      <c r="Z692" s="386">
        <v>121947440</v>
      </c>
      <c r="AA692" s="386">
        <v>0</v>
      </c>
      <c r="AB692" s="386">
        <f t="shared" si="42"/>
        <v>121947440</v>
      </c>
      <c r="AC692" s="384">
        <v>41211</v>
      </c>
      <c r="AD692" s="395">
        <v>121947441</v>
      </c>
      <c r="AE692" s="395" t="s">
        <v>7</v>
      </c>
      <c r="AF692" s="1043">
        <f>SUM(AD692:AD693)</f>
        <v>216732509</v>
      </c>
      <c r="AG692" s="1044"/>
      <c r="AH692" s="358">
        <f t="shared" si="39"/>
        <v>-1</v>
      </c>
      <c r="AI692" s="1043">
        <f>O692-SUM(AD692:AD693)</f>
        <v>69402</v>
      </c>
      <c r="AJ692" s="1063"/>
      <c r="AK692" s="1062">
        <f>P692-V692</f>
        <v>0</v>
      </c>
      <c r="AL692" s="1062">
        <f>V692-SUM(Z692:Z693)+AJ687</f>
        <v>69402</v>
      </c>
      <c r="AM692" s="1062">
        <f>AK692+AL692</f>
        <v>69402</v>
      </c>
      <c r="AN692" s="1109"/>
      <c r="AO692" s="1104"/>
      <c r="AP692" s="1104"/>
      <c r="AQ692" s="1104"/>
    </row>
    <row r="693" spans="1:43" ht="63">
      <c r="A693" s="1033"/>
      <c r="B693" s="1069"/>
      <c r="C693" s="1033"/>
      <c r="D693" s="1033"/>
      <c r="E693" s="1098"/>
      <c r="F693" s="1098"/>
      <c r="G693" s="1033"/>
      <c r="H693" s="1033"/>
      <c r="I693" s="1033"/>
      <c r="J693" s="1076"/>
      <c r="K693" s="1033"/>
      <c r="L693" s="1033"/>
      <c r="M693" s="1221"/>
      <c r="N693" s="1066"/>
      <c r="O693" s="1063"/>
      <c r="P693" s="1063"/>
      <c r="Q693" s="1063"/>
      <c r="R693" s="1069"/>
      <c r="S693" s="1093"/>
      <c r="T693" s="1063"/>
      <c r="U693" s="1063"/>
      <c r="V693" s="1063"/>
      <c r="W693" s="1063"/>
      <c r="X693" s="1033"/>
      <c r="Y693" s="372" t="s">
        <v>1061</v>
      </c>
      <c r="Z693" s="386">
        <v>94785068</v>
      </c>
      <c r="AA693" s="386">
        <v>0</v>
      </c>
      <c r="AB693" s="386">
        <f t="shared" si="42"/>
        <v>94785068</v>
      </c>
      <c r="AC693" s="384">
        <v>41568</v>
      </c>
      <c r="AD693" s="395">
        <v>94785068</v>
      </c>
      <c r="AE693" s="395" t="s">
        <v>7</v>
      </c>
      <c r="AF693" s="1044"/>
      <c r="AG693" s="1044"/>
      <c r="AH693" s="358">
        <f t="shared" si="39"/>
        <v>0</v>
      </c>
      <c r="AI693" s="1044"/>
      <c r="AJ693" s="1063"/>
      <c r="AK693" s="1063"/>
      <c r="AL693" s="1063"/>
      <c r="AM693" s="1063"/>
      <c r="AN693" s="1109"/>
      <c r="AO693" s="1104"/>
      <c r="AP693" s="1104"/>
      <c r="AQ693" s="1104"/>
    </row>
    <row r="694" spans="1:43" ht="31.5">
      <c r="A694" s="1011" t="s">
        <v>2130</v>
      </c>
      <c r="B694" s="1068">
        <v>40644</v>
      </c>
      <c r="C694" s="1011" t="s">
        <v>5</v>
      </c>
      <c r="D694" s="1011" t="s">
        <v>2129</v>
      </c>
      <c r="E694" s="1071">
        <v>94527133</v>
      </c>
      <c r="F694" s="1071"/>
      <c r="G694" s="1011" t="s">
        <v>2128</v>
      </c>
      <c r="H694" s="1011" t="s">
        <v>70</v>
      </c>
      <c r="I694" s="1011" t="s">
        <v>206</v>
      </c>
      <c r="J694" s="1011" t="s">
        <v>66</v>
      </c>
      <c r="K694" s="1011" t="s">
        <v>48</v>
      </c>
      <c r="L694" s="1011" t="s">
        <v>2127</v>
      </c>
      <c r="M694" s="1009">
        <v>126</v>
      </c>
      <c r="N694" s="1065" t="s">
        <v>137</v>
      </c>
      <c r="O694" s="1062">
        <v>77596069</v>
      </c>
      <c r="P694" s="1062">
        <v>77596069</v>
      </c>
      <c r="Q694" s="1062">
        <v>77596069</v>
      </c>
      <c r="R694" s="1068">
        <v>40637</v>
      </c>
      <c r="S694" s="1092">
        <f>T694</f>
        <v>77596069</v>
      </c>
      <c r="T694" s="1092">
        <v>77596069</v>
      </c>
      <c r="U694" s="1092">
        <f>P694-T694</f>
        <v>0</v>
      </c>
      <c r="V694" s="1043">
        <v>77500000</v>
      </c>
      <c r="W694" s="1043">
        <v>77500000</v>
      </c>
      <c r="X694" s="1011" t="s">
        <v>2126</v>
      </c>
      <c r="Y694" s="372" t="s">
        <v>2125</v>
      </c>
      <c r="Z694" s="386">
        <v>0</v>
      </c>
      <c r="AA694" s="386">
        <v>31000000</v>
      </c>
      <c r="AB694" s="386">
        <f>Z694+AA694</f>
        <v>31000000</v>
      </c>
      <c r="AC694" s="384">
        <v>40666</v>
      </c>
      <c r="AD694" s="395">
        <v>31000000</v>
      </c>
      <c r="AE694" s="371" t="s">
        <v>137</v>
      </c>
      <c r="AF694" s="1043">
        <f>SUM(AD694:AD697)</f>
        <v>72850000</v>
      </c>
      <c r="AG694" s="1043">
        <f>AF694</f>
        <v>72850000</v>
      </c>
      <c r="AH694" s="358">
        <f>AB694-AD694</f>
        <v>0</v>
      </c>
      <c r="AI694" s="1043">
        <f>P694-AF694</f>
        <v>4746069</v>
      </c>
      <c r="AJ694" s="1062">
        <f>SUM(Z694:Z697)-SUM(AD694:AD697)</f>
        <v>-3100000</v>
      </c>
      <c r="AK694" s="1062">
        <f>P694-V694</f>
        <v>96069</v>
      </c>
      <c r="AL694" s="1062">
        <f>V694-SUM(Z694:Z697)+AJ694</f>
        <v>4650000</v>
      </c>
      <c r="AM694" s="1062"/>
      <c r="AN694" s="1108" t="s">
        <v>2124</v>
      </c>
      <c r="AO694" s="1103" t="s">
        <v>2123</v>
      </c>
      <c r="AP694" s="1103" t="s">
        <v>194</v>
      </c>
      <c r="AQ694" s="1103" t="s">
        <v>1911</v>
      </c>
    </row>
    <row r="695" spans="1:43" ht="31.5">
      <c r="A695" s="1033"/>
      <c r="B695" s="1069"/>
      <c r="C695" s="1033"/>
      <c r="D695" s="1033"/>
      <c r="E695" s="1072"/>
      <c r="F695" s="1072"/>
      <c r="G695" s="1033"/>
      <c r="H695" s="1033"/>
      <c r="I695" s="1033"/>
      <c r="J695" s="1033"/>
      <c r="K695" s="1033"/>
      <c r="L695" s="1033"/>
      <c r="M695" s="1039"/>
      <c r="N695" s="1066"/>
      <c r="O695" s="1063"/>
      <c r="P695" s="1063"/>
      <c r="Q695" s="1063"/>
      <c r="R695" s="1069"/>
      <c r="S695" s="1093"/>
      <c r="T695" s="1093"/>
      <c r="U695" s="1093"/>
      <c r="V695" s="1044"/>
      <c r="W695" s="1044"/>
      <c r="X695" s="1033"/>
      <c r="Y695" s="372" t="s">
        <v>2122</v>
      </c>
      <c r="Z695" s="386">
        <v>38750000</v>
      </c>
      <c r="AA695" s="386">
        <v>-15500000</v>
      </c>
      <c r="AB695" s="386">
        <f>Z695+AA695</f>
        <v>23250000</v>
      </c>
      <c r="AC695" s="384">
        <v>40809</v>
      </c>
      <c r="AD695" s="395">
        <v>23250000</v>
      </c>
      <c r="AE695" s="371" t="s">
        <v>137</v>
      </c>
      <c r="AF695" s="1044"/>
      <c r="AG695" s="1044"/>
      <c r="AH695" s="358">
        <f>AB695-AD695</f>
        <v>0</v>
      </c>
      <c r="AI695" s="1044"/>
      <c r="AJ695" s="1063"/>
      <c r="AK695" s="1063"/>
      <c r="AL695" s="1063"/>
      <c r="AM695" s="1063"/>
      <c r="AN695" s="1109"/>
      <c r="AO695" s="1104"/>
      <c r="AP695" s="1104"/>
      <c r="AQ695" s="1104"/>
    </row>
    <row r="696" spans="1:43" ht="31.5">
      <c r="A696" s="1033"/>
      <c r="B696" s="1069"/>
      <c r="C696" s="1033"/>
      <c r="D696" s="1033"/>
      <c r="E696" s="1072"/>
      <c r="F696" s="1072"/>
      <c r="G696" s="1033"/>
      <c r="H696" s="1033"/>
      <c r="I696" s="1033"/>
      <c r="J696" s="1033"/>
      <c r="K696" s="1033"/>
      <c r="L696" s="1033"/>
      <c r="M696" s="1039"/>
      <c r="N696" s="1066"/>
      <c r="O696" s="1063"/>
      <c r="P696" s="1063"/>
      <c r="Q696" s="1063"/>
      <c r="R696" s="1069"/>
      <c r="S696" s="1093"/>
      <c r="T696" s="1093"/>
      <c r="U696" s="1093"/>
      <c r="V696" s="1044"/>
      <c r="W696" s="1044"/>
      <c r="X696" s="1033"/>
      <c r="Y696" s="372" t="s">
        <v>2121</v>
      </c>
      <c r="Z696" s="386">
        <v>31000000</v>
      </c>
      <c r="AA696" s="386">
        <v>-12400000</v>
      </c>
      <c r="AB696" s="386">
        <f>Z696+AA696</f>
        <v>18600000</v>
      </c>
      <c r="AC696" s="384">
        <v>43013</v>
      </c>
      <c r="AD696" s="395">
        <v>18600000</v>
      </c>
      <c r="AE696" s="371" t="s">
        <v>137</v>
      </c>
      <c r="AF696" s="1044"/>
      <c r="AG696" s="1044"/>
      <c r="AH696" s="358">
        <f>AB696-AD696</f>
        <v>0</v>
      </c>
      <c r="AI696" s="1044"/>
      <c r="AJ696" s="1063"/>
      <c r="AK696" s="1063"/>
      <c r="AL696" s="1063"/>
      <c r="AM696" s="1063"/>
      <c r="AN696" s="1109"/>
      <c r="AO696" s="1104"/>
      <c r="AP696" s="1104"/>
      <c r="AQ696" s="1104"/>
    </row>
    <row r="697" spans="1:43">
      <c r="A697" s="1012"/>
      <c r="B697" s="1070"/>
      <c r="C697" s="1012"/>
      <c r="D697" s="1012"/>
      <c r="E697" s="1073"/>
      <c r="F697" s="1073"/>
      <c r="G697" s="1012"/>
      <c r="H697" s="1012"/>
      <c r="I697" s="1012"/>
      <c r="J697" s="1012"/>
      <c r="K697" s="1012"/>
      <c r="L697" s="1012"/>
      <c r="M697" s="1010"/>
      <c r="N697" s="1067"/>
      <c r="O697" s="1064"/>
      <c r="P697" s="1064"/>
      <c r="Q697" s="1064"/>
      <c r="R697" s="1070"/>
      <c r="S697" s="1094"/>
      <c r="T697" s="1094"/>
      <c r="U697" s="1094"/>
      <c r="V697" s="1045"/>
      <c r="W697" s="1045"/>
      <c r="X697" s="1012"/>
      <c r="Y697" s="372"/>
      <c r="Z697" s="386"/>
      <c r="AA697" s="386"/>
      <c r="AB697" s="386">
        <f>Z697+AA697</f>
        <v>0</v>
      </c>
      <c r="AC697" s="384"/>
      <c r="AD697" s="395"/>
      <c r="AE697" s="371"/>
      <c r="AF697" s="1045"/>
      <c r="AG697" s="1045"/>
      <c r="AH697" s="358">
        <f>AB697-AD697</f>
        <v>0</v>
      </c>
      <c r="AI697" s="1045"/>
      <c r="AJ697" s="1064"/>
      <c r="AK697" s="1064"/>
      <c r="AL697" s="1064"/>
      <c r="AM697" s="1064"/>
      <c r="AN697" s="1110"/>
      <c r="AO697" s="1105"/>
      <c r="AP697" s="1105"/>
      <c r="AQ697" s="1105"/>
    </row>
    <row r="698" spans="1:43" ht="61.5" customHeight="1">
      <c r="A698" s="1011" t="s">
        <v>1024</v>
      </c>
      <c r="B698" s="1068">
        <v>40638</v>
      </c>
      <c r="C698" s="1011" t="s">
        <v>41</v>
      </c>
      <c r="D698" s="1011" t="s">
        <v>671</v>
      </c>
      <c r="E698" s="1097">
        <v>10523123</v>
      </c>
      <c r="F698" s="1097"/>
      <c r="G698" s="1011" t="s">
        <v>1025</v>
      </c>
      <c r="H698" s="1011" t="s">
        <v>70</v>
      </c>
      <c r="I698" s="1011" t="s">
        <v>177</v>
      </c>
      <c r="J698" s="1011" t="s">
        <v>66</v>
      </c>
      <c r="K698" s="1011" t="s">
        <v>250</v>
      </c>
      <c r="L698" s="1011" t="s">
        <v>1030</v>
      </c>
      <c r="M698" s="1220">
        <v>136</v>
      </c>
      <c r="N698" s="1065" t="s">
        <v>7</v>
      </c>
      <c r="O698" s="1062">
        <v>13429826</v>
      </c>
      <c r="P698" s="1062">
        <v>13429826</v>
      </c>
      <c r="Q698" s="1062">
        <v>13429826</v>
      </c>
      <c r="R698" s="1068">
        <v>40637</v>
      </c>
      <c r="S698" s="1092">
        <v>13429826</v>
      </c>
      <c r="T698" s="1092">
        <v>13429826</v>
      </c>
      <c r="U698" s="1062">
        <f>O698-T698</f>
        <v>0</v>
      </c>
      <c r="V698" s="1062">
        <v>13305000</v>
      </c>
      <c r="W698" s="1062">
        <v>13305000</v>
      </c>
      <c r="X698" s="1011" t="s">
        <v>1026</v>
      </c>
      <c r="Y698" s="372" t="s">
        <v>1027</v>
      </c>
      <c r="Z698" s="386">
        <v>0</v>
      </c>
      <c r="AA698" s="386">
        <v>5322000</v>
      </c>
      <c r="AB698" s="386">
        <f t="shared" si="42"/>
        <v>5322000</v>
      </c>
      <c r="AC698" s="384">
        <v>40672</v>
      </c>
      <c r="AD698" s="395">
        <v>5322000</v>
      </c>
      <c r="AE698" s="395" t="s">
        <v>7</v>
      </c>
      <c r="AF698" s="1043">
        <f>SUM(AD698:AD699)</f>
        <v>11841450</v>
      </c>
      <c r="AG698" s="1043">
        <f>AF698</f>
        <v>11841450</v>
      </c>
      <c r="AH698" s="358">
        <f t="shared" si="39"/>
        <v>0</v>
      </c>
      <c r="AI698" s="1043">
        <f>O698-SUM(AD698:AD699)</f>
        <v>1588376</v>
      </c>
      <c r="AJ698" s="1062">
        <f>SUM(Z698:Z699)-SUM(AD698:AD699)</f>
        <v>0</v>
      </c>
      <c r="AK698" s="1062">
        <f>P698-V698</f>
        <v>124826</v>
      </c>
      <c r="AL698" s="1062">
        <f>V698-SUM(Z698:Z699)</f>
        <v>1463550</v>
      </c>
      <c r="AM698" s="1062">
        <f>AK698+AL698</f>
        <v>1588376</v>
      </c>
      <c r="AN698" s="1103" t="s">
        <v>1028</v>
      </c>
      <c r="AO698" s="1103" t="s">
        <v>1031</v>
      </c>
      <c r="AP698" s="1103" t="s">
        <v>194</v>
      </c>
      <c r="AQ698" s="1103" t="s">
        <v>558</v>
      </c>
    </row>
    <row r="699" spans="1:43" ht="66" customHeight="1">
      <c r="A699" s="1033"/>
      <c r="B699" s="1069"/>
      <c r="C699" s="1033"/>
      <c r="D699" s="1033"/>
      <c r="E699" s="1098"/>
      <c r="F699" s="1098"/>
      <c r="G699" s="1033"/>
      <c r="H699" s="1033"/>
      <c r="I699" s="1033"/>
      <c r="J699" s="1033"/>
      <c r="K699" s="1033"/>
      <c r="L699" s="1033"/>
      <c r="M699" s="1221"/>
      <c r="N699" s="1066"/>
      <c r="O699" s="1063"/>
      <c r="P699" s="1063"/>
      <c r="Q699" s="1063"/>
      <c r="R699" s="1069"/>
      <c r="S699" s="1093"/>
      <c r="T699" s="1093"/>
      <c r="U699" s="1063"/>
      <c r="V699" s="1063"/>
      <c r="W699" s="1063"/>
      <c r="X699" s="1033"/>
      <c r="Y699" s="372" t="s">
        <v>1029</v>
      </c>
      <c r="Z699" s="386">
        <v>11841450</v>
      </c>
      <c r="AA699" s="386">
        <v>-5322000</v>
      </c>
      <c r="AB699" s="386">
        <f t="shared" si="42"/>
        <v>6519450</v>
      </c>
      <c r="AC699" s="384">
        <v>41271</v>
      </c>
      <c r="AD699" s="395">
        <v>6519450</v>
      </c>
      <c r="AE699" s="395" t="s">
        <v>7</v>
      </c>
      <c r="AF699" s="1044"/>
      <c r="AG699" s="1044"/>
      <c r="AH699" s="358">
        <f t="shared" si="39"/>
        <v>0</v>
      </c>
      <c r="AI699" s="1044"/>
      <c r="AJ699" s="1063"/>
      <c r="AK699" s="1063"/>
      <c r="AL699" s="1063"/>
      <c r="AM699" s="1063"/>
      <c r="AN699" s="1104"/>
      <c r="AO699" s="1104"/>
      <c r="AP699" s="1104"/>
      <c r="AQ699" s="1104"/>
    </row>
    <row r="700" spans="1:43" ht="58.5" customHeight="1">
      <c r="A700" s="1011" t="s">
        <v>1032</v>
      </c>
      <c r="B700" s="1068">
        <v>40638</v>
      </c>
      <c r="C700" s="1011" t="s">
        <v>41</v>
      </c>
      <c r="D700" s="1011" t="s">
        <v>1033</v>
      </c>
      <c r="E700" s="1097">
        <v>76315256</v>
      </c>
      <c r="F700" s="1097"/>
      <c r="G700" s="1011" t="s">
        <v>1034</v>
      </c>
      <c r="H700" s="1011" t="s">
        <v>70</v>
      </c>
      <c r="I700" s="1011" t="s">
        <v>177</v>
      </c>
      <c r="J700" s="1011" t="s">
        <v>66</v>
      </c>
      <c r="K700" s="1011" t="s">
        <v>183</v>
      </c>
      <c r="L700" s="1011" t="s">
        <v>1036</v>
      </c>
      <c r="M700" s="1220">
        <v>132</v>
      </c>
      <c r="N700" s="1065" t="s">
        <v>7</v>
      </c>
      <c r="O700" s="1062">
        <v>9884850</v>
      </c>
      <c r="P700" s="1062">
        <v>9884850</v>
      </c>
      <c r="Q700" s="1062">
        <v>9884850</v>
      </c>
      <c r="R700" s="1068">
        <v>40637</v>
      </c>
      <c r="S700" s="1092">
        <v>9800000</v>
      </c>
      <c r="T700" s="1092">
        <v>9800000</v>
      </c>
      <c r="U700" s="1062">
        <f>O700-T700</f>
        <v>84850</v>
      </c>
      <c r="V700" s="1062">
        <v>9800000</v>
      </c>
      <c r="W700" s="1062">
        <v>9800000</v>
      </c>
      <c r="X700" s="1011" t="s">
        <v>1026</v>
      </c>
      <c r="Y700" s="372" t="s">
        <v>1027</v>
      </c>
      <c r="Z700" s="386">
        <v>0</v>
      </c>
      <c r="AA700" s="386">
        <v>3920000</v>
      </c>
      <c r="AB700" s="386">
        <f t="shared" si="42"/>
        <v>3920000</v>
      </c>
      <c r="AC700" s="384">
        <v>40675</v>
      </c>
      <c r="AD700" s="395">
        <v>3920000</v>
      </c>
      <c r="AE700" s="395" t="s">
        <v>7</v>
      </c>
      <c r="AF700" s="1043">
        <f>SUM(AD700:AD701)</f>
        <v>9800000</v>
      </c>
      <c r="AG700" s="1043">
        <f>AF700</f>
        <v>9800000</v>
      </c>
      <c r="AH700" s="358">
        <f t="shared" si="39"/>
        <v>0</v>
      </c>
      <c r="AI700" s="1043">
        <f>S700-SUM(AD700:AD701)</f>
        <v>0</v>
      </c>
      <c r="AJ700" s="1062">
        <f>SUM(Z700:Z701)-SUM(AD700:AD701)</f>
        <v>0</v>
      </c>
      <c r="AK700" s="1062">
        <f>S700-V700</f>
        <v>0</v>
      </c>
      <c r="AL700" s="1062">
        <f>V700-SUM(Z700:Z701)</f>
        <v>0</v>
      </c>
      <c r="AM700" s="1062">
        <f>AK700+AL700</f>
        <v>0</v>
      </c>
      <c r="AN700" s="1103" t="s">
        <v>1035</v>
      </c>
      <c r="AO700" s="1103" t="s">
        <v>1038</v>
      </c>
      <c r="AP700" s="1103" t="s">
        <v>194</v>
      </c>
      <c r="AQ700" s="1103" t="s">
        <v>558</v>
      </c>
    </row>
    <row r="701" spans="1:43" ht="63">
      <c r="A701" s="1012"/>
      <c r="B701" s="1070"/>
      <c r="C701" s="1012"/>
      <c r="D701" s="1012"/>
      <c r="E701" s="1099"/>
      <c r="F701" s="1099"/>
      <c r="G701" s="1012"/>
      <c r="H701" s="1012"/>
      <c r="I701" s="1012"/>
      <c r="J701" s="1012"/>
      <c r="K701" s="1012"/>
      <c r="L701" s="1012"/>
      <c r="M701" s="1222"/>
      <c r="N701" s="1067"/>
      <c r="O701" s="1064"/>
      <c r="P701" s="1064"/>
      <c r="Q701" s="1064"/>
      <c r="R701" s="1070"/>
      <c r="S701" s="1094"/>
      <c r="T701" s="1094"/>
      <c r="U701" s="1064"/>
      <c r="V701" s="1064"/>
      <c r="W701" s="1064"/>
      <c r="X701" s="1012"/>
      <c r="Y701" s="372" t="s">
        <v>1037</v>
      </c>
      <c r="Z701" s="386">
        <v>9800000</v>
      </c>
      <c r="AA701" s="386">
        <v>-3920000</v>
      </c>
      <c r="AB701" s="386">
        <f t="shared" si="42"/>
        <v>5880000</v>
      </c>
      <c r="AC701" s="384">
        <v>41984</v>
      </c>
      <c r="AD701" s="395">
        <v>5880000</v>
      </c>
      <c r="AE701" s="395" t="s">
        <v>7</v>
      </c>
      <c r="AF701" s="1045"/>
      <c r="AG701" s="1045"/>
      <c r="AH701" s="358">
        <f t="shared" si="39"/>
        <v>0</v>
      </c>
      <c r="AI701" s="1045"/>
      <c r="AJ701" s="1064"/>
      <c r="AK701" s="1064"/>
      <c r="AL701" s="1064"/>
      <c r="AM701" s="1064"/>
      <c r="AN701" s="1105"/>
      <c r="AO701" s="1105"/>
      <c r="AP701" s="1105"/>
      <c r="AQ701" s="1105"/>
    </row>
    <row r="702" spans="1:43" ht="63">
      <c r="A702" s="1011" t="s">
        <v>1039</v>
      </c>
      <c r="B702" s="1068">
        <v>40638</v>
      </c>
      <c r="C702" s="1011" t="s">
        <v>41</v>
      </c>
      <c r="D702" s="1011" t="s">
        <v>1040</v>
      </c>
      <c r="E702" s="1097">
        <v>10541182</v>
      </c>
      <c r="F702" s="1097"/>
      <c r="G702" s="1011" t="s">
        <v>1041</v>
      </c>
      <c r="H702" s="1011" t="s">
        <v>70</v>
      </c>
      <c r="I702" s="1011" t="s">
        <v>177</v>
      </c>
      <c r="J702" s="1011" t="s">
        <v>66</v>
      </c>
      <c r="K702" s="1011" t="s">
        <v>217</v>
      </c>
      <c r="L702" s="1011" t="s">
        <v>1044</v>
      </c>
      <c r="M702" s="1220">
        <v>134</v>
      </c>
      <c r="N702" s="1065" t="s">
        <v>7</v>
      </c>
      <c r="O702" s="1062">
        <v>13308383</v>
      </c>
      <c r="P702" s="1062">
        <v>13308383</v>
      </c>
      <c r="Q702" s="1062">
        <v>13308383</v>
      </c>
      <c r="R702" s="1068">
        <v>40637</v>
      </c>
      <c r="S702" s="1092">
        <v>13308383</v>
      </c>
      <c r="T702" s="1092">
        <v>13308383</v>
      </c>
      <c r="U702" s="1062">
        <f>O702-T702</f>
        <v>0</v>
      </c>
      <c r="V702" s="1062">
        <v>13081320</v>
      </c>
      <c r="W702" s="1062">
        <v>13081320</v>
      </c>
      <c r="X702" s="1011" t="s">
        <v>1026</v>
      </c>
      <c r="Y702" s="372" t="s">
        <v>1042</v>
      </c>
      <c r="Z702" s="386">
        <v>0</v>
      </c>
      <c r="AA702" s="386">
        <v>5232528</v>
      </c>
      <c r="AB702" s="386">
        <f t="shared" si="42"/>
        <v>5232528</v>
      </c>
      <c r="AC702" s="384">
        <v>40672</v>
      </c>
      <c r="AD702" s="395">
        <v>5232528</v>
      </c>
      <c r="AE702" s="395" t="s">
        <v>7</v>
      </c>
      <c r="AF702" s="1043">
        <f>SUM(AD702:AD704)</f>
        <v>12217953</v>
      </c>
      <c r="AG702" s="1043">
        <f>SUM(AE702:AE704)</f>
        <v>0</v>
      </c>
      <c r="AH702" s="358">
        <f t="shared" si="39"/>
        <v>0</v>
      </c>
      <c r="AI702" s="1043">
        <f>O702-SUM(AD702:AD704)</f>
        <v>1090430</v>
      </c>
      <c r="AJ702" s="1062">
        <f>SUM(Z702:Z704)-SUM(AD702:AD704)</f>
        <v>863367</v>
      </c>
      <c r="AK702" s="1062">
        <f>P702-V702</f>
        <v>227063</v>
      </c>
      <c r="AL702" s="1062">
        <f>V702-SUM(Z702:Z704)</f>
        <v>0</v>
      </c>
      <c r="AM702" s="1062">
        <f>AK702+AL702</f>
        <v>227063</v>
      </c>
      <c r="AN702" s="1103" t="s">
        <v>1046</v>
      </c>
      <c r="AO702" s="1103" t="s">
        <v>1047</v>
      </c>
      <c r="AP702" s="1103" t="s">
        <v>194</v>
      </c>
      <c r="AQ702" s="1103" t="s">
        <v>558</v>
      </c>
    </row>
    <row r="703" spans="1:43" ht="63">
      <c r="A703" s="1033"/>
      <c r="B703" s="1069"/>
      <c r="C703" s="1033"/>
      <c r="D703" s="1033"/>
      <c r="E703" s="1098"/>
      <c r="F703" s="1098"/>
      <c r="G703" s="1033"/>
      <c r="H703" s="1033"/>
      <c r="I703" s="1033"/>
      <c r="J703" s="1033"/>
      <c r="K703" s="1033"/>
      <c r="L703" s="1033"/>
      <c r="M703" s="1221"/>
      <c r="N703" s="1066"/>
      <c r="O703" s="1063"/>
      <c r="P703" s="1063"/>
      <c r="Q703" s="1063"/>
      <c r="R703" s="1069"/>
      <c r="S703" s="1093"/>
      <c r="T703" s="1093"/>
      <c r="U703" s="1063"/>
      <c r="V703" s="1063"/>
      <c r="W703" s="1063"/>
      <c r="X703" s="1033"/>
      <c r="Y703" s="372" t="s">
        <v>1043</v>
      </c>
      <c r="Z703" s="386">
        <v>11642375</v>
      </c>
      <c r="AA703" s="386">
        <v>-4656950</v>
      </c>
      <c r="AB703" s="386">
        <f t="shared" si="42"/>
        <v>6985425</v>
      </c>
      <c r="AC703" s="384">
        <v>41271</v>
      </c>
      <c r="AD703" s="395">
        <v>6985425</v>
      </c>
      <c r="AE703" s="395" t="s">
        <v>7</v>
      </c>
      <c r="AF703" s="1044"/>
      <c r="AG703" s="1044"/>
      <c r="AH703" s="358">
        <f t="shared" si="39"/>
        <v>0</v>
      </c>
      <c r="AI703" s="1044"/>
      <c r="AJ703" s="1063"/>
      <c r="AK703" s="1063"/>
      <c r="AL703" s="1063"/>
      <c r="AM703" s="1063"/>
      <c r="AN703" s="1104"/>
      <c r="AO703" s="1104"/>
      <c r="AP703" s="1104"/>
      <c r="AQ703" s="1104"/>
    </row>
    <row r="704" spans="1:43" ht="31.5" customHeight="1">
      <c r="A704" s="1012"/>
      <c r="B704" s="1070"/>
      <c r="C704" s="1012"/>
      <c r="D704" s="1012"/>
      <c r="E704" s="1099"/>
      <c r="F704" s="1099"/>
      <c r="G704" s="1012"/>
      <c r="H704" s="1012"/>
      <c r="I704" s="1012"/>
      <c r="J704" s="1012"/>
      <c r="K704" s="1012"/>
      <c r="L704" s="1012"/>
      <c r="M704" s="1222"/>
      <c r="N704" s="1067"/>
      <c r="O704" s="1064"/>
      <c r="P704" s="1064"/>
      <c r="Q704" s="1064"/>
      <c r="R704" s="1070"/>
      <c r="S704" s="1094"/>
      <c r="T704" s="1094"/>
      <c r="U704" s="1064"/>
      <c r="V704" s="1064"/>
      <c r="W704" s="1064"/>
      <c r="X704" s="1012"/>
      <c r="Y704" s="372" t="s">
        <v>1045</v>
      </c>
      <c r="Z704" s="386">
        <v>1438945</v>
      </c>
      <c r="AA704" s="386">
        <v>-575578</v>
      </c>
      <c r="AB704" s="386">
        <f t="shared" si="42"/>
        <v>863367</v>
      </c>
      <c r="AC704" s="384"/>
      <c r="AD704" s="395">
        <v>0</v>
      </c>
      <c r="AE704" s="395" t="s">
        <v>7</v>
      </c>
      <c r="AF704" s="1045"/>
      <c r="AG704" s="1045"/>
      <c r="AH704" s="358">
        <f t="shared" si="39"/>
        <v>863367</v>
      </c>
      <c r="AI704" s="1045"/>
      <c r="AJ704" s="1064"/>
      <c r="AK704" s="1064"/>
      <c r="AL704" s="1064"/>
      <c r="AM704" s="1064"/>
      <c r="AN704" s="1105"/>
      <c r="AO704" s="1105"/>
      <c r="AP704" s="1105"/>
      <c r="AQ704" s="1105"/>
    </row>
    <row r="705" spans="1:43" ht="63">
      <c r="A705" s="1011" t="s">
        <v>1076</v>
      </c>
      <c r="B705" s="1068">
        <v>40638</v>
      </c>
      <c r="C705" s="1011"/>
      <c r="D705" s="1011" t="s">
        <v>385</v>
      </c>
      <c r="E705" s="1097">
        <v>10536762</v>
      </c>
      <c r="F705" s="1097"/>
      <c r="G705" s="1011" t="s">
        <v>1077</v>
      </c>
      <c r="H705" s="1011" t="s">
        <v>70</v>
      </c>
      <c r="I705" s="1011" t="s">
        <v>177</v>
      </c>
      <c r="J705" s="1011" t="s">
        <v>66</v>
      </c>
      <c r="K705" s="1011" t="s">
        <v>183</v>
      </c>
      <c r="L705" s="1011" t="s">
        <v>1079</v>
      </c>
      <c r="M705" s="1220">
        <v>128</v>
      </c>
      <c r="N705" s="1065" t="s">
        <v>7</v>
      </c>
      <c r="O705" s="1062">
        <v>26168224</v>
      </c>
      <c r="P705" s="1062">
        <v>26168224</v>
      </c>
      <c r="Q705" s="1062">
        <f>P705+P707</f>
        <v>35077523</v>
      </c>
      <c r="R705" s="1068">
        <v>40637</v>
      </c>
      <c r="S705" s="1092">
        <v>26163600</v>
      </c>
      <c r="T705" s="1092">
        <v>26163600</v>
      </c>
      <c r="U705" s="1062">
        <f>O705-T705</f>
        <v>4624</v>
      </c>
      <c r="V705" s="1062">
        <v>26100000</v>
      </c>
      <c r="W705" s="1062">
        <f>V705+V707</f>
        <v>35009299</v>
      </c>
      <c r="X705" s="1011" t="s">
        <v>1026</v>
      </c>
      <c r="Y705" s="372" t="s">
        <v>1080</v>
      </c>
      <c r="Z705" s="386">
        <v>0</v>
      </c>
      <c r="AA705" s="386">
        <v>10440000</v>
      </c>
      <c r="AB705" s="386">
        <f t="shared" si="42"/>
        <v>10440000</v>
      </c>
      <c r="AC705" s="384">
        <v>40666</v>
      </c>
      <c r="AD705" s="395">
        <v>10440000</v>
      </c>
      <c r="AE705" s="395" t="s">
        <v>7</v>
      </c>
      <c r="AF705" s="1043">
        <f>SUM(AD705:AD706)</f>
        <v>26100000</v>
      </c>
      <c r="AG705" s="1043">
        <f>AF705+AF707</f>
        <v>33205165.949999999</v>
      </c>
      <c r="AH705" s="358">
        <f t="shared" si="39"/>
        <v>0</v>
      </c>
      <c r="AI705" s="1043">
        <f>S705-AD705-AD706</f>
        <v>63600</v>
      </c>
      <c r="AJ705" s="1062">
        <f>SUM(Z705:Z707)-SUM(AD705:AD707)</f>
        <v>0</v>
      </c>
      <c r="AK705" s="1062">
        <f>S705-V705</f>
        <v>63600</v>
      </c>
      <c r="AL705" s="1062">
        <f>V705-SUM(Z705:Z706)</f>
        <v>0</v>
      </c>
      <c r="AM705" s="1062">
        <f>AK705+AL705</f>
        <v>63600</v>
      </c>
      <c r="AN705" s="1103" t="s">
        <v>606</v>
      </c>
      <c r="AO705" s="1103" t="s">
        <v>1082</v>
      </c>
      <c r="AP705" s="1103" t="s">
        <v>194</v>
      </c>
      <c r="AQ705" s="1103" t="s">
        <v>558</v>
      </c>
    </row>
    <row r="706" spans="1:43" ht="78.75">
      <c r="A706" s="1033"/>
      <c r="B706" s="1069"/>
      <c r="C706" s="1033"/>
      <c r="D706" s="1033"/>
      <c r="E706" s="1098"/>
      <c r="F706" s="1098"/>
      <c r="G706" s="1033"/>
      <c r="H706" s="1033"/>
      <c r="I706" s="1033"/>
      <c r="J706" s="1012"/>
      <c r="K706" s="1033"/>
      <c r="L706" s="1033"/>
      <c r="M706" s="1222"/>
      <c r="N706" s="1067"/>
      <c r="O706" s="1064"/>
      <c r="P706" s="1064"/>
      <c r="Q706" s="1063"/>
      <c r="R706" s="1070"/>
      <c r="S706" s="1094"/>
      <c r="T706" s="1094"/>
      <c r="U706" s="1064"/>
      <c r="V706" s="1064"/>
      <c r="W706" s="1063"/>
      <c r="X706" s="1033"/>
      <c r="Y706" s="372" t="s">
        <v>1081</v>
      </c>
      <c r="Z706" s="386">
        <v>26100000</v>
      </c>
      <c r="AA706" s="386">
        <v>-10440000</v>
      </c>
      <c r="AB706" s="386">
        <f t="shared" si="42"/>
        <v>15660000</v>
      </c>
      <c r="AC706" s="384">
        <v>41470</v>
      </c>
      <c r="AD706" s="395">
        <v>15660000</v>
      </c>
      <c r="AE706" s="395" t="s">
        <v>7</v>
      </c>
      <c r="AF706" s="1045"/>
      <c r="AG706" s="1044"/>
      <c r="AH706" s="358">
        <f t="shared" si="39"/>
        <v>0</v>
      </c>
      <c r="AI706" s="1045"/>
      <c r="AJ706" s="1063"/>
      <c r="AK706" s="1064"/>
      <c r="AL706" s="1064"/>
      <c r="AM706" s="1064"/>
      <c r="AN706" s="1104"/>
      <c r="AO706" s="1104"/>
      <c r="AP706" s="1104"/>
      <c r="AQ706" s="1104"/>
    </row>
    <row r="707" spans="1:43" ht="78.75">
      <c r="A707" s="1033"/>
      <c r="B707" s="1069"/>
      <c r="C707" s="1033"/>
      <c r="D707" s="1033"/>
      <c r="E707" s="1098"/>
      <c r="F707" s="1098"/>
      <c r="G707" s="1033"/>
      <c r="H707" s="1033"/>
      <c r="I707" s="1033"/>
      <c r="J707" s="362" t="s">
        <v>67</v>
      </c>
      <c r="K707" s="1033"/>
      <c r="L707" s="1033"/>
      <c r="M707" s="405">
        <v>242</v>
      </c>
      <c r="N707" s="367" t="s">
        <v>7</v>
      </c>
      <c r="O707" s="369">
        <v>8909299</v>
      </c>
      <c r="P707" s="369">
        <v>8909299</v>
      </c>
      <c r="Q707" s="1063"/>
      <c r="R707" s="364">
        <v>41081</v>
      </c>
      <c r="S707" s="376">
        <v>8909299</v>
      </c>
      <c r="T707" s="376">
        <v>8909299</v>
      </c>
      <c r="U707" s="369">
        <f>O707-T707</f>
        <v>0</v>
      </c>
      <c r="V707" s="369">
        <v>8909299</v>
      </c>
      <c r="W707" s="1063"/>
      <c r="X707" s="1033"/>
      <c r="Y707" s="372" t="s">
        <v>1081</v>
      </c>
      <c r="Z707" s="386">
        <v>7105165.9500000002</v>
      </c>
      <c r="AA707" s="386">
        <v>0</v>
      </c>
      <c r="AB707" s="386">
        <f t="shared" si="42"/>
        <v>7105165.9500000002</v>
      </c>
      <c r="AC707" s="384">
        <v>41470</v>
      </c>
      <c r="AD707" s="395">
        <v>7105165.9500000002</v>
      </c>
      <c r="AE707" s="395" t="s">
        <v>7</v>
      </c>
      <c r="AF707" s="373">
        <f>SUM(AD707:AD707)</f>
        <v>7105165.9500000002</v>
      </c>
      <c r="AG707" s="1044"/>
      <c r="AH707" s="358">
        <f t="shared" si="39"/>
        <v>0</v>
      </c>
      <c r="AI707" s="373">
        <f>S707-AD707</f>
        <v>1804133.0499999998</v>
      </c>
      <c r="AJ707" s="1063"/>
      <c r="AK707" s="369">
        <f>P707-V707</f>
        <v>0</v>
      </c>
      <c r="AL707" s="369">
        <f>V707-Z707</f>
        <v>1804133.0499999998</v>
      </c>
      <c r="AM707" s="369">
        <f>AK707+AL707</f>
        <v>1804133.0499999998</v>
      </c>
      <c r="AN707" s="1104"/>
      <c r="AO707" s="1104"/>
      <c r="AP707" s="1104"/>
      <c r="AQ707" s="1104"/>
    </row>
    <row r="708" spans="1:43" ht="63">
      <c r="A708" s="1011" t="s">
        <v>1068</v>
      </c>
      <c r="B708" s="1068">
        <v>40638</v>
      </c>
      <c r="C708" s="1011" t="s">
        <v>45</v>
      </c>
      <c r="D708" s="1011" t="s">
        <v>1069</v>
      </c>
      <c r="E708" s="1097">
        <v>34561465</v>
      </c>
      <c r="F708" s="1097"/>
      <c r="G708" s="1011" t="s">
        <v>1070</v>
      </c>
      <c r="H708" s="1011" t="s">
        <v>70</v>
      </c>
      <c r="I708" s="1011" t="s">
        <v>177</v>
      </c>
      <c r="J708" s="1011" t="s">
        <v>66</v>
      </c>
      <c r="K708" s="1011" t="s">
        <v>183</v>
      </c>
      <c r="L708" s="1011" t="s">
        <v>1074</v>
      </c>
      <c r="M708" s="1220">
        <v>130</v>
      </c>
      <c r="N708" s="1065" t="s">
        <v>7</v>
      </c>
      <c r="O708" s="1062">
        <v>31031174</v>
      </c>
      <c r="P708" s="1062">
        <v>31031174</v>
      </c>
      <c r="Q708" s="1062">
        <f>P708+P711</f>
        <v>46207307</v>
      </c>
      <c r="R708" s="1068">
        <v>40637</v>
      </c>
      <c r="S708" s="1092">
        <v>31000000</v>
      </c>
      <c r="T708" s="1092">
        <v>31000000</v>
      </c>
      <c r="U708" s="1062">
        <f>O708-T708</f>
        <v>31174</v>
      </c>
      <c r="V708" s="1062">
        <v>31000000</v>
      </c>
      <c r="W708" s="1062">
        <v>46176133</v>
      </c>
      <c r="X708" s="1011" t="s">
        <v>1026</v>
      </c>
      <c r="Y708" s="372" t="s">
        <v>1071</v>
      </c>
      <c r="Z708" s="386">
        <v>0</v>
      </c>
      <c r="AA708" s="386">
        <v>12400000</v>
      </c>
      <c r="AB708" s="386">
        <f t="shared" si="42"/>
        <v>12400000</v>
      </c>
      <c r="AC708" s="384">
        <v>40666</v>
      </c>
      <c r="AD708" s="395">
        <v>12400000</v>
      </c>
      <c r="AE708" s="395" t="s">
        <v>7</v>
      </c>
      <c r="AF708" s="1043">
        <f>SUM(AD708:AD710)</f>
        <v>31000000</v>
      </c>
      <c r="AG708" s="1043">
        <f>AF708+AF711</f>
        <v>46176133</v>
      </c>
      <c r="AH708" s="358">
        <f t="shared" si="39"/>
        <v>0</v>
      </c>
      <c r="AI708" s="1043">
        <f>S708-SUM(AD708:AD710)</f>
        <v>0</v>
      </c>
      <c r="AJ708" s="1062">
        <f>SUM(Z708:Z711)-SUM(AD708:AD711)</f>
        <v>0</v>
      </c>
      <c r="AK708" s="1062">
        <f>S708-V708</f>
        <v>0</v>
      </c>
      <c r="AL708" s="1062">
        <f>V708-SUM(Z708:Z710)</f>
        <v>0</v>
      </c>
      <c r="AM708" s="1062">
        <f>AK708+AL708</f>
        <v>0</v>
      </c>
      <c r="AN708" s="1103" t="s">
        <v>606</v>
      </c>
      <c r="AO708" s="1195" t="s">
        <v>1075</v>
      </c>
      <c r="AP708" s="1103" t="s">
        <v>194</v>
      </c>
      <c r="AQ708" s="1103" t="s">
        <v>558</v>
      </c>
    </row>
    <row r="709" spans="1:43" ht="63">
      <c r="A709" s="1033"/>
      <c r="B709" s="1069"/>
      <c r="C709" s="1033"/>
      <c r="D709" s="1033"/>
      <c r="E709" s="1098"/>
      <c r="F709" s="1098"/>
      <c r="G709" s="1033"/>
      <c r="H709" s="1033"/>
      <c r="I709" s="1033"/>
      <c r="J709" s="1033"/>
      <c r="K709" s="1033"/>
      <c r="L709" s="1033"/>
      <c r="M709" s="1221"/>
      <c r="N709" s="1066"/>
      <c r="O709" s="1063"/>
      <c r="P709" s="1063"/>
      <c r="Q709" s="1063"/>
      <c r="R709" s="1069"/>
      <c r="S709" s="1093"/>
      <c r="T709" s="1093"/>
      <c r="U709" s="1063"/>
      <c r="V709" s="1063"/>
      <c r="W709" s="1063"/>
      <c r="X709" s="1033"/>
      <c r="Y709" s="372" t="s">
        <v>1072</v>
      </c>
      <c r="Z709" s="386">
        <v>25175100</v>
      </c>
      <c r="AA709" s="386">
        <v>-10070040</v>
      </c>
      <c r="AB709" s="386">
        <f t="shared" si="42"/>
        <v>15105060</v>
      </c>
      <c r="AC709" s="384">
        <v>41022</v>
      </c>
      <c r="AD709" s="395">
        <v>15105060</v>
      </c>
      <c r="AE709" s="395" t="s">
        <v>7</v>
      </c>
      <c r="AF709" s="1044"/>
      <c r="AG709" s="1044"/>
      <c r="AH709" s="358">
        <f t="shared" si="39"/>
        <v>0</v>
      </c>
      <c r="AI709" s="1044"/>
      <c r="AJ709" s="1063"/>
      <c r="AK709" s="1063"/>
      <c r="AL709" s="1063"/>
      <c r="AM709" s="1063"/>
      <c r="AN709" s="1104"/>
      <c r="AO709" s="1104"/>
      <c r="AP709" s="1104"/>
      <c r="AQ709" s="1104"/>
    </row>
    <row r="710" spans="1:43" ht="48" customHeight="1">
      <c r="A710" s="1033"/>
      <c r="B710" s="1069"/>
      <c r="C710" s="1033"/>
      <c r="D710" s="1033"/>
      <c r="E710" s="1098"/>
      <c r="F710" s="1098"/>
      <c r="G710" s="1033"/>
      <c r="H710" s="1033"/>
      <c r="I710" s="1033"/>
      <c r="J710" s="1012"/>
      <c r="K710" s="1033"/>
      <c r="L710" s="1033"/>
      <c r="M710" s="1222"/>
      <c r="N710" s="1067"/>
      <c r="O710" s="1064"/>
      <c r="P710" s="1064"/>
      <c r="Q710" s="1063"/>
      <c r="R710" s="1070"/>
      <c r="S710" s="1094"/>
      <c r="T710" s="1094"/>
      <c r="U710" s="1064"/>
      <c r="V710" s="1064"/>
      <c r="W710" s="1063"/>
      <c r="X710" s="1033"/>
      <c r="Y710" s="372" t="s">
        <v>1073</v>
      </c>
      <c r="Z710" s="386">
        <v>5824900</v>
      </c>
      <c r="AA710" s="386">
        <v>-2329960</v>
      </c>
      <c r="AB710" s="386">
        <f t="shared" si="42"/>
        <v>3494940</v>
      </c>
      <c r="AC710" s="384">
        <v>41638</v>
      </c>
      <c r="AD710" s="395">
        <v>3494940</v>
      </c>
      <c r="AE710" s="395" t="s">
        <v>7</v>
      </c>
      <c r="AF710" s="1045"/>
      <c r="AG710" s="1044"/>
      <c r="AH710" s="358">
        <f t="shared" si="39"/>
        <v>0</v>
      </c>
      <c r="AI710" s="1045"/>
      <c r="AJ710" s="1063"/>
      <c r="AK710" s="1064"/>
      <c r="AL710" s="1064"/>
      <c r="AM710" s="1064"/>
      <c r="AN710" s="1104"/>
      <c r="AO710" s="1104"/>
      <c r="AP710" s="1104"/>
      <c r="AQ710" s="1104"/>
    </row>
    <row r="711" spans="1:43" ht="78.75">
      <c r="A711" s="1012"/>
      <c r="B711" s="1070"/>
      <c r="C711" s="1012"/>
      <c r="D711" s="1012"/>
      <c r="E711" s="1099"/>
      <c r="F711" s="1099"/>
      <c r="G711" s="1012"/>
      <c r="H711" s="1012"/>
      <c r="I711" s="1012"/>
      <c r="J711" s="354" t="s">
        <v>67</v>
      </c>
      <c r="K711" s="1012"/>
      <c r="L711" s="1012"/>
      <c r="M711" s="408">
        <v>244</v>
      </c>
      <c r="N711" s="372" t="s">
        <v>7</v>
      </c>
      <c r="O711" s="386">
        <v>15176133</v>
      </c>
      <c r="P711" s="386">
        <v>15176133</v>
      </c>
      <c r="Q711" s="1064"/>
      <c r="R711" s="384">
        <v>41081</v>
      </c>
      <c r="S711" s="390">
        <v>15176133</v>
      </c>
      <c r="T711" s="390">
        <v>15176133</v>
      </c>
      <c r="U711" s="386">
        <f>O711-T711</f>
        <v>0</v>
      </c>
      <c r="V711" s="386">
        <v>15176133</v>
      </c>
      <c r="W711" s="1064"/>
      <c r="X711" s="1012"/>
      <c r="Y711" s="372" t="s">
        <v>1073</v>
      </c>
      <c r="Z711" s="386">
        <v>15176133</v>
      </c>
      <c r="AA711" s="386">
        <v>0</v>
      </c>
      <c r="AB711" s="386">
        <f t="shared" si="42"/>
        <v>15176133</v>
      </c>
      <c r="AC711" s="384">
        <v>41638</v>
      </c>
      <c r="AD711" s="395">
        <v>15176133</v>
      </c>
      <c r="AE711" s="395" t="s">
        <v>7</v>
      </c>
      <c r="AF711" s="358">
        <f>AD711</f>
        <v>15176133</v>
      </c>
      <c r="AG711" s="1045"/>
      <c r="AH711" s="358">
        <f t="shared" si="39"/>
        <v>0</v>
      </c>
      <c r="AI711" s="358">
        <f>O711-AD711</f>
        <v>0</v>
      </c>
      <c r="AJ711" s="1064"/>
      <c r="AK711" s="386">
        <f>P711-V711</f>
        <v>0</v>
      </c>
      <c r="AL711" s="386">
        <f>V711-Z711</f>
        <v>0</v>
      </c>
      <c r="AM711" s="386">
        <f>AK711+AL711</f>
        <v>0</v>
      </c>
      <c r="AN711" s="1105"/>
      <c r="AO711" s="1105"/>
      <c r="AP711" s="1105"/>
      <c r="AQ711" s="1105"/>
    </row>
    <row r="712" spans="1:43" ht="59.25" customHeight="1">
      <c r="A712" s="1011" t="s">
        <v>1048</v>
      </c>
      <c r="B712" s="1068">
        <v>40704</v>
      </c>
      <c r="C712" s="1011" t="s">
        <v>12</v>
      </c>
      <c r="D712" s="1011" t="s">
        <v>671</v>
      </c>
      <c r="E712" s="1097">
        <v>10523123</v>
      </c>
      <c r="F712" s="1097"/>
      <c r="G712" s="1011" t="s">
        <v>1049</v>
      </c>
      <c r="H712" s="1011" t="s">
        <v>70</v>
      </c>
      <c r="I712" s="1011" t="s">
        <v>177</v>
      </c>
      <c r="J712" s="1011" t="s">
        <v>66</v>
      </c>
      <c r="K712" s="1011" t="s">
        <v>217</v>
      </c>
      <c r="L712" s="1011" t="s">
        <v>1051</v>
      </c>
      <c r="M712" s="1220">
        <v>2</v>
      </c>
      <c r="N712" s="1065" t="s">
        <v>132</v>
      </c>
      <c r="O712" s="1062">
        <v>9317597</v>
      </c>
      <c r="P712" s="1062">
        <v>9317597</v>
      </c>
      <c r="Q712" s="1062">
        <v>9317597</v>
      </c>
      <c r="R712" s="1068">
        <v>40709</v>
      </c>
      <c r="S712" s="1092">
        <v>9317597</v>
      </c>
      <c r="T712" s="1092">
        <v>9317597</v>
      </c>
      <c r="U712" s="1119">
        <f>O712-T712</f>
        <v>0</v>
      </c>
      <c r="V712" s="1062">
        <v>8975674</v>
      </c>
      <c r="W712" s="1062">
        <v>8975674</v>
      </c>
      <c r="X712" s="1011" t="s">
        <v>1050</v>
      </c>
      <c r="Y712" s="372" t="s">
        <v>1052</v>
      </c>
      <c r="Z712" s="386">
        <v>0</v>
      </c>
      <c r="AA712" s="386">
        <v>3590269.6</v>
      </c>
      <c r="AB712" s="386">
        <f t="shared" si="42"/>
        <v>3590269.6</v>
      </c>
      <c r="AC712" s="384">
        <v>40746</v>
      </c>
      <c r="AD712" s="395">
        <v>3590270</v>
      </c>
      <c r="AE712" s="395" t="s">
        <v>132</v>
      </c>
      <c r="AF712" s="1043">
        <f>SUM(AD712:AD714)</f>
        <v>8437134</v>
      </c>
      <c r="AG712" s="1043">
        <f>SUM(AE712:AE714)</f>
        <v>0</v>
      </c>
      <c r="AH712" s="358">
        <f t="shared" si="39"/>
        <v>-0.39999999990686774</v>
      </c>
      <c r="AI712" s="1043">
        <f>O712-SUM(AD712:AD714)</f>
        <v>880463</v>
      </c>
      <c r="AJ712" s="1062">
        <f>SUM(Z712:Z714)-SUM(AD712:AD714)</f>
        <v>538540</v>
      </c>
      <c r="AK712" s="1062">
        <f>P712-V712</f>
        <v>341923</v>
      </c>
      <c r="AL712" s="1062">
        <f>V712-SUM(Z712:Z714)</f>
        <v>0</v>
      </c>
      <c r="AM712" s="1062">
        <f>AK712+AL712</f>
        <v>341923</v>
      </c>
      <c r="AN712" s="1103" t="s">
        <v>1046</v>
      </c>
      <c r="AO712" s="1195" t="s">
        <v>1055</v>
      </c>
      <c r="AP712" s="1103" t="s">
        <v>194</v>
      </c>
      <c r="AQ712" s="1103" t="s">
        <v>558</v>
      </c>
    </row>
    <row r="713" spans="1:43" ht="47.25">
      <c r="A713" s="1033"/>
      <c r="B713" s="1069"/>
      <c r="C713" s="1033"/>
      <c r="D713" s="1033"/>
      <c r="E713" s="1098"/>
      <c r="F713" s="1098"/>
      <c r="G713" s="1033"/>
      <c r="H713" s="1033"/>
      <c r="I713" s="1033"/>
      <c r="J713" s="1033"/>
      <c r="K713" s="1033"/>
      <c r="L713" s="1033"/>
      <c r="M713" s="1221"/>
      <c r="N713" s="1066"/>
      <c r="O713" s="1063"/>
      <c r="P713" s="1063"/>
      <c r="Q713" s="1063"/>
      <c r="R713" s="1069"/>
      <c r="S713" s="1093"/>
      <c r="T713" s="1093"/>
      <c r="U713" s="1119"/>
      <c r="V713" s="1063"/>
      <c r="W713" s="1063"/>
      <c r="X713" s="1033"/>
      <c r="Y713" s="372" t="s">
        <v>1053</v>
      </c>
      <c r="Z713" s="386">
        <v>8078107</v>
      </c>
      <c r="AA713" s="386">
        <v>-3231242.8</v>
      </c>
      <c r="AB713" s="386">
        <f t="shared" si="42"/>
        <v>4846864.2</v>
      </c>
      <c r="AC713" s="384">
        <v>41106</v>
      </c>
      <c r="AD713" s="395">
        <v>4846864</v>
      </c>
      <c r="AE713" s="395" t="s">
        <v>132</v>
      </c>
      <c r="AF713" s="1044"/>
      <c r="AG713" s="1044"/>
      <c r="AH713" s="358">
        <f t="shared" si="39"/>
        <v>0.20000000018626451</v>
      </c>
      <c r="AI713" s="1044"/>
      <c r="AJ713" s="1063"/>
      <c r="AK713" s="1063"/>
      <c r="AL713" s="1063"/>
      <c r="AM713" s="1063"/>
      <c r="AN713" s="1104"/>
      <c r="AO713" s="1104"/>
      <c r="AP713" s="1104"/>
      <c r="AQ713" s="1104"/>
    </row>
    <row r="714" spans="1:43" ht="38.25" customHeight="1">
      <c r="A714" s="1012"/>
      <c r="B714" s="1070"/>
      <c r="C714" s="1012"/>
      <c r="D714" s="1012"/>
      <c r="E714" s="1099"/>
      <c r="F714" s="1099"/>
      <c r="G714" s="1012"/>
      <c r="H714" s="1012"/>
      <c r="I714" s="1012"/>
      <c r="J714" s="1012"/>
      <c r="K714" s="1012"/>
      <c r="L714" s="1012"/>
      <c r="M714" s="1222"/>
      <c r="N714" s="1067"/>
      <c r="O714" s="1064"/>
      <c r="P714" s="1064"/>
      <c r="Q714" s="1064"/>
      <c r="R714" s="1070"/>
      <c r="S714" s="1094"/>
      <c r="T714" s="1094"/>
      <c r="U714" s="1119"/>
      <c r="V714" s="1064"/>
      <c r="W714" s="1064"/>
      <c r="X714" s="1012"/>
      <c r="Y714" s="372" t="s">
        <v>1054</v>
      </c>
      <c r="Z714" s="386">
        <v>897567</v>
      </c>
      <c r="AA714" s="386">
        <v>-359026.8</v>
      </c>
      <c r="AB714" s="386">
        <f t="shared" si="42"/>
        <v>538540.19999999995</v>
      </c>
      <c r="AC714" s="384"/>
      <c r="AD714" s="395">
        <v>0</v>
      </c>
      <c r="AE714" s="395" t="s">
        <v>132</v>
      </c>
      <c r="AF714" s="1045"/>
      <c r="AG714" s="1045"/>
      <c r="AH714" s="358">
        <f t="shared" si="39"/>
        <v>538540.19999999995</v>
      </c>
      <c r="AI714" s="1045"/>
      <c r="AJ714" s="1064"/>
      <c r="AK714" s="1064"/>
      <c r="AL714" s="1064"/>
      <c r="AM714" s="1064"/>
      <c r="AN714" s="1105"/>
      <c r="AO714" s="1105"/>
      <c r="AP714" s="1105"/>
      <c r="AQ714" s="1105"/>
    </row>
    <row r="715" spans="1:43" s="24" customFormat="1" ht="17.25" customHeight="1">
      <c r="A715" s="1076" t="s">
        <v>1100</v>
      </c>
      <c r="B715" s="1171">
        <v>40724</v>
      </c>
      <c r="C715" s="1076" t="s">
        <v>9</v>
      </c>
      <c r="D715" s="1076" t="s">
        <v>1101</v>
      </c>
      <c r="E715" s="1208">
        <v>900446152</v>
      </c>
      <c r="F715" s="1208">
        <v>0</v>
      </c>
      <c r="G715" s="1076" t="s">
        <v>1102</v>
      </c>
      <c r="H715" s="1076" t="s">
        <v>71</v>
      </c>
      <c r="I715" s="1076" t="s">
        <v>1086</v>
      </c>
      <c r="J715" s="1076" t="s">
        <v>66</v>
      </c>
      <c r="K715" s="1076" t="s">
        <v>183</v>
      </c>
      <c r="L715" s="1076" t="s">
        <v>1099</v>
      </c>
      <c r="M715" s="1245">
        <v>152</v>
      </c>
      <c r="N715" s="1244" t="s">
        <v>137</v>
      </c>
      <c r="O715" s="1119">
        <v>122551517</v>
      </c>
      <c r="P715" s="1119">
        <v>243133608</v>
      </c>
      <c r="Q715" s="1119">
        <f>P715+P723</f>
        <v>780816153</v>
      </c>
      <c r="R715" s="1171">
        <v>40686</v>
      </c>
      <c r="S715" s="1351">
        <v>239805800</v>
      </c>
      <c r="T715" s="1224">
        <v>120874135</v>
      </c>
      <c r="U715" s="1224">
        <f>O715-T715</f>
        <v>1677382</v>
      </c>
      <c r="V715" s="1119">
        <v>120874135</v>
      </c>
      <c r="W715" s="1224">
        <v>770129000</v>
      </c>
      <c r="X715" s="1076" t="s">
        <v>1103</v>
      </c>
      <c r="Y715" s="1123" t="s">
        <v>1105</v>
      </c>
      <c r="Z715" s="386">
        <v>0</v>
      </c>
      <c r="AA715" s="358">
        <v>59465832.5</v>
      </c>
      <c r="AB715" s="358">
        <f t="shared" si="42"/>
        <v>59465832.5</v>
      </c>
      <c r="AC715" s="1171">
        <v>40765</v>
      </c>
      <c r="AD715" s="395">
        <v>59465832.490000002</v>
      </c>
      <c r="AE715" s="395" t="s">
        <v>7</v>
      </c>
      <c r="AF715" s="1215">
        <f>SUM(AD715:AD722)</f>
        <v>239805800</v>
      </c>
      <c r="AG715" s="1215">
        <f>AF715+AF723</f>
        <v>770129000</v>
      </c>
      <c r="AH715" s="395">
        <f t="shared" si="39"/>
        <v>9.9999979138374329E-3</v>
      </c>
      <c r="AI715" s="1215">
        <f>T715-SUM(AD716:AD721)</f>
        <v>-51872960.00999999</v>
      </c>
      <c r="AJ715" s="1215">
        <f>SUM(Z715:Z726)-SUM(AD715:AD726)</f>
        <v>0</v>
      </c>
      <c r="AK715" s="1215">
        <f>T715-V715</f>
        <v>0</v>
      </c>
      <c r="AL715" s="1215">
        <f>SUM(V715:V722)-SUM(Z715:Z722)</f>
        <v>0</v>
      </c>
      <c r="AM715" s="1215">
        <f>AK715+AK721+AL715</f>
        <v>0</v>
      </c>
      <c r="AN715" s="1283" t="s">
        <v>1108</v>
      </c>
      <c r="AO715" s="1204" t="s">
        <v>1119</v>
      </c>
      <c r="AP715" s="1204" t="s">
        <v>195</v>
      </c>
      <c r="AQ715" s="1204" t="s">
        <v>1097</v>
      </c>
    </row>
    <row r="716" spans="1:43" s="24" customFormat="1" ht="17.25" customHeight="1">
      <c r="A716" s="1076"/>
      <c r="B716" s="1171"/>
      <c r="C716" s="1076"/>
      <c r="D716" s="1076"/>
      <c r="E716" s="1208"/>
      <c r="F716" s="1208"/>
      <c r="G716" s="1076"/>
      <c r="H716" s="1076"/>
      <c r="I716" s="1076"/>
      <c r="J716" s="1076"/>
      <c r="K716" s="1076"/>
      <c r="L716" s="1076"/>
      <c r="M716" s="1245"/>
      <c r="N716" s="1244"/>
      <c r="O716" s="1119"/>
      <c r="P716" s="1119"/>
      <c r="Q716" s="1119"/>
      <c r="R716" s="1171"/>
      <c r="S716" s="1351"/>
      <c r="T716" s="1224"/>
      <c r="U716" s="1224"/>
      <c r="V716" s="1119"/>
      <c r="W716" s="1224"/>
      <c r="X716" s="1076"/>
      <c r="Y716" s="1123"/>
      <c r="Z716" s="386">
        <v>0</v>
      </c>
      <c r="AA716" s="386">
        <v>60437067.5</v>
      </c>
      <c r="AB716" s="358">
        <f t="shared" si="42"/>
        <v>60437067.5</v>
      </c>
      <c r="AC716" s="1171"/>
      <c r="AD716" s="395">
        <v>60437067.509999998</v>
      </c>
      <c r="AE716" s="395" t="s">
        <v>137</v>
      </c>
      <c r="AF716" s="1215"/>
      <c r="AG716" s="1215"/>
      <c r="AH716" s="395">
        <f t="shared" si="39"/>
        <v>-9.9999979138374329E-3</v>
      </c>
      <c r="AI716" s="1215"/>
      <c r="AJ716" s="1215"/>
      <c r="AK716" s="1215"/>
      <c r="AL716" s="1215"/>
      <c r="AM716" s="1215"/>
      <c r="AN716" s="1203"/>
      <c r="AO716" s="1204"/>
      <c r="AP716" s="1204"/>
      <c r="AQ716" s="1204"/>
    </row>
    <row r="717" spans="1:43" s="24" customFormat="1" ht="17.25" customHeight="1">
      <c r="A717" s="1076"/>
      <c r="B717" s="1171"/>
      <c r="C717" s="1076"/>
      <c r="D717" s="1076"/>
      <c r="E717" s="1208"/>
      <c r="F717" s="1208"/>
      <c r="G717" s="1076"/>
      <c r="H717" s="1076"/>
      <c r="I717" s="1076"/>
      <c r="J717" s="1076"/>
      <c r="K717" s="1076"/>
      <c r="L717" s="1076"/>
      <c r="M717" s="1245"/>
      <c r="N717" s="1244"/>
      <c r="O717" s="1119"/>
      <c r="P717" s="1119"/>
      <c r="Q717" s="1119"/>
      <c r="R717" s="1171"/>
      <c r="S717" s="1351"/>
      <c r="T717" s="1224"/>
      <c r="U717" s="1224"/>
      <c r="V717" s="1119"/>
      <c r="W717" s="1224"/>
      <c r="X717" s="1076"/>
      <c r="Y717" s="1123" t="s">
        <v>1104</v>
      </c>
      <c r="Z717" s="386">
        <v>45504622</v>
      </c>
      <c r="AA717" s="386">
        <v>-22752311</v>
      </c>
      <c r="AB717" s="358">
        <f t="shared" si="42"/>
        <v>22752311</v>
      </c>
      <c r="AC717" s="1171">
        <v>41089</v>
      </c>
      <c r="AD717" s="395">
        <v>22752311</v>
      </c>
      <c r="AE717" s="395" t="s">
        <v>137</v>
      </c>
      <c r="AF717" s="1215"/>
      <c r="AG717" s="1215"/>
      <c r="AH717" s="395">
        <f t="shared" ref="AH717:AH752" si="43">AB717-AD717</f>
        <v>0</v>
      </c>
      <c r="AI717" s="1215"/>
      <c r="AJ717" s="1215"/>
      <c r="AK717" s="1215"/>
      <c r="AL717" s="1215"/>
      <c r="AM717" s="1215"/>
      <c r="AN717" s="1203"/>
      <c r="AO717" s="1204"/>
      <c r="AP717" s="1204"/>
      <c r="AQ717" s="1204"/>
    </row>
    <row r="718" spans="1:43" s="24" customFormat="1" ht="17.25" customHeight="1">
      <c r="A718" s="1076"/>
      <c r="B718" s="1171"/>
      <c r="C718" s="1076"/>
      <c r="D718" s="1076"/>
      <c r="E718" s="1208"/>
      <c r="F718" s="1208"/>
      <c r="G718" s="1076"/>
      <c r="H718" s="1076"/>
      <c r="I718" s="1076"/>
      <c r="J718" s="1076"/>
      <c r="K718" s="1076"/>
      <c r="L718" s="1076"/>
      <c r="M718" s="1245"/>
      <c r="N718" s="1244"/>
      <c r="O718" s="1119"/>
      <c r="P718" s="1119"/>
      <c r="Q718" s="1119"/>
      <c r="R718" s="1171"/>
      <c r="S718" s="1351"/>
      <c r="T718" s="1224"/>
      <c r="U718" s="1224"/>
      <c r="V718" s="1119"/>
      <c r="W718" s="1224"/>
      <c r="X718" s="1076"/>
      <c r="Y718" s="1123"/>
      <c r="Z718" s="386">
        <v>46247832</v>
      </c>
      <c r="AA718" s="386">
        <v>-23123916</v>
      </c>
      <c r="AB718" s="358">
        <f t="shared" si="42"/>
        <v>23123916</v>
      </c>
      <c r="AC718" s="1171"/>
      <c r="AD718" s="395">
        <v>23123916</v>
      </c>
      <c r="AE718" s="395" t="s">
        <v>137</v>
      </c>
      <c r="AF718" s="1215"/>
      <c r="AG718" s="1215"/>
      <c r="AH718" s="395">
        <f t="shared" si="43"/>
        <v>0</v>
      </c>
      <c r="AI718" s="1215"/>
      <c r="AJ718" s="1215"/>
      <c r="AK718" s="1215"/>
      <c r="AL718" s="1215"/>
      <c r="AM718" s="1215"/>
      <c r="AN718" s="1203"/>
      <c r="AO718" s="1204"/>
      <c r="AP718" s="1204"/>
      <c r="AQ718" s="1204"/>
    </row>
    <row r="719" spans="1:43" s="24" customFormat="1" ht="17.25" customHeight="1">
      <c r="A719" s="1076"/>
      <c r="B719" s="1171"/>
      <c r="C719" s="1076"/>
      <c r="D719" s="1076"/>
      <c r="E719" s="1208"/>
      <c r="F719" s="1208"/>
      <c r="G719" s="1076"/>
      <c r="H719" s="1076"/>
      <c r="I719" s="1076"/>
      <c r="J719" s="1076"/>
      <c r="K719" s="1076"/>
      <c r="L719" s="1076"/>
      <c r="M719" s="1245"/>
      <c r="N719" s="1244"/>
      <c r="O719" s="1119"/>
      <c r="P719" s="1119"/>
      <c r="Q719" s="1119"/>
      <c r="R719" s="1171"/>
      <c r="S719" s="1351"/>
      <c r="T719" s="1224"/>
      <c r="U719" s="1224"/>
      <c r="V719" s="1119"/>
      <c r="W719" s="1224"/>
      <c r="X719" s="1076"/>
      <c r="Y719" s="1123" t="s">
        <v>1107</v>
      </c>
      <c r="Z719" s="386">
        <v>58485336</v>
      </c>
      <c r="AA719" s="386">
        <v>-29242668</v>
      </c>
      <c r="AB719" s="358">
        <f t="shared" si="42"/>
        <v>29242668</v>
      </c>
      <c r="AC719" s="1171">
        <v>41208</v>
      </c>
      <c r="AD719" s="395">
        <v>29242668</v>
      </c>
      <c r="AE719" s="395" t="s">
        <v>137</v>
      </c>
      <c r="AF719" s="1215"/>
      <c r="AG719" s="1215"/>
      <c r="AH719" s="395">
        <f t="shared" si="43"/>
        <v>0</v>
      </c>
      <c r="AI719" s="1215"/>
      <c r="AJ719" s="1215"/>
      <c r="AK719" s="1215"/>
      <c r="AL719" s="1215"/>
      <c r="AM719" s="1215"/>
      <c r="AN719" s="1203"/>
      <c r="AO719" s="1204"/>
      <c r="AP719" s="1204"/>
      <c r="AQ719" s="1204"/>
    </row>
    <row r="720" spans="1:43" s="24" customFormat="1" ht="17.25" customHeight="1">
      <c r="A720" s="1076"/>
      <c r="B720" s="1171"/>
      <c r="C720" s="1076"/>
      <c r="D720" s="1076"/>
      <c r="E720" s="1208"/>
      <c r="F720" s="1208"/>
      <c r="G720" s="1076"/>
      <c r="H720" s="1076"/>
      <c r="I720" s="1076"/>
      <c r="J720" s="1076"/>
      <c r="K720" s="1076"/>
      <c r="L720" s="1076"/>
      <c r="M720" s="1245"/>
      <c r="N720" s="1244"/>
      <c r="O720" s="1119"/>
      <c r="P720" s="1119"/>
      <c r="Q720" s="1119"/>
      <c r="R720" s="1171"/>
      <c r="S720" s="1351"/>
      <c r="T720" s="1224"/>
      <c r="U720" s="1224"/>
      <c r="V720" s="1119"/>
      <c r="W720" s="1224"/>
      <c r="X720" s="1076"/>
      <c r="Y720" s="1123"/>
      <c r="Z720" s="386">
        <v>59440558</v>
      </c>
      <c r="AA720" s="386">
        <v>-29720279</v>
      </c>
      <c r="AB720" s="358">
        <f t="shared" si="42"/>
        <v>29720279</v>
      </c>
      <c r="AC720" s="1171"/>
      <c r="AD720" s="395">
        <v>29720279</v>
      </c>
      <c r="AE720" s="395" t="s">
        <v>137</v>
      </c>
      <c r="AF720" s="1215"/>
      <c r="AG720" s="1215"/>
      <c r="AH720" s="395">
        <f t="shared" si="43"/>
        <v>0</v>
      </c>
      <c r="AI720" s="1215"/>
      <c r="AJ720" s="1215"/>
      <c r="AK720" s="1215"/>
      <c r="AL720" s="1215"/>
      <c r="AM720" s="1215"/>
      <c r="AN720" s="1203"/>
      <c r="AO720" s="1204"/>
      <c r="AP720" s="1204"/>
      <c r="AQ720" s="1204"/>
    </row>
    <row r="721" spans="1:43" s="24" customFormat="1" ht="17.25" customHeight="1">
      <c r="A721" s="1076"/>
      <c r="B721" s="1171"/>
      <c r="C721" s="1076"/>
      <c r="D721" s="1076"/>
      <c r="E721" s="1208"/>
      <c r="F721" s="1208"/>
      <c r="G721" s="1076"/>
      <c r="H721" s="1076"/>
      <c r="I721" s="1076"/>
      <c r="J721" s="1076"/>
      <c r="K721" s="1076"/>
      <c r="L721" s="1076"/>
      <c r="M721" s="1245"/>
      <c r="N721" s="1244" t="s">
        <v>7</v>
      </c>
      <c r="O721" s="1119">
        <v>120582091</v>
      </c>
      <c r="P721" s="1119"/>
      <c r="Q721" s="1119"/>
      <c r="R721" s="1171"/>
      <c r="S721" s="1351"/>
      <c r="T721" s="1224">
        <f>V721</f>
        <v>118931665</v>
      </c>
      <c r="U721" s="1224">
        <f>O721-T721</f>
        <v>1650426</v>
      </c>
      <c r="V721" s="1119">
        <v>118931665</v>
      </c>
      <c r="W721" s="1224"/>
      <c r="X721" s="1076"/>
      <c r="Y721" s="1123" t="s">
        <v>1106</v>
      </c>
      <c r="Z721" s="386">
        <v>14941707</v>
      </c>
      <c r="AA721" s="386">
        <v>-7470853.5</v>
      </c>
      <c r="AB721" s="386">
        <f t="shared" si="42"/>
        <v>7470853.5</v>
      </c>
      <c r="AC721" s="1171">
        <v>41451</v>
      </c>
      <c r="AD721" s="395">
        <v>7470853.5</v>
      </c>
      <c r="AE721" s="395" t="s">
        <v>137</v>
      </c>
      <c r="AF721" s="1215"/>
      <c r="AG721" s="1215"/>
      <c r="AH721" s="395">
        <f t="shared" si="43"/>
        <v>0</v>
      </c>
      <c r="AI721" s="1215">
        <f>T721-AD715-AD722</f>
        <v>51872960.009999998</v>
      </c>
      <c r="AJ721" s="1215"/>
      <c r="AK721" s="1215">
        <f>T721-V721</f>
        <v>0</v>
      </c>
      <c r="AL721" s="1215"/>
      <c r="AM721" s="1215"/>
      <c r="AN721" s="1203"/>
      <c r="AO721" s="1204"/>
      <c r="AP721" s="1204"/>
      <c r="AQ721" s="1204"/>
    </row>
    <row r="722" spans="1:43" s="24" customFormat="1" ht="17.25" customHeight="1">
      <c r="A722" s="1076"/>
      <c r="B722" s="1171"/>
      <c r="C722" s="1076"/>
      <c r="D722" s="1076"/>
      <c r="E722" s="1208"/>
      <c r="F722" s="1208"/>
      <c r="G722" s="1076"/>
      <c r="H722" s="1076"/>
      <c r="I722" s="1076"/>
      <c r="J722" s="1076"/>
      <c r="K722" s="1076"/>
      <c r="L722" s="1076"/>
      <c r="M722" s="1245"/>
      <c r="N722" s="1244"/>
      <c r="O722" s="1119"/>
      <c r="P722" s="1119"/>
      <c r="Q722" s="1119"/>
      <c r="R722" s="1171"/>
      <c r="S722" s="1351"/>
      <c r="T722" s="1224"/>
      <c r="U722" s="1224"/>
      <c r="V722" s="1119"/>
      <c r="W722" s="1224"/>
      <c r="X722" s="1076"/>
      <c r="Y722" s="1123"/>
      <c r="Z722" s="386">
        <v>15185745</v>
      </c>
      <c r="AA722" s="386">
        <v>-7592872.5</v>
      </c>
      <c r="AB722" s="386">
        <f t="shared" si="42"/>
        <v>7592872.5</v>
      </c>
      <c r="AC722" s="1171"/>
      <c r="AD722" s="395">
        <v>7592872.5</v>
      </c>
      <c r="AE722" s="395" t="s">
        <v>7</v>
      </c>
      <c r="AF722" s="1215"/>
      <c r="AG722" s="1215"/>
      <c r="AH722" s="395">
        <f t="shared" si="43"/>
        <v>0</v>
      </c>
      <c r="AI722" s="1215"/>
      <c r="AJ722" s="1215"/>
      <c r="AK722" s="1215"/>
      <c r="AL722" s="1215"/>
      <c r="AM722" s="1215"/>
      <c r="AN722" s="1203"/>
      <c r="AO722" s="1204"/>
      <c r="AP722" s="1204"/>
      <c r="AQ722" s="1204"/>
    </row>
    <row r="723" spans="1:43" s="24" customFormat="1" ht="78.75">
      <c r="A723" s="1076"/>
      <c r="B723" s="1171"/>
      <c r="C723" s="1076"/>
      <c r="D723" s="1076"/>
      <c r="E723" s="1208"/>
      <c r="F723" s="1208"/>
      <c r="G723" s="1076"/>
      <c r="H723" s="1076"/>
      <c r="I723" s="1076"/>
      <c r="J723" s="1076"/>
      <c r="K723" s="1076"/>
      <c r="L723" s="1076"/>
      <c r="M723" s="1245">
        <v>2</v>
      </c>
      <c r="N723" s="1123" t="s">
        <v>129</v>
      </c>
      <c r="O723" s="1119">
        <v>537682545</v>
      </c>
      <c r="P723" s="1119">
        <v>537682545</v>
      </c>
      <c r="Q723" s="1119"/>
      <c r="R723" s="1171">
        <v>40686</v>
      </c>
      <c r="S723" s="1351">
        <v>530323200</v>
      </c>
      <c r="T723" s="1351">
        <v>530323200</v>
      </c>
      <c r="U723" s="1351">
        <f>O723-T723</f>
        <v>7359345</v>
      </c>
      <c r="V723" s="1119">
        <v>530323200</v>
      </c>
      <c r="W723" s="1224"/>
      <c r="X723" s="1076"/>
      <c r="Y723" s="372" t="s">
        <v>1105</v>
      </c>
      <c r="Z723" s="386">
        <v>0</v>
      </c>
      <c r="AA723" s="386">
        <v>265161600</v>
      </c>
      <c r="AB723" s="386">
        <f t="shared" si="42"/>
        <v>265161600</v>
      </c>
      <c r="AC723" s="384">
        <v>40765</v>
      </c>
      <c r="AD723" s="395">
        <v>265161600</v>
      </c>
      <c r="AE723" s="395" t="s">
        <v>129</v>
      </c>
      <c r="AF723" s="1215">
        <f>SUM(AD723:AD726)</f>
        <v>530323200</v>
      </c>
      <c r="AG723" s="1215"/>
      <c r="AH723" s="395">
        <f t="shared" si="43"/>
        <v>0</v>
      </c>
      <c r="AI723" s="1215">
        <f>S723-SUM(AD723:AD726)</f>
        <v>0</v>
      </c>
      <c r="AJ723" s="1215"/>
      <c r="AK723" s="1215">
        <f>S723-V723</f>
        <v>0</v>
      </c>
      <c r="AL723" s="1215">
        <f>V723-SUM(Z723:Z726)</f>
        <v>0</v>
      </c>
      <c r="AM723" s="1215">
        <f>AK723+AL723</f>
        <v>0</v>
      </c>
      <c r="AN723" s="1203"/>
      <c r="AO723" s="1204"/>
      <c r="AP723" s="1204"/>
      <c r="AQ723" s="1204"/>
    </row>
    <row r="724" spans="1:43" s="24" customFormat="1" ht="78.75">
      <c r="A724" s="1076"/>
      <c r="B724" s="1171"/>
      <c r="C724" s="1076"/>
      <c r="D724" s="1076"/>
      <c r="E724" s="1208"/>
      <c r="F724" s="1208"/>
      <c r="G724" s="1076"/>
      <c r="H724" s="1076"/>
      <c r="I724" s="1076"/>
      <c r="J724" s="1076"/>
      <c r="K724" s="1076"/>
      <c r="L724" s="1076"/>
      <c r="M724" s="1245"/>
      <c r="N724" s="1123"/>
      <c r="O724" s="1119"/>
      <c r="P724" s="1119"/>
      <c r="Q724" s="1119"/>
      <c r="R724" s="1171"/>
      <c r="S724" s="1351"/>
      <c r="T724" s="1351"/>
      <c r="U724" s="1351"/>
      <c r="V724" s="1119"/>
      <c r="W724" s="1224"/>
      <c r="X724" s="1076"/>
      <c r="Y724" s="372" t="s">
        <v>1104</v>
      </c>
      <c r="Z724" s="386">
        <v>202907750</v>
      </c>
      <c r="AA724" s="386">
        <v>-101453875</v>
      </c>
      <c r="AB724" s="386">
        <f t="shared" si="42"/>
        <v>101453875</v>
      </c>
      <c r="AC724" s="384">
        <v>41089</v>
      </c>
      <c r="AD724" s="395">
        <v>101453875</v>
      </c>
      <c r="AE724" s="395" t="s">
        <v>129</v>
      </c>
      <c r="AF724" s="1215"/>
      <c r="AG724" s="1215"/>
      <c r="AH724" s="395">
        <f t="shared" si="43"/>
        <v>0</v>
      </c>
      <c r="AI724" s="1215"/>
      <c r="AJ724" s="1215"/>
      <c r="AK724" s="1215"/>
      <c r="AL724" s="1215"/>
      <c r="AM724" s="1215"/>
      <c r="AN724" s="1203"/>
      <c r="AO724" s="1204"/>
      <c r="AP724" s="1204"/>
      <c r="AQ724" s="1204"/>
    </row>
    <row r="725" spans="1:43" s="24" customFormat="1" ht="17.25" customHeight="1">
      <c r="A725" s="1076"/>
      <c r="B725" s="1171"/>
      <c r="C725" s="1076"/>
      <c r="D725" s="1076"/>
      <c r="E725" s="1208"/>
      <c r="F725" s="1208"/>
      <c r="G725" s="1076"/>
      <c r="H725" s="1076"/>
      <c r="I725" s="1076"/>
      <c r="J725" s="1076"/>
      <c r="K725" s="1076"/>
      <c r="L725" s="1076"/>
      <c r="M725" s="1245"/>
      <c r="N725" s="1123"/>
      <c r="O725" s="1119"/>
      <c r="P725" s="1119"/>
      <c r="Q725" s="1119"/>
      <c r="R725" s="1171"/>
      <c r="S725" s="1351"/>
      <c r="T725" s="1351"/>
      <c r="U725" s="1351"/>
      <c r="V725" s="1119"/>
      <c r="W725" s="1224"/>
      <c r="X725" s="1076"/>
      <c r="Y725" s="372" t="s">
        <v>1107</v>
      </c>
      <c r="Z725" s="386">
        <v>260789512</v>
      </c>
      <c r="AA725" s="386">
        <v>-130394756</v>
      </c>
      <c r="AB725" s="386">
        <f t="shared" si="42"/>
        <v>130394756</v>
      </c>
      <c r="AC725" s="384">
        <v>41208</v>
      </c>
      <c r="AD725" s="395">
        <v>130394756</v>
      </c>
      <c r="AE725" s="395" t="s">
        <v>129</v>
      </c>
      <c r="AF725" s="1215"/>
      <c r="AG725" s="1215"/>
      <c r="AH725" s="395">
        <f t="shared" si="43"/>
        <v>0</v>
      </c>
      <c r="AI725" s="1215"/>
      <c r="AJ725" s="1215"/>
      <c r="AK725" s="1215"/>
      <c r="AL725" s="1215"/>
      <c r="AM725" s="1215"/>
      <c r="AN725" s="1203"/>
      <c r="AO725" s="1204"/>
      <c r="AP725" s="1204"/>
      <c r="AQ725" s="1204"/>
    </row>
    <row r="726" spans="1:43" s="24" customFormat="1" ht="78.75">
      <c r="A726" s="1076"/>
      <c r="B726" s="1171"/>
      <c r="C726" s="1076"/>
      <c r="D726" s="1076"/>
      <c r="E726" s="1208"/>
      <c r="F726" s="1208"/>
      <c r="G726" s="1076"/>
      <c r="H726" s="1076"/>
      <c r="I726" s="1076"/>
      <c r="J726" s="1076"/>
      <c r="K726" s="1076"/>
      <c r="L726" s="1076"/>
      <c r="M726" s="1245"/>
      <c r="N726" s="1123"/>
      <c r="O726" s="1119"/>
      <c r="P726" s="1119"/>
      <c r="Q726" s="1119"/>
      <c r="R726" s="1171"/>
      <c r="S726" s="1351"/>
      <c r="T726" s="1351"/>
      <c r="U726" s="1351"/>
      <c r="V726" s="1119"/>
      <c r="W726" s="1224"/>
      <c r="X726" s="1076"/>
      <c r="Y726" s="372" t="s">
        <v>1106</v>
      </c>
      <c r="Z726" s="386">
        <v>66625938</v>
      </c>
      <c r="AA726" s="386">
        <v>-33312969</v>
      </c>
      <c r="AB726" s="386">
        <f t="shared" si="42"/>
        <v>33312969</v>
      </c>
      <c r="AC726" s="384">
        <v>41451</v>
      </c>
      <c r="AD726" s="395">
        <v>33312969</v>
      </c>
      <c r="AE726" s="395" t="s">
        <v>129</v>
      </c>
      <c r="AF726" s="1215"/>
      <c r="AG726" s="1215"/>
      <c r="AH726" s="395">
        <f t="shared" si="43"/>
        <v>0</v>
      </c>
      <c r="AI726" s="1215"/>
      <c r="AJ726" s="1215"/>
      <c r="AK726" s="1215"/>
      <c r="AL726" s="1215"/>
      <c r="AM726" s="1215"/>
      <c r="AN726" s="1203"/>
      <c r="AO726" s="1204"/>
      <c r="AP726" s="1204"/>
      <c r="AQ726" s="1204"/>
    </row>
    <row r="727" spans="1:43" ht="78.75">
      <c r="A727" s="1076" t="s">
        <v>1109</v>
      </c>
      <c r="B727" s="1171">
        <v>40822</v>
      </c>
      <c r="C727" s="1076" t="s">
        <v>44</v>
      </c>
      <c r="D727" s="1076" t="s">
        <v>1110</v>
      </c>
      <c r="E727" s="1208">
        <v>72222176</v>
      </c>
      <c r="F727" s="1208"/>
      <c r="G727" s="1076" t="s">
        <v>1111</v>
      </c>
      <c r="H727" s="1076" t="s">
        <v>71</v>
      </c>
      <c r="I727" s="1076" t="s">
        <v>1086</v>
      </c>
      <c r="J727" s="1076" t="s">
        <v>66</v>
      </c>
      <c r="K727" s="1076" t="s">
        <v>183</v>
      </c>
      <c r="L727" s="1076" t="s">
        <v>1117</v>
      </c>
      <c r="M727" s="1245">
        <v>1</v>
      </c>
      <c r="N727" s="1123" t="s">
        <v>141</v>
      </c>
      <c r="O727" s="1119">
        <v>485545287</v>
      </c>
      <c r="P727" s="1119">
        <v>485545287</v>
      </c>
      <c r="Q727" s="1119">
        <f>P727+P730</f>
        <v>1585545287</v>
      </c>
      <c r="R727" s="1171">
        <v>40723</v>
      </c>
      <c r="S727" s="1119">
        <v>485545287</v>
      </c>
      <c r="T727" s="1119">
        <v>485545287</v>
      </c>
      <c r="U727" s="1119">
        <f>O727-T727</f>
        <v>0</v>
      </c>
      <c r="V727" s="1119">
        <v>485545288</v>
      </c>
      <c r="W727" s="1119">
        <v>1566678737</v>
      </c>
      <c r="X727" s="1076" t="s">
        <v>1112</v>
      </c>
      <c r="Y727" s="372" t="s">
        <v>1113</v>
      </c>
      <c r="Z727" s="386">
        <v>0</v>
      </c>
      <c r="AA727" s="386">
        <v>242772644</v>
      </c>
      <c r="AB727" s="386">
        <f t="shared" si="42"/>
        <v>242772644</v>
      </c>
      <c r="AC727" s="384">
        <v>40877</v>
      </c>
      <c r="AD727" s="395">
        <v>242772644</v>
      </c>
      <c r="AE727" s="395" t="s">
        <v>141</v>
      </c>
      <c r="AF727" s="1084">
        <f>SUM(AD727:AD729)</f>
        <v>485545236.10000002</v>
      </c>
      <c r="AG727" s="1084">
        <f>AF727+AF730</f>
        <v>1566678571.5</v>
      </c>
      <c r="AH727" s="358">
        <f t="shared" si="43"/>
        <v>0</v>
      </c>
      <c r="AI727" s="1084">
        <f>S727-SUM(AD727:AD729)</f>
        <v>50.899999976158142</v>
      </c>
      <c r="AJ727" s="1119">
        <f>SUM(Z727:Z732)-SUM(AD727:AD732)</f>
        <v>0</v>
      </c>
      <c r="AK727" s="1119">
        <f>S727-V727</f>
        <v>-1</v>
      </c>
      <c r="AL727" s="1119">
        <f>V727-SUM(Z727:Z729)</f>
        <v>51.899999976158142</v>
      </c>
      <c r="AM727" s="1119">
        <f>AK727+AL727</f>
        <v>50.899999976158142</v>
      </c>
      <c r="AN727" s="1203" t="s">
        <v>1116</v>
      </c>
      <c r="AO727" s="1203" t="s">
        <v>1118</v>
      </c>
      <c r="AP727" s="1203" t="s">
        <v>194</v>
      </c>
      <c r="AQ727" s="1203" t="s">
        <v>1097</v>
      </c>
    </row>
    <row r="728" spans="1:43" ht="78.75">
      <c r="A728" s="1076"/>
      <c r="B728" s="1171"/>
      <c r="C728" s="1076"/>
      <c r="D728" s="1076"/>
      <c r="E728" s="1208"/>
      <c r="F728" s="1208"/>
      <c r="G728" s="1076"/>
      <c r="H728" s="1076"/>
      <c r="I728" s="1076"/>
      <c r="J728" s="1076"/>
      <c r="K728" s="1076"/>
      <c r="L728" s="1076"/>
      <c r="M728" s="1245"/>
      <c r="N728" s="1123"/>
      <c r="O728" s="1119"/>
      <c r="P728" s="1119"/>
      <c r="Q728" s="1119"/>
      <c r="R728" s="1171"/>
      <c r="S728" s="1119"/>
      <c r="T728" s="1119"/>
      <c r="U728" s="1119"/>
      <c r="V728" s="1119"/>
      <c r="W728" s="1119"/>
      <c r="X728" s="1076"/>
      <c r="Y728" s="372" t="s">
        <v>1114</v>
      </c>
      <c r="Z728" s="386">
        <v>433694464.06</v>
      </c>
      <c r="AA728" s="386">
        <v>-242772644</v>
      </c>
      <c r="AB728" s="386">
        <f t="shared" si="42"/>
        <v>190921820.06</v>
      </c>
      <c r="AC728" s="384">
        <v>41260</v>
      </c>
      <c r="AD728" s="395">
        <v>190921820.06</v>
      </c>
      <c r="AE728" s="395" t="s">
        <v>141</v>
      </c>
      <c r="AF728" s="1084"/>
      <c r="AG728" s="1084"/>
      <c r="AH728" s="358">
        <f t="shared" si="43"/>
        <v>0</v>
      </c>
      <c r="AI728" s="1084"/>
      <c r="AJ728" s="1119"/>
      <c r="AK728" s="1119"/>
      <c r="AL728" s="1119"/>
      <c r="AM728" s="1119"/>
      <c r="AN728" s="1203"/>
      <c r="AO728" s="1203"/>
      <c r="AP728" s="1203"/>
      <c r="AQ728" s="1203"/>
    </row>
    <row r="729" spans="1:43" ht="78.75">
      <c r="A729" s="1076"/>
      <c r="B729" s="1171"/>
      <c r="C729" s="1076"/>
      <c r="D729" s="1076"/>
      <c r="E729" s="1208"/>
      <c r="F729" s="1208"/>
      <c r="G729" s="1076"/>
      <c r="H729" s="1076"/>
      <c r="I729" s="1076"/>
      <c r="J729" s="1076"/>
      <c r="K729" s="1076"/>
      <c r="L729" s="1076"/>
      <c r="M729" s="1245"/>
      <c r="N729" s="1123"/>
      <c r="O729" s="1119"/>
      <c r="P729" s="1119"/>
      <c r="Q729" s="1119"/>
      <c r="R729" s="1171"/>
      <c r="S729" s="1119"/>
      <c r="T729" s="1119"/>
      <c r="U729" s="1119"/>
      <c r="V729" s="1119"/>
      <c r="W729" s="1119"/>
      <c r="X729" s="1076"/>
      <c r="Y729" s="372" t="s">
        <v>1115</v>
      </c>
      <c r="Z729" s="386">
        <v>51850772.039999999</v>
      </c>
      <c r="AA729" s="386">
        <v>0</v>
      </c>
      <c r="AB729" s="386">
        <f t="shared" si="42"/>
        <v>51850772.039999999</v>
      </c>
      <c r="AC729" s="384">
        <v>41564</v>
      </c>
      <c r="AD729" s="395">
        <v>51850772.039999999</v>
      </c>
      <c r="AE729" s="395" t="s">
        <v>141</v>
      </c>
      <c r="AF729" s="1084"/>
      <c r="AG729" s="1084"/>
      <c r="AH729" s="358">
        <f t="shared" si="43"/>
        <v>0</v>
      </c>
      <c r="AI729" s="1084"/>
      <c r="AJ729" s="1119"/>
      <c r="AK729" s="1119"/>
      <c r="AL729" s="1119"/>
      <c r="AM729" s="1119"/>
      <c r="AN729" s="1203"/>
      <c r="AO729" s="1203"/>
      <c r="AP729" s="1203"/>
      <c r="AQ729" s="1203"/>
    </row>
    <row r="730" spans="1:43" ht="78.75">
      <c r="A730" s="1076"/>
      <c r="B730" s="1171"/>
      <c r="C730" s="1076"/>
      <c r="D730" s="1076"/>
      <c r="E730" s="1208"/>
      <c r="F730" s="1208"/>
      <c r="G730" s="1076"/>
      <c r="H730" s="1076"/>
      <c r="I730" s="1076"/>
      <c r="J730" s="1076"/>
      <c r="K730" s="1076"/>
      <c r="L730" s="1076"/>
      <c r="M730" s="1245">
        <v>176</v>
      </c>
      <c r="N730" s="1123" t="s">
        <v>7</v>
      </c>
      <c r="O730" s="1119">
        <v>1100000000</v>
      </c>
      <c r="P730" s="1119">
        <v>1100000000</v>
      </c>
      <c r="Q730" s="1119"/>
      <c r="R730" s="1171">
        <v>40723</v>
      </c>
      <c r="S730" s="1119">
        <v>1081133450</v>
      </c>
      <c r="T730" s="1119">
        <v>1081133450</v>
      </c>
      <c r="U730" s="1119">
        <f>O730-T730</f>
        <v>18866550</v>
      </c>
      <c r="V730" s="1119">
        <v>1081133450</v>
      </c>
      <c r="W730" s="1119"/>
      <c r="X730" s="1076"/>
      <c r="Y730" s="372" t="s">
        <v>1113</v>
      </c>
      <c r="Z730" s="386">
        <v>0</v>
      </c>
      <c r="AA730" s="386">
        <v>540566725</v>
      </c>
      <c r="AB730" s="386">
        <f t="shared" si="42"/>
        <v>540566725</v>
      </c>
      <c r="AC730" s="384">
        <v>40877</v>
      </c>
      <c r="AD730" s="395">
        <v>540566725</v>
      </c>
      <c r="AE730" s="395" t="s">
        <v>7</v>
      </c>
      <c r="AF730" s="1084">
        <f>SUM(AD730:AD732)</f>
        <v>1081133335.4000001</v>
      </c>
      <c r="AG730" s="1084"/>
      <c r="AH730" s="358">
        <f t="shared" si="43"/>
        <v>0</v>
      </c>
      <c r="AI730" s="1084">
        <f>S730-SUM(AD730:AD732)</f>
        <v>114.59999990463257</v>
      </c>
      <c r="AJ730" s="1119"/>
      <c r="AK730" s="1119">
        <f>S730-V730</f>
        <v>0</v>
      </c>
      <c r="AL730" s="1119">
        <f>S730-SUM(Z730:Z732)</f>
        <v>114.59999990463257</v>
      </c>
      <c r="AM730" s="1119">
        <f>AK730+AL730</f>
        <v>114.59999990463257</v>
      </c>
      <c r="AN730" s="1203"/>
      <c r="AO730" s="1203"/>
      <c r="AP730" s="1203"/>
      <c r="AQ730" s="1203"/>
    </row>
    <row r="731" spans="1:43" ht="78.75">
      <c r="A731" s="1076"/>
      <c r="B731" s="1171"/>
      <c r="C731" s="1076"/>
      <c r="D731" s="1076"/>
      <c r="E731" s="1208"/>
      <c r="F731" s="1208"/>
      <c r="G731" s="1076"/>
      <c r="H731" s="1076"/>
      <c r="I731" s="1076"/>
      <c r="J731" s="1076"/>
      <c r="K731" s="1076"/>
      <c r="L731" s="1076"/>
      <c r="M731" s="1245"/>
      <c r="N731" s="1123"/>
      <c r="O731" s="1119"/>
      <c r="P731" s="1119"/>
      <c r="Q731" s="1119"/>
      <c r="R731" s="1171"/>
      <c r="S731" s="1119"/>
      <c r="T731" s="1119"/>
      <c r="U731" s="1119"/>
      <c r="V731" s="1119"/>
      <c r="W731" s="1119"/>
      <c r="X731" s="1076"/>
      <c r="Y731" s="372" t="s">
        <v>1114</v>
      </c>
      <c r="Z731" s="386">
        <v>965521744.44000006</v>
      </c>
      <c r="AA731" s="386">
        <v>-540566725</v>
      </c>
      <c r="AB731" s="386">
        <f t="shared" si="42"/>
        <v>424955019.44000006</v>
      </c>
      <c r="AC731" s="384">
        <v>41260</v>
      </c>
      <c r="AD731" s="395">
        <v>424955019.44</v>
      </c>
      <c r="AE731" s="395" t="s">
        <v>7</v>
      </c>
      <c r="AF731" s="1084"/>
      <c r="AG731" s="1084"/>
      <c r="AH731" s="358">
        <f t="shared" si="43"/>
        <v>0</v>
      </c>
      <c r="AI731" s="1084"/>
      <c r="AJ731" s="1119"/>
      <c r="AK731" s="1119"/>
      <c r="AL731" s="1119"/>
      <c r="AM731" s="1119"/>
      <c r="AN731" s="1203"/>
      <c r="AO731" s="1203"/>
      <c r="AP731" s="1203"/>
      <c r="AQ731" s="1203"/>
    </row>
    <row r="732" spans="1:43" ht="78.75">
      <c r="A732" s="1076"/>
      <c r="B732" s="1171"/>
      <c r="C732" s="1076"/>
      <c r="D732" s="1076"/>
      <c r="E732" s="1208"/>
      <c r="F732" s="1208"/>
      <c r="G732" s="1076"/>
      <c r="H732" s="1076"/>
      <c r="I732" s="1076"/>
      <c r="J732" s="1076"/>
      <c r="K732" s="1076"/>
      <c r="L732" s="1076"/>
      <c r="M732" s="1245"/>
      <c r="N732" s="1123"/>
      <c r="O732" s="1119"/>
      <c r="P732" s="1119"/>
      <c r="Q732" s="1119"/>
      <c r="R732" s="1171"/>
      <c r="S732" s="1119"/>
      <c r="T732" s="1119"/>
      <c r="U732" s="1119"/>
      <c r="V732" s="1119"/>
      <c r="W732" s="1119"/>
      <c r="X732" s="1076"/>
      <c r="Y732" s="372" t="s">
        <v>1115</v>
      </c>
      <c r="Z732" s="386">
        <v>115611590.95999999</v>
      </c>
      <c r="AA732" s="386">
        <v>0</v>
      </c>
      <c r="AB732" s="386">
        <f t="shared" si="42"/>
        <v>115611590.95999999</v>
      </c>
      <c r="AC732" s="384">
        <v>41564</v>
      </c>
      <c r="AD732" s="395">
        <v>115611590.95999999</v>
      </c>
      <c r="AE732" s="395" t="s">
        <v>7</v>
      </c>
      <c r="AF732" s="1084"/>
      <c r="AG732" s="1084"/>
      <c r="AH732" s="358">
        <f t="shared" si="43"/>
        <v>0</v>
      </c>
      <c r="AI732" s="1084"/>
      <c r="AJ732" s="1119"/>
      <c r="AK732" s="1119"/>
      <c r="AL732" s="1119"/>
      <c r="AM732" s="1119"/>
      <c r="AN732" s="1203"/>
      <c r="AO732" s="1203"/>
      <c r="AP732" s="1203"/>
      <c r="AQ732" s="1203"/>
    </row>
    <row r="733" spans="1:43" s="4" customFormat="1" ht="17.25" customHeight="1">
      <c r="A733" s="1076" t="s">
        <v>1149</v>
      </c>
      <c r="B733" s="1171">
        <v>40822</v>
      </c>
      <c r="C733" s="1076" t="s">
        <v>43</v>
      </c>
      <c r="D733" s="1076" t="s">
        <v>1151</v>
      </c>
      <c r="E733" s="1208">
        <v>900470501</v>
      </c>
      <c r="F733" s="1208">
        <v>9</v>
      </c>
      <c r="G733" s="1076" t="s">
        <v>1150</v>
      </c>
      <c r="H733" s="1076" t="s">
        <v>71</v>
      </c>
      <c r="I733" s="1076" t="s">
        <v>1086</v>
      </c>
      <c r="J733" s="1076" t="s">
        <v>66</v>
      </c>
      <c r="K733" s="1076" t="s">
        <v>183</v>
      </c>
      <c r="L733" s="1076" t="s">
        <v>1152</v>
      </c>
      <c r="M733" s="1350">
        <v>183</v>
      </c>
      <c r="N733" s="1122" t="s">
        <v>137</v>
      </c>
      <c r="O733" s="1119">
        <v>29937981</v>
      </c>
      <c r="P733" s="1119">
        <f>O733+O741</f>
        <v>113912245</v>
      </c>
      <c r="Q733" s="1224">
        <f>P733+P743+P748</f>
        <v>493397628</v>
      </c>
      <c r="R733" s="1171">
        <v>40753</v>
      </c>
      <c r="S733" s="1295">
        <f>T733+T741</f>
        <v>113912245</v>
      </c>
      <c r="T733" s="1119">
        <v>29937981</v>
      </c>
      <c r="U733" s="1119">
        <f>O733-T733</f>
        <v>0</v>
      </c>
      <c r="V733" s="1119">
        <v>29566743</v>
      </c>
      <c r="W733" s="1119">
        <v>487926297</v>
      </c>
      <c r="X733" s="1076" t="s">
        <v>1112</v>
      </c>
      <c r="Y733" s="1123" t="s">
        <v>1153</v>
      </c>
      <c r="Z733" s="386">
        <v>0</v>
      </c>
      <c r="AA733" s="386">
        <v>14783371.5</v>
      </c>
      <c r="AB733" s="386">
        <f t="shared" si="42"/>
        <v>14783371.5</v>
      </c>
      <c r="AC733" s="1171">
        <v>40898</v>
      </c>
      <c r="AD733" s="395">
        <v>14783371.51</v>
      </c>
      <c r="AE733" s="395" t="s">
        <v>137</v>
      </c>
      <c r="AF733" s="1084">
        <f>SUM(AD733:AD742)</f>
        <v>112499707</v>
      </c>
      <c r="AG733" s="1084">
        <f>AF733+AF743+AF748</f>
        <v>487926295</v>
      </c>
      <c r="AH733" s="358">
        <f t="shared" si="43"/>
        <v>-9.9999997764825821E-3</v>
      </c>
      <c r="AI733" s="1084">
        <f>O733-SUM(AD735:AD741)-AD733</f>
        <v>-36860408.009999998</v>
      </c>
      <c r="AJ733" s="1119">
        <f>SUM(Z733:Z748)-SUM(AD733:AD748)</f>
        <v>1</v>
      </c>
      <c r="AK733" s="1119">
        <f>O733-V733</f>
        <v>371238</v>
      </c>
      <c r="AL733" s="1119">
        <f>SUM(V733:V742)-SUM(Z733:Z742)</f>
        <v>1</v>
      </c>
      <c r="AM733" s="1224">
        <f>AK733+AK741+AL733</f>
        <v>1412538</v>
      </c>
      <c r="AN733" s="1203" t="s">
        <v>606</v>
      </c>
      <c r="AO733" s="1204" t="s">
        <v>1159</v>
      </c>
      <c r="AP733" s="1204" t="s">
        <v>195</v>
      </c>
      <c r="AQ733" s="1204" t="s">
        <v>1097</v>
      </c>
    </row>
    <row r="734" spans="1:43" s="4" customFormat="1" ht="17.25" customHeight="1">
      <c r="A734" s="1076"/>
      <c r="B734" s="1171"/>
      <c r="C734" s="1076"/>
      <c r="D734" s="1076"/>
      <c r="E734" s="1208"/>
      <c r="F734" s="1208"/>
      <c r="G734" s="1076"/>
      <c r="H734" s="1076"/>
      <c r="I734" s="1076"/>
      <c r="J734" s="1076"/>
      <c r="K734" s="1076"/>
      <c r="L734" s="1076"/>
      <c r="M734" s="1350"/>
      <c r="N734" s="1122"/>
      <c r="O734" s="1119"/>
      <c r="P734" s="1119"/>
      <c r="Q734" s="1224"/>
      <c r="R734" s="1171"/>
      <c r="S734" s="1295"/>
      <c r="T734" s="1119"/>
      <c r="U734" s="1119"/>
      <c r="V734" s="1119"/>
      <c r="W734" s="1119"/>
      <c r="X734" s="1076"/>
      <c r="Y734" s="1123"/>
      <c r="Z734" s="386">
        <v>0</v>
      </c>
      <c r="AA734" s="386">
        <v>41466482.5</v>
      </c>
      <c r="AB734" s="386">
        <f t="shared" si="42"/>
        <v>41466482.5</v>
      </c>
      <c r="AC734" s="1171"/>
      <c r="AD734" s="395">
        <v>41466482.490000002</v>
      </c>
      <c r="AE734" s="395" t="s">
        <v>7</v>
      </c>
      <c r="AF734" s="1084"/>
      <c r="AG734" s="1084"/>
      <c r="AH734" s="358">
        <f t="shared" si="43"/>
        <v>9.9999979138374329E-3</v>
      </c>
      <c r="AI734" s="1084"/>
      <c r="AJ734" s="1119"/>
      <c r="AK734" s="1119"/>
      <c r="AL734" s="1119"/>
      <c r="AM734" s="1224"/>
      <c r="AN734" s="1203"/>
      <c r="AO734" s="1204"/>
      <c r="AP734" s="1204"/>
      <c r="AQ734" s="1204"/>
    </row>
    <row r="735" spans="1:43" s="4" customFormat="1" ht="17.25" customHeight="1">
      <c r="A735" s="1076"/>
      <c r="B735" s="1171"/>
      <c r="C735" s="1076"/>
      <c r="D735" s="1076"/>
      <c r="E735" s="1208"/>
      <c r="F735" s="1208"/>
      <c r="G735" s="1076"/>
      <c r="H735" s="1076"/>
      <c r="I735" s="1076"/>
      <c r="J735" s="1076"/>
      <c r="K735" s="1076"/>
      <c r="L735" s="1076"/>
      <c r="M735" s="1350"/>
      <c r="N735" s="1122"/>
      <c r="O735" s="1119"/>
      <c r="P735" s="1119"/>
      <c r="Q735" s="1224"/>
      <c r="R735" s="1171"/>
      <c r="S735" s="1295"/>
      <c r="T735" s="1119"/>
      <c r="U735" s="1119"/>
      <c r="V735" s="1119"/>
      <c r="W735" s="1119"/>
      <c r="X735" s="1076"/>
      <c r="Y735" s="1123" t="s">
        <v>1154</v>
      </c>
      <c r="Z735" s="386">
        <v>9611380</v>
      </c>
      <c r="AA735" s="386">
        <v>-4805690</v>
      </c>
      <c r="AB735" s="386">
        <f t="shared" ref="AB735:AB753" si="44">Z735+AA735</f>
        <v>4805690</v>
      </c>
      <c r="AC735" s="1171">
        <v>41032</v>
      </c>
      <c r="AD735" s="395">
        <v>4805690</v>
      </c>
      <c r="AE735" s="395" t="s">
        <v>137</v>
      </c>
      <c r="AF735" s="1084"/>
      <c r="AG735" s="1084"/>
      <c r="AH735" s="358">
        <f t="shared" si="43"/>
        <v>0</v>
      </c>
      <c r="AI735" s="1084"/>
      <c r="AJ735" s="1119"/>
      <c r="AK735" s="1119"/>
      <c r="AL735" s="1119"/>
      <c r="AM735" s="1224"/>
      <c r="AN735" s="1203"/>
      <c r="AO735" s="1204"/>
      <c r="AP735" s="1204"/>
      <c r="AQ735" s="1204"/>
    </row>
    <row r="736" spans="1:43" s="4" customFormat="1" ht="17.25" customHeight="1">
      <c r="A736" s="1076"/>
      <c r="B736" s="1171"/>
      <c r="C736" s="1076"/>
      <c r="D736" s="1076"/>
      <c r="E736" s="1208"/>
      <c r="F736" s="1208"/>
      <c r="G736" s="1076"/>
      <c r="H736" s="1076"/>
      <c r="I736" s="1076"/>
      <c r="J736" s="1076"/>
      <c r="K736" s="1076"/>
      <c r="L736" s="1076"/>
      <c r="M736" s="1350"/>
      <c r="N736" s="1122"/>
      <c r="O736" s="1119"/>
      <c r="P736" s="1119"/>
      <c r="Q736" s="1224"/>
      <c r="R736" s="1171"/>
      <c r="S736" s="1295"/>
      <c r="T736" s="1119"/>
      <c r="U736" s="1119"/>
      <c r="V736" s="1119"/>
      <c r="W736" s="1119"/>
      <c r="X736" s="1076"/>
      <c r="Y736" s="1123"/>
      <c r="Z736" s="386">
        <v>26088032</v>
      </c>
      <c r="AA736" s="386">
        <v>-13044016</v>
      </c>
      <c r="AB736" s="386">
        <f t="shared" si="44"/>
        <v>13044016</v>
      </c>
      <c r="AC736" s="1171"/>
      <c r="AD736" s="395">
        <v>13044016</v>
      </c>
      <c r="AE736" s="395" t="s">
        <v>137</v>
      </c>
      <c r="AF736" s="1084"/>
      <c r="AG736" s="1084"/>
      <c r="AH736" s="358">
        <f t="shared" si="43"/>
        <v>0</v>
      </c>
      <c r="AI736" s="1084"/>
      <c r="AJ736" s="1119"/>
      <c r="AK736" s="1119"/>
      <c r="AL736" s="1119"/>
      <c r="AM736" s="1224"/>
      <c r="AN736" s="1203"/>
      <c r="AO736" s="1204"/>
      <c r="AP736" s="1204"/>
      <c r="AQ736" s="1204"/>
    </row>
    <row r="737" spans="1:43" s="4" customFormat="1" ht="17.25" customHeight="1">
      <c r="A737" s="1076"/>
      <c r="B737" s="1171"/>
      <c r="C737" s="1076"/>
      <c r="D737" s="1076"/>
      <c r="E737" s="1208"/>
      <c r="F737" s="1208"/>
      <c r="G737" s="1076"/>
      <c r="H737" s="1076"/>
      <c r="I737" s="1076"/>
      <c r="J737" s="1076"/>
      <c r="K737" s="1076"/>
      <c r="L737" s="1076"/>
      <c r="M737" s="1350"/>
      <c r="N737" s="1122"/>
      <c r="O737" s="1119"/>
      <c r="P737" s="1119"/>
      <c r="Q737" s="1224"/>
      <c r="R737" s="1171"/>
      <c r="S737" s="1295"/>
      <c r="T737" s="1119"/>
      <c r="U737" s="1119"/>
      <c r="V737" s="1119"/>
      <c r="W737" s="1119"/>
      <c r="X737" s="1076"/>
      <c r="Y737" s="1123" t="s">
        <v>1155</v>
      </c>
      <c r="Z737" s="386">
        <v>6748694</v>
      </c>
      <c r="AA737" s="386">
        <v>-3374347</v>
      </c>
      <c r="AB737" s="386">
        <f t="shared" si="44"/>
        <v>3374347</v>
      </c>
      <c r="AC737" s="1171">
        <v>41088</v>
      </c>
      <c r="AD737" s="395">
        <v>3374347</v>
      </c>
      <c r="AE737" s="395" t="s">
        <v>137</v>
      </c>
      <c r="AF737" s="1084"/>
      <c r="AG737" s="1084"/>
      <c r="AH737" s="358">
        <f t="shared" si="43"/>
        <v>0</v>
      </c>
      <c r="AI737" s="1084"/>
      <c r="AJ737" s="1119"/>
      <c r="AK737" s="1119"/>
      <c r="AL737" s="1119"/>
      <c r="AM737" s="1224"/>
      <c r="AN737" s="1203"/>
      <c r="AO737" s="1204"/>
      <c r="AP737" s="1204"/>
      <c r="AQ737" s="1204"/>
    </row>
    <row r="738" spans="1:43" s="4" customFormat="1" ht="17.25" customHeight="1">
      <c r="A738" s="1076"/>
      <c r="B738" s="1171"/>
      <c r="C738" s="1076"/>
      <c r="D738" s="1076"/>
      <c r="E738" s="1208"/>
      <c r="F738" s="1208"/>
      <c r="G738" s="1076"/>
      <c r="H738" s="1076"/>
      <c r="I738" s="1076"/>
      <c r="J738" s="1076"/>
      <c r="K738" s="1076"/>
      <c r="L738" s="1076"/>
      <c r="M738" s="1350"/>
      <c r="N738" s="1122"/>
      <c r="O738" s="1119"/>
      <c r="P738" s="1119"/>
      <c r="Q738" s="1224"/>
      <c r="R738" s="1171"/>
      <c r="S738" s="1295"/>
      <c r="T738" s="1119"/>
      <c r="U738" s="1119"/>
      <c r="V738" s="1119"/>
      <c r="W738" s="1119"/>
      <c r="X738" s="1076"/>
      <c r="Y738" s="1123"/>
      <c r="Z738" s="386">
        <v>18929690</v>
      </c>
      <c r="AA738" s="386">
        <v>-9464845</v>
      </c>
      <c r="AB738" s="386">
        <f t="shared" si="44"/>
        <v>9464845</v>
      </c>
      <c r="AC738" s="1171"/>
      <c r="AD738" s="395">
        <v>9464845</v>
      </c>
      <c r="AE738" s="395" t="s">
        <v>137</v>
      </c>
      <c r="AF738" s="1084"/>
      <c r="AG738" s="1084"/>
      <c r="AH738" s="358">
        <f t="shared" si="43"/>
        <v>0</v>
      </c>
      <c r="AI738" s="1084"/>
      <c r="AJ738" s="1119"/>
      <c r="AK738" s="1119"/>
      <c r="AL738" s="1119"/>
      <c r="AM738" s="1224"/>
      <c r="AN738" s="1203"/>
      <c r="AO738" s="1204"/>
      <c r="AP738" s="1204"/>
      <c r="AQ738" s="1204"/>
    </row>
    <row r="739" spans="1:43" s="4" customFormat="1" ht="17.25" customHeight="1">
      <c r="A739" s="1076"/>
      <c r="B739" s="1171"/>
      <c r="C739" s="1076"/>
      <c r="D739" s="1076"/>
      <c r="E739" s="1208"/>
      <c r="F739" s="1208"/>
      <c r="G739" s="1076"/>
      <c r="H739" s="1076"/>
      <c r="I739" s="1076"/>
      <c r="J739" s="1076"/>
      <c r="K739" s="1076"/>
      <c r="L739" s="1076"/>
      <c r="M739" s="1350"/>
      <c r="N739" s="1122"/>
      <c r="O739" s="1119"/>
      <c r="P739" s="1119"/>
      <c r="Q739" s="1224"/>
      <c r="R739" s="1171"/>
      <c r="S739" s="1295"/>
      <c r="T739" s="1119"/>
      <c r="U739" s="1119"/>
      <c r="V739" s="1119"/>
      <c r="W739" s="1119"/>
      <c r="X739" s="1076"/>
      <c r="Y739" s="1123" t="s">
        <v>1156</v>
      </c>
      <c r="Z739" s="386">
        <v>10497751</v>
      </c>
      <c r="AA739" s="386">
        <v>-5248876</v>
      </c>
      <c r="AB739" s="386">
        <f t="shared" si="44"/>
        <v>5248875</v>
      </c>
      <c r="AC739" s="1171">
        <v>41094</v>
      </c>
      <c r="AD739" s="395">
        <v>5248875</v>
      </c>
      <c r="AE739" s="395" t="s">
        <v>137</v>
      </c>
      <c r="AF739" s="1084"/>
      <c r="AG739" s="1084"/>
      <c r="AH739" s="358">
        <f t="shared" si="43"/>
        <v>0</v>
      </c>
      <c r="AI739" s="1084"/>
      <c r="AJ739" s="1119"/>
      <c r="AK739" s="1119"/>
      <c r="AL739" s="1119"/>
      <c r="AM739" s="1224"/>
      <c r="AN739" s="1203"/>
      <c r="AO739" s="1204"/>
      <c r="AP739" s="1204"/>
      <c r="AQ739" s="1204"/>
    </row>
    <row r="740" spans="1:43" s="4" customFormat="1" ht="17.25" customHeight="1">
      <c r="A740" s="1076"/>
      <c r="B740" s="1171"/>
      <c r="C740" s="1076"/>
      <c r="D740" s="1076"/>
      <c r="E740" s="1208"/>
      <c r="F740" s="1208"/>
      <c r="G740" s="1076"/>
      <c r="H740" s="1076"/>
      <c r="I740" s="1076"/>
      <c r="J740" s="1076"/>
      <c r="K740" s="1076"/>
      <c r="L740" s="1076"/>
      <c r="M740" s="1350"/>
      <c r="N740" s="1122"/>
      <c r="O740" s="1119"/>
      <c r="P740" s="1119"/>
      <c r="Q740" s="1224"/>
      <c r="R740" s="1171"/>
      <c r="S740" s="1295"/>
      <c r="T740" s="1119"/>
      <c r="U740" s="1119"/>
      <c r="V740" s="1119"/>
      <c r="W740" s="1119"/>
      <c r="X740" s="1076"/>
      <c r="Y740" s="1123"/>
      <c r="Z740" s="386">
        <v>29445572</v>
      </c>
      <c r="AA740" s="386">
        <v>-14722786</v>
      </c>
      <c r="AB740" s="386">
        <f t="shared" si="44"/>
        <v>14722786</v>
      </c>
      <c r="AC740" s="1171"/>
      <c r="AD740" s="395">
        <v>14722786</v>
      </c>
      <c r="AE740" s="395" t="s">
        <v>137</v>
      </c>
      <c r="AF740" s="1084"/>
      <c r="AG740" s="1084"/>
      <c r="AH740" s="358">
        <f t="shared" si="43"/>
        <v>0</v>
      </c>
      <c r="AI740" s="1084"/>
      <c r="AJ740" s="1119"/>
      <c r="AK740" s="1119"/>
      <c r="AL740" s="1119"/>
      <c r="AM740" s="1224"/>
      <c r="AN740" s="1203"/>
      <c r="AO740" s="1204"/>
      <c r="AP740" s="1204"/>
      <c r="AQ740" s="1204"/>
    </row>
    <row r="741" spans="1:43" s="4" customFormat="1" ht="17.25" customHeight="1">
      <c r="A741" s="1076"/>
      <c r="B741" s="1171"/>
      <c r="C741" s="1076"/>
      <c r="D741" s="1076"/>
      <c r="E741" s="1208"/>
      <c r="F741" s="1208"/>
      <c r="G741" s="1076"/>
      <c r="H741" s="1076"/>
      <c r="I741" s="1076"/>
      <c r="J741" s="1076"/>
      <c r="K741" s="1076"/>
      <c r="L741" s="1076"/>
      <c r="M741" s="1350"/>
      <c r="N741" s="1122" t="s">
        <v>7</v>
      </c>
      <c r="O741" s="1119">
        <v>83974264</v>
      </c>
      <c r="P741" s="1119"/>
      <c r="Q741" s="1224"/>
      <c r="R741" s="1171"/>
      <c r="S741" s="1295"/>
      <c r="T741" s="1119">
        <v>83974264</v>
      </c>
      <c r="U741" s="1119">
        <f>O741-T741</f>
        <v>0</v>
      </c>
      <c r="V741" s="1119">
        <v>82932965</v>
      </c>
      <c r="W741" s="1119"/>
      <c r="X741" s="1076"/>
      <c r="Y741" s="1123" t="s">
        <v>1157</v>
      </c>
      <c r="Z741" s="386">
        <v>2708917</v>
      </c>
      <c r="AA741" s="386">
        <v>-1354458.5</v>
      </c>
      <c r="AB741" s="386">
        <f t="shared" si="44"/>
        <v>1354458.5</v>
      </c>
      <c r="AC741" s="1171">
        <v>41878</v>
      </c>
      <c r="AD741" s="395">
        <v>1354458.5</v>
      </c>
      <c r="AE741" s="395" t="s">
        <v>137</v>
      </c>
      <c r="AF741" s="1084"/>
      <c r="AG741" s="1084"/>
      <c r="AH741" s="358">
        <f t="shared" si="43"/>
        <v>0</v>
      </c>
      <c r="AI741" s="1084">
        <f>O741-AD734-AD742</f>
        <v>38272946.009999998</v>
      </c>
      <c r="AJ741" s="1119"/>
      <c r="AK741" s="1119">
        <f>O741-V741</f>
        <v>1041299</v>
      </c>
      <c r="AL741" s="1119"/>
      <c r="AM741" s="1224"/>
      <c r="AN741" s="1203"/>
      <c r="AO741" s="1204"/>
      <c r="AP741" s="1204"/>
      <c r="AQ741" s="1204"/>
    </row>
    <row r="742" spans="1:43" s="4" customFormat="1" ht="17.25" customHeight="1">
      <c r="A742" s="1076"/>
      <c r="B742" s="1171"/>
      <c r="C742" s="1076"/>
      <c r="D742" s="1076"/>
      <c r="E742" s="1208"/>
      <c r="F742" s="1208"/>
      <c r="G742" s="1076"/>
      <c r="H742" s="1076"/>
      <c r="I742" s="1076"/>
      <c r="J742" s="1076"/>
      <c r="K742" s="1076"/>
      <c r="L742" s="1076"/>
      <c r="M742" s="1350"/>
      <c r="N742" s="1122"/>
      <c r="O742" s="1119"/>
      <c r="P742" s="1119"/>
      <c r="Q742" s="1224"/>
      <c r="R742" s="1171"/>
      <c r="S742" s="1295"/>
      <c r="T742" s="1119"/>
      <c r="U742" s="1119"/>
      <c r="V742" s="1119"/>
      <c r="W742" s="1119"/>
      <c r="X742" s="1076"/>
      <c r="Y742" s="1123"/>
      <c r="Z742" s="386">
        <v>8469671</v>
      </c>
      <c r="AA742" s="386">
        <v>-4234835.5</v>
      </c>
      <c r="AB742" s="386">
        <f t="shared" si="44"/>
        <v>4234835.5</v>
      </c>
      <c r="AC742" s="1171"/>
      <c r="AD742" s="395">
        <v>4234835.5</v>
      </c>
      <c r="AE742" s="395" t="s">
        <v>7</v>
      </c>
      <c r="AF742" s="1084"/>
      <c r="AG742" s="1084"/>
      <c r="AH742" s="358">
        <f t="shared" si="43"/>
        <v>0</v>
      </c>
      <c r="AI742" s="1084"/>
      <c r="AJ742" s="1119"/>
      <c r="AK742" s="1119"/>
      <c r="AL742" s="1119"/>
      <c r="AM742" s="1224"/>
      <c r="AN742" s="1203"/>
      <c r="AO742" s="1204"/>
      <c r="AP742" s="1204"/>
      <c r="AQ742" s="1204"/>
    </row>
    <row r="743" spans="1:43" s="4" customFormat="1" ht="94.5">
      <c r="A743" s="1076"/>
      <c r="B743" s="1171"/>
      <c r="C743" s="1076"/>
      <c r="D743" s="1076"/>
      <c r="E743" s="1208"/>
      <c r="F743" s="1208"/>
      <c r="G743" s="1076"/>
      <c r="H743" s="1076"/>
      <c r="I743" s="1076"/>
      <c r="J743" s="1076"/>
      <c r="K743" s="1076"/>
      <c r="L743" s="1076"/>
      <c r="M743" s="1245">
        <v>1</v>
      </c>
      <c r="N743" s="1122" t="s">
        <v>169</v>
      </c>
      <c r="O743" s="1119">
        <v>327316179</v>
      </c>
      <c r="P743" s="1119">
        <v>327316179</v>
      </c>
      <c r="Q743" s="1224"/>
      <c r="R743" s="1171">
        <v>40753</v>
      </c>
      <c r="S743" s="1119">
        <v>327316179</v>
      </c>
      <c r="T743" s="1119">
        <v>327316179</v>
      </c>
      <c r="U743" s="1119">
        <f>O743-T743</f>
        <v>0</v>
      </c>
      <c r="V743" s="1119">
        <v>323257385</v>
      </c>
      <c r="W743" s="1119"/>
      <c r="X743" s="1076"/>
      <c r="Y743" s="372" t="s">
        <v>1153</v>
      </c>
      <c r="Z743" s="386">
        <v>0</v>
      </c>
      <c r="AA743" s="386">
        <v>161628692.5</v>
      </c>
      <c r="AB743" s="386">
        <f t="shared" si="44"/>
        <v>161628692.5</v>
      </c>
      <c r="AC743" s="384">
        <v>40898</v>
      </c>
      <c r="AD743" s="395">
        <v>161628692.5</v>
      </c>
      <c r="AE743" s="395" t="s">
        <v>169</v>
      </c>
      <c r="AF743" s="1084">
        <f>SUM(AD743:AD747)</f>
        <v>323257384</v>
      </c>
      <c r="AG743" s="1084"/>
      <c r="AH743" s="358">
        <f t="shared" si="43"/>
        <v>0</v>
      </c>
      <c r="AI743" s="1084">
        <f>O743-SUM(AD743:AD747)</f>
        <v>4058795</v>
      </c>
      <c r="AJ743" s="1119"/>
      <c r="AK743" s="1119">
        <f>P743-V743</f>
        <v>4058794</v>
      </c>
      <c r="AL743" s="1119">
        <f>V743-SUM(Z743:Z747)</f>
        <v>0</v>
      </c>
      <c r="AM743" s="1119">
        <f>AK743+AL743+AJ733</f>
        <v>4058795</v>
      </c>
      <c r="AN743" s="1203"/>
      <c r="AO743" s="1204"/>
      <c r="AP743" s="1204"/>
      <c r="AQ743" s="1204"/>
    </row>
    <row r="744" spans="1:43" s="4" customFormat="1" ht="63">
      <c r="A744" s="1076"/>
      <c r="B744" s="1171"/>
      <c r="C744" s="1076"/>
      <c r="D744" s="1076"/>
      <c r="E744" s="1208"/>
      <c r="F744" s="1208"/>
      <c r="G744" s="1076"/>
      <c r="H744" s="1076"/>
      <c r="I744" s="1076"/>
      <c r="J744" s="1076"/>
      <c r="K744" s="1076"/>
      <c r="L744" s="1076"/>
      <c r="M744" s="1245"/>
      <c r="N744" s="1122"/>
      <c r="O744" s="1119"/>
      <c r="P744" s="1119"/>
      <c r="Q744" s="1224"/>
      <c r="R744" s="1171"/>
      <c r="S744" s="1119"/>
      <c r="T744" s="1119"/>
      <c r="U744" s="1119"/>
      <c r="V744" s="1119"/>
      <c r="W744" s="1119"/>
      <c r="X744" s="1076"/>
      <c r="Y744" s="372" t="s">
        <v>1154</v>
      </c>
      <c r="Z744" s="386">
        <v>101606018</v>
      </c>
      <c r="AA744" s="386">
        <v>-50803009</v>
      </c>
      <c r="AB744" s="386">
        <f t="shared" si="44"/>
        <v>50803009</v>
      </c>
      <c r="AC744" s="384">
        <v>41032</v>
      </c>
      <c r="AD744" s="395">
        <v>50803009</v>
      </c>
      <c r="AE744" s="395" t="s">
        <v>169</v>
      </c>
      <c r="AF744" s="1084"/>
      <c r="AG744" s="1084"/>
      <c r="AH744" s="358">
        <f t="shared" si="43"/>
        <v>0</v>
      </c>
      <c r="AI744" s="1084"/>
      <c r="AJ744" s="1119"/>
      <c r="AK744" s="1119"/>
      <c r="AL744" s="1119"/>
      <c r="AM744" s="1119"/>
      <c r="AN744" s="1203"/>
      <c r="AO744" s="1204"/>
      <c r="AP744" s="1204"/>
      <c r="AQ744" s="1204"/>
    </row>
    <row r="745" spans="1:43" s="4" customFormat="1" ht="63">
      <c r="A745" s="1076"/>
      <c r="B745" s="1171"/>
      <c r="C745" s="1076"/>
      <c r="D745" s="1076"/>
      <c r="E745" s="1208"/>
      <c r="F745" s="1208"/>
      <c r="G745" s="1076"/>
      <c r="H745" s="1076"/>
      <c r="I745" s="1076"/>
      <c r="J745" s="1076"/>
      <c r="K745" s="1076"/>
      <c r="L745" s="1076"/>
      <c r="M745" s="1245"/>
      <c r="N745" s="1122"/>
      <c r="O745" s="1119"/>
      <c r="P745" s="1119"/>
      <c r="Q745" s="1224"/>
      <c r="R745" s="1171"/>
      <c r="S745" s="1119"/>
      <c r="T745" s="1119"/>
      <c r="U745" s="1119"/>
      <c r="V745" s="1119"/>
      <c r="W745" s="1119"/>
      <c r="X745" s="1076"/>
      <c r="Y745" s="372" t="s">
        <v>1155</v>
      </c>
      <c r="Z745" s="386">
        <v>73784438</v>
      </c>
      <c r="AA745" s="386">
        <v>-36892219</v>
      </c>
      <c r="AB745" s="386">
        <f t="shared" si="44"/>
        <v>36892219</v>
      </c>
      <c r="AC745" s="384">
        <v>41088</v>
      </c>
      <c r="AD745" s="395">
        <v>36892218</v>
      </c>
      <c r="AE745" s="395" t="s">
        <v>169</v>
      </c>
      <c r="AF745" s="1084"/>
      <c r="AG745" s="1084"/>
      <c r="AH745" s="358">
        <f t="shared" si="43"/>
        <v>1</v>
      </c>
      <c r="AI745" s="1084"/>
      <c r="AJ745" s="1119"/>
      <c r="AK745" s="1119"/>
      <c r="AL745" s="1119"/>
      <c r="AM745" s="1119"/>
      <c r="AN745" s="1203"/>
      <c r="AO745" s="1204"/>
      <c r="AP745" s="1204"/>
      <c r="AQ745" s="1204"/>
    </row>
    <row r="746" spans="1:43" s="4" customFormat="1" ht="78.75">
      <c r="A746" s="1076"/>
      <c r="B746" s="1171"/>
      <c r="C746" s="1076"/>
      <c r="D746" s="1076"/>
      <c r="E746" s="1208"/>
      <c r="F746" s="1208"/>
      <c r="G746" s="1076"/>
      <c r="H746" s="1076"/>
      <c r="I746" s="1076"/>
      <c r="J746" s="1076"/>
      <c r="K746" s="1076"/>
      <c r="L746" s="1076"/>
      <c r="M746" s="1245"/>
      <c r="N746" s="1122"/>
      <c r="O746" s="1119"/>
      <c r="P746" s="1119"/>
      <c r="Q746" s="1224"/>
      <c r="R746" s="1171"/>
      <c r="S746" s="1119"/>
      <c r="T746" s="1119"/>
      <c r="U746" s="1119"/>
      <c r="V746" s="1119"/>
      <c r="W746" s="1119"/>
      <c r="X746" s="1076"/>
      <c r="Y746" s="372" t="s">
        <v>1156</v>
      </c>
      <c r="Z746" s="386">
        <v>114773402</v>
      </c>
      <c r="AA746" s="386">
        <v>-57386701</v>
      </c>
      <c r="AB746" s="386">
        <f t="shared" si="44"/>
        <v>57386701</v>
      </c>
      <c r="AC746" s="384">
        <v>41094</v>
      </c>
      <c r="AD746" s="395">
        <v>57386701</v>
      </c>
      <c r="AE746" s="395" t="s">
        <v>169</v>
      </c>
      <c r="AF746" s="1084"/>
      <c r="AG746" s="1084"/>
      <c r="AH746" s="358">
        <f t="shared" si="43"/>
        <v>0</v>
      </c>
      <c r="AI746" s="1084"/>
      <c r="AJ746" s="1119"/>
      <c r="AK746" s="1119"/>
      <c r="AL746" s="1119"/>
      <c r="AM746" s="1119"/>
      <c r="AN746" s="1203"/>
      <c r="AO746" s="1204"/>
      <c r="AP746" s="1204"/>
      <c r="AQ746" s="1204"/>
    </row>
    <row r="747" spans="1:43" s="4" customFormat="1" ht="78.75">
      <c r="A747" s="1076"/>
      <c r="B747" s="1171"/>
      <c r="C747" s="1076"/>
      <c r="D747" s="1076"/>
      <c r="E747" s="1208"/>
      <c r="F747" s="1208"/>
      <c r="G747" s="1076"/>
      <c r="H747" s="1076"/>
      <c r="I747" s="1076"/>
      <c r="J747" s="1076"/>
      <c r="K747" s="1076"/>
      <c r="L747" s="1076"/>
      <c r="M747" s="1245"/>
      <c r="N747" s="1122"/>
      <c r="O747" s="1119"/>
      <c r="P747" s="1119"/>
      <c r="Q747" s="1224"/>
      <c r="R747" s="1171"/>
      <c r="S747" s="1119"/>
      <c r="T747" s="1119"/>
      <c r="U747" s="1119"/>
      <c r="V747" s="1119"/>
      <c r="W747" s="1119"/>
      <c r="X747" s="1076"/>
      <c r="Y747" s="372" t="s">
        <v>1157</v>
      </c>
      <c r="Z747" s="386">
        <v>33093527</v>
      </c>
      <c r="AA747" s="386">
        <v>-16546763.5</v>
      </c>
      <c r="AB747" s="386">
        <f t="shared" si="44"/>
        <v>16546763.5</v>
      </c>
      <c r="AC747" s="384">
        <v>41878</v>
      </c>
      <c r="AD747" s="395">
        <v>16546763.5</v>
      </c>
      <c r="AE747" s="395" t="s">
        <v>169</v>
      </c>
      <c r="AF747" s="1084"/>
      <c r="AG747" s="1084"/>
      <c r="AH747" s="358">
        <f t="shared" si="43"/>
        <v>0</v>
      </c>
      <c r="AI747" s="1084"/>
      <c r="AJ747" s="1119"/>
      <c r="AK747" s="1119"/>
      <c r="AL747" s="1119"/>
      <c r="AM747" s="1119"/>
      <c r="AN747" s="1203"/>
      <c r="AO747" s="1204"/>
      <c r="AP747" s="1204"/>
      <c r="AQ747" s="1204"/>
    </row>
    <row r="748" spans="1:43" s="4" customFormat="1" ht="78.75">
      <c r="A748" s="1076"/>
      <c r="B748" s="1171"/>
      <c r="C748" s="1076"/>
      <c r="D748" s="1076"/>
      <c r="E748" s="1208"/>
      <c r="F748" s="1208"/>
      <c r="G748" s="1076"/>
      <c r="H748" s="1076"/>
      <c r="I748" s="1076"/>
      <c r="J748" s="354" t="s">
        <v>67</v>
      </c>
      <c r="K748" s="1076"/>
      <c r="L748" s="1076"/>
      <c r="M748" s="404">
        <v>5</v>
      </c>
      <c r="N748" s="372" t="s">
        <v>169</v>
      </c>
      <c r="O748" s="386">
        <v>52169204</v>
      </c>
      <c r="P748" s="386">
        <f>O748</f>
        <v>52169204</v>
      </c>
      <c r="Q748" s="1224"/>
      <c r="R748" s="384">
        <v>41234</v>
      </c>
      <c r="S748" s="386">
        <v>52169204</v>
      </c>
      <c r="T748" s="386">
        <v>52169204</v>
      </c>
      <c r="U748" s="386">
        <f>O748-T748</f>
        <v>0</v>
      </c>
      <c r="V748" s="386">
        <f>P748</f>
        <v>52169204</v>
      </c>
      <c r="W748" s="1119"/>
      <c r="X748" s="1076"/>
      <c r="Y748" s="372" t="s">
        <v>1158</v>
      </c>
      <c r="Z748" s="386">
        <v>52169204</v>
      </c>
      <c r="AA748" s="386">
        <v>0</v>
      </c>
      <c r="AB748" s="386">
        <f t="shared" si="44"/>
        <v>52169204</v>
      </c>
      <c r="AC748" s="384">
        <v>41988</v>
      </c>
      <c r="AD748" s="395">
        <v>52169204</v>
      </c>
      <c r="AE748" s="395" t="s">
        <v>169</v>
      </c>
      <c r="AF748" s="358">
        <f>AD748</f>
        <v>52169204</v>
      </c>
      <c r="AG748" s="1084"/>
      <c r="AH748" s="358">
        <f t="shared" si="43"/>
        <v>0</v>
      </c>
      <c r="AI748" s="358">
        <f>O748-AD748</f>
        <v>0</v>
      </c>
      <c r="AJ748" s="1119"/>
      <c r="AK748" s="386">
        <f>P748-V748</f>
        <v>0</v>
      </c>
      <c r="AL748" s="386">
        <f>V748-Z748</f>
        <v>0</v>
      </c>
      <c r="AM748" s="386">
        <f>AK748+AL748</f>
        <v>0</v>
      </c>
      <c r="AN748" s="1203"/>
      <c r="AO748" s="1204"/>
      <c r="AP748" s="1204"/>
      <c r="AQ748" s="1204"/>
    </row>
    <row r="749" spans="1:43" ht="78.75">
      <c r="A749" s="1076" t="s">
        <v>1120</v>
      </c>
      <c r="B749" s="1171">
        <v>40822</v>
      </c>
      <c r="C749" s="1076" t="s">
        <v>42</v>
      </c>
      <c r="D749" s="1076" t="s">
        <v>1121</v>
      </c>
      <c r="E749" s="1208">
        <v>900467804</v>
      </c>
      <c r="F749" s="1208">
        <v>4</v>
      </c>
      <c r="G749" s="1076" t="s">
        <v>1122</v>
      </c>
      <c r="H749" s="1076" t="s">
        <v>71</v>
      </c>
      <c r="I749" s="1076" t="s">
        <v>1086</v>
      </c>
      <c r="J749" s="1076" t="s">
        <v>66</v>
      </c>
      <c r="K749" s="1076" t="s">
        <v>50</v>
      </c>
      <c r="L749" s="1076" t="s">
        <v>1132</v>
      </c>
      <c r="M749" s="1245">
        <v>1</v>
      </c>
      <c r="N749" s="1123" t="s">
        <v>168</v>
      </c>
      <c r="O749" s="1119">
        <v>793851137</v>
      </c>
      <c r="P749" s="1119">
        <v>793851137</v>
      </c>
      <c r="Q749" s="1119">
        <v>1774187856</v>
      </c>
      <c r="R749" s="1171">
        <v>40753</v>
      </c>
      <c r="S749" s="1196">
        <v>793851137</v>
      </c>
      <c r="T749" s="1196">
        <v>793851137</v>
      </c>
      <c r="U749" s="1196">
        <f>O749-T749</f>
        <v>0</v>
      </c>
      <c r="V749" s="1119">
        <v>793851137</v>
      </c>
      <c r="W749" s="1119">
        <v>1759982197</v>
      </c>
      <c r="X749" s="1076" t="s">
        <v>1112</v>
      </c>
      <c r="Y749" s="372" t="s">
        <v>1124</v>
      </c>
      <c r="Z749" s="386">
        <v>0</v>
      </c>
      <c r="AA749" s="386">
        <v>395491290</v>
      </c>
      <c r="AB749" s="386">
        <f t="shared" si="44"/>
        <v>395491290</v>
      </c>
      <c r="AC749" s="384">
        <v>40868</v>
      </c>
      <c r="AD749" s="395">
        <v>395491290</v>
      </c>
      <c r="AE749" s="395" t="s">
        <v>168</v>
      </c>
      <c r="AF749" s="1084">
        <f>SUM(AD749:AD754)</f>
        <v>793851137.27999997</v>
      </c>
      <c r="AG749" s="1084">
        <f>AF749+AF755+AF765</f>
        <v>1759982196.5</v>
      </c>
      <c r="AH749" s="358">
        <f t="shared" si="43"/>
        <v>0</v>
      </c>
      <c r="AI749" s="1084">
        <f>O749-SUM(AD749:AD754)</f>
        <v>-0.27999997138977051</v>
      </c>
      <c r="AJ749" s="1119">
        <f>SUM(Z749:Z768)-SUM(AD749:AD768)</f>
        <v>0.5000002384185791</v>
      </c>
      <c r="AK749" s="1119">
        <f>T749-V749</f>
        <v>0</v>
      </c>
      <c r="AL749" s="1119">
        <f>V749-SUM(Z749:Z754)</f>
        <v>0</v>
      </c>
      <c r="AM749" s="1119">
        <f>AK749+AL749</f>
        <v>0</v>
      </c>
      <c r="AN749" s="1204" t="s">
        <v>1133</v>
      </c>
      <c r="AO749" s="1204" t="s">
        <v>1134</v>
      </c>
      <c r="AP749" s="1204" t="s">
        <v>194</v>
      </c>
      <c r="AQ749" s="1204" t="s">
        <v>1097</v>
      </c>
    </row>
    <row r="750" spans="1:43" ht="63">
      <c r="A750" s="1076"/>
      <c r="B750" s="1171"/>
      <c r="C750" s="1076"/>
      <c r="D750" s="1076"/>
      <c r="E750" s="1208"/>
      <c r="F750" s="1208"/>
      <c r="G750" s="1076"/>
      <c r="H750" s="1076"/>
      <c r="I750" s="1076"/>
      <c r="J750" s="1076"/>
      <c r="K750" s="1076"/>
      <c r="L750" s="1076"/>
      <c r="M750" s="1245"/>
      <c r="N750" s="1123"/>
      <c r="O750" s="1119"/>
      <c r="P750" s="1119"/>
      <c r="Q750" s="1119"/>
      <c r="R750" s="1171"/>
      <c r="S750" s="1196"/>
      <c r="T750" s="1196"/>
      <c r="U750" s="1196"/>
      <c r="V750" s="1119"/>
      <c r="W750" s="1119"/>
      <c r="X750" s="1076"/>
      <c r="Y750" s="372" t="s">
        <v>1123</v>
      </c>
      <c r="Z750" s="386">
        <v>240518540</v>
      </c>
      <c r="AA750" s="386">
        <v>-120259270</v>
      </c>
      <c r="AB750" s="386">
        <f t="shared" si="44"/>
        <v>120259270</v>
      </c>
      <c r="AC750" s="384">
        <v>41129</v>
      </c>
      <c r="AD750" s="395">
        <v>120259270</v>
      </c>
      <c r="AE750" s="395" t="s">
        <v>168</v>
      </c>
      <c r="AF750" s="1084"/>
      <c r="AG750" s="1084"/>
      <c r="AH750" s="358">
        <f t="shared" si="43"/>
        <v>0</v>
      </c>
      <c r="AI750" s="1084"/>
      <c r="AJ750" s="1119"/>
      <c r="AK750" s="1119"/>
      <c r="AL750" s="1119"/>
      <c r="AM750" s="1119"/>
      <c r="AN750" s="1204"/>
      <c r="AO750" s="1204"/>
      <c r="AP750" s="1204"/>
      <c r="AQ750" s="1204"/>
    </row>
    <row r="751" spans="1:43" ht="78.75">
      <c r="A751" s="1076"/>
      <c r="B751" s="1171"/>
      <c r="C751" s="1076"/>
      <c r="D751" s="1076"/>
      <c r="E751" s="1208"/>
      <c r="F751" s="1208"/>
      <c r="G751" s="1076"/>
      <c r="H751" s="1076"/>
      <c r="I751" s="1076"/>
      <c r="J751" s="1076"/>
      <c r="K751" s="1076"/>
      <c r="L751" s="1076"/>
      <c r="M751" s="1245"/>
      <c r="N751" s="1123"/>
      <c r="O751" s="1119"/>
      <c r="P751" s="1119"/>
      <c r="Q751" s="1119"/>
      <c r="R751" s="1171"/>
      <c r="S751" s="1196"/>
      <c r="T751" s="1196"/>
      <c r="U751" s="1196"/>
      <c r="V751" s="1119"/>
      <c r="W751" s="1119"/>
      <c r="X751" s="1076"/>
      <c r="Y751" s="372" t="s">
        <v>1125</v>
      </c>
      <c r="Z751" s="386">
        <v>219068628</v>
      </c>
      <c r="AA751" s="386">
        <v>-109534314</v>
      </c>
      <c r="AB751" s="386">
        <f t="shared" si="44"/>
        <v>109534314</v>
      </c>
      <c r="AC751" s="384">
        <v>41423</v>
      </c>
      <c r="AD751" s="395">
        <v>109534314</v>
      </c>
      <c r="AE751" s="395" t="s">
        <v>168</v>
      </c>
      <c r="AF751" s="1084"/>
      <c r="AG751" s="1084"/>
      <c r="AH751" s="358">
        <f t="shared" si="43"/>
        <v>0</v>
      </c>
      <c r="AI751" s="1084"/>
      <c r="AJ751" s="1119"/>
      <c r="AK751" s="1119"/>
      <c r="AL751" s="1119"/>
      <c r="AM751" s="1119"/>
      <c r="AN751" s="1204"/>
      <c r="AO751" s="1204"/>
      <c r="AP751" s="1204"/>
      <c r="AQ751" s="1204"/>
    </row>
    <row r="752" spans="1:43" ht="94.5">
      <c r="A752" s="1076"/>
      <c r="B752" s="1171"/>
      <c r="C752" s="1076"/>
      <c r="D752" s="1076"/>
      <c r="E752" s="1208"/>
      <c r="F752" s="1208"/>
      <c r="G752" s="1076"/>
      <c r="H752" s="1076"/>
      <c r="I752" s="1076"/>
      <c r="J752" s="1076"/>
      <c r="K752" s="1076"/>
      <c r="L752" s="1076"/>
      <c r="M752" s="1245"/>
      <c r="N752" s="1123"/>
      <c r="O752" s="1119"/>
      <c r="P752" s="1119"/>
      <c r="Q752" s="1119"/>
      <c r="R752" s="1171"/>
      <c r="S752" s="1196"/>
      <c r="T752" s="1196"/>
      <c r="U752" s="1196"/>
      <c r="V752" s="1119"/>
      <c r="W752" s="1119"/>
      <c r="X752" s="1076"/>
      <c r="Y752" s="372" t="s">
        <v>1126</v>
      </c>
      <c r="Z752" s="386">
        <v>110393704.26000001</v>
      </c>
      <c r="AA752" s="386">
        <v>-55196852.130000003</v>
      </c>
      <c r="AB752" s="386">
        <f t="shared" si="44"/>
        <v>55196852.130000003</v>
      </c>
      <c r="AC752" s="384">
        <v>41814</v>
      </c>
      <c r="AD752" s="395">
        <v>55196852</v>
      </c>
      <c r="AE752" s="395" t="s">
        <v>168</v>
      </c>
      <c r="AF752" s="1084"/>
      <c r="AG752" s="1084"/>
      <c r="AH752" s="358">
        <f t="shared" si="43"/>
        <v>0.13000000268220901</v>
      </c>
      <c r="AI752" s="1084"/>
      <c r="AJ752" s="1119"/>
      <c r="AK752" s="1119"/>
      <c r="AL752" s="1119"/>
      <c r="AM752" s="1119"/>
      <c r="AN752" s="1204"/>
      <c r="AO752" s="1204"/>
      <c r="AP752" s="1204"/>
      <c r="AQ752" s="1204"/>
    </row>
    <row r="753" spans="1:43" ht="17.25" customHeight="1">
      <c r="A753" s="1076"/>
      <c r="B753" s="1171"/>
      <c r="C753" s="1076"/>
      <c r="D753" s="1076"/>
      <c r="E753" s="1208"/>
      <c r="F753" s="1208"/>
      <c r="G753" s="1076"/>
      <c r="H753" s="1076"/>
      <c r="I753" s="1076"/>
      <c r="J753" s="1076"/>
      <c r="K753" s="1076"/>
      <c r="L753" s="1076"/>
      <c r="M753" s="1245"/>
      <c r="N753" s="1123"/>
      <c r="O753" s="1119"/>
      <c r="P753" s="1119"/>
      <c r="Q753" s="1119"/>
      <c r="R753" s="1171"/>
      <c r="S753" s="1196"/>
      <c r="T753" s="1196"/>
      <c r="U753" s="1196"/>
      <c r="V753" s="1119"/>
      <c r="W753" s="1119"/>
      <c r="X753" s="1076"/>
      <c r="Y753" s="1123" t="s">
        <v>1127</v>
      </c>
      <c r="Z753" s="1119">
        <v>223870264.74000001</v>
      </c>
      <c r="AA753" s="1119">
        <v>-110500853.87</v>
      </c>
      <c r="AB753" s="1119">
        <f t="shared" si="44"/>
        <v>113369410.87</v>
      </c>
      <c r="AC753" s="1171">
        <v>41971</v>
      </c>
      <c r="AD753" s="395">
        <v>2868557.01</v>
      </c>
      <c r="AE753" s="395" t="s">
        <v>168</v>
      </c>
      <c r="AF753" s="1084"/>
      <c r="AG753" s="1084"/>
      <c r="AH753" s="1084">
        <f>AB753-AD753-AD754</f>
        <v>-0.40999999642372131</v>
      </c>
      <c r="AI753" s="1084"/>
      <c r="AJ753" s="1119"/>
      <c r="AK753" s="1119"/>
      <c r="AL753" s="1119"/>
      <c r="AM753" s="1119"/>
      <c r="AN753" s="1204"/>
      <c r="AO753" s="1204"/>
      <c r="AP753" s="1204"/>
      <c r="AQ753" s="1204"/>
    </row>
    <row r="754" spans="1:43" ht="17.25" customHeight="1">
      <c r="A754" s="1076"/>
      <c r="B754" s="1171"/>
      <c r="C754" s="1076"/>
      <c r="D754" s="1076"/>
      <c r="E754" s="1208"/>
      <c r="F754" s="1208"/>
      <c r="G754" s="1076"/>
      <c r="H754" s="1076"/>
      <c r="I754" s="1076"/>
      <c r="J754" s="1076"/>
      <c r="K754" s="1076"/>
      <c r="L754" s="1076"/>
      <c r="M754" s="1245"/>
      <c r="N754" s="1123"/>
      <c r="O754" s="1119"/>
      <c r="P754" s="1119"/>
      <c r="Q754" s="1119"/>
      <c r="R754" s="1171"/>
      <c r="S754" s="1196"/>
      <c r="T754" s="1196"/>
      <c r="U754" s="1196"/>
      <c r="V754" s="1119"/>
      <c r="W754" s="1119"/>
      <c r="X754" s="1076"/>
      <c r="Y754" s="1123"/>
      <c r="Z754" s="1119"/>
      <c r="AA754" s="1119"/>
      <c r="AB754" s="1119"/>
      <c r="AC754" s="1171"/>
      <c r="AD754" s="395">
        <v>110500854.27</v>
      </c>
      <c r="AE754" s="395" t="s">
        <v>168</v>
      </c>
      <c r="AF754" s="1084"/>
      <c r="AG754" s="1084"/>
      <c r="AH754" s="1084"/>
      <c r="AI754" s="1084"/>
      <c r="AJ754" s="1119"/>
      <c r="AK754" s="1119"/>
      <c r="AL754" s="1119"/>
      <c r="AM754" s="1119"/>
      <c r="AN754" s="1204"/>
      <c r="AO754" s="1204"/>
      <c r="AP754" s="1204"/>
      <c r="AQ754" s="1204"/>
    </row>
    <row r="755" spans="1:43" ht="17.25" customHeight="1">
      <c r="A755" s="1076"/>
      <c r="B755" s="1171"/>
      <c r="C755" s="1076"/>
      <c r="D755" s="1076"/>
      <c r="E755" s="1208"/>
      <c r="F755" s="1208"/>
      <c r="G755" s="1076"/>
      <c r="H755" s="1076"/>
      <c r="I755" s="1076"/>
      <c r="J755" s="1076"/>
      <c r="K755" s="1076"/>
      <c r="L755" s="1076"/>
      <c r="M755" s="1245">
        <v>180</v>
      </c>
      <c r="N755" s="1123" t="s">
        <v>137</v>
      </c>
      <c r="O755" s="1119">
        <v>221312724</v>
      </c>
      <c r="P755" s="1119">
        <v>456264804</v>
      </c>
      <c r="Q755" s="1119"/>
      <c r="R755" s="1171">
        <v>40753</v>
      </c>
      <c r="S755" s="1196">
        <f>T755+T760</f>
        <v>442059145</v>
      </c>
      <c r="T755" s="1196">
        <v>207107065</v>
      </c>
      <c r="U755" s="1196">
        <f>O755-T755</f>
        <v>14205659</v>
      </c>
      <c r="V755" s="1119">
        <v>207107065</v>
      </c>
      <c r="W755" s="1119"/>
      <c r="X755" s="1076"/>
      <c r="Y755" s="1123" t="s">
        <v>1124</v>
      </c>
      <c r="Z755" s="386">
        <v>0</v>
      </c>
      <c r="AA755" s="386">
        <v>105052374.22</v>
      </c>
      <c r="AB755" s="386">
        <f t="shared" ref="AB755:AB768" si="45">Z755+AA755</f>
        <v>105052374.22</v>
      </c>
      <c r="AC755" s="1171">
        <v>40868</v>
      </c>
      <c r="AD755" s="395">
        <v>105052374.22</v>
      </c>
      <c r="AE755" s="395" t="s">
        <v>137</v>
      </c>
      <c r="AF755" s="1084">
        <f>SUM(AD755:AD764)</f>
        <v>442059144.22000003</v>
      </c>
      <c r="AG755" s="1084"/>
      <c r="AH755" s="358">
        <f t="shared" ref="AH755:AH818" si="46">AB755-AD755</f>
        <v>0</v>
      </c>
      <c r="AI755" s="1084">
        <f>T755-AD755-AD757-AD759-AD761-AD763</f>
        <v>-0.32000000029802322</v>
      </c>
      <c r="AJ755" s="1119"/>
      <c r="AK755" s="1119">
        <f>T755-V755</f>
        <v>0</v>
      </c>
      <c r="AL755" s="1119">
        <f>V755-SUM(Z755+Z757+Z759+Z761+Z763)</f>
        <v>0</v>
      </c>
      <c r="AM755" s="1119">
        <f>AK755-AL755</f>
        <v>0</v>
      </c>
      <c r="AN755" s="1204"/>
      <c r="AO755" s="1204"/>
      <c r="AP755" s="1204"/>
      <c r="AQ755" s="1204"/>
    </row>
    <row r="756" spans="1:43" ht="17.25" customHeight="1">
      <c r="A756" s="1076"/>
      <c r="B756" s="1171"/>
      <c r="C756" s="1076"/>
      <c r="D756" s="1076"/>
      <c r="E756" s="1208"/>
      <c r="F756" s="1208"/>
      <c r="G756" s="1076"/>
      <c r="H756" s="1076"/>
      <c r="I756" s="1076"/>
      <c r="J756" s="1076"/>
      <c r="K756" s="1076"/>
      <c r="L756" s="1076"/>
      <c r="M756" s="1245"/>
      <c r="N756" s="1123"/>
      <c r="O756" s="1119"/>
      <c r="P756" s="1119"/>
      <c r="Q756" s="1119"/>
      <c r="R756" s="1171"/>
      <c r="S756" s="1196"/>
      <c r="T756" s="1196"/>
      <c r="U756" s="1196"/>
      <c r="V756" s="1119"/>
      <c r="W756" s="1119"/>
      <c r="X756" s="1076"/>
      <c r="Y756" s="1123"/>
      <c r="Z756" s="386">
        <v>0</v>
      </c>
      <c r="AA756" s="386">
        <v>117411476.78</v>
      </c>
      <c r="AB756" s="386">
        <f t="shared" si="45"/>
        <v>117411476.78</v>
      </c>
      <c r="AC756" s="1171"/>
      <c r="AD756" s="395">
        <v>117411476.78</v>
      </c>
      <c r="AE756" s="395" t="s">
        <v>7</v>
      </c>
      <c r="AF756" s="1084"/>
      <c r="AG756" s="1084"/>
      <c r="AH756" s="358">
        <f t="shared" si="46"/>
        <v>0</v>
      </c>
      <c r="AI756" s="1084"/>
      <c r="AJ756" s="1119"/>
      <c r="AK756" s="1119"/>
      <c r="AL756" s="1119"/>
      <c r="AM756" s="1119"/>
      <c r="AN756" s="1204"/>
      <c r="AO756" s="1204"/>
      <c r="AP756" s="1204"/>
      <c r="AQ756" s="1204"/>
    </row>
    <row r="757" spans="1:43" ht="17.25" customHeight="1">
      <c r="A757" s="1076"/>
      <c r="B757" s="1171"/>
      <c r="C757" s="1076"/>
      <c r="D757" s="1076"/>
      <c r="E757" s="1208"/>
      <c r="F757" s="1208"/>
      <c r="G757" s="1076"/>
      <c r="H757" s="1076"/>
      <c r="I757" s="1076"/>
      <c r="J757" s="1076"/>
      <c r="K757" s="1076"/>
      <c r="L757" s="1076"/>
      <c r="M757" s="1245"/>
      <c r="N757" s="1123"/>
      <c r="O757" s="1119"/>
      <c r="P757" s="1119"/>
      <c r="Q757" s="1119"/>
      <c r="R757" s="1171"/>
      <c r="S757" s="1196"/>
      <c r="T757" s="1196"/>
      <c r="U757" s="1196"/>
      <c r="V757" s="1119"/>
      <c r="W757" s="1119"/>
      <c r="X757" s="1076"/>
      <c r="Y757" s="1123" t="s">
        <v>1123</v>
      </c>
      <c r="Z757" s="386">
        <v>63887736</v>
      </c>
      <c r="AA757" s="386">
        <v>-31943868</v>
      </c>
      <c r="AB757" s="386">
        <f t="shared" si="45"/>
        <v>31943868</v>
      </c>
      <c r="AC757" s="1171">
        <v>41129</v>
      </c>
      <c r="AD757" s="395">
        <v>31943868</v>
      </c>
      <c r="AE757" s="395" t="s">
        <v>137</v>
      </c>
      <c r="AF757" s="1084"/>
      <c r="AG757" s="1084"/>
      <c r="AH757" s="358">
        <f t="shared" si="46"/>
        <v>0</v>
      </c>
      <c r="AI757" s="1084"/>
      <c r="AJ757" s="1119"/>
      <c r="AK757" s="1119"/>
      <c r="AL757" s="1119"/>
      <c r="AM757" s="1119"/>
      <c r="AN757" s="1204"/>
      <c r="AO757" s="1204"/>
      <c r="AP757" s="1204"/>
      <c r="AQ757" s="1204"/>
    </row>
    <row r="758" spans="1:43" ht="17.25" customHeight="1">
      <c r="A758" s="1076"/>
      <c r="B758" s="1171"/>
      <c r="C758" s="1076"/>
      <c r="D758" s="1076"/>
      <c r="E758" s="1208"/>
      <c r="F758" s="1208"/>
      <c r="G758" s="1076"/>
      <c r="H758" s="1076"/>
      <c r="I758" s="1076"/>
      <c r="J758" s="1076"/>
      <c r="K758" s="1076"/>
      <c r="L758" s="1076"/>
      <c r="M758" s="1245"/>
      <c r="N758" s="1123"/>
      <c r="O758" s="1119"/>
      <c r="P758" s="1119"/>
      <c r="Q758" s="1119"/>
      <c r="R758" s="1171"/>
      <c r="S758" s="1196"/>
      <c r="T758" s="1196"/>
      <c r="U758" s="1196"/>
      <c r="V758" s="1119"/>
      <c r="W758" s="1119"/>
      <c r="X758" s="1076"/>
      <c r="Y758" s="1123"/>
      <c r="Z758" s="386">
        <v>71403942</v>
      </c>
      <c r="AA758" s="386">
        <v>-35701971</v>
      </c>
      <c r="AB758" s="386">
        <f t="shared" si="45"/>
        <v>35701971</v>
      </c>
      <c r="AC758" s="1171"/>
      <c r="AD758" s="395">
        <v>35701971</v>
      </c>
      <c r="AE758" s="395" t="s">
        <v>7</v>
      </c>
      <c r="AF758" s="1084"/>
      <c r="AG758" s="1084"/>
      <c r="AH758" s="358">
        <f t="shared" si="46"/>
        <v>0</v>
      </c>
      <c r="AI758" s="1084"/>
      <c r="AJ758" s="1119"/>
      <c r="AK758" s="1119"/>
      <c r="AL758" s="1119"/>
      <c r="AM758" s="1119"/>
      <c r="AN758" s="1204"/>
      <c r="AO758" s="1204"/>
      <c r="AP758" s="1204"/>
      <c r="AQ758" s="1204"/>
    </row>
    <row r="759" spans="1:43" ht="17.25" customHeight="1">
      <c r="A759" s="1076"/>
      <c r="B759" s="1171"/>
      <c r="C759" s="1076"/>
      <c r="D759" s="1076"/>
      <c r="E759" s="1208"/>
      <c r="F759" s="1208"/>
      <c r="G759" s="1076"/>
      <c r="H759" s="1076"/>
      <c r="I759" s="1076"/>
      <c r="J759" s="1076"/>
      <c r="K759" s="1076"/>
      <c r="L759" s="1076"/>
      <c r="M759" s="1245"/>
      <c r="N759" s="1123"/>
      <c r="O759" s="1119"/>
      <c r="P759" s="1119"/>
      <c r="Q759" s="1119"/>
      <c r="R759" s="1171"/>
      <c r="S759" s="1196"/>
      <c r="T759" s="1196"/>
      <c r="U759" s="1196"/>
      <c r="V759" s="1119"/>
      <c r="W759" s="1119"/>
      <c r="X759" s="1076"/>
      <c r="Y759" s="1123" t="s">
        <v>1125</v>
      </c>
      <c r="Z759" s="386">
        <v>58190104</v>
      </c>
      <c r="AA759" s="386">
        <v>-29095052</v>
      </c>
      <c r="AB759" s="386">
        <f t="shared" si="45"/>
        <v>29095052</v>
      </c>
      <c r="AC759" s="1171">
        <v>41418</v>
      </c>
      <c r="AD759" s="395">
        <v>29095052</v>
      </c>
      <c r="AE759" s="395" t="s">
        <v>137</v>
      </c>
      <c r="AF759" s="1084"/>
      <c r="AG759" s="1084"/>
      <c r="AH759" s="358">
        <f t="shared" si="46"/>
        <v>0</v>
      </c>
      <c r="AI759" s="1084"/>
      <c r="AJ759" s="1119"/>
      <c r="AK759" s="1119"/>
      <c r="AL759" s="1119"/>
      <c r="AM759" s="1119"/>
      <c r="AN759" s="1204"/>
      <c r="AO759" s="1204"/>
      <c r="AP759" s="1204"/>
      <c r="AQ759" s="1204"/>
    </row>
    <row r="760" spans="1:43" ht="17.25" customHeight="1">
      <c r="A760" s="1076"/>
      <c r="B760" s="1171"/>
      <c r="C760" s="1076"/>
      <c r="D760" s="1076"/>
      <c r="E760" s="1208"/>
      <c r="F760" s="1208"/>
      <c r="G760" s="1076"/>
      <c r="H760" s="1076"/>
      <c r="I760" s="1076"/>
      <c r="J760" s="1076"/>
      <c r="K760" s="1076"/>
      <c r="L760" s="1076"/>
      <c r="M760" s="1245"/>
      <c r="N760" s="1123" t="s">
        <v>7</v>
      </c>
      <c r="O760" s="1119">
        <v>234952080</v>
      </c>
      <c r="P760" s="1119"/>
      <c r="Q760" s="1119"/>
      <c r="R760" s="1171"/>
      <c r="S760" s="1196"/>
      <c r="T760" s="1196">
        <v>234952080</v>
      </c>
      <c r="U760" s="1196">
        <f>O760-T760</f>
        <v>0</v>
      </c>
      <c r="V760" s="1119">
        <v>234952080</v>
      </c>
      <c r="W760" s="1119"/>
      <c r="X760" s="1076"/>
      <c r="Y760" s="1123"/>
      <c r="Z760" s="386">
        <v>65036000</v>
      </c>
      <c r="AA760" s="386">
        <v>-32518000</v>
      </c>
      <c r="AB760" s="386">
        <f t="shared" si="45"/>
        <v>32518000</v>
      </c>
      <c r="AC760" s="1171"/>
      <c r="AD760" s="395">
        <v>32518000</v>
      </c>
      <c r="AE760" s="395" t="s">
        <v>7</v>
      </c>
      <c r="AF760" s="1084"/>
      <c r="AG760" s="1084"/>
      <c r="AH760" s="358">
        <f t="shared" si="46"/>
        <v>0</v>
      </c>
      <c r="AI760" s="1084">
        <f>O760-AD756-AD758-AD760-AD762-AD764</f>
        <v>1.0999999977648258</v>
      </c>
      <c r="AJ760" s="1119"/>
      <c r="AK760" s="1119">
        <f>O760-V760</f>
        <v>0</v>
      </c>
      <c r="AL760" s="1119">
        <f>V760-SUM(Z756+Z758+Z760+Z762+Z764)</f>
        <v>0</v>
      </c>
      <c r="AM760" s="1119">
        <f>AK760-AL760</f>
        <v>0</v>
      </c>
      <c r="AN760" s="1204"/>
      <c r="AO760" s="1204"/>
      <c r="AP760" s="1204"/>
      <c r="AQ760" s="1204"/>
    </row>
    <row r="761" spans="1:43" ht="17.25" customHeight="1">
      <c r="A761" s="1076"/>
      <c r="B761" s="1171"/>
      <c r="C761" s="1076"/>
      <c r="D761" s="1076"/>
      <c r="E761" s="1208"/>
      <c r="F761" s="1208"/>
      <c r="G761" s="1076"/>
      <c r="H761" s="1076"/>
      <c r="I761" s="1076"/>
      <c r="J761" s="1076"/>
      <c r="K761" s="1076"/>
      <c r="L761" s="1076"/>
      <c r="M761" s="1245"/>
      <c r="N761" s="1123"/>
      <c r="O761" s="1119"/>
      <c r="P761" s="1119"/>
      <c r="Q761" s="1119"/>
      <c r="R761" s="1171"/>
      <c r="S761" s="1196"/>
      <c r="T761" s="1196"/>
      <c r="U761" s="1196"/>
      <c r="V761" s="1119"/>
      <c r="W761" s="1119"/>
      <c r="X761" s="1076"/>
      <c r="Y761" s="1123" t="s">
        <v>1126</v>
      </c>
      <c r="Z761" s="386">
        <v>29323328</v>
      </c>
      <c r="AA761" s="386">
        <v>-14661664</v>
      </c>
      <c r="AB761" s="386">
        <f t="shared" si="45"/>
        <v>14661664</v>
      </c>
      <c r="AC761" s="1171">
        <v>41814</v>
      </c>
      <c r="AD761" s="395">
        <v>14661664</v>
      </c>
      <c r="AE761" s="395" t="s">
        <v>137</v>
      </c>
      <c r="AF761" s="1084"/>
      <c r="AG761" s="1084"/>
      <c r="AH761" s="358">
        <f t="shared" si="46"/>
        <v>0</v>
      </c>
      <c r="AI761" s="1084"/>
      <c r="AJ761" s="1119"/>
      <c r="AK761" s="1119"/>
      <c r="AL761" s="1119"/>
      <c r="AM761" s="1119"/>
      <c r="AN761" s="1204"/>
      <c r="AO761" s="1204"/>
      <c r="AP761" s="1204"/>
      <c r="AQ761" s="1204"/>
    </row>
    <row r="762" spans="1:43" ht="17.25" customHeight="1">
      <c r="A762" s="1076"/>
      <c r="B762" s="1171"/>
      <c r="C762" s="1076"/>
      <c r="D762" s="1076"/>
      <c r="E762" s="1208"/>
      <c r="F762" s="1208"/>
      <c r="G762" s="1076"/>
      <c r="H762" s="1076"/>
      <c r="I762" s="1076"/>
      <c r="J762" s="1076"/>
      <c r="K762" s="1076"/>
      <c r="L762" s="1076"/>
      <c r="M762" s="1245"/>
      <c r="N762" s="1123"/>
      <c r="O762" s="1119"/>
      <c r="P762" s="1119"/>
      <c r="Q762" s="1119"/>
      <c r="R762" s="1171"/>
      <c r="S762" s="1196"/>
      <c r="T762" s="1196"/>
      <c r="U762" s="1196"/>
      <c r="V762" s="1119"/>
      <c r="W762" s="1119"/>
      <c r="X762" s="1076"/>
      <c r="Y762" s="1123"/>
      <c r="Z762" s="386">
        <v>32773130</v>
      </c>
      <c r="AA762" s="386">
        <v>-16386565</v>
      </c>
      <c r="AB762" s="386">
        <f t="shared" si="45"/>
        <v>16386565</v>
      </c>
      <c r="AC762" s="1171"/>
      <c r="AD762" s="395">
        <v>16386565</v>
      </c>
      <c r="AE762" s="395" t="s">
        <v>7</v>
      </c>
      <c r="AF762" s="1084"/>
      <c r="AG762" s="1084"/>
      <c r="AH762" s="358">
        <f t="shared" si="46"/>
        <v>0</v>
      </c>
      <c r="AI762" s="1084"/>
      <c r="AJ762" s="1119"/>
      <c r="AK762" s="1119"/>
      <c r="AL762" s="1119"/>
      <c r="AM762" s="1119"/>
      <c r="AN762" s="1204"/>
      <c r="AO762" s="1204"/>
      <c r="AP762" s="1204"/>
      <c r="AQ762" s="1204"/>
    </row>
    <row r="763" spans="1:43" ht="17.25" customHeight="1">
      <c r="A763" s="1076"/>
      <c r="B763" s="1171"/>
      <c r="C763" s="1076"/>
      <c r="D763" s="1076"/>
      <c r="E763" s="1208"/>
      <c r="F763" s="1208"/>
      <c r="G763" s="1076"/>
      <c r="H763" s="1076"/>
      <c r="I763" s="1076"/>
      <c r="J763" s="1076"/>
      <c r="K763" s="1076"/>
      <c r="L763" s="1076"/>
      <c r="M763" s="1245"/>
      <c r="N763" s="1123"/>
      <c r="O763" s="1119"/>
      <c r="P763" s="1119"/>
      <c r="Q763" s="1119"/>
      <c r="R763" s="1171"/>
      <c r="S763" s="1196"/>
      <c r="T763" s="1196"/>
      <c r="U763" s="1196"/>
      <c r="V763" s="1119"/>
      <c r="W763" s="1119"/>
      <c r="X763" s="1076"/>
      <c r="Y763" s="1123" t="s">
        <v>1127</v>
      </c>
      <c r="Z763" s="386">
        <v>55705897</v>
      </c>
      <c r="AA763" s="386">
        <v>-29351790.219999999</v>
      </c>
      <c r="AB763" s="386">
        <f t="shared" si="45"/>
        <v>26354106.780000001</v>
      </c>
      <c r="AC763" s="1171">
        <v>41971</v>
      </c>
      <c r="AD763" s="395">
        <v>26354107.100000001</v>
      </c>
      <c r="AE763" s="395" t="s">
        <v>137</v>
      </c>
      <c r="AF763" s="1084"/>
      <c r="AG763" s="1084"/>
      <c r="AH763" s="358">
        <f t="shared" si="46"/>
        <v>-0.32000000029802322</v>
      </c>
      <c r="AI763" s="1084"/>
      <c r="AJ763" s="1119"/>
      <c r="AK763" s="1119"/>
      <c r="AL763" s="1119"/>
      <c r="AM763" s="1119"/>
      <c r="AN763" s="1204"/>
      <c r="AO763" s="1204"/>
      <c r="AP763" s="1204"/>
      <c r="AQ763" s="1204"/>
    </row>
    <row r="764" spans="1:43" ht="17.25" customHeight="1">
      <c r="A764" s="1076"/>
      <c r="B764" s="1171"/>
      <c r="C764" s="1076"/>
      <c r="D764" s="1076"/>
      <c r="E764" s="1208"/>
      <c r="F764" s="1208"/>
      <c r="G764" s="1076"/>
      <c r="H764" s="1076"/>
      <c r="I764" s="1076"/>
      <c r="J764" s="1076"/>
      <c r="K764" s="1076"/>
      <c r="L764" s="1076"/>
      <c r="M764" s="1245"/>
      <c r="N764" s="1123"/>
      <c r="O764" s="1119"/>
      <c r="P764" s="1119"/>
      <c r="Q764" s="1119"/>
      <c r="R764" s="1171"/>
      <c r="S764" s="1196"/>
      <c r="T764" s="1196"/>
      <c r="U764" s="1196"/>
      <c r="V764" s="1119"/>
      <c r="W764" s="1119"/>
      <c r="X764" s="1076"/>
      <c r="Y764" s="1123"/>
      <c r="Z764" s="386">
        <v>65739008</v>
      </c>
      <c r="AA764" s="386">
        <v>-32804940.780000001</v>
      </c>
      <c r="AB764" s="386">
        <f t="shared" si="45"/>
        <v>32934067.219999999</v>
      </c>
      <c r="AC764" s="1171"/>
      <c r="AD764" s="395">
        <v>32934066.120000001</v>
      </c>
      <c r="AE764" s="395" t="s">
        <v>7</v>
      </c>
      <c r="AF764" s="1084"/>
      <c r="AG764" s="1084"/>
      <c r="AH764" s="358">
        <f t="shared" si="46"/>
        <v>1.0999999977648258</v>
      </c>
      <c r="AI764" s="1084"/>
      <c r="AJ764" s="1119"/>
      <c r="AK764" s="1119"/>
      <c r="AL764" s="1119"/>
      <c r="AM764" s="1119"/>
      <c r="AN764" s="1204"/>
      <c r="AO764" s="1204"/>
      <c r="AP764" s="1204"/>
      <c r="AQ764" s="1204"/>
    </row>
    <row r="765" spans="1:43" ht="78.75">
      <c r="A765" s="1076"/>
      <c r="B765" s="1171"/>
      <c r="C765" s="1076"/>
      <c r="D765" s="1076"/>
      <c r="E765" s="1208"/>
      <c r="F765" s="1208"/>
      <c r="G765" s="1076"/>
      <c r="H765" s="1076"/>
      <c r="I765" s="1076"/>
      <c r="J765" s="1076" t="s">
        <v>67</v>
      </c>
      <c r="K765" s="1076"/>
      <c r="L765" s="1076"/>
      <c r="M765" s="1245">
        <v>298</v>
      </c>
      <c r="N765" s="1123" t="s">
        <v>7</v>
      </c>
      <c r="O765" s="1119">
        <v>524071915</v>
      </c>
      <c r="P765" s="1119">
        <v>524071915</v>
      </c>
      <c r="Q765" s="1119"/>
      <c r="R765" s="1171">
        <v>41619</v>
      </c>
      <c r="S765" s="1196">
        <v>524071915</v>
      </c>
      <c r="T765" s="1196">
        <v>524071915</v>
      </c>
      <c r="U765" s="1196">
        <f>O765-T765</f>
        <v>0</v>
      </c>
      <c r="V765" s="1119">
        <v>524071915</v>
      </c>
      <c r="W765" s="1119"/>
      <c r="X765" s="1076"/>
      <c r="Y765" s="372" t="s">
        <v>1128</v>
      </c>
      <c r="Z765" s="386">
        <v>31224398.379999999</v>
      </c>
      <c r="AA765" s="386">
        <v>0</v>
      </c>
      <c r="AB765" s="386">
        <f t="shared" si="45"/>
        <v>31224398.379999999</v>
      </c>
      <c r="AC765" s="384">
        <v>41971</v>
      </c>
      <c r="AD765" s="395">
        <v>31224398.379999999</v>
      </c>
      <c r="AE765" s="395" t="s">
        <v>7</v>
      </c>
      <c r="AF765" s="1084">
        <f>SUM(AD765:AD768)</f>
        <v>524071915</v>
      </c>
      <c r="AG765" s="1084"/>
      <c r="AH765" s="358">
        <f t="shared" si="46"/>
        <v>0</v>
      </c>
      <c r="AI765" s="1084">
        <f>S765-SUM(AD765:AD768)</f>
        <v>0</v>
      </c>
      <c r="AJ765" s="1119"/>
      <c r="AK765" s="1119">
        <f>P765-V765</f>
        <v>0</v>
      </c>
      <c r="AL765" s="1119">
        <f>V765-SUM(Z765:Z768)</f>
        <v>0</v>
      </c>
      <c r="AM765" s="1119">
        <f>AK765+AL765</f>
        <v>0</v>
      </c>
      <c r="AN765" s="1204"/>
      <c r="AO765" s="1204"/>
      <c r="AP765" s="1204"/>
      <c r="AQ765" s="1204"/>
    </row>
    <row r="766" spans="1:43" ht="63">
      <c r="A766" s="1076"/>
      <c r="B766" s="1171"/>
      <c r="C766" s="1076"/>
      <c r="D766" s="1076"/>
      <c r="E766" s="1208"/>
      <c r="F766" s="1208"/>
      <c r="G766" s="1076"/>
      <c r="H766" s="1076"/>
      <c r="I766" s="1076"/>
      <c r="J766" s="1076"/>
      <c r="K766" s="1076"/>
      <c r="L766" s="1076"/>
      <c r="M766" s="1245"/>
      <c r="N766" s="1123"/>
      <c r="O766" s="1119"/>
      <c r="P766" s="1119"/>
      <c r="Q766" s="1119"/>
      <c r="R766" s="1171"/>
      <c r="S766" s="1196"/>
      <c r="T766" s="1196"/>
      <c r="U766" s="1196"/>
      <c r="V766" s="1119"/>
      <c r="W766" s="1119"/>
      <c r="X766" s="1076"/>
      <c r="Y766" s="372" t="s">
        <v>1129</v>
      </c>
      <c r="Z766" s="386">
        <v>123074579.31</v>
      </c>
      <c r="AA766" s="386">
        <v>0</v>
      </c>
      <c r="AB766" s="386">
        <f t="shared" si="45"/>
        <v>123074579.31</v>
      </c>
      <c r="AC766" s="384">
        <v>41988</v>
      </c>
      <c r="AD766" s="395">
        <v>123074579.31</v>
      </c>
      <c r="AE766" s="395" t="s">
        <v>7</v>
      </c>
      <c r="AF766" s="1084"/>
      <c r="AG766" s="1084"/>
      <c r="AH766" s="358">
        <f t="shared" si="46"/>
        <v>0</v>
      </c>
      <c r="AI766" s="1084"/>
      <c r="AJ766" s="1119"/>
      <c r="AK766" s="1119"/>
      <c r="AL766" s="1119"/>
      <c r="AM766" s="1119"/>
      <c r="AN766" s="1204"/>
      <c r="AO766" s="1204"/>
      <c r="AP766" s="1204"/>
      <c r="AQ766" s="1204"/>
    </row>
    <row r="767" spans="1:43" ht="63">
      <c r="A767" s="1076"/>
      <c r="B767" s="1171"/>
      <c r="C767" s="1076"/>
      <c r="D767" s="1076"/>
      <c r="E767" s="1208"/>
      <c r="F767" s="1208"/>
      <c r="G767" s="1076"/>
      <c r="H767" s="1076"/>
      <c r="I767" s="1076"/>
      <c r="J767" s="1076"/>
      <c r="K767" s="1076"/>
      <c r="L767" s="1076"/>
      <c r="M767" s="1245"/>
      <c r="N767" s="1123"/>
      <c r="O767" s="1119"/>
      <c r="P767" s="1119"/>
      <c r="Q767" s="1119"/>
      <c r="R767" s="1171"/>
      <c r="S767" s="1196"/>
      <c r="T767" s="1196"/>
      <c r="U767" s="1196"/>
      <c r="V767" s="1119"/>
      <c r="W767" s="1119"/>
      <c r="X767" s="1076"/>
      <c r="Y767" s="372" t="s">
        <v>1130</v>
      </c>
      <c r="Z767" s="386">
        <v>190535868.58000001</v>
      </c>
      <c r="AA767" s="386">
        <v>0</v>
      </c>
      <c r="AB767" s="386">
        <f t="shared" si="45"/>
        <v>190535868.58000001</v>
      </c>
      <c r="AC767" s="384">
        <v>42587</v>
      </c>
      <c r="AD767" s="395">
        <v>190535868.58000001</v>
      </c>
      <c r="AE767" s="395" t="s">
        <v>7</v>
      </c>
      <c r="AF767" s="1084"/>
      <c r="AG767" s="1084"/>
      <c r="AH767" s="358">
        <f t="shared" si="46"/>
        <v>0</v>
      </c>
      <c r="AI767" s="1084"/>
      <c r="AJ767" s="1119"/>
      <c r="AK767" s="1119"/>
      <c r="AL767" s="1119"/>
      <c r="AM767" s="1119"/>
      <c r="AN767" s="1204"/>
      <c r="AO767" s="1204"/>
      <c r="AP767" s="1204"/>
      <c r="AQ767" s="1204"/>
    </row>
    <row r="768" spans="1:43" ht="63">
      <c r="A768" s="1076"/>
      <c r="B768" s="1171"/>
      <c r="C768" s="1076"/>
      <c r="D768" s="1076"/>
      <c r="E768" s="1208"/>
      <c r="F768" s="1208"/>
      <c r="G768" s="1076"/>
      <c r="H768" s="1076"/>
      <c r="I768" s="1076"/>
      <c r="J768" s="1076"/>
      <c r="K768" s="1076"/>
      <c r="L768" s="1076"/>
      <c r="M768" s="1245"/>
      <c r="N768" s="1123"/>
      <c r="O768" s="1119"/>
      <c r="P768" s="1119"/>
      <c r="Q768" s="1119"/>
      <c r="R768" s="1171"/>
      <c r="S768" s="1196"/>
      <c r="T768" s="1196"/>
      <c r="U768" s="1196"/>
      <c r="V768" s="1119"/>
      <c r="W768" s="1119"/>
      <c r="X768" s="1076"/>
      <c r="Y768" s="372" t="s">
        <v>1131</v>
      </c>
      <c r="Z768" s="386">
        <v>179237068.72999999</v>
      </c>
      <c r="AA768" s="386">
        <v>0</v>
      </c>
      <c r="AB768" s="386">
        <f t="shared" si="45"/>
        <v>179237068.72999999</v>
      </c>
      <c r="AC768" s="384">
        <v>42730</v>
      </c>
      <c r="AD768" s="395">
        <v>179237068.72999999</v>
      </c>
      <c r="AE768" s="395" t="s">
        <v>7</v>
      </c>
      <c r="AF768" s="1084"/>
      <c r="AG768" s="1084"/>
      <c r="AH768" s="358">
        <f t="shared" si="46"/>
        <v>0</v>
      </c>
      <c r="AI768" s="1084"/>
      <c r="AJ768" s="1119"/>
      <c r="AK768" s="1119"/>
      <c r="AL768" s="1119"/>
      <c r="AM768" s="1119"/>
      <c r="AN768" s="1204"/>
      <c r="AO768" s="1204"/>
      <c r="AP768" s="1204"/>
      <c r="AQ768" s="1204"/>
    </row>
    <row r="769" spans="1:43" s="4" customFormat="1" ht="47.25">
      <c r="A769" s="1076" t="s">
        <v>1166</v>
      </c>
      <c r="B769" s="1171">
        <v>40835</v>
      </c>
      <c r="C769" s="1076" t="s">
        <v>44</v>
      </c>
      <c r="D769" s="1076" t="s">
        <v>1136</v>
      </c>
      <c r="E769" s="1208" t="s">
        <v>1163</v>
      </c>
      <c r="F769" s="1208"/>
      <c r="G769" s="1076" t="s">
        <v>1164</v>
      </c>
      <c r="H769" s="1076" t="s">
        <v>70</v>
      </c>
      <c r="I769" s="1076" t="s">
        <v>206</v>
      </c>
      <c r="J769" s="1076" t="s">
        <v>66</v>
      </c>
      <c r="K769" s="1076" t="s">
        <v>183</v>
      </c>
      <c r="L769" s="1076" t="s">
        <v>1172</v>
      </c>
      <c r="M769" s="1245">
        <v>177</v>
      </c>
      <c r="N769" s="1123" t="s">
        <v>137</v>
      </c>
      <c r="O769" s="1119">
        <v>110988170</v>
      </c>
      <c r="P769" s="1119">
        <v>110988170</v>
      </c>
      <c r="Q769" s="1119">
        <v>110988170</v>
      </c>
      <c r="R769" s="1171">
        <v>40753</v>
      </c>
      <c r="S769" s="1119">
        <v>110998170</v>
      </c>
      <c r="T769" s="1119">
        <v>110988170</v>
      </c>
      <c r="U769" s="1119">
        <f>O769-T769</f>
        <v>0</v>
      </c>
      <c r="V769" s="1119">
        <v>110988170</v>
      </c>
      <c r="W769" s="1119">
        <v>110988170</v>
      </c>
      <c r="X769" s="1076" t="s">
        <v>1165</v>
      </c>
      <c r="Y769" s="372" t="s">
        <v>1171</v>
      </c>
      <c r="Z769" s="386">
        <v>0</v>
      </c>
      <c r="AA769" s="386">
        <v>55494085</v>
      </c>
      <c r="AB769" s="386">
        <f t="shared" ref="AB769:AB776" si="47">AA769+Z769</f>
        <v>55494085</v>
      </c>
      <c r="AC769" s="384">
        <v>40890</v>
      </c>
      <c r="AD769" s="395">
        <v>55494085</v>
      </c>
      <c r="AE769" s="395" t="s">
        <v>137</v>
      </c>
      <c r="AF769" s="1084">
        <f>SUM(AD769:AD776)</f>
        <v>110988168.5</v>
      </c>
      <c r="AG769" s="1084">
        <f>AF769</f>
        <v>110988168.5</v>
      </c>
      <c r="AH769" s="358">
        <f t="shared" si="46"/>
        <v>0</v>
      </c>
      <c r="AI769" s="1084">
        <f>O769-SUM(AD769:AD776)</f>
        <v>1.5</v>
      </c>
      <c r="AJ769" s="1084">
        <f>W769-AG769</f>
        <v>1.5</v>
      </c>
      <c r="AK769" s="1084">
        <v>0</v>
      </c>
      <c r="AL769" s="1084">
        <f>AJ769</f>
        <v>1.5</v>
      </c>
      <c r="AM769" s="1084">
        <f>AL769</f>
        <v>1.5</v>
      </c>
      <c r="AN769" s="1149" t="s">
        <v>1174</v>
      </c>
      <c r="AO769" s="1149" t="s">
        <v>1173</v>
      </c>
      <c r="AP769" s="1204" t="s">
        <v>195</v>
      </c>
      <c r="AQ769" s="1204" t="s">
        <v>1097</v>
      </c>
    </row>
    <row r="770" spans="1:43" s="4" customFormat="1" ht="47.25">
      <c r="A770" s="1076"/>
      <c r="B770" s="1171"/>
      <c r="C770" s="1076"/>
      <c r="D770" s="1076"/>
      <c r="E770" s="1208"/>
      <c r="F770" s="1208"/>
      <c r="G770" s="1076"/>
      <c r="H770" s="1076"/>
      <c r="I770" s="1076"/>
      <c r="J770" s="1076"/>
      <c r="K770" s="1076"/>
      <c r="L770" s="1076"/>
      <c r="M770" s="1245"/>
      <c r="N770" s="1123"/>
      <c r="O770" s="1119"/>
      <c r="P770" s="1119"/>
      <c r="Q770" s="1119"/>
      <c r="R770" s="1171"/>
      <c r="S770" s="1119"/>
      <c r="T770" s="1119"/>
      <c r="U770" s="1119"/>
      <c r="V770" s="1119"/>
      <c r="W770" s="1119"/>
      <c r="X770" s="1076"/>
      <c r="Y770" s="372" t="s">
        <v>1160</v>
      </c>
      <c r="Z770" s="386">
        <v>15855453</v>
      </c>
      <c r="AA770" s="386">
        <v>-7927726.5</v>
      </c>
      <c r="AB770" s="386">
        <f t="shared" si="47"/>
        <v>7927726.5</v>
      </c>
      <c r="AC770" s="384">
        <v>41026</v>
      </c>
      <c r="AD770" s="395">
        <v>7927726</v>
      </c>
      <c r="AE770" s="395" t="s">
        <v>137</v>
      </c>
      <c r="AF770" s="1084"/>
      <c r="AG770" s="1084"/>
      <c r="AH770" s="358">
        <f t="shared" si="46"/>
        <v>0.5</v>
      </c>
      <c r="AI770" s="1084"/>
      <c r="AJ770" s="1084"/>
      <c r="AK770" s="1084"/>
      <c r="AL770" s="1084"/>
      <c r="AM770" s="1084"/>
      <c r="AN770" s="1149"/>
      <c r="AO770" s="1149"/>
      <c r="AP770" s="1204"/>
      <c r="AQ770" s="1204"/>
    </row>
    <row r="771" spans="1:43" s="4" customFormat="1" ht="47.25">
      <c r="A771" s="1076"/>
      <c r="B771" s="1171"/>
      <c r="C771" s="1076"/>
      <c r="D771" s="1076"/>
      <c r="E771" s="1208"/>
      <c r="F771" s="1208"/>
      <c r="G771" s="1076"/>
      <c r="H771" s="1076"/>
      <c r="I771" s="1076"/>
      <c r="J771" s="1076"/>
      <c r="K771" s="1076"/>
      <c r="L771" s="1076"/>
      <c r="M771" s="1245"/>
      <c r="N771" s="1123"/>
      <c r="O771" s="1119"/>
      <c r="P771" s="1119"/>
      <c r="Q771" s="1119"/>
      <c r="R771" s="1171"/>
      <c r="S771" s="1119"/>
      <c r="T771" s="1119"/>
      <c r="U771" s="1119"/>
      <c r="V771" s="1119"/>
      <c r="W771" s="1119"/>
      <c r="X771" s="1076"/>
      <c r="Y771" s="372" t="s">
        <v>1161</v>
      </c>
      <c r="Z771" s="386">
        <v>15855453</v>
      </c>
      <c r="AA771" s="386">
        <v>-7927726.5</v>
      </c>
      <c r="AB771" s="386">
        <f t="shared" si="47"/>
        <v>7927726.5</v>
      </c>
      <c r="AC771" s="384">
        <v>41026</v>
      </c>
      <c r="AD771" s="395">
        <v>7927726</v>
      </c>
      <c r="AE771" s="395" t="s">
        <v>137</v>
      </c>
      <c r="AF771" s="1084"/>
      <c r="AG771" s="1084"/>
      <c r="AH771" s="358">
        <f t="shared" si="46"/>
        <v>0.5</v>
      </c>
      <c r="AI771" s="1084"/>
      <c r="AJ771" s="1084"/>
      <c r="AK771" s="1084"/>
      <c r="AL771" s="1084"/>
      <c r="AM771" s="1084"/>
      <c r="AN771" s="1149"/>
      <c r="AO771" s="1149"/>
      <c r="AP771" s="1204"/>
      <c r="AQ771" s="1204"/>
    </row>
    <row r="772" spans="1:43" s="4" customFormat="1" ht="47.25">
      <c r="A772" s="1076"/>
      <c r="B772" s="1171"/>
      <c r="C772" s="1076"/>
      <c r="D772" s="1076"/>
      <c r="E772" s="1208"/>
      <c r="F772" s="1208"/>
      <c r="G772" s="1076"/>
      <c r="H772" s="1076"/>
      <c r="I772" s="1076"/>
      <c r="J772" s="1076"/>
      <c r="K772" s="1076"/>
      <c r="L772" s="1076"/>
      <c r="M772" s="1245"/>
      <c r="N772" s="1123"/>
      <c r="O772" s="1119"/>
      <c r="P772" s="1119"/>
      <c r="Q772" s="1119"/>
      <c r="R772" s="1171"/>
      <c r="S772" s="1119"/>
      <c r="T772" s="1119"/>
      <c r="U772" s="1119"/>
      <c r="V772" s="1119"/>
      <c r="W772" s="1119"/>
      <c r="X772" s="1076"/>
      <c r="Y772" s="372" t="s">
        <v>1162</v>
      </c>
      <c r="Z772" s="386">
        <v>15855453</v>
      </c>
      <c r="AA772" s="386">
        <v>-7927726.5</v>
      </c>
      <c r="AB772" s="386">
        <f t="shared" si="47"/>
        <v>7927726.5</v>
      </c>
      <c r="AC772" s="384">
        <v>41026</v>
      </c>
      <c r="AD772" s="395">
        <v>7927726</v>
      </c>
      <c r="AE772" s="395" t="s">
        <v>137</v>
      </c>
      <c r="AF772" s="1084"/>
      <c r="AG772" s="1084"/>
      <c r="AH772" s="358">
        <f t="shared" si="46"/>
        <v>0.5</v>
      </c>
      <c r="AI772" s="1084"/>
      <c r="AJ772" s="1084"/>
      <c r="AK772" s="1084"/>
      <c r="AL772" s="1084"/>
      <c r="AM772" s="1084"/>
      <c r="AN772" s="1149"/>
      <c r="AO772" s="1149"/>
      <c r="AP772" s="1204"/>
      <c r="AQ772" s="1204"/>
    </row>
    <row r="773" spans="1:43" s="4" customFormat="1" ht="63">
      <c r="A773" s="1076"/>
      <c r="B773" s="1171"/>
      <c r="C773" s="1076"/>
      <c r="D773" s="1076"/>
      <c r="E773" s="1208"/>
      <c r="F773" s="1208"/>
      <c r="G773" s="1076"/>
      <c r="H773" s="1076"/>
      <c r="I773" s="1076"/>
      <c r="J773" s="1076"/>
      <c r="K773" s="1076"/>
      <c r="L773" s="1076"/>
      <c r="M773" s="1245"/>
      <c r="N773" s="1123"/>
      <c r="O773" s="1119"/>
      <c r="P773" s="1119"/>
      <c r="Q773" s="1119"/>
      <c r="R773" s="1171"/>
      <c r="S773" s="1119"/>
      <c r="T773" s="1119"/>
      <c r="U773" s="1119"/>
      <c r="V773" s="1119"/>
      <c r="W773" s="1119"/>
      <c r="X773" s="1076"/>
      <c r="Y773" s="372" t="s">
        <v>1175</v>
      </c>
      <c r="Z773" s="386">
        <v>15855453</v>
      </c>
      <c r="AA773" s="386">
        <v>-7927726.5</v>
      </c>
      <c r="AB773" s="386">
        <f t="shared" si="47"/>
        <v>7927726.5</v>
      </c>
      <c r="AC773" s="384">
        <v>41150</v>
      </c>
      <c r="AD773" s="395">
        <v>7927726.5</v>
      </c>
      <c r="AE773" s="395" t="s">
        <v>137</v>
      </c>
      <c r="AF773" s="1084"/>
      <c r="AG773" s="1084"/>
      <c r="AH773" s="358">
        <f t="shared" si="46"/>
        <v>0</v>
      </c>
      <c r="AI773" s="1084"/>
      <c r="AJ773" s="1084"/>
      <c r="AK773" s="1084"/>
      <c r="AL773" s="1084"/>
      <c r="AM773" s="1084"/>
      <c r="AN773" s="1149"/>
      <c r="AO773" s="1149"/>
      <c r="AP773" s="1204"/>
      <c r="AQ773" s="1204"/>
    </row>
    <row r="774" spans="1:43" s="4" customFormat="1" ht="63">
      <c r="A774" s="1076"/>
      <c r="B774" s="1171"/>
      <c r="C774" s="1076"/>
      <c r="D774" s="1076"/>
      <c r="E774" s="1208"/>
      <c r="F774" s="1208"/>
      <c r="G774" s="1076"/>
      <c r="H774" s="1076"/>
      <c r="I774" s="1076"/>
      <c r="J774" s="1076"/>
      <c r="K774" s="1076"/>
      <c r="L774" s="1076"/>
      <c r="M774" s="1245"/>
      <c r="N774" s="1123"/>
      <c r="O774" s="1119"/>
      <c r="P774" s="1119"/>
      <c r="Q774" s="1119"/>
      <c r="R774" s="1171"/>
      <c r="S774" s="1119"/>
      <c r="T774" s="1119"/>
      <c r="U774" s="1119"/>
      <c r="V774" s="1119"/>
      <c r="W774" s="1119"/>
      <c r="X774" s="1076"/>
      <c r="Y774" s="372" t="s">
        <v>1176</v>
      </c>
      <c r="Z774" s="386">
        <v>15855453</v>
      </c>
      <c r="AA774" s="386">
        <v>-7927726.5</v>
      </c>
      <c r="AB774" s="386">
        <f t="shared" si="47"/>
        <v>7927726.5</v>
      </c>
      <c r="AC774" s="384">
        <v>41150</v>
      </c>
      <c r="AD774" s="395">
        <v>7927726.5</v>
      </c>
      <c r="AE774" s="395" t="s">
        <v>137</v>
      </c>
      <c r="AF774" s="1084"/>
      <c r="AG774" s="1084"/>
      <c r="AH774" s="358">
        <f t="shared" si="46"/>
        <v>0</v>
      </c>
      <c r="AI774" s="1084"/>
      <c r="AJ774" s="1084"/>
      <c r="AK774" s="1084"/>
      <c r="AL774" s="1084"/>
      <c r="AM774" s="1084"/>
      <c r="AN774" s="1149"/>
      <c r="AO774" s="1149"/>
      <c r="AP774" s="1204"/>
      <c r="AQ774" s="1204"/>
    </row>
    <row r="775" spans="1:43" s="4" customFormat="1" ht="63">
      <c r="A775" s="1076"/>
      <c r="B775" s="1171"/>
      <c r="C775" s="1076"/>
      <c r="D775" s="1076"/>
      <c r="E775" s="1208"/>
      <c r="F775" s="1208"/>
      <c r="G775" s="1076"/>
      <c r="H775" s="1076"/>
      <c r="I775" s="1076"/>
      <c r="J775" s="1076"/>
      <c r="K775" s="1076"/>
      <c r="L775" s="1076"/>
      <c r="M775" s="1245"/>
      <c r="N775" s="1123"/>
      <c r="O775" s="1119"/>
      <c r="P775" s="1119"/>
      <c r="Q775" s="1119"/>
      <c r="R775" s="1171"/>
      <c r="S775" s="1119"/>
      <c r="T775" s="1119"/>
      <c r="U775" s="1119"/>
      <c r="V775" s="1119"/>
      <c r="W775" s="1119"/>
      <c r="X775" s="1076"/>
      <c r="Y775" s="372" t="s">
        <v>1177</v>
      </c>
      <c r="Z775" s="386">
        <v>15855453</v>
      </c>
      <c r="AA775" s="386">
        <v>-7927726.5</v>
      </c>
      <c r="AB775" s="386">
        <f t="shared" si="47"/>
        <v>7927726.5</v>
      </c>
      <c r="AC775" s="384">
        <v>41150</v>
      </c>
      <c r="AD775" s="395">
        <v>7927726.5</v>
      </c>
      <c r="AE775" s="395" t="s">
        <v>137</v>
      </c>
      <c r="AF775" s="1084"/>
      <c r="AG775" s="1084"/>
      <c r="AH775" s="358">
        <f t="shared" si="46"/>
        <v>0</v>
      </c>
      <c r="AI775" s="1084"/>
      <c r="AJ775" s="1084"/>
      <c r="AK775" s="1084"/>
      <c r="AL775" s="1084"/>
      <c r="AM775" s="1084"/>
      <c r="AN775" s="1149"/>
      <c r="AO775" s="1149"/>
      <c r="AP775" s="1204"/>
      <c r="AQ775" s="1204"/>
    </row>
    <row r="776" spans="1:43" s="4" customFormat="1" ht="63">
      <c r="A776" s="1076"/>
      <c r="B776" s="1171"/>
      <c r="C776" s="1076"/>
      <c r="D776" s="1076"/>
      <c r="E776" s="1208"/>
      <c r="F776" s="1208"/>
      <c r="G776" s="1076"/>
      <c r="H776" s="1076"/>
      <c r="I776" s="1076"/>
      <c r="J776" s="1076"/>
      <c r="K776" s="1076"/>
      <c r="L776" s="1076"/>
      <c r="M776" s="1245"/>
      <c r="N776" s="1123"/>
      <c r="O776" s="1119"/>
      <c r="P776" s="1119"/>
      <c r="Q776" s="1119"/>
      <c r="R776" s="1171"/>
      <c r="S776" s="1119"/>
      <c r="T776" s="1119"/>
      <c r="U776" s="1119"/>
      <c r="V776" s="1119"/>
      <c r="W776" s="1119"/>
      <c r="X776" s="1076"/>
      <c r="Y776" s="372" t="s">
        <v>1178</v>
      </c>
      <c r="Z776" s="386">
        <v>15855452</v>
      </c>
      <c r="AA776" s="386">
        <v>-7927726</v>
      </c>
      <c r="AB776" s="386">
        <f t="shared" si="47"/>
        <v>7927726</v>
      </c>
      <c r="AC776" s="384">
        <v>41635</v>
      </c>
      <c r="AD776" s="395">
        <v>7927726</v>
      </c>
      <c r="AE776" s="395" t="s">
        <v>137</v>
      </c>
      <c r="AF776" s="1084"/>
      <c r="AG776" s="1084"/>
      <c r="AH776" s="358">
        <f t="shared" si="46"/>
        <v>0</v>
      </c>
      <c r="AI776" s="1084"/>
      <c r="AJ776" s="1084"/>
      <c r="AK776" s="1084"/>
      <c r="AL776" s="1084"/>
      <c r="AM776" s="1084"/>
      <c r="AN776" s="1149"/>
      <c r="AO776" s="1149"/>
      <c r="AP776" s="1204"/>
      <c r="AQ776" s="1204"/>
    </row>
    <row r="777" spans="1:43" ht="63">
      <c r="A777" s="1076" t="s">
        <v>1135</v>
      </c>
      <c r="B777" s="1171">
        <v>40835</v>
      </c>
      <c r="C777" s="1076" t="s">
        <v>9</v>
      </c>
      <c r="D777" s="1076" t="s">
        <v>1136</v>
      </c>
      <c r="E777" s="1208">
        <v>25274386</v>
      </c>
      <c r="F777" s="1208"/>
      <c r="G777" s="1076" t="s">
        <v>1137</v>
      </c>
      <c r="H777" s="1076" t="s">
        <v>70</v>
      </c>
      <c r="I777" s="1076" t="s">
        <v>206</v>
      </c>
      <c r="J777" s="1076" t="s">
        <v>66</v>
      </c>
      <c r="K777" s="1076" t="s">
        <v>183</v>
      </c>
      <c r="L777" s="1076" t="s">
        <v>1147</v>
      </c>
      <c r="M777" s="1350">
        <v>178</v>
      </c>
      <c r="N777" s="1123" t="s">
        <v>137</v>
      </c>
      <c r="O777" s="1119">
        <v>62465292</v>
      </c>
      <c r="P777" s="1119">
        <v>62465292</v>
      </c>
      <c r="Q777" s="1119">
        <v>62465292</v>
      </c>
      <c r="R777" s="1171">
        <v>40753</v>
      </c>
      <c r="S777" s="1196">
        <v>62465292</v>
      </c>
      <c r="T777" s="1196">
        <v>62465292</v>
      </c>
      <c r="U777" s="1196">
        <f>O777-T777</f>
        <v>0</v>
      </c>
      <c r="V777" s="1119">
        <v>62465292</v>
      </c>
      <c r="W777" s="1119">
        <v>62465292</v>
      </c>
      <c r="X777" s="1076" t="s">
        <v>1138</v>
      </c>
      <c r="Y777" s="372" t="s">
        <v>1139</v>
      </c>
      <c r="Z777" s="386">
        <v>0</v>
      </c>
      <c r="AA777" s="386">
        <v>31232646</v>
      </c>
      <c r="AB777" s="386">
        <f t="shared" ref="AB777:AB806" si="48">Z777+AA777</f>
        <v>31232646</v>
      </c>
      <c r="AC777" s="384">
        <v>40891</v>
      </c>
      <c r="AD777" s="395">
        <v>31232646</v>
      </c>
      <c r="AE777" s="395" t="s">
        <v>137</v>
      </c>
      <c r="AF777" s="1084">
        <f>SUM(AD777:AD784)</f>
        <v>62465290</v>
      </c>
      <c r="AG777" s="1084">
        <f>AF777</f>
        <v>62465290</v>
      </c>
      <c r="AH777" s="358">
        <f t="shared" si="46"/>
        <v>0</v>
      </c>
      <c r="AI777" s="1084">
        <f>O777-SUM(AD777:AD784)</f>
        <v>2</v>
      </c>
      <c r="AJ777" s="1119">
        <f>SUM(Z777:Z784)-SUM(AD777:AD784)</f>
        <v>2</v>
      </c>
      <c r="AK777" s="1119">
        <f>P777-V777</f>
        <v>0</v>
      </c>
      <c r="AL777" s="1119">
        <f>V777-SUM(Z777:Z784)+AJ777</f>
        <v>2</v>
      </c>
      <c r="AM777" s="1119">
        <f>AK777+AL777</f>
        <v>2</v>
      </c>
      <c r="AN777" s="1203" t="s">
        <v>606</v>
      </c>
      <c r="AO777" s="1237" t="s">
        <v>1148</v>
      </c>
      <c r="AP777" s="1204" t="s">
        <v>194</v>
      </c>
      <c r="AQ777" s="1204" t="s">
        <v>1097</v>
      </c>
    </row>
    <row r="778" spans="1:43" ht="63">
      <c r="A778" s="1076"/>
      <c r="B778" s="1171"/>
      <c r="C778" s="1076"/>
      <c r="D778" s="1076"/>
      <c r="E778" s="1208"/>
      <c r="F778" s="1208"/>
      <c r="G778" s="1076"/>
      <c r="H778" s="1076"/>
      <c r="I778" s="1076"/>
      <c r="J778" s="1076"/>
      <c r="K778" s="1076"/>
      <c r="L778" s="1076"/>
      <c r="M778" s="1350"/>
      <c r="N778" s="1123"/>
      <c r="O778" s="1119"/>
      <c r="P778" s="1119"/>
      <c r="Q778" s="1119"/>
      <c r="R778" s="1171"/>
      <c r="S778" s="1196"/>
      <c r="T778" s="1196"/>
      <c r="U778" s="1196"/>
      <c r="V778" s="1119"/>
      <c r="W778" s="1119"/>
      <c r="X778" s="1076"/>
      <c r="Y778" s="372" t="s">
        <v>1140</v>
      </c>
      <c r="Z778" s="386">
        <v>8923613</v>
      </c>
      <c r="AA778" s="386">
        <v>-4461807</v>
      </c>
      <c r="AB778" s="386">
        <f t="shared" si="48"/>
        <v>4461806</v>
      </c>
      <c r="AC778" s="384">
        <v>41046</v>
      </c>
      <c r="AD778" s="395">
        <v>4461806</v>
      </c>
      <c r="AE778" s="395" t="s">
        <v>137</v>
      </c>
      <c r="AF778" s="1084"/>
      <c r="AG778" s="1084"/>
      <c r="AH778" s="358">
        <f t="shared" si="46"/>
        <v>0</v>
      </c>
      <c r="AI778" s="1084"/>
      <c r="AJ778" s="1119"/>
      <c r="AK778" s="1119"/>
      <c r="AL778" s="1119"/>
      <c r="AM778" s="1119"/>
      <c r="AN778" s="1203"/>
      <c r="AO778" s="1204"/>
      <c r="AP778" s="1204"/>
      <c r="AQ778" s="1204"/>
    </row>
    <row r="779" spans="1:43" ht="63">
      <c r="A779" s="1076"/>
      <c r="B779" s="1171"/>
      <c r="C779" s="1076"/>
      <c r="D779" s="1076"/>
      <c r="E779" s="1208"/>
      <c r="F779" s="1208"/>
      <c r="G779" s="1076"/>
      <c r="H779" s="1076"/>
      <c r="I779" s="1076"/>
      <c r="J779" s="1076"/>
      <c r="K779" s="1076"/>
      <c r="L779" s="1076"/>
      <c r="M779" s="1350"/>
      <c r="N779" s="1123"/>
      <c r="O779" s="1119"/>
      <c r="P779" s="1119"/>
      <c r="Q779" s="1119"/>
      <c r="R779" s="1171"/>
      <c r="S779" s="1196"/>
      <c r="T779" s="1196"/>
      <c r="U779" s="1196"/>
      <c r="V779" s="1119"/>
      <c r="W779" s="1119"/>
      <c r="X779" s="1076"/>
      <c r="Y779" s="372" t="s">
        <v>1141</v>
      </c>
      <c r="Z779" s="386">
        <v>8923613</v>
      </c>
      <c r="AA779" s="386">
        <v>-4461807</v>
      </c>
      <c r="AB779" s="386">
        <f t="shared" si="48"/>
        <v>4461806</v>
      </c>
      <c r="AC779" s="1171">
        <v>41061</v>
      </c>
      <c r="AD779" s="395">
        <v>4461806</v>
      </c>
      <c r="AE779" s="395" t="s">
        <v>137</v>
      </c>
      <c r="AF779" s="1084"/>
      <c r="AG779" s="1084"/>
      <c r="AH779" s="358">
        <f t="shared" si="46"/>
        <v>0</v>
      </c>
      <c r="AI779" s="1084"/>
      <c r="AJ779" s="1119"/>
      <c r="AK779" s="1119"/>
      <c r="AL779" s="1119"/>
      <c r="AM779" s="1119"/>
      <c r="AN779" s="1203"/>
      <c r="AO779" s="1204"/>
      <c r="AP779" s="1204"/>
      <c r="AQ779" s="1204"/>
    </row>
    <row r="780" spans="1:43" ht="63">
      <c r="A780" s="1076"/>
      <c r="B780" s="1171"/>
      <c r="C780" s="1076"/>
      <c r="D780" s="1076"/>
      <c r="E780" s="1208"/>
      <c r="F780" s="1208"/>
      <c r="G780" s="1076"/>
      <c r="H780" s="1076"/>
      <c r="I780" s="1076"/>
      <c r="J780" s="1076"/>
      <c r="K780" s="1076"/>
      <c r="L780" s="1076"/>
      <c r="M780" s="1350"/>
      <c r="N780" s="1123"/>
      <c r="O780" s="1119"/>
      <c r="P780" s="1119"/>
      <c r="Q780" s="1119"/>
      <c r="R780" s="1171"/>
      <c r="S780" s="1196"/>
      <c r="T780" s="1196"/>
      <c r="U780" s="1196"/>
      <c r="V780" s="1119"/>
      <c r="W780" s="1119"/>
      <c r="X780" s="1076"/>
      <c r="Y780" s="372" t="s">
        <v>1142</v>
      </c>
      <c r="Z780" s="386">
        <v>8923613</v>
      </c>
      <c r="AA780" s="386">
        <v>-4461807</v>
      </c>
      <c r="AB780" s="386">
        <f t="shared" si="48"/>
        <v>4461806</v>
      </c>
      <c r="AC780" s="1171"/>
      <c r="AD780" s="395">
        <v>4461806</v>
      </c>
      <c r="AE780" s="395" t="s">
        <v>137</v>
      </c>
      <c r="AF780" s="1084"/>
      <c r="AG780" s="1084"/>
      <c r="AH780" s="358">
        <f t="shared" si="46"/>
        <v>0</v>
      </c>
      <c r="AI780" s="1084"/>
      <c r="AJ780" s="1119"/>
      <c r="AK780" s="1119"/>
      <c r="AL780" s="1119"/>
      <c r="AM780" s="1119"/>
      <c r="AN780" s="1203"/>
      <c r="AO780" s="1204"/>
      <c r="AP780" s="1204"/>
      <c r="AQ780" s="1204"/>
    </row>
    <row r="781" spans="1:43" ht="63">
      <c r="A781" s="1076"/>
      <c r="B781" s="1171"/>
      <c r="C781" s="1076"/>
      <c r="D781" s="1076"/>
      <c r="E781" s="1208"/>
      <c r="F781" s="1208"/>
      <c r="G781" s="1076"/>
      <c r="H781" s="1076"/>
      <c r="I781" s="1076"/>
      <c r="J781" s="1076"/>
      <c r="K781" s="1076"/>
      <c r="L781" s="1076"/>
      <c r="M781" s="1350"/>
      <c r="N781" s="1123"/>
      <c r="O781" s="1119"/>
      <c r="P781" s="1119"/>
      <c r="Q781" s="1119"/>
      <c r="R781" s="1171"/>
      <c r="S781" s="1196"/>
      <c r="T781" s="1196"/>
      <c r="U781" s="1196"/>
      <c r="V781" s="1119"/>
      <c r="W781" s="1119"/>
      <c r="X781" s="1076"/>
      <c r="Y781" s="372" t="s">
        <v>1143</v>
      </c>
      <c r="Z781" s="386">
        <v>8923613</v>
      </c>
      <c r="AA781" s="386">
        <v>-4461807</v>
      </c>
      <c r="AB781" s="386">
        <f t="shared" si="48"/>
        <v>4461806</v>
      </c>
      <c r="AC781" s="384">
        <v>41094</v>
      </c>
      <c r="AD781" s="395">
        <v>4461806</v>
      </c>
      <c r="AE781" s="395" t="s">
        <v>137</v>
      </c>
      <c r="AF781" s="1084"/>
      <c r="AG781" s="1084"/>
      <c r="AH781" s="358">
        <f t="shared" si="46"/>
        <v>0</v>
      </c>
      <c r="AI781" s="1084"/>
      <c r="AJ781" s="1119"/>
      <c r="AK781" s="1119"/>
      <c r="AL781" s="1119"/>
      <c r="AM781" s="1119"/>
      <c r="AN781" s="1203"/>
      <c r="AO781" s="1204"/>
      <c r="AP781" s="1204"/>
      <c r="AQ781" s="1204"/>
    </row>
    <row r="782" spans="1:43" ht="63">
      <c r="A782" s="1076"/>
      <c r="B782" s="1171"/>
      <c r="C782" s="1076"/>
      <c r="D782" s="1076"/>
      <c r="E782" s="1208"/>
      <c r="F782" s="1208"/>
      <c r="G782" s="1076"/>
      <c r="H782" s="1076"/>
      <c r="I782" s="1076"/>
      <c r="J782" s="1076"/>
      <c r="K782" s="1076"/>
      <c r="L782" s="1076"/>
      <c r="M782" s="1350"/>
      <c r="N782" s="1123"/>
      <c r="O782" s="1119"/>
      <c r="P782" s="1119"/>
      <c r="Q782" s="1119"/>
      <c r="R782" s="1171"/>
      <c r="S782" s="1196"/>
      <c r="T782" s="1196"/>
      <c r="U782" s="1196"/>
      <c r="V782" s="1119"/>
      <c r="W782" s="1119"/>
      <c r="X782" s="1076"/>
      <c r="Y782" s="372" t="s">
        <v>1144</v>
      </c>
      <c r="Z782" s="386">
        <v>8923613</v>
      </c>
      <c r="AA782" s="386">
        <v>-4461806.5</v>
      </c>
      <c r="AB782" s="386">
        <f t="shared" si="48"/>
        <v>4461806.5</v>
      </c>
      <c r="AC782" s="1171">
        <v>41150</v>
      </c>
      <c r="AD782" s="395">
        <v>4461806.5</v>
      </c>
      <c r="AE782" s="395" t="s">
        <v>137</v>
      </c>
      <c r="AF782" s="1084"/>
      <c r="AG782" s="1084"/>
      <c r="AH782" s="358">
        <f t="shared" si="46"/>
        <v>0</v>
      </c>
      <c r="AI782" s="1084"/>
      <c r="AJ782" s="1119"/>
      <c r="AK782" s="1119"/>
      <c r="AL782" s="1119"/>
      <c r="AM782" s="1119"/>
      <c r="AN782" s="1203"/>
      <c r="AO782" s="1204"/>
      <c r="AP782" s="1204"/>
      <c r="AQ782" s="1204"/>
    </row>
    <row r="783" spans="1:43" ht="63">
      <c r="A783" s="1076"/>
      <c r="B783" s="1171"/>
      <c r="C783" s="1076"/>
      <c r="D783" s="1076"/>
      <c r="E783" s="1208"/>
      <c r="F783" s="1208"/>
      <c r="G783" s="1076"/>
      <c r="H783" s="1076"/>
      <c r="I783" s="1076"/>
      <c r="J783" s="1076"/>
      <c r="K783" s="1076"/>
      <c r="L783" s="1076"/>
      <c r="M783" s="1350"/>
      <c r="N783" s="1123"/>
      <c r="O783" s="1119"/>
      <c r="P783" s="1119"/>
      <c r="Q783" s="1119"/>
      <c r="R783" s="1171"/>
      <c r="S783" s="1196"/>
      <c r="T783" s="1196"/>
      <c r="U783" s="1196"/>
      <c r="V783" s="1119"/>
      <c r="W783" s="1119"/>
      <c r="X783" s="1076"/>
      <c r="Y783" s="372" t="s">
        <v>1145</v>
      </c>
      <c r="Z783" s="386">
        <v>8923613</v>
      </c>
      <c r="AA783" s="386">
        <v>-4461806.5</v>
      </c>
      <c r="AB783" s="386">
        <f t="shared" si="48"/>
        <v>4461806.5</v>
      </c>
      <c r="AC783" s="1171"/>
      <c r="AD783" s="395">
        <v>4461806.5</v>
      </c>
      <c r="AE783" s="395" t="s">
        <v>137</v>
      </c>
      <c r="AF783" s="1084"/>
      <c r="AG783" s="1084"/>
      <c r="AH783" s="358">
        <f t="shared" si="46"/>
        <v>0</v>
      </c>
      <c r="AI783" s="1084"/>
      <c r="AJ783" s="1119"/>
      <c r="AK783" s="1119"/>
      <c r="AL783" s="1119"/>
      <c r="AM783" s="1119"/>
      <c r="AN783" s="1203"/>
      <c r="AO783" s="1204"/>
      <c r="AP783" s="1204"/>
      <c r="AQ783" s="1204"/>
    </row>
    <row r="784" spans="1:43" ht="63">
      <c r="A784" s="1076"/>
      <c r="B784" s="1171"/>
      <c r="C784" s="1076"/>
      <c r="D784" s="1076"/>
      <c r="E784" s="1208"/>
      <c r="F784" s="1208"/>
      <c r="G784" s="1076"/>
      <c r="H784" s="1076"/>
      <c r="I784" s="1076"/>
      <c r="J784" s="1076"/>
      <c r="K784" s="1076"/>
      <c r="L784" s="1076"/>
      <c r="M784" s="1350"/>
      <c r="N784" s="1123"/>
      <c r="O784" s="1119"/>
      <c r="P784" s="1119"/>
      <c r="Q784" s="1119"/>
      <c r="R784" s="1171"/>
      <c r="S784" s="1196"/>
      <c r="T784" s="1196"/>
      <c r="U784" s="1196"/>
      <c r="V784" s="1119"/>
      <c r="W784" s="1119"/>
      <c r="X784" s="1076"/>
      <c r="Y784" s="372" t="s">
        <v>1146</v>
      </c>
      <c r="Z784" s="386">
        <v>8923614</v>
      </c>
      <c r="AA784" s="386">
        <v>-4461807</v>
      </c>
      <c r="AB784" s="386">
        <f t="shared" si="48"/>
        <v>4461807</v>
      </c>
      <c r="AC784" s="384">
        <v>41540</v>
      </c>
      <c r="AD784" s="395">
        <v>4461807</v>
      </c>
      <c r="AE784" s="395" t="s">
        <v>137</v>
      </c>
      <c r="AF784" s="1084"/>
      <c r="AG784" s="1084"/>
      <c r="AH784" s="358">
        <f t="shared" si="46"/>
        <v>0</v>
      </c>
      <c r="AI784" s="1084"/>
      <c r="AJ784" s="1119"/>
      <c r="AK784" s="1119"/>
      <c r="AL784" s="1119"/>
      <c r="AM784" s="1119"/>
      <c r="AN784" s="1203"/>
      <c r="AO784" s="1204"/>
      <c r="AP784" s="1204"/>
      <c r="AQ784" s="1204"/>
    </row>
    <row r="785" spans="1:43" s="4" customFormat="1" ht="63.75" customHeight="1">
      <c r="A785" s="1249" t="s">
        <v>1180</v>
      </c>
      <c r="B785" s="1171">
        <v>40835</v>
      </c>
      <c r="C785" s="1076" t="s">
        <v>42</v>
      </c>
      <c r="D785" s="1076" t="s">
        <v>1186</v>
      </c>
      <c r="E785" s="1208">
        <v>900471400</v>
      </c>
      <c r="F785" s="1208" t="s">
        <v>1187</v>
      </c>
      <c r="G785" s="1076" t="s">
        <v>1185</v>
      </c>
      <c r="H785" s="1076" t="s">
        <v>70</v>
      </c>
      <c r="I785" s="1076" t="s">
        <v>206</v>
      </c>
      <c r="J785" s="1076" t="s">
        <v>66</v>
      </c>
      <c r="K785" s="1076" t="s">
        <v>183</v>
      </c>
      <c r="L785" s="1076" t="s">
        <v>1208</v>
      </c>
      <c r="M785" s="1245">
        <v>181</v>
      </c>
      <c r="N785" s="1123" t="s">
        <v>137</v>
      </c>
      <c r="O785" s="1119">
        <v>71242158</v>
      </c>
      <c r="P785" s="1119">
        <f>O785</f>
        <v>71242158</v>
      </c>
      <c r="Q785" s="1119">
        <f>P785+P793+P801+P803</f>
        <v>142465026</v>
      </c>
      <c r="R785" s="1171">
        <v>40753</v>
      </c>
      <c r="S785" s="1295">
        <v>71242158</v>
      </c>
      <c r="T785" s="1295">
        <v>71242158</v>
      </c>
      <c r="U785" s="1295">
        <f>O785-T785</f>
        <v>0</v>
      </c>
      <c r="V785" s="1119">
        <v>71152765</v>
      </c>
      <c r="W785" s="1119">
        <v>142336878</v>
      </c>
      <c r="X785" s="1244" t="s">
        <v>1179</v>
      </c>
      <c r="Y785" s="372" t="s">
        <v>1188</v>
      </c>
      <c r="Z785" s="386">
        <v>0</v>
      </c>
      <c r="AA785" s="386">
        <v>35577600</v>
      </c>
      <c r="AB785" s="386">
        <f t="shared" si="48"/>
        <v>35577600</v>
      </c>
      <c r="AC785" s="384">
        <v>40890</v>
      </c>
      <c r="AD785" s="395">
        <v>35577600</v>
      </c>
      <c r="AE785" s="395" t="s">
        <v>137</v>
      </c>
      <c r="AF785" s="1084">
        <f>SUM(AD785:AD792)</f>
        <v>71152765</v>
      </c>
      <c r="AG785" s="1084">
        <f>AF785+AF793+AF801+AF803</f>
        <v>142336876.30000001</v>
      </c>
      <c r="AH785" s="358">
        <f t="shared" si="46"/>
        <v>0</v>
      </c>
      <c r="AI785" s="1084">
        <f>O785-SUM(AD785:AD792)</f>
        <v>89393</v>
      </c>
      <c r="AJ785" s="1119">
        <f>SUM(Z785:Z804)-SUM(AD785:AD804)</f>
        <v>1.7000000178813934</v>
      </c>
      <c r="AK785" s="1119">
        <f>P785-V785</f>
        <v>89393</v>
      </c>
      <c r="AL785" s="1119">
        <f>V785-SUM(Z785:Z792)</f>
        <v>0</v>
      </c>
      <c r="AM785" s="1119">
        <f>AK785+AL785</f>
        <v>89393</v>
      </c>
      <c r="AN785" s="1249" t="s">
        <v>1190</v>
      </c>
      <c r="AO785" s="1204" t="s">
        <v>1209</v>
      </c>
      <c r="AP785" s="1204" t="s">
        <v>195</v>
      </c>
      <c r="AQ785" s="1204" t="s">
        <v>1097</v>
      </c>
    </row>
    <row r="786" spans="1:43" s="4" customFormat="1" ht="46.5" customHeight="1">
      <c r="A786" s="1249"/>
      <c r="B786" s="1171"/>
      <c r="C786" s="1076"/>
      <c r="D786" s="1076"/>
      <c r="E786" s="1208"/>
      <c r="F786" s="1208"/>
      <c r="G786" s="1076"/>
      <c r="H786" s="1076"/>
      <c r="I786" s="1076"/>
      <c r="J786" s="1076"/>
      <c r="K786" s="1076"/>
      <c r="L786" s="1076"/>
      <c r="M786" s="1245"/>
      <c r="N786" s="1123"/>
      <c r="O786" s="1119"/>
      <c r="P786" s="1119"/>
      <c r="Q786" s="1119"/>
      <c r="R786" s="1171"/>
      <c r="S786" s="1295"/>
      <c r="T786" s="1295"/>
      <c r="U786" s="1295"/>
      <c r="V786" s="1119"/>
      <c r="W786" s="1119"/>
      <c r="X786" s="1244"/>
      <c r="Y786" s="372" t="s">
        <v>1191</v>
      </c>
      <c r="Z786" s="386">
        <v>10770075</v>
      </c>
      <c r="AA786" s="386">
        <v>-5385037</v>
      </c>
      <c r="AB786" s="386">
        <f t="shared" si="48"/>
        <v>5385038</v>
      </c>
      <c r="AC786" s="1171">
        <v>41057</v>
      </c>
      <c r="AD786" s="395">
        <v>5385038</v>
      </c>
      <c r="AE786" s="395" t="s">
        <v>137</v>
      </c>
      <c r="AF786" s="1084"/>
      <c r="AG786" s="1084"/>
      <c r="AH786" s="358">
        <f t="shared" si="46"/>
        <v>0</v>
      </c>
      <c r="AI786" s="1084"/>
      <c r="AJ786" s="1119"/>
      <c r="AK786" s="1119"/>
      <c r="AL786" s="1119"/>
      <c r="AM786" s="1119"/>
      <c r="AN786" s="1249"/>
      <c r="AO786" s="1204"/>
      <c r="AP786" s="1204"/>
      <c r="AQ786" s="1204"/>
    </row>
    <row r="787" spans="1:43" s="4" customFormat="1" ht="47.25">
      <c r="A787" s="1249"/>
      <c r="B787" s="1171"/>
      <c r="C787" s="1076"/>
      <c r="D787" s="1076"/>
      <c r="E787" s="1208"/>
      <c r="F787" s="1208"/>
      <c r="G787" s="1076"/>
      <c r="H787" s="1076"/>
      <c r="I787" s="1076"/>
      <c r="J787" s="1076"/>
      <c r="K787" s="1076"/>
      <c r="L787" s="1076"/>
      <c r="M787" s="1245"/>
      <c r="N787" s="1123"/>
      <c r="O787" s="1119"/>
      <c r="P787" s="1119"/>
      <c r="Q787" s="1119"/>
      <c r="R787" s="1171"/>
      <c r="S787" s="1295"/>
      <c r="T787" s="1295"/>
      <c r="U787" s="1295"/>
      <c r="V787" s="1119"/>
      <c r="W787" s="1119"/>
      <c r="X787" s="1244"/>
      <c r="Y787" s="372" t="s">
        <v>1193</v>
      </c>
      <c r="Z787" s="386">
        <v>10770075</v>
      </c>
      <c r="AA787" s="386">
        <v>-5385037</v>
      </c>
      <c r="AB787" s="386">
        <f t="shared" si="48"/>
        <v>5385038</v>
      </c>
      <c r="AC787" s="1171"/>
      <c r="AD787" s="395">
        <v>5385038</v>
      </c>
      <c r="AE787" s="395" t="s">
        <v>137</v>
      </c>
      <c r="AF787" s="1084"/>
      <c r="AG787" s="1084"/>
      <c r="AH787" s="358">
        <f t="shared" si="46"/>
        <v>0</v>
      </c>
      <c r="AI787" s="1084"/>
      <c r="AJ787" s="1119"/>
      <c r="AK787" s="1119"/>
      <c r="AL787" s="1119"/>
      <c r="AM787" s="1119"/>
      <c r="AN787" s="1249"/>
      <c r="AO787" s="1204"/>
      <c r="AP787" s="1204"/>
      <c r="AQ787" s="1204"/>
    </row>
    <row r="788" spans="1:43" s="4" customFormat="1" ht="47.25">
      <c r="A788" s="1249"/>
      <c r="B788" s="1171"/>
      <c r="C788" s="1076"/>
      <c r="D788" s="1076"/>
      <c r="E788" s="1208"/>
      <c r="F788" s="1208"/>
      <c r="G788" s="1076"/>
      <c r="H788" s="1076"/>
      <c r="I788" s="1076"/>
      <c r="J788" s="1076"/>
      <c r="K788" s="1076"/>
      <c r="L788" s="1076"/>
      <c r="M788" s="1245"/>
      <c r="N788" s="1123"/>
      <c r="O788" s="1119"/>
      <c r="P788" s="1119"/>
      <c r="Q788" s="1119"/>
      <c r="R788" s="1171"/>
      <c r="S788" s="1295"/>
      <c r="T788" s="1295"/>
      <c r="U788" s="1295"/>
      <c r="V788" s="1119"/>
      <c r="W788" s="1119"/>
      <c r="X788" s="1244"/>
      <c r="Y788" s="372" t="s">
        <v>1195</v>
      </c>
      <c r="Z788" s="386">
        <v>10770075</v>
      </c>
      <c r="AA788" s="386">
        <v>-5385037</v>
      </c>
      <c r="AB788" s="386">
        <f t="shared" si="48"/>
        <v>5385038</v>
      </c>
      <c r="AC788" s="1171"/>
      <c r="AD788" s="395">
        <v>5385038</v>
      </c>
      <c r="AE788" s="395" t="s">
        <v>137</v>
      </c>
      <c r="AF788" s="1084"/>
      <c r="AG788" s="1084"/>
      <c r="AH788" s="358">
        <f t="shared" si="46"/>
        <v>0</v>
      </c>
      <c r="AI788" s="1084"/>
      <c r="AJ788" s="1119"/>
      <c r="AK788" s="1119"/>
      <c r="AL788" s="1119"/>
      <c r="AM788" s="1119"/>
      <c r="AN788" s="1249"/>
      <c r="AO788" s="1204"/>
      <c r="AP788" s="1204"/>
      <c r="AQ788" s="1204"/>
    </row>
    <row r="789" spans="1:43" s="4" customFormat="1" ht="47.25">
      <c r="A789" s="1249"/>
      <c r="B789" s="1171"/>
      <c r="C789" s="1076"/>
      <c r="D789" s="1076"/>
      <c r="E789" s="1208"/>
      <c r="F789" s="1208"/>
      <c r="G789" s="1076"/>
      <c r="H789" s="1076"/>
      <c r="I789" s="1076"/>
      <c r="J789" s="1076"/>
      <c r="K789" s="1076"/>
      <c r="L789" s="1076"/>
      <c r="M789" s="1245"/>
      <c r="N789" s="1123"/>
      <c r="O789" s="1119"/>
      <c r="P789" s="1119"/>
      <c r="Q789" s="1119"/>
      <c r="R789" s="1171"/>
      <c r="S789" s="1295"/>
      <c r="T789" s="1295"/>
      <c r="U789" s="1295"/>
      <c r="V789" s="1119"/>
      <c r="W789" s="1119"/>
      <c r="X789" s="1244"/>
      <c r="Y789" s="372" t="s">
        <v>1197</v>
      </c>
      <c r="Z789" s="386">
        <v>10770075</v>
      </c>
      <c r="AA789" s="386">
        <v>-5385037</v>
      </c>
      <c r="AB789" s="386">
        <f t="shared" si="48"/>
        <v>5385038</v>
      </c>
      <c r="AC789" s="1171">
        <v>41151</v>
      </c>
      <c r="AD789" s="395">
        <v>5385038</v>
      </c>
      <c r="AE789" s="395" t="s">
        <v>137</v>
      </c>
      <c r="AF789" s="1084"/>
      <c r="AG789" s="1084"/>
      <c r="AH789" s="358">
        <f t="shared" si="46"/>
        <v>0</v>
      </c>
      <c r="AI789" s="1084"/>
      <c r="AJ789" s="1119"/>
      <c r="AK789" s="1119"/>
      <c r="AL789" s="1119"/>
      <c r="AM789" s="1119"/>
      <c r="AN789" s="1249"/>
      <c r="AO789" s="1204"/>
      <c r="AP789" s="1204"/>
      <c r="AQ789" s="1204"/>
    </row>
    <row r="790" spans="1:43" s="4" customFormat="1" ht="47.25">
      <c r="A790" s="1249"/>
      <c r="B790" s="1171"/>
      <c r="C790" s="1076"/>
      <c r="D790" s="1076"/>
      <c r="E790" s="1208"/>
      <c r="F790" s="1208"/>
      <c r="G790" s="1076"/>
      <c r="H790" s="1076"/>
      <c r="I790" s="1076"/>
      <c r="J790" s="1076"/>
      <c r="K790" s="1076"/>
      <c r="L790" s="1076"/>
      <c r="M790" s="1245"/>
      <c r="N790" s="1123"/>
      <c r="O790" s="1119"/>
      <c r="P790" s="1119"/>
      <c r="Q790" s="1119"/>
      <c r="R790" s="1171"/>
      <c r="S790" s="1295"/>
      <c r="T790" s="1295"/>
      <c r="U790" s="1295"/>
      <c r="V790" s="1119"/>
      <c r="W790" s="1119"/>
      <c r="X790" s="1244"/>
      <c r="Y790" s="372" t="s">
        <v>1198</v>
      </c>
      <c r="Z790" s="386">
        <v>10770075</v>
      </c>
      <c r="AA790" s="386">
        <v>-5385037</v>
      </c>
      <c r="AB790" s="386">
        <f t="shared" si="48"/>
        <v>5385038</v>
      </c>
      <c r="AC790" s="1171"/>
      <c r="AD790" s="395">
        <v>5385038</v>
      </c>
      <c r="AE790" s="395" t="s">
        <v>137</v>
      </c>
      <c r="AF790" s="1084"/>
      <c r="AG790" s="1084"/>
      <c r="AH790" s="358">
        <f t="shared" si="46"/>
        <v>0</v>
      </c>
      <c r="AI790" s="1084"/>
      <c r="AJ790" s="1119"/>
      <c r="AK790" s="1119"/>
      <c r="AL790" s="1119"/>
      <c r="AM790" s="1119"/>
      <c r="AN790" s="1249"/>
      <c r="AO790" s="1204"/>
      <c r="AP790" s="1204"/>
      <c r="AQ790" s="1204"/>
    </row>
    <row r="791" spans="1:43" s="4" customFormat="1" ht="47.25">
      <c r="A791" s="1249"/>
      <c r="B791" s="1171"/>
      <c r="C791" s="1076"/>
      <c r="D791" s="1076"/>
      <c r="E791" s="1208"/>
      <c r="F791" s="1208"/>
      <c r="G791" s="1076"/>
      <c r="H791" s="1076"/>
      <c r="I791" s="1076"/>
      <c r="J791" s="1076"/>
      <c r="K791" s="1076"/>
      <c r="L791" s="1076"/>
      <c r="M791" s="1245"/>
      <c r="N791" s="1123"/>
      <c r="O791" s="1119"/>
      <c r="P791" s="1119"/>
      <c r="Q791" s="1119"/>
      <c r="R791" s="1171"/>
      <c r="S791" s="1295"/>
      <c r="T791" s="1295"/>
      <c r="U791" s="1295"/>
      <c r="V791" s="1119"/>
      <c r="W791" s="1119"/>
      <c r="X791" s="1244"/>
      <c r="Y791" s="372" t="s">
        <v>1200</v>
      </c>
      <c r="Z791" s="386">
        <v>10770075</v>
      </c>
      <c r="AA791" s="386">
        <v>-5385037</v>
      </c>
      <c r="AB791" s="386">
        <f t="shared" si="48"/>
        <v>5385038</v>
      </c>
      <c r="AC791" s="1171"/>
      <c r="AD791" s="395">
        <v>5385038</v>
      </c>
      <c r="AE791" s="395" t="s">
        <v>137</v>
      </c>
      <c r="AF791" s="1084"/>
      <c r="AG791" s="1084"/>
      <c r="AH791" s="358">
        <f t="shared" si="46"/>
        <v>0</v>
      </c>
      <c r="AI791" s="1084"/>
      <c r="AJ791" s="1119"/>
      <c r="AK791" s="1119"/>
      <c r="AL791" s="1119"/>
      <c r="AM791" s="1119"/>
      <c r="AN791" s="1249"/>
      <c r="AO791" s="1204"/>
      <c r="AP791" s="1204"/>
      <c r="AQ791" s="1204"/>
    </row>
    <row r="792" spans="1:43" s="4" customFormat="1" ht="78.75">
      <c r="A792" s="1249"/>
      <c r="B792" s="1171"/>
      <c r="C792" s="1076"/>
      <c r="D792" s="1076"/>
      <c r="E792" s="1208"/>
      <c r="F792" s="1208"/>
      <c r="G792" s="1076"/>
      <c r="H792" s="1076"/>
      <c r="I792" s="1076"/>
      <c r="J792" s="1076"/>
      <c r="K792" s="1076"/>
      <c r="L792" s="1076"/>
      <c r="M792" s="1245"/>
      <c r="N792" s="1123"/>
      <c r="O792" s="1119"/>
      <c r="P792" s="1119"/>
      <c r="Q792" s="1119"/>
      <c r="R792" s="1171"/>
      <c r="S792" s="1295"/>
      <c r="T792" s="1295"/>
      <c r="U792" s="1295"/>
      <c r="V792" s="1119"/>
      <c r="W792" s="1119"/>
      <c r="X792" s="1244"/>
      <c r="Y792" s="372" t="s">
        <v>1202</v>
      </c>
      <c r="Z792" s="430">
        <v>6532315</v>
      </c>
      <c r="AA792" s="430">
        <v>-3267378</v>
      </c>
      <c r="AB792" s="430">
        <f t="shared" si="48"/>
        <v>3264937</v>
      </c>
      <c r="AC792" s="384">
        <v>41942</v>
      </c>
      <c r="AD792" s="395">
        <v>3264937</v>
      </c>
      <c r="AE792" s="395" t="s">
        <v>137</v>
      </c>
      <c r="AF792" s="1084"/>
      <c r="AG792" s="1084"/>
      <c r="AH792" s="358">
        <f t="shared" si="46"/>
        <v>0</v>
      </c>
      <c r="AI792" s="1084"/>
      <c r="AJ792" s="1119"/>
      <c r="AK792" s="1119"/>
      <c r="AL792" s="1119"/>
      <c r="AM792" s="1119"/>
      <c r="AN792" s="1249"/>
      <c r="AO792" s="1204"/>
      <c r="AP792" s="1204"/>
      <c r="AQ792" s="1204"/>
    </row>
    <row r="793" spans="1:43" s="4" customFormat="1" ht="56.25" customHeight="1">
      <c r="A793" s="1249"/>
      <c r="B793" s="1171"/>
      <c r="C793" s="1076" t="s">
        <v>43</v>
      </c>
      <c r="D793" s="1076"/>
      <c r="E793" s="1208"/>
      <c r="F793" s="1208"/>
      <c r="G793" s="1076"/>
      <c r="H793" s="1076"/>
      <c r="I793" s="1076"/>
      <c r="J793" s="1076"/>
      <c r="K793" s="1076"/>
      <c r="L793" s="1076"/>
      <c r="M793" s="1245">
        <v>182</v>
      </c>
      <c r="N793" s="1123" t="s">
        <v>137</v>
      </c>
      <c r="O793" s="1119">
        <v>30885990</v>
      </c>
      <c r="P793" s="1119">
        <f>O793</f>
        <v>30885990</v>
      </c>
      <c r="Q793" s="1119"/>
      <c r="R793" s="1171">
        <v>40753</v>
      </c>
      <c r="S793" s="1119">
        <v>30885990</v>
      </c>
      <c r="T793" s="1119">
        <v>30885990</v>
      </c>
      <c r="U793" s="1119">
        <f>O793-T793</f>
        <v>0</v>
      </c>
      <c r="V793" s="1119">
        <v>30847235</v>
      </c>
      <c r="W793" s="1119"/>
      <c r="X793" s="1244"/>
      <c r="Y793" s="372" t="s">
        <v>1189</v>
      </c>
      <c r="Z793" s="386">
        <v>0</v>
      </c>
      <c r="AA793" s="386">
        <v>15422400</v>
      </c>
      <c r="AB793" s="386">
        <f t="shared" si="48"/>
        <v>15422400</v>
      </c>
      <c r="AC793" s="384">
        <v>40890</v>
      </c>
      <c r="AD793" s="395">
        <v>15422400</v>
      </c>
      <c r="AE793" s="395" t="s">
        <v>137</v>
      </c>
      <c r="AF793" s="1084">
        <f>SUM(AD793:AD800)</f>
        <v>30847233.300000001</v>
      </c>
      <c r="AG793" s="1084"/>
      <c r="AH793" s="358">
        <f t="shared" si="46"/>
        <v>0</v>
      </c>
      <c r="AI793" s="1084">
        <f>O793-SUM(AD793:AD800)</f>
        <v>38756.699999999255</v>
      </c>
      <c r="AJ793" s="1119"/>
      <c r="AK793" s="1119">
        <f>P793-V793</f>
        <v>38755</v>
      </c>
      <c r="AL793" s="1119">
        <f>V793-SUM(Z793:Z800)</f>
        <v>0</v>
      </c>
      <c r="AM793" s="1119">
        <f>AK793+AL793</f>
        <v>38755</v>
      </c>
      <c r="AN793" s="1249"/>
      <c r="AO793" s="1204"/>
      <c r="AP793" s="1204"/>
      <c r="AQ793" s="1204"/>
    </row>
    <row r="794" spans="1:43" s="4" customFormat="1" ht="50.25" customHeight="1">
      <c r="A794" s="1249"/>
      <c r="B794" s="1171"/>
      <c r="C794" s="1076"/>
      <c r="D794" s="1076"/>
      <c r="E794" s="1208"/>
      <c r="F794" s="1208"/>
      <c r="G794" s="1076"/>
      <c r="H794" s="1076"/>
      <c r="I794" s="1076"/>
      <c r="J794" s="1076"/>
      <c r="K794" s="1076"/>
      <c r="L794" s="1076"/>
      <c r="M794" s="1245"/>
      <c r="N794" s="1123"/>
      <c r="O794" s="1119"/>
      <c r="P794" s="1119"/>
      <c r="Q794" s="1119"/>
      <c r="R794" s="1171"/>
      <c r="S794" s="1119"/>
      <c r="T794" s="1119"/>
      <c r="U794" s="1119"/>
      <c r="V794" s="1119"/>
      <c r="W794" s="1119"/>
      <c r="X794" s="1244"/>
      <c r="Y794" s="372" t="s">
        <v>1192</v>
      </c>
      <c r="Z794" s="386">
        <v>3801353</v>
      </c>
      <c r="AA794" s="386">
        <v>-1900677</v>
      </c>
      <c r="AB794" s="386">
        <f t="shared" si="48"/>
        <v>1900676</v>
      </c>
      <c r="AC794" s="1171">
        <v>41057</v>
      </c>
      <c r="AD794" s="395">
        <v>1900676</v>
      </c>
      <c r="AE794" s="395" t="s">
        <v>137</v>
      </c>
      <c r="AF794" s="1084"/>
      <c r="AG794" s="1084"/>
      <c r="AH794" s="358">
        <f t="shared" si="46"/>
        <v>0</v>
      </c>
      <c r="AI794" s="1084"/>
      <c r="AJ794" s="1119"/>
      <c r="AK794" s="1119"/>
      <c r="AL794" s="1119"/>
      <c r="AM794" s="1119"/>
      <c r="AN794" s="1249"/>
      <c r="AO794" s="1204"/>
      <c r="AP794" s="1204"/>
      <c r="AQ794" s="1204"/>
    </row>
    <row r="795" spans="1:43" s="4" customFormat="1" ht="47.25">
      <c r="A795" s="1249"/>
      <c r="B795" s="1171"/>
      <c r="C795" s="1076"/>
      <c r="D795" s="1076"/>
      <c r="E795" s="1208"/>
      <c r="F795" s="1208"/>
      <c r="G795" s="1076"/>
      <c r="H795" s="1076"/>
      <c r="I795" s="1076"/>
      <c r="J795" s="1076"/>
      <c r="K795" s="1076"/>
      <c r="L795" s="1076"/>
      <c r="M795" s="1245"/>
      <c r="N795" s="1123"/>
      <c r="O795" s="1119"/>
      <c r="P795" s="1119"/>
      <c r="Q795" s="1119"/>
      <c r="R795" s="1171"/>
      <c r="S795" s="1119"/>
      <c r="T795" s="1119"/>
      <c r="U795" s="1119"/>
      <c r="V795" s="1119"/>
      <c r="W795" s="1119"/>
      <c r="X795" s="1244"/>
      <c r="Y795" s="372" t="s">
        <v>1194</v>
      </c>
      <c r="Z795" s="386">
        <v>3801353</v>
      </c>
      <c r="AA795" s="386">
        <v>-1900677</v>
      </c>
      <c r="AB795" s="386">
        <f t="shared" si="48"/>
        <v>1900676</v>
      </c>
      <c r="AC795" s="1171"/>
      <c r="AD795" s="395">
        <v>1900676</v>
      </c>
      <c r="AE795" s="395" t="s">
        <v>137</v>
      </c>
      <c r="AF795" s="1084"/>
      <c r="AG795" s="1084"/>
      <c r="AH795" s="358">
        <f t="shared" si="46"/>
        <v>0</v>
      </c>
      <c r="AI795" s="1084"/>
      <c r="AJ795" s="1119"/>
      <c r="AK795" s="1119"/>
      <c r="AL795" s="1119"/>
      <c r="AM795" s="1119"/>
      <c r="AN795" s="1249"/>
      <c r="AO795" s="1204"/>
      <c r="AP795" s="1204"/>
      <c r="AQ795" s="1204"/>
    </row>
    <row r="796" spans="1:43" s="4" customFormat="1" ht="47.25">
      <c r="A796" s="1249"/>
      <c r="B796" s="1171"/>
      <c r="C796" s="1076"/>
      <c r="D796" s="1076"/>
      <c r="E796" s="1208"/>
      <c r="F796" s="1208"/>
      <c r="G796" s="1076"/>
      <c r="H796" s="1076"/>
      <c r="I796" s="1076"/>
      <c r="J796" s="1076"/>
      <c r="K796" s="1076"/>
      <c r="L796" s="1076"/>
      <c r="M796" s="1245"/>
      <c r="N796" s="1123"/>
      <c r="O796" s="1119"/>
      <c r="P796" s="1119"/>
      <c r="Q796" s="1119"/>
      <c r="R796" s="1171"/>
      <c r="S796" s="1119"/>
      <c r="T796" s="1119"/>
      <c r="U796" s="1119"/>
      <c r="V796" s="1119"/>
      <c r="W796" s="1119"/>
      <c r="X796" s="1244"/>
      <c r="Y796" s="372" t="s">
        <v>1196</v>
      </c>
      <c r="Z796" s="386">
        <v>3801353</v>
      </c>
      <c r="AA796" s="386">
        <v>-1900677</v>
      </c>
      <c r="AB796" s="386">
        <f t="shared" si="48"/>
        <v>1900676</v>
      </c>
      <c r="AC796" s="1171"/>
      <c r="AD796" s="395">
        <v>1900676</v>
      </c>
      <c r="AE796" s="395" t="s">
        <v>137</v>
      </c>
      <c r="AF796" s="1084"/>
      <c r="AG796" s="1084"/>
      <c r="AH796" s="358">
        <f t="shared" si="46"/>
        <v>0</v>
      </c>
      <c r="AI796" s="1084"/>
      <c r="AJ796" s="1119"/>
      <c r="AK796" s="1119"/>
      <c r="AL796" s="1119"/>
      <c r="AM796" s="1119"/>
      <c r="AN796" s="1249"/>
      <c r="AO796" s="1204"/>
      <c r="AP796" s="1204"/>
      <c r="AQ796" s="1204"/>
    </row>
    <row r="797" spans="1:43" s="4" customFormat="1" ht="47.25">
      <c r="A797" s="1249"/>
      <c r="B797" s="1171"/>
      <c r="C797" s="1076"/>
      <c r="D797" s="1076"/>
      <c r="E797" s="1208"/>
      <c r="F797" s="1208"/>
      <c r="G797" s="1076"/>
      <c r="H797" s="1076"/>
      <c r="I797" s="1076"/>
      <c r="J797" s="1076"/>
      <c r="K797" s="1076"/>
      <c r="L797" s="1076"/>
      <c r="M797" s="1245"/>
      <c r="N797" s="1123"/>
      <c r="O797" s="1119"/>
      <c r="P797" s="1119"/>
      <c r="Q797" s="1119"/>
      <c r="R797" s="1171"/>
      <c r="S797" s="1119"/>
      <c r="T797" s="1119"/>
      <c r="U797" s="1119"/>
      <c r="V797" s="1119"/>
      <c r="W797" s="1119"/>
      <c r="X797" s="1244"/>
      <c r="Y797" s="372" t="s">
        <v>1197</v>
      </c>
      <c r="Z797" s="386">
        <v>3801353</v>
      </c>
      <c r="AA797" s="386">
        <v>-1900677</v>
      </c>
      <c r="AB797" s="386">
        <f t="shared" si="48"/>
        <v>1900676</v>
      </c>
      <c r="AC797" s="1171">
        <v>41151</v>
      </c>
      <c r="AD797" s="395">
        <v>1900676</v>
      </c>
      <c r="AE797" s="395" t="s">
        <v>137</v>
      </c>
      <c r="AF797" s="1084"/>
      <c r="AG797" s="1084"/>
      <c r="AH797" s="358">
        <f t="shared" si="46"/>
        <v>0</v>
      </c>
      <c r="AI797" s="1084"/>
      <c r="AJ797" s="1119"/>
      <c r="AK797" s="1119"/>
      <c r="AL797" s="1119"/>
      <c r="AM797" s="1119"/>
      <c r="AN797" s="1249"/>
      <c r="AO797" s="1204"/>
      <c r="AP797" s="1204"/>
      <c r="AQ797" s="1204"/>
    </row>
    <row r="798" spans="1:43" s="4" customFormat="1" ht="47.25">
      <c r="A798" s="1249"/>
      <c r="B798" s="1171"/>
      <c r="C798" s="1076"/>
      <c r="D798" s="1076"/>
      <c r="E798" s="1208"/>
      <c r="F798" s="1208"/>
      <c r="G798" s="1076"/>
      <c r="H798" s="1076"/>
      <c r="I798" s="1076"/>
      <c r="J798" s="1076"/>
      <c r="K798" s="1076"/>
      <c r="L798" s="1076"/>
      <c r="M798" s="1245"/>
      <c r="N798" s="1123"/>
      <c r="O798" s="1119"/>
      <c r="P798" s="1119"/>
      <c r="Q798" s="1119"/>
      <c r="R798" s="1171"/>
      <c r="S798" s="1119"/>
      <c r="T798" s="1119"/>
      <c r="U798" s="1119"/>
      <c r="V798" s="1119"/>
      <c r="W798" s="1119"/>
      <c r="X798" s="1244"/>
      <c r="Y798" s="372" t="s">
        <v>1199</v>
      </c>
      <c r="Z798" s="386">
        <v>3801353</v>
      </c>
      <c r="AA798" s="386">
        <v>-1900677</v>
      </c>
      <c r="AB798" s="386">
        <f t="shared" si="48"/>
        <v>1900676</v>
      </c>
      <c r="AC798" s="1171"/>
      <c r="AD798" s="395">
        <v>1900676</v>
      </c>
      <c r="AE798" s="395" t="s">
        <v>137</v>
      </c>
      <c r="AF798" s="1084"/>
      <c r="AG798" s="1084"/>
      <c r="AH798" s="358">
        <f t="shared" si="46"/>
        <v>0</v>
      </c>
      <c r="AI798" s="1084"/>
      <c r="AJ798" s="1119"/>
      <c r="AK798" s="1119"/>
      <c r="AL798" s="1119"/>
      <c r="AM798" s="1119"/>
      <c r="AN798" s="1249"/>
      <c r="AO798" s="1204"/>
      <c r="AP798" s="1204"/>
      <c r="AQ798" s="1204"/>
    </row>
    <row r="799" spans="1:43" s="4" customFormat="1" ht="47.25">
      <c r="A799" s="1249"/>
      <c r="B799" s="1171"/>
      <c r="C799" s="1076"/>
      <c r="D799" s="1076"/>
      <c r="E799" s="1208"/>
      <c r="F799" s="1208"/>
      <c r="G799" s="1076"/>
      <c r="H799" s="1076"/>
      <c r="I799" s="1076"/>
      <c r="J799" s="1076"/>
      <c r="K799" s="1076"/>
      <c r="L799" s="1076"/>
      <c r="M799" s="1245"/>
      <c r="N799" s="1123"/>
      <c r="O799" s="1119"/>
      <c r="P799" s="1119"/>
      <c r="Q799" s="1119"/>
      <c r="R799" s="1171"/>
      <c r="S799" s="1119"/>
      <c r="T799" s="1119"/>
      <c r="U799" s="1119"/>
      <c r="V799" s="1119"/>
      <c r="W799" s="1119"/>
      <c r="X799" s="1244"/>
      <c r="Y799" s="372" t="s">
        <v>1201</v>
      </c>
      <c r="Z799" s="386">
        <v>3801353</v>
      </c>
      <c r="AA799" s="386">
        <v>-1900677</v>
      </c>
      <c r="AB799" s="386">
        <f t="shared" si="48"/>
        <v>1900676</v>
      </c>
      <c r="AC799" s="1171"/>
      <c r="AD799" s="395">
        <v>1900676</v>
      </c>
      <c r="AE799" s="395" t="s">
        <v>137</v>
      </c>
      <c r="AF799" s="1084"/>
      <c r="AG799" s="1084"/>
      <c r="AH799" s="358">
        <f t="shared" si="46"/>
        <v>0</v>
      </c>
      <c r="AI799" s="1084"/>
      <c r="AJ799" s="1119"/>
      <c r="AK799" s="1119"/>
      <c r="AL799" s="1119"/>
      <c r="AM799" s="1119"/>
      <c r="AN799" s="1249"/>
      <c r="AO799" s="1204"/>
      <c r="AP799" s="1204"/>
      <c r="AQ799" s="1204"/>
    </row>
    <row r="800" spans="1:43" s="4" customFormat="1" ht="78.75">
      <c r="A800" s="1249"/>
      <c r="B800" s="1171"/>
      <c r="C800" s="1076"/>
      <c r="D800" s="1076"/>
      <c r="E800" s="1208"/>
      <c r="F800" s="1208"/>
      <c r="G800" s="1076"/>
      <c r="H800" s="1076"/>
      <c r="I800" s="1076"/>
      <c r="J800" s="1076"/>
      <c r="K800" s="1076"/>
      <c r="L800" s="1076"/>
      <c r="M800" s="1245"/>
      <c r="N800" s="1123"/>
      <c r="O800" s="1119"/>
      <c r="P800" s="1119"/>
      <c r="Q800" s="1119"/>
      <c r="R800" s="1171"/>
      <c r="S800" s="1119"/>
      <c r="T800" s="1119"/>
      <c r="U800" s="1119"/>
      <c r="V800" s="1119"/>
      <c r="W800" s="1119"/>
      <c r="X800" s="1244"/>
      <c r="Y800" s="372" t="s">
        <v>1203</v>
      </c>
      <c r="Z800" s="430">
        <v>8039117</v>
      </c>
      <c r="AA800" s="430">
        <v>-4018338</v>
      </c>
      <c r="AB800" s="430">
        <f t="shared" si="48"/>
        <v>4020779</v>
      </c>
      <c r="AC800" s="384">
        <v>41942</v>
      </c>
      <c r="AD800" s="395">
        <v>4020777.3</v>
      </c>
      <c r="AE800" s="395" t="s">
        <v>137</v>
      </c>
      <c r="AF800" s="1084"/>
      <c r="AG800" s="1084"/>
      <c r="AH800" s="358">
        <f t="shared" si="46"/>
        <v>1.7000000001862645</v>
      </c>
      <c r="AI800" s="1084"/>
      <c r="AJ800" s="1119"/>
      <c r="AK800" s="1119"/>
      <c r="AL800" s="1119"/>
      <c r="AM800" s="1119"/>
      <c r="AN800" s="1249"/>
      <c r="AO800" s="1204"/>
      <c r="AP800" s="1204"/>
      <c r="AQ800" s="1204"/>
    </row>
    <row r="801" spans="1:43" s="4" customFormat="1" ht="47.25">
      <c r="A801" s="1249"/>
      <c r="B801" s="1171"/>
      <c r="C801" s="1076"/>
      <c r="D801" s="1076"/>
      <c r="E801" s="1208"/>
      <c r="F801" s="1208"/>
      <c r="G801" s="1076"/>
      <c r="H801" s="1076"/>
      <c r="I801" s="1076"/>
      <c r="J801" s="1076" t="s">
        <v>67</v>
      </c>
      <c r="K801" s="1076"/>
      <c r="L801" s="1076"/>
      <c r="M801" s="1352">
        <v>6</v>
      </c>
      <c r="N801" s="1204" t="s">
        <v>169</v>
      </c>
      <c r="O801" s="1119">
        <v>3651844</v>
      </c>
      <c r="P801" s="1119">
        <f>O801</f>
        <v>3651844</v>
      </c>
      <c r="Q801" s="1119"/>
      <c r="R801" s="1171">
        <v>41234</v>
      </c>
      <c r="S801" s="1119">
        <v>3651844</v>
      </c>
      <c r="T801" s="1119">
        <v>3651844</v>
      </c>
      <c r="U801" s="1119">
        <f>O801-T801</f>
        <v>0</v>
      </c>
      <c r="V801" s="1119">
        <v>3651844</v>
      </c>
      <c r="W801" s="1119"/>
      <c r="X801" s="1244"/>
      <c r="Y801" s="397" t="s">
        <v>1204</v>
      </c>
      <c r="Z801" s="386">
        <v>2191106.4</v>
      </c>
      <c r="AA801" s="386">
        <v>0</v>
      </c>
      <c r="AB801" s="386">
        <f t="shared" si="48"/>
        <v>2191106.4</v>
      </c>
      <c r="AC801" s="384">
        <v>41942</v>
      </c>
      <c r="AD801" s="395">
        <v>2191106.4</v>
      </c>
      <c r="AE801" s="423" t="s">
        <v>169</v>
      </c>
      <c r="AF801" s="1084">
        <f>SUM(AD801:AD802)</f>
        <v>3651844</v>
      </c>
      <c r="AG801" s="1084"/>
      <c r="AH801" s="358">
        <f t="shared" si="46"/>
        <v>0</v>
      </c>
      <c r="AI801" s="1084">
        <f>O801-AD801-AD802</f>
        <v>0</v>
      </c>
      <c r="AJ801" s="1119"/>
      <c r="AK801" s="1084">
        <f>P801-V801</f>
        <v>0</v>
      </c>
      <c r="AL801" s="1119">
        <f>V801-SUM(Z801:Z802)</f>
        <v>0</v>
      </c>
      <c r="AM801" s="1084">
        <v>0</v>
      </c>
      <c r="AN801" s="1249"/>
      <c r="AO801" s="1204"/>
      <c r="AP801" s="1204"/>
      <c r="AQ801" s="1204"/>
    </row>
    <row r="802" spans="1:43" s="4" customFormat="1" ht="78.75">
      <c r="A802" s="1249"/>
      <c r="B802" s="1171"/>
      <c r="C802" s="1076"/>
      <c r="D802" s="1076"/>
      <c r="E802" s="1208"/>
      <c r="F802" s="1208"/>
      <c r="G802" s="1076"/>
      <c r="H802" s="1076"/>
      <c r="I802" s="1076"/>
      <c r="J802" s="1076"/>
      <c r="K802" s="1076"/>
      <c r="L802" s="1076"/>
      <c r="M802" s="1352"/>
      <c r="N802" s="1204"/>
      <c r="O802" s="1119"/>
      <c r="P802" s="1119"/>
      <c r="Q802" s="1119"/>
      <c r="R802" s="1171"/>
      <c r="S802" s="1119"/>
      <c r="T802" s="1119"/>
      <c r="U802" s="1119"/>
      <c r="V802" s="1119"/>
      <c r="W802" s="1119"/>
      <c r="X802" s="1244"/>
      <c r="Y802" s="372" t="s">
        <v>1206</v>
      </c>
      <c r="Z802" s="386">
        <v>1460737.6</v>
      </c>
      <c r="AA802" s="386">
        <v>0</v>
      </c>
      <c r="AB802" s="386">
        <f t="shared" si="48"/>
        <v>1460737.6</v>
      </c>
      <c r="AC802" s="384">
        <v>42821</v>
      </c>
      <c r="AD802" s="395">
        <v>1460737.6</v>
      </c>
      <c r="AE802" s="423" t="s">
        <v>169</v>
      </c>
      <c r="AF802" s="1084"/>
      <c r="AG802" s="1084"/>
      <c r="AH802" s="358">
        <f t="shared" si="46"/>
        <v>0</v>
      </c>
      <c r="AI802" s="1084"/>
      <c r="AJ802" s="1119"/>
      <c r="AK802" s="1084"/>
      <c r="AL802" s="1119"/>
      <c r="AM802" s="1084"/>
      <c r="AN802" s="1249"/>
      <c r="AO802" s="1204"/>
      <c r="AP802" s="1204"/>
      <c r="AQ802" s="1204"/>
    </row>
    <row r="803" spans="1:43" s="4" customFormat="1" ht="47.25">
      <c r="A803" s="1249"/>
      <c r="B803" s="1171"/>
      <c r="C803" s="1076" t="s">
        <v>42</v>
      </c>
      <c r="D803" s="1076"/>
      <c r="E803" s="1208"/>
      <c r="F803" s="1208"/>
      <c r="G803" s="1076"/>
      <c r="H803" s="1076"/>
      <c r="I803" s="1076"/>
      <c r="J803" s="1076" t="s">
        <v>171</v>
      </c>
      <c r="K803" s="1076"/>
      <c r="L803" s="1076"/>
      <c r="M803" s="1352">
        <v>299</v>
      </c>
      <c r="N803" s="1123" t="s">
        <v>7</v>
      </c>
      <c r="O803" s="1119">
        <v>36685034</v>
      </c>
      <c r="P803" s="1119">
        <f>O803</f>
        <v>36685034</v>
      </c>
      <c r="Q803" s="1119"/>
      <c r="R803" s="1171">
        <v>41619</v>
      </c>
      <c r="S803" s="1295">
        <v>36685034</v>
      </c>
      <c r="T803" s="1295">
        <v>36685034</v>
      </c>
      <c r="U803" s="1295">
        <f>O803-T803</f>
        <v>0</v>
      </c>
      <c r="V803" s="1119">
        <v>36685034</v>
      </c>
      <c r="W803" s="1119"/>
      <c r="X803" s="1244"/>
      <c r="Y803" s="392" t="s">
        <v>1205</v>
      </c>
      <c r="Z803" s="386">
        <v>22011020.399999999</v>
      </c>
      <c r="AA803" s="386">
        <v>0</v>
      </c>
      <c r="AB803" s="386">
        <f t="shared" si="48"/>
        <v>22011020.399999999</v>
      </c>
      <c r="AC803" s="384">
        <v>41942</v>
      </c>
      <c r="AD803" s="395">
        <v>22011020.399999999</v>
      </c>
      <c r="AE803" s="423" t="s">
        <v>7</v>
      </c>
      <c r="AF803" s="1084">
        <f>SUM(AD803:AD804)</f>
        <v>36685034</v>
      </c>
      <c r="AG803" s="1084"/>
      <c r="AH803" s="358">
        <f t="shared" si="46"/>
        <v>0</v>
      </c>
      <c r="AI803" s="1084">
        <f>O803-AD803-AD804</f>
        <v>0</v>
      </c>
      <c r="AJ803" s="1119"/>
      <c r="AK803" s="1084">
        <f>P803-V803</f>
        <v>0</v>
      </c>
      <c r="AL803" s="1119">
        <f>V803-SUM(Z803:Z804)</f>
        <v>0</v>
      </c>
      <c r="AM803" s="1084">
        <v>0</v>
      </c>
      <c r="AN803" s="1249"/>
      <c r="AO803" s="1204"/>
      <c r="AP803" s="1204"/>
      <c r="AQ803" s="1204"/>
    </row>
    <row r="804" spans="1:43" s="4" customFormat="1" ht="78.75">
      <c r="A804" s="1249"/>
      <c r="B804" s="1171"/>
      <c r="C804" s="1076"/>
      <c r="D804" s="1076"/>
      <c r="E804" s="1208"/>
      <c r="F804" s="1208"/>
      <c r="G804" s="1076"/>
      <c r="H804" s="1076"/>
      <c r="I804" s="1076"/>
      <c r="J804" s="1076"/>
      <c r="K804" s="1076"/>
      <c r="L804" s="1076"/>
      <c r="M804" s="1352"/>
      <c r="N804" s="1123"/>
      <c r="O804" s="1119"/>
      <c r="P804" s="1119"/>
      <c r="Q804" s="1119"/>
      <c r="R804" s="1171"/>
      <c r="S804" s="1295"/>
      <c r="T804" s="1295"/>
      <c r="U804" s="1295"/>
      <c r="V804" s="1119"/>
      <c r="W804" s="1119"/>
      <c r="X804" s="1244"/>
      <c r="Y804" s="33" t="s">
        <v>1207</v>
      </c>
      <c r="Z804" s="386">
        <v>14674013.6</v>
      </c>
      <c r="AA804" s="386">
        <v>0</v>
      </c>
      <c r="AB804" s="386">
        <f t="shared" si="48"/>
        <v>14674013.6</v>
      </c>
      <c r="AC804" s="384">
        <v>42821</v>
      </c>
      <c r="AD804" s="395">
        <v>14674013.6</v>
      </c>
      <c r="AE804" s="423" t="s">
        <v>7</v>
      </c>
      <c r="AF804" s="1084"/>
      <c r="AG804" s="1084"/>
      <c r="AH804" s="358">
        <f t="shared" si="46"/>
        <v>0</v>
      </c>
      <c r="AI804" s="1084"/>
      <c r="AJ804" s="1119"/>
      <c r="AK804" s="1084"/>
      <c r="AL804" s="1119"/>
      <c r="AM804" s="1084"/>
      <c r="AN804" s="1249"/>
      <c r="AO804" s="1204"/>
      <c r="AP804" s="1204"/>
      <c r="AQ804" s="1204"/>
    </row>
    <row r="805" spans="1:43" ht="47.25">
      <c r="A805" s="1076" t="s">
        <v>1167</v>
      </c>
      <c r="B805" s="1171">
        <v>40870</v>
      </c>
      <c r="C805" s="1076" t="s">
        <v>26</v>
      </c>
      <c r="D805" s="1076" t="s">
        <v>1168</v>
      </c>
      <c r="E805" s="1208">
        <v>900480276</v>
      </c>
      <c r="F805" s="1208">
        <v>9</v>
      </c>
      <c r="G805" s="1076" t="s">
        <v>1169</v>
      </c>
      <c r="H805" s="1076" t="s">
        <v>71</v>
      </c>
      <c r="I805" s="1076" t="s">
        <v>1086</v>
      </c>
      <c r="J805" s="1076" t="s">
        <v>66</v>
      </c>
      <c r="K805" s="1076" t="s">
        <v>183</v>
      </c>
      <c r="L805" s="1076" t="s">
        <v>1182</v>
      </c>
      <c r="M805" s="1245">
        <v>221</v>
      </c>
      <c r="N805" s="1123" t="s">
        <v>137</v>
      </c>
      <c r="O805" s="1119">
        <v>209738318</v>
      </c>
      <c r="P805" s="1119">
        <v>209738318</v>
      </c>
      <c r="Q805" s="1119">
        <v>209738318</v>
      </c>
      <c r="R805" s="1171">
        <v>40851</v>
      </c>
      <c r="S805" s="1196">
        <v>209738318</v>
      </c>
      <c r="T805" s="1196">
        <v>209738318</v>
      </c>
      <c r="U805" s="1196">
        <f>O805-T805</f>
        <v>0</v>
      </c>
      <c r="V805" s="1119">
        <v>209738150</v>
      </c>
      <c r="W805" s="1119">
        <v>209738150</v>
      </c>
      <c r="X805" s="1076" t="s">
        <v>1170</v>
      </c>
      <c r="Y805" s="372" t="s">
        <v>1181</v>
      </c>
      <c r="Z805" s="386">
        <v>0</v>
      </c>
      <c r="AA805" s="386">
        <v>104869075</v>
      </c>
      <c r="AB805" s="386">
        <f t="shared" si="48"/>
        <v>104869075</v>
      </c>
      <c r="AC805" s="384">
        <v>41127</v>
      </c>
      <c r="AD805" s="395">
        <v>104869075</v>
      </c>
      <c r="AE805" s="395" t="s">
        <v>137</v>
      </c>
      <c r="AF805" s="1084">
        <f>AD805+AD806</f>
        <v>209738150</v>
      </c>
      <c r="AG805" s="1084">
        <f>AF805</f>
        <v>209738150</v>
      </c>
      <c r="AH805" s="358">
        <f t="shared" si="46"/>
        <v>0</v>
      </c>
      <c r="AI805" s="1084">
        <f>O805-AD805-AD806</f>
        <v>168</v>
      </c>
      <c r="AJ805" s="1119">
        <f>SUM(Z805:Z806)-SUM(AD805:AD806)</f>
        <v>0</v>
      </c>
      <c r="AK805" s="1119">
        <f>P805-V805</f>
        <v>168</v>
      </c>
      <c r="AL805" s="1119">
        <f>V805-SUM(Z805:Z806)</f>
        <v>0</v>
      </c>
      <c r="AM805" s="1119">
        <f>AK805+AL805</f>
        <v>168</v>
      </c>
      <c r="AN805" s="1203" t="s">
        <v>606</v>
      </c>
      <c r="AO805" s="1237" t="s">
        <v>1184</v>
      </c>
      <c r="AP805" s="1204" t="s">
        <v>194</v>
      </c>
      <c r="AQ805" s="1204" t="s">
        <v>1097</v>
      </c>
    </row>
    <row r="806" spans="1:43" ht="63">
      <c r="A806" s="1076"/>
      <c r="B806" s="1171"/>
      <c r="C806" s="1076"/>
      <c r="D806" s="1076"/>
      <c r="E806" s="1208"/>
      <c r="F806" s="1208"/>
      <c r="G806" s="1076"/>
      <c r="H806" s="1076"/>
      <c r="I806" s="1076"/>
      <c r="J806" s="1076"/>
      <c r="K806" s="1076"/>
      <c r="L806" s="1076"/>
      <c r="M806" s="1245"/>
      <c r="N806" s="1123"/>
      <c r="O806" s="1119"/>
      <c r="P806" s="1119"/>
      <c r="Q806" s="1119"/>
      <c r="R806" s="1171"/>
      <c r="S806" s="1196"/>
      <c r="T806" s="1196"/>
      <c r="U806" s="1196"/>
      <c r="V806" s="1119"/>
      <c r="W806" s="1119"/>
      <c r="X806" s="1076"/>
      <c r="Y806" s="372" t="s">
        <v>1183</v>
      </c>
      <c r="Z806" s="386">
        <v>209738150</v>
      </c>
      <c r="AA806" s="386">
        <v>-104869075</v>
      </c>
      <c r="AB806" s="386">
        <f t="shared" si="48"/>
        <v>104869075</v>
      </c>
      <c r="AC806" s="384">
        <v>41619</v>
      </c>
      <c r="AD806" s="395">
        <v>104869075</v>
      </c>
      <c r="AE806" s="395" t="s">
        <v>137</v>
      </c>
      <c r="AF806" s="1084"/>
      <c r="AG806" s="1084"/>
      <c r="AH806" s="358">
        <f t="shared" si="46"/>
        <v>0</v>
      </c>
      <c r="AI806" s="1084"/>
      <c r="AJ806" s="1119"/>
      <c r="AK806" s="1119"/>
      <c r="AL806" s="1119"/>
      <c r="AM806" s="1119"/>
      <c r="AN806" s="1203"/>
      <c r="AO806" s="1204"/>
      <c r="AP806" s="1204"/>
      <c r="AQ806" s="1204"/>
    </row>
    <row r="807" spans="1:43" s="4" customFormat="1" ht="63">
      <c r="A807" s="1149" t="s">
        <v>1222</v>
      </c>
      <c r="B807" s="1171">
        <v>40870</v>
      </c>
      <c r="C807" s="1149" t="s">
        <v>31</v>
      </c>
      <c r="D807" s="1149" t="s">
        <v>1226</v>
      </c>
      <c r="E807" s="1208">
        <v>900483768</v>
      </c>
      <c r="F807" s="1208">
        <v>4</v>
      </c>
      <c r="G807" s="1149" t="s">
        <v>1227</v>
      </c>
      <c r="H807" s="1149" t="s">
        <v>71</v>
      </c>
      <c r="I807" s="1149" t="s">
        <v>1221</v>
      </c>
      <c r="J807" s="1149" t="s">
        <v>66</v>
      </c>
      <c r="K807" s="1149" t="s">
        <v>183</v>
      </c>
      <c r="L807" s="1149" t="s">
        <v>1231</v>
      </c>
      <c r="M807" s="1245">
        <v>219</v>
      </c>
      <c r="N807" s="1149" t="s">
        <v>137</v>
      </c>
      <c r="O807" s="1084">
        <v>64112159</v>
      </c>
      <c r="P807" s="1084">
        <f>O807</f>
        <v>64112159</v>
      </c>
      <c r="Q807" s="1084">
        <f>P807</f>
        <v>64112159</v>
      </c>
      <c r="R807" s="1171">
        <v>40851</v>
      </c>
      <c r="S807" s="1119">
        <v>64112159</v>
      </c>
      <c r="T807" s="1119">
        <v>64112159</v>
      </c>
      <c r="U807" s="1119">
        <f>O807-T807</f>
        <v>0</v>
      </c>
      <c r="V807" s="1084">
        <v>63321180</v>
      </c>
      <c r="W807" s="1084">
        <v>63321180</v>
      </c>
      <c r="X807" s="1149" t="s">
        <v>1228</v>
      </c>
      <c r="Y807" s="372" t="s">
        <v>1229</v>
      </c>
      <c r="Z807" s="386">
        <v>0</v>
      </c>
      <c r="AA807" s="386">
        <v>31660590</v>
      </c>
      <c r="AB807" s="386">
        <f>AA807+Z807</f>
        <v>31660590</v>
      </c>
      <c r="AC807" s="384">
        <v>41022</v>
      </c>
      <c r="AD807" s="395">
        <v>31660590</v>
      </c>
      <c r="AE807" s="395" t="s">
        <v>137</v>
      </c>
      <c r="AF807" s="1084">
        <f>SUM(AD807:AD809)</f>
        <v>63321180</v>
      </c>
      <c r="AG807" s="1084">
        <f>AF807</f>
        <v>63321180</v>
      </c>
      <c r="AH807" s="386">
        <f t="shared" si="46"/>
        <v>0</v>
      </c>
      <c r="AI807" s="1119">
        <f>O807-SUM(AD807:AD809)</f>
        <v>790979</v>
      </c>
      <c r="AJ807" s="1119">
        <f>SUM(Z807:Z809)-SUM(AD807:AD809)</f>
        <v>0</v>
      </c>
      <c r="AK807" s="1119">
        <f>P807-V807</f>
        <v>790979</v>
      </c>
      <c r="AL807" s="1119">
        <v>0</v>
      </c>
      <c r="AM807" s="1119">
        <f>AK807</f>
        <v>790979</v>
      </c>
      <c r="AN807" s="1249" t="s">
        <v>606</v>
      </c>
      <c r="AO807" s="1249" t="s">
        <v>1232</v>
      </c>
      <c r="AP807" s="1204" t="s">
        <v>195</v>
      </c>
      <c r="AQ807" s="1204" t="s">
        <v>1097</v>
      </c>
    </row>
    <row r="808" spans="1:43" s="4" customFormat="1">
      <c r="A808" s="1149"/>
      <c r="B808" s="1171"/>
      <c r="C808" s="1149"/>
      <c r="D808" s="1149"/>
      <c r="E808" s="1208"/>
      <c r="F808" s="1208"/>
      <c r="G808" s="1149"/>
      <c r="H808" s="1149"/>
      <c r="I808" s="1149"/>
      <c r="J808" s="1149"/>
      <c r="K808" s="1149"/>
      <c r="L808" s="1149"/>
      <c r="M808" s="1245"/>
      <c r="N808" s="1149"/>
      <c r="O808" s="1084"/>
      <c r="P808" s="1084"/>
      <c r="Q808" s="1084"/>
      <c r="R808" s="1171"/>
      <c r="S808" s="1119"/>
      <c r="T808" s="1119"/>
      <c r="U808" s="1119"/>
      <c r="V808" s="1084"/>
      <c r="W808" s="1084"/>
      <c r="X808" s="1149"/>
      <c r="Y808" s="1123" t="s">
        <v>1230</v>
      </c>
      <c r="Z808" s="1119">
        <v>63321180</v>
      </c>
      <c r="AA808" s="1119">
        <f>-AA807</f>
        <v>-31660590</v>
      </c>
      <c r="AB808" s="1119">
        <f>AA808+Z808</f>
        <v>31660590</v>
      </c>
      <c r="AC808" s="384">
        <v>41661</v>
      </c>
      <c r="AD808" s="395">
        <v>13531736.17</v>
      </c>
      <c r="AE808" s="395"/>
      <c r="AF808" s="1084"/>
      <c r="AG808" s="1084"/>
      <c r="AH808" s="386">
        <f t="shared" si="46"/>
        <v>18128853.829999998</v>
      </c>
      <c r="AI808" s="1119"/>
      <c r="AJ808" s="1119"/>
      <c r="AK808" s="1119"/>
      <c r="AL808" s="1119"/>
      <c r="AM808" s="1119"/>
      <c r="AN808" s="1249"/>
      <c r="AO808" s="1249"/>
      <c r="AP808" s="1204"/>
      <c r="AQ808" s="1204"/>
    </row>
    <row r="809" spans="1:43" s="4" customFormat="1">
      <c r="A809" s="1149"/>
      <c r="B809" s="1171"/>
      <c r="C809" s="1149"/>
      <c r="D809" s="1149"/>
      <c r="E809" s="1208"/>
      <c r="F809" s="1208"/>
      <c r="G809" s="1149"/>
      <c r="H809" s="1149"/>
      <c r="I809" s="1149"/>
      <c r="J809" s="1149"/>
      <c r="K809" s="1149"/>
      <c r="L809" s="1149"/>
      <c r="M809" s="1245"/>
      <c r="N809" s="1149"/>
      <c r="O809" s="1084"/>
      <c r="P809" s="1084"/>
      <c r="Q809" s="1084"/>
      <c r="R809" s="1171"/>
      <c r="S809" s="1119"/>
      <c r="T809" s="1119"/>
      <c r="U809" s="1119"/>
      <c r="V809" s="1084"/>
      <c r="W809" s="1084"/>
      <c r="X809" s="1149"/>
      <c r="Y809" s="1123"/>
      <c r="Z809" s="1119"/>
      <c r="AA809" s="1119"/>
      <c r="AB809" s="1119"/>
      <c r="AC809" s="384">
        <v>41670</v>
      </c>
      <c r="AD809" s="395">
        <v>18128853.829999998</v>
      </c>
      <c r="AE809" s="395"/>
      <c r="AF809" s="1084"/>
      <c r="AG809" s="1084"/>
      <c r="AH809" s="386">
        <f t="shared" si="46"/>
        <v>-18128853.829999998</v>
      </c>
      <c r="AI809" s="1119"/>
      <c r="AJ809" s="1119"/>
      <c r="AK809" s="1119"/>
      <c r="AL809" s="1119"/>
      <c r="AM809" s="1119"/>
      <c r="AN809" s="1249"/>
      <c r="AO809" s="1249"/>
      <c r="AP809" s="1204"/>
      <c r="AQ809" s="1204"/>
    </row>
    <row r="810" spans="1:43" s="4" customFormat="1" ht="47.25">
      <c r="A810" s="1244" t="s">
        <v>1223</v>
      </c>
      <c r="B810" s="1171">
        <v>40870</v>
      </c>
      <c r="C810" s="1244" t="s">
        <v>13</v>
      </c>
      <c r="D810" s="1244" t="s">
        <v>1233</v>
      </c>
      <c r="E810" s="1208">
        <v>10538292</v>
      </c>
      <c r="F810" s="1208"/>
      <c r="G810" s="1244" t="s">
        <v>1234</v>
      </c>
      <c r="H810" s="1244" t="s">
        <v>71</v>
      </c>
      <c r="I810" s="1244" t="s">
        <v>1235</v>
      </c>
      <c r="J810" s="1244" t="s">
        <v>66</v>
      </c>
      <c r="K810" s="1244" t="s">
        <v>183</v>
      </c>
      <c r="L810" s="1244" t="s">
        <v>1220</v>
      </c>
      <c r="M810" s="1352">
        <v>213</v>
      </c>
      <c r="N810" s="1244" t="s">
        <v>137</v>
      </c>
      <c r="O810" s="1119">
        <v>104791790</v>
      </c>
      <c r="P810" s="1119">
        <v>104791790</v>
      </c>
      <c r="Q810" s="1119">
        <v>104791790</v>
      </c>
      <c r="R810" s="1171">
        <v>40851</v>
      </c>
      <c r="S810" s="1119">
        <v>104791790</v>
      </c>
      <c r="T810" s="1119">
        <v>104791790</v>
      </c>
      <c r="U810" s="1119">
        <f>O810-T810</f>
        <v>0</v>
      </c>
      <c r="V810" s="1119">
        <v>104791790</v>
      </c>
      <c r="W810" s="1119">
        <v>104791790</v>
      </c>
      <c r="X810" s="1076" t="s">
        <v>1179</v>
      </c>
      <c r="Y810" s="372" t="s">
        <v>1237</v>
      </c>
      <c r="Z810" s="386">
        <v>0</v>
      </c>
      <c r="AA810" s="386">
        <v>52395895</v>
      </c>
      <c r="AB810" s="386">
        <f t="shared" ref="AB810:AB817" si="49">Z810+AA810</f>
        <v>52395895</v>
      </c>
      <c r="AC810" s="384">
        <v>40910</v>
      </c>
      <c r="AD810" s="395">
        <v>52395895</v>
      </c>
      <c r="AE810" s="395" t="s">
        <v>137</v>
      </c>
      <c r="AF810" s="1084">
        <f>SUM(AD810:AD812)</f>
        <v>104791790</v>
      </c>
      <c r="AG810" s="1084">
        <v>104791790</v>
      </c>
      <c r="AH810" s="358">
        <f t="shared" si="46"/>
        <v>0</v>
      </c>
      <c r="AI810" s="1084">
        <f>O810-SUM(AD810:AD812)</f>
        <v>0</v>
      </c>
      <c r="AJ810" s="1084">
        <f>SUM(Z810:Z812)-SUM(AD810:AD812)</f>
        <v>1</v>
      </c>
      <c r="AK810" s="1084">
        <f>P810-V810</f>
        <v>0</v>
      </c>
      <c r="AL810" s="1084">
        <f>V810-SUM(Z810:Z812)</f>
        <v>-1</v>
      </c>
      <c r="AM810" s="1084">
        <f>AK810+AL810</f>
        <v>-1</v>
      </c>
      <c r="AN810" s="1149" t="s">
        <v>606</v>
      </c>
      <c r="AO810" s="1149" t="s">
        <v>1236</v>
      </c>
      <c r="AP810" s="1204" t="s">
        <v>195</v>
      </c>
      <c r="AQ810" s="1204" t="s">
        <v>1097</v>
      </c>
    </row>
    <row r="811" spans="1:43" s="4" customFormat="1" ht="47.25">
      <c r="A811" s="1244"/>
      <c r="B811" s="1171"/>
      <c r="C811" s="1244"/>
      <c r="D811" s="1244"/>
      <c r="E811" s="1208"/>
      <c r="F811" s="1208"/>
      <c r="G811" s="1244"/>
      <c r="H811" s="1244"/>
      <c r="I811" s="1244"/>
      <c r="J811" s="1244"/>
      <c r="K811" s="1244"/>
      <c r="L811" s="1244"/>
      <c r="M811" s="1352"/>
      <c r="N811" s="1244"/>
      <c r="O811" s="1119"/>
      <c r="P811" s="1119"/>
      <c r="Q811" s="1119"/>
      <c r="R811" s="1171"/>
      <c r="S811" s="1119"/>
      <c r="T811" s="1119"/>
      <c r="U811" s="1119"/>
      <c r="V811" s="1119"/>
      <c r="W811" s="1119"/>
      <c r="X811" s="1076"/>
      <c r="Y811" s="372" t="s">
        <v>1238</v>
      </c>
      <c r="Z811" s="386">
        <v>92001931</v>
      </c>
      <c r="AA811" s="386">
        <v>-46000966</v>
      </c>
      <c r="AB811" s="386">
        <f t="shared" si="49"/>
        <v>46000965</v>
      </c>
      <c r="AC811" s="384">
        <v>41213</v>
      </c>
      <c r="AD811" s="395">
        <v>46000965</v>
      </c>
      <c r="AE811" s="395" t="s">
        <v>137</v>
      </c>
      <c r="AF811" s="1084"/>
      <c r="AG811" s="1084"/>
      <c r="AH811" s="358">
        <f t="shared" si="46"/>
        <v>0</v>
      </c>
      <c r="AI811" s="1084"/>
      <c r="AJ811" s="1084"/>
      <c r="AK811" s="1084"/>
      <c r="AL811" s="1084"/>
      <c r="AM811" s="1084"/>
      <c r="AN811" s="1149"/>
      <c r="AO811" s="1149"/>
      <c r="AP811" s="1204"/>
      <c r="AQ811" s="1204"/>
    </row>
    <row r="812" spans="1:43" s="4" customFormat="1" ht="47.25">
      <c r="A812" s="1244"/>
      <c r="B812" s="1171"/>
      <c r="C812" s="1244"/>
      <c r="D812" s="1244"/>
      <c r="E812" s="1208"/>
      <c r="F812" s="1208"/>
      <c r="G812" s="1244"/>
      <c r="H812" s="1244"/>
      <c r="I812" s="1244"/>
      <c r="J812" s="1244"/>
      <c r="K812" s="1244"/>
      <c r="L812" s="1244"/>
      <c r="M812" s="1352"/>
      <c r="N812" s="1244"/>
      <c r="O812" s="1119"/>
      <c r="P812" s="1119"/>
      <c r="Q812" s="1119"/>
      <c r="R812" s="1171"/>
      <c r="S812" s="1119"/>
      <c r="T812" s="1119"/>
      <c r="U812" s="1119"/>
      <c r="V812" s="1119"/>
      <c r="W812" s="1119"/>
      <c r="X812" s="1076"/>
      <c r="Y812" s="372" t="s">
        <v>1239</v>
      </c>
      <c r="Z812" s="386">
        <v>12789860</v>
      </c>
      <c r="AA812" s="386">
        <v>-6394929</v>
      </c>
      <c r="AB812" s="386">
        <f t="shared" si="49"/>
        <v>6394931</v>
      </c>
      <c r="AC812" s="384">
        <v>41451</v>
      </c>
      <c r="AD812" s="395">
        <v>6394930</v>
      </c>
      <c r="AE812" s="395" t="s">
        <v>137</v>
      </c>
      <c r="AF812" s="1084"/>
      <c r="AG812" s="1084"/>
      <c r="AH812" s="358">
        <f t="shared" si="46"/>
        <v>1</v>
      </c>
      <c r="AI812" s="1084"/>
      <c r="AJ812" s="1084"/>
      <c r="AK812" s="1084"/>
      <c r="AL812" s="1084"/>
      <c r="AM812" s="1084"/>
      <c r="AN812" s="1149"/>
      <c r="AO812" s="1149"/>
      <c r="AP812" s="1204"/>
      <c r="AQ812" s="1204"/>
    </row>
    <row r="813" spans="1:43" s="4" customFormat="1" ht="63">
      <c r="A813" s="1076" t="s">
        <v>1224</v>
      </c>
      <c r="B813" s="1171">
        <v>40870</v>
      </c>
      <c r="C813" s="1123" t="s">
        <v>13</v>
      </c>
      <c r="D813" s="1123" t="s">
        <v>1240</v>
      </c>
      <c r="E813" s="1208">
        <v>10537417</v>
      </c>
      <c r="F813" s="1208"/>
      <c r="G813" s="1123" t="s">
        <v>1219</v>
      </c>
      <c r="H813" s="1123" t="s">
        <v>71</v>
      </c>
      <c r="I813" s="1123" t="s">
        <v>1235</v>
      </c>
      <c r="J813" s="1123" t="s">
        <v>66</v>
      </c>
      <c r="K813" s="1123" t="s">
        <v>183</v>
      </c>
      <c r="L813" s="1123" t="s">
        <v>1244</v>
      </c>
      <c r="M813" s="1352">
        <v>211</v>
      </c>
      <c r="N813" s="1123" t="s">
        <v>137</v>
      </c>
      <c r="O813" s="1084">
        <v>101851852</v>
      </c>
      <c r="P813" s="1084">
        <v>101851852</v>
      </c>
      <c r="Q813" s="1084">
        <v>101851852</v>
      </c>
      <c r="R813" s="1171">
        <v>40851</v>
      </c>
      <c r="S813" s="1295">
        <v>101102103</v>
      </c>
      <c r="T813" s="1295">
        <v>101102103</v>
      </c>
      <c r="U813" s="1295">
        <f>O813-T813</f>
        <v>749749</v>
      </c>
      <c r="V813" s="1084">
        <v>101102103</v>
      </c>
      <c r="W813" s="1084">
        <f>V813</f>
        <v>101102103</v>
      </c>
      <c r="X813" s="1149" t="s">
        <v>1179</v>
      </c>
      <c r="Y813" s="372" t="s">
        <v>1241</v>
      </c>
      <c r="Z813" s="386">
        <v>0</v>
      </c>
      <c r="AA813" s="386">
        <v>50551052</v>
      </c>
      <c r="AB813" s="386">
        <f t="shared" si="49"/>
        <v>50551052</v>
      </c>
      <c r="AC813" s="384">
        <v>41025</v>
      </c>
      <c r="AD813" s="395">
        <v>50551052</v>
      </c>
      <c r="AE813" s="395" t="s">
        <v>137</v>
      </c>
      <c r="AF813" s="1084">
        <f>SUM(AD813:AD814)</f>
        <v>101102104</v>
      </c>
      <c r="AG813" s="1084">
        <f>AF813</f>
        <v>101102104</v>
      </c>
      <c r="AH813" s="358">
        <f t="shared" si="46"/>
        <v>0</v>
      </c>
      <c r="AI813" s="1084">
        <f>T813-SUM(AD813:AD814)</f>
        <v>-1</v>
      </c>
      <c r="AJ813" s="1084">
        <f>SUM(Z813:Z814)-SUM(AD813:AD814)</f>
        <v>-1</v>
      </c>
      <c r="AK813" s="1084">
        <f>T813-V813</f>
        <v>0</v>
      </c>
      <c r="AL813" s="1084">
        <f>V813-SUM(Z813:Z814)</f>
        <v>0</v>
      </c>
      <c r="AM813" s="1084">
        <f>AK813+AL813</f>
        <v>0</v>
      </c>
      <c r="AN813" s="1149" t="s">
        <v>606</v>
      </c>
      <c r="AO813" s="1149" t="s">
        <v>1243</v>
      </c>
      <c r="AP813" s="1204" t="s">
        <v>195</v>
      </c>
      <c r="AQ813" s="1204" t="s">
        <v>1097</v>
      </c>
    </row>
    <row r="814" spans="1:43" s="4" customFormat="1" ht="47.25">
      <c r="A814" s="1076"/>
      <c r="B814" s="1171"/>
      <c r="C814" s="1123"/>
      <c r="D814" s="1123"/>
      <c r="E814" s="1208"/>
      <c r="F814" s="1208"/>
      <c r="G814" s="1123"/>
      <c r="H814" s="1123"/>
      <c r="I814" s="1123"/>
      <c r="J814" s="1123"/>
      <c r="K814" s="1123"/>
      <c r="L814" s="1123"/>
      <c r="M814" s="1352"/>
      <c r="N814" s="1123"/>
      <c r="O814" s="1084"/>
      <c r="P814" s="1084"/>
      <c r="Q814" s="1084"/>
      <c r="R814" s="1171"/>
      <c r="S814" s="1295"/>
      <c r="T814" s="1295"/>
      <c r="U814" s="1295"/>
      <c r="V814" s="1084"/>
      <c r="W814" s="1084"/>
      <c r="X814" s="1149"/>
      <c r="Y814" s="372" t="s">
        <v>1242</v>
      </c>
      <c r="Z814" s="386">
        <v>101102103</v>
      </c>
      <c r="AA814" s="386">
        <v>-50551052</v>
      </c>
      <c r="AB814" s="386">
        <f t="shared" si="49"/>
        <v>50551051</v>
      </c>
      <c r="AC814" s="384">
        <v>41291</v>
      </c>
      <c r="AD814" s="395">
        <v>50551052</v>
      </c>
      <c r="AE814" s="395" t="s">
        <v>137</v>
      </c>
      <c r="AF814" s="1084"/>
      <c r="AG814" s="1084"/>
      <c r="AH814" s="358">
        <f t="shared" si="46"/>
        <v>-1</v>
      </c>
      <c r="AI814" s="1084"/>
      <c r="AJ814" s="1084"/>
      <c r="AK814" s="1084"/>
      <c r="AL814" s="1084"/>
      <c r="AM814" s="1084"/>
      <c r="AN814" s="1149"/>
      <c r="AO814" s="1149"/>
      <c r="AP814" s="1204"/>
      <c r="AQ814" s="1204"/>
    </row>
    <row r="815" spans="1:43" s="4" customFormat="1" ht="63">
      <c r="A815" s="1076" t="s">
        <v>1225</v>
      </c>
      <c r="B815" s="1171">
        <v>40870</v>
      </c>
      <c r="C815" s="1076" t="s">
        <v>22</v>
      </c>
      <c r="D815" s="1076" t="s">
        <v>1245</v>
      </c>
      <c r="E815" s="1208">
        <v>900477528</v>
      </c>
      <c r="F815" s="1208">
        <v>9</v>
      </c>
      <c r="G815" s="1076" t="s">
        <v>1246</v>
      </c>
      <c r="H815" s="1076" t="s">
        <v>71</v>
      </c>
      <c r="I815" s="1076" t="s">
        <v>1235</v>
      </c>
      <c r="J815" s="1123" t="s">
        <v>66</v>
      </c>
      <c r="K815" s="1123" t="s">
        <v>183</v>
      </c>
      <c r="L815" s="1123" t="s">
        <v>1218</v>
      </c>
      <c r="M815" s="1352">
        <v>215</v>
      </c>
      <c r="N815" s="1123" t="s">
        <v>137</v>
      </c>
      <c r="O815" s="1119">
        <v>91588785</v>
      </c>
      <c r="P815" s="1119">
        <v>91588785</v>
      </c>
      <c r="Q815" s="1119">
        <f>P815+P817</f>
        <v>134309400</v>
      </c>
      <c r="R815" s="1171">
        <v>40851</v>
      </c>
      <c r="S815" s="1119">
        <f>T815</f>
        <v>90737264</v>
      </c>
      <c r="T815" s="1119">
        <v>90737264</v>
      </c>
      <c r="U815" s="1119">
        <f>O815-T815</f>
        <v>851521</v>
      </c>
      <c r="V815" s="1119">
        <v>90737369.939999998</v>
      </c>
      <c r="W815" s="1119">
        <v>133457984.94</v>
      </c>
      <c r="X815" s="1076" t="s">
        <v>1247</v>
      </c>
      <c r="Y815" s="372" t="s">
        <v>1248</v>
      </c>
      <c r="Z815" s="386">
        <v>0</v>
      </c>
      <c r="AA815" s="386">
        <v>45368685</v>
      </c>
      <c r="AB815" s="386">
        <f t="shared" si="49"/>
        <v>45368685</v>
      </c>
      <c r="AC815" s="384">
        <v>41151</v>
      </c>
      <c r="AD815" s="395">
        <v>45368685</v>
      </c>
      <c r="AE815" s="395" t="s">
        <v>137</v>
      </c>
      <c r="AF815" s="1084">
        <f>SUM(AD815:AD816)</f>
        <v>90737264</v>
      </c>
      <c r="AG815" s="1084">
        <f>SUM(AF815:AF817)</f>
        <v>133457879</v>
      </c>
      <c r="AH815" s="358">
        <f t="shared" si="46"/>
        <v>0</v>
      </c>
      <c r="AI815" s="1084">
        <f>S815-AD815-AD816</f>
        <v>0</v>
      </c>
      <c r="AJ815" s="1119">
        <f>SUM(Z815:Z817)-SUM(AD815:AD817)</f>
        <v>0</v>
      </c>
      <c r="AK815" s="1119">
        <f>S815-V815</f>
        <v>-105.93999999761581</v>
      </c>
      <c r="AL815" s="1119">
        <f>V815-Z815-Z816</f>
        <v>105.93999999761581</v>
      </c>
      <c r="AM815" s="1119">
        <f>AK815+AL815</f>
        <v>0</v>
      </c>
      <c r="AN815" s="1203" t="s">
        <v>606</v>
      </c>
      <c r="AO815" s="1204" t="s">
        <v>1251</v>
      </c>
      <c r="AP815" s="1204" t="s">
        <v>195</v>
      </c>
      <c r="AQ815" s="1204" t="s">
        <v>1097</v>
      </c>
    </row>
    <row r="816" spans="1:43" s="4" customFormat="1" ht="63">
      <c r="A816" s="1076"/>
      <c r="B816" s="1171"/>
      <c r="C816" s="1076"/>
      <c r="D816" s="1076"/>
      <c r="E816" s="1208"/>
      <c r="F816" s="1208"/>
      <c r="G816" s="1076"/>
      <c r="H816" s="1076"/>
      <c r="I816" s="1076"/>
      <c r="J816" s="1123"/>
      <c r="K816" s="1123"/>
      <c r="L816" s="1123"/>
      <c r="M816" s="1352"/>
      <c r="N816" s="1123"/>
      <c r="O816" s="1119"/>
      <c r="P816" s="1119"/>
      <c r="Q816" s="1119"/>
      <c r="R816" s="1171"/>
      <c r="S816" s="1119"/>
      <c r="T816" s="1119"/>
      <c r="U816" s="1119"/>
      <c r="V816" s="1119"/>
      <c r="W816" s="1119"/>
      <c r="X816" s="1076"/>
      <c r="Y816" s="372" t="s">
        <v>1249</v>
      </c>
      <c r="Z816" s="386">
        <v>90737264</v>
      </c>
      <c r="AA816" s="386">
        <f>-AA815</f>
        <v>-45368685</v>
      </c>
      <c r="AB816" s="386">
        <f t="shared" si="49"/>
        <v>45368579</v>
      </c>
      <c r="AC816" s="384">
        <v>41968</v>
      </c>
      <c r="AD816" s="395">
        <v>45368579</v>
      </c>
      <c r="AE816" s="395" t="s">
        <v>137</v>
      </c>
      <c r="AF816" s="1084"/>
      <c r="AG816" s="1084"/>
      <c r="AH816" s="358">
        <f t="shared" si="46"/>
        <v>0</v>
      </c>
      <c r="AI816" s="1084"/>
      <c r="AJ816" s="1119"/>
      <c r="AK816" s="1119"/>
      <c r="AL816" s="1119"/>
      <c r="AM816" s="1119"/>
      <c r="AN816" s="1203"/>
      <c r="AO816" s="1204"/>
      <c r="AP816" s="1204"/>
      <c r="AQ816" s="1204"/>
    </row>
    <row r="817" spans="1:44" s="4" customFormat="1" ht="63">
      <c r="A817" s="1076"/>
      <c r="B817" s="1171"/>
      <c r="C817" s="1076"/>
      <c r="D817" s="1076"/>
      <c r="E817" s="1208"/>
      <c r="F817" s="1208"/>
      <c r="G817" s="1076"/>
      <c r="H817" s="1076"/>
      <c r="I817" s="1076"/>
      <c r="J817" s="354" t="s">
        <v>67</v>
      </c>
      <c r="K817" s="1123"/>
      <c r="L817" s="1123"/>
      <c r="M817" s="437">
        <v>306</v>
      </c>
      <c r="N817" s="372" t="s">
        <v>7</v>
      </c>
      <c r="O817" s="386">
        <v>42720615</v>
      </c>
      <c r="P817" s="386">
        <f>O817</f>
        <v>42720615</v>
      </c>
      <c r="Q817" s="1119"/>
      <c r="R817" s="384">
        <v>41795</v>
      </c>
      <c r="S817" s="435">
        <f>T817</f>
        <v>42720615</v>
      </c>
      <c r="T817" s="386">
        <v>42720615</v>
      </c>
      <c r="U817" s="386">
        <f>O817-T817</f>
        <v>0</v>
      </c>
      <c r="V817" s="386">
        <v>42720615</v>
      </c>
      <c r="W817" s="1119"/>
      <c r="X817" s="1076"/>
      <c r="Y817" s="372" t="s">
        <v>1250</v>
      </c>
      <c r="Z817" s="386">
        <v>42720615</v>
      </c>
      <c r="AA817" s="386">
        <v>0</v>
      </c>
      <c r="AB817" s="386">
        <f t="shared" si="49"/>
        <v>42720615</v>
      </c>
      <c r="AC817" s="384">
        <v>41968</v>
      </c>
      <c r="AD817" s="395">
        <v>42720615</v>
      </c>
      <c r="AE817" s="395" t="s">
        <v>7</v>
      </c>
      <c r="AF817" s="358">
        <f>AD817</f>
        <v>42720615</v>
      </c>
      <c r="AG817" s="1084"/>
      <c r="AH817" s="358">
        <f t="shared" si="46"/>
        <v>0</v>
      </c>
      <c r="AI817" s="358">
        <f>S817-AD817</f>
        <v>0</v>
      </c>
      <c r="AJ817" s="1119"/>
      <c r="AK817" s="386">
        <f>S817-V817</f>
        <v>0</v>
      </c>
      <c r="AL817" s="386">
        <f>V817-Z817</f>
        <v>0</v>
      </c>
      <c r="AM817" s="386">
        <f>AK817+AL817</f>
        <v>0</v>
      </c>
      <c r="AN817" s="1203"/>
      <c r="AO817" s="1204"/>
      <c r="AP817" s="1204"/>
      <c r="AQ817" s="1204"/>
    </row>
    <row r="818" spans="1:44" s="4" customFormat="1" ht="94.5">
      <c r="A818" s="354" t="s">
        <v>1255</v>
      </c>
      <c r="B818" s="384">
        <v>40870</v>
      </c>
      <c r="C818" s="354" t="s">
        <v>30</v>
      </c>
      <c r="D818" s="354" t="s">
        <v>1306</v>
      </c>
      <c r="E818" s="394">
        <v>900398594</v>
      </c>
      <c r="F818" s="394">
        <v>6</v>
      </c>
      <c r="G818" s="354" t="s">
        <v>1258</v>
      </c>
      <c r="H818" s="354" t="s">
        <v>72</v>
      </c>
      <c r="I818" s="354" t="s">
        <v>177</v>
      </c>
      <c r="J818" s="354" t="s">
        <v>66</v>
      </c>
      <c r="K818" s="354" t="s">
        <v>49</v>
      </c>
      <c r="L818" s="354" t="s">
        <v>1260</v>
      </c>
      <c r="M818" s="404">
        <v>174</v>
      </c>
      <c r="N818" s="372" t="s">
        <v>7</v>
      </c>
      <c r="O818" s="386">
        <v>200004880</v>
      </c>
      <c r="P818" s="386">
        <v>200004880</v>
      </c>
      <c r="Q818" s="386">
        <v>200004880</v>
      </c>
      <c r="R818" s="384">
        <v>40745</v>
      </c>
      <c r="S818" s="435"/>
      <c r="T818" s="386"/>
      <c r="U818" s="386"/>
      <c r="V818" s="386">
        <v>200004880</v>
      </c>
      <c r="W818" s="386">
        <v>200004880</v>
      </c>
      <c r="X818" s="354" t="s">
        <v>1259</v>
      </c>
      <c r="Y818" s="372" t="s">
        <v>1263</v>
      </c>
      <c r="Z818" s="386">
        <v>0</v>
      </c>
      <c r="AA818" s="386">
        <f>AD818</f>
        <v>80001952</v>
      </c>
      <c r="AB818" s="386">
        <f>AA818</f>
        <v>80001952</v>
      </c>
      <c r="AC818" s="384">
        <v>41025</v>
      </c>
      <c r="AD818" s="395">
        <v>80001952</v>
      </c>
      <c r="AE818" s="395" t="s">
        <v>7</v>
      </c>
      <c r="AF818" s="358">
        <f>AD818</f>
        <v>80001952</v>
      </c>
      <c r="AG818" s="395">
        <f>AF818</f>
        <v>80001952</v>
      </c>
      <c r="AH818" s="358">
        <f t="shared" si="46"/>
        <v>0</v>
      </c>
      <c r="AI818" s="358">
        <f>O818-AG818</f>
        <v>120002928</v>
      </c>
      <c r="AJ818" s="386">
        <f>Z818-AD818</f>
        <v>-80001952</v>
      </c>
      <c r="AK818" s="386">
        <f>P818-V818</f>
        <v>0</v>
      </c>
      <c r="AL818" s="386">
        <f>V818-Z818+AJ818</f>
        <v>120002928</v>
      </c>
      <c r="AM818" s="386"/>
      <c r="AN818" s="391" t="s">
        <v>1261</v>
      </c>
      <c r="AO818" s="392" t="s">
        <v>1262</v>
      </c>
      <c r="AP818" s="392" t="s">
        <v>195</v>
      </c>
      <c r="AQ818" s="392" t="s">
        <v>1097</v>
      </c>
    </row>
    <row r="819" spans="1:44" ht="63">
      <c r="A819" s="1076" t="s">
        <v>1210</v>
      </c>
      <c r="B819" s="1171">
        <v>40882</v>
      </c>
      <c r="C819" s="1076" t="s">
        <v>13</v>
      </c>
      <c r="D819" s="1076" t="s">
        <v>1306</v>
      </c>
      <c r="E819" s="1208">
        <v>900398594</v>
      </c>
      <c r="F819" s="1208">
        <v>6</v>
      </c>
      <c r="G819" s="1076" t="s">
        <v>1211</v>
      </c>
      <c r="H819" s="1076" t="s">
        <v>72</v>
      </c>
      <c r="I819" s="1076" t="s">
        <v>206</v>
      </c>
      <c r="J819" s="1076" t="s">
        <v>66</v>
      </c>
      <c r="K819" s="1076" t="s">
        <v>49</v>
      </c>
      <c r="L819" s="1076" t="s">
        <v>1213</v>
      </c>
      <c r="M819" s="1245">
        <v>174</v>
      </c>
      <c r="N819" s="1123" t="s">
        <v>7</v>
      </c>
      <c r="O819" s="1119">
        <v>149423312</v>
      </c>
      <c r="P819" s="1119">
        <v>149423312</v>
      </c>
      <c r="Q819" s="1119">
        <v>149423312</v>
      </c>
      <c r="R819" s="1171">
        <v>40745</v>
      </c>
      <c r="S819" s="1196"/>
      <c r="T819" s="1119"/>
      <c r="U819" s="1119"/>
      <c r="V819" s="1119">
        <v>149423312</v>
      </c>
      <c r="W819" s="1119">
        <v>149423312</v>
      </c>
      <c r="X819" s="1076" t="s">
        <v>1212</v>
      </c>
      <c r="Y819" s="372" t="s">
        <v>1214</v>
      </c>
      <c r="Z819" s="386">
        <v>0</v>
      </c>
      <c r="AA819" s="386">
        <v>59769325</v>
      </c>
      <c r="AB819" s="386">
        <f t="shared" ref="AB819:AB829" si="50">Z819+AA819</f>
        <v>59769325</v>
      </c>
      <c r="AC819" s="384">
        <v>41037</v>
      </c>
      <c r="AD819" s="395">
        <v>59769325</v>
      </c>
      <c r="AE819" s="395" t="s">
        <v>7</v>
      </c>
      <c r="AF819" s="1084">
        <f>SUM(AD819:AD821)</f>
        <v>125145012.47</v>
      </c>
      <c r="AG819" s="1215">
        <f>AF819</f>
        <v>125145012.47</v>
      </c>
      <c r="AH819" s="358">
        <f t="shared" ref="AH819:AH848" si="51">AB819-AD819</f>
        <v>0</v>
      </c>
      <c r="AI819" s="1084">
        <f>P819-SUM(AD819:AD821)</f>
        <v>24278299.530000001</v>
      </c>
      <c r="AJ819" s="1119">
        <f>SUM(Z819:Z821)-SUM(AD819:AD821)</f>
        <v>-16185533.359999999</v>
      </c>
      <c r="AK819" s="1119">
        <f>P819-V819</f>
        <v>0</v>
      </c>
      <c r="AL819" s="1119">
        <f>V819-SUM(Z819:Z821)+AJ819</f>
        <v>24278299.530000001</v>
      </c>
      <c r="AM819" s="1119"/>
      <c r="AN819" s="1203" t="s">
        <v>1216</v>
      </c>
      <c r="AO819" s="1237" t="s">
        <v>1217</v>
      </c>
      <c r="AP819" s="1204" t="s">
        <v>194</v>
      </c>
      <c r="AQ819" s="1204" t="s">
        <v>1097</v>
      </c>
    </row>
    <row r="820" spans="1:44" ht="47.25">
      <c r="A820" s="1076"/>
      <c r="B820" s="1171"/>
      <c r="C820" s="1076"/>
      <c r="D820" s="1076"/>
      <c r="E820" s="1208"/>
      <c r="F820" s="1208"/>
      <c r="G820" s="1076"/>
      <c r="H820" s="1076"/>
      <c r="I820" s="1076"/>
      <c r="J820" s="1076"/>
      <c r="K820" s="1076"/>
      <c r="L820" s="1076"/>
      <c r="M820" s="1245"/>
      <c r="N820" s="1123"/>
      <c r="O820" s="1119"/>
      <c r="P820" s="1119"/>
      <c r="Q820" s="1119"/>
      <c r="R820" s="1171"/>
      <c r="S820" s="1196"/>
      <c r="T820" s="1119"/>
      <c r="U820" s="1119"/>
      <c r="V820" s="1119"/>
      <c r="W820" s="1119"/>
      <c r="X820" s="1076"/>
      <c r="Y820" s="372" t="s">
        <v>1215</v>
      </c>
      <c r="Z820" s="386">
        <v>108959479.11</v>
      </c>
      <c r="AA820" s="386">
        <v>-43583791.640000001</v>
      </c>
      <c r="AB820" s="386">
        <f t="shared" si="50"/>
        <v>65375687.469999999</v>
      </c>
      <c r="AC820" s="384">
        <v>41423</v>
      </c>
      <c r="AD820" s="395">
        <v>65375687.469999999</v>
      </c>
      <c r="AE820" s="395" t="s">
        <v>7</v>
      </c>
      <c r="AF820" s="1084"/>
      <c r="AG820" s="1215"/>
      <c r="AH820" s="358">
        <f t="shared" si="51"/>
        <v>0</v>
      </c>
      <c r="AI820" s="1084"/>
      <c r="AJ820" s="1119"/>
      <c r="AK820" s="1119"/>
      <c r="AL820" s="1119"/>
      <c r="AM820" s="1119"/>
      <c r="AN820" s="1203"/>
      <c r="AO820" s="1204"/>
      <c r="AP820" s="1204"/>
      <c r="AQ820" s="1204"/>
    </row>
    <row r="821" spans="1:44">
      <c r="A821" s="1076"/>
      <c r="B821" s="1171"/>
      <c r="C821" s="1076"/>
      <c r="D821" s="1076"/>
      <c r="E821" s="1208"/>
      <c r="F821" s="1208"/>
      <c r="G821" s="1076"/>
      <c r="H821" s="1076"/>
      <c r="I821" s="1076"/>
      <c r="J821" s="1076"/>
      <c r="K821" s="1076"/>
      <c r="L821" s="1076"/>
      <c r="M821" s="1245"/>
      <c r="N821" s="1123"/>
      <c r="O821" s="1119"/>
      <c r="P821" s="1119"/>
      <c r="Q821" s="1119"/>
      <c r="R821" s="1171"/>
      <c r="S821" s="1196"/>
      <c r="T821" s="1119"/>
      <c r="U821" s="1119"/>
      <c r="V821" s="1119"/>
      <c r="W821" s="1119"/>
      <c r="X821" s="1076"/>
      <c r="Y821" s="372"/>
      <c r="Z821" s="386"/>
      <c r="AA821" s="386"/>
      <c r="AB821" s="386">
        <f t="shared" si="50"/>
        <v>0</v>
      </c>
      <c r="AC821" s="384"/>
      <c r="AD821" s="395">
        <v>0</v>
      </c>
      <c r="AE821" s="395" t="s">
        <v>7</v>
      </c>
      <c r="AF821" s="1084"/>
      <c r="AG821" s="1215"/>
      <c r="AH821" s="358">
        <f t="shared" si="51"/>
        <v>0</v>
      </c>
      <c r="AI821" s="1084"/>
      <c r="AJ821" s="1119"/>
      <c r="AK821" s="1119"/>
      <c r="AL821" s="1119"/>
      <c r="AM821" s="1119"/>
      <c r="AN821" s="1203"/>
      <c r="AO821" s="1204"/>
      <c r="AP821" s="1204"/>
      <c r="AQ821" s="1204"/>
    </row>
    <row r="822" spans="1:44" s="4" customFormat="1" ht="15.75" customHeight="1">
      <c r="A822" s="1076" t="s">
        <v>1256</v>
      </c>
      <c r="B822" s="1171">
        <v>40882</v>
      </c>
      <c r="C822" s="1076" t="s">
        <v>40</v>
      </c>
      <c r="D822" s="1076" t="s">
        <v>1306</v>
      </c>
      <c r="E822" s="1208">
        <v>900398594</v>
      </c>
      <c r="F822" s="1208">
        <v>6</v>
      </c>
      <c r="G822" s="1076" t="s">
        <v>1254</v>
      </c>
      <c r="H822" s="1076" t="s">
        <v>72</v>
      </c>
      <c r="I822" s="1076" t="s">
        <v>206</v>
      </c>
      <c r="J822" s="1076" t="s">
        <v>66</v>
      </c>
      <c r="K822" s="1076" t="s">
        <v>49</v>
      </c>
      <c r="L822" s="1076"/>
      <c r="M822" s="1245">
        <v>174</v>
      </c>
      <c r="N822" s="1123" t="s">
        <v>7</v>
      </c>
      <c r="O822" s="1257">
        <v>114070920</v>
      </c>
      <c r="P822" s="1257">
        <v>114070920</v>
      </c>
      <c r="Q822" s="1257">
        <v>114070920</v>
      </c>
      <c r="R822" s="1171" t="s">
        <v>1265</v>
      </c>
      <c r="S822" s="1119"/>
      <c r="T822" s="1119"/>
      <c r="U822" s="1119"/>
      <c r="V822" s="1257">
        <v>114070920</v>
      </c>
      <c r="W822" s="1257">
        <v>114070920</v>
      </c>
      <c r="X822" s="1363" t="s">
        <v>1264</v>
      </c>
      <c r="Y822" s="372" t="s">
        <v>1267</v>
      </c>
      <c r="Z822" s="386">
        <v>0</v>
      </c>
      <c r="AA822" s="386">
        <v>45628368</v>
      </c>
      <c r="AB822" s="386">
        <f t="shared" si="50"/>
        <v>45628368</v>
      </c>
      <c r="AC822" s="384">
        <v>41037</v>
      </c>
      <c r="AD822" s="395">
        <f>AB822</f>
        <v>45628368</v>
      </c>
      <c r="AE822" s="395" t="s">
        <v>7</v>
      </c>
      <c r="AF822" s="1084">
        <f>SUM(AD822:AD823)</f>
        <v>103804537.2</v>
      </c>
      <c r="AG822" s="1215">
        <f>AF822</f>
        <v>103804537.2</v>
      </c>
      <c r="AH822" s="358">
        <f t="shared" si="51"/>
        <v>0</v>
      </c>
      <c r="AI822" s="1084">
        <f>P822-AD822-AD823</f>
        <v>10266382.799999997</v>
      </c>
      <c r="AJ822" s="1119">
        <f>SUM(Z822:Z823)-SUM(AD822:AD823)</f>
        <v>-6844255.200000003</v>
      </c>
      <c r="AK822" s="1084">
        <f>P822-V822</f>
        <v>0</v>
      </c>
      <c r="AL822" s="1084">
        <f>V822-SUM(Z822:Z823)+AJ822</f>
        <v>10266382.799999997</v>
      </c>
      <c r="AM822" s="1084"/>
      <c r="AN822" s="1149" t="s">
        <v>1269</v>
      </c>
      <c r="AO822" s="1204" t="s">
        <v>1266</v>
      </c>
      <c r="AP822" s="1204" t="s">
        <v>195</v>
      </c>
      <c r="AQ822" s="1204" t="s">
        <v>1097</v>
      </c>
    </row>
    <row r="823" spans="1:44" s="4" customFormat="1" ht="47.25">
      <c r="A823" s="1076"/>
      <c r="B823" s="1171"/>
      <c r="C823" s="1076"/>
      <c r="D823" s="1076"/>
      <c r="E823" s="1208"/>
      <c r="F823" s="1208"/>
      <c r="G823" s="1076"/>
      <c r="H823" s="1076"/>
      <c r="I823" s="1076"/>
      <c r="J823" s="1076"/>
      <c r="K823" s="1076"/>
      <c r="L823" s="1076"/>
      <c r="M823" s="1245"/>
      <c r="N823" s="1123"/>
      <c r="O823" s="1257"/>
      <c r="P823" s="1257"/>
      <c r="Q823" s="1257"/>
      <c r="R823" s="1171"/>
      <c r="S823" s="1119"/>
      <c r="T823" s="1119"/>
      <c r="U823" s="1119"/>
      <c r="V823" s="1257"/>
      <c r="W823" s="1257"/>
      <c r="X823" s="1363"/>
      <c r="Y823" s="372" t="s">
        <v>1268</v>
      </c>
      <c r="Z823" s="386">
        <v>96960282</v>
      </c>
      <c r="AA823" s="386">
        <v>-38784112.799999997</v>
      </c>
      <c r="AB823" s="386">
        <f t="shared" si="50"/>
        <v>58176169.200000003</v>
      </c>
      <c r="AC823" s="384">
        <v>41842</v>
      </c>
      <c r="AD823" s="395">
        <f>AB823</f>
        <v>58176169.200000003</v>
      </c>
      <c r="AE823" s="395" t="s">
        <v>7</v>
      </c>
      <c r="AF823" s="1084"/>
      <c r="AG823" s="1215"/>
      <c r="AH823" s="358">
        <f t="shared" si="51"/>
        <v>0</v>
      </c>
      <c r="AI823" s="1084"/>
      <c r="AJ823" s="1119"/>
      <c r="AK823" s="1084"/>
      <c r="AL823" s="1084"/>
      <c r="AM823" s="1084"/>
      <c r="AN823" s="1149"/>
      <c r="AO823" s="1204"/>
      <c r="AP823" s="1204"/>
      <c r="AQ823" s="1204"/>
    </row>
    <row r="824" spans="1:44" s="4" customFormat="1" ht="47.25">
      <c r="A824" s="1076" t="s">
        <v>1257</v>
      </c>
      <c r="B824" s="1171">
        <v>40889</v>
      </c>
      <c r="C824" s="1076" t="s">
        <v>31</v>
      </c>
      <c r="D824" s="1076" t="s">
        <v>1253</v>
      </c>
      <c r="E824" s="1208" t="s">
        <v>1275</v>
      </c>
      <c r="F824" s="1208" t="s">
        <v>1276</v>
      </c>
      <c r="G824" s="1076" t="s">
        <v>1270</v>
      </c>
      <c r="H824" s="1076" t="s">
        <v>72</v>
      </c>
      <c r="I824" s="1076" t="s">
        <v>206</v>
      </c>
      <c r="J824" s="1076" t="s">
        <v>66</v>
      </c>
      <c r="K824" s="1076" t="s">
        <v>183</v>
      </c>
      <c r="L824" s="1076" t="s">
        <v>1252</v>
      </c>
      <c r="M824" s="1245">
        <v>174</v>
      </c>
      <c r="N824" s="1123" t="s">
        <v>7</v>
      </c>
      <c r="O824" s="1119">
        <v>70179999</v>
      </c>
      <c r="P824" s="1119">
        <v>70179999</v>
      </c>
      <c r="Q824" s="1119">
        <v>70179999</v>
      </c>
      <c r="R824" s="1171">
        <v>40745</v>
      </c>
      <c r="S824" s="1119"/>
      <c r="T824" s="1119"/>
      <c r="U824" s="1119"/>
      <c r="V824" s="1119">
        <v>70179999</v>
      </c>
      <c r="W824" s="1119">
        <v>70179999</v>
      </c>
      <c r="X824" s="1076" t="s">
        <v>1271</v>
      </c>
      <c r="Y824" s="372" t="s">
        <v>1272</v>
      </c>
      <c r="Z824" s="386">
        <v>0</v>
      </c>
      <c r="AA824" s="386">
        <v>28072000</v>
      </c>
      <c r="AB824" s="386">
        <f t="shared" si="50"/>
        <v>28072000</v>
      </c>
      <c r="AC824" s="384">
        <v>41065</v>
      </c>
      <c r="AD824" s="395">
        <f>AB824</f>
        <v>28072000</v>
      </c>
      <c r="AE824" s="395" t="s">
        <v>7</v>
      </c>
      <c r="AF824" s="1084">
        <f>SUM(AD824:AD826)</f>
        <v>70179999</v>
      </c>
      <c r="AG824" s="1215">
        <f>AF824</f>
        <v>70179999</v>
      </c>
      <c r="AH824" s="358">
        <f t="shared" si="51"/>
        <v>0</v>
      </c>
      <c r="AI824" s="1084">
        <f>O824-AD824-AD825-AD826</f>
        <v>0</v>
      </c>
      <c r="AJ824" s="1084">
        <f>SUM(Z824:Z826)-SUM(AD824:AD826)</f>
        <v>0</v>
      </c>
      <c r="AK824" s="1084">
        <f>P824-V824</f>
        <v>0</v>
      </c>
      <c r="AL824" s="1084">
        <f>V824-SUM(Z824:Z826)</f>
        <v>0</v>
      </c>
      <c r="AM824" s="1084">
        <f>AK824+AL824</f>
        <v>0</v>
      </c>
      <c r="AN824" s="1149" t="s">
        <v>606</v>
      </c>
      <c r="AO824" s="1149" t="s">
        <v>1277</v>
      </c>
      <c r="AP824" s="1204" t="s">
        <v>195</v>
      </c>
      <c r="AQ824" s="1204" t="s">
        <v>1097</v>
      </c>
    </row>
    <row r="825" spans="1:44" s="4" customFormat="1" ht="31.5">
      <c r="A825" s="1076"/>
      <c r="B825" s="1171"/>
      <c r="C825" s="1076"/>
      <c r="D825" s="1076"/>
      <c r="E825" s="1208"/>
      <c r="F825" s="1208"/>
      <c r="G825" s="1076"/>
      <c r="H825" s="1076"/>
      <c r="I825" s="1076"/>
      <c r="J825" s="1076"/>
      <c r="K825" s="1076"/>
      <c r="L825" s="1076"/>
      <c r="M825" s="1245"/>
      <c r="N825" s="1123"/>
      <c r="O825" s="1119"/>
      <c r="P825" s="1119"/>
      <c r="Q825" s="1119"/>
      <c r="R825" s="1171"/>
      <c r="S825" s="1119"/>
      <c r="T825" s="1119"/>
      <c r="U825" s="1119"/>
      <c r="V825" s="1119"/>
      <c r="W825" s="1119"/>
      <c r="X825" s="1076"/>
      <c r="Y825" s="372" t="s">
        <v>1273</v>
      </c>
      <c r="Z825" s="386">
        <v>61288193.130000003</v>
      </c>
      <c r="AA825" s="386">
        <v>-24515277.25</v>
      </c>
      <c r="AB825" s="386">
        <f t="shared" si="50"/>
        <v>36772915.880000003</v>
      </c>
      <c r="AC825" s="384"/>
      <c r="AD825" s="395">
        <f>AB825</f>
        <v>36772915.880000003</v>
      </c>
      <c r="AE825" s="395" t="s">
        <v>7</v>
      </c>
      <c r="AF825" s="1084"/>
      <c r="AG825" s="1215"/>
      <c r="AH825" s="358">
        <f t="shared" si="51"/>
        <v>0</v>
      </c>
      <c r="AI825" s="1084"/>
      <c r="AJ825" s="1084"/>
      <c r="AK825" s="1084"/>
      <c r="AL825" s="1084"/>
      <c r="AM825" s="1084"/>
      <c r="AN825" s="1149"/>
      <c r="AO825" s="1149"/>
      <c r="AP825" s="1204"/>
      <c r="AQ825" s="1204"/>
    </row>
    <row r="826" spans="1:44" s="4" customFormat="1" ht="47.25">
      <c r="A826" s="1076"/>
      <c r="B826" s="1171"/>
      <c r="C826" s="1076"/>
      <c r="D826" s="1076"/>
      <c r="E826" s="1208"/>
      <c r="F826" s="1208"/>
      <c r="G826" s="1076"/>
      <c r="H826" s="1076"/>
      <c r="I826" s="1076"/>
      <c r="J826" s="1076"/>
      <c r="K826" s="1076"/>
      <c r="L826" s="1076"/>
      <c r="M826" s="1245"/>
      <c r="N826" s="1123"/>
      <c r="O826" s="1119"/>
      <c r="P826" s="1119"/>
      <c r="Q826" s="1119"/>
      <c r="R826" s="1171"/>
      <c r="S826" s="1119"/>
      <c r="T826" s="1119"/>
      <c r="U826" s="1119"/>
      <c r="V826" s="1119"/>
      <c r="W826" s="1119"/>
      <c r="X826" s="1076"/>
      <c r="Y826" s="372" t="s">
        <v>1274</v>
      </c>
      <c r="Z826" s="386">
        <v>8891805.8699999992</v>
      </c>
      <c r="AA826" s="386">
        <v>-3556722.75</v>
      </c>
      <c r="AB826" s="386">
        <f t="shared" si="50"/>
        <v>5335083.1199999992</v>
      </c>
      <c r="AC826" s="384">
        <v>41862</v>
      </c>
      <c r="AD826" s="395">
        <f>AB826</f>
        <v>5335083.1199999992</v>
      </c>
      <c r="AE826" s="395" t="s">
        <v>7</v>
      </c>
      <c r="AF826" s="1084"/>
      <c r="AG826" s="1215"/>
      <c r="AH826" s="358">
        <f t="shared" si="51"/>
        <v>0</v>
      </c>
      <c r="AI826" s="1084"/>
      <c r="AJ826" s="1084"/>
      <c r="AK826" s="1084"/>
      <c r="AL826" s="1084"/>
      <c r="AM826" s="1084"/>
      <c r="AN826" s="1149"/>
      <c r="AO826" s="1149"/>
      <c r="AP826" s="1204"/>
      <c r="AQ826" s="1204"/>
    </row>
    <row r="827" spans="1:44" ht="63">
      <c r="A827" s="1076" t="s">
        <v>1278</v>
      </c>
      <c r="B827" s="1171">
        <v>40889</v>
      </c>
      <c r="C827" s="1076" t="s">
        <v>42</v>
      </c>
      <c r="D827" s="1076" t="s">
        <v>1279</v>
      </c>
      <c r="E827" s="1208">
        <v>900262339</v>
      </c>
      <c r="F827" s="1208">
        <v>1</v>
      </c>
      <c r="G827" s="1076" t="s">
        <v>1280</v>
      </c>
      <c r="H827" s="1076" t="s">
        <v>72</v>
      </c>
      <c r="I827" s="1076" t="s">
        <v>177</v>
      </c>
      <c r="J827" s="1076" t="s">
        <v>489</v>
      </c>
      <c r="K827" s="1076" t="s">
        <v>50</v>
      </c>
      <c r="L827" s="1076" t="s">
        <v>1284</v>
      </c>
      <c r="M827" s="1360">
        <v>174</v>
      </c>
      <c r="N827" s="1123" t="s">
        <v>7</v>
      </c>
      <c r="O827" s="1119">
        <v>90000000</v>
      </c>
      <c r="P827" s="1119">
        <v>90000000</v>
      </c>
      <c r="Q827" s="1119">
        <v>90000000</v>
      </c>
      <c r="R827" s="1171">
        <v>40745</v>
      </c>
      <c r="S827" s="1196"/>
      <c r="T827" s="1196"/>
      <c r="U827" s="1196"/>
      <c r="V827" s="1119">
        <v>60027680</v>
      </c>
      <c r="W827" s="1119">
        <v>90000000</v>
      </c>
      <c r="X827" s="1076" t="s">
        <v>1271</v>
      </c>
      <c r="Y827" s="372" t="s">
        <v>1214</v>
      </c>
      <c r="Z827" s="386">
        <v>0</v>
      </c>
      <c r="AA827" s="386">
        <f>V827*40%</f>
        <v>24011072</v>
      </c>
      <c r="AB827" s="386">
        <f t="shared" si="50"/>
        <v>24011072</v>
      </c>
      <c r="AC827" s="384">
        <v>41038</v>
      </c>
      <c r="AD827" s="395">
        <v>24011072</v>
      </c>
      <c r="AE827" s="395" t="s">
        <v>7</v>
      </c>
      <c r="AF827" s="1084">
        <f>SUM(AD827:AD831)</f>
        <v>83401107.579999998</v>
      </c>
      <c r="AG827" s="1084">
        <f>AF827</f>
        <v>83401107.579999998</v>
      </c>
      <c r="AH827" s="358">
        <f t="shared" si="51"/>
        <v>0</v>
      </c>
      <c r="AI827" s="1084">
        <f>O827-SUM(AD827:AD831)</f>
        <v>6598892.4200000018</v>
      </c>
      <c r="AJ827" s="1119">
        <f>SUM(Z827:Z831)-SUM(AD827:AD831)</f>
        <v>6598892.4200000018</v>
      </c>
      <c r="AK827" s="1119">
        <f>P827-V827-V830</f>
        <v>0</v>
      </c>
      <c r="AL827" s="1119">
        <f>SUM(V827:V831)-SUM(Z827:Z831)</f>
        <v>0</v>
      </c>
      <c r="AM827" s="1119">
        <f>AK827+AL827</f>
        <v>0</v>
      </c>
      <c r="AN827" s="1203" t="s">
        <v>1285</v>
      </c>
      <c r="AO827" s="1203" t="s">
        <v>1286</v>
      </c>
      <c r="AP827" s="1203" t="s">
        <v>194</v>
      </c>
      <c r="AQ827" s="1203" t="s">
        <v>1097</v>
      </c>
      <c r="AR827" s="1074" t="s">
        <v>2504</v>
      </c>
    </row>
    <row r="828" spans="1:44" ht="47.25">
      <c r="A828" s="1076"/>
      <c r="B828" s="1171"/>
      <c r="C828" s="1076"/>
      <c r="D828" s="1076"/>
      <c r="E828" s="1208"/>
      <c r="F828" s="1208"/>
      <c r="G828" s="1076"/>
      <c r="H828" s="1076"/>
      <c r="I828" s="1076"/>
      <c r="J828" s="1076"/>
      <c r="K828" s="1076"/>
      <c r="L828" s="1076"/>
      <c r="M828" s="1360"/>
      <c r="N828" s="1123"/>
      <c r="O828" s="1119"/>
      <c r="P828" s="1119"/>
      <c r="Q828" s="1119"/>
      <c r="R828" s="1171"/>
      <c r="S828" s="1196"/>
      <c r="T828" s="1196"/>
      <c r="U828" s="1196"/>
      <c r="V828" s="1119"/>
      <c r="W828" s="1119"/>
      <c r="X828" s="1076"/>
      <c r="Y828" s="372" t="s">
        <v>1281</v>
      </c>
      <c r="Z828" s="386">
        <v>36244713.18</v>
      </c>
      <c r="AA828" s="386">
        <v>-14497885.27</v>
      </c>
      <c r="AB828" s="386">
        <f t="shared" si="50"/>
        <v>21746827.91</v>
      </c>
      <c r="AC828" s="384">
        <v>41271</v>
      </c>
      <c r="AD828" s="395">
        <v>21746827.91</v>
      </c>
      <c r="AE828" s="395" t="s">
        <v>7</v>
      </c>
      <c r="AF828" s="1084"/>
      <c r="AG828" s="1084"/>
      <c r="AH828" s="358">
        <f t="shared" si="51"/>
        <v>0</v>
      </c>
      <c r="AI828" s="1084"/>
      <c r="AJ828" s="1119"/>
      <c r="AK828" s="1119"/>
      <c r="AL828" s="1119"/>
      <c r="AM828" s="1119"/>
      <c r="AN828" s="1203"/>
      <c r="AO828" s="1203"/>
      <c r="AP828" s="1203"/>
      <c r="AQ828" s="1203"/>
      <c r="AR828" s="1074"/>
    </row>
    <row r="829" spans="1:44">
      <c r="A829" s="1076"/>
      <c r="B829" s="1171"/>
      <c r="C829" s="1076"/>
      <c r="D829" s="1076"/>
      <c r="E829" s="1208"/>
      <c r="F829" s="1208"/>
      <c r="G829" s="1076"/>
      <c r="H829" s="1076"/>
      <c r="I829" s="1076"/>
      <c r="J829" s="1076"/>
      <c r="K829" s="1076"/>
      <c r="L829" s="1076"/>
      <c r="M829" s="1360"/>
      <c r="N829" s="1123"/>
      <c r="O829" s="1119"/>
      <c r="P829" s="1119"/>
      <c r="Q829" s="1119"/>
      <c r="R829" s="1171"/>
      <c r="S829" s="1196"/>
      <c r="T829" s="1196"/>
      <c r="U829" s="1196"/>
      <c r="V829" s="1119"/>
      <c r="W829" s="1119"/>
      <c r="X829" s="1076"/>
      <c r="Y829" s="1123" t="s">
        <v>1282</v>
      </c>
      <c r="Z829" s="1119">
        <v>44755286.82</v>
      </c>
      <c r="AA829" s="1119">
        <v>-7112079.5300000003</v>
      </c>
      <c r="AB829" s="1119">
        <f t="shared" si="50"/>
        <v>37643207.289999999</v>
      </c>
      <c r="AC829" s="1171">
        <v>41424</v>
      </c>
      <c r="AD829" s="395">
        <v>23373427.199999999</v>
      </c>
      <c r="AE829" s="395" t="s">
        <v>7</v>
      </c>
      <c r="AF829" s="1084"/>
      <c r="AG829" s="1084"/>
      <c r="AH829" s="358">
        <f t="shared" si="51"/>
        <v>14269780.09</v>
      </c>
      <c r="AI829" s="1084"/>
      <c r="AJ829" s="1119"/>
      <c r="AK829" s="1119"/>
      <c r="AL829" s="1119"/>
      <c r="AM829" s="1119"/>
      <c r="AN829" s="1203"/>
      <c r="AO829" s="1203"/>
      <c r="AP829" s="1203"/>
      <c r="AQ829" s="1203"/>
      <c r="AR829" s="1074"/>
    </row>
    <row r="830" spans="1:44">
      <c r="A830" s="1076"/>
      <c r="B830" s="1171"/>
      <c r="C830" s="1076"/>
      <c r="D830" s="1076"/>
      <c r="E830" s="1208"/>
      <c r="F830" s="1208"/>
      <c r="G830" s="1076"/>
      <c r="H830" s="1076"/>
      <c r="I830" s="1076"/>
      <c r="J830" s="1076" t="s">
        <v>67</v>
      </c>
      <c r="K830" s="1076"/>
      <c r="L830" s="1076"/>
      <c r="M830" s="1360"/>
      <c r="N830" s="1123"/>
      <c r="O830" s="1119"/>
      <c r="P830" s="1119"/>
      <c r="Q830" s="1119"/>
      <c r="R830" s="1171"/>
      <c r="S830" s="1196"/>
      <c r="T830" s="1196"/>
      <c r="U830" s="1196"/>
      <c r="V830" s="1119">
        <v>29972320</v>
      </c>
      <c r="W830" s="1119"/>
      <c r="X830" s="1076"/>
      <c r="Y830" s="1123"/>
      <c r="Z830" s="1119"/>
      <c r="AA830" s="1119"/>
      <c r="AB830" s="1119"/>
      <c r="AC830" s="1171"/>
      <c r="AD830" s="395">
        <v>14269780.470000001</v>
      </c>
      <c r="AE830" s="395" t="s">
        <v>7</v>
      </c>
      <c r="AF830" s="1084"/>
      <c r="AG830" s="1084"/>
      <c r="AH830" s="358">
        <f t="shared" si="51"/>
        <v>-14269780.470000001</v>
      </c>
      <c r="AI830" s="1084"/>
      <c r="AJ830" s="1119"/>
      <c r="AK830" s="1119"/>
      <c r="AL830" s="1119"/>
      <c r="AM830" s="1119"/>
      <c r="AN830" s="1203"/>
      <c r="AO830" s="1203"/>
      <c r="AP830" s="1203"/>
      <c r="AQ830" s="1203"/>
      <c r="AR830" s="1074"/>
    </row>
    <row r="831" spans="1:44">
      <c r="A831" s="1076"/>
      <c r="B831" s="1171"/>
      <c r="C831" s="1076"/>
      <c r="D831" s="1076"/>
      <c r="E831" s="1208"/>
      <c r="F831" s="1208"/>
      <c r="G831" s="1076"/>
      <c r="H831" s="1076"/>
      <c r="I831" s="1076"/>
      <c r="J831" s="1076"/>
      <c r="K831" s="1076"/>
      <c r="L831" s="1076"/>
      <c r="M831" s="1360"/>
      <c r="N831" s="1123"/>
      <c r="O831" s="1119"/>
      <c r="P831" s="1119"/>
      <c r="Q831" s="1119"/>
      <c r="R831" s="1171"/>
      <c r="S831" s="1196"/>
      <c r="T831" s="1196"/>
      <c r="U831" s="1196"/>
      <c r="V831" s="1119"/>
      <c r="W831" s="1119"/>
      <c r="X831" s="1076"/>
      <c r="Y831" s="372" t="s">
        <v>1283</v>
      </c>
      <c r="Z831" s="386">
        <v>9000000</v>
      </c>
      <c r="AA831" s="386">
        <v>-2401107.2000000002</v>
      </c>
      <c r="AB831" s="386">
        <f t="shared" ref="AB831:AB841" si="52">Z831+AA831</f>
        <v>6598892.7999999998</v>
      </c>
      <c r="AC831" s="384"/>
      <c r="AD831" s="395">
        <v>0</v>
      </c>
      <c r="AE831" s="395"/>
      <c r="AF831" s="1084"/>
      <c r="AG831" s="1084"/>
      <c r="AH831" s="358">
        <f t="shared" si="51"/>
        <v>6598892.7999999998</v>
      </c>
      <c r="AI831" s="1084"/>
      <c r="AJ831" s="1119"/>
      <c r="AK831" s="1119"/>
      <c r="AL831" s="1119"/>
      <c r="AM831" s="1119"/>
      <c r="AN831" s="1203"/>
      <c r="AO831" s="1203"/>
      <c r="AP831" s="1203"/>
      <c r="AQ831" s="1203"/>
      <c r="AR831" s="1074"/>
    </row>
    <row r="832" spans="1:44" ht="47.25">
      <c r="A832" s="1076" t="s">
        <v>1287</v>
      </c>
      <c r="B832" s="1171">
        <v>40889</v>
      </c>
      <c r="C832" s="1076" t="s">
        <v>42</v>
      </c>
      <c r="D832" s="1076" t="s">
        <v>1279</v>
      </c>
      <c r="E832" s="1208">
        <v>900262339</v>
      </c>
      <c r="F832" s="1208">
        <v>1</v>
      </c>
      <c r="G832" s="1076" t="s">
        <v>1288</v>
      </c>
      <c r="H832" s="1076" t="s">
        <v>72</v>
      </c>
      <c r="I832" s="1076" t="s">
        <v>206</v>
      </c>
      <c r="J832" s="1076" t="s">
        <v>66</v>
      </c>
      <c r="K832" s="1076" t="s">
        <v>49</v>
      </c>
      <c r="L832" s="1076" t="s">
        <v>1290</v>
      </c>
      <c r="M832" s="1245">
        <v>174</v>
      </c>
      <c r="N832" s="1123" t="s">
        <v>7</v>
      </c>
      <c r="O832" s="1119">
        <v>47120360</v>
      </c>
      <c r="P832" s="1119">
        <v>47120360</v>
      </c>
      <c r="Q832" s="1119">
        <v>47120360</v>
      </c>
      <c r="R832" s="1171">
        <v>40745</v>
      </c>
      <c r="S832" s="1196"/>
      <c r="T832" s="1119"/>
      <c r="U832" s="1119"/>
      <c r="V832" s="1119">
        <v>47120360</v>
      </c>
      <c r="W832" s="1119">
        <v>47120360</v>
      </c>
      <c r="X832" s="1076" t="s">
        <v>1289</v>
      </c>
      <c r="Y832" s="372" t="s">
        <v>1291</v>
      </c>
      <c r="Z832" s="386">
        <v>0</v>
      </c>
      <c r="AA832" s="386">
        <v>18848144</v>
      </c>
      <c r="AB832" s="386">
        <f t="shared" si="52"/>
        <v>18848144</v>
      </c>
      <c r="AC832" s="384">
        <v>41038</v>
      </c>
      <c r="AD832" s="395">
        <v>18848144</v>
      </c>
      <c r="AE832" s="395" t="s">
        <v>7</v>
      </c>
      <c r="AF832" s="1084">
        <f>SUM(AD832:AD835)</f>
        <v>44293138.399999999</v>
      </c>
      <c r="AG832" s="1084">
        <f>AF832</f>
        <v>44293138.399999999</v>
      </c>
      <c r="AH832" s="358">
        <f t="shared" si="51"/>
        <v>0</v>
      </c>
      <c r="AI832" s="1084">
        <f>P832-SUM(AD832:AD835)</f>
        <v>2827221.6000000015</v>
      </c>
      <c r="AJ832" s="1119">
        <f>SUM(Z832:Z835)-SUM(AD832:AD835)</f>
        <v>-1884814.3999999985</v>
      </c>
      <c r="AK832" s="1119">
        <f>P832-V832</f>
        <v>0</v>
      </c>
      <c r="AL832" s="1119">
        <f>V832-SUM(Z832:Z835)+AJ832</f>
        <v>2827221.6000000015</v>
      </c>
      <c r="AM832" s="1119"/>
      <c r="AN832" s="1203" t="s">
        <v>1294</v>
      </c>
      <c r="AO832" s="1204" t="s">
        <v>1295</v>
      </c>
      <c r="AP832" s="1204" t="s">
        <v>194</v>
      </c>
      <c r="AQ832" s="1204" t="s">
        <v>1097</v>
      </c>
    </row>
    <row r="833" spans="1:44" ht="47.25">
      <c r="A833" s="1076"/>
      <c r="B833" s="1171"/>
      <c r="C833" s="1076"/>
      <c r="D833" s="1076"/>
      <c r="E833" s="1208"/>
      <c r="F833" s="1208"/>
      <c r="G833" s="1076"/>
      <c r="H833" s="1076"/>
      <c r="I833" s="1076"/>
      <c r="J833" s="1076"/>
      <c r="K833" s="1076"/>
      <c r="L833" s="1076"/>
      <c r="M833" s="1245"/>
      <c r="N833" s="1123"/>
      <c r="O833" s="1119"/>
      <c r="P833" s="1119"/>
      <c r="Q833" s="1119"/>
      <c r="R833" s="1171"/>
      <c r="S833" s="1196"/>
      <c r="T833" s="1119"/>
      <c r="U833" s="1119"/>
      <c r="V833" s="1119"/>
      <c r="W833" s="1119"/>
      <c r="X833" s="1076"/>
      <c r="Y833" s="372" t="s">
        <v>1292</v>
      </c>
      <c r="Z833" s="386">
        <v>26048135.010000002</v>
      </c>
      <c r="AA833" s="386">
        <v>-10419254</v>
      </c>
      <c r="AB833" s="386">
        <f t="shared" si="52"/>
        <v>15628881.010000002</v>
      </c>
      <c r="AC833" s="384">
        <v>41255</v>
      </c>
      <c r="AD833" s="395">
        <v>15628881.01</v>
      </c>
      <c r="AE833" s="395" t="s">
        <v>7</v>
      </c>
      <c r="AF833" s="1084"/>
      <c r="AG833" s="1084"/>
      <c r="AH833" s="358">
        <f t="shared" si="51"/>
        <v>0</v>
      </c>
      <c r="AI833" s="1084"/>
      <c r="AJ833" s="1119"/>
      <c r="AK833" s="1119"/>
      <c r="AL833" s="1119"/>
      <c r="AM833" s="1119"/>
      <c r="AN833" s="1203"/>
      <c r="AO833" s="1204"/>
      <c r="AP833" s="1204"/>
      <c r="AQ833" s="1204"/>
    </row>
    <row r="834" spans="1:44" ht="47.25">
      <c r="A834" s="1076"/>
      <c r="B834" s="1171"/>
      <c r="C834" s="1076"/>
      <c r="D834" s="1076"/>
      <c r="E834" s="1208"/>
      <c r="F834" s="1208"/>
      <c r="G834" s="1076"/>
      <c r="H834" s="1076"/>
      <c r="I834" s="1076"/>
      <c r="J834" s="1076"/>
      <c r="K834" s="1076"/>
      <c r="L834" s="1076"/>
      <c r="M834" s="1245"/>
      <c r="N834" s="1123"/>
      <c r="O834" s="1119"/>
      <c r="P834" s="1119"/>
      <c r="Q834" s="1119"/>
      <c r="R834" s="1171"/>
      <c r="S834" s="1196"/>
      <c r="T834" s="1119"/>
      <c r="U834" s="1119"/>
      <c r="V834" s="1119"/>
      <c r="W834" s="1119"/>
      <c r="X834" s="1076"/>
      <c r="Y834" s="372" t="s">
        <v>1293</v>
      </c>
      <c r="Z834" s="386">
        <v>16360188.99</v>
      </c>
      <c r="AA834" s="386">
        <v>-6544075.5999999996</v>
      </c>
      <c r="AB834" s="386">
        <f t="shared" si="52"/>
        <v>9816113.3900000006</v>
      </c>
      <c r="AC834" s="384">
        <v>41682</v>
      </c>
      <c r="AD834" s="395">
        <v>9816113.3900000006</v>
      </c>
      <c r="AE834" s="395" t="s">
        <v>7</v>
      </c>
      <c r="AF834" s="1084"/>
      <c r="AG834" s="1084"/>
      <c r="AH834" s="358">
        <f t="shared" si="51"/>
        <v>0</v>
      </c>
      <c r="AI834" s="1084"/>
      <c r="AJ834" s="1119"/>
      <c r="AK834" s="1119"/>
      <c r="AL834" s="1119"/>
      <c r="AM834" s="1119"/>
      <c r="AN834" s="1203"/>
      <c r="AO834" s="1204"/>
      <c r="AP834" s="1204"/>
      <c r="AQ834" s="1204"/>
    </row>
    <row r="835" spans="1:44">
      <c r="A835" s="1076"/>
      <c r="B835" s="1171"/>
      <c r="C835" s="1076"/>
      <c r="D835" s="1076"/>
      <c r="E835" s="1208"/>
      <c r="F835" s="1208"/>
      <c r="G835" s="1076"/>
      <c r="H835" s="1076"/>
      <c r="I835" s="1076"/>
      <c r="J835" s="1076"/>
      <c r="K835" s="1076"/>
      <c r="L835" s="1076"/>
      <c r="M835" s="1245"/>
      <c r="N835" s="1123"/>
      <c r="O835" s="1119"/>
      <c r="P835" s="1119"/>
      <c r="Q835" s="1119"/>
      <c r="R835" s="1171"/>
      <c r="S835" s="1196"/>
      <c r="T835" s="1119"/>
      <c r="U835" s="1119"/>
      <c r="V835" s="1119"/>
      <c r="W835" s="1119"/>
      <c r="X835" s="1076"/>
      <c r="Y835" s="372"/>
      <c r="Z835" s="386"/>
      <c r="AA835" s="386"/>
      <c r="AB835" s="386">
        <f t="shared" si="52"/>
        <v>0</v>
      </c>
      <c r="AC835" s="384"/>
      <c r="AD835" s="395"/>
      <c r="AE835" s="395"/>
      <c r="AF835" s="1084"/>
      <c r="AG835" s="1084"/>
      <c r="AH835" s="358">
        <f t="shared" si="51"/>
        <v>0</v>
      </c>
      <c r="AI835" s="1084"/>
      <c r="AJ835" s="1119"/>
      <c r="AK835" s="1119"/>
      <c r="AL835" s="1119"/>
      <c r="AM835" s="1119"/>
      <c r="AN835" s="1203"/>
      <c r="AO835" s="1204"/>
      <c r="AP835" s="1204"/>
      <c r="AQ835" s="1204"/>
    </row>
    <row r="836" spans="1:44" ht="42.75" customHeight="1">
      <c r="A836" s="1076" t="s">
        <v>1296</v>
      </c>
      <c r="B836" s="1171">
        <v>40889</v>
      </c>
      <c r="C836" s="1076" t="s">
        <v>1297</v>
      </c>
      <c r="D836" s="1076" t="s">
        <v>1253</v>
      </c>
      <c r="E836" s="1208">
        <v>900485124</v>
      </c>
      <c r="F836" s="1208">
        <v>0</v>
      </c>
      <c r="G836" s="1076" t="s">
        <v>1298</v>
      </c>
      <c r="H836" s="1076" t="s">
        <v>72</v>
      </c>
      <c r="I836" s="1076" t="s">
        <v>206</v>
      </c>
      <c r="J836" s="1076" t="s">
        <v>66</v>
      </c>
      <c r="K836" s="1076" t="s">
        <v>50</v>
      </c>
      <c r="L836" s="1076" t="s">
        <v>1302</v>
      </c>
      <c r="M836" s="1245">
        <v>174</v>
      </c>
      <c r="N836" s="1123" t="s">
        <v>7</v>
      </c>
      <c r="O836" s="1119">
        <v>68874999</v>
      </c>
      <c r="P836" s="1119">
        <v>68874999</v>
      </c>
      <c r="Q836" s="1119">
        <v>68874999</v>
      </c>
      <c r="R836" s="1171">
        <v>40745</v>
      </c>
      <c r="S836" s="1196"/>
      <c r="T836" s="1196"/>
      <c r="U836" s="1196"/>
      <c r="V836" s="1119">
        <v>68874999</v>
      </c>
      <c r="W836" s="1119">
        <v>68874999</v>
      </c>
      <c r="X836" s="1076" t="s">
        <v>1271</v>
      </c>
      <c r="Y836" s="372" t="s">
        <v>1299</v>
      </c>
      <c r="Z836" s="386">
        <v>0</v>
      </c>
      <c r="AA836" s="386">
        <v>27550000</v>
      </c>
      <c r="AB836" s="386">
        <f t="shared" si="52"/>
        <v>27550000</v>
      </c>
      <c r="AC836" s="384">
        <v>41068</v>
      </c>
      <c r="AD836" s="395">
        <v>27550000</v>
      </c>
      <c r="AE836" s="395" t="s">
        <v>7</v>
      </c>
      <c r="AF836" s="1084">
        <f>SUM(AD836:AD839)</f>
        <v>64742499.460000008</v>
      </c>
      <c r="AG836" s="1084">
        <f>AF836</f>
        <v>64742499.460000008</v>
      </c>
      <c r="AH836" s="358">
        <f t="shared" si="51"/>
        <v>0</v>
      </c>
      <c r="AI836" s="1084">
        <f>P836-SUM(AD836:AD839)</f>
        <v>4132499.5399999917</v>
      </c>
      <c r="AJ836" s="1119">
        <f>SUM(Z836:Z839)-SUM(AD836:AD839)</f>
        <v>4132499.5399999917</v>
      </c>
      <c r="AK836" s="1119">
        <f>P836-V836</f>
        <v>0</v>
      </c>
      <c r="AL836" s="1119">
        <f>V836-SUM(Z836:Z839)</f>
        <v>0</v>
      </c>
      <c r="AM836" s="1119">
        <f>AK836+AL836</f>
        <v>0</v>
      </c>
      <c r="AN836" s="1203" t="s">
        <v>1303</v>
      </c>
      <c r="AO836" s="1237" t="s">
        <v>1304</v>
      </c>
      <c r="AP836" s="1204" t="s">
        <v>194</v>
      </c>
      <c r="AQ836" s="1204" t="s">
        <v>1097</v>
      </c>
      <c r="AR836" s="1074" t="s">
        <v>2504</v>
      </c>
    </row>
    <row r="837" spans="1:44" ht="47.25">
      <c r="A837" s="1076"/>
      <c r="B837" s="1171"/>
      <c r="C837" s="1076"/>
      <c r="D837" s="1076"/>
      <c r="E837" s="1208"/>
      <c r="F837" s="1208"/>
      <c r="G837" s="1076"/>
      <c r="H837" s="1076"/>
      <c r="I837" s="1076"/>
      <c r="J837" s="1076"/>
      <c r="K837" s="1076"/>
      <c r="L837" s="1076"/>
      <c r="M837" s="1245"/>
      <c r="N837" s="1123"/>
      <c r="O837" s="1119"/>
      <c r="P837" s="1119"/>
      <c r="Q837" s="1119"/>
      <c r="R837" s="1171"/>
      <c r="S837" s="1196"/>
      <c r="T837" s="1196"/>
      <c r="U837" s="1196"/>
      <c r="V837" s="1119"/>
      <c r="W837" s="1119"/>
      <c r="X837" s="1076"/>
      <c r="Y837" s="372" t="s">
        <v>1300</v>
      </c>
      <c r="Z837" s="386">
        <v>44045561.859999999</v>
      </c>
      <c r="AA837" s="386">
        <v>-17618224.739999998</v>
      </c>
      <c r="AB837" s="386">
        <f t="shared" si="52"/>
        <v>26427337.120000001</v>
      </c>
      <c r="AC837" s="384">
        <v>41598</v>
      </c>
      <c r="AD837" s="395">
        <v>26427337.120000001</v>
      </c>
      <c r="AE837" s="395" t="s">
        <v>7</v>
      </c>
      <c r="AF837" s="1084"/>
      <c r="AG837" s="1084"/>
      <c r="AH837" s="358">
        <f t="shared" si="51"/>
        <v>0</v>
      </c>
      <c r="AI837" s="1084"/>
      <c r="AJ837" s="1119"/>
      <c r="AK837" s="1119"/>
      <c r="AL837" s="1119"/>
      <c r="AM837" s="1119"/>
      <c r="AN837" s="1203"/>
      <c r="AO837" s="1204"/>
      <c r="AP837" s="1204"/>
      <c r="AQ837" s="1204"/>
      <c r="AR837" s="1074"/>
    </row>
    <row r="838" spans="1:44" ht="47.25">
      <c r="A838" s="1076"/>
      <c r="B838" s="1171"/>
      <c r="C838" s="1076"/>
      <c r="D838" s="1076"/>
      <c r="E838" s="1208"/>
      <c r="F838" s="1208"/>
      <c r="G838" s="1076"/>
      <c r="H838" s="1076"/>
      <c r="I838" s="1076"/>
      <c r="J838" s="1076"/>
      <c r="K838" s="1076"/>
      <c r="L838" s="1076"/>
      <c r="M838" s="1245"/>
      <c r="N838" s="1123"/>
      <c r="O838" s="1119"/>
      <c r="P838" s="1119"/>
      <c r="Q838" s="1119"/>
      <c r="R838" s="1171"/>
      <c r="S838" s="1196"/>
      <c r="T838" s="1196"/>
      <c r="U838" s="1196"/>
      <c r="V838" s="1119"/>
      <c r="W838" s="1119"/>
      <c r="X838" s="1076"/>
      <c r="Y838" s="372" t="s">
        <v>1301</v>
      </c>
      <c r="Z838" s="386">
        <v>17941937.239999998</v>
      </c>
      <c r="AA838" s="386">
        <v>-7176774.9000000004</v>
      </c>
      <c r="AB838" s="386">
        <f t="shared" si="52"/>
        <v>10765162.339999998</v>
      </c>
      <c r="AC838" s="384">
        <v>41862</v>
      </c>
      <c r="AD838" s="395">
        <v>10765162.34</v>
      </c>
      <c r="AE838" s="395" t="s">
        <v>7</v>
      </c>
      <c r="AF838" s="1084"/>
      <c r="AG838" s="1084"/>
      <c r="AH838" s="358">
        <f t="shared" si="51"/>
        <v>0</v>
      </c>
      <c r="AI838" s="1084"/>
      <c r="AJ838" s="1119"/>
      <c r="AK838" s="1119"/>
      <c r="AL838" s="1119"/>
      <c r="AM838" s="1119"/>
      <c r="AN838" s="1203"/>
      <c r="AO838" s="1204"/>
      <c r="AP838" s="1204"/>
      <c r="AQ838" s="1204"/>
      <c r="AR838" s="1074"/>
    </row>
    <row r="839" spans="1:44" ht="47.25">
      <c r="A839" s="1076"/>
      <c r="B839" s="1171"/>
      <c r="C839" s="1076"/>
      <c r="D839" s="1076"/>
      <c r="E839" s="1208"/>
      <c r="F839" s="1208"/>
      <c r="G839" s="1076"/>
      <c r="H839" s="1076"/>
      <c r="I839" s="1076"/>
      <c r="J839" s="1076"/>
      <c r="K839" s="1076"/>
      <c r="L839" s="1076"/>
      <c r="M839" s="1245"/>
      <c r="N839" s="1123"/>
      <c r="O839" s="1119"/>
      <c r="P839" s="1119"/>
      <c r="Q839" s="1119"/>
      <c r="R839" s="1171"/>
      <c r="S839" s="1196"/>
      <c r="T839" s="1196"/>
      <c r="U839" s="1196"/>
      <c r="V839" s="1119"/>
      <c r="W839" s="1119"/>
      <c r="X839" s="1076"/>
      <c r="Y839" s="372" t="s">
        <v>1302</v>
      </c>
      <c r="Z839" s="386">
        <v>6887499.9000000022</v>
      </c>
      <c r="AA839" s="386">
        <v>-2755000.36</v>
      </c>
      <c r="AB839" s="386">
        <f t="shared" si="52"/>
        <v>4132499.5400000024</v>
      </c>
      <c r="AC839" s="384"/>
      <c r="AD839" s="395">
        <v>0</v>
      </c>
      <c r="AE839" s="395" t="s">
        <v>7</v>
      </c>
      <c r="AF839" s="1084"/>
      <c r="AG839" s="1084"/>
      <c r="AH839" s="358">
        <f t="shared" si="51"/>
        <v>4132499.5400000024</v>
      </c>
      <c r="AI839" s="1084"/>
      <c r="AJ839" s="1119"/>
      <c r="AK839" s="1119"/>
      <c r="AL839" s="1119"/>
      <c r="AM839" s="1119"/>
      <c r="AN839" s="1203"/>
      <c r="AO839" s="1204"/>
      <c r="AP839" s="1204"/>
      <c r="AQ839" s="1204"/>
      <c r="AR839" s="1074"/>
    </row>
    <row r="840" spans="1:44" ht="47.25">
      <c r="A840" s="1076" t="s">
        <v>1305</v>
      </c>
      <c r="B840" s="1171">
        <v>40889</v>
      </c>
      <c r="C840" s="1076" t="s">
        <v>33</v>
      </c>
      <c r="D840" s="1076" t="s">
        <v>1306</v>
      </c>
      <c r="E840" s="1208">
        <v>900398594</v>
      </c>
      <c r="F840" s="1208">
        <v>6</v>
      </c>
      <c r="G840" s="1076" t="s">
        <v>1307</v>
      </c>
      <c r="H840" s="1076" t="s">
        <v>72</v>
      </c>
      <c r="I840" s="1076" t="s">
        <v>206</v>
      </c>
      <c r="J840" s="1076" t="s">
        <v>66</v>
      </c>
      <c r="K840" s="1076" t="s">
        <v>49</v>
      </c>
      <c r="L840" s="1076" t="s">
        <v>1308</v>
      </c>
      <c r="M840" s="1245">
        <v>174</v>
      </c>
      <c r="N840" s="1123" t="s">
        <v>7</v>
      </c>
      <c r="O840" s="1119">
        <v>63333680</v>
      </c>
      <c r="P840" s="1119">
        <v>63333680</v>
      </c>
      <c r="Q840" s="1119">
        <v>63333680</v>
      </c>
      <c r="R840" s="1171">
        <v>40745</v>
      </c>
      <c r="S840" s="1196"/>
      <c r="T840" s="1119"/>
      <c r="U840" s="1119"/>
      <c r="V840" s="1119">
        <v>63333680</v>
      </c>
      <c r="W840" s="1119">
        <v>63333680</v>
      </c>
      <c r="X840" s="1076" t="s">
        <v>1271</v>
      </c>
      <c r="Y840" s="372" t="s">
        <v>1309</v>
      </c>
      <c r="Z840" s="386">
        <v>0</v>
      </c>
      <c r="AA840" s="386">
        <f>W840*40%</f>
        <v>25333472</v>
      </c>
      <c r="AB840" s="386">
        <f t="shared" si="52"/>
        <v>25333472</v>
      </c>
      <c r="AC840" s="384">
        <v>41037</v>
      </c>
      <c r="AD840" s="395">
        <v>25333472</v>
      </c>
      <c r="AE840" s="395" t="s">
        <v>7</v>
      </c>
      <c r="AF840" s="1084">
        <f>SUM(AD840:AD842)</f>
        <v>52074218.370000005</v>
      </c>
      <c r="AG840" s="1084">
        <f>AF840</f>
        <v>52074218.370000005</v>
      </c>
      <c r="AH840" s="358">
        <f t="shared" si="51"/>
        <v>0</v>
      </c>
      <c r="AI840" s="1084">
        <f>W840-AD840-AD841</f>
        <v>11259461.629999999</v>
      </c>
      <c r="AJ840" s="1119">
        <f>SUM(Z840:Z842)-SUM(AD840:AD842)</f>
        <v>-7506307.7500000075</v>
      </c>
      <c r="AK840" s="1119">
        <f>P840-V840</f>
        <v>0</v>
      </c>
      <c r="AL840" s="1119">
        <f>V840-SUM(Z840:Z842)+AJ840</f>
        <v>11259461.629999995</v>
      </c>
      <c r="AM840" s="1119"/>
      <c r="AN840" s="1203" t="s">
        <v>1303</v>
      </c>
      <c r="AO840" s="1237" t="s">
        <v>1519</v>
      </c>
      <c r="AP840" s="1204" t="s">
        <v>194</v>
      </c>
      <c r="AQ840" s="1204" t="s">
        <v>1097</v>
      </c>
    </row>
    <row r="841" spans="1:44" ht="47.25">
      <c r="A841" s="1076"/>
      <c r="B841" s="1171"/>
      <c r="C841" s="1076"/>
      <c r="D841" s="1076"/>
      <c r="E841" s="1208"/>
      <c r="F841" s="1208"/>
      <c r="G841" s="1076"/>
      <c r="H841" s="1076"/>
      <c r="I841" s="1076"/>
      <c r="J841" s="1076"/>
      <c r="K841" s="1076"/>
      <c r="L841" s="1076"/>
      <c r="M841" s="1245"/>
      <c r="N841" s="1123"/>
      <c r="O841" s="1119"/>
      <c r="P841" s="1119"/>
      <c r="Q841" s="1119"/>
      <c r="R841" s="1171"/>
      <c r="S841" s="1196"/>
      <c r="T841" s="1119"/>
      <c r="U841" s="1119"/>
      <c r="V841" s="1119"/>
      <c r="W841" s="1119"/>
      <c r="X841" s="1076"/>
      <c r="Y841" s="372" t="s">
        <v>1310</v>
      </c>
      <c r="Z841" s="386">
        <v>44567910.619999997</v>
      </c>
      <c r="AA841" s="386">
        <v>-17827164.25</v>
      </c>
      <c r="AB841" s="386">
        <f t="shared" si="52"/>
        <v>26740746.369999997</v>
      </c>
      <c r="AC841" s="384">
        <v>41423</v>
      </c>
      <c r="AD841" s="395">
        <v>26740746.370000001</v>
      </c>
      <c r="AE841" s="395" t="s">
        <v>7</v>
      </c>
      <c r="AF841" s="1084"/>
      <c r="AG841" s="1084"/>
      <c r="AH841" s="358">
        <f t="shared" si="51"/>
        <v>0</v>
      </c>
      <c r="AI841" s="1084"/>
      <c r="AJ841" s="1119"/>
      <c r="AK841" s="1119"/>
      <c r="AL841" s="1119"/>
      <c r="AM841" s="1119"/>
      <c r="AN841" s="1203"/>
      <c r="AO841" s="1204"/>
      <c r="AP841" s="1204"/>
      <c r="AQ841" s="1204"/>
    </row>
    <row r="842" spans="1:44">
      <c r="A842" s="1076"/>
      <c r="B842" s="1171"/>
      <c r="C842" s="1076"/>
      <c r="D842" s="1076"/>
      <c r="E842" s="1208"/>
      <c r="F842" s="1208"/>
      <c r="G842" s="1076"/>
      <c r="H842" s="1076"/>
      <c r="I842" s="1076"/>
      <c r="J842" s="1076"/>
      <c r="K842" s="1076"/>
      <c r="L842" s="1076"/>
      <c r="M842" s="1245"/>
      <c r="N842" s="1123"/>
      <c r="O842" s="1119"/>
      <c r="P842" s="1119"/>
      <c r="Q842" s="1119"/>
      <c r="R842" s="1171"/>
      <c r="S842" s="1196"/>
      <c r="T842" s="1119"/>
      <c r="U842" s="1119"/>
      <c r="V842" s="1119"/>
      <c r="W842" s="1119"/>
      <c r="X842" s="1076"/>
      <c r="Y842" s="372"/>
      <c r="Z842" s="386"/>
      <c r="AA842" s="386"/>
      <c r="AB842" s="386"/>
      <c r="AC842" s="384"/>
      <c r="AD842" s="395">
        <v>0</v>
      </c>
      <c r="AE842" s="395" t="s">
        <v>7</v>
      </c>
      <c r="AF842" s="1084"/>
      <c r="AG842" s="1084"/>
      <c r="AH842" s="358">
        <f t="shared" si="51"/>
        <v>0</v>
      </c>
      <c r="AI842" s="1084"/>
      <c r="AJ842" s="1119"/>
      <c r="AK842" s="1119"/>
      <c r="AL842" s="1119"/>
      <c r="AM842" s="1119"/>
      <c r="AN842" s="1203"/>
      <c r="AO842" s="1204"/>
      <c r="AP842" s="1204"/>
      <c r="AQ842" s="1204"/>
    </row>
    <row r="843" spans="1:44" ht="47.25">
      <c r="A843" s="1076" t="s">
        <v>1311</v>
      </c>
      <c r="B843" s="1171">
        <v>40889</v>
      </c>
      <c r="C843" s="1076" t="s">
        <v>33</v>
      </c>
      <c r="D843" s="1076" t="s">
        <v>1312</v>
      </c>
      <c r="E843" s="1208">
        <v>900484860</v>
      </c>
      <c r="F843" s="1208">
        <v>9</v>
      </c>
      <c r="G843" s="1076" t="s">
        <v>1313</v>
      </c>
      <c r="H843" s="1076" t="s">
        <v>72</v>
      </c>
      <c r="I843" s="1076" t="s">
        <v>206</v>
      </c>
      <c r="J843" s="1076" t="s">
        <v>66</v>
      </c>
      <c r="K843" s="1076" t="s">
        <v>49</v>
      </c>
      <c r="L843" s="1076" t="s">
        <v>1315</v>
      </c>
      <c r="M843" s="1245">
        <v>174</v>
      </c>
      <c r="N843" s="1123" t="s">
        <v>7</v>
      </c>
      <c r="O843" s="1119">
        <v>90044999</v>
      </c>
      <c r="P843" s="1119">
        <v>90044999</v>
      </c>
      <c r="Q843" s="1119">
        <v>90044999</v>
      </c>
      <c r="R843" s="1171">
        <v>40745</v>
      </c>
      <c r="S843" s="1196"/>
      <c r="T843" s="1119"/>
      <c r="U843" s="1119"/>
      <c r="V843" s="1119">
        <v>90044999</v>
      </c>
      <c r="W843" s="1119">
        <v>90044999</v>
      </c>
      <c r="X843" s="1076" t="s">
        <v>1271</v>
      </c>
      <c r="Y843" s="372" t="s">
        <v>1299</v>
      </c>
      <c r="Z843" s="386">
        <v>0</v>
      </c>
      <c r="AA843" s="386">
        <v>36018000</v>
      </c>
      <c r="AB843" s="386">
        <f t="shared" ref="AB843:AB864" si="53">Z843+AA843</f>
        <v>36018000</v>
      </c>
      <c r="AC843" s="384">
        <v>41065</v>
      </c>
      <c r="AD843" s="395">
        <v>36018000</v>
      </c>
      <c r="AE843" s="395" t="s">
        <v>7</v>
      </c>
      <c r="AF843" s="1084">
        <f>SUM(AD843:AD845)</f>
        <v>84642299.460000008</v>
      </c>
      <c r="AG843" s="1084">
        <f>AF843</f>
        <v>84642299.460000008</v>
      </c>
      <c r="AH843" s="358">
        <f t="shared" si="51"/>
        <v>0</v>
      </c>
      <c r="AI843" s="1084">
        <f>P843-SUM(AD843:AD845)</f>
        <v>5402699.5399999917</v>
      </c>
      <c r="AJ843" s="1119">
        <f>SUM(Z843:Z845)-SUM(AD843:AD845)</f>
        <v>-3601800.3600000143</v>
      </c>
      <c r="AK843" s="1119">
        <f>P843-V843</f>
        <v>0</v>
      </c>
      <c r="AL843" s="1119">
        <f>V843-SUM(Z843:Z845)+AJ843</f>
        <v>5402699.5399999917</v>
      </c>
      <c r="AM843" s="1119"/>
      <c r="AN843" s="1203" t="s">
        <v>1303</v>
      </c>
      <c r="AO843" s="1204" t="s">
        <v>1316</v>
      </c>
      <c r="AP843" s="1204" t="s">
        <v>194</v>
      </c>
      <c r="AQ843" s="1204" t="s">
        <v>1097</v>
      </c>
    </row>
    <row r="844" spans="1:44" ht="47.25">
      <c r="A844" s="1076"/>
      <c r="B844" s="1171"/>
      <c r="C844" s="1076"/>
      <c r="D844" s="1076"/>
      <c r="E844" s="1208"/>
      <c r="F844" s="1208"/>
      <c r="G844" s="1076"/>
      <c r="H844" s="1076"/>
      <c r="I844" s="1076"/>
      <c r="J844" s="1076"/>
      <c r="K844" s="1076"/>
      <c r="L844" s="1076"/>
      <c r="M844" s="1245"/>
      <c r="N844" s="1123"/>
      <c r="O844" s="1119"/>
      <c r="P844" s="1119"/>
      <c r="Q844" s="1119"/>
      <c r="R844" s="1171"/>
      <c r="S844" s="1196"/>
      <c r="T844" s="1119"/>
      <c r="U844" s="1119"/>
      <c r="V844" s="1119"/>
      <c r="W844" s="1119"/>
      <c r="X844" s="1076"/>
      <c r="Y844" s="372" t="s">
        <v>1314</v>
      </c>
      <c r="Z844" s="386">
        <v>81040499.099999994</v>
      </c>
      <c r="AA844" s="386">
        <v>-32416199.640000001</v>
      </c>
      <c r="AB844" s="386">
        <f t="shared" si="53"/>
        <v>48624299.459999993</v>
      </c>
      <c r="AC844" s="384">
        <v>41904</v>
      </c>
      <c r="AD844" s="395">
        <v>48624299.460000001</v>
      </c>
      <c r="AE844" s="395" t="s">
        <v>7</v>
      </c>
      <c r="AF844" s="1084"/>
      <c r="AG844" s="1084"/>
      <c r="AH844" s="358">
        <f t="shared" si="51"/>
        <v>0</v>
      </c>
      <c r="AI844" s="1084"/>
      <c r="AJ844" s="1119"/>
      <c r="AK844" s="1119"/>
      <c r="AL844" s="1119"/>
      <c r="AM844" s="1119"/>
      <c r="AN844" s="1203"/>
      <c r="AO844" s="1204"/>
      <c r="AP844" s="1204"/>
      <c r="AQ844" s="1204"/>
    </row>
    <row r="845" spans="1:44">
      <c r="A845" s="1076"/>
      <c r="B845" s="1171"/>
      <c r="C845" s="1076"/>
      <c r="D845" s="1076"/>
      <c r="E845" s="1208"/>
      <c r="F845" s="1208"/>
      <c r="G845" s="1076"/>
      <c r="H845" s="1076"/>
      <c r="I845" s="1076"/>
      <c r="J845" s="1076"/>
      <c r="K845" s="1076"/>
      <c r="L845" s="1076"/>
      <c r="M845" s="1245"/>
      <c r="N845" s="1123"/>
      <c r="O845" s="1119"/>
      <c r="P845" s="1119"/>
      <c r="Q845" s="1119"/>
      <c r="R845" s="1171"/>
      <c r="S845" s="1196"/>
      <c r="T845" s="1119"/>
      <c r="U845" s="1119"/>
      <c r="V845" s="1119"/>
      <c r="W845" s="1119"/>
      <c r="X845" s="1076"/>
      <c r="Y845" s="372"/>
      <c r="Z845" s="386"/>
      <c r="AA845" s="386"/>
      <c r="AB845" s="386">
        <f t="shared" si="53"/>
        <v>0</v>
      </c>
      <c r="AC845" s="384"/>
      <c r="AD845" s="395">
        <v>0</v>
      </c>
      <c r="AE845" s="395" t="s">
        <v>7</v>
      </c>
      <c r="AF845" s="1084"/>
      <c r="AG845" s="1084"/>
      <c r="AH845" s="358">
        <f t="shared" si="51"/>
        <v>0</v>
      </c>
      <c r="AI845" s="1084"/>
      <c r="AJ845" s="1119"/>
      <c r="AK845" s="1119"/>
      <c r="AL845" s="1119"/>
      <c r="AM845" s="1119"/>
      <c r="AN845" s="1203"/>
      <c r="AO845" s="1204"/>
      <c r="AP845" s="1204"/>
      <c r="AQ845" s="1204"/>
    </row>
    <row r="846" spans="1:44">
      <c r="A846" s="1076" t="s">
        <v>1317</v>
      </c>
      <c r="B846" s="1171">
        <v>40889</v>
      </c>
      <c r="C846" s="1076" t="s">
        <v>34</v>
      </c>
      <c r="D846" s="1076" t="s">
        <v>1279</v>
      </c>
      <c r="E846" s="1208">
        <v>900262339</v>
      </c>
      <c r="F846" s="1208">
        <v>1</v>
      </c>
      <c r="G846" s="1076" t="s">
        <v>1318</v>
      </c>
      <c r="H846" s="1076" t="s">
        <v>72</v>
      </c>
      <c r="I846" s="1076" t="s">
        <v>177</v>
      </c>
      <c r="J846" s="1076" t="s">
        <v>489</v>
      </c>
      <c r="K846" s="1076" t="s">
        <v>49</v>
      </c>
      <c r="L846" s="1076" t="s">
        <v>1319</v>
      </c>
      <c r="M846" s="1245">
        <v>174</v>
      </c>
      <c r="N846" s="1123" t="s">
        <v>7</v>
      </c>
      <c r="O846" s="1119">
        <v>42229104</v>
      </c>
      <c r="P846" s="1119">
        <v>42229104</v>
      </c>
      <c r="Q846" s="1119">
        <v>42229104</v>
      </c>
      <c r="R846" s="1171">
        <v>40745</v>
      </c>
      <c r="S846" s="1196"/>
      <c r="T846" s="1119"/>
      <c r="U846" s="1119"/>
      <c r="V846" s="1119">
        <v>42229104</v>
      </c>
      <c r="W846" s="1119">
        <v>42229104</v>
      </c>
      <c r="X846" s="1076" t="s">
        <v>1271</v>
      </c>
      <c r="Y846" s="372" t="s">
        <v>1320</v>
      </c>
      <c r="Z846" s="386">
        <v>0</v>
      </c>
      <c r="AA846" s="386">
        <v>16891641.600000001</v>
      </c>
      <c r="AB846" s="386">
        <f t="shared" si="53"/>
        <v>16891641.600000001</v>
      </c>
      <c r="AC846" s="384">
        <v>41040</v>
      </c>
      <c r="AD846" s="395">
        <v>16891642</v>
      </c>
      <c r="AE846" s="395" t="s">
        <v>7</v>
      </c>
      <c r="AF846" s="1084">
        <f>SUM(AD846:AD848)</f>
        <v>16891642</v>
      </c>
      <c r="AG846" s="1084">
        <f>AF846</f>
        <v>16891642</v>
      </c>
      <c r="AH846" s="358">
        <f t="shared" si="51"/>
        <v>-0.39999999850988388</v>
      </c>
      <c r="AI846" s="1084">
        <f>O846-SUM(AD846:AD848)</f>
        <v>25337462</v>
      </c>
      <c r="AJ846" s="1119">
        <f>SUM(Z846:Z848)-SUM(AD846:AD848)</f>
        <v>-16891642</v>
      </c>
      <c r="AK846" s="1119">
        <f>P846-V846</f>
        <v>0</v>
      </c>
      <c r="AL846" s="1119">
        <f>V846-SUM(Z846:Z848)+AJ846</f>
        <v>25337462</v>
      </c>
      <c r="AM846" s="1119"/>
      <c r="AN846" s="1203" t="s">
        <v>1321</v>
      </c>
      <c r="AO846" s="1204" t="s">
        <v>1322</v>
      </c>
      <c r="AP846" s="1204" t="s">
        <v>194</v>
      </c>
      <c r="AQ846" s="1204" t="s">
        <v>1097</v>
      </c>
    </row>
    <row r="847" spans="1:44">
      <c r="A847" s="1076"/>
      <c r="B847" s="1171"/>
      <c r="C847" s="1076"/>
      <c r="D847" s="1076"/>
      <c r="E847" s="1208"/>
      <c r="F847" s="1208"/>
      <c r="G847" s="1076"/>
      <c r="H847" s="1076"/>
      <c r="I847" s="1076"/>
      <c r="J847" s="1076"/>
      <c r="K847" s="1076"/>
      <c r="L847" s="1076"/>
      <c r="M847" s="1245"/>
      <c r="N847" s="1123"/>
      <c r="O847" s="1119"/>
      <c r="P847" s="1119"/>
      <c r="Q847" s="1119"/>
      <c r="R847" s="1171"/>
      <c r="S847" s="1196"/>
      <c r="T847" s="1119"/>
      <c r="U847" s="1119"/>
      <c r="V847" s="1119"/>
      <c r="W847" s="1119"/>
      <c r="X847" s="1076"/>
      <c r="Y847" s="372"/>
      <c r="Z847" s="386"/>
      <c r="AA847" s="386"/>
      <c r="AB847" s="386">
        <f t="shared" si="53"/>
        <v>0</v>
      </c>
      <c r="AC847" s="384"/>
      <c r="AD847" s="395"/>
      <c r="AE847" s="395"/>
      <c r="AF847" s="1084"/>
      <c r="AG847" s="1084"/>
      <c r="AH847" s="358">
        <f t="shared" si="51"/>
        <v>0</v>
      </c>
      <c r="AI847" s="1084"/>
      <c r="AJ847" s="1119"/>
      <c r="AK847" s="1119"/>
      <c r="AL847" s="1119"/>
      <c r="AM847" s="1119"/>
      <c r="AN847" s="1203"/>
      <c r="AO847" s="1204"/>
      <c r="AP847" s="1204"/>
      <c r="AQ847" s="1204"/>
    </row>
    <row r="848" spans="1:44">
      <c r="A848" s="1076"/>
      <c r="B848" s="1171"/>
      <c r="C848" s="1076"/>
      <c r="D848" s="1076"/>
      <c r="E848" s="1208"/>
      <c r="F848" s="1208"/>
      <c r="G848" s="1076"/>
      <c r="H848" s="1076"/>
      <c r="I848" s="1076"/>
      <c r="J848" s="1076"/>
      <c r="K848" s="1076"/>
      <c r="L848" s="1076"/>
      <c r="M848" s="1245"/>
      <c r="N848" s="1123"/>
      <c r="O848" s="1119"/>
      <c r="P848" s="1119"/>
      <c r="Q848" s="1119"/>
      <c r="R848" s="1171"/>
      <c r="S848" s="1196"/>
      <c r="T848" s="1119"/>
      <c r="U848" s="1119"/>
      <c r="V848" s="1119"/>
      <c r="W848" s="1119"/>
      <c r="X848" s="1076"/>
      <c r="Y848" s="372"/>
      <c r="Z848" s="386"/>
      <c r="AA848" s="386"/>
      <c r="AB848" s="386">
        <f t="shared" si="53"/>
        <v>0</v>
      </c>
      <c r="AC848" s="384"/>
      <c r="AD848" s="395"/>
      <c r="AE848" s="395"/>
      <c r="AF848" s="1084"/>
      <c r="AG848" s="1084"/>
      <c r="AH848" s="358">
        <f t="shared" si="51"/>
        <v>0</v>
      </c>
      <c r="AI848" s="1084"/>
      <c r="AJ848" s="1119"/>
      <c r="AK848" s="1119"/>
      <c r="AL848" s="1119"/>
      <c r="AM848" s="1119"/>
      <c r="AN848" s="1203"/>
      <c r="AO848" s="1204"/>
      <c r="AP848" s="1204"/>
      <c r="AQ848" s="1204"/>
    </row>
    <row r="849" spans="1:43" ht="126">
      <c r="A849" s="354" t="s">
        <v>1323</v>
      </c>
      <c r="B849" s="384">
        <v>40889</v>
      </c>
      <c r="C849" s="354" t="s">
        <v>23</v>
      </c>
      <c r="D849" s="354" t="s">
        <v>1279</v>
      </c>
      <c r="E849" s="394">
        <v>900262339</v>
      </c>
      <c r="F849" s="394">
        <v>1</v>
      </c>
      <c r="G849" s="354" t="s">
        <v>1324</v>
      </c>
      <c r="H849" s="354" t="s">
        <v>72</v>
      </c>
      <c r="I849" s="354" t="s">
        <v>206</v>
      </c>
      <c r="J849" s="354" t="s">
        <v>66</v>
      </c>
      <c r="K849" s="354" t="s">
        <v>1326</v>
      </c>
      <c r="L849" s="354" t="s">
        <v>1325</v>
      </c>
      <c r="M849" s="404">
        <v>174</v>
      </c>
      <c r="N849" s="372" t="s">
        <v>7</v>
      </c>
      <c r="O849" s="386">
        <v>0</v>
      </c>
      <c r="P849" s="386">
        <v>0</v>
      </c>
      <c r="Q849" s="386">
        <v>0</v>
      </c>
      <c r="R849" s="384">
        <v>40745</v>
      </c>
      <c r="S849" s="390"/>
      <c r="T849" s="386"/>
      <c r="U849" s="386"/>
      <c r="V849" s="386">
        <v>80167600</v>
      </c>
      <c r="W849" s="386">
        <v>80167600</v>
      </c>
      <c r="X849" s="354" t="s">
        <v>1271</v>
      </c>
      <c r="Y849" s="372"/>
      <c r="Z849" s="386">
        <v>0</v>
      </c>
      <c r="AA849" s="386">
        <v>0</v>
      </c>
      <c r="AB849" s="386">
        <f t="shared" si="53"/>
        <v>0</v>
      </c>
      <c r="AC849" s="384"/>
      <c r="AD849" s="395">
        <v>0</v>
      </c>
      <c r="AE849" s="395" t="s">
        <v>7</v>
      </c>
      <c r="AF849" s="358">
        <v>0</v>
      </c>
      <c r="AG849" s="358">
        <v>0</v>
      </c>
      <c r="AH849" s="358">
        <v>0</v>
      </c>
      <c r="AI849" s="358">
        <v>0</v>
      </c>
      <c r="AJ849" s="386">
        <v>0</v>
      </c>
      <c r="AK849" s="386">
        <v>0</v>
      </c>
      <c r="AL849" s="386">
        <v>0</v>
      </c>
      <c r="AM849" s="386">
        <v>0</v>
      </c>
      <c r="AN849" s="391"/>
      <c r="AO849" s="392" t="s">
        <v>1327</v>
      </c>
      <c r="AP849" s="392" t="s">
        <v>194</v>
      </c>
      <c r="AQ849" s="392" t="s">
        <v>1097</v>
      </c>
    </row>
    <row r="850" spans="1:43" s="4" customFormat="1" ht="78.75">
      <c r="A850" s="1076" t="s">
        <v>1351</v>
      </c>
      <c r="B850" s="1171">
        <v>40900</v>
      </c>
      <c r="C850" s="1076" t="s">
        <v>45</v>
      </c>
      <c r="D850" s="1076" t="s">
        <v>1352</v>
      </c>
      <c r="E850" s="1208" t="s">
        <v>1356</v>
      </c>
      <c r="F850" s="1208" t="s">
        <v>1357</v>
      </c>
      <c r="G850" s="1076" t="s">
        <v>1353</v>
      </c>
      <c r="H850" s="1076" t="s">
        <v>71</v>
      </c>
      <c r="I850" s="1076" t="s">
        <v>1221</v>
      </c>
      <c r="J850" s="1076" t="s">
        <v>66</v>
      </c>
      <c r="K850" s="1076" t="s">
        <v>50</v>
      </c>
      <c r="L850" s="1076" t="s">
        <v>1358</v>
      </c>
      <c r="M850" s="1245">
        <v>1</v>
      </c>
      <c r="N850" s="1353" t="s">
        <v>152</v>
      </c>
      <c r="O850" s="1119">
        <v>537864037</v>
      </c>
      <c r="P850" s="1119">
        <f>O850</f>
        <v>537864037</v>
      </c>
      <c r="Q850" s="1119">
        <f>SUM(P850:P860)</f>
        <v>1304972075</v>
      </c>
      <c r="R850" s="1171">
        <v>40758</v>
      </c>
      <c r="S850" s="1089">
        <f>T850</f>
        <v>537864037</v>
      </c>
      <c r="T850" s="1089">
        <v>537864037</v>
      </c>
      <c r="U850" s="1089">
        <f>O850-T850</f>
        <v>0</v>
      </c>
      <c r="V850" s="1062">
        <v>537864037</v>
      </c>
      <c r="W850" s="1119">
        <f>V850+V853+V856+V859</f>
        <v>1304972075</v>
      </c>
      <c r="X850" s="1076" t="s">
        <v>1330</v>
      </c>
      <c r="Y850" s="392" t="s">
        <v>1359</v>
      </c>
      <c r="Z850" s="386">
        <v>0</v>
      </c>
      <c r="AA850" s="386">
        <v>268932018.5</v>
      </c>
      <c r="AB850" s="386">
        <f t="shared" si="53"/>
        <v>268932018.5</v>
      </c>
      <c r="AC850" s="384">
        <v>41620</v>
      </c>
      <c r="AD850" s="395">
        <v>268932018.5</v>
      </c>
      <c r="AE850" s="395" t="s">
        <v>152</v>
      </c>
      <c r="AF850" s="1084">
        <f>SUM(AD850:AD852)</f>
        <v>537864037</v>
      </c>
      <c r="AG850" s="1084">
        <f>AF850+AF853+AF859</f>
        <v>1174348671.05</v>
      </c>
      <c r="AH850" s="395">
        <f t="shared" ref="AH850:AH913" si="54">AB850-AD850</f>
        <v>0</v>
      </c>
      <c r="AI850" s="1043">
        <f>O850-SUM(AD850:AD852)</f>
        <v>0</v>
      </c>
      <c r="AJ850" s="1119">
        <f>SUM(Z850:Z860)-SUM(AD850:AD860)-8</f>
        <v>130618146.49000001</v>
      </c>
      <c r="AK850" s="1062">
        <f>P850-V850</f>
        <v>0</v>
      </c>
      <c r="AL850" s="1062">
        <f>V850-SUM(Z850:Z852)</f>
        <v>0</v>
      </c>
      <c r="AM850" s="1062">
        <f>AK850+AL850</f>
        <v>0</v>
      </c>
      <c r="AN850" s="1203" t="s">
        <v>1363</v>
      </c>
      <c r="AO850" s="1203" t="s">
        <v>1364</v>
      </c>
      <c r="AP850" s="1103" t="s">
        <v>195</v>
      </c>
      <c r="AQ850" s="1103" t="s">
        <v>1097</v>
      </c>
    </row>
    <row r="851" spans="1:43" s="4" customFormat="1" ht="78.75">
      <c r="A851" s="1076"/>
      <c r="B851" s="1171"/>
      <c r="C851" s="1076"/>
      <c r="D851" s="1076"/>
      <c r="E851" s="1208"/>
      <c r="F851" s="1208"/>
      <c r="G851" s="1076"/>
      <c r="H851" s="1076"/>
      <c r="I851" s="1076"/>
      <c r="J851" s="1076"/>
      <c r="K851" s="1076"/>
      <c r="L851" s="1076"/>
      <c r="M851" s="1245"/>
      <c r="N851" s="1353"/>
      <c r="O851" s="1119"/>
      <c r="P851" s="1119"/>
      <c r="Q851" s="1119"/>
      <c r="R851" s="1171"/>
      <c r="S851" s="1090"/>
      <c r="T851" s="1090"/>
      <c r="U851" s="1090"/>
      <c r="V851" s="1063"/>
      <c r="W851" s="1119"/>
      <c r="X851" s="1076"/>
      <c r="Y851" s="392" t="s">
        <v>1360</v>
      </c>
      <c r="Z851" s="386">
        <v>430273593.27999997</v>
      </c>
      <c r="AA851" s="386">
        <v>-215136796.63999999</v>
      </c>
      <c r="AB851" s="386">
        <f t="shared" si="53"/>
        <v>215136796.63999999</v>
      </c>
      <c r="AC851" s="384">
        <v>41864</v>
      </c>
      <c r="AD851" s="395">
        <v>215136796.63999999</v>
      </c>
      <c r="AE851" s="395" t="s">
        <v>152</v>
      </c>
      <c r="AF851" s="1084"/>
      <c r="AG851" s="1084"/>
      <c r="AH851" s="395">
        <f t="shared" si="54"/>
        <v>0</v>
      </c>
      <c r="AI851" s="1044"/>
      <c r="AJ851" s="1119"/>
      <c r="AK851" s="1063"/>
      <c r="AL851" s="1063"/>
      <c r="AM851" s="1063"/>
      <c r="AN851" s="1203"/>
      <c r="AO851" s="1203"/>
      <c r="AP851" s="1104"/>
      <c r="AQ851" s="1104"/>
    </row>
    <row r="852" spans="1:43" s="4" customFormat="1" ht="94.5">
      <c r="A852" s="1076"/>
      <c r="B852" s="1171"/>
      <c r="C852" s="1076"/>
      <c r="D852" s="1076"/>
      <c r="E852" s="1208"/>
      <c r="F852" s="1208"/>
      <c r="G852" s="1076"/>
      <c r="H852" s="1076"/>
      <c r="I852" s="1076"/>
      <c r="J852" s="1076"/>
      <c r="K852" s="1076"/>
      <c r="L852" s="1076"/>
      <c r="M852" s="1245"/>
      <c r="N852" s="1353"/>
      <c r="O852" s="1119"/>
      <c r="P852" s="1119"/>
      <c r="Q852" s="1119"/>
      <c r="R852" s="1171"/>
      <c r="S852" s="1091"/>
      <c r="T852" s="1091"/>
      <c r="U852" s="1091"/>
      <c r="V852" s="1064"/>
      <c r="W852" s="1119"/>
      <c r="X852" s="1076"/>
      <c r="Y852" s="392" t="s">
        <v>1361</v>
      </c>
      <c r="Z852" s="386">
        <v>107590443.72000003</v>
      </c>
      <c r="AA852" s="386">
        <v>-53795221.859999999</v>
      </c>
      <c r="AB852" s="386">
        <f t="shared" si="53"/>
        <v>53795221.860000029</v>
      </c>
      <c r="AC852" s="384">
        <v>42257</v>
      </c>
      <c r="AD852" s="395">
        <v>53795221.859999999</v>
      </c>
      <c r="AE852" s="395" t="s">
        <v>152</v>
      </c>
      <c r="AF852" s="1084"/>
      <c r="AG852" s="1084"/>
      <c r="AH852" s="395">
        <f t="shared" si="54"/>
        <v>0</v>
      </c>
      <c r="AI852" s="1045"/>
      <c r="AJ852" s="1119"/>
      <c r="AK852" s="1064"/>
      <c r="AL852" s="1064"/>
      <c r="AM852" s="1064"/>
      <c r="AN852" s="1203"/>
      <c r="AO852" s="1203"/>
      <c r="AP852" s="1104"/>
      <c r="AQ852" s="1104"/>
    </row>
    <row r="853" spans="1:43" s="4" customFormat="1" ht="25.5" customHeight="1">
      <c r="A853" s="1076"/>
      <c r="B853" s="1171"/>
      <c r="C853" s="1076"/>
      <c r="D853" s="1076"/>
      <c r="E853" s="1208"/>
      <c r="F853" s="1208"/>
      <c r="G853" s="1076"/>
      <c r="H853" s="1076"/>
      <c r="I853" s="1076"/>
      <c r="J853" s="1076"/>
      <c r="K853" s="1076"/>
      <c r="L853" s="1076"/>
      <c r="M853" s="1245">
        <v>185</v>
      </c>
      <c r="N853" s="1353" t="s">
        <v>137</v>
      </c>
      <c r="O853" s="1119">
        <v>138627571</v>
      </c>
      <c r="P853" s="1119">
        <f>SUM(O853:O858)</f>
        <v>334322997</v>
      </c>
      <c r="Q853" s="1119"/>
      <c r="R853" s="1068">
        <v>40758</v>
      </c>
      <c r="S853" s="1089">
        <f>T853+T856</f>
        <v>334322997</v>
      </c>
      <c r="T853" s="1062">
        <v>138627571</v>
      </c>
      <c r="U853" s="1062">
        <f>O853-T853</f>
        <v>0</v>
      </c>
      <c r="V853" s="1062">
        <v>138627571</v>
      </c>
      <c r="W853" s="1119"/>
      <c r="X853" s="1076"/>
      <c r="Y853" s="1103" t="s">
        <v>1359</v>
      </c>
      <c r="Z853" s="386">
        <v>0</v>
      </c>
      <c r="AA853" s="386">
        <v>69313785.5</v>
      </c>
      <c r="AB853" s="386">
        <f t="shared" si="53"/>
        <v>69313785.5</v>
      </c>
      <c r="AC853" s="1068">
        <v>41620</v>
      </c>
      <c r="AD853" s="395">
        <v>69313785.5</v>
      </c>
      <c r="AE853" s="395" t="s">
        <v>137</v>
      </c>
      <c r="AF853" s="1084">
        <f>SUM(AD853:AD858)</f>
        <v>334322989</v>
      </c>
      <c r="AG853" s="1084"/>
      <c r="AH853" s="395">
        <f t="shared" si="54"/>
        <v>0</v>
      </c>
      <c r="AI853" s="1043">
        <f>O853-AD853-AD855-AD857</f>
        <v>7.9999999981373549</v>
      </c>
      <c r="AJ853" s="1119"/>
      <c r="AK853" s="1119">
        <f>O853-V853</f>
        <v>0</v>
      </c>
      <c r="AL853" s="1062">
        <v>8</v>
      </c>
      <c r="AM853" s="1062">
        <f>AK853+AL853</f>
        <v>8</v>
      </c>
      <c r="AN853" s="1203"/>
      <c r="AO853" s="1203"/>
      <c r="AP853" s="1104"/>
      <c r="AQ853" s="1104"/>
    </row>
    <row r="854" spans="1:43" s="4" customFormat="1" ht="25.5" customHeight="1">
      <c r="A854" s="1076"/>
      <c r="B854" s="1171"/>
      <c r="C854" s="1076"/>
      <c r="D854" s="1076"/>
      <c r="E854" s="1208"/>
      <c r="F854" s="1208"/>
      <c r="G854" s="1076"/>
      <c r="H854" s="1076"/>
      <c r="I854" s="1076"/>
      <c r="J854" s="1076"/>
      <c r="K854" s="1076"/>
      <c r="L854" s="1076"/>
      <c r="M854" s="1245"/>
      <c r="N854" s="1353"/>
      <c r="O854" s="1119"/>
      <c r="P854" s="1119"/>
      <c r="Q854" s="1119"/>
      <c r="R854" s="1069"/>
      <c r="S854" s="1090"/>
      <c r="T854" s="1063"/>
      <c r="U854" s="1063"/>
      <c r="V854" s="1063"/>
      <c r="W854" s="1119"/>
      <c r="X854" s="1076"/>
      <c r="Y854" s="1105"/>
      <c r="Z854" s="386">
        <v>0</v>
      </c>
      <c r="AA854" s="386">
        <v>97847713</v>
      </c>
      <c r="AB854" s="386">
        <f t="shared" si="53"/>
        <v>97847713</v>
      </c>
      <c r="AC854" s="1070"/>
      <c r="AD854" s="395">
        <v>97847713</v>
      </c>
      <c r="AE854" s="395" t="s">
        <v>7</v>
      </c>
      <c r="AF854" s="1084"/>
      <c r="AG854" s="1084"/>
      <c r="AH854" s="395">
        <f t="shared" si="54"/>
        <v>0</v>
      </c>
      <c r="AI854" s="1044"/>
      <c r="AJ854" s="1119"/>
      <c r="AK854" s="1119"/>
      <c r="AL854" s="1063"/>
      <c r="AM854" s="1063"/>
      <c r="AN854" s="1203"/>
      <c r="AO854" s="1203"/>
      <c r="AP854" s="1104"/>
      <c r="AQ854" s="1104"/>
    </row>
    <row r="855" spans="1:43" s="4" customFormat="1" ht="25.5" customHeight="1">
      <c r="A855" s="1076"/>
      <c r="B855" s="1171"/>
      <c r="C855" s="1076"/>
      <c r="D855" s="1076"/>
      <c r="E855" s="1208"/>
      <c r="F855" s="1208"/>
      <c r="G855" s="1076"/>
      <c r="H855" s="1076"/>
      <c r="I855" s="1076"/>
      <c r="J855" s="1076"/>
      <c r="K855" s="1076"/>
      <c r="L855" s="1076"/>
      <c r="M855" s="1245"/>
      <c r="N855" s="1353"/>
      <c r="O855" s="1119"/>
      <c r="P855" s="1119"/>
      <c r="Q855" s="1119"/>
      <c r="R855" s="1069"/>
      <c r="S855" s="1090"/>
      <c r="T855" s="1064"/>
      <c r="U855" s="1064"/>
      <c r="V855" s="1064"/>
      <c r="W855" s="1119"/>
      <c r="X855" s="1076"/>
      <c r="Y855" s="1103" t="s">
        <v>1360</v>
      </c>
      <c r="Z855" s="386">
        <v>110897511.26000001</v>
      </c>
      <c r="AA855" s="386">
        <v>-55448755.630000003</v>
      </c>
      <c r="AB855" s="386">
        <f t="shared" si="53"/>
        <v>55448755.630000003</v>
      </c>
      <c r="AC855" s="1068">
        <v>41864</v>
      </c>
      <c r="AD855" s="395">
        <v>55448757.630000003</v>
      </c>
      <c r="AE855" s="395" t="s">
        <v>137</v>
      </c>
      <c r="AF855" s="1084"/>
      <c r="AG855" s="1084"/>
      <c r="AH855" s="395">
        <f t="shared" si="54"/>
        <v>-2</v>
      </c>
      <c r="AI855" s="1045"/>
      <c r="AJ855" s="1119"/>
      <c r="AK855" s="1119"/>
      <c r="AL855" s="1064"/>
      <c r="AM855" s="1064"/>
      <c r="AN855" s="1203"/>
      <c r="AO855" s="1203"/>
      <c r="AP855" s="1104"/>
      <c r="AQ855" s="1104"/>
    </row>
    <row r="856" spans="1:43" s="4" customFormat="1" ht="25.5" customHeight="1">
      <c r="A856" s="1076"/>
      <c r="B856" s="1171"/>
      <c r="C856" s="1076"/>
      <c r="D856" s="1076"/>
      <c r="E856" s="1208"/>
      <c r="F856" s="1208"/>
      <c r="G856" s="1076"/>
      <c r="H856" s="1076"/>
      <c r="I856" s="1076"/>
      <c r="J856" s="1076"/>
      <c r="K856" s="1076"/>
      <c r="L856" s="1076"/>
      <c r="M856" s="1245"/>
      <c r="N856" s="1122" t="s">
        <v>7</v>
      </c>
      <c r="O856" s="1119">
        <v>195695426</v>
      </c>
      <c r="P856" s="1119"/>
      <c r="Q856" s="1119"/>
      <c r="R856" s="1069"/>
      <c r="S856" s="1090"/>
      <c r="T856" s="1062">
        <v>195695426</v>
      </c>
      <c r="U856" s="1062">
        <f>O856-T856</f>
        <v>0</v>
      </c>
      <c r="V856" s="1062">
        <v>195695426</v>
      </c>
      <c r="W856" s="1119"/>
      <c r="X856" s="1076"/>
      <c r="Y856" s="1105"/>
      <c r="Z856" s="386">
        <v>156549924.03999999</v>
      </c>
      <c r="AA856" s="386">
        <v>-78274962.019999996</v>
      </c>
      <c r="AB856" s="386">
        <f t="shared" si="53"/>
        <v>78274962.019999996</v>
      </c>
      <c r="AC856" s="1070"/>
      <c r="AD856" s="395">
        <v>78274962.019999996</v>
      </c>
      <c r="AE856" s="395" t="s">
        <v>7</v>
      </c>
      <c r="AF856" s="1084"/>
      <c r="AG856" s="1084"/>
      <c r="AH856" s="395">
        <f t="shared" si="54"/>
        <v>0</v>
      </c>
      <c r="AI856" s="1043">
        <f>O856-AD854-AD856-AD858</f>
        <v>0</v>
      </c>
      <c r="AJ856" s="1119"/>
      <c r="AK856" s="1119">
        <f>O856-V856</f>
        <v>0</v>
      </c>
      <c r="AL856" s="1062">
        <f>V856-Z854-Z856-Z858</f>
        <v>0</v>
      </c>
      <c r="AM856" s="1062">
        <f>AK856+AL856</f>
        <v>0</v>
      </c>
      <c r="AN856" s="1203"/>
      <c r="AO856" s="1203"/>
      <c r="AP856" s="1104"/>
      <c r="AQ856" s="1104"/>
    </row>
    <row r="857" spans="1:43" s="4" customFormat="1" ht="24" customHeight="1">
      <c r="A857" s="1076"/>
      <c r="B857" s="1171"/>
      <c r="C857" s="1076"/>
      <c r="D857" s="1076"/>
      <c r="E857" s="1208"/>
      <c r="F857" s="1208"/>
      <c r="G857" s="1076"/>
      <c r="H857" s="1076"/>
      <c r="I857" s="1076"/>
      <c r="J857" s="1076"/>
      <c r="K857" s="1076"/>
      <c r="L857" s="1076"/>
      <c r="M857" s="1245"/>
      <c r="N857" s="1122"/>
      <c r="O857" s="1119"/>
      <c r="P857" s="1119"/>
      <c r="Q857" s="1119"/>
      <c r="R857" s="1069"/>
      <c r="S857" s="1090"/>
      <c r="T857" s="1063"/>
      <c r="U857" s="1063"/>
      <c r="V857" s="1063"/>
      <c r="W857" s="1119"/>
      <c r="X857" s="1076"/>
      <c r="Y857" s="1103" t="s">
        <v>1361</v>
      </c>
      <c r="Z857" s="386">
        <v>27730059.739999995</v>
      </c>
      <c r="AA857" s="386">
        <v>-13865029.869999999</v>
      </c>
      <c r="AB857" s="386">
        <f t="shared" si="53"/>
        <v>13865029.869999995</v>
      </c>
      <c r="AC857" s="1068">
        <v>42257</v>
      </c>
      <c r="AD857" s="395">
        <v>13865019.869999999</v>
      </c>
      <c r="AE857" s="395" t="s">
        <v>137</v>
      </c>
      <c r="AF857" s="1084"/>
      <c r="AG857" s="1084"/>
      <c r="AH857" s="395">
        <f t="shared" si="54"/>
        <v>9.9999999962747097</v>
      </c>
      <c r="AI857" s="1044"/>
      <c r="AJ857" s="1119"/>
      <c r="AK857" s="1119"/>
      <c r="AL857" s="1063"/>
      <c r="AM857" s="1063"/>
      <c r="AN857" s="1203"/>
      <c r="AO857" s="1203"/>
      <c r="AP857" s="1104"/>
      <c r="AQ857" s="1104"/>
    </row>
    <row r="858" spans="1:43" s="4" customFormat="1" ht="29.25" customHeight="1">
      <c r="A858" s="1076"/>
      <c r="B858" s="1171"/>
      <c r="C858" s="1076"/>
      <c r="D858" s="1076"/>
      <c r="E858" s="1208"/>
      <c r="F858" s="1208"/>
      <c r="G858" s="1076"/>
      <c r="H858" s="1076"/>
      <c r="I858" s="1076"/>
      <c r="J858" s="1076"/>
      <c r="K858" s="1076"/>
      <c r="L858" s="1076"/>
      <c r="M858" s="1245"/>
      <c r="N858" s="1122"/>
      <c r="O858" s="1119"/>
      <c r="P858" s="1119"/>
      <c r="Q858" s="1119"/>
      <c r="R858" s="1070"/>
      <c r="S858" s="1091"/>
      <c r="T858" s="1064"/>
      <c r="U858" s="1064"/>
      <c r="V858" s="1064"/>
      <c r="W858" s="1119"/>
      <c r="X858" s="1076"/>
      <c r="Y858" s="1105"/>
      <c r="Z858" s="386">
        <v>39145501.960000008</v>
      </c>
      <c r="AA858" s="386">
        <v>-19572750.98</v>
      </c>
      <c r="AB858" s="386">
        <f t="shared" si="53"/>
        <v>19572750.980000008</v>
      </c>
      <c r="AC858" s="1070"/>
      <c r="AD858" s="395">
        <v>19572750.98</v>
      </c>
      <c r="AE858" s="395" t="s">
        <v>7</v>
      </c>
      <c r="AF858" s="1084"/>
      <c r="AG858" s="1084"/>
      <c r="AH858" s="395">
        <f t="shared" si="54"/>
        <v>0</v>
      </c>
      <c r="AI858" s="1045"/>
      <c r="AJ858" s="1119"/>
      <c r="AK858" s="1119"/>
      <c r="AL858" s="1064"/>
      <c r="AM858" s="1064"/>
      <c r="AN858" s="1203"/>
      <c r="AO858" s="1203"/>
      <c r="AP858" s="1104"/>
      <c r="AQ858" s="1104"/>
    </row>
    <row r="859" spans="1:43" s="4" customFormat="1" ht="78.75">
      <c r="A859" s="1076"/>
      <c r="B859" s="1171"/>
      <c r="C859" s="1076"/>
      <c r="D859" s="1076"/>
      <c r="E859" s="1208"/>
      <c r="F859" s="1208"/>
      <c r="G859" s="1076"/>
      <c r="H859" s="1076"/>
      <c r="I859" s="1076"/>
      <c r="J859" s="1076" t="s">
        <v>67</v>
      </c>
      <c r="K859" s="1076"/>
      <c r="L859" s="1076"/>
      <c r="M859" s="1245">
        <v>12</v>
      </c>
      <c r="N859" s="1122" t="s">
        <v>152</v>
      </c>
      <c r="O859" s="1119">
        <v>432785041</v>
      </c>
      <c r="P859" s="1119">
        <f>O859</f>
        <v>432785041</v>
      </c>
      <c r="Q859" s="1119"/>
      <c r="R859" s="1068">
        <v>42003</v>
      </c>
      <c r="S859" s="1089">
        <f>T859</f>
        <v>432785041</v>
      </c>
      <c r="T859" s="1062">
        <v>432785041</v>
      </c>
      <c r="U859" s="1062">
        <f>O859-T859</f>
        <v>0</v>
      </c>
      <c r="V859" s="1119">
        <f>O859</f>
        <v>432785041</v>
      </c>
      <c r="W859" s="1119"/>
      <c r="X859" s="1076"/>
      <c r="Y859" s="372" t="s">
        <v>1362</v>
      </c>
      <c r="Z859" s="386">
        <v>302161645.05000001</v>
      </c>
      <c r="AA859" s="386">
        <v>0</v>
      </c>
      <c r="AB859" s="386">
        <f t="shared" si="53"/>
        <v>302161645.05000001</v>
      </c>
      <c r="AC859" s="384">
        <v>42257</v>
      </c>
      <c r="AD859" s="395">
        <v>302161645.05000001</v>
      </c>
      <c r="AE859" s="395"/>
      <c r="AF859" s="1084">
        <f>SUM(AD859:AD860)</f>
        <v>302161645.05000001</v>
      </c>
      <c r="AG859" s="1084"/>
      <c r="AH859" s="395">
        <f t="shared" si="54"/>
        <v>0</v>
      </c>
      <c r="AI859" s="1043">
        <f>O859-SUM(AD859:AD860)</f>
        <v>130623395.94999999</v>
      </c>
      <c r="AJ859" s="1119"/>
      <c r="AK859" s="1119">
        <f>P859-V859</f>
        <v>0</v>
      </c>
      <c r="AL859" s="1062">
        <f>V859-SUM(Z859:Z860)</f>
        <v>5249.4599999785423</v>
      </c>
      <c r="AM859" s="1062">
        <f>AK859+AL859</f>
        <v>5249.4599999785423</v>
      </c>
      <c r="AN859" s="1203"/>
      <c r="AO859" s="1203"/>
      <c r="AP859" s="1104"/>
      <c r="AQ859" s="1104"/>
    </row>
    <row r="860" spans="1:43" s="4" customFormat="1">
      <c r="A860" s="1076"/>
      <c r="B860" s="1171"/>
      <c r="C860" s="1076"/>
      <c r="D860" s="1076"/>
      <c r="E860" s="1208"/>
      <c r="F860" s="1208"/>
      <c r="G860" s="1076"/>
      <c r="H860" s="1076"/>
      <c r="I860" s="1076"/>
      <c r="J860" s="1076"/>
      <c r="K860" s="1076"/>
      <c r="L860" s="1076"/>
      <c r="M860" s="1245"/>
      <c r="N860" s="1122"/>
      <c r="O860" s="1119"/>
      <c r="P860" s="1119"/>
      <c r="Q860" s="1119"/>
      <c r="R860" s="1070"/>
      <c r="S860" s="1091"/>
      <c r="T860" s="1064"/>
      <c r="U860" s="1064"/>
      <c r="V860" s="1119"/>
      <c r="W860" s="1119"/>
      <c r="X860" s="1076"/>
      <c r="Y860" s="372"/>
      <c r="Z860" s="386">
        <v>130618146.48999999</v>
      </c>
      <c r="AA860" s="386">
        <v>0</v>
      </c>
      <c r="AB860" s="386">
        <f t="shared" si="53"/>
        <v>130618146.48999999</v>
      </c>
      <c r="AC860" s="384"/>
      <c r="AD860" s="395">
        <v>0</v>
      </c>
      <c r="AE860" s="395"/>
      <c r="AF860" s="1084"/>
      <c r="AG860" s="1084"/>
      <c r="AH860" s="395">
        <f t="shared" si="54"/>
        <v>130618146.48999999</v>
      </c>
      <c r="AI860" s="1045"/>
      <c r="AJ860" s="1119"/>
      <c r="AK860" s="1119"/>
      <c r="AL860" s="1064"/>
      <c r="AM860" s="1064"/>
      <c r="AN860" s="1203"/>
      <c r="AO860" s="1203"/>
      <c r="AP860" s="1105"/>
      <c r="AQ860" s="1105"/>
    </row>
    <row r="861" spans="1:43" ht="47.25" customHeight="1">
      <c r="A861" s="1076" t="s">
        <v>1328</v>
      </c>
      <c r="B861" s="1171">
        <v>40903</v>
      </c>
      <c r="C861" s="1076" t="s">
        <v>21</v>
      </c>
      <c r="D861" s="1076" t="s">
        <v>1110</v>
      </c>
      <c r="E861" s="1208">
        <v>72222176</v>
      </c>
      <c r="F861" s="1208">
        <v>2</v>
      </c>
      <c r="G861" s="1076" t="s">
        <v>1329</v>
      </c>
      <c r="H861" s="1076" t="s">
        <v>71</v>
      </c>
      <c r="I861" s="1076" t="s">
        <v>1221</v>
      </c>
      <c r="J861" s="1076" t="s">
        <v>66</v>
      </c>
      <c r="K861" s="1076" t="s">
        <v>49</v>
      </c>
      <c r="L861" s="1076" t="s">
        <v>1349</v>
      </c>
      <c r="M861" s="1245">
        <v>1</v>
      </c>
      <c r="N861" s="1353" t="s">
        <v>144</v>
      </c>
      <c r="O861" s="1119">
        <v>316836415</v>
      </c>
      <c r="P861" s="1119">
        <v>316836415</v>
      </c>
      <c r="Q861" s="1119">
        <f>P861+P866</f>
        <v>1184936003</v>
      </c>
      <c r="R861" s="1171">
        <v>40899</v>
      </c>
      <c r="S861" s="1196">
        <f>T861</f>
        <v>316836415</v>
      </c>
      <c r="T861" s="1196">
        <v>316836415</v>
      </c>
      <c r="U861" s="1196">
        <f>O861-T861</f>
        <v>0</v>
      </c>
      <c r="V861" s="1119">
        <v>314935172</v>
      </c>
      <c r="W861" s="1119">
        <v>1177825549</v>
      </c>
      <c r="X861" s="1076" t="s">
        <v>1330</v>
      </c>
      <c r="Y861" s="372" t="s">
        <v>1331</v>
      </c>
      <c r="Z861" s="386">
        <v>55538100</v>
      </c>
      <c r="AA861" s="386">
        <v>0</v>
      </c>
      <c r="AB861" s="386">
        <f t="shared" si="53"/>
        <v>55538100</v>
      </c>
      <c r="AC861" s="384">
        <v>41569</v>
      </c>
      <c r="AD861" s="395">
        <v>55538100</v>
      </c>
      <c r="AE861" s="395" t="s">
        <v>144</v>
      </c>
      <c r="AF861" s="1084">
        <f>SUM(AD861:AD865)</f>
        <v>283446935.15999997</v>
      </c>
      <c r="AG861" s="1084">
        <f>AF861+AF866</f>
        <v>1060062738.9999999</v>
      </c>
      <c r="AH861" s="358">
        <f t="shared" si="54"/>
        <v>0</v>
      </c>
      <c r="AI861" s="1084">
        <f>O861-SUM(AD861:AD865)</f>
        <v>33389479.840000033</v>
      </c>
      <c r="AJ861" s="1119">
        <f>SUM(Z861:Z865)-SUM(AD861:AD865)</f>
        <v>0</v>
      </c>
      <c r="AK861" s="1119">
        <f>P861-V861</f>
        <v>1901243</v>
      </c>
      <c r="AL861" s="1119">
        <f>V861-SUM(Z861:Z865)</f>
        <v>31488236.840000033</v>
      </c>
      <c r="AM861" s="1119"/>
      <c r="AN861" s="1203" t="s">
        <v>1336</v>
      </c>
      <c r="AO861" s="1204" t="s">
        <v>1350</v>
      </c>
      <c r="AP861" s="1204" t="s">
        <v>194</v>
      </c>
      <c r="AQ861" s="1204" t="s">
        <v>1097</v>
      </c>
    </row>
    <row r="862" spans="1:43" ht="78.75">
      <c r="A862" s="1076"/>
      <c r="B862" s="1171"/>
      <c r="C862" s="1076"/>
      <c r="D862" s="1076"/>
      <c r="E862" s="1208"/>
      <c r="F862" s="1208"/>
      <c r="G862" s="1076"/>
      <c r="H862" s="1076"/>
      <c r="I862" s="1076"/>
      <c r="J862" s="1076"/>
      <c r="K862" s="1076"/>
      <c r="L862" s="1076"/>
      <c r="M862" s="1245"/>
      <c r="N862" s="1353"/>
      <c r="O862" s="1119"/>
      <c r="P862" s="1119"/>
      <c r="Q862" s="1119"/>
      <c r="R862" s="1171"/>
      <c r="S862" s="1196"/>
      <c r="T862" s="1196"/>
      <c r="U862" s="1196"/>
      <c r="V862" s="1119"/>
      <c r="W862" s="1119"/>
      <c r="X862" s="1076"/>
      <c r="Y862" s="372" t="s">
        <v>1332</v>
      </c>
      <c r="Z862" s="386">
        <v>72167924.849999994</v>
      </c>
      <c r="AA862" s="386">
        <v>0</v>
      </c>
      <c r="AB862" s="386">
        <f t="shared" si="53"/>
        <v>72167924.849999994</v>
      </c>
      <c r="AC862" s="384">
        <v>41985</v>
      </c>
      <c r="AD862" s="395">
        <v>72167924.849999994</v>
      </c>
      <c r="AE862" s="395" t="s">
        <v>144</v>
      </c>
      <c r="AF862" s="1084"/>
      <c r="AG862" s="1084"/>
      <c r="AH862" s="358">
        <f t="shared" si="54"/>
        <v>0</v>
      </c>
      <c r="AI862" s="1084"/>
      <c r="AJ862" s="1119"/>
      <c r="AK862" s="1119"/>
      <c r="AL862" s="1119"/>
      <c r="AM862" s="1119"/>
      <c r="AN862" s="1203"/>
      <c r="AO862" s="1204"/>
      <c r="AP862" s="1204"/>
      <c r="AQ862" s="1204"/>
    </row>
    <row r="863" spans="1:43" ht="78.75">
      <c r="A863" s="1076"/>
      <c r="B863" s="1171"/>
      <c r="C863" s="1076"/>
      <c r="D863" s="1076"/>
      <c r="E863" s="1208"/>
      <c r="F863" s="1208"/>
      <c r="G863" s="1076"/>
      <c r="H863" s="1076"/>
      <c r="I863" s="1076"/>
      <c r="J863" s="1076"/>
      <c r="K863" s="1076"/>
      <c r="L863" s="1076"/>
      <c r="M863" s="1245"/>
      <c r="N863" s="1353"/>
      <c r="O863" s="1119"/>
      <c r="P863" s="1119"/>
      <c r="Q863" s="1119"/>
      <c r="R863" s="1171"/>
      <c r="S863" s="1196"/>
      <c r="T863" s="1196"/>
      <c r="U863" s="1196"/>
      <c r="V863" s="1119"/>
      <c r="W863" s="1119"/>
      <c r="X863" s="1076"/>
      <c r="Y863" s="372" t="s">
        <v>1334</v>
      </c>
      <c r="Z863" s="386">
        <v>54794274.560000002</v>
      </c>
      <c r="AA863" s="386">
        <v>0</v>
      </c>
      <c r="AB863" s="386">
        <f t="shared" si="53"/>
        <v>54794274.560000002</v>
      </c>
      <c r="AC863" s="384">
        <v>41985</v>
      </c>
      <c r="AD863" s="395">
        <v>54794274.560000002</v>
      </c>
      <c r="AE863" s="395" t="s">
        <v>144</v>
      </c>
      <c r="AF863" s="1084"/>
      <c r="AG863" s="1084"/>
      <c r="AH863" s="358">
        <f t="shared" si="54"/>
        <v>0</v>
      </c>
      <c r="AI863" s="1084"/>
      <c r="AJ863" s="1119"/>
      <c r="AK863" s="1119"/>
      <c r="AL863" s="1119"/>
      <c r="AM863" s="1119"/>
      <c r="AN863" s="1203"/>
      <c r="AO863" s="1204"/>
      <c r="AP863" s="1204"/>
      <c r="AQ863" s="1204"/>
    </row>
    <row r="864" spans="1:43" ht="78.75">
      <c r="A864" s="1076"/>
      <c r="B864" s="1171"/>
      <c r="C864" s="1076"/>
      <c r="D864" s="1076"/>
      <c r="E864" s="1208"/>
      <c r="F864" s="1208"/>
      <c r="G864" s="1076"/>
      <c r="H864" s="1076"/>
      <c r="I864" s="1076"/>
      <c r="J864" s="1076"/>
      <c r="K864" s="1076"/>
      <c r="L864" s="1076"/>
      <c r="M864" s="1245"/>
      <c r="N864" s="1353"/>
      <c r="O864" s="1119"/>
      <c r="P864" s="1119"/>
      <c r="Q864" s="1119"/>
      <c r="R864" s="1171"/>
      <c r="S864" s="1196"/>
      <c r="T864" s="1196"/>
      <c r="U864" s="1196"/>
      <c r="V864" s="1119"/>
      <c r="W864" s="1119"/>
      <c r="X864" s="1076"/>
      <c r="Y864" s="372" t="s">
        <v>1335</v>
      </c>
      <c r="Z864" s="386">
        <v>100946635.75</v>
      </c>
      <c r="AA864" s="386">
        <v>0</v>
      </c>
      <c r="AB864" s="386">
        <f t="shared" si="53"/>
        <v>100946635.75</v>
      </c>
      <c r="AC864" s="384">
        <v>42164</v>
      </c>
      <c r="AD864" s="395">
        <v>100946635.75</v>
      </c>
      <c r="AE864" s="395" t="s">
        <v>144</v>
      </c>
      <c r="AF864" s="1084"/>
      <c r="AG864" s="1084"/>
      <c r="AH864" s="358">
        <f t="shared" si="54"/>
        <v>0</v>
      </c>
      <c r="AI864" s="1084"/>
      <c r="AJ864" s="1119"/>
      <c r="AK864" s="1119"/>
      <c r="AL864" s="1119"/>
      <c r="AM864" s="1119"/>
      <c r="AN864" s="1203"/>
      <c r="AO864" s="1204"/>
      <c r="AP864" s="1204"/>
      <c r="AQ864" s="1204"/>
    </row>
    <row r="865" spans="1:43">
      <c r="A865" s="1076"/>
      <c r="B865" s="1171"/>
      <c r="C865" s="1076"/>
      <c r="D865" s="1076"/>
      <c r="E865" s="1208"/>
      <c r="F865" s="1208"/>
      <c r="G865" s="1076"/>
      <c r="H865" s="1076"/>
      <c r="I865" s="1076"/>
      <c r="J865" s="1076"/>
      <c r="K865" s="1076"/>
      <c r="L865" s="1076"/>
      <c r="M865" s="1245"/>
      <c r="N865" s="1353"/>
      <c r="O865" s="1119"/>
      <c r="P865" s="1119"/>
      <c r="Q865" s="1119"/>
      <c r="R865" s="1171"/>
      <c r="S865" s="1196"/>
      <c r="T865" s="1196"/>
      <c r="U865" s="1196"/>
      <c r="V865" s="1119"/>
      <c r="W865" s="1119"/>
      <c r="X865" s="1076"/>
      <c r="Y865" s="372"/>
      <c r="Z865" s="386"/>
      <c r="AA865" s="386"/>
      <c r="AB865" s="386"/>
      <c r="AC865" s="384"/>
      <c r="AD865" s="395"/>
      <c r="AE865" s="395"/>
      <c r="AF865" s="1084"/>
      <c r="AG865" s="1084"/>
      <c r="AH865" s="358">
        <f t="shared" si="54"/>
        <v>0</v>
      </c>
      <c r="AI865" s="1084"/>
      <c r="AJ865" s="1119"/>
      <c r="AK865" s="1119"/>
      <c r="AL865" s="1119"/>
      <c r="AM865" s="1119"/>
      <c r="AN865" s="1203"/>
      <c r="AO865" s="1204"/>
      <c r="AP865" s="1204"/>
      <c r="AQ865" s="1204"/>
    </row>
    <row r="866" spans="1:43" ht="78.75">
      <c r="A866" s="1076"/>
      <c r="B866" s="1171"/>
      <c r="C866" s="1076"/>
      <c r="D866" s="1076"/>
      <c r="E866" s="1208"/>
      <c r="F866" s="1208"/>
      <c r="G866" s="1076"/>
      <c r="H866" s="1076"/>
      <c r="I866" s="1076"/>
      <c r="J866" s="1076"/>
      <c r="K866" s="1076"/>
      <c r="L866" s="1076"/>
      <c r="M866" s="1245">
        <v>235</v>
      </c>
      <c r="N866" s="1353" t="s">
        <v>7</v>
      </c>
      <c r="O866" s="1119">
        <v>868099588</v>
      </c>
      <c r="P866" s="1119">
        <v>868099588</v>
      </c>
      <c r="Q866" s="1119"/>
      <c r="R866" s="1171">
        <v>40899</v>
      </c>
      <c r="S866" s="1196">
        <f>T866</f>
        <v>868099588</v>
      </c>
      <c r="T866" s="1196">
        <v>868099588</v>
      </c>
      <c r="U866" s="1196">
        <f>O866-T866</f>
        <v>0</v>
      </c>
      <c r="V866" s="1119">
        <v>862890377</v>
      </c>
      <c r="W866" s="1119"/>
      <c r="X866" s="1076"/>
      <c r="Y866" s="372" t="s">
        <v>1333</v>
      </c>
      <c r="Z866" s="386">
        <v>152168750</v>
      </c>
      <c r="AA866" s="386">
        <v>0</v>
      </c>
      <c r="AB866" s="386">
        <f>Z866+AA866</f>
        <v>152168750</v>
      </c>
      <c r="AC866" s="384">
        <v>41569</v>
      </c>
      <c r="AD866" s="395">
        <v>152168750</v>
      </c>
      <c r="AE866" s="395" t="s">
        <v>7</v>
      </c>
      <c r="AF866" s="1084">
        <f>SUM(AD866:AD870)</f>
        <v>776615803.83999991</v>
      </c>
      <c r="AG866" s="1084"/>
      <c r="AH866" s="358">
        <f t="shared" si="54"/>
        <v>0</v>
      </c>
      <c r="AI866" s="1084">
        <f>O866-SUM(AD866:AD870)</f>
        <v>91483784.160000086</v>
      </c>
      <c r="AJ866" s="1119">
        <f>SUM(Z866:Z870)-SUM(AD866:AD870)</f>
        <v>0</v>
      </c>
      <c r="AK866" s="1119">
        <f>P866-V866</f>
        <v>5209211</v>
      </c>
      <c r="AL866" s="1119">
        <f>V866-SUM(Z866:Z870)</f>
        <v>86274573.160000086</v>
      </c>
      <c r="AM866" s="1119"/>
      <c r="AN866" s="1203"/>
      <c r="AO866" s="1204"/>
      <c r="AP866" s="1204"/>
      <c r="AQ866" s="1204"/>
    </row>
    <row r="867" spans="1:43" ht="78.75">
      <c r="A867" s="1076"/>
      <c r="B867" s="1171"/>
      <c r="C867" s="1076"/>
      <c r="D867" s="1076"/>
      <c r="E867" s="1208"/>
      <c r="F867" s="1208"/>
      <c r="G867" s="1076"/>
      <c r="H867" s="1076"/>
      <c r="I867" s="1076"/>
      <c r="J867" s="1076"/>
      <c r="K867" s="1076"/>
      <c r="L867" s="1076"/>
      <c r="M867" s="1245"/>
      <c r="N867" s="1353"/>
      <c r="O867" s="1119"/>
      <c r="P867" s="1119"/>
      <c r="Q867" s="1119"/>
      <c r="R867" s="1171"/>
      <c r="S867" s="1196"/>
      <c r="T867" s="1196"/>
      <c r="U867" s="1196"/>
      <c r="V867" s="1119"/>
      <c r="W867" s="1119"/>
      <c r="X867" s="1076"/>
      <c r="Y867" s="372" t="s">
        <v>1332</v>
      </c>
      <c r="Z867" s="386">
        <v>197732782.15000001</v>
      </c>
      <c r="AA867" s="386">
        <v>0</v>
      </c>
      <c r="AB867" s="386">
        <f>Z867+AA867</f>
        <v>197732782.15000001</v>
      </c>
      <c r="AC867" s="384">
        <v>41985</v>
      </c>
      <c r="AD867" s="395">
        <v>197732782.15000001</v>
      </c>
      <c r="AE867" s="395" t="s">
        <v>7</v>
      </c>
      <c r="AF867" s="1084"/>
      <c r="AG867" s="1084"/>
      <c r="AH867" s="358">
        <f t="shared" si="54"/>
        <v>0</v>
      </c>
      <c r="AI867" s="1084"/>
      <c r="AJ867" s="1119"/>
      <c r="AK867" s="1119"/>
      <c r="AL867" s="1119"/>
      <c r="AM867" s="1119"/>
      <c r="AN867" s="1203"/>
      <c r="AO867" s="1204"/>
      <c r="AP867" s="1204"/>
      <c r="AQ867" s="1204"/>
    </row>
    <row r="868" spans="1:43" ht="78.75">
      <c r="A868" s="1076"/>
      <c r="B868" s="1171"/>
      <c r="C868" s="1076"/>
      <c r="D868" s="1076"/>
      <c r="E868" s="1208"/>
      <c r="F868" s="1208"/>
      <c r="G868" s="1076"/>
      <c r="H868" s="1076"/>
      <c r="I868" s="1076"/>
      <c r="J868" s="1076"/>
      <c r="K868" s="1076"/>
      <c r="L868" s="1076"/>
      <c r="M868" s="1245"/>
      <c r="N868" s="1353"/>
      <c r="O868" s="1119"/>
      <c r="P868" s="1119"/>
      <c r="Q868" s="1119"/>
      <c r="R868" s="1171"/>
      <c r="S868" s="1196"/>
      <c r="T868" s="1196"/>
      <c r="U868" s="1196"/>
      <c r="V868" s="1119"/>
      <c r="W868" s="1119"/>
      <c r="X868" s="1076"/>
      <c r="Y868" s="372" t="s">
        <v>1334</v>
      </c>
      <c r="Z868" s="386">
        <v>150130745.44</v>
      </c>
      <c r="AA868" s="386">
        <v>0</v>
      </c>
      <c r="AB868" s="386">
        <f>Z868+AA868</f>
        <v>150130745.44</v>
      </c>
      <c r="AC868" s="384">
        <v>41985</v>
      </c>
      <c r="AD868" s="395">
        <v>150130745.44</v>
      </c>
      <c r="AE868" s="395" t="s">
        <v>7</v>
      </c>
      <c r="AF868" s="1084"/>
      <c r="AG868" s="1084"/>
      <c r="AH868" s="358">
        <f t="shared" si="54"/>
        <v>0</v>
      </c>
      <c r="AI868" s="1084"/>
      <c r="AJ868" s="1119"/>
      <c r="AK868" s="1119"/>
      <c r="AL868" s="1119"/>
      <c r="AM868" s="1119"/>
      <c r="AN868" s="1203"/>
      <c r="AO868" s="1204"/>
      <c r="AP868" s="1204"/>
      <c r="AQ868" s="1204"/>
    </row>
    <row r="869" spans="1:43" ht="78.75">
      <c r="A869" s="1076"/>
      <c r="B869" s="1171"/>
      <c r="C869" s="1076"/>
      <c r="D869" s="1076"/>
      <c r="E869" s="1208"/>
      <c r="F869" s="1208"/>
      <c r="G869" s="1076"/>
      <c r="H869" s="1076"/>
      <c r="I869" s="1076"/>
      <c r="J869" s="1076"/>
      <c r="K869" s="1076"/>
      <c r="L869" s="1076"/>
      <c r="M869" s="1245"/>
      <c r="N869" s="1353"/>
      <c r="O869" s="1119"/>
      <c r="P869" s="1119"/>
      <c r="Q869" s="1119"/>
      <c r="R869" s="1171"/>
      <c r="S869" s="1196"/>
      <c r="T869" s="1196"/>
      <c r="U869" s="1196"/>
      <c r="V869" s="1119"/>
      <c r="W869" s="1119"/>
      <c r="X869" s="1076"/>
      <c r="Y869" s="372" t="s">
        <v>1335</v>
      </c>
      <c r="Z869" s="386">
        <v>276583526.25</v>
      </c>
      <c r="AA869" s="386">
        <v>0</v>
      </c>
      <c r="AB869" s="386">
        <f>Z869+AA869</f>
        <v>276583526.25</v>
      </c>
      <c r="AC869" s="384">
        <v>42164</v>
      </c>
      <c r="AD869" s="395">
        <v>276583526.25</v>
      </c>
      <c r="AE869" s="395" t="s">
        <v>7</v>
      </c>
      <c r="AF869" s="1084"/>
      <c r="AG869" s="1084"/>
      <c r="AH869" s="358">
        <f t="shared" si="54"/>
        <v>0</v>
      </c>
      <c r="AI869" s="1084"/>
      <c r="AJ869" s="1119"/>
      <c r="AK869" s="1119"/>
      <c r="AL869" s="1119"/>
      <c r="AM869" s="1119"/>
      <c r="AN869" s="1203"/>
      <c r="AO869" s="1204"/>
      <c r="AP869" s="1204"/>
      <c r="AQ869" s="1204"/>
    </row>
    <row r="870" spans="1:43">
      <c r="A870" s="1076"/>
      <c r="B870" s="1171"/>
      <c r="C870" s="1076"/>
      <c r="D870" s="1076"/>
      <c r="E870" s="1208"/>
      <c r="F870" s="1208"/>
      <c r="G870" s="1076"/>
      <c r="H870" s="1076"/>
      <c r="I870" s="1076"/>
      <c r="J870" s="1076"/>
      <c r="K870" s="1076"/>
      <c r="L870" s="1076"/>
      <c r="M870" s="1245"/>
      <c r="N870" s="1353"/>
      <c r="O870" s="1119"/>
      <c r="P870" s="1119"/>
      <c r="Q870" s="1119"/>
      <c r="R870" s="1171"/>
      <c r="S870" s="1196"/>
      <c r="T870" s="1196"/>
      <c r="U870" s="1196"/>
      <c r="V870" s="1119"/>
      <c r="W870" s="1119"/>
      <c r="X870" s="1076"/>
      <c r="Y870" s="372"/>
      <c r="Z870" s="386"/>
      <c r="AA870" s="386"/>
      <c r="AB870" s="386"/>
      <c r="AC870" s="384"/>
      <c r="AD870" s="395"/>
      <c r="AE870" s="395"/>
      <c r="AF870" s="1084"/>
      <c r="AG870" s="1084"/>
      <c r="AH870" s="358">
        <f t="shared" si="54"/>
        <v>0</v>
      </c>
      <c r="AI870" s="1084"/>
      <c r="AJ870" s="1119"/>
      <c r="AK870" s="1119"/>
      <c r="AL870" s="1119"/>
      <c r="AM870" s="1119"/>
      <c r="AN870" s="1203"/>
      <c r="AO870" s="1204"/>
      <c r="AP870" s="1204"/>
      <c r="AQ870" s="1204"/>
    </row>
    <row r="871" spans="1:43" ht="78.75">
      <c r="A871" s="1076" t="s">
        <v>1337</v>
      </c>
      <c r="B871" s="1171">
        <v>40903</v>
      </c>
      <c r="C871" s="1076" t="s">
        <v>13</v>
      </c>
      <c r="D871" s="1076" t="s">
        <v>1339</v>
      </c>
      <c r="E871" s="1208">
        <v>10523877</v>
      </c>
      <c r="F871" s="1208"/>
      <c r="G871" s="1076" t="s">
        <v>1338</v>
      </c>
      <c r="H871" s="1076" t="s">
        <v>70</v>
      </c>
      <c r="I871" s="1076" t="s">
        <v>206</v>
      </c>
      <c r="J871" s="1076" t="s">
        <v>66</v>
      </c>
      <c r="K871" s="1076" t="s">
        <v>183</v>
      </c>
      <c r="L871" s="1076" t="s">
        <v>1341</v>
      </c>
      <c r="M871" s="1245">
        <v>212</v>
      </c>
      <c r="N871" s="1353" t="s">
        <v>137</v>
      </c>
      <c r="O871" s="1119">
        <v>8148148</v>
      </c>
      <c r="P871" s="1119">
        <f>O871</f>
        <v>8148148</v>
      </c>
      <c r="Q871" s="1119">
        <f>P871+P874+P877</f>
        <v>18809218</v>
      </c>
      <c r="R871" s="1171">
        <v>40851</v>
      </c>
      <c r="S871" s="1196">
        <f>T871</f>
        <v>7754275</v>
      </c>
      <c r="T871" s="1196">
        <v>7754275</v>
      </c>
      <c r="U871" s="1196">
        <f>O871-T871</f>
        <v>393873</v>
      </c>
      <c r="V871" s="1119">
        <v>7754275</v>
      </c>
      <c r="W871" s="1119">
        <v>17900000</v>
      </c>
      <c r="X871" s="1076" t="s">
        <v>1340</v>
      </c>
      <c r="Y871" s="372" t="s">
        <v>1342</v>
      </c>
      <c r="Z871" s="386">
        <v>0</v>
      </c>
      <c r="AA871" s="386">
        <v>3877137.5</v>
      </c>
      <c r="AB871" s="386">
        <f t="shared" ref="AB871:AB914" si="55">Z871+AA871</f>
        <v>3877137.5</v>
      </c>
      <c r="AC871" s="384">
        <v>41003</v>
      </c>
      <c r="AD871" s="395">
        <v>3877138</v>
      </c>
      <c r="AE871" s="395" t="s">
        <v>137</v>
      </c>
      <c r="AF871" s="1084">
        <f>SUM(AD871:AD873)</f>
        <v>7754275.5</v>
      </c>
      <c r="AG871" s="1084">
        <f>AF871+AF874+AF877</f>
        <v>17900001</v>
      </c>
      <c r="AH871" s="358">
        <f t="shared" si="54"/>
        <v>-0.5</v>
      </c>
      <c r="AI871" s="1084">
        <f>T871-SUM(AD871:AD873)</f>
        <v>-0.5</v>
      </c>
      <c r="AJ871" s="1119">
        <f>SUM(Z871:Z879)-SUM(AD871:AD879)</f>
        <v>-1</v>
      </c>
      <c r="AK871" s="1119">
        <f>T871-V871</f>
        <v>0</v>
      </c>
      <c r="AL871" s="1119">
        <f>V871-SUM(Z871:Z873)</f>
        <v>0</v>
      </c>
      <c r="AM871" s="1119">
        <f>AK871+AL871</f>
        <v>0</v>
      </c>
      <c r="AN871" s="1203" t="s">
        <v>1348</v>
      </c>
      <c r="AO871" s="1204" t="s">
        <v>1345</v>
      </c>
      <c r="AP871" s="1204" t="s">
        <v>194</v>
      </c>
      <c r="AQ871" s="1204" t="s">
        <v>1097</v>
      </c>
    </row>
    <row r="872" spans="1:43" ht="47.25">
      <c r="A872" s="1076"/>
      <c r="B872" s="1171"/>
      <c r="C872" s="1076"/>
      <c r="D872" s="1076"/>
      <c r="E872" s="1208"/>
      <c r="F872" s="1208"/>
      <c r="G872" s="1076"/>
      <c r="H872" s="1076"/>
      <c r="I872" s="1076"/>
      <c r="J872" s="1076"/>
      <c r="K872" s="1076"/>
      <c r="L872" s="1076"/>
      <c r="M872" s="1245"/>
      <c r="N872" s="1353"/>
      <c r="O872" s="1119"/>
      <c r="P872" s="1119"/>
      <c r="Q872" s="1119"/>
      <c r="R872" s="1171"/>
      <c r="S872" s="1196"/>
      <c r="T872" s="1196"/>
      <c r="U872" s="1196"/>
      <c r="V872" s="1119"/>
      <c r="W872" s="1119"/>
      <c r="X872" s="1076"/>
      <c r="Y872" s="372" t="s">
        <v>1343</v>
      </c>
      <c r="Z872" s="386">
        <v>7200000</v>
      </c>
      <c r="AA872" s="386">
        <v>-3600000</v>
      </c>
      <c r="AB872" s="386">
        <f t="shared" si="55"/>
        <v>3600000</v>
      </c>
      <c r="AC872" s="384">
        <v>41263</v>
      </c>
      <c r="AD872" s="395">
        <v>3600000</v>
      </c>
      <c r="AE872" s="395" t="s">
        <v>137</v>
      </c>
      <c r="AF872" s="1084"/>
      <c r="AG872" s="1084"/>
      <c r="AH872" s="358">
        <f t="shared" si="54"/>
        <v>0</v>
      </c>
      <c r="AI872" s="1084"/>
      <c r="AJ872" s="1119"/>
      <c r="AK872" s="1119"/>
      <c r="AL872" s="1119"/>
      <c r="AM872" s="1119"/>
      <c r="AN872" s="1203"/>
      <c r="AO872" s="1204"/>
      <c r="AP872" s="1204"/>
      <c r="AQ872" s="1204"/>
    </row>
    <row r="873" spans="1:43" ht="78.75">
      <c r="A873" s="1076"/>
      <c r="B873" s="1171"/>
      <c r="C873" s="1076"/>
      <c r="D873" s="1076"/>
      <c r="E873" s="1208"/>
      <c r="F873" s="1208"/>
      <c r="G873" s="1076"/>
      <c r="H873" s="1076"/>
      <c r="I873" s="1076"/>
      <c r="J873" s="1076"/>
      <c r="K873" s="1076"/>
      <c r="L873" s="1076"/>
      <c r="M873" s="1245"/>
      <c r="N873" s="1353"/>
      <c r="O873" s="1119"/>
      <c r="P873" s="1119"/>
      <c r="Q873" s="1119"/>
      <c r="R873" s="1171"/>
      <c r="S873" s="1196"/>
      <c r="T873" s="1196"/>
      <c r="U873" s="1196"/>
      <c r="V873" s="1119"/>
      <c r="W873" s="1119"/>
      <c r="X873" s="1076"/>
      <c r="Y873" s="372" t="s">
        <v>1346</v>
      </c>
      <c r="Z873" s="386">
        <v>554275</v>
      </c>
      <c r="AA873" s="386">
        <v>-277137.5</v>
      </c>
      <c r="AB873" s="386">
        <f t="shared" si="55"/>
        <v>277137.5</v>
      </c>
      <c r="AC873" s="384">
        <v>41859</v>
      </c>
      <c r="AD873" s="395">
        <v>277137.5</v>
      </c>
      <c r="AE873" s="395" t="s">
        <v>137</v>
      </c>
      <c r="AF873" s="1084"/>
      <c r="AG873" s="1084"/>
      <c r="AH873" s="358">
        <f t="shared" si="54"/>
        <v>0</v>
      </c>
      <c r="AI873" s="1084"/>
      <c r="AJ873" s="1119"/>
      <c r="AK873" s="1119"/>
      <c r="AL873" s="1119"/>
      <c r="AM873" s="1119"/>
      <c r="AN873" s="1203"/>
      <c r="AO873" s="1204"/>
      <c r="AP873" s="1204"/>
      <c r="AQ873" s="1204"/>
    </row>
    <row r="874" spans="1:43" ht="78.75">
      <c r="A874" s="1076"/>
      <c r="B874" s="1171"/>
      <c r="C874" s="1076"/>
      <c r="D874" s="1076"/>
      <c r="E874" s="1208"/>
      <c r="F874" s="1208"/>
      <c r="G874" s="1076"/>
      <c r="H874" s="1076"/>
      <c r="I874" s="1076"/>
      <c r="J874" s="1076"/>
      <c r="K874" s="1076"/>
      <c r="L874" s="1076"/>
      <c r="M874" s="1245">
        <v>214</v>
      </c>
      <c r="N874" s="1353" t="s">
        <v>137</v>
      </c>
      <c r="O874" s="1119">
        <v>6173229</v>
      </c>
      <c r="P874" s="1119">
        <f>O874</f>
        <v>6173229</v>
      </c>
      <c r="Q874" s="1119"/>
      <c r="R874" s="1171">
        <v>40851</v>
      </c>
      <c r="S874" s="1196">
        <f>T874</f>
        <v>5874822</v>
      </c>
      <c r="T874" s="1196">
        <v>5874822</v>
      </c>
      <c r="U874" s="1196">
        <f>O874-T874</f>
        <v>298407</v>
      </c>
      <c r="V874" s="1119">
        <v>5874822</v>
      </c>
      <c r="W874" s="1119"/>
      <c r="X874" s="1076"/>
      <c r="Y874" s="372" t="s">
        <v>1342</v>
      </c>
      <c r="Z874" s="386">
        <v>0</v>
      </c>
      <c r="AA874" s="386">
        <v>2937411</v>
      </c>
      <c r="AB874" s="386">
        <f t="shared" si="55"/>
        <v>2937411</v>
      </c>
      <c r="AC874" s="384">
        <v>41003</v>
      </c>
      <c r="AD874" s="395">
        <v>2937411</v>
      </c>
      <c r="AE874" s="395" t="s">
        <v>137</v>
      </c>
      <c r="AF874" s="1084">
        <f>SUM(AD874:AD876)</f>
        <v>5874822</v>
      </c>
      <c r="AG874" s="1084"/>
      <c r="AH874" s="358">
        <f t="shared" si="54"/>
        <v>0</v>
      </c>
      <c r="AI874" s="1084">
        <f>T874-SUM(AD874:AD876)</f>
        <v>0</v>
      </c>
      <c r="AJ874" s="1119"/>
      <c r="AK874" s="1119">
        <f>T874-V874</f>
        <v>0</v>
      </c>
      <c r="AL874" s="1119">
        <f>V874-SUM(Z874:Z876)</f>
        <v>0</v>
      </c>
      <c r="AM874" s="1119">
        <f>AK874+AL874</f>
        <v>0</v>
      </c>
      <c r="AN874" s="1203"/>
      <c r="AO874" s="1204"/>
      <c r="AP874" s="1204"/>
      <c r="AQ874" s="1204"/>
    </row>
    <row r="875" spans="1:43" ht="47.25">
      <c r="A875" s="1076"/>
      <c r="B875" s="1171"/>
      <c r="C875" s="1076"/>
      <c r="D875" s="1076"/>
      <c r="E875" s="1208"/>
      <c r="F875" s="1208"/>
      <c r="G875" s="1076"/>
      <c r="H875" s="1076"/>
      <c r="I875" s="1076"/>
      <c r="J875" s="1076"/>
      <c r="K875" s="1076"/>
      <c r="L875" s="1076"/>
      <c r="M875" s="1245"/>
      <c r="N875" s="1353"/>
      <c r="O875" s="1119"/>
      <c r="P875" s="1119"/>
      <c r="Q875" s="1119"/>
      <c r="R875" s="1171"/>
      <c r="S875" s="1196"/>
      <c r="T875" s="1196"/>
      <c r="U875" s="1196"/>
      <c r="V875" s="1119"/>
      <c r="W875" s="1119"/>
      <c r="X875" s="1076"/>
      <c r="Y875" s="372" t="s">
        <v>1343</v>
      </c>
      <c r="Z875" s="386">
        <v>5400000</v>
      </c>
      <c r="AA875" s="386">
        <v>-2700000</v>
      </c>
      <c r="AB875" s="386">
        <f t="shared" si="55"/>
        <v>2700000</v>
      </c>
      <c r="AC875" s="384">
        <v>41263</v>
      </c>
      <c r="AD875" s="395">
        <v>2700000</v>
      </c>
      <c r="AE875" s="395" t="s">
        <v>137</v>
      </c>
      <c r="AF875" s="1084"/>
      <c r="AG875" s="1084"/>
      <c r="AH875" s="358">
        <f t="shared" si="54"/>
        <v>0</v>
      </c>
      <c r="AI875" s="1084"/>
      <c r="AJ875" s="1119"/>
      <c r="AK875" s="1119"/>
      <c r="AL875" s="1119"/>
      <c r="AM875" s="1119"/>
      <c r="AN875" s="1203"/>
      <c r="AO875" s="1204"/>
      <c r="AP875" s="1204"/>
      <c r="AQ875" s="1204"/>
    </row>
    <row r="876" spans="1:43" ht="78.75">
      <c r="A876" s="1076"/>
      <c r="B876" s="1171"/>
      <c r="C876" s="1076"/>
      <c r="D876" s="1076"/>
      <c r="E876" s="1208"/>
      <c r="F876" s="1208"/>
      <c r="G876" s="1076"/>
      <c r="H876" s="1076"/>
      <c r="I876" s="1076"/>
      <c r="J876" s="1076"/>
      <c r="K876" s="1076"/>
      <c r="L876" s="1076"/>
      <c r="M876" s="1245"/>
      <c r="N876" s="1353"/>
      <c r="O876" s="1119"/>
      <c r="P876" s="1119"/>
      <c r="Q876" s="1119"/>
      <c r="R876" s="1171"/>
      <c r="S876" s="1196"/>
      <c r="T876" s="1196"/>
      <c r="U876" s="1196"/>
      <c r="V876" s="1119"/>
      <c r="W876" s="1119"/>
      <c r="X876" s="1076"/>
      <c r="Y876" s="372" t="s">
        <v>1346</v>
      </c>
      <c r="Z876" s="386">
        <v>474822</v>
      </c>
      <c r="AA876" s="386">
        <v>-237411</v>
      </c>
      <c r="AB876" s="386">
        <f t="shared" si="55"/>
        <v>237411</v>
      </c>
      <c r="AC876" s="384">
        <v>41859</v>
      </c>
      <c r="AD876" s="395">
        <v>237411</v>
      </c>
      <c r="AE876" s="395" t="s">
        <v>137</v>
      </c>
      <c r="AF876" s="1084"/>
      <c r="AG876" s="1084"/>
      <c r="AH876" s="358">
        <f t="shared" si="54"/>
        <v>0</v>
      </c>
      <c r="AI876" s="1084"/>
      <c r="AJ876" s="1119"/>
      <c r="AK876" s="1119"/>
      <c r="AL876" s="1119"/>
      <c r="AM876" s="1119"/>
      <c r="AN876" s="1203"/>
      <c r="AO876" s="1204"/>
      <c r="AP876" s="1204"/>
      <c r="AQ876" s="1204"/>
    </row>
    <row r="877" spans="1:43" ht="78.75">
      <c r="A877" s="1076"/>
      <c r="B877" s="1171"/>
      <c r="C877" s="1076" t="s">
        <v>31</v>
      </c>
      <c r="D877" s="1076"/>
      <c r="E877" s="1208"/>
      <c r="F877" s="1208"/>
      <c r="G877" s="1076"/>
      <c r="H877" s="1076"/>
      <c r="I877" s="1076"/>
      <c r="J877" s="1076"/>
      <c r="K877" s="1076"/>
      <c r="L877" s="1076"/>
      <c r="M877" s="1245">
        <v>220</v>
      </c>
      <c r="N877" s="1353" t="s">
        <v>137</v>
      </c>
      <c r="O877" s="1119">
        <v>4487841</v>
      </c>
      <c r="P877" s="1119">
        <f>O877</f>
        <v>4487841</v>
      </c>
      <c r="Q877" s="1119"/>
      <c r="R877" s="1171">
        <v>40851</v>
      </c>
      <c r="S877" s="1196">
        <f>T877</f>
        <v>4270903</v>
      </c>
      <c r="T877" s="1196">
        <v>4270903</v>
      </c>
      <c r="U877" s="1196">
        <f>O877-T877</f>
        <v>216938</v>
      </c>
      <c r="V877" s="1119">
        <v>4270903</v>
      </c>
      <c r="W877" s="1119"/>
      <c r="X877" s="1076"/>
      <c r="Y877" s="372" t="s">
        <v>1342</v>
      </c>
      <c r="Z877" s="386">
        <v>0</v>
      </c>
      <c r="AA877" s="386">
        <v>2135451.5</v>
      </c>
      <c r="AB877" s="386">
        <f t="shared" si="55"/>
        <v>2135451.5</v>
      </c>
      <c r="AC877" s="384">
        <v>41003</v>
      </c>
      <c r="AD877" s="395">
        <v>2135452</v>
      </c>
      <c r="AE877" s="395" t="s">
        <v>137</v>
      </c>
      <c r="AF877" s="1084">
        <f>SUM(AD877:AD879)</f>
        <v>4270903.5</v>
      </c>
      <c r="AG877" s="1084"/>
      <c r="AH877" s="358">
        <f t="shared" si="54"/>
        <v>-0.5</v>
      </c>
      <c r="AI877" s="1084">
        <f>T877-SUM(AD877:AD879)</f>
        <v>-0.5</v>
      </c>
      <c r="AJ877" s="1119"/>
      <c r="AK877" s="1119">
        <f>T877-V877</f>
        <v>0</v>
      </c>
      <c r="AL877" s="1119">
        <f>V877-SUM(Z877:Z879)</f>
        <v>0</v>
      </c>
      <c r="AM877" s="1119">
        <f>AK877+AL877</f>
        <v>0</v>
      </c>
      <c r="AN877" s="1203"/>
      <c r="AO877" s="1204"/>
      <c r="AP877" s="1204"/>
      <c r="AQ877" s="1204"/>
    </row>
    <row r="878" spans="1:43" ht="63">
      <c r="A878" s="1076"/>
      <c r="B878" s="1171"/>
      <c r="C878" s="1076"/>
      <c r="D878" s="1076"/>
      <c r="E878" s="1208"/>
      <c r="F878" s="1208"/>
      <c r="G878" s="1076"/>
      <c r="H878" s="1076"/>
      <c r="I878" s="1076"/>
      <c r="J878" s="1076"/>
      <c r="K878" s="1076"/>
      <c r="L878" s="1076"/>
      <c r="M878" s="1245"/>
      <c r="N878" s="1353"/>
      <c r="O878" s="1119"/>
      <c r="P878" s="1119"/>
      <c r="Q878" s="1119"/>
      <c r="R878" s="1171"/>
      <c r="S878" s="1196"/>
      <c r="T878" s="1196"/>
      <c r="U878" s="1196"/>
      <c r="V878" s="1119"/>
      <c r="W878" s="1119"/>
      <c r="X878" s="1076"/>
      <c r="Y878" s="372" t="s">
        <v>1344</v>
      </c>
      <c r="Z878" s="386">
        <v>3510000</v>
      </c>
      <c r="AA878" s="386">
        <v>-1755000</v>
      </c>
      <c r="AB878" s="386">
        <f t="shared" si="55"/>
        <v>1755000</v>
      </c>
      <c r="AC878" s="384">
        <v>41263</v>
      </c>
      <c r="AD878" s="395">
        <v>1755000</v>
      </c>
      <c r="AE878" s="395" t="s">
        <v>137</v>
      </c>
      <c r="AF878" s="1084"/>
      <c r="AG878" s="1084"/>
      <c r="AH878" s="358">
        <f t="shared" si="54"/>
        <v>0</v>
      </c>
      <c r="AI878" s="1084"/>
      <c r="AJ878" s="1119"/>
      <c r="AK878" s="1119"/>
      <c r="AL878" s="1119"/>
      <c r="AM878" s="1119"/>
      <c r="AN878" s="1203"/>
      <c r="AO878" s="1204"/>
      <c r="AP878" s="1204"/>
      <c r="AQ878" s="1204"/>
    </row>
    <row r="879" spans="1:43" ht="78.75">
      <c r="A879" s="1076"/>
      <c r="B879" s="1171"/>
      <c r="C879" s="1076"/>
      <c r="D879" s="1076"/>
      <c r="E879" s="1208"/>
      <c r="F879" s="1208"/>
      <c r="G879" s="1076"/>
      <c r="H879" s="1076"/>
      <c r="I879" s="1076"/>
      <c r="J879" s="1076"/>
      <c r="K879" s="1076"/>
      <c r="L879" s="1076"/>
      <c r="M879" s="1245"/>
      <c r="N879" s="1353"/>
      <c r="O879" s="1119"/>
      <c r="P879" s="1119"/>
      <c r="Q879" s="1119"/>
      <c r="R879" s="1171"/>
      <c r="S879" s="1196"/>
      <c r="T879" s="1196"/>
      <c r="U879" s="1196"/>
      <c r="V879" s="1119"/>
      <c r="W879" s="1119"/>
      <c r="X879" s="1076"/>
      <c r="Y879" s="372" t="s">
        <v>1347</v>
      </c>
      <c r="Z879" s="386">
        <v>760903</v>
      </c>
      <c r="AA879" s="386">
        <v>-380451.5</v>
      </c>
      <c r="AB879" s="386">
        <f t="shared" si="55"/>
        <v>380451.5</v>
      </c>
      <c r="AC879" s="384">
        <v>41859</v>
      </c>
      <c r="AD879" s="395">
        <v>380451.5</v>
      </c>
      <c r="AE879" s="395" t="s">
        <v>137</v>
      </c>
      <c r="AF879" s="1084"/>
      <c r="AG879" s="1084"/>
      <c r="AH879" s="358">
        <f t="shared" si="54"/>
        <v>0</v>
      </c>
      <c r="AI879" s="1084"/>
      <c r="AJ879" s="1119"/>
      <c r="AK879" s="1119"/>
      <c r="AL879" s="1119"/>
      <c r="AM879" s="1119"/>
      <c r="AN879" s="1203"/>
      <c r="AO879" s="1204"/>
      <c r="AP879" s="1204"/>
      <c r="AQ879" s="1204"/>
    </row>
    <row r="880" spans="1:43" s="4" customFormat="1" ht="63">
      <c r="A880" s="1011" t="s">
        <v>1355</v>
      </c>
      <c r="B880" s="1068">
        <v>40903</v>
      </c>
      <c r="C880" s="1011" t="s">
        <v>22</v>
      </c>
      <c r="D880" s="1023" t="s">
        <v>1339</v>
      </c>
      <c r="E880" s="1071">
        <v>10523877</v>
      </c>
      <c r="F880" s="1071"/>
      <c r="G880" s="1023" t="s">
        <v>1365</v>
      </c>
      <c r="H880" s="1023" t="s">
        <v>70</v>
      </c>
      <c r="I880" s="1023" t="s">
        <v>1354</v>
      </c>
      <c r="J880" s="1011" t="s">
        <v>66</v>
      </c>
      <c r="K880" s="1011" t="s">
        <v>183</v>
      </c>
      <c r="L880" s="1011" t="s">
        <v>954</v>
      </c>
      <c r="M880" s="1286">
        <v>216</v>
      </c>
      <c r="N880" s="1021" t="s">
        <v>137</v>
      </c>
      <c r="O880" s="1062">
        <v>6411215</v>
      </c>
      <c r="P880" s="1062">
        <f>O880</f>
        <v>6411215</v>
      </c>
      <c r="Q880" s="1062">
        <f>P880+P882+P884</f>
        <v>24083340</v>
      </c>
      <c r="R880" s="1068">
        <v>40851</v>
      </c>
      <c r="S880" s="1089">
        <f>T880</f>
        <v>6000000</v>
      </c>
      <c r="T880" s="1062">
        <v>6000000</v>
      </c>
      <c r="U880" s="1062">
        <f>O880-T880</f>
        <v>411215</v>
      </c>
      <c r="V880" s="1043">
        <v>6000000</v>
      </c>
      <c r="W880" s="1043">
        <f>V880+V882+V884</f>
        <v>22990443</v>
      </c>
      <c r="X880" s="1011" t="s">
        <v>1366</v>
      </c>
      <c r="Y880" s="372" t="s">
        <v>1368</v>
      </c>
      <c r="Z880" s="386">
        <v>0</v>
      </c>
      <c r="AA880" s="386">
        <v>3000000</v>
      </c>
      <c r="AB880" s="386">
        <f t="shared" si="55"/>
        <v>3000000</v>
      </c>
      <c r="AC880" s="384">
        <v>41075</v>
      </c>
      <c r="AD880" s="395">
        <v>3000000</v>
      </c>
      <c r="AE880" s="395" t="s">
        <v>137</v>
      </c>
      <c r="AF880" s="1043">
        <f>SUM(AD880:AD881)</f>
        <v>6000000</v>
      </c>
      <c r="AG880" s="1043">
        <f>SUM(AD880:AD884)</f>
        <v>22990443</v>
      </c>
      <c r="AH880" s="358">
        <f t="shared" si="54"/>
        <v>0</v>
      </c>
      <c r="AI880" s="1043">
        <f>T880-AD880-AD881</f>
        <v>0</v>
      </c>
      <c r="AJ880" s="1043">
        <f>SUM(Z880:Z884)-SUM(AD880:AD884)</f>
        <v>0</v>
      </c>
      <c r="AK880" s="1043">
        <f>T880-V880</f>
        <v>0</v>
      </c>
      <c r="AL880" s="1043">
        <f>V880-SUM(Z880:Z881)</f>
        <v>0</v>
      </c>
      <c r="AM880" s="1043">
        <f>AK880+AL880</f>
        <v>0</v>
      </c>
      <c r="AN880" s="1023" t="s">
        <v>606</v>
      </c>
      <c r="AO880" s="1103" t="s">
        <v>1372</v>
      </c>
      <c r="AP880" s="1103" t="s">
        <v>195</v>
      </c>
      <c r="AQ880" s="1103" t="s">
        <v>1097</v>
      </c>
    </row>
    <row r="881" spans="1:43" s="4" customFormat="1" ht="47.25">
      <c r="A881" s="1033"/>
      <c r="B881" s="1069"/>
      <c r="C881" s="1012"/>
      <c r="D881" s="1124"/>
      <c r="E881" s="1072"/>
      <c r="F881" s="1072"/>
      <c r="G881" s="1124"/>
      <c r="H881" s="1124"/>
      <c r="I881" s="1124"/>
      <c r="J881" s="1033"/>
      <c r="K881" s="1033"/>
      <c r="L881" s="1033"/>
      <c r="M881" s="1288"/>
      <c r="N881" s="1038"/>
      <c r="O881" s="1064"/>
      <c r="P881" s="1064"/>
      <c r="Q881" s="1063"/>
      <c r="R881" s="1070"/>
      <c r="S881" s="1091"/>
      <c r="T881" s="1064"/>
      <c r="U881" s="1064"/>
      <c r="V881" s="1045"/>
      <c r="W881" s="1044"/>
      <c r="X881" s="1033"/>
      <c r="Y881" s="372" t="s">
        <v>1370</v>
      </c>
      <c r="Z881" s="386">
        <v>6000000</v>
      </c>
      <c r="AA881" s="386">
        <v>-3000000</v>
      </c>
      <c r="AB881" s="386">
        <f t="shared" si="55"/>
        <v>3000000</v>
      </c>
      <c r="AC881" s="384">
        <v>42037</v>
      </c>
      <c r="AD881" s="395">
        <v>3000000</v>
      </c>
      <c r="AE881" s="395" t="s">
        <v>137</v>
      </c>
      <c r="AF881" s="1045"/>
      <c r="AG881" s="1044"/>
      <c r="AH881" s="358">
        <f t="shared" si="54"/>
        <v>0</v>
      </c>
      <c r="AI881" s="1044"/>
      <c r="AJ881" s="1044"/>
      <c r="AK881" s="1045"/>
      <c r="AL881" s="1045"/>
      <c r="AM881" s="1045"/>
      <c r="AN881" s="1124"/>
      <c r="AO881" s="1104"/>
      <c r="AP881" s="1104"/>
      <c r="AQ881" s="1104"/>
    </row>
    <row r="882" spans="1:43" s="4" customFormat="1" ht="63">
      <c r="A882" s="1033"/>
      <c r="B882" s="1069"/>
      <c r="C882" s="1011" t="s">
        <v>26</v>
      </c>
      <c r="D882" s="1124"/>
      <c r="E882" s="1072"/>
      <c r="F882" s="1072"/>
      <c r="G882" s="1124"/>
      <c r="H882" s="1124"/>
      <c r="I882" s="1124"/>
      <c r="J882" s="1033"/>
      <c r="K882" s="1033"/>
      <c r="L882" s="1033"/>
      <c r="M882" s="1286">
        <v>222</v>
      </c>
      <c r="N882" s="1021" t="s">
        <v>137</v>
      </c>
      <c r="O882" s="1062">
        <v>14681682</v>
      </c>
      <c r="P882" s="1062">
        <f>O882</f>
        <v>14681682</v>
      </c>
      <c r="Q882" s="1063"/>
      <c r="R882" s="1068">
        <v>40851</v>
      </c>
      <c r="S882" s="1089">
        <f>T882</f>
        <v>14000000</v>
      </c>
      <c r="T882" s="1062">
        <v>14000000</v>
      </c>
      <c r="U882" s="1062">
        <f>O882-T882</f>
        <v>681682</v>
      </c>
      <c r="V882" s="1043">
        <v>14000000</v>
      </c>
      <c r="W882" s="1044"/>
      <c r="X882" s="1033"/>
      <c r="Y882" s="372" t="s">
        <v>1368</v>
      </c>
      <c r="Z882" s="386">
        <v>0</v>
      </c>
      <c r="AA882" s="386">
        <v>7000000</v>
      </c>
      <c r="AB882" s="386">
        <f t="shared" si="55"/>
        <v>7000000</v>
      </c>
      <c r="AC882" s="384">
        <v>41075</v>
      </c>
      <c r="AD882" s="395">
        <v>7000000</v>
      </c>
      <c r="AE882" s="395" t="s">
        <v>137</v>
      </c>
      <c r="AF882" s="1043">
        <f>SUM(AD882:AD883)</f>
        <v>14000000</v>
      </c>
      <c r="AG882" s="1044"/>
      <c r="AH882" s="358">
        <f t="shared" si="54"/>
        <v>0</v>
      </c>
      <c r="AI882" s="1084">
        <f>T882-AD882-AD883</f>
        <v>0</v>
      </c>
      <c r="AJ882" s="1044"/>
      <c r="AK882" s="1043">
        <f>T882-V882</f>
        <v>0</v>
      </c>
      <c r="AL882" s="1043">
        <f>V882-SUM(Z882:Z883)</f>
        <v>0</v>
      </c>
      <c r="AM882" s="1043">
        <f>AK882+AL882</f>
        <v>0</v>
      </c>
      <c r="AN882" s="1124"/>
      <c r="AO882" s="1104"/>
      <c r="AP882" s="1104"/>
      <c r="AQ882" s="1104"/>
    </row>
    <row r="883" spans="1:43" s="4" customFormat="1" ht="47.25">
      <c r="A883" s="1033"/>
      <c r="B883" s="1069"/>
      <c r="C883" s="1012"/>
      <c r="D883" s="1124"/>
      <c r="E883" s="1072"/>
      <c r="F883" s="1072"/>
      <c r="G883" s="1124"/>
      <c r="H883" s="1124"/>
      <c r="I883" s="1124"/>
      <c r="J883" s="1012"/>
      <c r="K883" s="1033"/>
      <c r="L883" s="1033"/>
      <c r="M883" s="1288"/>
      <c r="N883" s="1038"/>
      <c r="O883" s="1064"/>
      <c r="P883" s="1064"/>
      <c r="Q883" s="1063"/>
      <c r="R883" s="1070"/>
      <c r="S883" s="1091"/>
      <c r="T883" s="1064"/>
      <c r="U883" s="1064"/>
      <c r="V883" s="1045"/>
      <c r="W883" s="1044"/>
      <c r="X883" s="1033"/>
      <c r="Y883" s="372" t="s">
        <v>1369</v>
      </c>
      <c r="Z883" s="386">
        <v>14000000</v>
      </c>
      <c r="AA883" s="386">
        <v>-7000000</v>
      </c>
      <c r="AB883" s="386">
        <f t="shared" si="55"/>
        <v>7000000</v>
      </c>
      <c r="AC883" s="384">
        <v>41857</v>
      </c>
      <c r="AD883" s="395">
        <v>7000000</v>
      </c>
      <c r="AE883" s="395" t="s">
        <v>137</v>
      </c>
      <c r="AF883" s="1045"/>
      <c r="AG883" s="1044"/>
      <c r="AH883" s="358">
        <f t="shared" si="54"/>
        <v>0</v>
      </c>
      <c r="AI883" s="1084"/>
      <c r="AJ883" s="1044"/>
      <c r="AK883" s="1045"/>
      <c r="AL883" s="1045"/>
      <c r="AM883" s="1045"/>
      <c r="AN883" s="1124"/>
      <c r="AO883" s="1104"/>
      <c r="AP883" s="1104"/>
      <c r="AQ883" s="1104"/>
    </row>
    <row r="884" spans="1:43" s="4" customFormat="1" ht="63">
      <c r="A884" s="1012"/>
      <c r="B884" s="1070"/>
      <c r="C884" s="354" t="s">
        <v>22</v>
      </c>
      <c r="D884" s="1024"/>
      <c r="E884" s="1073"/>
      <c r="F884" s="1073"/>
      <c r="G884" s="1024"/>
      <c r="H884" s="1024"/>
      <c r="I884" s="1024"/>
      <c r="J884" s="354" t="s">
        <v>67</v>
      </c>
      <c r="K884" s="1012"/>
      <c r="L884" s="1012"/>
      <c r="M884" s="404">
        <v>307</v>
      </c>
      <c r="N884" s="371" t="s">
        <v>7</v>
      </c>
      <c r="O884" s="386">
        <v>2990443</v>
      </c>
      <c r="P884" s="386">
        <f>O884</f>
        <v>2990443</v>
      </c>
      <c r="Q884" s="1064"/>
      <c r="R884" s="384">
        <v>41798</v>
      </c>
      <c r="S884" s="435">
        <f>T884</f>
        <v>2990443</v>
      </c>
      <c r="T884" s="386">
        <v>2990443</v>
      </c>
      <c r="U884" s="386">
        <f>O884-T884</f>
        <v>0</v>
      </c>
      <c r="V884" s="358">
        <v>2990443</v>
      </c>
      <c r="W884" s="1045"/>
      <c r="X884" s="1012"/>
      <c r="Y884" s="372" t="s">
        <v>1371</v>
      </c>
      <c r="Z884" s="386">
        <v>2990443</v>
      </c>
      <c r="AA884" s="386">
        <v>0</v>
      </c>
      <c r="AB884" s="386">
        <f t="shared" si="55"/>
        <v>2990443</v>
      </c>
      <c r="AC884" s="384">
        <v>42037</v>
      </c>
      <c r="AD884" s="395">
        <v>2990443</v>
      </c>
      <c r="AE884" s="395" t="s">
        <v>7</v>
      </c>
      <c r="AF884" s="358">
        <f>AD884</f>
        <v>2990443</v>
      </c>
      <c r="AG884" s="1045"/>
      <c r="AH884" s="358">
        <f t="shared" si="54"/>
        <v>0</v>
      </c>
      <c r="AI884" s="374">
        <f>T884-AD884</f>
        <v>0</v>
      </c>
      <c r="AJ884" s="1045"/>
      <c r="AK884" s="358">
        <f>T884-V884</f>
        <v>0</v>
      </c>
      <c r="AL884" s="358">
        <f>V884-Z884</f>
        <v>0</v>
      </c>
      <c r="AM884" s="358">
        <f>AK884+AL884</f>
        <v>0</v>
      </c>
      <c r="AN884" s="1024"/>
      <c r="AO884" s="1105"/>
      <c r="AP884" s="1105"/>
      <c r="AQ884" s="1105"/>
    </row>
    <row r="885" spans="1:43" s="4" customFormat="1" ht="35.25" customHeight="1">
      <c r="A885" s="1023" t="s">
        <v>1373</v>
      </c>
      <c r="B885" s="1068">
        <v>40906</v>
      </c>
      <c r="C885" s="1023" t="s">
        <v>46</v>
      </c>
      <c r="D885" s="1023" t="s">
        <v>1374</v>
      </c>
      <c r="E885" s="1178">
        <v>900487511</v>
      </c>
      <c r="F885" s="1178">
        <v>7</v>
      </c>
      <c r="G885" s="1023" t="s">
        <v>1375</v>
      </c>
      <c r="H885" s="1023" t="s">
        <v>70</v>
      </c>
      <c r="I885" s="1023" t="s">
        <v>206</v>
      </c>
      <c r="J885" s="1023" t="s">
        <v>66</v>
      </c>
      <c r="K885" s="1023" t="s">
        <v>250</v>
      </c>
      <c r="L885" s="1023" t="s">
        <v>1367</v>
      </c>
      <c r="M885" s="1286">
        <v>2</v>
      </c>
      <c r="N885" s="1023" t="s">
        <v>155</v>
      </c>
      <c r="O885" s="1043">
        <v>114671764</v>
      </c>
      <c r="P885" s="1043">
        <f>O885</f>
        <v>114671764</v>
      </c>
      <c r="Q885" s="1043">
        <f>P885</f>
        <v>114671764</v>
      </c>
      <c r="R885" s="1068">
        <v>40871</v>
      </c>
      <c r="S885" s="1089">
        <f>T885</f>
        <v>114671764</v>
      </c>
      <c r="T885" s="1062">
        <v>114671764</v>
      </c>
      <c r="U885" s="1062">
        <f>O885-T885</f>
        <v>0</v>
      </c>
      <c r="V885" s="1043">
        <v>114637000</v>
      </c>
      <c r="W885" s="1043">
        <v>114637000</v>
      </c>
      <c r="X885" s="1023" t="s">
        <v>1138</v>
      </c>
      <c r="Y885" s="372" t="s">
        <v>1376</v>
      </c>
      <c r="Z885" s="386">
        <v>0</v>
      </c>
      <c r="AA885" s="386">
        <v>57318500</v>
      </c>
      <c r="AB885" s="386">
        <f t="shared" si="55"/>
        <v>57318500</v>
      </c>
      <c r="AC885" s="384">
        <v>41269</v>
      </c>
      <c r="AD885" s="395">
        <v>57318500</v>
      </c>
      <c r="AE885" s="395" t="s">
        <v>155</v>
      </c>
      <c r="AF885" s="1043">
        <f>SUM(AD885:AD887)</f>
        <v>108905150</v>
      </c>
      <c r="AG885" s="1043">
        <f>AF885</f>
        <v>108905150</v>
      </c>
      <c r="AH885" s="358">
        <f t="shared" si="54"/>
        <v>0</v>
      </c>
      <c r="AI885" s="1043">
        <f>O885-SUM(AD885:AD887)</f>
        <v>5766614</v>
      </c>
      <c r="AJ885" s="1043">
        <f>SUM(Z885:Z887)-SUM(AD885:AD887)</f>
        <v>-5731850</v>
      </c>
      <c r="AK885" s="1043">
        <f>P885-V885</f>
        <v>34764</v>
      </c>
      <c r="AL885" s="1043">
        <f>V885-SUM(Z885:Z887)+AJ885</f>
        <v>5731850</v>
      </c>
      <c r="AM885" s="1043">
        <f>AL885+AK885</f>
        <v>5766614</v>
      </c>
      <c r="AN885" s="1023" t="s">
        <v>1379</v>
      </c>
      <c r="AO885" s="1023" t="s">
        <v>1380</v>
      </c>
      <c r="AP885" s="1103" t="s">
        <v>195</v>
      </c>
      <c r="AQ885" s="1103" t="s">
        <v>1097</v>
      </c>
    </row>
    <row r="886" spans="1:43" s="4" customFormat="1" ht="47.25">
      <c r="A886" s="1124"/>
      <c r="B886" s="1069"/>
      <c r="C886" s="1124"/>
      <c r="D886" s="1124"/>
      <c r="E886" s="1179"/>
      <c r="F886" s="1179"/>
      <c r="G886" s="1124"/>
      <c r="H886" s="1124"/>
      <c r="I886" s="1124"/>
      <c r="J886" s="1124"/>
      <c r="K886" s="1124"/>
      <c r="L886" s="1124"/>
      <c r="M886" s="1287"/>
      <c r="N886" s="1124"/>
      <c r="O886" s="1044"/>
      <c r="P886" s="1044"/>
      <c r="Q886" s="1044"/>
      <c r="R886" s="1069"/>
      <c r="S886" s="1090"/>
      <c r="T886" s="1063"/>
      <c r="U886" s="1063"/>
      <c r="V886" s="1044"/>
      <c r="W886" s="1044"/>
      <c r="X886" s="1124"/>
      <c r="Y886" s="372" t="s">
        <v>1377</v>
      </c>
      <c r="Z886" s="386">
        <v>85977750</v>
      </c>
      <c r="AA886" s="386">
        <v>-42988875</v>
      </c>
      <c r="AB886" s="386">
        <f t="shared" si="55"/>
        <v>42988875</v>
      </c>
      <c r="AC886" s="384">
        <v>41451</v>
      </c>
      <c r="AD886" s="395">
        <v>42988875</v>
      </c>
      <c r="AE886" s="395" t="s">
        <v>155</v>
      </c>
      <c r="AF886" s="1044"/>
      <c r="AG886" s="1044"/>
      <c r="AH886" s="358">
        <f t="shared" si="54"/>
        <v>0</v>
      </c>
      <c r="AI886" s="1044"/>
      <c r="AJ886" s="1044"/>
      <c r="AK886" s="1044"/>
      <c r="AL886" s="1044"/>
      <c r="AM886" s="1044"/>
      <c r="AN886" s="1124"/>
      <c r="AO886" s="1124"/>
      <c r="AP886" s="1104"/>
      <c r="AQ886" s="1104"/>
    </row>
    <row r="887" spans="1:43" s="4" customFormat="1" ht="47.25">
      <c r="A887" s="1024"/>
      <c r="B887" s="1070"/>
      <c r="C887" s="1024"/>
      <c r="D887" s="1024"/>
      <c r="E887" s="1180"/>
      <c r="F887" s="1180"/>
      <c r="G887" s="1024"/>
      <c r="H887" s="1024"/>
      <c r="I887" s="1024"/>
      <c r="J887" s="1024"/>
      <c r="K887" s="1024"/>
      <c r="L887" s="1024"/>
      <c r="M887" s="1288"/>
      <c r="N887" s="1024"/>
      <c r="O887" s="1045"/>
      <c r="P887" s="1045"/>
      <c r="Q887" s="1045"/>
      <c r="R887" s="1070"/>
      <c r="S887" s="1091"/>
      <c r="T887" s="1064"/>
      <c r="U887" s="1064"/>
      <c r="V887" s="1045"/>
      <c r="W887" s="1045"/>
      <c r="X887" s="1024"/>
      <c r="Y887" s="372" t="s">
        <v>1378</v>
      </c>
      <c r="Z887" s="386">
        <v>17195550</v>
      </c>
      <c r="AA887" s="386">
        <v>-8597775</v>
      </c>
      <c r="AB887" s="386">
        <f t="shared" si="55"/>
        <v>8597775</v>
      </c>
      <c r="AC887" s="384">
        <v>41528</v>
      </c>
      <c r="AD887" s="395">
        <v>8597775</v>
      </c>
      <c r="AE887" s="395" t="s">
        <v>155</v>
      </c>
      <c r="AF887" s="1045"/>
      <c r="AG887" s="1045"/>
      <c r="AH887" s="358">
        <f t="shared" si="54"/>
        <v>0</v>
      </c>
      <c r="AI887" s="1045"/>
      <c r="AJ887" s="1045"/>
      <c r="AK887" s="1045"/>
      <c r="AL887" s="1045"/>
      <c r="AM887" s="1045"/>
      <c r="AN887" s="1024"/>
      <c r="AO887" s="1024"/>
      <c r="AP887" s="1105"/>
      <c r="AQ887" s="1105"/>
    </row>
    <row r="888" spans="1:43" ht="47.25">
      <c r="A888" s="1011" t="s">
        <v>1381</v>
      </c>
      <c r="B888" s="1068">
        <v>40906</v>
      </c>
      <c r="C888" s="1011" t="s">
        <v>43</v>
      </c>
      <c r="D888" s="1011" t="s">
        <v>1382</v>
      </c>
      <c r="E888" s="1071">
        <v>900490282</v>
      </c>
      <c r="F888" s="1071">
        <v>6</v>
      </c>
      <c r="G888" s="1011" t="s">
        <v>1383</v>
      </c>
      <c r="H888" s="1011" t="s">
        <v>72</v>
      </c>
      <c r="I888" s="1011" t="s">
        <v>206</v>
      </c>
      <c r="J888" s="1011" t="s">
        <v>66</v>
      </c>
      <c r="K888" s="1011" t="s">
        <v>183</v>
      </c>
      <c r="L888" s="1011" t="s">
        <v>1443</v>
      </c>
      <c r="M888" s="1286">
        <v>230</v>
      </c>
      <c r="N888" s="1065" t="s">
        <v>7</v>
      </c>
      <c r="O888" s="1062">
        <v>45116885</v>
      </c>
      <c r="P888" s="1062">
        <f>O888</f>
        <v>45116885</v>
      </c>
      <c r="Q888" s="1062">
        <f>P888+P897</f>
        <v>70915067</v>
      </c>
      <c r="R888" s="1068">
        <v>40899</v>
      </c>
      <c r="S888" s="1092">
        <f>T888</f>
        <v>45116885</v>
      </c>
      <c r="T888" s="1062">
        <v>45116885</v>
      </c>
      <c r="U888" s="1062">
        <f>O888-T888</f>
        <v>0</v>
      </c>
      <c r="V888" s="1062">
        <v>45097668</v>
      </c>
      <c r="W888" s="1062">
        <v>70887600</v>
      </c>
      <c r="X888" s="1011" t="s">
        <v>1138</v>
      </c>
      <c r="Y888" s="372" t="s">
        <v>1384</v>
      </c>
      <c r="Z888" s="386">
        <v>0</v>
      </c>
      <c r="AA888" s="386">
        <v>22548834</v>
      </c>
      <c r="AB888" s="386">
        <f t="shared" si="55"/>
        <v>22548834</v>
      </c>
      <c r="AC888" s="384">
        <v>41094</v>
      </c>
      <c r="AD888" s="395">
        <v>22548834</v>
      </c>
      <c r="AE888" s="395" t="s">
        <v>7</v>
      </c>
      <c r="AF888" s="1043">
        <f>SUM(AD888:AD896)</f>
        <v>45097670</v>
      </c>
      <c r="AG888" s="1043"/>
      <c r="AH888" s="358">
        <f t="shared" si="54"/>
        <v>0</v>
      </c>
      <c r="AI888" s="1043"/>
      <c r="AJ888" s="1062">
        <f>SUM(Z888:Z904)-SUM(AD888:AD904)</f>
        <v>5268448</v>
      </c>
      <c r="AK888" s="1062">
        <f>P888-V888</f>
        <v>19217</v>
      </c>
      <c r="AL888" s="1062">
        <f>V888-SUM(Z888:Z896)</f>
        <v>0</v>
      </c>
      <c r="AM888" s="1062"/>
      <c r="AN888" s="1103"/>
      <c r="AO888" s="1357" t="s">
        <v>2316</v>
      </c>
      <c r="AP888" s="1103" t="s">
        <v>194</v>
      </c>
      <c r="AQ888" s="1103" t="s">
        <v>1097</v>
      </c>
    </row>
    <row r="889" spans="1:43" ht="63">
      <c r="A889" s="1033"/>
      <c r="B889" s="1069"/>
      <c r="C889" s="1033"/>
      <c r="D889" s="1033"/>
      <c r="E889" s="1072"/>
      <c r="F889" s="1072"/>
      <c r="G889" s="1033"/>
      <c r="H889" s="1033"/>
      <c r="I889" s="1033"/>
      <c r="J889" s="1033"/>
      <c r="K889" s="1033"/>
      <c r="L889" s="1033"/>
      <c r="M889" s="1287"/>
      <c r="N889" s="1066"/>
      <c r="O889" s="1063"/>
      <c r="P889" s="1063"/>
      <c r="Q889" s="1063"/>
      <c r="R889" s="1069"/>
      <c r="S889" s="1093"/>
      <c r="T889" s="1063"/>
      <c r="U889" s="1063"/>
      <c r="V889" s="1063"/>
      <c r="W889" s="1063"/>
      <c r="X889" s="1033"/>
      <c r="Y889" s="372" t="s">
        <v>1385</v>
      </c>
      <c r="Z889" s="386">
        <v>6614501</v>
      </c>
      <c r="AA889" s="386">
        <v>-3307250.5</v>
      </c>
      <c r="AB889" s="386">
        <f t="shared" si="55"/>
        <v>3307250.5</v>
      </c>
      <c r="AC889" s="384">
        <v>41179</v>
      </c>
      <c r="AD889" s="395">
        <v>3307250.5</v>
      </c>
      <c r="AE889" s="395" t="s">
        <v>7</v>
      </c>
      <c r="AF889" s="1044"/>
      <c r="AG889" s="1044"/>
      <c r="AH889" s="358">
        <f t="shared" si="54"/>
        <v>0</v>
      </c>
      <c r="AI889" s="1044"/>
      <c r="AJ889" s="1063"/>
      <c r="AK889" s="1063"/>
      <c r="AL889" s="1063"/>
      <c r="AM889" s="1063"/>
      <c r="AN889" s="1104"/>
      <c r="AO889" s="1358"/>
      <c r="AP889" s="1104"/>
      <c r="AQ889" s="1104"/>
    </row>
    <row r="890" spans="1:43" ht="63">
      <c r="A890" s="1033"/>
      <c r="B890" s="1069"/>
      <c r="C890" s="1033"/>
      <c r="D890" s="1033"/>
      <c r="E890" s="1072"/>
      <c r="F890" s="1072"/>
      <c r="G890" s="1033"/>
      <c r="H890" s="1033"/>
      <c r="I890" s="1033"/>
      <c r="J890" s="1033"/>
      <c r="K890" s="1033"/>
      <c r="L890" s="1033"/>
      <c r="M890" s="1287"/>
      <c r="N890" s="1066"/>
      <c r="O890" s="1063"/>
      <c r="P890" s="1063"/>
      <c r="Q890" s="1063"/>
      <c r="R890" s="1069"/>
      <c r="S890" s="1093"/>
      <c r="T890" s="1063"/>
      <c r="U890" s="1063"/>
      <c r="V890" s="1063"/>
      <c r="W890" s="1063"/>
      <c r="X890" s="1033"/>
      <c r="Y890" s="372" t="s">
        <v>1387</v>
      </c>
      <c r="Z890" s="386">
        <v>6614501</v>
      </c>
      <c r="AA890" s="386">
        <v>-3307250.5</v>
      </c>
      <c r="AB890" s="386">
        <f t="shared" si="55"/>
        <v>3307250.5</v>
      </c>
      <c r="AC890" s="384">
        <v>41179</v>
      </c>
      <c r="AD890" s="395">
        <v>3307250.5</v>
      </c>
      <c r="AE890" s="395" t="s">
        <v>7</v>
      </c>
      <c r="AF890" s="1044"/>
      <c r="AG890" s="1044"/>
      <c r="AH890" s="358">
        <f t="shared" si="54"/>
        <v>0</v>
      </c>
      <c r="AI890" s="1044"/>
      <c r="AJ890" s="1063"/>
      <c r="AK890" s="1063"/>
      <c r="AL890" s="1063"/>
      <c r="AM890" s="1063"/>
      <c r="AN890" s="1104"/>
      <c r="AO890" s="1358"/>
      <c r="AP890" s="1104"/>
      <c r="AQ890" s="1104"/>
    </row>
    <row r="891" spans="1:43" ht="63">
      <c r="A891" s="1033"/>
      <c r="B891" s="1069"/>
      <c r="C891" s="1033"/>
      <c r="D891" s="1033"/>
      <c r="E891" s="1072"/>
      <c r="F891" s="1072"/>
      <c r="G891" s="1033"/>
      <c r="H891" s="1033"/>
      <c r="I891" s="1033"/>
      <c r="J891" s="1033"/>
      <c r="K891" s="1033"/>
      <c r="L891" s="1033"/>
      <c r="M891" s="1287"/>
      <c r="N891" s="1066"/>
      <c r="O891" s="1063"/>
      <c r="P891" s="1063"/>
      <c r="Q891" s="1063"/>
      <c r="R891" s="1069"/>
      <c r="S891" s="1093"/>
      <c r="T891" s="1063"/>
      <c r="U891" s="1063"/>
      <c r="V891" s="1063"/>
      <c r="W891" s="1063"/>
      <c r="X891" s="1033"/>
      <c r="Y891" s="372" t="s">
        <v>1389</v>
      </c>
      <c r="Z891" s="386">
        <v>6614501</v>
      </c>
      <c r="AA891" s="386">
        <v>-3307250.5</v>
      </c>
      <c r="AB891" s="386">
        <f t="shared" si="55"/>
        <v>3307250.5</v>
      </c>
      <c r="AC891" s="384">
        <v>41179</v>
      </c>
      <c r="AD891" s="395">
        <v>3307250.5</v>
      </c>
      <c r="AE891" s="395" t="s">
        <v>7</v>
      </c>
      <c r="AF891" s="1044"/>
      <c r="AG891" s="1044"/>
      <c r="AH891" s="358">
        <f t="shared" si="54"/>
        <v>0</v>
      </c>
      <c r="AI891" s="1044"/>
      <c r="AJ891" s="1063"/>
      <c r="AK891" s="1063"/>
      <c r="AL891" s="1063"/>
      <c r="AM891" s="1063"/>
      <c r="AN891" s="1104"/>
      <c r="AO891" s="1358"/>
      <c r="AP891" s="1104"/>
      <c r="AQ891" s="1104"/>
    </row>
    <row r="892" spans="1:43" ht="63">
      <c r="A892" s="1033"/>
      <c r="B892" s="1069"/>
      <c r="C892" s="1033"/>
      <c r="D892" s="1033"/>
      <c r="E892" s="1072"/>
      <c r="F892" s="1072"/>
      <c r="G892" s="1033"/>
      <c r="H892" s="1033"/>
      <c r="I892" s="1033"/>
      <c r="J892" s="1033"/>
      <c r="K892" s="1033"/>
      <c r="L892" s="1033"/>
      <c r="M892" s="1287"/>
      <c r="N892" s="1066"/>
      <c r="O892" s="1063"/>
      <c r="P892" s="1063"/>
      <c r="Q892" s="1063"/>
      <c r="R892" s="1069"/>
      <c r="S892" s="1093"/>
      <c r="T892" s="1063"/>
      <c r="U892" s="1063"/>
      <c r="V892" s="1063"/>
      <c r="W892" s="1063"/>
      <c r="X892" s="1033"/>
      <c r="Y892" s="372" t="s">
        <v>1391</v>
      </c>
      <c r="Z892" s="386">
        <v>6614502</v>
      </c>
      <c r="AA892" s="386">
        <v>-3307250.5</v>
      </c>
      <c r="AB892" s="386">
        <f t="shared" si="55"/>
        <v>3307251.5</v>
      </c>
      <c r="AC892" s="384">
        <v>41232</v>
      </c>
      <c r="AD892" s="395">
        <v>3307251.5</v>
      </c>
      <c r="AE892" s="395" t="s">
        <v>7</v>
      </c>
      <c r="AF892" s="1044"/>
      <c r="AG892" s="1044"/>
      <c r="AH892" s="358">
        <f t="shared" si="54"/>
        <v>0</v>
      </c>
      <c r="AI892" s="1044"/>
      <c r="AJ892" s="1063"/>
      <c r="AK892" s="1063"/>
      <c r="AL892" s="1063"/>
      <c r="AM892" s="1063"/>
      <c r="AN892" s="1104"/>
      <c r="AO892" s="1358"/>
      <c r="AP892" s="1104"/>
      <c r="AQ892" s="1104"/>
    </row>
    <row r="893" spans="1:43" ht="63">
      <c r="A893" s="1033"/>
      <c r="B893" s="1069"/>
      <c r="C893" s="1033"/>
      <c r="D893" s="1033"/>
      <c r="E893" s="1072"/>
      <c r="F893" s="1072"/>
      <c r="G893" s="1033"/>
      <c r="H893" s="1033"/>
      <c r="I893" s="1033"/>
      <c r="J893" s="1033"/>
      <c r="K893" s="1033"/>
      <c r="L893" s="1033"/>
      <c r="M893" s="1287"/>
      <c r="N893" s="1066"/>
      <c r="O893" s="1063"/>
      <c r="P893" s="1063"/>
      <c r="Q893" s="1063"/>
      <c r="R893" s="1069"/>
      <c r="S893" s="1093"/>
      <c r="T893" s="1063"/>
      <c r="U893" s="1063"/>
      <c r="V893" s="1063"/>
      <c r="W893" s="1063"/>
      <c r="X893" s="1033"/>
      <c r="Y893" s="372" t="s">
        <v>1393</v>
      </c>
      <c r="Z893" s="386">
        <v>6614502</v>
      </c>
      <c r="AA893" s="386">
        <v>-3307250.5</v>
      </c>
      <c r="AB893" s="386">
        <f t="shared" si="55"/>
        <v>3307251.5</v>
      </c>
      <c r="AC893" s="384">
        <v>41232</v>
      </c>
      <c r="AD893" s="395">
        <v>3307252</v>
      </c>
      <c r="AE893" s="395" t="s">
        <v>7</v>
      </c>
      <c r="AF893" s="1044"/>
      <c r="AG893" s="1044"/>
      <c r="AH893" s="358">
        <f t="shared" si="54"/>
        <v>-0.5</v>
      </c>
      <c r="AI893" s="1044"/>
      <c r="AJ893" s="1063"/>
      <c r="AK893" s="1063"/>
      <c r="AL893" s="1063"/>
      <c r="AM893" s="1063"/>
      <c r="AN893" s="1104"/>
      <c r="AO893" s="1358"/>
      <c r="AP893" s="1104"/>
      <c r="AQ893" s="1104"/>
    </row>
    <row r="894" spans="1:43" ht="63">
      <c r="A894" s="1033"/>
      <c r="B894" s="1069"/>
      <c r="C894" s="1033"/>
      <c r="D894" s="1033"/>
      <c r="E894" s="1072"/>
      <c r="F894" s="1072"/>
      <c r="G894" s="1033"/>
      <c r="H894" s="1033"/>
      <c r="I894" s="1033"/>
      <c r="J894" s="1033"/>
      <c r="K894" s="1033"/>
      <c r="L894" s="1033"/>
      <c r="M894" s="1287"/>
      <c r="N894" s="1066"/>
      <c r="O894" s="1063"/>
      <c r="P894" s="1063"/>
      <c r="Q894" s="1063"/>
      <c r="R894" s="1069"/>
      <c r="S894" s="1093"/>
      <c r="T894" s="1063"/>
      <c r="U894" s="1063"/>
      <c r="V894" s="1063"/>
      <c r="W894" s="1063"/>
      <c r="X894" s="1033"/>
      <c r="Y894" s="372" t="s">
        <v>1395</v>
      </c>
      <c r="Z894" s="386">
        <v>6614502</v>
      </c>
      <c r="AA894" s="386">
        <v>-3307250.5</v>
      </c>
      <c r="AB894" s="386">
        <f t="shared" si="55"/>
        <v>3307251.5</v>
      </c>
      <c r="AC894" s="384">
        <v>41232</v>
      </c>
      <c r="AD894" s="395">
        <v>3307251.5</v>
      </c>
      <c r="AE894" s="395" t="s">
        <v>7</v>
      </c>
      <c r="AF894" s="1044"/>
      <c r="AG894" s="1044"/>
      <c r="AH894" s="358">
        <f t="shared" si="54"/>
        <v>0</v>
      </c>
      <c r="AI894" s="1044"/>
      <c r="AJ894" s="1063"/>
      <c r="AK894" s="1063"/>
      <c r="AL894" s="1063"/>
      <c r="AM894" s="1063"/>
      <c r="AN894" s="1104"/>
      <c r="AO894" s="1358"/>
      <c r="AP894" s="1104"/>
      <c r="AQ894" s="1104"/>
    </row>
    <row r="895" spans="1:43" ht="63">
      <c r="A895" s="1033"/>
      <c r="B895" s="1069"/>
      <c r="C895" s="1033"/>
      <c r="D895" s="1033"/>
      <c r="E895" s="1072"/>
      <c r="F895" s="1072"/>
      <c r="G895" s="1033"/>
      <c r="H895" s="1033"/>
      <c r="I895" s="1033"/>
      <c r="J895" s="1033"/>
      <c r="K895" s="1033"/>
      <c r="L895" s="1033"/>
      <c r="M895" s="1287"/>
      <c r="N895" s="1066"/>
      <c r="O895" s="1063"/>
      <c r="P895" s="1063"/>
      <c r="Q895" s="1063"/>
      <c r="R895" s="1069"/>
      <c r="S895" s="1093"/>
      <c r="T895" s="1063"/>
      <c r="U895" s="1063"/>
      <c r="V895" s="1063"/>
      <c r="W895" s="1063"/>
      <c r="X895" s="1033"/>
      <c r="Y895" s="372" t="s">
        <v>1397</v>
      </c>
      <c r="Z895" s="386">
        <v>5410659</v>
      </c>
      <c r="AA895" s="386">
        <v>-2705329.5</v>
      </c>
      <c r="AB895" s="386">
        <f t="shared" si="55"/>
        <v>2705329.5</v>
      </c>
      <c r="AC895" s="384">
        <v>41465</v>
      </c>
      <c r="AD895" s="395">
        <v>2705329.5</v>
      </c>
      <c r="AE895" s="395" t="s">
        <v>7</v>
      </c>
      <c r="AF895" s="1044"/>
      <c r="AG895" s="1044"/>
      <c r="AH895" s="358">
        <f t="shared" si="54"/>
        <v>0</v>
      </c>
      <c r="AI895" s="1044"/>
      <c r="AJ895" s="1063"/>
      <c r="AK895" s="1063"/>
      <c r="AL895" s="1063"/>
      <c r="AM895" s="1063"/>
      <c r="AN895" s="1104"/>
      <c r="AO895" s="1358"/>
      <c r="AP895" s="1104"/>
      <c r="AQ895" s="1104"/>
    </row>
    <row r="896" spans="1:43">
      <c r="A896" s="1033"/>
      <c r="B896" s="1069"/>
      <c r="C896" s="1012"/>
      <c r="D896" s="1033"/>
      <c r="E896" s="1072"/>
      <c r="F896" s="1072"/>
      <c r="G896" s="1033"/>
      <c r="H896" s="1033"/>
      <c r="I896" s="1033"/>
      <c r="J896" s="1033"/>
      <c r="K896" s="1033"/>
      <c r="L896" s="1033"/>
      <c r="M896" s="1288"/>
      <c r="N896" s="1067"/>
      <c r="O896" s="1064"/>
      <c r="P896" s="1064"/>
      <c r="Q896" s="1063"/>
      <c r="R896" s="1070"/>
      <c r="S896" s="1094"/>
      <c r="T896" s="1064"/>
      <c r="U896" s="1064"/>
      <c r="V896" s="1064"/>
      <c r="W896" s="1063"/>
      <c r="X896" s="1033"/>
      <c r="Y896" s="372"/>
      <c r="Z896" s="386"/>
      <c r="AA896" s="386"/>
      <c r="AB896" s="386">
        <f t="shared" si="55"/>
        <v>0</v>
      </c>
      <c r="AC896" s="384"/>
      <c r="AD896" s="395"/>
      <c r="AE896" s="395"/>
      <c r="AF896" s="1045"/>
      <c r="AG896" s="1044"/>
      <c r="AH896" s="358">
        <f t="shared" si="54"/>
        <v>0</v>
      </c>
      <c r="AI896" s="1045"/>
      <c r="AJ896" s="1063"/>
      <c r="AK896" s="1064"/>
      <c r="AL896" s="1064"/>
      <c r="AM896" s="1064"/>
      <c r="AN896" s="1104"/>
      <c r="AO896" s="1358"/>
      <c r="AP896" s="1104"/>
      <c r="AQ896" s="1104"/>
    </row>
    <row r="897" spans="1:43" ht="47.25">
      <c r="A897" s="1033"/>
      <c r="B897" s="1069"/>
      <c r="C897" s="1011" t="s">
        <v>26</v>
      </c>
      <c r="D897" s="1033"/>
      <c r="E897" s="1072"/>
      <c r="F897" s="1072"/>
      <c r="G897" s="1033"/>
      <c r="H897" s="1033"/>
      <c r="I897" s="1033"/>
      <c r="J897" s="1033"/>
      <c r="K897" s="1033"/>
      <c r="L897" s="1033"/>
      <c r="M897" s="1286">
        <v>4</v>
      </c>
      <c r="N897" s="1065" t="s">
        <v>149</v>
      </c>
      <c r="O897" s="1062">
        <v>25798182</v>
      </c>
      <c r="P897" s="1062">
        <f>O897</f>
        <v>25798182</v>
      </c>
      <c r="Q897" s="1063"/>
      <c r="R897" s="1068">
        <v>40899</v>
      </c>
      <c r="S897" s="1092">
        <f>T897</f>
        <v>25798182</v>
      </c>
      <c r="T897" s="1092">
        <v>25798182</v>
      </c>
      <c r="U897" s="1092">
        <f>O897-T897</f>
        <v>0</v>
      </c>
      <c r="V897" s="1062">
        <v>25789932</v>
      </c>
      <c r="W897" s="1063"/>
      <c r="X897" s="1033"/>
      <c r="Y897" s="372" t="s">
        <v>1384</v>
      </c>
      <c r="Z897" s="386">
        <v>0</v>
      </c>
      <c r="AA897" s="386">
        <v>12894966</v>
      </c>
      <c r="AB897" s="386">
        <f t="shared" si="55"/>
        <v>12894966</v>
      </c>
      <c r="AC897" s="384">
        <v>41094</v>
      </c>
      <c r="AD897" s="395">
        <v>12894966</v>
      </c>
      <c r="AE897" s="395" t="s">
        <v>149</v>
      </c>
      <c r="AF897" s="1043">
        <f>SUM(AD897:AD904)</f>
        <v>20521485</v>
      </c>
      <c r="AG897" s="1044"/>
      <c r="AH897" s="358">
        <f t="shared" si="54"/>
        <v>0</v>
      </c>
      <c r="AI897" s="1043"/>
      <c r="AJ897" s="1063"/>
      <c r="AK897" s="1062">
        <f>P897-V897</f>
        <v>8250</v>
      </c>
      <c r="AL897" s="1062">
        <f>V897-SUM(Z897:Z904)</f>
        <v>-3</v>
      </c>
      <c r="AM897" s="1062"/>
      <c r="AN897" s="1104"/>
      <c r="AO897" s="1358"/>
      <c r="AP897" s="1104"/>
      <c r="AQ897" s="1104"/>
    </row>
    <row r="898" spans="1:43" ht="63">
      <c r="A898" s="1033"/>
      <c r="B898" s="1069"/>
      <c r="C898" s="1033"/>
      <c r="D898" s="1033"/>
      <c r="E898" s="1072"/>
      <c r="F898" s="1072"/>
      <c r="G898" s="1033"/>
      <c r="H898" s="1033"/>
      <c r="I898" s="1033"/>
      <c r="J898" s="1033"/>
      <c r="K898" s="1033"/>
      <c r="L898" s="1033"/>
      <c r="M898" s="1287"/>
      <c r="N898" s="1066"/>
      <c r="O898" s="1063"/>
      <c r="P898" s="1063"/>
      <c r="Q898" s="1063"/>
      <c r="R898" s="1069"/>
      <c r="S898" s="1093"/>
      <c r="T898" s="1093"/>
      <c r="U898" s="1093"/>
      <c r="V898" s="1063"/>
      <c r="W898" s="1063"/>
      <c r="X898" s="1033"/>
      <c r="Y898" s="372" t="s">
        <v>1386</v>
      </c>
      <c r="Z898" s="386">
        <v>3512299</v>
      </c>
      <c r="AA898" s="386">
        <v>-1756149.5</v>
      </c>
      <c r="AB898" s="386">
        <f t="shared" si="55"/>
        <v>1756149.5</v>
      </c>
      <c r="AC898" s="384">
        <v>41179</v>
      </c>
      <c r="AD898" s="395">
        <v>1756149.5</v>
      </c>
      <c r="AE898" s="395" t="s">
        <v>149</v>
      </c>
      <c r="AF898" s="1044"/>
      <c r="AG898" s="1044"/>
      <c r="AH898" s="358">
        <f t="shared" si="54"/>
        <v>0</v>
      </c>
      <c r="AI898" s="1044"/>
      <c r="AJ898" s="1063"/>
      <c r="AK898" s="1063"/>
      <c r="AL898" s="1063"/>
      <c r="AM898" s="1063"/>
      <c r="AN898" s="1104"/>
      <c r="AO898" s="1358"/>
      <c r="AP898" s="1104"/>
      <c r="AQ898" s="1104"/>
    </row>
    <row r="899" spans="1:43" ht="63">
      <c r="A899" s="1033"/>
      <c r="B899" s="1069"/>
      <c r="C899" s="1033"/>
      <c r="D899" s="1033"/>
      <c r="E899" s="1072"/>
      <c r="F899" s="1072"/>
      <c r="G899" s="1033"/>
      <c r="H899" s="1033"/>
      <c r="I899" s="1033"/>
      <c r="J899" s="1033"/>
      <c r="K899" s="1033"/>
      <c r="L899" s="1033"/>
      <c r="M899" s="1287"/>
      <c r="N899" s="1066"/>
      <c r="O899" s="1063"/>
      <c r="P899" s="1063"/>
      <c r="Q899" s="1063"/>
      <c r="R899" s="1069"/>
      <c r="S899" s="1093"/>
      <c r="T899" s="1093"/>
      <c r="U899" s="1093"/>
      <c r="V899" s="1063"/>
      <c r="W899" s="1063"/>
      <c r="X899" s="1033"/>
      <c r="Y899" s="372" t="s">
        <v>1388</v>
      </c>
      <c r="Z899" s="386">
        <v>3512299</v>
      </c>
      <c r="AA899" s="386">
        <v>-1756149.5</v>
      </c>
      <c r="AB899" s="386">
        <f t="shared" si="55"/>
        <v>1756149.5</v>
      </c>
      <c r="AC899" s="384">
        <v>41179</v>
      </c>
      <c r="AD899" s="395">
        <v>1756149.5</v>
      </c>
      <c r="AE899" s="395" t="s">
        <v>149</v>
      </c>
      <c r="AF899" s="1044"/>
      <c r="AG899" s="1044"/>
      <c r="AH899" s="358">
        <f t="shared" si="54"/>
        <v>0</v>
      </c>
      <c r="AI899" s="1044"/>
      <c r="AJ899" s="1063"/>
      <c r="AK899" s="1063"/>
      <c r="AL899" s="1063"/>
      <c r="AM899" s="1063"/>
      <c r="AN899" s="1104"/>
      <c r="AO899" s="1358"/>
      <c r="AP899" s="1104"/>
      <c r="AQ899" s="1104"/>
    </row>
    <row r="900" spans="1:43" ht="63">
      <c r="A900" s="1033"/>
      <c r="B900" s="1069"/>
      <c r="C900" s="1033"/>
      <c r="D900" s="1033"/>
      <c r="E900" s="1072"/>
      <c r="F900" s="1072"/>
      <c r="G900" s="1033"/>
      <c r="H900" s="1033"/>
      <c r="I900" s="1033"/>
      <c r="J900" s="1033"/>
      <c r="K900" s="1033"/>
      <c r="L900" s="1033"/>
      <c r="M900" s="1287"/>
      <c r="N900" s="1066"/>
      <c r="O900" s="1063"/>
      <c r="P900" s="1063"/>
      <c r="Q900" s="1063"/>
      <c r="R900" s="1069"/>
      <c r="S900" s="1093"/>
      <c r="T900" s="1093"/>
      <c r="U900" s="1093"/>
      <c r="V900" s="1063"/>
      <c r="W900" s="1063"/>
      <c r="X900" s="1033"/>
      <c r="Y900" s="372" t="s">
        <v>1390</v>
      </c>
      <c r="Z900" s="386">
        <v>3512299</v>
      </c>
      <c r="AA900" s="386">
        <v>-1756149.5</v>
      </c>
      <c r="AB900" s="386">
        <f t="shared" si="55"/>
        <v>1756149.5</v>
      </c>
      <c r="AC900" s="384">
        <v>41209</v>
      </c>
      <c r="AD900" s="395">
        <v>1756149.5</v>
      </c>
      <c r="AE900" s="395" t="s">
        <v>149</v>
      </c>
      <c r="AF900" s="1044"/>
      <c r="AG900" s="1044"/>
      <c r="AH900" s="358">
        <f t="shared" si="54"/>
        <v>0</v>
      </c>
      <c r="AI900" s="1044"/>
      <c r="AJ900" s="1063"/>
      <c r="AK900" s="1063"/>
      <c r="AL900" s="1063"/>
      <c r="AM900" s="1063"/>
      <c r="AN900" s="1104"/>
      <c r="AO900" s="1358"/>
      <c r="AP900" s="1104"/>
      <c r="AQ900" s="1104"/>
    </row>
    <row r="901" spans="1:43" ht="37.5" customHeight="1">
      <c r="A901" s="1033"/>
      <c r="B901" s="1069"/>
      <c r="C901" s="1033"/>
      <c r="D901" s="1033"/>
      <c r="E901" s="1072"/>
      <c r="F901" s="1072"/>
      <c r="G901" s="1033"/>
      <c r="H901" s="1033"/>
      <c r="I901" s="1033"/>
      <c r="J901" s="1033"/>
      <c r="K901" s="1033"/>
      <c r="L901" s="1033"/>
      <c r="M901" s="1287"/>
      <c r="N901" s="1066"/>
      <c r="O901" s="1063"/>
      <c r="P901" s="1063"/>
      <c r="Q901" s="1063"/>
      <c r="R901" s="1069"/>
      <c r="S901" s="1093"/>
      <c r="T901" s="1093"/>
      <c r="U901" s="1093"/>
      <c r="V901" s="1063"/>
      <c r="W901" s="1063"/>
      <c r="X901" s="1033"/>
      <c r="Y901" s="372" t="s">
        <v>1392</v>
      </c>
      <c r="Z901" s="386">
        <v>3512299</v>
      </c>
      <c r="AA901" s="386">
        <v>-1756149.5</v>
      </c>
      <c r="AB901" s="386">
        <f t="shared" si="55"/>
        <v>1756149.5</v>
      </c>
      <c r="AC901" s="384"/>
      <c r="AD901" s="395">
        <v>0</v>
      </c>
      <c r="AE901" s="395" t="s">
        <v>149</v>
      </c>
      <c r="AF901" s="1044"/>
      <c r="AG901" s="1044"/>
      <c r="AH901" s="358">
        <f t="shared" si="54"/>
        <v>1756149.5</v>
      </c>
      <c r="AI901" s="1044"/>
      <c r="AJ901" s="1063"/>
      <c r="AK901" s="1063"/>
      <c r="AL901" s="1063"/>
      <c r="AM901" s="1063"/>
      <c r="AN901" s="1104"/>
      <c r="AO901" s="1358"/>
      <c r="AP901" s="1104"/>
      <c r="AQ901" s="1104"/>
    </row>
    <row r="902" spans="1:43" ht="63">
      <c r="A902" s="1033"/>
      <c r="B902" s="1069"/>
      <c r="C902" s="1033"/>
      <c r="D902" s="1033"/>
      <c r="E902" s="1072"/>
      <c r="F902" s="1072"/>
      <c r="G902" s="1033"/>
      <c r="H902" s="1033"/>
      <c r="I902" s="1033"/>
      <c r="J902" s="1033"/>
      <c r="K902" s="1033"/>
      <c r="L902" s="1033"/>
      <c r="M902" s="1287"/>
      <c r="N902" s="1066"/>
      <c r="O902" s="1063"/>
      <c r="P902" s="1063"/>
      <c r="Q902" s="1063"/>
      <c r="R902" s="1069"/>
      <c r="S902" s="1093"/>
      <c r="T902" s="1093"/>
      <c r="U902" s="1093"/>
      <c r="V902" s="1063"/>
      <c r="W902" s="1063"/>
      <c r="X902" s="1033"/>
      <c r="Y902" s="372" t="s">
        <v>1394</v>
      </c>
      <c r="Z902" s="386">
        <v>3512299</v>
      </c>
      <c r="AA902" s="386">
        <v>-1756149.5</v>
      </c>
      <c r="AB902" s="386">
        <f t="shared" si="55"/>
        <v>1756149.5</v>
      </c>
      <c r="AC902" s="384"/>
      <c r="AD902" s="395">
        <v>0</v>
      </c>
      <c r="AE902" s="395" t="s">
        <v>149</v>
      </c>
      <c r="AF902" s="1044"/>
      <c r="AG902" s="1044"/>
      <c r="AH902" s="358">
        <f t="shared" si="54"/>
        <v>1756149.5</v>
      </c>
      <c r="AI902" s="1044"/>
      <c r="AJ902" s="1063"/>
      <c r="AK902" s="1063"/>
      <c r="AL902" s="1063"/>
      <c r="AM902" s="1063"/>
      <c r="AN902" s="1104"/>
      <c r="AO902" s="1358"/>
      <c r="AP902" s="1104"/>
      <c r="AQ902" s="1104"/>
    </row>
    <row r="903" spans="1:43" ht="63">
      <c r="A903" s="1033"/>
      <c r="B903" s="1069"/>
      <c r="C903" s="1033"/>
      <c r="D903" s="1033"/>
      <c r="E903" s="1072"/>
      <c r="F903" s="1072"/>
      <c r="G903" s="1033"/>
      <c r="H903" s="1033"/>
      <c r="I903" s="1033"/>
      <c r="J903" s="1033"/>
      <c r="K903" s="1033"/>
      <c r="L903" s="1033"/>
      <c r="M903" s="1287"/>
      <c r="N903" s="1066"/>
      <c r="O903" s="1063"/>
      <c r="P903" s="1063"/>
      <c r="Q903" s="1063"/>
      <c r="R903" s="1069"/>
      <c r="S903" s="1093"/>
      <c r="T903" s="1093"/>
      <c r="U903" s="1093"/>
      <c r="V903" s="1063"/>
      <c r="W903" s="1063"/>
      <c r="X903" s="1033"/>
      <c r="Y903" s="372" t="s">
        <v>1396</v>
      </c>
      <c r="Z903" s="386">
        <v>3512299</v>
      </c>
      <c r="AA903" s="386">
        <v>-1756149.5</v>
      </c>
      <c r="AB903" s="386">
        <f t="shared" si="55"/>
        <v>1756149.5</v>
      </c>
      <c r="AC903" s="384"/>
      <c r="AD903" s="395">
        <v>0</v>
      </c>
      <c r="AE903" s="395" t="s">
        <v>149</v>
      </c>
      <c r="AF903" s="1044"/>
      <c r="AG903" s="1044"/>
      <c r="AH903" s="358">
        <f t="shared" si="54"/>
        <v>1756149.5</v>
      </c>
      <c r="AI903" s="1044"/>
      <c r="AJ903" s="1063"/>
      <c r="AK903" s="1063"/>
      <c r="AL903" s="1063"/>
      <c r="AM903" s="1063"/>
      <c r="AN903" s="1104"/>
      <c r="AO903" s="1358"/>
      <c r="AP903" s="1104"/>
      <c r="AQ903" s="1104"/>
    </row>
    <row r="904" spans="1:43" ht="63">
      <c r="A904" s="1012"/>
      <c r="B904" s="1070"/>
      <c r="C904" s="1012"/>
      <c r="D904" s="1012"/>
      <c r="E904" s="1073"/>
      <c r="F904" s="1073"/>
      <c r="G904" s="1012"/>
      <c r="H904" s="1012"/>
      <c r="I904" s="1012"/>
      <c r="J904" s="1012"/>
      <c r="K904" s="1012"/>
      <c r="L904" s="1012"/>
      <c r="M904" s="1288"/>
      <c r="N904" s="1067"/>
      <c r="O904" s="1064"/>
      <c r="P904" s="1064"/>
      <c r="Q904" s="1064"/>
      <c r="R904" s="1070"/>
      <c r="S904" s="1094"/>
      <c r="T904" s="1094"/>
      <c r="U904" s="1094"/>
      <c r="V904" s="1064"/>
      <c r="W904" s="1064"/>
      <c r="X904" s="1012"/>
      <c r="Y904" s="372" t="s">
        <v>1398</v>
      </c>
      <c r="Z904" s="386">
        <v>4716141</v>
      </c>
      <c r="AA904" s="386">
        <v>-2358070.5</v>
      </c>
      <c r="AB904" s="386">
        <f t="shared" si="55"/>
        <v>2358070.5</v>
      </c>
      <c r="AC904" s="384">
        <v>41465</v>
      </c>
      <c r="AD904" s="395">
        <v>2358070.5</v>
      </c>
      <c r="AE904" s="395" t="s">
        <v>149</v>
      </c>
      <c r="AF904" s="1045"/>
      <c r="AG904" s="1045"/>
      <c r="AH904" s="358">
        <f t="shared" si="54"/>
        <v>0</v>
      </c>
      <c r="AI904" s="1045"/>
      <c r="AJ904" s="1064"/>
      <c r="AK904" s="1064"/>
      <c r="AL904" s="1064"/>
      <c r="AM904" s="1064"/>
      <c r="AN904" s="1105"/>
      <c r="AO904" s="1359"/>
      <c r="AP904" s="1105"/>
      <c r="AQ904" s="1105"/>
    </row>
    <row r="905" spans="1:43" ht="78.75">
      <c r="A905" s="1011" t="s">
        <v>1399</v>
      </c>
      <c r="B905" s="1068">
        <v>40906</v>
      </c>
      <c r="C905" s="1011" t="s">
        <v>26</v>
      </c>
      <c r="D905" s="1011" t="s">
        <v>1400</v>
      </c>
      <c r="E905" s="1071">
        <v>900487481</v>
      </c>
      <c r="F905" s="1071">
        <v>4</v>
      </c>
      <c r="G905" s="1011" t="s">
        <v>1401</v>
      </c>
      <c r="H905" s="1011" t="s">
        <v>71</v>
      </c>
      <c r="I905" s="1076" t="s">
        <v>1221</v>
      </c>
      <c r="J905" s="1011" t="s">
        <v>66</v>
      </c>
      <c r="K905" s="1011" t="s">
        <v>183</v>
      </c>
      <c r="L905" s="1011" t="s">
        <v>1405</v>
      </c>
      <c r="M905" s="1286">
        <v>228</v>
      </c>
      <c r="N905" s="1065" t="s">
        <v>7</v>
      </c>
      <c r="O905" s="1062">
        <v>325573017</v>
      </c>
      <c r="P905" s="1062">
        <f>O905</f>
        <v>325573017</v>
      </c>
      <c r="Q905" s="1062">
        <f>P905+P907</f>
        <v>406710535</v>
      </c>
      <c r="R905" s="1068">
        <v>40899</v>
      </c>
      <c r="S905" s="1092">
        <f>T905</f>
        <v>322641179</v>
      </c>
      <c r="T905" s="1062">
        <v>322641179</v>
      </c>
      <c r="U905" s="1062">
        <f>O905-T905</f>
        <v>2931838</v>
      </c>
      <c r="V905" s="1062">
        <v>322641179</v>
      </c>
      <c r="W905" s="1062">
        <v>403048040</v>
      </c>
      <c r="X905" s="1011" t="s">
        <v>1402</v>
      </c>
      <c r="Y905" s="372" t="s">
        <v>1403</v>
      </c>
      <c r="Z905" s="386">
        <v>165186271</v>
      </c>
      <c r="AA905" s="386">
        <v>0</v>
      </c>
      <c r="AB905" s="386">
        <f t="shared" si="55"/>
        <v>165186271</v>
      </c>
      <c r="AC905" s="384">
        <v>41169</v>
      </c>
      <c r="AD905" s="395">
        <v>165186271</v>
      </c>
      <c r="AE905" s="395" t="s">
        <v>7</v>
      </c>
      <c r="AF905" s="1043">
        <f>SUM(AD905:AD906)</f>
        <v>320905550</v>
      </c>
      <c r="AG905" s="1043">
        <f>AF905+AF907</f>
        <v>400879867</v>
      </c>
      <c r="AH905" s="358">
        <f t="shared" si="54"/>
        <v>0</v>
      </c>
      <c r="AI905" s="1043">
        <f>T905-SUM(AD905:AD906)</f>
        <v>1735629</v>
      </c>
      <c r="AJ905" s="1062">
        <f>SUM(Z905:Z908)-SUM(AD905:AD908)</f>
        <v>0</v>
      </c>
      <c r="AK905" s="1062">
        <f>T905-V905</f>
        <v>0</v>
      </c>
      <c r="AL905" s="1062">
        <f>V905-SUM(Z905:Z906)</f>
        <v>1735629</v>
      </c>
      <c r="AM905" s="1062">
        <f>AK905+AL905</f>
        <v>1735629</v>
      </c>
      <c r="AN905" s="1108" t="s">
        <v>606</v>
      </c>
      <c r="AO905" s="1103" t="s">
        <v>1406</v>
      </c>
      <c r="AP905" s="1103" t="s">
        <v>194</v>
      </c>
      <c r="AQ905" s="1103" t="s">
        <v>1097</v>
      </c>
    </row>
    <row r="906" spans="1:43" ht="78.75">
      <c r="A906" s="1033"/>
      <c r="B906" s="1069"/>
      <c r="C906" s="1033"/>
      <c r="D906" s="1033"/>
      <c r="E906" s="1072"/>
      <c r="F906" s="1072"/>
      <c r="G906" s="1033"/>
      <c r="H906" s="1033"/>
      <c r="I906" s="1076"/>
      <c r="J906" s="1033"/>
      <c r="K906" s="1033"/>
      <c r="L906" s="1033"/>
      <c r="M906" s="1288"/>
      <c r="N906" s="1067"/>
      <c r="O906" s="1064"/>
      <c r="P906" s="1064"/>
      <c r="Q906" s="1063"/>
      <c r="R906" s="1070"/>
      <c r="S906" s="1094"/>
      <c r="T906" s="1064"/>
      <c r="U906" s="1064"/>
      <c r="V906" s="1063"/>
      <c r="W906" s="1063"/>
      <c r="X906" s="1033"/>
      <c r="Y906" s="372" t="s">
        <v>1404</v>
      </c>
      <c r="Z906" s="386">
        <v>155719279</v>
      </c>
      <c r="AA906" s="386">
        <v>0</v>
      </c>
      <c r="AB906" s="386">
        <f t="shared" si="55"/>
        <v>155719279</v>
      </c>
      <c r="AC906" s="384">
        <v>41347</v>
      </c>
      <c r="AD906" s="395">
        <v>155719279</v>
      </c>
      <c r="AE906" s="395" t="s">
        <v>7</v>
      </c>
      <c r="AF906" s="1045"/>
      <c r="AG906" s="1044"/>
      <c r="AH906" s="358">
        <f t="shared" si="54"/>
        <v>0</v>
      </c>
      <c r="AI906" s="1045"/>
      <c r="AJ906" s="1063"/>
      <c r="AK906" s="1064"/>
      <c r="AL906" s="1064"/>
      <c r="AM906" s="1064"/>
      <c r="AN906" s="1109"/>
      <c r="AO906" s="1104"/>
      <c r="AP906" s="1104"/>
      <c r="AQ906" s="1104"/>
    </row>
    <row r="907" spans="1:43" ht="78.75">
      <c r="A907" s="1033"/>
      <c r="B907" s="1069"/>
      <c r="C907" s="1033"/>
      <c r="D907" s="1033"/>
      <c r="E907" s="1072"/>
      <c r="F907" s="1072"/>
      <c r="G907" s="1033"/>
      <c r="H907" s="1033"/>
      <c r="I907" s="1076"/>
      <c r="J907" s="1033"/>
      <c r="K907" s="1033"/>
      <c r="L907" s="1033"/>
      <c r="M907" s="1286">
        <v>3</v>
      </c>
      <c r="N907" s="1065" t="s">
        <v>149</v>
      </c>
      <c r="O907" s="1062">
        <v>81137518</v>
      </c>
      <c r="P907" s="1062">
        <f>O907</f>
        <v>81137518</v>
      </c>
      <c r="Q907" s="1063"/>
      <c r="R907" s="1068">
        <v>40899</v>
      </c>
      <c r="S907" s="1092">
        <f>T907</f>
        <v>80406861</v>
      </c>
      <c r="T907" s="1062">
        <v>80406861</v>
      </c>
      <c r="U907" s="1062">
        <f>O907-T907</f>
        <v>730657</v>
      </c>
      <c r="V907" s="1119">
        <v>80406861</v>
      </c>
      <c r="W907" s="1063"/>
      <c r="X907" s="1033"/>
      <c r="Y907" s="372" t="s">
        <v>1403</v>
      </c>
      <c r="Z907" s="386">
        <v>41166814</v>
      </c>
      <c r="AA907" s="386">
        <v>0</v>
      </c>
      <c r="AB907" s="386">
        <f t="shared" si="55"/>
        <v>41166814</v>
      </c>
      <c r="AC907" s="384">
        <v>41169</v>
      </c>
      <c r="AD907" s="395">
        <v>41166814</v>
      </c>
      <c r="AE907" s="395" t="s">
        <v>149</v>
      </c>
      <c r="AF907" s="1043">
        <f>SUM(AD907:AD908)</f>
        <v>79974317</v>
      </c>
      <c r="AG907" s="1044"/>
      <c r="AH907" s="358">
        <f t="shared" si="54"/>
        <v>0</v>
      </c>
      <c r="AI907" s="1043">
        <f>T907-SUM(AD907:AD908)</f>
        <v>432544</v>
      </c>
      <c r="AJ907" s="1063"/>
      <c r="AK907" s="1062">
        <f>T907-V907</f>
        <v>0</v>
      </c>
      <c r="AL907" s="1062">
        <f>V907-SUM(Z907:Z908)</f>
        <v>432544</v>
      </c>
      <c r="AM907" s="1062">
        <f>AK907+AL907</f>
        <v>432544</v>
      </c>
      <c r="AN907" s="1109"/>
      <c r="AO907" s="1104"/>
      <c r="AP907" s="1104"/>
      <c r="AQ907" s="1104"/>
    </row>
    <row r="908" spans="1:43" ht="78.75">
      <c r="A908" s="1012"/>
      <c r="B908" s="1070"/>
      <c r="C908" s="1012"/>
      <c r="D908" s="1012"/>
      <c r="E908" s="1073"/>
      <c r="F908" s="1073"/>
      <c r="G908" s="1012"/>
      <c r="H908" s="1012"/>
      <c r="I908" s="1076"/>
      <c r="J908" s="1012"/>
      <c r="K908" s="1012"/>
      <c r="L908" s="1012"/>
      <c r="M908" s="1288"/>
      <c r="N908" s="1067"/>
      <c r="O908" s="1064"/>
      <c r="P908" s="1064"/>
      <c r="Q908" s="1064"/>
      <c r="R908" s="1070"/>
      <c r="S908" s="1094"/>
      <c r="T908" s="1064"/>
      <c r="U908" s="1064"/>
      <c r="V908" s="1119"/>
      <c r="W908" s="1064"/>
      <c r="X908" s="1012"/>
      <c r="Y908" s="372" t="s">
        <v>1404</v>
      </c>
      <c r="Z908" s="386">
        <v>38807503</v>
      </c>
      <c r="AA908" s="386">
        <v>0</v>
      </c>
      <c r="AB908" s="386">
        <f t="shared" si="55"/>
        <v>38807503</v>
      </c>
      <c r="AC908" s="384">
        <v>41347</v>
      </c>
      <c r="AD908" s="395">
        <v>38807503</v>
      </c>
      <c r="AE908" s="395" t="s">
        <v>149</v>
      </c>
      <c r="AF908" s="1045"/>
      <c r="AG908" s="1045"/>
      <c r="AH908" s="358">
        <f t="shared" si="54"/>
        <v>0</v>
      </c>
      <c r="AI908" s="1045"/>
      <c r="AJ908" s="1064"/>
      <c r="AK908" s="1064"/>
      <c r="AL908" s="1064"/>
      <c r="AM908" s="1064"/>
      <c r="AN908" s="1110"/>
      <c r="AO908" s="1105"/>
      <c r="AP908" s="1105"/>
      <c r="AQ908" s="1105"/>
    </row>
    <row r="909" spans="1:43" s="4" customFormat="1">
      <c r="A909" s="1023" t="s">
        <v>1408</v>
      </c>
      <c r="B909" s="1068">
        <v>40906</v>
      </c>
      <c r="C909" s="1023" t="s">
        <v>43</v>
      </c>
      <c r="D909" s="1023" t="s">
        <v>1233</v>
      </c>
      <c r="E909" s="1178">
        <v>10538292</v>
      </c>
      <c r="F909" s="1178"/>
      <c r="G909" s="1023" t="s">
        <v>1420</v>
      </c>
      <c r="H909" s="1023" t="s">
        <v>71</v>
      </c>
      <c r="I909" s="1023" t="s">
        <v>1235</v>
      </c>
      <c r="J909" s="1023" t="s">
        <v>66</v>
      </c>
      <c r="K909" s="1023" t="s">
        <v>183</v>
      </c>
      <c r="L909" s="1023" t="s">
        <v>1407</v>
      </c>
      <c r="M909" s="1286">
        <v>229</v>
      </c>
      <c r="N909" s="1065" t="s">
        <v>7</v>
      </c>
      <c r="O909" s="1043">
        <v>767715280</v>
      </c>
      <c r="P909" s="1043">
        <f>O909</f>
        <v>767715280</v>
      </c>
      <c r="Q909" s="1043">
        <f>P909</f>
        <v>767715280</v>
      </c>
      <c r="R909" s="1068">
        <v>40899</v>
      </c>
      <c r="S909" s="1089">
        <f>T909</f>
        <v>767715280</v>
      </c>
      <c r="T909" s="1089">
        <v>767715280</v>
      </c>
      <c r="U909" s="1089">
        <f>O909-T909</f>
        <v>0</v>
      </c>
      <c r="V909" s="1043">
        <v>759036147.48000002</v>
      </c>
      <c r="W909" s="1043">
        <f>V909</f>
        <v>759036147.48000002</v>
      </c>
      <c r="X909" s="1023" t="s">
        <v>1421</v>
      </c>
      <c r="Y909" s="372" t="s">
        <v>1424</v>
      </c>
      <c r="Z909" s="386">
        <v>0</v>
      </c>
      <c r="AA909" s="386">
        <v>379518073.74000001</v>
      </c>
      <c r="AB909" s="386">
        <f t="shared" si="55"/>
        <v>379518073.74000001</v>
      </c>
      <c r="AC909" s="384">
        <v>41079</v>
      </c>
      <c r="AD909" s="395">
        <v>379518074</v>
      </c>
      <c r="AE909" s="395" t="s">
        <v>7</v>
      </c>
      <c r="AF909" s="1043">
        <f>SUM(AD909:AD914)</f>
        <v>758901814</v>
      </c>
      <c r="AG909" s="1043">
        <f>AF909</f>
        <v>758901814</v>
      </c>
      <c r="AH909" s="358">
        <f t="shared" si="54"/>
        <v>-0.25999999046325684</v>
      </c>
      <c r="AI909" s="1043">
        <f>O909-SUM(AD909:AD914)</f>
        <v>8813466</v>
      </c>
      <c r="AJ909" s="1043">
        <f>SUM(Z909:Z914)-SUM(AD909:AD914)</f>
        <v>0</v>
      </c>
      <c r="AK909" s="1043">
        <f>P909-V909</f>
        <v>8679132.5199999809</v>
      </c>
      <c r="AL909" s="1043">
        <f>V909-SUM(Z909:Z914)</f>
        <v>134333.48000001907</v>
      </c>
      <c r="AM909" s="1043">
        <f>AK909+AL909</f>
        <v>8813466</v>
      </c>
      <c r="AN909" s="1023" t="s">
        <v>1423</v>
      </c>
      <c r="AO909" s="1023" t="s">
        <v>1422</v>
      </c>
      <c r="AP909" s="1103" t="s">
        <v>195</v>
      </c>
      <c r="AQ909" s="1103" t="s">
        <v>1414</v>
      </c>
    </row>
    <row r="910" spans="1:43" s="4" customFormat="1" ht="47.25">
      <c r="A910" s="1124"/>
      <c r="B910" s="1069"/>
      <c r="C910" s="1124"/>
      <c r="D910" s="1124"/>
      <c r="E910" s="1179"/>
      <c r="F910" s="1179"/>
      <c r="G910" s="1124"/>
      <c r="H910" s="1124"/>
      <c r="I910" s="1124"/>
      <c r="J910" s="1124"/>
      <c r="K910" s="1124"/>
      <c r="L910" s="1124"/>
      <c r="M910" s="1287"/>
      <c r="N910" s="1066"/>
      <c r="O910" s="1044"/>
      <c r="P910" s="1044"/>
      <c r="Q910" s="1044"/>
      <c r="R910" s="1069"/>
      <c r="S910" s="1090"/>
      <c r="T910" s="1090"/>
      <c r="U910" s="1090"/>
      <c r="V910" s="1044"/>
      <c r="W910" s="1044"/>
      <c r="X910" s="1124"/>
      <c r="Y910" s="372" t="s">
        <v>1425</v>
      </c>
      <c r="Z910" s="386">
        <v>257972994</v>
      </c>
      <c r="AA910" s="386">
        <v>-128986497</v>
      </c>
      <c r="AB910" s="386">
        <f t="shared" si="55"/>
        <v>128986497</v>
      </c>
      <c r="AC910" s="384">
        <v>41152</v>
      </c>
      <c r="AD910" s="395">
        <v>128986497</v>
      </c>
      <c r="AE910" s="395" t="s">
        <v>7</v>
      </c>
      <c r="AF910" s="1044"/>
      <c r="AG910" s="1044"/>
      <c r="AH910" s="358">
        <f t="shared" si="54"/>
        <v>0</v>
      </c>
      <c r="AI910" s="1044"/>
      <c r="AJ910" s="1044"/>
      <c r="AK910" s="1044"/>
      <c r="AL910" s="1044"/>
      <c r="AM910" s="1044"/>
      <c r="AN910" s="1124"/>
      <c r="AO910" s="1124"/>
      <c r="AP910" s="1104"/>
      <c r="AQ910" s="1104"/>
    </row>
    <row r="911" spans="1:43" s="4" customFormat="1" ht="47.25">
      <c r="A911" s="1124"/>
      <c r="B911" s="1069"/>
      <c r="C911" s="1124"/>
      <c r="D911" s="1124"/>
      <c r="E911" s="1179"/>
      <c r="F911" s="1179"/>
      <c r="G911" s="1124"/>
      <c r="H911" s="1124"/>
      <c r="I911" s="1124"/>
      <c r="J911" s="1124"/>
      <c r="K911" s="1124"/>
      <c r="L911" s="1124"/>
      <c r="M911" s="1287"/>
      <c r="N911" s="1066"/>
      <c r="O911" s="1044"/>
      <c r="P911" s="1044"/>
      <c r="Q911" s="1044"/>
      <c r="R911" s="1069"/>
      <c r="S911" s="1090"/>
      <c r="T911" s="1090"/>
      <c r="U911" s="1090"/>
      <c r="V911" s="1044"/>
      <c r="W911" s="1044"/>
      <c r="X911" s="1124"/>
      <c r="Y911" s="372" t="s">
        <v>1426</v>
      </c>
      <c r="Z911" s="386">
        <v>173373302</v>
      </c>
      <c r="AA911" s="386">
        <v>-86686651</v>
      </c>
      <c r="AB911" s="386">
        <f t="shared" si="55"/>
        <v>86686651</v>
      </c>
      <c r="AC911" s="384">
        <v>41169</v>
      </c>
      <c r="AD911" s="395">
        <v>86686651</v>
      </c>
      <c r="AE911" s="395" t="s">
        <v>7</v>
      </c>
      <c r="AF911" s="1044"/>
      <c r="AG911" s="1044"/>
      <c r="AH911" s="358">
        <f t="shared" si="54"/>
        <v>0</v>
      </c>
      <c r="AI911" s="1044"/>
      <c r="AJ911" s="1044"/>
      <c r="AK911" s="1044"/>
      <c r="AL911" s="1044"/>
      <c r="AM911" s="1044"/>
      <c r="AN911" s="1124"/>
      <c r="AO911" s="1124"/>
      <c r="AP911" s="1104"/>
      <c r="AQ911" s="1104"/>
    </row>
    <row r="912" spans="1:43" s="4" customFormat="1" ht="31.5">
      <c r="A912" s="1124"/>
      <c r="B912" s="1069"/>
      <c r="C912" s="1124"/>
      <c r="D912" s="1124"/>
      <c r="E912" s="1179"/>
      <c r="F912" s="1179"/>
      <c r="G912" s="1124"/>
      <c r="H912" s="1124"/>
      <c r="I912" s="1124"/>
      <c r="J912" s="1124"/>
      <c r="K912" s="1124"/>
      <c r="L912" s="1124"/>
      <c r="M912" s="1287"/>
      <c r="N912" s="1066"/>
      <c r="O912" s="1044"/>
      <c r="P912" s="1044"/>
      <c r="Q912" s="1044"/>
      <c r="R912" s="1069"/>
      <c r="S912" s="1090"/>
      <c r="T912" s="1090"/>
      <c r="U912" s="1090"/>
      <c r="V912" s="1044"/>
      <c r="W912" s="1044"/>
      <c r="X912" s="1124"/>
      <c r="Y912" s="372" t="s">
        <v>1427</v>
      </c>
      <c r="Z912" s="386">
        <v>141706923</v>
      </c>
      <c r="AA912" s="386">
        <v>-70853461</v>
      </c>
      <c r="AB912" s="386">
        <f t="shared" si="55"/>
        <v>70853462</v>
      </c>
      <c r="AC912" s="384">
        <v>41205</v>
      </c>
      <c r="AD912" s="395">
        <v>70853462</v>
      </c>
      <c r="AE912" s="395" t="s">
        <v>7</v>
      </c>
      <c r="AF912" s="1044"/>
      <c r="AG912" s="1044"/>
      <c r="AH912" s="358">
        <f t="shared" si="54"/>
        <v>0</v>
      </c>
      <c r="AI912" s="1044"/>
      <c r="AJ912" s="1044"/>
      <c r="AK912" s="1044"/>
      <c r="AL912" s="1044"/>
      <c r="AM912" s="1044"/>
      <c r="AN912" s="1124"/>
      <c r="AO912" s="1124"/>
      <c r="AP912" s="1104"/>
      <c r="AQ912" s="1104"/>
    </row>
    <row r="913" spans="1:43" s="4" customFormat="1" ht="47.25">
      <c r="A913" s="1124"/>
      <c r="B913" s="1069"/>
      <c r="C913" s="1124"/>
      <c r="D913" s="1124"/>
      <c r="E913" s="1179"/>
      <c r="F913" s="1179"/>
      <c r="G913" s="1124"/>
      <c r="H913" s="1124"/>
      <c r="I913" s="1124"/>
      <c r="J913" s="1124"/>
      <c r="K913" s="1124"/>
      <c r="L913" s="1124"/>
      <c r="M913" s="1287"/>
      <c r="N913" s="1066"/>
      <c r="O913" s="1044"/>
      <c r="P913" s="1044"/>
      <c r="Q913" s="1044"/>
      <c r="R913" s="1069"/>
      <c r="S913" s="1090"/>
      <c r="T913" s="1090"/>
      <c r="U913" s="1090"/>
      <c r="V913" s="1044"/>
      <c r="W913" s="1044"/>
      <c r="X913" s="1124"/>
      <c r="Y913" s="372" t="s">
        <v>1428</v>
      </c>
      <c r="Z913" s="386">
        <v>103750951</v>
      </c>
      <c r="AA913" s="386">
        <v>-51875476</v>
      </c>
      <c r="AB913" s="386">
        <f t="shared" si="55"/>
        <v>51875475</v>
      </c>
      <c r="AC913" s="384">
        <v>41239</v>
      </c>
      <c r="AD913" s="395">
        <v>51875475</v>
      </c>
      <c r="AE913" s="395" t="s">
        <v>7</v>
      </c>
      <c r="AF913" s="1044"/>
      <c r="AG913" s="1044"/>
      <c r="AH913" s="358">
        <f t="shared" si="54"/>
        <v>0</v>
      </c>
      <c r="AI913" s="1044"/>
      <c r="AJ913" s="1044"/>
      <c r="AK913" s="1044"/>
      <c r="AL913" s="1044"/>
      <c r="AM913" s="1044"/>
      <c r="AN913" s="1124"/>
      <c r="AO913" s="1124"/>
      <c r="AP913" s="1104"/>
      <c r="AQ913" s="1104"/>
    </row>
    <row r="914" spans="1:43" s="4" customFormat="1" ht="47.25">
      <c r="A914" s="1024"/>
      <c r="B914" s="1070"/>
      <c r="C914" s="1024"/>
      <c r="D914" s="1024"/>
      <c r="E914" s="1180"/>
      <c r="F914" s="1180"/>
      <c r="G914" s="1024"/>
      <c r="H914" s="1024"/>
      <c r="I914" s="1024"/>
      <c r="J914" s="1024"/>
      <c r="K914" s="1024"/>
      <c r="L914" s="1024"/>
      <c r="M914" s="1288"/>
      <c r="N914" s="1067"/>
      <c r="O914" s="1045"/>
      <c r="P914" s="1045"/>
      <c r="Q914" s="1045"/>
      <c r="R914" s="1070"/>
      <c r="S914" s="1091"/>
      <c r="T914" s="1091"/>
      <c r="U914" s="1091"/>
      <c r="V914" s="1045"/>
      <c r="W914" s="1045"/>
      <c r="X914" s="1024"/>
      <c r="Y914" s="372" t="s">
        <v>1429</v>
      </c>
      <c r="Z914" s="386">
        <v>82097644</v>
      </c>
      <c r="AA914" s="386">
        <v>-41115989</v>
      </c>
      <c r="AB914" s="386">
        <f t="shared" si="55"/>
        <v>40981655</v>
      </c>
      <c r="AC914" s="384">
        <v>41451</v>
      </c>
      <c r="AD914" s="395">
        <v>40981655</v>
      </c>
      <c r="AE914" s="395" t="s">
        <v>7</v>
      </c>
      <c r="AF914" s="1045"/>
      <c r="AG914" s="1045"/>
      <c r="AH914" s="358">
        <f t="shared" ref="AH914:AH977" si="56">AB914-AD914</f>
        <v>0</v>
      </c>
      <c r="AI914" s="1045"/>
      <c r="AJ914" s="1045"/>
      <c r="AK914" s="1045"/>
      <c r="AL914" s="1045"/>
      <c r="AM914" s="1045"/>
      <c r="AN914" s="1024"/>
      <c r="AO914" s="1024"/>
      <c r="AP914" s="1105"/>
      <c r="AQ914" s="1105"/>
    </row>
    <row r="915" spans="1:43" ht="15.75" customHeight="1">
      <c r="A915" s="1011" t="s">
        <v>1409</v>
      </c>
      <c r="B915" s="1068">
        <v>41176</v>
      </c>
      <c r="C915" s="1011" t="s">
        <v>13</v>
      </c>
      <c r="D915" s="1011" t="s">
        <v>1411</v>
      </c>
      <c r="E915" s="1071">
        <v>900491769</v>
      </c>
      <c r="F915" s="1071">
        <v>5</v>
      </c>
      <c r="G915" s="1011" t="s">
        <v>1410</v>
      </c>
      <c r="H915" s="1011" t="s">
        <v>72</v>
      </c>
      <c r="I915" s="1011" t="s">
        <v>206</v>
      </c>
      <c r="J915" s="1011" t="s">
        <v>66</v>
      </c>
      <c r="K915" s="1011" t="s">
        <v>49</v>
      </c>
      <c r="L915" s="1011" t="s">
        <v>1413</v>
      </c>
      <c r="M915" s="1286">
        <v>174</v>
      </c>
      <c r="N915" s="1065" t="s">
        <v>7</v>
      </c>
      <c r="O915" s="1062">
        <v>55728140</v>
      </c>
      <c r="P915" s="1062">
        <v>55728140</v>
      </c>
      <c r="Q915" s="1062">
        <v>55728140</v>
      </c>
      <c r="R915" s="1068">
        <v>40745</v>
      </c>
      <c r="S915" s="1092"/>
      <c r="T915" s="1092"/>
      <c r="U915" s="1092"/>
      <c r="V915" s="1062">
        <v>55728140</v>
      </c>
      <c r="W915" s="1062">
        <v>55728140</v>
      </c>
      <c r="X915" s="1011" t="s">
        <v>1412</v>
      </c>
      <c r="Y915" s="1065" t="s">
        <v>1419</v>
      </c>
      <c r="Z915" s="1062">
        <v>12673966.82</v>
      </c>
      <c r="AA915" s="1062">
        <v>0</v>
      </c>
      <c r="AB915" s="386">
        <v>3529985.74</v>
      </c>
      <c r="AC915" s="1068">
        <v>41347</v>
      </c>
      <c r="AD915" s="395">
        <v>3529985.74</v>
      </c>
      <c r="AE915" s="395" t="s">
        <v>7</v>
      </c>
      <c r="AF915" s="1043">
        <f>SUM(AD915:AD941)</f>
        <v>44971656.809999995</v>
      </c>
      <c r="AG915" s="1043">
        <f>AF915</f>
        <v>44971656.809999995</v>
      </c>
      <c r="AH915" s="358">
        <f t="shared" si="56"/>
        <v>0</v>
      </c>
      <c r="AI915" s="1043">
        <f>O915-SUM(AD915:AD941)</f>
        <v>10756483.190000005</v>
      </c>
      <c r="AJ915" s="1062">
        <f>SUM(Z915:Z941)-SUM(AD915:AD941)</f>
        <v>1910386.5100000054</v>
      </c>
      <c r="AK915" s="1062">
        <f>O915-V915</f>
        <v>0</v>
      </c>
      <c r="AL915" s="1062">
        <f>V915-SUM(Z915:Z941)</f>
        <v>8846096.6799999997</v>
      </c>
      <c r="AM915" s="1119"/>
      <c r="AN915" s="1108"/>
      <c r="AO915" s="1357" t="s">
        <v>1442</v>
      </c>
      <c r="AP915" s="1103" t="s">
        <v>194</v>
      </c>
      <c r="AQ915" s="1103" t="s">
        <v>1414</v>
      </c>
    </row>
    <row r="916" spans="1:43">
      <c r="A916" s="1033"/>
      <c r="B916" s="1069"/>
      <c r="C916" s="1033"/>
      <c r="D916" s="1033"/>
      <c r="E916" s="1072"/>
      <c r="F916" s="1072"/>
      <c r="G916" s="1033"/>
      <c r="H916" s="1033"/>
      <c r="I916" s="1033"/>
      <c r="J916" s="1033"/>
      <c r="K916" s="1033"/>
      <c r="L916" s="1033"/>
      <c r="M916" s="1287"/>
      <c r="N916" s="1066"/>
      <c r="O916" s="1063"/>
      <c r="P916" s="1063"/>
      <c r="Q916" s="1063"/>
      <c r="R916" s="1069"/>
      <c r="S916" s="1093"/>
      <c r="T916" s="1093"/>
      <c r="U916" s="1093"/>
      <c r="V916" s="1063"/>
      <c r="W916" s="1063"/>
      <c r="X916" s="1033"/>
      <c r="Y916" s="1066"/>
      <c r="Z916" s="1063"/>
      <c r="AA916" s="1063"/>
      <c r="AB916" s="386">
        <v>725971.14</v>
      </c>
      <c r="AC916" s="1069"/>
      <c r="AD916" s="395">
        <v>0</v>
      </c>
      <c r="AE916" s="395"/>
      <c r="AF916" s="1044"/>
      <c r="AG916" s="1044"/>
      <c r="AH916" s="358">
        <f t="shared" si="56"/>
        <v>725971.14</v>
      </c>
      <c r="AI916" s="1044"/>
      <c r="AJ916" s="1063"/>
      <c r="AK916" s="1063"/>
      <c r="AL916" s="1063"/>
      <c r="AM916" s="1119"/>
      <c r="AN916" s="1109"/>
      <c r="AO916" s="1358"/>
      <c r="AP916" s="1104"/>
      <c r="AQ916" s="1104"/>
    </row>
    <row r="917" spans="1:43">
      <c r="A917" s="1033"/>
      <c r="B917" s="1069"/>
      <c r="C917" s="1012"/>
      <c r="D917" s="1033"/>
      <c r="E917" s="1072"/>
      <c r="F917" s="1072"/>
      <c r="G917" s="1033"/>
      <c r="H917" s="1033"/>
      <c r="I917" s="1033"/>
      <c r="J917" s="1033"/>
      <c r="K917" s="1033"/>
      <c r="L917" s="1033"/>
      <c r="M917" s="1287"/>
      <c r="N917" s="1066"/>
      <c r="O917" s="1063"/>
      <c r="P917" s="1063"/>
      <c r="Q917" s="1063"/>
      <c r="R917" s="1069"/>
      <c r="S917" s="1093"/>
      <c r="T917" s="1093"/>
      <c r="U917" s="1093"/>
      <c r="V917" s="1063"/>
      <c r="W917" s="1063"/>
      <c r="X917" s="1033"/>
      <c r="Y917" s="1066"/>
      <c r="Z917" s="1063"/>
      <c r="AA917" s="1063"/>
      <c r="AB917" s="386">
        <v>917146.01</v>
      </c>
      <c r="AC917" s="1069"/>
      <c r="AD917" s="395">
        <v>0</v>
      </c>
      <c r="AE917" s="395"/>
      <c r="AF917" s="1044"/>
      <c r="AG917" s="1044"/>
      <c r="AH917" s="358">
        <f t="shared" si="56"/>
        <v>917146.01</v>
      </c>
      <c r="AI917" s="1044"/>
      <c r="AJ917" s="1063"/>
      <c r="AK917" s="1063"/>
      <c r="AL917" s="1063"/>
      <c r="AM917" s="1119"/>
      <c r="AN917" s="1109"/>
      <c r="AO917" s="1358"/>
      <c r="AP917" s="1104"/>
      <c r="AQ917" s="1104"/>
    </row>
    <row r="918" spans="1:43">
      <c r="A918" s="1033"/>
      <c r="B918" s="1069"/>
      <c r="C918" s="1011" t="s">
        <v>40</v>
      </c>
      <c r="D918" s="1033"/>
      <c r="E918" s="1072"/>
      <c r="F918" s="1072"/>
      <c r="G918" s="1033"/>
      <c r="H918" s="1033"/>
      <c r="I918" s="1033"/>
      <c r="J918" s="1033"/>
      <c r="K918" s="1033"/>
      <c r="L918" s="1033"/>
      <c r="M918" s="1287"/>
      <c r="N918" s="1066"/>
      <c r="O918" s="1063"/>
      <c r="P918" s="1063"/>
      <c r="Q918" s="1063"/>
      <c r="R918" s="1069"/>
      <c r="S918" s="1093"/>
      <c r="T918" s="1093"/>
      <c r="U918" s="1093"/>
      <c r="V918" s="1063"/>
      <c r="W918" s="1063"/>
      <c r="X918" s="1033"/>
      <c r="Y918" s="1066"/>
      <c r="Z918" s="1063"/>
      <c r="AA918" s="1063"/>
      <c r="AB918" s="386">
        <v>2537029.33</v>
      </c>
      <c r="AC918" s="1069"/>
      <c r="AD918" s="395">
        <v>2537029.33</v>
      </c>
      <c r="AE918" s="395" t="s">
        <v>7</v>
      </c>
      <c r="AF918" s="1044"/>
      <c r="AG918" s="1044"/>
      <c r="AH918" s="358">
        <f t="shared" si="56"/>
        <v>0</v>
      </c>
      <c r="AI918" s="1044"/>
      <c r="AJ918" s="1063"/>
      <c r="AK918" s="1063"/>
      <c r="AL918" s="1063"/>
      <c r="AM918" s="1119"/>
      <c r="AN918" s="1109"/>
      <c r="AO918" s="1358"/>
      <c r="AP918" s="1104"/>
      <c r="AQ918" s="1104"/>
    </row>
    <row r="919" spans="1:43">
      <c r="A919" s="1033"/>
      <c r="B919" s="1069"/>
      <c r="C919" s="1033"/>
      <c r="D919" s="1033"/>
      <c r="E919" s="1072"/>
      <c r="F919" s="1072"/>
      <c r="G919" s="1033"/>
      <c r="H919" s="1033"/>
      <c r="I919" s="1033"/>
      <c r="J919" s="1033"/>
      <c r="K919" s="1033"/>
      <c r="L919" s="1033"/>
      <c r="M919" s="1287"/>
      <c r="N919" s="1066"/>
      <c r="O919" s="1063"/>
      <c r="P919" s="1063"/>
      <c r="Q919" s="1063"/>
      <c r="R919" s="1069"/>
      <c r="S919" s="1093"/>
      <c r="T919" s="1093"/>
      <c r="U919" s="1093"/>
      <c r="V919" s="1063"/>
      <c r="W919" s="1063"/>
      <c r="X919" s="1033"/>
      <c r="Y919" s="1066"/>
      <c r="Z919" s="1063"/>
      <c r="AA919" s="1063"/>
      <c r="AB919" s="386">
        <v>1823296.92</v>
      </c>
      <c r="AC919" s="1069"/>
      <c r="AD919" s="395">
        <v>1823296.92</v>
      </c>
      <c r="AE919" s="395" t="s">
        <v>7</v>
      </c>
      <c r="AF919" s="1044"/>
      <c r="AG919" s="1044"/>
      <c r="AH919" s="358">
        <f t="shared" si="56"/>
        <v>0</v>
      </c>
      <c r="AI919" s="1044"/>
      <c r="AJ919" s="1063"/>
      <c r="AK919" s="1063"/>
      <c r="AL919" s="1063"/>
      <c r="AM919" s="1119"/>
      <c r="AN919" s="1109"/>
      <c r="AO919" s="1358"/>
      <c r="AP919" s="1104"/>
      <c r="AQ919" s="1104"/>
    </row>
    <row r="920" spans="1:43">
      <c r="A920" s="1033"/>
      <c r="B920" s="1069"/>
      <c r="C920" s="1012"/>
      <c r="D920" s="1033"/>
      <c r="E920" s="1072"/>
      <c r="F920" s="1072"/>
      <c r="G920" s="1033"/>
      <c r="H920" s="1033"/>
      <c r="I920" s="1033"/>
      <c r="J920" s="1033"/>
      <c r="K920" s="1033"/>
      <c r="L920" s="1033"/>
      <c r="M920" s="1287"/>
      <c r="N920" s="1066"/>
      <c r="O920" s="1063"/>
      <c r="P920" s="1063"/>
      <c r="Q920" s="1063"/>
      <c r="R920" s="1069"/>
      <c r="S920" s="1093"/>
      <c r="T920" s="1093"/>
      <c r="U920" s="1093"/>
      <c r="V920" s="1063"/>
      <c r="W920" s="1063"/>
      <c r="X920" s="1033"/>
      <c r="Y920" s="1066"/>
      <c r="Z920" s="1063"/>
      <c r="AA920" s="1063"/>
      <c r="AB920" s="386">
        <v>457518.5</v>
      </c>
      <c r="AC920" s="1069"/>
      <c r="AD920" s="395">
        <v>457518.5</v>
      </c>
      <c r="AE920" s="395" t="s">
        <v>7</v>
      </c>
      <c r="AF920" s="1044"/>
      <c r="AG920" s="1044"/>
      <c r="AH920" s="358">
        <f t="shared" si="56"/>
        <v>0</v>
      </c>
      <c r="AI920" s="1044"/>
      <c r="AJ920" s="1063"/>
      <c r="AK920" s="1063"/>
      <c r="AL920" s="1063"/>
      <c r="AM920" s="1119"/>
      <c r="AN920" s="1109"/>
      <c r="AO920" s="1358"/>
      <c r="AP920" s="1104"/>
      <c r="AQ920" s="1104"/>
    </row>
    <row r="921" spans="1:43">
      <c r="A921" s="1033"/>
      <c r="B921" s="1069"/>
      <c r="C921" s="1011" t="s">
        <v>31</v>
      </c>
      <c r="D921" s="1033"/>
      <c r="E921" s="1072"/>
      <c r="F921" s="1072"/>
      <c r="G921" s="1033"/>
      <c r="H921" s="1033"/>
      <c r="I921" s="1033"/>
      <c r="J921" s="1033"/>
      <c r="K921" s="1033"/>
      <c r="L921" s="1033"/>
      <c r="M921" s="1287"/>
      <c r="N921" s="1066"/>
      <c r="O921" s="1063"/>
      <c r="P921" s="1063"/>
      <c r="Q921" s="1063"/>
      <c r="R921" s="1069"/>
      <c r="S921" s="1093"/>
      <c r="T921" s="1093"/>
      <c r="U921" s="1093"/>
      <c r="V921" s="1063"/>
      <c r="W921" s="1063"/>
      <c r="X921" s="1033"/>
      <c r="Y921" s="1066"/>
      <c r="Z921" s="1063"/>
      <c r="AA921" s="1063"/>
      <c r="AB921" s="386">
        <v>1817604.62</v>
      </c>
      <c r="AC921" s="1069"/>
      <c r="AD921" s="395">
        <v>1817604.62</v>
      </c>
      <c r="AE921" s="395" t="s">
        <v>7</v>
      </c>
      <c r="AF921" s="1044"/>
      <c r="AG921" s="1044"/>
      <c r="AH921" s="358">
        <f t="shared" si="56"/>
        <v>0</v>
      </c>
      <c r="AI921" s="1044"/>
      <c r="AJ921" s="1063"/>
      <c r="AK921" s="1063"/>
      <c r="AL921" s="1063"/>
      <c r="AM921" s="1119"/>
      <c r="AN921" s="1109"/>
      <c r="AO921" s="1358"/>
      <c r="AP921" s="1104"/>
      <c r="AQ921" s="1104"/>
    </row>
    <row r="922" spans="1:43">
      <c r="A922" s="1033"/>
      <c r="B922" s="1069"/>
      <c r="C922" s="1033"/>
      <c r="D922" s="1033"/>
      <c r="E922" s="1072"/>
      <c r="F922" s="1072"/>
      <c r="G922" s="1033"/>
      <c r="H922" s="1033"/>
      <c r="I922" s="1033"/>
      <c r="J922" s="1033"/>
      <c r="K922" s="1033"/>
      <c r="L922" s="1033"/>
      <c r="M922" s="1287"/>
      <c r="N922" s="1066"/>
      <c r="O922" s="1063"/>
      <c r="P922" s="1063"/>
      <c r="Q922" s="1063"/>
      <c r="R922" s="1069"/>
      <c r="S922" s="1093"/>
      <c r="T922" s="1093"/>
      <c r="U922" s="1093"/>
      <c r="V922" s="1063"/>
      <c r="W922" s="1063"/>
      <c r="X922" s="1033"/>
      <c r="Y922" s="1066"/>
      <c r="Z922" s="1063"/>
      <c r="AA922" s="1063"/>
      <c r="AB922" s="386">
        <v>598145.21</v>
      </c>
      <c r="AC922" s="1069"/>
      <c r="AD922" s="395">
        <v>598145.21</v>
      </c>
      <c r="AE922" s="395" t="s">
        <v>7</v>
      </c>
      <c r="AF922" s="1044"/>
      <c r="AG922" s="1044"/>
      <c r="AH922" s="358">
        <f t="shared" si="56"/>
        <v>0</v>
      </c>
      <c r="AI922" s="1044"/>
      <c r="AJ922" s="1063"/>
      <c r="AK922" s="1063"/>
      <c r="AL922" s="1063"/>
      <c r="AM922" s="1119"/>
      <c r="AN922" s="1109"/>
      <c r="AO922" s="1358"/>
      <c r="AP922" s="1104"/>
      <c r="AQ922" s="1104"/>
    </row>
    <row r="923" spans="1:43">
      <c r="A923" s="1033"/>
      <c r="B923" s="1069"/>
      <c r="C923" s="1012"/>
      <c r="D923" s="1033"/>
      <c r="E923" s="1072"/>
      <c r="F923" s="1072"/>
      <c r="G923" s="1033"/>
      <c r="H923" s="1033"/>
      <c r="I923" s="1033"/>
      <c r="J923" s="1033"/>
      <c r="K923" s="1033"/>
      <c r="L923" s="1033"/>
      <c r="M923" s="1287"/>
      <c r="N923" s="1066"/>
      <c r="O923" s="1063"/>
      <c r="P923" s="1063"/>
      <c r="Q923" s="1063"/>
      <c r="R923" s="1069"/>
      <c r="S923" s="1093"/>
      <c r="T923" s="1093"/>
      <c r="U923" s="1093"/>
      <c r="V923" s="1063"/>
      <c r="W923" s="1063"/>
      <c r="X923" s="1033"/>
      <c r="Y923" s="1067"/>
      <c r="Z923" s="1064"/>
      <c r="AA923" s="1064"/>
      <c r="AB923" s="386">
        <v>267269.36</v>
      </c>
      <c r="AC923" s="1070"/>
      <c r="AD923" s="395">
        <v>0</v>
      </c>
      <c r="AE923" s="395"/>
      <c r="AF923" s="1044"/>
      <c r="AG923" s="1044"/>
      <c r="AH923" s="358">
        <f t="shared" si="56"/>
        <v>267269.36</v>
      </c>
      <c r="AI923" s="1044"/>
      <c r="AJ923" s="1063"/>
      <c r="AK923" s="1063"/>
      <c r="AL923" s="1063"/>
      <c r="AM923" s="1119"/>
      <c r="AN923" s="1109"/>
      <c r="AO923" s="1358"/>
      <c r="AP923" s="1104"/>
      <c r="AQ923" s="1104"/>
    </row>
    <row r="924" spans="1:43">
      <c r="A924" s="1033"/>
      <c r="B924" s="1069"/>
      <c r="C924" s="1011" t="s">
        <v>42</v>
      </c>
      <c r="D924" s="1033"/>
      <c r="E924" s="1072"/>
      <c r="F924" s="1072"/>
      <c r="G924" s="1033"/>
      <c r="H924" s="1033"/>
      <c r="I924" s="1033"/>
      <c r="J924" s="1033"/>
      <c r="K924" s="1033"/>
      <c r="L924" s="1033"/>
      <c r="M924" s="1287"/>
      <c r="N924" s="1066"/>
      <c r="O924" s="1063"/>
      <c r="P924" s="1063"/>
      <c r="Q924" s="1063"/>
      <c r="R924" s="1069"/>
      <c r="S924" s="1093"/>
      <c r="T924" s="1093"/>
      <c r="U924" s="1093"/>
      <c r="V924" s="1063"/>
      <c r="W924" s="1063"/>
      <c r="X924" s="1033"/>
      <c r="Y924" s="1065" t="s">
        <v>1415</v>
      </c>
      <c r="Z924" s="1062">
        <v>14109490.16</v>
      </c>
      <c r="AA924" s="1062">
        <v>0</v>
      </c>
      <c r="AB924" s="386">
        <v>4096875.3</v>
      </c>
      <c r="AC924" s="1068">
        <v>41415</v>
      </c>
      <c r="AD924" s="395">
        <v>4096875.3</v>
      </c>
      <c r="AE924" s="395" t="s">
        <v>7</v>
      </c>
      <c r="AF924" s="1044"/>
      <c r="AG924" s="1044"/>
      <c r="AH924" s="358">
        <f t="shared" si="56"/>
        <v>0</v>
      </c>
      <c r="AI924" s="1044"/>
      <c r="AJ924" s="1063"/>
      <c r="AK924" s="1063"/>
      <c r="AL924" s="1063"/>
      <c r="AM924" s="1119"/>
      <c r="AN924" s="1109"/>
      <c r="AO924" s="1358"/>
      <c r="AP924" s="1104"/>
      <c r="AQ924" s="1104"/>
    </row>
    <row r="925" spans="1:43">
      <c r="A925" s="1033"/>
      <c r="B925" s="1069"/>
      <c r="C925" s="1033"/>
      <c r="D925" s="1033"/>
      <c r="E925" s="1072"/>
      <c r="F925" s="1072"/>
      <c r="G925" s="1033"/>
      <c r="H925" s="1033"/>
      <c r="I925" s="1033"/>
      <c r="J925" s="1033"/>
      <c r="K925" s="1033"/>
      <c r="L925" s="1033"/>
      <c r="M925" s="1287"/>
      <c r="N925" s="1066"/>
      <c r="O925" s="1063"/>
      <c r="P925" s="1063"/>
      <c r="Q925" s="1063"/>
      <c r="R925" s="1069"/>
      <c r="S925" s="1093"/>
      <c r="T925" s="1093"/>
      <c r="U925" s="1093"/>
      <c r="V925" s="1063"/>
      <c r="W925" s="1063"/>
      <c r="X925" s="1033"/>
      <c r="Y925" s="1066"/>
      <c r="Z925" s="1063"/>
      <c r="AA925" s="1063"/>
      <c r="AB925" s="386">
        <v>4290003.29</v>
      </c>
      <c r="AC925" s="1069"/>
      <c r="AD925" s="395">
        <v>4290003.29</v>
      </c>
      <c r="AE925" s="395" t="s">
        <v>7</v>
      </c>
      <c r="AF925" s="1044"/>
      <c r="AG925" s="1044"/>
      <c r="AH925" s="358">
        <f t="shared" si="56"/>
        <v>0</v>
      </c>
      <c r="AI925" s="1044"/>
      <c r="AJ925" s="1063"/>
      <c r="AK925" s="1063"/>
      <c r="AL925" s="1063"/>
      <c r="AM925" s="1119"/>
      <c r="AN925" s="1109"/>
      <c r="AO925" s="1358"/>
      <c r="AP925" s="1104"/>
      <c r="AQ925" s="1104"/>
    </row>
    <row r="926" spans="1:43">
      <c r="A926" s="1033"/>
      <c r="B926" s="1069"/>
      <c r="C926" s="1033"/>
      <c r="D926" s="1033"/>
      <c r="E926" s="1072"/>
      <c r="F926" s="1072"/>
      <c r="G926" s="1033"/>
      <c r="H926" s="1033"/>
      <c r="I926" s="1033"/>
      <c r="J926" s="1033"/>
      <c r="K926" s="1033"/>
      <c r="L926" s="1033"/>
      <c r="M926" s="1287"/>
      <c r="N926" s="1066"/>
      <c r="O926" s="1063"/>
      <c r="P926" s="1063"/>
      <c r="Q926" s="1063"/>
      <c r="R926" s="1069"/>
      <c r="S926" s="1093"/>
      <c r="T926" s="1093"/>
      <c r="U926" s="1093"/>
      <c r="V926" s="1063"/>
      <c r="W926" s="1063"/>
      <c r="X926" s="1033"/>
      <c r="Y926" s="1066"/>
      <c r="Z926" s="1063"/>
      <c r="AA926" s="1063"/>
      <c r="AB926" s="386">
        <v>1244564.57</v>
      </c>
      <c r="AC926" s="1069"/>
      <c r="AD926" s="395">
        <v>1244564.57</v>
      </c>
      <c r="AE926" s="395" t="s">
        <v>7</v>
      </c>
      <c r="AF926" s="1044"/>
      <c r="AG926" s="1044"/>
      <c r="AH926" s="358">
        <f t="shared" si="56"/>
        <v>0</v>
      </c>
      <c r="AI926" s="1044"/>
      <c r="AJ926" s="1063"/>
      <c r="AK926" s="1063"/>
      <c r="AL926" s="1063"/>
      <c r="AM926" s="1119"/>
      <c r="AN926" s="1109"/>
      <c r="AO926" s="1358"/>
      <c r="AP926" s="1104"/>
      <c r="AQ926" s="1104"/>
    </row>
    <row r="927" spans="1:43">
      <c r="A927" s="1033"/>
      <c r="B927" s="1069"/>
      <c r="C927" s="1012"/>
      <c r="D927" s="1033"/>
      <c r="E927" s="1072"/>
      <c r="F927" s="1072"/>
      <c r="G927" s="1033"/>
      <c r="H927" s="1033"/>
      <c r="I927" s="1033"/>
      <c r="J927" s="1033"/>
      <c r="K927" s="1033"/>
      <c r="L927" s="1033"/>
      <c r="M927" s="1287"/>
      <c r="N927" s="1066"/>
      <c r="O927" s="1063"/>
      <c r="P927" s="1063"/>
      <c r="Q927" s="1063"/>
      <c r="R927" s="1069"/>
      <c r="S927" s="1093"/>
      <c r="T927" s="1093"/>
      <c r="U927" s="1093"/>
      <c r="V927" s="1063"/>
      <c r="W927" s="1063"/>
      <c r="X927" s="1033"/>
      <c r="Y927" s="1066"/>
      <c r="Z927" s="1063"/>
      <c r="AA927" s="1063"/>
      <c r="AB927" s="386">
        <v>635581.25</v>
      </c>
      <c r="AC927" s="1069"/>
      <c r="AD927" s="395">
        <v>635581.25</v>
      </c>
      <c r="AE927" s="395" t="s">
        <v>7</v>
      </c>
      <c r="AF927" s="1044"/>
      <c r="AG927" s="1044"/>
      <c r="AH927" s="358">
        <f t="shared" si="56"/>
        <v>0</v>
      </c>
      <c r="AI927" s="1044"/>
      <c r="AJ927" s="1063"/>
      <c r="AK927" s="1063"/>
      <c r="AL927" s="1063"/>
      <c r="AM927" s="1119"/>
      <c r="AN927" s="1109"/>
      <c r="AO927" s="1358"/>
      <c r="AP927" s="1104"/>
      <c r="AQ927" s="1104"/>
    </row>
    <row r="928" spans="1:43">
      <c r="A928" s="1033"/>
      <c r="B928" s="1069"/>
      <c r="C928" s="1011" t="s">
        <v>1297</v>
      </c>
      <c r="D928" s="1033"/>
      <c r="E928" s="1072"/>
      <c r="F928" s="1072"/>
      <c r="G928" s="1033"/>
      <c r="H928" s="1033"/>
      <c r="I928" s="1033"/>
      <c r="J928" s="1033"/>
      <c r="K928" s="1033"/>
      <c r="L928" s="1033"/>
      <c r="M928" s="1287"/>
      <c r="N928" s="1066"/>
      <c r="O928" s="1063"/>
      <c r="P928" s="1063"/>
      <c r="Q928" s="1063"/>
      <c r="R928" s="1069"/>
      <c r="S928" s="1093"/>
      <c r="T928" s="1093"/>
      <c r="U928" s="1093"/>
      <c r="V928" s="1063"/>
      <c r="W928" s="1063"/>
      <c r="X928" s="1033"/>
      <c r="Y928" s="1066"/>
      <c r="Z928" s="1063"/>
      <c r="AA928" s="1063"/>
      <c r="AB928" s="386">
        <v>601668.16</v>
      </c>
      <c r="AC928" s="1069"/>
      <c r="AD928" s="395">
        <v>601668.16</v>
      </c>
      <c r="AE928" s="395" t="s">
        <v>7</v>
      </c>
      <c r="AF928" s="1044"/>
      <c r="AG928" s="1044"/>
      <c r="AH928" s="358">
        <f t="shared" si="56"/>
        <v>0</v>
      </c>
      <c r="AI928" s="1044"/>
      <c r="AJ928" s="1063"/>
      <c r="AK928" s="1063"/>
      <c r="AL928" s="1063"/>
      <c r="AM928" s="1119"/>
      <c r="AN928" s="1109"/>
      <c r="AO928" s="1358"/>
      <c r="AP928" s="1104"/>
      <c r="AQ928" s="1104"/>
    </row>
    <row r="929" spans="1:43">
      <c r="A929" s="1033"/>
      <c r="B929" s="1069"/>
      <c r="C929" s="1033"/>
      <c r="D929" s="1033"/>
      <c r="E929" s="1072"/>
      <c r="F929" s="1072"/>
      <c r="G929" s="1033"/>
      <c r="H929" s="1033"/>
      <c r="I929" s="1033"/>
      <c r="J929" s="1033"/>
      <c r="K929" s="1033"/>
      <c r="L929" s="1033"/>
      <c r="M929" s="1287"/>
      <c r="N929" s="1066"/>
      <c r="O929" s="1063"/>
      <c r="P929" s="1063"/>
      <c r="Q929" s="1063"/>
      <c r="R929" s="1069"/>
      <c r="S929" s="1093"/>
      <c r="T929" s="1093"/>
      <c r="U929" s="1093"/>
      <c r="V929" s="1063"/>
      <c r="W929" s="1063"/>
      <c r="X929" s="1033"/>
      <c r="Y929" s="1066"/>
      <c r="Z929" s="1063"/>
      <c r="AA929" s="1063"/>
      <c r="AB929" s="386">
        <v>1302025.55</v>
      </c>
      <c r="AC929" s="1069"/>
      <c r="AD929" s="395">
        <v>1302025.55</v>
      </c>
      <c r="AE929" s="395" t="s">
        <v>7</v>
      </c>
      <c r="AF929" s="1044"/>
      <c r="AG929" s="1044"/>
      <c r="AH929" s="358">
        <f t="shared" si="56"/>
        <v>0</v>
      </c>
      <c r="AI929" s="1044"/>
      <c r="AJ929" s="1063"/>
      <c r="AK929" s="1063"/>
      <c r="AL929" s="1063"/>
      <c r="AM929" s="1119"/>
      <c r="AN929" s="1109"/>
      <c r="AO929" s="1358"/>
      <c r="AP929" s="1104"/>
      <c r="AQ929" s="1104"/>
    </row>
    <row r="930" spans="1:43">
      <c r="A930" s="1033"/>
      <c r="B930" s="1069"/>
      <c r="C930" s="1033"/>
      <c r="D930" s="1033"/>
      <c r="E930" s="1072"/>
      <c r="F930" s="1072"/>
      <c r="G930" s="1033"/>
      <c r="H930" s="1033"/>
      <c r="I930" s="1033"/>
      <c r="J930" s="1033"/>
      <c r="K930" s="1033"/>
      <c r="L930" s="1033"/>
      <c r="M930" s="1287"/>
      <c r="N930" s="1066"/>
      <c r="O930" s="1063"/>
      <c r="P930" s="1063"/>
      <c r="Q930" s="1063"/>
      <c r="R930" s="1069"/>
      <c r="S930" s="1093"/>
      <c r="T930" s="1093"/>
      <c r="U930" s="1093"/>
      <c r="V930" s="1063"/>
      <c r="W930" s="1063"/>
      <c r="X930" s="1033"/>
      <c r="Y930" s="1067"/>
      <c r="Z930" s="1064"/>
      <c r="AA930" s="1064"/>
      <c r="AB930" s="386">
        <v>1938772.04</v>
      </c>
      <c r="AC930" s="1070"/>
      <c r="AD930" s="395">
        <v>1938772.04</v>
      </c>
      <c r="AE930" s="395" t="s">
        <v>7</v>
      </c>
      <c r="AF930" s="1044"/>
      <c r="AG930" s="1044"/>
      <c r="AH930" s="358">
        <f t="shared" si="56"/>
        <v>0</v>
      </c>
      <c r="AI930" s="1044"/>
      <c r="AJ930" s="1063"/>
      <c r="AK930" s="1063"/>
      <c r="AL930" s="1063"/>
      <c r="AM930" s="1119"/>
      <c r="AN930" s="1109"/>
      <c r="AO930" s="1358"/>
      <c r="AP930" s="1104"/>
      <c r="AQ930" s="1104"/>
    </row>
    <row r="931" spans="1:43" ht="47.25">
      <c r="A931" s="1033"/>
      <c r="B931" s="1069"/>
      <c r="C931" s="1012"/>
      <c r="D931" s="1033"/>
      <c r="E931" s="1072"/>
      <c r="F931" s="1072"/>
      <c r="G931" s="1033"/>
      <c r="H931" s="1033"/>
      <c r="I931" s="1033"/>
      <c r="J931" s="1033"/>
      <c r="K931" s="1033"/>
      <c r="L931" s="1033"/>
      <c r="M931" s="1287"/>
      <c r="N931" s="1066"/>
      <c r="O931" s="1063"/>
      <c r="P931" s="1063"/>
      <c r="Q931" s="1063"/>
      <c r="R931" s="1069"/>
      <c r="S931" s="1093"/>
      <c r="T931" s="1093"/>
      <c r="U931" s="1093"/>
      <c r="V931" s="1063"/>
      <c r="W931" s="1063"/>
      <c r="X931" s="1033"/>
      <c r="Y931" s="372" t="s">
        <v>1416</v>
      </c>
      <c r="Z931" s="386">
        <v>5858587.0999999996</v>
      </c>
      <c r="AA931" s="386">
        <v>0</v>
      </c>
      <c r="AB931" s="386">
        <v>5858587.0999999996</v>
      </c>
      <c r="AC931" s="384">
        <v>41626</v>
      </c>
      <c r="AD931" s="395">
        <v>5858587.0999999996</v>
      </c>
      <c r="AE931" s="395" t="s">
        <v>7</v>
      </c>
      <c r="AF931" s="1044"/>
      <c r="AG931" s="1044"/>
      <c r="AH931" s="358">
        <f t="shared" si="56"/>
        <v>0</v>
      </c>
      <c r="AI931" s="1044"/>
      <c r="AJ931" s="1063"/>
      <c r="AK931" s="1063"/>
      <c r="AL931" s="1063"/>
      <c r="AM931" s="1119"/>
      <c r="AN931" s="1109"/>
      <c r="AO931" s="1358"/>
      <c r="AP931" s="1104"/>
      <c r="AQ931" s="1104"/>
    </row>
    <row r="932" spans="1:43">
      <c r="A932" s="1033"/>
      <c r="B932" s="1069"/>
      <c r="C932" s="1011" t="s">
        <v>33</v>
      </c>
      <c r="D932" s="1033"/>
      <c r="E932" s="1072"/>
      <c r="F932" s="1072"/>
      <c r="G932" s="1033"/>
      <c r="H932" s="1033"/>
      <c r="I932" s="1033"/>
      <c r="J932" s="1033"/>
      <c r="K932" s="1033"/>
      <c r="L932" s="1033"/>
      <c r="M932" s="1287"/>
      <c r="N932" s="1066"/>
      <c r="O932" s="1063"/>
      <c r="P932" s="1063"/>
      <c r="Q932" s="1063"/>
      <c r="R932" s="1069"/>
      <c r="S932" s="1093"/>
      <c r="T932" s="1093"/>
      <c r="U932" s="1093"/>
      <c r="V932" s="1063"/>
      <c r="W932" s="1063"/>
      <c r="X932" s="1033"/>
      <c r="Y932" s="1065" t="s">
        <v>1417</v>
      </c>
      <c r="Z932" s="1062">
        <v>5791022.5300000003</v>
      </c>
      <c r="AA932" s="1062">
        <v>0</v>
      </c>
      <c r="AB932" s="386">
        <v>1786434.26</v>
      </c>
      <c r="AC932" s="1068">
        <v>41586</v>
      </c>
      <c r="AD932" s="395">
        <v>1786434.26</v>
      </c>
      <c r="AE932" s="395" t="s">
        <v>7</v>
      </c>
      <c r="AF932" s="1044"/>
      <c r="AG932" s="1044"/>
      <c r="AH932" s="358">
        <f t="shared" si="56"/>
        <v>0</v>
      </c>
      <c r="AI932" s="1044"/>
      <c r="AJ932" s="1063"/>
      <c r="AK932" s="1063"/>
      <c r="AL932" s="1063"/>
      <c r="AM932" s="1119"/>
      <c r="AN932" s="1109"/>
      <c r="AO932" s="1358"/>
      <c r="AP932" s="1104"/>
      <c r="AQ932" s="1104"/>
    </row>
    <row r="933" spans="1:43">
      <c r="A933" s="1033"/>
      <c r="B933" s="1069"/>
      <c r="C933" s="1033"/>
      <c r="D933" s="1033"/>
      <c r="E933" s="1072"/>
      <c r="F933" s="1072"/>
      <c r="G933" s="1033"/>
      <c r="H933" s="1033"/>
      <c r="I933" s="1033"/>
      <c r="J933" s="1033"/>
      <c r="K933" s="1033"/>
      <c r="L933" s="1033"/>
      <c r="M933" s="1287"/>
      <c r="N933" s="1066"/>
      <c r="O933" s="1063"/>
      <c r="P933" s="1063"/>
      <c r="Q933" s="1063"/>
      <c r="R933" s="1069"/>
      <c r="S933" s="1093"/>
      <c r="T933" s="1093"/>
      <c r="U933" s="1093"/>
      <c r="V933" s="1063"/>
      <c r="W933" s="1063"/>
      <c r="X933" s="1033"/>
      <c r="Y933" s="1066"/>
      <c r="Z933" s="1063"/>
      <c r="AA933" s="1063"/>
      <c r="AB933" s="386">
        <v>159967.26</v>
      </c>
      <c r="AC933" s="1069"/>
      <c r="AD933" s="395">
        <v>159967.26</v>
      </c>
      <c r="AE933" s="395" t="s">
        <v>7</v>
      </c>
      <c r="AF933" s="1044"/>
      <c r="AG933" s="1044"/>
      <c r="AH933" s="358">
        <f t="shared" si="56"/>
        <v>0</v>
      </c>
      <c r="AI933" s="1044"/>
      <c r="AJ933" s="1063"/>
      <c r="AK933" s="1063"/>
      <c r="AL933" s="1063"/>
      <c r="AM933" s="1119"/>
      <c r="AN933" s="1109"/>
      <c r="AO933" s="1358"/>
      <c r="AP933" s="1104"/>
      <c r="AQ933" s="1104"/>
    </row>
    <row r="934" spans="1:43">
      <c r="A934" s="1033"/>
      <c r="B934" s="1069"/>
      <c r="C934" s="1033"/>
      <c r="D934" s="1033"/>
      <c r="E934" s="1072"/>
      <c r="F934" s="1072"/>
      <c r="G934" s="1033"/>
      <c r="H934" s="1033"/>
      <c r="I934" s="1033"/>
      <c r="J934" s="1033"/>
      <c r="K934" s="1033"/>
      <c r="L934" s="1033"/>
      <c r="M934" s="1287"/>
      <c r="N934" s="1066"/>
      <c r="O934" s="1063"/>
      <c r="P934" s="1063"/>
      <c r="Q934" s="1063"/>
      <c r="R934" s="1069"/>
      <c r="S934" s="1093"/>
      <c r="T934" s="1093"/>
      <c r="U934" s="1093"/>
      <c r="V934" s="1063"/>
      <c r="W934" s="1063"/>
      <c r="X934" s="1033"/>
      <c r="Y934" s="1066"/>
      <c r="Z934" s="1063"/>
      <c r="AA934" s="1063"/>
      <c r="AB934" s="386">
        <v>2023880.57</v>
      </c>
      <c r="AC934" s="1069"/>
      <c r="AD934" s="395">
        <v>2023880.57</v>
      </c>
      <c r="AE934" s="395" t="s">
        <v>7</v>
      </c>
      <c r="AF934" s="1044"/>
      <c r="AG934" s="1044"/>
      <c r="AH934" s="358">
        <f t="shared" si="56"/>
        <v>0</v>
      </c>
      <c r="AI934" s="1044"/>
      <c r="AJ934" s="1063"/>
      <c r="AK934" s="1063"/>
      <c r="AL934" s="1063"/>
      <c r="AM934" s="1119"/>
      <c r="AN934" s="1109"/>
      <c r="AO934" s="1358"/>
      <c r="AP934" s="1104"/>
      <c r="AQ934" s="1104"/>
    </row>
    <row r="935" spans="1:43">
      <c r="A935" s="1033"/>
      <c r="B935" s="1069"/>
      <c r="C935" s="1012"/>
      <c r="D935" s="1033"/>
      <c r="E935" s="1072"/>
      <c r="F935" s="1072"/>
      <c r="G935" s="1033"/>
      <c r="H935" s="1033"/>
      <c r="I935" s="1033"/>
      <c r="J935" s="1033"/>
      <c r="K935" s="1033"/>
      <c r="L935" s="1033"/>
      <c r="M935" s="1287"/>
      <c r="N935" s="1066"/>
      <c r="O935" s="1063"/>
      <c r="P935" s="1063"/>
      <c r="Q935" s="1063"/>
      <c r="R935" s="1069"/>
      <c r="S935" s="1093"/>
      <c r="T935" s="1093"/>
      <c r="U935" s="1093"/>
      <c r="V935" s="1063"/>
      <c r="W935" s="1063"/>
      <c r="X935" s="1033"/>
      <c r="Y935" s="1066"/>
      <c r="Z935" s="1063"/>
      <c r="AA935" s="1063"/>
      <c r="AB935" s="386">
        <v>480113.61</v>
      </c>
      <c r="AC935" s="1069"/>
      <c r="AD935" s="395">
        <v>480113.61</v>
      </c>
      <c r="AE935" s="395" t="s">
        <v>7</v>
      </c>
      <c r="AF935" s="1044"/>
      <c r="AG935" s="1044"/>
      <c r="AH935" s="358">
        <f t="shared" si="56"/>
        <v>0</v>
      </c>
      <c r="AI935" s="1044"/>
      <c r="AJ935" s="1063"/>
      <c r="AK935" s="1063"/>
      <c r="AL935" s="1063"/>
      <c r="AM935" s="1119"/>
      <c r="AN935" s="1109"/>
      <c r="AO935" s="1358"/>
      <c r="AP935" s="1104"/>
      <c r="AQ935" s="1104"/>
    </row>
    <row r="936" spans="1:43">
      <c r="A936" s="1033"/>
      <c r="B936" s="1069"/>
      <c r="C936" s="1011" t="s">
        <v>34</v>
      </c>
      <c r="D936" s="1033"/>
      <c r="E936" s="1072"/>
      <c r="F936" s="1072"/>
      <c r="G936" s="1033"/>
      <c r="H936" s="1033"/>
      <c r="I936" s="1033"/>
      <c r="J936" s="1033"/>
      <c r="K936" s="1033"/>
      <c r="L936" s="1033"/>
      <c r="M936" s="1287"/>
      <c r="N936" s="1066"/>
      <c r="O936" s="1063"/>
      <c r="P936" s="1063"/>
      <c r="Q936" s="1063"/>
      <c r="R936" s="1069"/>
      <c r="S936" s="1093"/>
      <c r="T936" s="1093"/>
      <c r="U936" s="1093"/>
      <c r="V936" s="1063"/>
      <c r="W936" s="1063"/>
      <c r="X936" s="1033"/>
      <c r="Y936" s="1067"/>
      <c r="Z936" s="1064"/>
      <c r="AA936" s="1064"/>
      <c r="AB936" s="386">
        <v>1340626.82</v>
      </c>
      <c r="AC936" s="1070"/>
      <c r="AD936" s="395">
        <v>1340626.82</v>
      </c>
      <c r="AE936" s="395" t="s">
        <v>7</v>
      </c>
      <c r="AF936" s="1044"/>
      <c r="AG936" s="1044"/>
      <c r="AH936" s="358">
        <f t="shared" si="56"/>
        <v>0</v>
      </c>
      <c r="AI936" s="1044"/>
      <c r="AJ936" s="1063"/>
      <c r="AK936" s="1063"/>
      <c r="AL936" s="1063"/>
      <c r="AM936" s="1119"/>
      <c r="AN936" s="1109"/>
      <c r="AO936" s="1358"/>
      <c r="AP936" s="1104"/>
      <c r="AQ936" s="1104"/>
    </row>
    <row r="937" spans="1:43">
      <c r="A937" s="1033"/>
      <c r="B937" s="1069"/>
      <c r="C937" s="1033"/>
      <c r="D937" s="1033"/>
      <c r="E937" s="1072"/>
      <c r="F937" s="1072"/>
      <c r="G937" s="1033"/>
      <c r="H937" s="1033"/>
      <c r="I937" s="1033"/>
      <c r="J937" s="1033"/>
      <c r="K937" s="1033"/>
      <c r="L937" s="1033"/>
      <c r="M937" s="1287"/>
      <c r="N937" s="1066"/>
      <c r="O937" s="1063"/>
      <c r="P937" s="1063"/>
      <c r="Q937" s="1063"/>
      <c r="R937" s="1069"/>
      <c r="S937" s="1093"/>
      <c r="T937" s="1093"/>
      <c r="U937" s="1093"/>
      <c r="V937" s="1063"/>
      <c r="W937" s="1063"/>
      <c r="X937" s="1033"/>
      <c r="Y937" s="1065" t="s">
        <v>1418</v>
      </c>
      <c r="Z937" s="1062">
        <v>8448976.7100000009</v>
      </c>
      <c r="AA937" s="1062">
        <v>0</v>
      </c>
      <c r="AB937" s="386">
        <v>4426004.05</v>
      </c>
      <c r="AC937" s="1068">
        <v>41849</v>
      </c>
      <c r="AD937" s="395">
        <v>4426004.05</v>
      </c>
      <c r="AE937" s="395" t="s">
        <v>7</v>
      </c>
      <c r="AF937" s="1044"/>
      <c r="AG937" s="1044"/>
      <c r="AH937" s="358">
        <f t="shared" si="56"/>
        <v>0</v>
      </c>
      <c r="AI937" s="1044"/>
      <c r="AJ937" s="1063"/>
      <c r="AK937" s="1063"/>
      <c r="AL937" s="1063"/>
      <c r="AM937" s="1119"/>
      <c r="AN937" s="1109"/>
      <c r="AO937" s="1358"/>
      <c r="AP937" s="1104"/>
      <c r="AQ937" s="1104"/>
    </row>
    <row r="938" spans="1:43">
      <c r="A938" s="1033"/>
      <c r="B938" s="1069"/>
      <c r="C938" s="1033"/>
      <c r="D938" s="1033"/>
      <c r="E938" s="1072"/>
      <c r="F938" s="1072"/>
      <c r="G938" s="1033"/>
      <c r="H938" s="1033"/>
      <c r="I938" s="1033"/>
      <c r="J938" s="1033"/>
      <c r="K938" s="1033"/>
      <c r="L938" s="1033"/>
      <c r="M938" s="1287"/>
      <c r="N938" s="1066"/>
      <c r="O938" s="1063"/>
      <c r="P938" s="1063"/>
      <c r="Q938" s="1063"/>
      <c r="R938" s="1069"/>
      <c r="S938" s="1093"/>
      <c r="T938" s="1093"/>
      <c r="U938" s="1093"/>
      <c r="V938" s="1063"/>
      <c r="W938" s="1063"/>
      <c r="X938" s="1033"/>
      <c r="Y938" s="1066"/>
      <c r="Z938" s="1063"/>
      <c r="AA938" s="1063"/>
      <c r="AB938" s="386">
        <v>622401.71</v>
      </c>
      <c r="AC938" s="1069"/>
      <c r="AD938" s="395">
        <v>622401.71</v>
      </c>
      <c r="AE938" s="395" t="s">
        <v>7</v>
      </c>
      <c r="AF938" s="1044"/>
      <c r="AG938" s="1044"/>
      <c r="AH938" s="358">
        <f t="shared" si="56"/>
        <v>0</v>
      </c>
      <c r="AI938" s="1044"/>
      <c r="AJ938" s="1063"/>
      <c r="AK938" s="1063"/>
      <c r="AL938" s="1063"/>
      <c r="AM938" s="1119"/>
      <c r="AN938" s="1109"/>
      <c r="AO938" s="1358"/>
      <c r="AP938" s="1104"/>
      <c r="AQ938" s="1104"/>
    </row>
    <row r="939" spans="1:43">
      <c r="A939" s="1033"/>
      <c r="B939" s="1069"/>
      <c r="C939" s="1033"/>
      <c r="D939" s="1033"/>
      <c r="E939" s="1072"/>
      <c r="F939" s="1072"/>
      <c r="G939" s="1033"/>
      <c r="H939" s="1033"/>
      <c r="I939" s="1033"/>
      <c r="J939" s="1033"/>
      <c r="K939" s="1033"/>
      <c r="L939" s="1033"/>
      <c r="M939" s="1287"/>
      <c r="N939" s="1066"/>
      <c r="O939" s="1063"/>
      <c r="P939" s="1063"/>
      <c r="Q939" s="1063"/>
      <c r="R939" s="1069"/>
      <c r="S939" s="1093"/>
      <c r="T939" s="1093"/>
      <c r="U939" s="1093"/>
      <c r="V939" s="1063"/>
      <c r="W939" s="1063"/>
      <c r="X939" s="1033"/>
      <c r="Y939" s="1066"/>
      <c r="Z939" s="1063"/>
      <c r="AA939" s="1063"/>
      <c r="AB939" s="386">
        <v>349619.16</v>
      </c>
      <c r="AC939" s="1069"/>
      <c r="AD939" s="395">
        <v>349619.16</v>
      </c>
      <c r="AE939" s="395" t="s">
        <v>7</v>
      </c>
      <c r="AF939" s="1044"/>
      <c r="AG939" s="1044"/>
      <c r="AH939" s="358">
        <f t="shared" si="56"/>
        <v>0</v>
      </c>
      <c r="AI939" s="1044"/>
      <c r="AJ939" s="1063"/>
      <c r="AK939" s="1063"/>
      <c r="AL939" s="1063"/>
      <c r="AM939" s="1119"/>
      <c r="AN939" s="1109"/>
      <c r="AO939" s="1358"/>
      <c r="AP939" s="1104"/>
      <c r="AQ939" s="1104"/>
    </row>
    <row r="940" spans="1:43">
      <c r="A940" s="1033"/>
      <c r="B940" s="1069"/>
      <c r="C940" s="1033"/>
      <c r="D940" s="1033"/>
      <c r="E940" s="1072"/>
      <c r="F940" s="1072"/>
      <c r="G940" s="1033"/>
      <c r="H940" s="1033"/>
      <c r="I940" s="1033"/>
      <c r="J940" s="1033"/>
      <c r="K940" s="1033"/>
      <c r="L940" s="1033"/>
      <c r="M940" s="1287"/>
      <c r="N940" s="1066"/>
      <c r="O940" s="1063"/>
      <c r="P940" s="1063"/>
      <c r="Q940" s="1063"/>
      <c r="R940" s="1069"/>
      <c r="S940" s="1093"/>
      <c r="T940" s="1093"/>
      <c r="U940" s="1093"/>
      <c r="V940" s="1063"/>
      <c r="W940" s="1063"/>
      <c r="X940" s="1033"/>
      <c r="Y940" s="1066"/>
      <c r="Z940" s="1063"/>
      <c r="AA940" s="1063"/>
      <c r="AB940" s="386">
        <v>1255885.8700000001</v>
      </c>
      <c r="AC940" s="1069"/>
      <c r="AD940" s="395">
        <v>1255885.8700000001</v>
      </c>
      <c r="AE940" s="395" t="s">
        <v>7</v>
      </c>
      <c r="AF940" s="1044"/>
      <c r="AG940" s="1044"/>
      <c r="AH940" s="358">
        <f t="shared" si="56"/>
        <v>0</v>
      </c>
      <c r="AI940" s="1044"/>
      <c r="AJ940" s="1063"/>
      <c r="AK940" s="1063"/>
      <c r="AL940" s="1063"/>
      <c r="AM940" s="1119"/>
      <c r="AN940" s="1109"/>
      <c r="AO940" s="1358"/>
      <c r="AP940" s="1104"/>
      <c r="AQ940" s="1104"/>
    </row>
    <row r="941" spans="1:43">
      <c r="A941" s="1012"/>
      <c r="B941" s="1070"/>
      <c r="C941" s="1012"/>
      <c r="D941" s="1012"/>
      <c r="E941" s="1073"/>
      <c r="F941" s="1073"/>
      <c r="G941" s="1012"/>
      <c r="H941" s="1012"/>
      <c r="I941" s="1012"/>
      <c r="J941" s="1012"/>
      <c r="K941" s="1012"/>
      <c r="L941" s="1012"/>
      <c r="M941" s="1288"/>
      <c r="N941" s="1067"/>
      <c r="O941" s="1064"/>
      <c r="P941" s="1064"/>
      <c r="Q941" s="1064"/>
      <c r="R941" s="1070"/>
      <c r="S941" s="1094"/>
      <c r="T941" s="1094"/>
      <c r="U941" s="1094"/>
      <c r="V941" s="1064"/>
      <c r="W941" s="1064"/>
      <c r="X941" s="1012"/>
      <c r="Y941" s="1067"/>
      <c r="Z941" s="1064"/>
      <c r="AA941" s="1064"/>
      <c r="AB941" s="386">
        <v>1795065.92</v>
      </c>
      <c r="AC941" s="1070"/>
      <c r="AD941" s="395">
        <v>1795065.92</v>
      </c>
      <c r="AE941" s="395" t="s">
        <v>7</v>
      </c>
      <c r="AF941" s="1045"/>
      <c r="AG941" s="1045"/>
      <c r="AH941" s="358">
        <f t="shared" si="56"/>
        <v>0</v>
      </c>
      <c r="AI941" s="1045"/>
      <c r="AJ941" s="1064"/>
      <c r="AK941" s="1064"/>
      <c r="AL941" s="1064"/>
      <c r="AM941" s="1119"/>
      <c r="AN941" s="1110"/>
      <c r="AO941" s="1359"/>
      <c r="AP941" s="1105"/>
      <c r="AQ941" s="1105"/>
    </row>
    <row r="942" spans="1:43" s="4" customFormat="1" ht="47.25">
      <c r="A942" s="1011" t="s">
        <v>1430</v>
      </c>
      <c r="B942" s="1068">
        <v>41212</v>
      </c>
      <c r="C942" s="1011" t="s">
        <v>45</v>
      </c>
      <c r="D942" s="1011" t="s">
        <v>1431</v>
      </c>
      <c r="E942" s="1011">
        <v>900564859</v>
      </c>
      <c r="F942" s="1011">
        <v>4</v>
      </c>
      <c r="G942" s="1011" t="s">
        <v>1432</v>
      </c>
      <c r="H942" s="1011" t="s">
        <v>70</v>
      </c>
      <c r="I942" s="1011" t="s">
        <v>206</v>
      </c>
      <c r="J942" s="1011" t="s">
        <v>66</v>
      </c>
      <c r="K942" s="1011" t="s">
        <v>50</v>
      </c>
      <c r="L942" s="1011" t="s">
        <v>1434</v>
      </c>
      <c r="M942" s="1286">
        <v>186</v>
      </c>
      <c r="N942" s="1065" t="s">
        <v>137</v>
      </c>
      <c r="O942" s="1062">
        <v>61053092</v>
      </c>
      <c r="P942" s="1062">
        <f>O942</f>
        <v>61053092</v>
      </c>
      <c r="Q942" s="1062">
        <f>P942+P946</f>
        <v>91348045</v>
      </c>
      <c r="R942" s="1068">
        <v>40758</v>
      </c>
      <c r="S942" s="1062">
        <f>T942</f>
        <v>61053092</v>
      </c>
      <c r="T942" s="1062">
        <v>61053092</v>
      </c>
      <c r="U942" s="1062">
        <f>O942-T942</f>
        <v>0</v>
      </c>
      <c r="V942" s="1089">
        <v>60923200</v>
      </c>
      <c r="W942" s="1062">
        <v>91218153</v>
      </c>
      <c r="X942" s="1011" t="s">
        <v>1448</v>
      </c>
      <c r="Y942" s="372" t="s">
        <v>1435</v>
      </c>
      <c r="Z942" s="386">
        <v>36553920</v>
      </c>
      <c r="AA942" s="386">
        <v>0</v>
      </c>
      <c r="AB942" s="386">
        <f t="shared" ref="AB942:AB947" si="57">AA942+Z942</f>
        <v>36553920</v>
      </c>
      <c r="AC942" s="384">
        <v>41752</v>
      </c>
      <c r="AD942" s="395">
        <v>36553920</v>
      </c>
      <c r="AE942" s="395" t="s">
        <v>137</v>
      </c>
      <c r="AF942" s="1043">
        <f>SUM(AD942:AD945)</f>
        <v>60923200</v>
      </c>
      <c r="AG942" s="1043">
        <f>AF942+AF946</f>
        <v>82096338</v>
      </c>
      <c r="AH942" s="358">
        <f t="shared" si="56"/>
        <v>0</v>
      </c>
      <c r="AI942" s="1043">
        <f>O942-SUM(AD942:AD945)</f>
        <v>129892</v>
      </c>
      <c r="AJ942" s="1062">
        <f>SUM(Z942:Z947)-SUM(AD942:AD947)</f>
        <v>9121815</v>
      </c>
      <c r="AK942" s="1062">
        <f>P942-V942</f>
        <v>129892</v>
      </c>
      <c r="AL942" s="1062">
        <f>V942-SUM(Z942:Z945)</f>
        <v>0</v>
      </c>
      <c r="AM942" s="1062">
        <f>AK942+AL942</f>
        <v>129892</v>
      </c>
      <c r="AN942" s="1108" t="s">
        <v>1441</v>
      </c>
      <c r="AO942" s="1103" t="s">
        <v>1520</v>
      </c>
      <c r="AP942" s="1103" t="s">
        <v>195</v>
      </c>
      <c r="AQ942" s="1103" t="s">
        <v>1097</v>
      </c>
    </row>
    <row r="943" spans="1:43" s="4" customFormat="1" ht="47.25">
      <c r="A943" s="1033"/>
      <c r="B943" s="1069"/>
      <c r="C943" s="1033"/>
      <c r="D943" s="1033"/>
      <c r="E943" s="1033"/>
      <c r="F943" s="1033"/>
      <c r="G943" s="1033"/>
      <c r="H943" s="1033"/>
      <c r="I943" s="1033"/>
      <c r="J943" s="1033"/>
      <c r="K943" s="1033"/>
      <c r="L943" s="1033"/>
      <c r="M943" s="1287"/>
      <c r="N943" s="1066"/>
      <c r="O943" s="1063"/>
      <c r="P943" s="1063"/>
      <c r="Q943" s="1063"/>
      <c r="R943" s="1069"/>
      <c r="S943" s="1063"/>
      <c r="T943" s="1063"/>
      <c r="U943" s="1063"/>
      <c r="V943" s="1090"/>
      <c r="W943" s="1063"/>
      <c r="X943" s="1033"/>
      <c r="Y943" s="372" t="s">
        <v>1436</v>
      </c>
      <c r="Z943" s="386">
        <v>12184640</v>
      </c>
      <c r="AA943" s="386">
        <v>0</v>
      </c>
      <c r="AB943" s="386">
        <f t="shared" si="57"/>
        <v>12184640</v>
      </c>
      <c r="AC943" s="384">
        <v>41862</v>
      </c>
      <c r="AD943" s="395">
        <v>12184640</v>
      </c>
      <c r="AE943" s="395" t="s">
        <v>137</v>
      </c>
      <c r="AF943" s="1044"/>
      <c r="AG943" s="1044"/>
      <c r="AH943" s="358">
        <f t="shared" si="56"/>
        <v>0</v>
      </c>
      <c r="AI943" s="1044"/>
      <c r="AJ943" s="1063"/>
      <c r="AK943" s="1063"/>
      <c r="AL943" s="1063"/>
      <c r="AM943" s="1063"/>
      <c r="AN943" s="1109"/>
      <c r="AO943" s="1104"/>
      <c r="AP943" s="1104"/>
      <c r="AQ943" s="1104"/>
    </row>
    <row r="944" spans="1:43" s="4" customFormat="1" ht="47.25">
      <c r="A944" s="1033"/>
      <c r="B944" s="1069"/>
      <c r="C944" s="1033"/>
      <c r="D944" s="1033"/>
      <c r="E944" s="1033"/>
      <c r="F944" s="1033"/>
      <c r="G944" s="1033"/>
      <c r="H944" s="1033"/>
      <c r="I944" s="1033"/>
      <c r="J944" s="1033"/>
      <c r="K944" s="1033"/>
      <c r="L944" s="1033"/>
      <c r="M944" s="1287"/>
      <c r="N944" s="1066"/>
      <c r="O944" s="1063"/>
      <c r="P944" s="1063"/>
      <c r="Q944" s="1063"/>
      <c r="R944" s="1069"/>
      <c r="S944" s="1063"/>
      <c r="T944" s="1063"/>
      <c r="U944" s="1063"/>
      <c r="V944" s="1090"/>
      <c r="W944" s="1063"/>
      <c r="X944" s="1033"/>
      <c r="Y944" s="372" t="s">
        <v>1437</v>
      </c>
      <c r="Z944" s="386">
        <v>6092320</v>
      </c>
      <c r="AA944" s="386">
        <v>0</v>
      </c>
      <c r="AB944" s="386">
        <f t="shared" si="57"/>
        <v>6092320</v>
      </c>
      <c r="AC944" s="384">
        <v>41985</v>
      </c>
      <c r="AD944" s="395">
        <v>6092320</v>
      </c>
      <c r="AE944" s="395" t="s">
        <v>137</v>
      </c>
      <c r="AF944" s="1044"/>
      <c r="AG944" s="1044"/>
      <c r="AH944" s="358">
        <f t="shared" si="56"/>
        <v>0</v>
      </c>
      <c r="AI944" s="1044"/>
      <c r="AJ944" s="1063"/>
      <c r="AK944" s="1063"/>
      <c r="AL944" s="1063"/>
      <c r="AM944" s="1063"/>
      <c r="AN944" s="1109"/>
      <c r="AO944" s="1104"/>
      <c r="AP944" s="1104"/>
      <c r="AQ944" s="1104"/>
    </row>
    <row r="945" spans="1:44" s="4" customFormat="1" ht="78.75">
      <c r="A945" s="1033"/>
      <c r="B945" s="1069"/>
      <c r="C945" s="1033"/>
      <c r="D945" s="1033"/>
      <c r="E945" s="1033"/>
      <c r="F945" s="1033"/>
      <c r="G945" s="1033"/>
      <c r="H945" s="1033"/>
      <c r="I945" s="1033"/>
      <c r="J945" s="1012"/>
      <c r="K945" s="1033"/>
      <c r="L945" s="1033"/>
      <c r="M945" s="1288"/>
      <c r="N945" s="1067"/>
      <c r="O945" s="1064"/>
      <c r="P945" s="1064"/>
      <c r="Q945" s="1063"/>
      <c r="R945" s="1070"/>
      <c r="S945" s="1064"/>
      <c r="T945" s="1064"/>
      <c r="U945" s="1064"/>
      <c r="V945" s="1091"/>
      <c r="W945" s="1063"/>
      <c r="X945" s="1033"/>
      <c r="Y945" s="372" t="s">
        <v>1438</v>
      </c>
      <c r="Z945" s="386">
        <v>6092320</v>
      </c>
      <c r="AA945" s="386">
        <v>0</v>
      </c>
      <c r="AB945" s="386">
        <f t="shared" si="57"/>
        <v>6092320</v>
      </c>
      <c r="AC945" s="384">
        <v>42236</v>
      </c>
      <c r="AD945" s="395">
        <v>6092320</v>
      </c>
      <c r="AE945" s="395" t="s">
        <v>137</v>
      </c>
      <c r="AF945" s="1045"/>
      <c r="AG945" s="1044"/>
      <c r="AH945" s="358">
        <f t="shared" si="56"/>
        <v>0</v>
      </c>
      <c r="AI945" s="1045"/>
      <c r="AJ945" s="1063"/>
      <c r="AK945" s="1064"/>
      <c r="AL945" s="1064"/>
      <c r="AM945" s="1064"/>
      <c r="AN945" s="1109"/>
      <c r="AO945" s="1104"/>
      <c r="AP945" s="1104"/>
      <c r="AQ945" s="1104"/>
    </row>
    <row r="946" spans="1:44" s="4" customFormat="1" ht="78.75">
      <c r="A946" s="1033"/>
      <c r="B946" s="1069"/>
      <c r="C946" s="1033"/>
      <c r="D946" s="1033"/>
      <c r="E946" s="1033"/>
      <c r="F946" s="1033"/>
      <c r="G946" s="1033"/>
      <c r="H946" s="1033"/>
      <c r="I946" s="1033"/>
      <c r="J946" s="1011" t="s">
        <v>67</v>
      </c>
      <c r="K946" s="1033"/>
      <c r="L946" s="1033"/>
      <c r="M946" s="1286">
        <v>13</v>
      </c>
      <c r="N946" s="1065" t="s">
        <v>152</v>
      </c>
      <c r="O946" s="1062">
        <v>30294953</v>
      </c>
      <c r="P946" s="1062">
        <f>O946</f>
        <v>30294953</v>
      </c>
      <c r="Q946" s="1063"/>
      <c r="R946" s="1068">
        <v>42003</v>
      </c>
      <c r="S946" s="1062">
        <f>T946</f>
        <v>30294953</v>
      </c>
      <c r="T946" s="1062">
        <v>30294953</v>
      </c>
      <c r="U946" s="1062">
        <f>O946-T946</f>
        <v>0</v>
      </c>
      <c r="V946" s="1062">
        <v>30294953</v>
      </c>
      <c r="W946" s="1063"/>
      <c r="X946" s="1033"/>
      <c r="Y946" s="372" t="s">
        <v>1439</v>
      </c>
      <c r="Z946" s="386">
        <v>21173138</v>
      </c>
      <c r="AA946" s="386">
        <v>0</v>
      </c>
      <c r="AB946" s="386">
        <f t="shared" si="57"/>
        <v>21173138</v>
      </c>
      <c r="AC946" s="384">
        <v>42236</v>
      </c>
      <c r="AD946" s="395">
        <v>21173138</v>
      </c>
      <c r="AE946" s="395" t="s">
        <v>152</v>
      </c>
      <c r="AF946" s="1043">
        <f>SUM(AD946:AD947)</f>
        <v>21173138</v>
      </c>
      <c r="AG946" s="1044"/>
      <c r="AH946" s="358">
        <f t="shared" si="56"/>
        <v>0</v>
      </c>
      <c r="AI946" s="1043">
        <f>O946-SUM(AD946:AD947)</f>
        <v>9121815</v>
      </c>
      <c r="AJ946" s="1063"/>
      <c r="AK946" s="1062">
        <f>P946-V946</f>
        <v>0</v>
      </c>
      <c r="AL946" s="1062">
        <f>V946-SUM(Z946:Z947)</f>
        <v>0</v>
      </c>
      <c r="AM946" s="1062">
        <f>AK946+AL946</f>
        <v>0</v>
      </c>
      <c r="AN946" s="1109"/>
      <c r="AO946" s="1104"/>
      <c r="AP946" s="1104"/>
      <c r="AQ946" s="1104"/>
    </row>
    <row r="947" spans="1:44">
      <c r="A947" s="1012"/>
      <c r="B947" s="1070"/>
      <c r="C947" s="1012"/>
      <c r="D947" s="1012"/>
      <c r="E947" s="1012"/>
      <c r="F947" s="1012"/>
      <c r="G947" s="1012"/>
      <c r="H947" s="1012"/>
      <c r="I947" s="1012"/>
      <c r="J947" s="1012"/>
      <c r="K947" s="1012"/>
      <c r="L947" s="1012"/>
      <c r="M947" s="1288"/>
      <c r="N947" s="1067"/>
      <c r="O947" s="1064"/>
      <c r="P947" s="1064"/>
      <c r="Q947" s="1064"/>
      <c r="R947" s="1070"/>
      <c r="S947" s="1064"/>
      <c r="T947" s="1064"/>
      <c r="U947" s="1064"/>
      <c r="V947" s="1064"/>
      <c r="W947" s="1064"/>
      <c r="X947" s="1012"/>
      <c r="Y947" s="372" t="s">
        <v>1440</v>
      </c>
      <c r="Z947" s="386">
        <v>9121815</v>
      </c>
      <c r="AA947" s="386">
        <v>0</v>
      </c>
      <c r="AB947" s="386">
        <f t="shared" si="57"/>
        <v>9121815</v>
      </c>
      <c r="AC947" s="384"/>
      <c r="AD947" s="395">
        <v>0</v>
      </c>
      <c r="AE947" s="395" t="s">
        <v>152</v>
      </c>
      <c r="AF947" s="1045"/>
      <c r="AG947" s="1045"/>
      <c r="AH947" s="358">
        <f t="shared" si="56"/>
        <v>9121815</v>
      </c>
      <c r="AI947" s="1045"/>
      <c r="AJ947" s="1064"/>
      <c r="AK947" s="1064"/>
      <c r="AL947" s="1064"/>
      <c r="AM947" s="1064"/>
      <c r="AN947" s="1110"/>
      <c r="AO947" s="1105"/>
      <c r="AP947" s="1105"/>
      <c r="AQ947" s="1105"/>
    </row>
    <row r="948" spans="1:44" ht="47.25">
      <c r="A948" s="1011" t="s">
        <v>1445</v>
      </c>
      <c r="B948" s="1068">
        <v>41212</v>
      </c>
      <c r="C948" s="1011" t="s">
        <v>21</v>
      </c>
      <c r="D948" s="1011" t="s">
        <v>1446</v>
      </c>
      <c r="E948" s="1071">
        <v>900563625</v>
      </c>
      <c r="F948" s="1071">
        <v>3</v>
      </c>
      <c r="G948" s="1011" t="s">
        <v>1447</v>
      </c>
      <c r="H948" s="1011" t="s">
        <v>70</v>
      </c>
      <c r="I948" s="1011" t="s">
        <v>206</v>
      </c>
      <c r="J948" s="1011" t="s">
        <v>66</v>
      </c>
      <c r="K948" s="1011" t="s">
        <v>49</v>
      </c>
      <c r="L948" s="1011" t="s">
        <v>1449</v>
      </c>
      <c r="M948" s="1286">
        <v>2</v>
      </c>
      <c r="N948" s="1065" t="s">
        <v>144</v>
      </c>
      <c r="O948" s="1062">
        <v>80193892</v>
      </c>
      <c r="P948" s="1062">
        <f>O948</f>
        <v>80193892</v>
      </c>
      <c r="Q948" s="1062">
        <f>P948</f>
        <v>80193892</v>
      </c>
      <c r="R948" s="1068">
        <v>40899</v>
      </c>
      <c r="S948" s="1092">
        <f>T948</f>
        <v>80193892</v>
      </c>
      <c r="T948" s="1092">
        <v>80193892</v>
      </c>
      <c r="U948" s="1092">
        <f>O948-T948</f>
        <v>0</v>
      </c>
      <c r="V948" s="1062">
        <v>79970400</v>
      </c>
      <c r="W948" s="1062">
        <v>79970400</v>
      </c>
      <c r="X948" s="1011" t="s">
        <v>1448</v>
      </c>
      <c r="Y948" s="372" t="s">
        <v>1450</v>
      </c>
      <c r="Z948" s="386">
        <v>14098782</v>
      </c>
      <c r="AA948" s="386">
        <v>0</v>
      </c>
      <c r="AB948" s="386">
        <f t="shared" ref="AB948:AB1011" si="58">Z948+AA948</f>
        <v>14098782</v>
      </c>
      <c r="AC948" s="384">
        <v>41563</v>
      </c>
      <c r="AD948" s="395">
        <v>14098782</v>
      </c>
      <c r="AE948" s="395" t="s">
        <v>144</v>
      </c>
      <c r="AF948" s="1043">
        <f>SUM(AD948:AD952)</f>
        <v>71973361</v>
      </c>
      <c r="AG948" s="1043">
        <f>AF948</f>
        <v>71973361</v>
      </c>
      <c r="AH948" s="358">
        <f t="shared" si="56"/>
        <v>0</v>
      </c>
      <c r="AI948" s="1043">
        <f>O948-SUM(AD948:AD952)</f>
        <v>8220531</v>
      </c>
      <c r="AJ948" s="1062">
        <f>SUM(Z948:Z952)-SUM(AD948:AD952)</f>
        <v>0</v>
      </c>
      <c r="AK948" s="1062">
        <f>P948-V948</f>
        <v>223492</v>
      </c>
      <c r="AL948" s="1062">
        <f>V948-SUM(Z948:Z952)</f>
        <v>7997039</v>
      </c>
      <c r="AM948" s="1062"/>
      <c r="AN948" s="1103" t="s">
        <v>1455</v>
      </c>
      <c r="AO948" s="1103" t="s">
        <v>1454</v>
      </c>
      <c r="AP948" s="1103" t="s">
        <v>194</v>
      </c>
      <c r="AQ948" s="1103" t="s">
        <v>1414</v>
      </c>
      <c r="AR948" s="1074" t="s">
        <v>2466</v>
      </c>
    </row>
    <row r="949" spans="1:44" ht="47.25">
      <c r="A949" s="1033"/>
      <c r="B949" s="1069"/>
      <c r="C949" s="1033"/>
      <c r="D949" s="1033"/>
      <c r="E949" s="1072"/>
      <c r="F949" s="1072"/>
      <c r="G949" s="1033"/>
      <c r="H949" s="1033"/>
      <c r="I949" s="1033"/>
      <c r="J949" s="1033"/>
      <c r="K949" s="1033"/>
      <c r="L949" s="1033"/>
      <c r="M949" s="1287"/>
      <c r="N949" s="1066"/>
      <c r="O949" s="1063"/>
      <c r="P949" s="1063"/>
      <c r="Q949" s="1063"/>
      <c r="R949" s="1069"/>
      <c r="S949" s="1093"/>
      <c r="T949" s="1093"/>
      <c r="U949" s="1093"/>
      <c r="V949" s="1063"/>
      <c r="W949" s="1063"/>
      <c r="X949" s="1033"/>
      <c r="Y949" s="372" t="s">
        <v>1451</v>
      </c>
      <c r="Z949" s="386">
        <v>18329216</v>
      </c>
      <c r="AA949" s="386">
        <v>0</v>
      </c>
      <c r="AB949" s="386">
        <f t="shared" si="58"/>
        <v>18329216</v>
      </c>
      <c r="AC949" s="384">
        <v>41984</v>
      </c>
      <c r="AD949" s="395">
        <v>18329216</v>
      </c>
      <c r="AE949" s="395" t="s">
        <v>144</v>
      </c>
      <c r="AF949" s="1044"/>
      <c r="AG949" s="1044"/>
      <c r="AH949" s="358">
        <f t="shared" si="56"/>
        <v>0</v>
      </c>
      <c r="AI949" s="1044"/>
      <c r="AJ949" s="1063"/>
      <c r="AK949" s="1063"/>
      <c r="AL949" s="1063"/>
      <c r="AM949" s="1063"/>
      <c r="AN949" s="1104"/>
      <c r="AO949" s="1104"/>
      <c r="AP949" s="1104"/>
      <c r="AQ949" s="1104"/>
      <c r="AR949" s="1074"/>
    </row>
    <row r="950" spans="1:44" ht="47.25">
      <c r="A950" s="1033"/>
      <c r="B950" s="1069"/>
      <c r="C950" s="1033"/>
      <c r="D950" s="1033"/>
      <c r="E950" s="1072"/>
      <c r="F950" s="1072"/>
      <c r="G950" s="1033"/>
      <c r="H950" s="1033"/>
      <c r="I950" s="1033"/>
      <c r="J950" s="1033"/>
      <c r="K950" s="1033"/>
      <c r="L950" s="1033"/>
      <c r="M950" s="1287"/>
      <c r="N950" s="1066"/>
      <c r="O950" s="1063"/>
      <c r="P950" s="1063"/>
      <c r="Q950" s="1063"/>
      <c r="R950" s="1069"/>
      <c r="S950" s="1093"/>
      <c r="T950" s="1093"/>
      <c r="U950" s="1093"/>
      <c r="V950" s="1063"/>
      <c r="W950" s="1063"/>
      <c r="X950" s="1033"/>
      <c r="Y950" s="372" t="s">
        <v>1452</v>
      </c>
      <c r="Z950" s="386">
        <v>13914850</v>
      </c>
      <c r="AA950" s="386">
        <v>0</v>
      </c>
      <c r="AB950" s="386">
        <f t="shared" si="58"/>
        <v>13914850</v>
      </c>
      <c r="AC950" s="384">
        <v>41989</v>
      </c>
      <c r="AD950" s="395">
        <v>13914850</v>
      </c>
      <c r="AE950" s="395" t="s">
        <v>144</v>
      </c>
      <c r="AF950" s="1044"/>
      <c r="AG950" s="1044"/>
      <c r="AH950" s="358">
        <f t="shared" si="56"/>
        <v>0</v>
      </c>
      <c r="AI950" s="1044"/>
      <c r="AJ950" s="1063"/>
      <c r="AK950" s="1063"/>
      <c r="AL950" s="1063"/>
      <c r="AM950" s="1063"/>
      <c r="AN950" s="1104"/>
      <c r="AO950" s="1104"/>
      <c r="AP950" s="1104"/>
      <c r="AQ950" s="1104"/>
      <c r="AR950" s="1074"/>
    </row>
    <row r="951" spans="1:44" ht="31.5">
      <c r="A951" s="1033"/>
      <c r="B951" s="1069"/>
      <c r="C951" s="1033"/>
      <c r="D951" s="1033"/>
      <c r="E951" s="1072"/>
      <c r="F951" s="1072"/>
      <c r="G951" s="1033"/>
      <c r="H951" s="1033"/>
      <c r="I951" s="1033"/>
      <c r="J951" s="1033"/>
      <c r="K951" s="1033"/>
      <c r="L951" s="1033"/>
      <c r="M951" s="1287"/>
      <c r="N951" s="1066"/>
      <c r="O951" s="1063"/>
      <c r="P951" s="1063"/>
      <c r="Q951" s="1063"/>
      <c r="R951" s="1069"/>
      <c r="S951" s="1093"/>
      <c r="T951" s="1093"/>
      <c r="U951" s="1093"/>
      <c r="V951" s="1063"/>
      <c r="W951" s="1063"/>
      <c r="X951" s="1033"/>
      <c r="Y951" s="372" t="s">
        <v>1453</v>
      </c>
      <c r="Z951" s="386">
        <v>25630513</v>
      </c>
      <c r="AA951" s="386">
        <v>0</v>
      </c>
      <c r="AB951" s="386">
        <f t="shared" si="58"/>
        <v>25630513</v>
      </c>
      <c r="AC951" s="384">
        <v>42166</v>
      </c>
      <c r="AD951" s="395">
        <v>25630513</v>
      </c>
      <c r="AE951" s="395" t="s">
        <v>144</v>
      </c>
      <c r="AF951" s="1044"/>
      <c r="AG951" s="1044"/>
      <c r="AH951" s="358">
        <f t="shared" si="56"/>
        <v>0</v>
      </c>
      <c r="AI951" s="1044"/>
      <c r="AJ951" s="1063"/>
      <c r="AK951" s="1063"/>
      <c r="AL951" s="1063"/>
      <c r="AM951" s="1063"/>
      <c r="AN951" s="1104"/>
      <c r="AO951" s="1104"/>
      <c r="AP951" s="1104"/>
      <c r="AQ951" s="1104"/>
      <c r="AR951" s="1074"/>
    </row>
    <row r="952" spans="1:44" ht="19.5" customHeight="1">
      <c r="A952" s="1012"/>
      <c r="B952" s="1070"/>
      <c r="C952" s="1012"/>
      <c r="D952" s="1012"/>
      <c r="E952" s="1073"/>
      <c r="F952" s="1073"/>
      <c r="G952" s="1012"/>
      <c r="H952" s="1012"/>
      <c r="I952" s="1012"/>
      <c r="J952" s="1012"/>
      <c r="K952" s="1012"/>
      <c r="L952" s="1012"/>
      <c r="M952" s="1288"/>
      <c r="N952" s="1067"/>
      <c r="O952" s="1064"/>
      <c r="P952" s="1064"/>
      <c r="Q952" s="1064"/>
      <c r="R952" s="1070"/>
      <c r="S952" s="1094"/>
      <c r="T952" s="1094"/>
      <c r="U952" s="1094"/>
      <c r="V952" s="1064"/>
      <c r="W952" s="1064"/>
      <c r="X952" s="1012"/>
      <c r="Y952" s="372"/>
      <c r="Z952" s="386"/>
      <c r="AA952" s="386"/>
      <c r="AB952" s="386">
        <f t="shared" si="58"/>
        <v>0</v>
      </c>
      <c r="AC952" s="384"/>
      <c r="AD952" s="395">
        <v>0</v>
      </c>
      <c r="AE952" s="395" t="s">
        <v>144</v>
      </c>
      <c r="AF952" s="1045"/>
      <c r="AG952" s="1045"/>
      <c r="AH952" s="358">
        <f t="shared" si="56"/>
        <v>0</v>
      </c>
      <c r="AI952" s="1045"/>
      <c r="AJ952" s="1064"/>
      <c r="AK952" s="1064"/>
      <c r="AL952" s="1064"/>
      <c r="AM952" s="1064"/>
      <c r="AN952" s="1105"/>
      <c r="AO952" s="1105"/>
      <c r="AP952" s="1105"/>
      <c r="AQ952" s="1105"/>
      <c r="AR952" s="1074"/>
    </row>
    <row r="953" spans="1:44" ht="63">
      <c r="A953" s="1011" t="s">
        <v>1457</v>
      </c>
      <c r="B953" s="1068">
        <v>41331</v>
      </c>
      <c r="C953" s="1011" t="s">
        <v>39</v>
      </c>
      <c r="D953" s="1011" t="s">
        <v>1233</v>
      </c>
      <c r="E953" s="1071">
        <v>10538292</v>
      </c>
      <c r="F953" s="1071"/>
      <c r="G953" s="1011" t="s">
        <v>1458</v>
      </c>
      <c r="H953" s="1011" t="s">
        <v>71</v>
      </c>
      <c r="I953" s="1011" t="s">
        <v>1221</v>
      </c>
      <c r="J953" s="1011" t="s">
        <v>66</v>
      </c>
      <c r="K953" s="1011" t="s">
        <v>183</v>
      </c>
      <c r="L953" s="1011" t="s">
        <v>1469</v>
      </c>
      <c r="M953" s="1286">
        <v>261</v>
      </c>
      <c r="N953" s="1065" t="s">
        <v>7</v>
      </c>
      <c r="O953" s="1062">
        <v>839576101</v>
      </c>
      <c r="P953" s="1062">
        <f>O953</f>
        <v>839576101</v>
      </c>
      <c r="Q953" s="1062">
        <f>P953+P960+P967</f>
        <v>1531340768</v>
      </c>
      <c r="R953" s="1068">
        <v>41220</v>
      </c>
      <c r="S953" s="1092">
        <f>T953</f>
        <v>828171885.54999995</v>
      </c>
      <c r="T953" s="1092">
        <v>828171885.54999995</v>
      </c>
      <c r="U953" s="1092">
        <f>O953-T953</f>
        <v>11404215.450000048</v>
      </c>
      <c r="V953" s="1062">
        <v>828171885.67999995</v>
      </c>
      <c r="W953" s="1062">
        <f>V953+V960+V967</f>
        <v>1514447709</v>
      </c>
      <c r="X953" s="1011" t="s">
        <v>1459</v>
      </c>
      <c r="Y953" s="372" t="s">
        <v>1460</v>
      </c>
      <c r="Z953" s="386">
        <v>186137458</v>
      </c>
      <c r="AA953" s="386">
        <v>0</v>
      </c>
      <c r="AB953" s="386">
        <f t="shared" si="58"/>
        <v>186137458</v>
      </c>
      <c r="AC953" s="384">
        <v>41571</v>
      </c>
      <c r="AD953" s="395">
        <v>186137458</v>
      </c>
      <c r="AE953" s="395" t="s">
        <v>7</v>
      </c>
      <c r="AF953" s="1043">
        <f>SUM(AD953:AD959)</f>
        <v>828171885.54999995</v>
      </c>
      <c r="AG953" s="1043">
        <f>AF953+AF960+AF967</f>
        <v>1514447580</v>
      </c>
      <c r="AH953" s="358">
        <f t="shared" si="56"/>
        <v>0</v>
      </c>
      <c r="AI953" s="1043">
        <f>T953-SUM(AD953:AD959)</f>
        <v>0</v>
      </c>
      <c r="AJ953" s="1062">
        <f>SUM(Z953:Z968)-SUM(AD953:AD968)</f>
        <v>0</v>
      </c>
      <c r="AK953" s="1062">
        <f>T953-V953</f>
        <v>-0.12999999523162842</v>
      </c>
      <c r="AL953" s="1062">
        <f>V953-SUM(Z953:Z959)</f>
        <v>0.12999999523162842</v>
      </c>
      <c r="AM953" s="1062">
        <f>AK953+AL953</f>
        <v>0</v>
      </c>
      <c r="AN953" s="1108" t="s">
        <v>606</v>
      </c>
      <c r="AO953" s="1103" t="s">
        <v>1470</v>
      </c>
      <c r="AP953" s="1103" t="s">
        <v>194</v>
      </c>
      <c r="AQ953" s="1103" t="s">
        <v>1414</v>
      </c>
    </row>
    <row r="954" spans="1:44" ht="78.75">
      <c r="A954" s="1033"/>
      <c r="B954" s="1069"/>
      <c r="C954" s="1033"/>
      <c r="D954" s="1033"/>
      <c r="E954" s="1072"/>
      <c r="F954" s="1072"/>
      <c r="G954" s="1033"/>
      <c r="H954" s="1033"/>
      <c r="I954" s="1033"/>
      <c r="J954" s="1033"/>
      <c r="K954" s="1033"/>
      <c r="L954" s="1033"/>
      <c r="M954" s="1287"/>
      <c r="N954" s="1066"/>
      <c r="O954" s="1063"/>
      <c r="P954" s="1063"/>
      <c r="Q954" s="1063"/>
      <c r="R954" s="1069"/>
      <c r="S954" s="1093"/>
      <c r="T954" s="1093"/>
      <c r="U954" s="1093"/>
      <c r="V954" s="1063"/>
      <c r="W954" s="1063"/>
      <c r="X954" s="1033"/>
      <c r="Y954" s="372" t="s">
        <v>1462</v>
      </c>
      <c r="Z954" s="386">
        <v>136875575</v>
      </c>
      <c r="AA954" s="386">
        <v>0</v>
      </c>
      <c r="AB954" s="386">
        <f t="shared" si="58"/>
        <v>136875575</v>
      </c>
      <c r="AC954" s="384">
        <v>41606</v>
      </c>
      <c r="AD954" s="395">
        <v>136875575</v>
      </c>
      <c r="AE954" s="395" t="s">
        <v>7</v>
      </c>
      <c r="AF954" s="1044"/>
      <c r="AG954" s="1044"/>
      <c r="AH954" s="358">
        <f t="shared" si="56"/>
        <v>0</v>
      </c>
      <c r="AI954" s="1044"/>
      <c r="AJ954" s="1063"/>
      <c r="AK954" s="1063"/>
      <c r="AL954" s="1063"/>
      <c r="AM954" s="1063"/>
      <c r="AN954" s="1109"/>
      <c r="AO954" s="1104"/>
      <c r="AP954" s="1104"/>
      <c r="AQ954" s="1104"/>
    </row>
    <row r="955" spans="1:44" ht="78.75">
      <c r="A955" s="1033"/>
      <c r="B955" s="1069"/>
      <c r="C955" s="1033"/>
      <c r="D955" s="1033"/>
      <c r="E955" s="1072"/>
      <c r="F955" s="1072"/>
      <c r="G955" s="1033"/>
      <c r="H955" s="1033"/>
      <c r="I955" s="1033"/>
      <c r="J955" s="1033"/>
      <c r="K955" s="1033"/>
      <c r="L955" s="1033"/>
      <c r="M955" s="1287"/>
      <c r="N955" s="1066"/>
      <c r="O955" s="1063"/>
      <c r="P955" s="1063"/>
      <c r="Q955" s="1063"/>
      <c r="R955" s="1069"/>
      <c r="S955" s="1093"/>
      <c r="T955" s="1093"/>
      <c r="U955" s="1093"/>
      <c r="V955" s="1063"/>
      <c r="W955" s="1063"/>
      <c r="X955" s="1033"/>
      <c r="Y955" s="372" t="s">
        <v>1461</v>
      </c>
      <c r="Z955" s="386">
        <v>111401544.81999999</v>
      </c>
      <c r="AA955" s="386">
        <v>0</v>
      </c>
      <c r="AB955" s="386">
        <f t="shared" si="58"/>
        <v>111401544.81999999</v>
      </c>
      <c r="AC955" s="384">
        <v>41626</v>
      </c>
      <c r="AD955" s="395">
        <v>111401544.81999999</v>
      </c>
      <c r="AE955" s="395" t="s">
        <v>7</v>
      </c>
      <c r="AF955" s="1044"/>
      <c r="AG955" s="1044"/>
      <c r="AH955" s="358">
        <f t="shared" si="56"/>
        <v>0</v>
      </c>
      <c r="AI955" s="1044"/>
      <c r="AJ955" s="1063"/>
      <c r="AK955" s="1063"/>
      <c r="AL955" s="1063"/>
      <c r="AM955" s="1063"/>
      <c r="AN955" s="1109"/>
      <c r="AO955" s="1104"/>
      <c r="AP955" s="1104"/>
      <c r="AQ955" s="1104"/>
    </row>
    <row r="956" spans="1:44" ht="78.75">
      <c r="A956" s="1033"/>
      <c r="B956" s="1069"/>
      <c r="C956" s="1033"/>
      <c r="D956" s="1033"/>
      <c r="E956" s="1072"/>
      <c r="F956" s="1072"/>
      <c r="G956" s="1033"/>
      <c r="H956" s="1033"/>
      <c r="I956" s="1033"/>
      <c r="J956" s="1033"/>
      <c r="K956" s="1033"/>
      <c r="L956" s="1033"/>
      <c r="M956" s="1287"/>
      <c r="N956" s="1066"/>
      <c r="O956" s="1063"/>
      <c r="P956" s="1063"/>
      <c r="Q956" s="1063"/>
      <c r="R956" s="1069"/>
      <c r="S956" s="1093"/>
      <c r="T956" s="1093"/>
      <c r="U956" s="1093"/>
      <c r="V956" s="1063"/>
      <c r="W956" s="1063"/>
      <c r="X956" s="1033"/>
      <c r="Y956" s="372" t="s">
        <v>1463</v>
      </c>
      <c r="Z956" s="386">
        <v>166012140</v>
      </c>
      <c r="AA956" s="386">
        <v>0</v>
      </c>
      <c r="AB956" s="386">
        <f t="shared" si="58"/>
        <v>166012140</v>
      </c>
      <c r="AC956" s="384">
        <v>41684</v>
      </c>
      <c r="AD956" s="395">
        <v>166012140</v>
      </c>
      <c r="AE956" s="395" t="s">
        <v>7</v>
      </c>
      <c r="AF956" s="1044"/>
      <c r="AG956" s="1044"/>
      <c r="AH956" s="358">
        <f t="shared" si="56"/>
        <v>0</v>
      </c>
      <c r="AI956" s="1044"/>
      <c r="AJ956" s="1063"/>
      <c r="AK956" s="1063"/>
      <c r="AL956" s="1063"/>
      <c r="AM956" s="1063"/>
      <c r="AN956" s="1109"/>
      <c r="AO956" s="1104"/>
      <c r="AP956" s="1104"/>
      <c r="AQ956" s="1104"/>
    </row>
    <row r="957" spans="1:44" ht="78.75">
      <c r="A957" s="1033"/>
      <c r="B957" s="1069"/>
      <c r="C957" s="1033"/>
      <c r="D957" s="1033"/>
      <c r="E957" s="1072"/>
      <c r="F957" s="1072"/>
      <c r="G957" s="1033"/>
      <c r="H957" s="1033"/>
      <c r="I957" s="1033"/>
      <c r="J957" s="1033"/>
      <c r="K957" s="1033"/>
      <c r="L957" s="1033"/>
      <c r="M957" s="1287"/>
      <c r="N957" s="1066"/>
      <c r="O957" s="1063"/>
      <c r="P957" s="1063"/>
      <c r="Q957" s="1063"/>
      <c r="R957" s="1069"/>
      <c r="S957" s="1093"/>
      <c r="T957" s="1093"/>
      <c r="U957" s="1093"/>
      <c r="V957" s="1063"/>
      <c r="W957" s="1063"/>
      <c r="X957" s="1033"/>
      <c r="Y957" s="372" t="s">
        <v>1464</v>
      </c>
      <c r="Z957" s="386">
        <v>73510098.709999993</v>
      </c>
      <c r="AA957" s="386">
        <v>0</v>
      </c>
      <c r="AB957" s="386">
        <f t="shared" si="58"/>
        <v>73510098.709999993</v>
      </c>
      <c r="AC957" s="384">
        <v>41726</v>
      </c>
      <c r="AD957" s="395">
        <v>73510098.709999993</v>
      </c>
      <c r="AE957" s="395" t="s">
        <v>7</v>
      </c>
      <c r="AF957" s="1044"/>
      <c r="AG957" s="1044"/>
      <c r="AH957" s="358">
        <f t="shared" si="56"/>
        <v>0</v>
      </c>
      <c r="AI957" s="1044"/>
      <c r="AJ957" s="1063"/>
      <c r="AK957" s="1063"/>
      <c r="AL957" s="1063"/>
      <c r="AM957" s="1063"/>
      <c r="AN957" s="1109"/>
      <c r="AO957" s="1104"/>
      <c r="AP957" s="1104"/>
      <c r="AQ957" s="1104"/>
    </row>
    <row r="958" spans="1:44" ht="78.75">
      <c r="A958" s="1033"/>
      <c r="B958" s="1069"/>
      <c r="C958" s="1033"/>
      <c r="D958" s="1033"/>
      <c r="E958" s="1072"/>
      <c r="F958" s="1072"/>
      <c r="G958" s="1033"/>
      <c r="H958" s="1033"/>
      <c r="I958" s="1033"/>
      <c r="J958" s="1033"/>
      <c r="K958" s="1033"/>
      <c r="L958" s="1033"/>
      <c r="M958" s="1287"/>
      <c r="N958" s="1066"/>
      <c r="O958" s="1063"/>
      <c r="P958" s="1063"/>
      <c r="Q958" s="1063"/>
      <c r="R958" s="1069"/>
      <c r="S958" s="1093"/>
      <c r="T958" s="1093"/>
      <c r="U958" s="1093"/>
      <c r="V958" s="1063"/>
      <c r="W958" s="1063"/>
      <c r="X958" s="1033"/>
      <c r="Y958" s="372" t="s">
        <v>1465</v>
      </c>
      <c r="Z958" s="386">
        <v>69281011.480000004</v>
      </c>
      <c r="AA958" s="386">
        <v>0</v>
      </c>
      <c r="AB958" s="386">
        <f t="shared" si="58"/>
        <v>69281011.480000004</v>
      </c>
      <c r="AC958" s="384">
        <v>41767</v>
      </c>
      <c r="AD958" s="395">
        <v>69281011.480000004</v>
      </c>
      <c r="AE958" s="395" t="s">
        <v>7</v>
      </c>
      <c r="AF958" s="1044"/>
      <c r="AG958" s="1044"/>
      <c r="AH958" s="358">
        <f t="shared" si="56"/>
        <v>0</v>
      </c>
      <c r="AI958" s="1044"/>
      <c r="AJ958" s="1063"/>
      <c r="AK958" s="1063"/>
      <c r="AL958" s="1063"/>
      <c r="AM958" s="1063"/>
      <c r="AN958" s="1109"/>
      <c r="AO958" s="1104"/>
      <c r="AP958" s="1104"/>
      <c r="AQ958" s="1104"/>
    </row>
    <row r="959" spans="1:44" ht="78.75">
      <c r="A959" s="1033"/>
      <c r="B959" s="1069"/>
      <c r="C959" s="1033"/>
      <c r="D959" s="1033"/>
      <c r="E959" s="1072"/>
      <c r="F959" s="1072"/>
      <c r="G959" s="1033"/>
      <c r="H959" s="1033"/>
      <c r="I959" s="1033"/>
      <c r="J959" s="1033"/>
      <c r="K959" s="1033"/>
      <c r="L959" s="1033"/>
      <c r="M959" s="1288"/>
      <c r="N959" s="1067"/>
      <c r="O959" s="1064"/>
      <c r="P959" s="1064"/>
      <c r="Q959" s="1063"/>
      <c r="R959" s="1070"/>
      <c r="S959" s="1094"/>
      <c r="T959" s="1094"/>
      <c r="U959" s="1094"/>
      <c r="V959" s="1064"/>
      <c r="W959" s="1063"/>
      <c r="X959" s="1033"/>
      <c r="Y959" s="372" t="s">
        <v>1466</v>
      </c>
      <c r="Z959" s="386">
        <v>84954057.540000007</v>
      </c>
      <c r="AA959" s="386">
        <v>0</v>
      </c>
      <c r="AB959" s="386">
        <f t="shared" si="58"/>
        <v>84954057.540000007</v>
      </c>
      <c r="AC959" s="384">
        <v>41947</v>
      </c>
      <c r="AD959" s="395">
        <v>84954057.540000007</v>
      </c>
      <c r="AE959" s="395" t="s">
        <v>7</v>
      </c>
      <c r="AF959" s="1045"/>
      <c r="AG959" s="1044"/>
      <c r="AH959" s="358">
        <f t="shared" si="56"/>
        <v>0</v>
      </c>
      <c r="AI959" s="1045"/>
      <c r="AJ959" s="1063"/>
      <c r="AK959" s="1064"/>
      <c r="AL959" s="1064"/>
      <c r="AM959" s="1064"/>
      <c r="AN959" s="1109"/>
      <c r="AO959" s="1104"/>
      <c r="AP959" s="1104"/>
      <c r="AQ959" s="1104"/>
    </row>
    <row r="960" spans="1:44" ht="63">
      <c r="A960" s="1033"/>
      <c r="B960" s="1069"/>
      <c r="C960" s="1033"/>
      <c r="D960" s="1033"/>
      <c r="E960" s="1072"/>
      <c r="F960" s="1072"/>
      <c r="G960" s="1033"/>
      <c r="H960" s="1033"/>
      <c r="I960" s="1033"/>
      <c r="J960" s="1033"/>
      <c r="K960" s="1033"/>
      <c r="L960" s="1033"/>
      <c r="M960" s="1286">
        <v>4</v>
      </c>
      <c r="N960" s="1065" t="s">
        <v>164</v>
      </c>
      <c r="O960" s="1062">
        <v>404087598</v>
      </c>
      <c r="P960" s="1062">
        <f>O960</f>
        <v>404087598</v>
      </c>
      <c r="Q960" s="1063"/>
      <c r="R960" s="1068">
        <v>41220</v>
      </c>
      <c r="S960" s="1092">
        <f>T960</f>
        <v>398598754</v>
      </c>
      <c r="T960" s="1092">
        <v>398598754</v>
      </c>
      <c r="U960" s="1092">
        <f>O960-T960</f>
        <v>5488844</v>
      </c>
      <c r="V960" s="1062">
        <v>398598754.31999999</v>
      </c>
      <c r="W960" s="1063"/>
      <c r="X960" s="1033"/>
      <c r="Y960" s="372" t="s">
        <v>1460</v>
      </c>
      <c r="Z960" s="386">
        <v>89587875</v>
      </c>
      <c r="AA960" s="386">
        <v>0</v>
      </c>
      <c r="AB960" s="386">
        <f t="shared" si="58"/>
        <v>89587875</v>
      </c>
      <c r="AC960" s="384">
        <v>41571</v>
      </c>
      <c r="AD960" s="395">
        <v>89587875</v>
      </c>
      <c r="AE960" s="395" t="s">
        <v>164</v>
      </c>
      <c r="AF960" s="1043">
        <f>SUM(AD960:AD966)</f>
        <v>398598754.44999999</v>
      </c>
      <c r="AG960" s="1044"/>
      <c r="AH960" s="358">
        <f t="shared" si="56"/>
        <v>0</v>
      </c>
      <c r="AI960" s="1043">
        <f>T960-SUM(AD960:AD966)</f>
        <v>-0.44999998807907104</v>
      </c>
      <c r="AJ960" s="1063"/>
      <c r="AK960" s="1062">
        <f>T960-V960</f>
        <v>-0.31999999284744263</v>
      </c>
      <c r="AL960" s="1062">
        <f>V960-SUM(Z960:Z966)</f>
        <v>-0.12999999523162842</v>
      </c>
      <c r="AM960" s="1062">
        <f>AK960+AL960</f>
        <v>-0.44999998807907104</v>
      </c>
      <c r="AN960" s="1109"/>
      <c r="AO960" s="1104"/>
      <c r="AP960" s="1104"/>
      <c r="AQ960" s="1104"/>
    </row>
    <row r="961" spans="1:43" ht="78.75">
      <c r="A961" s="1033"/>
      <c r="B961" s="1069"/>
      <c r="C961" s="1033"/>
      <c r="D961" s="1033"/>
      <c r="E961" s="1072"/>
      <c r="F961" s="1072"/>
      <c r="G961" s="1033"/>
      <c r="H961" s="1033"/>
      <c r="I961" s="1033"/>
      <c r="J961" s="1033"/>
      <c r="K961" s="1033"/>
      <c r="L961" s="1033"/>
      <c r="M961" s="1287"/>
      <c r="N961" s="1066"/>
      <c r="O961" s="1063"/>
      <c r="P961" s="1063"/>
      <c r="Q961" s="1063"/>
      <c r="R961" s="1069"/>
      <c r="S961" s="1093"/>
      <c r="T961" s="1093"/>
      <c r="U961" s="1093"/>
      <c r="V961" s="1063"/>
      <c r="W961" s="1063"/>
      <c r="X961" s="1033"/>
      <c r="Y961" s="372" t="s">
        <v>1462</v>
      </c>
      <c r="Z961" s="386">
        <v>65878152</v>
      </c>
      <c r="AA961" s="386">
        <v>0</v>
      </c>
      <c r="AB961" s="386">
        <f t="shared" si="58"/>
        <v>65878152</v>
      </c>
      <c r="AC961" s="384">
        <v>41606</v>
      </c>
      <c r="AD961" s="395">
        <v>65878152</v>
      </c>
      <c r="AE961" s="395" t="s">
        <v>164</v>
      </c>
      <c r="AF961" s="1044"/>
      <c r="AG961" s="1044"/>
      <c r="AH961" s="358">
        <f t="shared" si="56"/>
        <v>0</v>
      </c>
      <c r="AI961" s="1044"/>
      <c r="AJ961" s="1063"/>
      <c r="AK961" s="1063"/>
      <c r="AL961" s="1063"/>
      <c r="AM961" s="1063"/>
      <c r="AN961" s="1109"/>
      <c r="AO961" s="1104"/>
      <c r="AP961" s="1104"/>
      <c r="AQ961" s="1104"/>
    </row>
    <row r="962" spans="1:43" ht="78.75">
      <c r="A962" s="1033"/>
      <c r="B962" s="1069"/>
      <c r="C962" s="1033"/>
      <c r="D962" s="1033"/>
      <c r="E962" s="1072"/>
      <c r="F962" s="1072"/>
      <c r="G962" s="1033"/>
      <c r="H962" s="1033"/>
      <c r="I962" s="1033"/>
      <c r="J962" s="1033"/>
      <c r="K962" s="1033"/>
      <c r="L962" s="1033"/>
      <c r="M962" s="1287"/>
      <c r="N962" s="1066"/>
      <c r="O962" s="1063"/>
      <c r="P962" s="1063"/>
      <c r="Q962" s="1063"/>
      <c r="R962" s="1069"/>
      <c r="S962" s="1093"/>
      <c r="T962" s="1093"/>
      <c r="U962" s="1093"/>
      <c r="V962" s="1063"/>
      <c r="W962" s="1063"/>
      <c r="X962" s="1033"/>
      <c r="Y962" s="372" t="s">
        <v>1461</v>
      </c>
      <c r="Z962" s="386">
        <v>53617513.18</v>
      </c>
      <c r="AA962" s="386">
        <v>0</v>
      </c>
      <c r="AB962" s="386">
        <f t="shared" si="58"/>
        <v>53617513.18</v>
      </c>
      <c r="AC962" s="384">
        <v>41626</v>
      </c>
      <c r="AD962" s="395">
        <v>53617513.18</v>
      </c>
      <c r="AE962" s="395" t="s">
        <v>164</v>
      </c>
      <c r="AF962" s="1044"/>
      <c r="AG962" s="1044"/>
      <c r="AH962" s="358">
        <f t="shared" si="56"/>
        <v>0</v>
      </c>
      <c r="AI962" s="1044"/>
      <c r="AJ962" s="1063"/>
      <c r="AK962" s="1063"/>
      <c r="AL962" s="1063"/>
      <c r="AM962" s="1063"/>
      <c r="AN962" s="1109"/>
      <c r="AO962" s="1104"/>
      <c r="AP962" s="1104"/>
      <c r="AQ962" s="1104"/>
    </row>
    <row r="963" spans="1:43" ht="78.75">
      <c r="A963" s="1033"/>
      <c r="B963" s="1069"/>
      <c r="C963" s="1033"/>
      <c r="D963" s="1033"/>
      <c r="E963" s="1072"/>
      <c r="F963" s="1072"/>
      <c r="G963" s="1033"/>
      <c r="H963" s="1033"/>
      <c r="I963" s="1033"/>
      <c r="J963" s="1033"/>
      <c r="K963" s="1033"/>
      <c r="L963" s="1033"/>
      <c r="M963" s="1287"/>
      <c r="N963" s="1066"/>
      <c r="O963" s="1063"/>
      <c r="P963" s="1063"/>
      <c r="Q963" s="1063"/>
      <c r="R963" s="1069"/>
      <c r="S963" s="1093"/>
      <c r="T963" s="1093"/>
      <c r="U963" s="1093"/>
      <c r="V963" s="1063"/>
      <c r="W963" s="1063"/>
      <c r="X963" s="1033"/>
      <c r="Y963" s="372" t="s">
        <v>1463</v>
      </c>
      <c r="Z963" s="386">
        <v>78123360.319999993</v>
      </c>
      <c r="AA963" s="386">
        <v>0</v>
      </c>
      <c r="AB963" s="386">
        <f t="shared" si="58"/>
        <v>78123360.319999993</v>
      </c>
      <c r="AC963" s="384">
        <v>41684</v>
      </c>
      <c r="AD963" s="395">
        <v>78123360.319999993</v>
      </c>
      <c r="AE963" s="395" t="s">
        <v>164</v>
      </c>
      <c r="AF963" s="1044"/>
      <c r="AG963" s="1044"/>
      <c r="AH963" s="358">
        <f t="shared" si="56"/>
        <v>0</v>
      </c>
      <c r="AI963" s="1044"/>
      <c r="AJ963" s="1063"/>
      <c r="AK963" s="1063"/>
      <c r="AL963" s="1063"/>
      <c r="AM963" s="1063"/>
      <c r="AN963" s="1109"/>
      <c r="AO963" s="1104"/>
      <c r="AP963" s="1104"/>
      <c r="AQ963" s="1104"/>
    </row>
    <row r="964" spans="1:43" ht="78.75">
      <c r="A964" s="1033"/>
      <c r="B964" s="1069"/>
      <c r="C964" s="1033"/>
      <c r="D964" s="1033"/>
      <c r="E964" s="1072"/>
      <c r="F964" s="1072"/>
      <c r="G964" s="1033"/>
      <c r="H964" s="1033"/>
      <c r="I964" s="1033"/>
      <c r="J964" s="1033"/>
      <c r="K964" s="1033"/>
      <c r="L964" s="1033"/>
      <c r="M964" s="1287"/>
      <c r="N964" s="1066"/>
      <c r="O964" s="1063"/>
      <c r="P964" s="1063"/>
      <c r="Q964" s="1063"/>
      <c r="R964" s="1069"/>
      <c r="S964" s="1093"/>
      <c r="T964" s="1093"/>
      <c r="U964" s="1093"/>
      <c r="V964" s="1063"/>
      <c r="W964" s="1063"/>
      <c r="X964" s="1033"/>
      <c r="Y964" s="372" t="s">
        <v>1464</v>
      </c>
      <c r="Z964" s="386">
        <v>35380377.289999999</v>
      </c>
      <c r="AA964" s="386">
        <v>0</v>
      </c>
      <c r="AB964" s="386">
        <f t="shared" si="58"/>
        <v>35380377.289999999</v>
      </c>
      <c r="AC964" s="384">
        <v>41726</v>
      </c>
      <c r="AD964" s="395">
        <v>35380377.289999999</v>
      </c>
      <c r="AE964" s="395" t="s">
        <v>164</v>
      </c>
      <c r="AF964" s="1044"/>
      <c r="AG964" s="1044"/>
      <c r="AH964" s="358">
        <f t="shared" si="56"/>
        <v>0</v>
      </c>
      <c r="AI964" s="1044"/>
      <c r="AJ964" s="1063"/>
      <c r="AK964" s="1063"/>
      <c r="AL964" s="1063"/>
      <c r="AM964" s="1063"/>
      <c r="AN964" s="1109"/>
      <c r="AO964" s="1104"/>
      <c r="AP964" s="1104"/>
      <c r="AQ964" s="1104"/>
    </row>
    <row r="965" spans="1:43" ht="78.75">
      <c r="A965" s="1033"/>
      <c r="B965" s="1069"/>
      <c r="C965" s="1033"/>
      <c r="D965" s="1033"/>
      <c r="E965" s="1072"/>
      <c r="F965" s="1072"/>
      <c r="G965" s="1033"/>
      <c r="H965" s="1033"/>
      <c r="I965" s="1033"/>
      <c r="J965" s="1033"/>
      <c r="K965" s="1033"/>
      <c r="L965" s="1033"/>
      <c r="M965" s="1287"/>
      <c r="N965" s="1066"/>
      <c r="O965" s="1063"/>
      <c r="P965" s="1063"/>
      <c r="Q965" s="1063"/>
      <c r="R965" s="1069"/>
      <c r="S965" s="1093"/>
      <c r="T965" s="1093"/>
      <c r="U965" s="1093"/>
      <c r="V965" s="1063"/>
      <c r="W965" s="1063"/>
      <c r="X965" s="1033"/>
      <c r="Y965" s="372" t="s">
        <v>1465</v>
      </c>
      <c r="Z965" s="386">
        <v>33344919.52</v>
      </c>
      <c r="AA965" s="386">
        <v>0</v>
      </c>
      <c r="AB965" s="386">
        <f t="shared" si="58"/>
        <v>33344919.52</v>
      </c>
      <c r="AC965" s="384">
        <v>41767</v>
      </c>
      <c r="AD965" s="395">
        <v>33344919.52</v>
      </c>
      <c r="AE965" s="395" t="s">
        <v>164</v>
      </c>
      <c r="AF965" s="1044"/>
      <c r="AG965" s="1044"/>
      <c r="AH965" s="358">
        <f t="shared" si="56"/>
        <v>0</v>
      </c>
      <c r="AI965" s="1044"/>
      <c r="AJ965" s="1063"/>
      <c r="AK965" s="1063"/>
      <c r="AL965" s="1063"/>
      <c r="AM965" s="1063"/>
      <c r="AN965" s="1109"/>
      <c r="AO965" s="1104"/>
      <c r="AP965" s="1104"/>
      <c r="AQ965" s="1104"/>
    </row>
    <row r="966" spans="1:43" ht="78.75">
      <c r="A966" s="1033"/>
      <c r="B966" s="1069"/>
      <c r="C966" s="1033"/>
      <c r="D966" s="1033"/>
      <c r="E966" s="1072"/>
      <c r="F966" s="1072"/>
      <c r="G966" s="1033"/>
      <c r="H966" s="1033"/>
      <c r="I966" s="1033"/>
      <c r="J966" s="1012"/>
      <c r="K966" s="1033"/>
      <c r="L966" s="1033"/>
      <c r="M966" s="1288"/>
      <c r="N966" s="1067"/>
      <c r="O966" s="1064"/>
      <c r="P966" s="1064"/>
      <c r="Q966" s="1063"/>
      <c r="R966" s="1070"/>
      <c r="S966" s="1094"/>
      <c r="T966" s="1094"/>
      <c r="U966" s="1094"/>
      <c r="V966" s="1064"/>
      <c r="W966" s="1063"/>
      <c r="X966" s="1033"/>
      <c r="Y966" s="372" t="s">
        <v>1466</v>
      </c>
      <c r="Z966" s="386">
        <v>42666557.140000001</v>
      </c>
      <c r="AA966" s="386">
        <v>0</v>
      </c>
      <c r="AB966" s="386">
        <f t="shared" si="58"/>
        <v>42666557.140000001</v>
      </c>
      <c r="AC966" s="384">
        <v>41947</v>
      </c>
      <c r="AD966" s="395">
        <v>42666557.140000001</v>
      </c>
      <c r="AE966" s="395" t="s">
        <v>164</v>
      </c>
      <c r="AF966" s="1045"/>
      <c r="AG966" s="1044"/>
      <c r="AH966" s="358">
        <f t="shared" si="56"/>
        <v>0</v>
      </c>
      <c r="AI966" s="1045"/>
      <c r="AJ966" s="1063"/>
      <c r="AK966" s="1064"/>
      <c r="AL966" s="1064"/>
      <c r="AM966" s="1064"/>
      <c r="AN966" s="1109"/>
      <c r="AO966" s="1104"/>
      <c r="AP966" s="1104"/>
      <c r="AQ966" s="1104"/>
    </row>
    <row r="967" spans="1:43" ht="47.25">
      <c r="A967" s="1033"/>
      <c r="B967" s="1069"/>
      <c r="C967" s="1033"/>
      <c r="D967" s="1033"/>
      <c r="E967" s="1072"/>
      <c r="F967" s="1072"/>
      <c r="G967" s="1033"/>
      <c r="H967" s="1033"/>
      <c r="I967" s="1033"/>
      <c r="J967" s="1011" t="s">
        <v>67</v>
      </c>
      <c r="K967" s="1033"/>
      <c r="L967" s="1033"/>
      <c r="M967" s="1286">
        <v>5</v>
      </c>
      <c r="N967" s="1065" t="s">
        <v>164</v>
      </c>
      <c r="O967" s="1062">
        <v>287677069</v>
      </c>
      <c r="P967" s="1062">
        <f>O967</f>
        <v>287677069</v>
      </c>
      <c r="Q967" s="1063"/>
      <c r="R967" s="1068">
        <v>41893</v>
      </c>
      <c r="S967" s="1092">
        <f>T967</f>
        <v>287677069</v>
      </c>
      <c r="T967" s="1092">
        <v>287677069</v>
      </c>
      <c r="U967" s="1092">
        <f>O967-T967</f>
        <v>0</v>
      </c>
      <c r="V967" s="1062">
        <v>287677069</v>
      </c>
      <c r="W967" s="1063"/>
      <c r="X967" s="1033"/>
      <c r="Y967" s="372" t="s">
        <v>1467</v>
      </c>
      <c r="Z967" s="386">
        <v>135806502</v>
      </c>
      <c r="AA967" s="386">
        <v>0</v>
      </c>
      <c r="AB967" s="386">
        <f t="shared" si="58"/>
        <v>135806502</v>
      </c>
      <c r="AC967" s="384">
        <v>41947</v>
      </c>
      <c r="AD967" s="395">
        <v>135806502</v>
      </c>
      <c r="AE967" s="395" t="s">
        <v>164</v>
      </c>
      <c r="AF967" s="1043">
        <f>SUM(AD967:AD968)</f>
        <v>287676940</v>
      </c>
      <c r="AG967" s="1044"/>
      <c r="AH967" s="358">
        <f t="shared" si="56"/>
        <v>0</v>
      </c>
      <c r="AI967" s="1043">
        <f>O967-SUM(AD967:AD968)</f>
        <v>129</v>
      </c>
      <c r="AJ967" s="1063"/>
      <c r="AK967" s="1062">
        <f>T967-V967</f>
        <v>0</v>
      </c>
      <c r="AL967" s="1062">
        <f>V967-SUM(Z967:Z968)</f>
        <v>129</v>
      </c>
      <c r="AM967" s="1062">
        <f>AK967+AL967</f>
        <v>129</v>
      </c>
      <c r="AN967" s="1109"/>
      <c r="AO967" s="1104"/>
      <c r="AP967" s="1104"/>
      <c r="AQ967" s="1104"/>
    </row>
    <row r="968" spans="1:43" ht="47.25">
      <c r="A968" s="1012"/>
      <c r="B968" s="1070"/>
      <c r="C968" s="1012"/>
      <c r="D968" s="1012"/>
      <c r="E968" s="1073"/>
      <c r="F968" s="1073"/>
      <c r="G968" s="1012"/>
      <c r="H968" s="1012"/>
      <c r="I968" s="1012"/>
      <c r="J968" s="1012"/>
      <c r="K968" s="1012"/>
      <c r="L968" s="1012"/>
      <c r="M968" s="1288"/>
      <c r="N968" s="1067"/>
      <c r="O968" s="1064"/>
      <c r="P968" s="1064"/>
      <c r="Q968" s="1064"/>
      <c r="R968" s="1070"/>
      <c r="S968" s="1094"/>
      <c r="T968" s="1094"/>
      <c r="U968" s="1094"/>
      <c r="V968" s="1064"/>
      <c r="W968" s="1064"/>
      <c r="X968" s="1012"/>
      <c r="Y968" s="372" t="s">
        <v>1468</v>
      </c>
      <c r="Z968" s="386">
        <v>151870438</v>
      </c>
      <c r="AA968" s="386">
        <v>0</v>
      </c>
      <c r="AB968" s="386">
        <f t="shared" si="58"/>
        <v>151870438</v>
      </c>
      <c r="AC968" s="384">
        <v>42164</v>
      </c>
      <c r="AD968" s="395">
        <v>151870438</v>
      </c>
      <c r="AE968" s="395" t="s">
        <v>164</v>
      </c>
      <c r="AF968" s="1045"/>
      <c r="AG968" s="1045"/>
      <c r="AH968" s="358">
        <f t="shared" si="56"/>
        <v>0</v>
      </c>
      <c r="AI968" s="1045"/>
      <c r="AJ968" s="1064"/>
      <c r="AK968" s="1064"/>
      <c r="AL968" s="1064"/>
      <c r="AM968" s="1064"/>
      <c r="AN968" s="1110"/>
      <c r="AO968" s="1105"/>
      <c r="AP968" s="1105"/>
      <c r="AQ968" s="1105"/>
    </row>
    <row r="969" spans="1:43" ht="15.75" customHeight="1">
      <c r="A969" s="1011" t="s">
        <v>1471</v>
      </c>
      <c r="B969" s="1068">
        <v>41332</v>
      </c>
      <c r="C969" s="1011" t="s">
        <v>11</v>
      </c>
      <c r="D969" s="1011" t="s">
        <v>1472</v>
      </c>
      <c r="E969" s="1071">
        <v>76308097</v>
      </c>
      <c r="F969" s="1071"/>
      <c r="G969" s="1011" t="s">
        <v>1473</v>
      </c>
      <c r="H969" s="1011" t="s">
        <v>71</v>
      </c>
      <c r="I969" s="1011" t="s">
        <v>1221</v>
      </c>
      <c r="J969" s="1011" t="s">
        <v>66</v>
      </c>
      <c r="K969" s="1011" t="s">
        <v>183</v>
      </c>
      <c r="L969" s="1011" t="s">
        <v>1478</v>
      </c>
      <c r="M969" s="1286">
        <v>253</v>
      </c>
      <c r="N969" s="1065" t="s">
        <v>7</v>
      </c>
      <c r="O969" s="1062">
        <v>45925680</v>
      </c>
      <c r="P969" s="1062">
        <f>O969+O971</f>
        <v>95925680</v>
      </c>
      <c r="Q969" s="1062">
        <f>P969+P973</f>
        <v>139776266</v>
      </c>
      <c r="R969" s="1068">
        <v>41165</v>
      </c>
      <c r="S969" s="1092">
        <f>T969+T971</f>
        <v>95925680</v>
      </c>
      <c r="T969" s="1062">
        <v>45925680</v>
      </c>
      <c r="U969" s="1062">
        <f>O969-T969</f>
        <v>0</v>
      </c>
      <c r="V969" s="1062">
        <v>45503172</v>
      </c>
      <c r="W969" s="1062">
        <f>V969+V971+V973</f>
        <v>138893767</v>
      </c>
      <c r="X969" s="1011" t="s">
        <v>1459</v>
      </c>
      <c r="Y969" s="1065" t="s">
        <v>1474</v>
      </c>
      <c r="Z969" s="386">
        <v>34043690.369999997</v>
      </c>
      <c r="AA969" s="386">
        <v>0</v>
      </c>
      <c r="AB969" s="386">
        <f t="shared" si="58"/>
        <v>34043690.369999997</v>
      </c>
      <c r="AC969" s="1068">
        <v>41626</v>
      </c>
      <c r="AD969" s="395">
        <v>34043690.369999997</v>
      </c>
      <c r="AE969" s="395" t="s">
        <v>137</v>
      </c>
      <c r="AF969" s="1043">
        <f>SUM(AD969:AD972)</f>
        <v>95043181</v>
      </c>
      <c r="AG969" s="1043">
        <f>AF969+AF973</f>
        <v>138881205.63999999</v>
      </c>
      <c r="AH969" s="358">
        <f t="shared" si="56"/>
        <v>0</v>
      </c>
      <c r="AI969" s="1043">
        <f>O969-AD970-AD971</f>
        <v>-2597695.2700000033</v>
      </c>
      <c r="AJ969" s="1062">
        <f>SUM(Z969:Z974)-SUM(AD969:AD974)</f>
        <v>0</v>
      </c>
      <c r="AK969" s="1062">
        <f>O969-V969</f>
        <v>422508</v>
      </c>
      <c r="AL969" s="1062">
        <f>SUM(V969:V972)-SUM(Z969:Z972)</f>
        <v>0</v>
      </c>
      <c r="AM969" s="1062">
        <f>AK969+AL969</f>
        <v>422508</v>
      </c>
      <c r="AN969" s="1108" t="s">
        <v>606</v>
      </c>
      <c r="AO969" s="1195" t="s">
        <v>1479</v>
      </c>
      <c r="AP969" s="1103" t="s">
        <v>194</v>
      </c>
      <c r="AQ969" s="1103" t="s">
        <v>1097</v>
      </c>
    </row>
    <row r="970" spans="1:43">
      <c r="A970" s="1033"/>
      <c r="B970" s="1069"/>
      <c r="C970" s="1033"/>
      <c r="D970" s="1033"/>
      <c r="E970" s="1072"/>
      <c r="F970" s="1072"/>
      <c r="G970" s="1033"/>
      <c r="H970" s="1033"/>
      <c r="I970" s="1033"/>
      <c r="J970" s="1033"/>
      <c r="K970" s="1033"/>
      <c r="L970" s="1033"/>
      <c r="M970" s="1287"/>
      <c r="N970" s="1067"/>
      <c r="O970" s="1064"/>
      <c r="P970" s="1063"/>
      <c r="Q970" s="1063"/>
      <c r="R970" s="1069"/>
      <c r="S970" s="1093"/>
      <c r="T970" s="1064"/>
      <c r="U970" s="1064"/>
      <c r="V970" s="1064"/>
      <c r="W970" s="1063"/>
      <c r="X970" s="1033"/>
      <c r="Y970" s="1067"/>
      <c r="Z970" s="386">
        <v>37063893.630000003</v>
      </c>
      <c r="AA970" s="386">
        <v>0</v>
      </c>
      <c r="AB970" s="386">
        <f t="shared" si="58"/>
        <v>37063893.630000003</v>
      </c>
      <c r="AC970" s="1070"/>
      <c r="AD970" s="395">
        <v>37063893.630000003</v>
      </c>
      <c r="AE970" s="395" t="s">
        <v>7</v>
      </c>
      <c r="AF970" s="1044"/>
      <c r="AG970" s="1044"/>
      <c r="AH970" s="358">
        <f t="shared" si="56"/>
        <v>0</v>
      </c>
      <c r="AI970" s="1045"/>
      <c r="AJ970" s="1063"/>
      <c r="AK970" s="1064"/>
      <c r="AL970" s="1063"/>
      <c r="AM970" s="1064"/>
      <c r="AN970" s="1109"/>
      <c r="AO970" s="1104"/>
      <c r="AP970" s="1104"/>
      <c r="AQ970" s="1104"/>
    </row>
    <row r="971" spans="1:43">
      <c r="A971" s="1033"/>
      <c r="B971" s="1069"/>
      <c r="C971" s="1033"/>
      <c r="D971" s="1033"/>
      <c r="E971" s="1072"/>
      <c r="F971" s="1072"/>
      <c r="G971" s="1033"/>
      <c r="H971" s="1033"/>
      <c r="I971" s="1033"/>
      <c r="J971" s="1033"/>
      <c r="K971" s="1033"/>
      <c r="L971" s="1033"/>
      <c r="M971" s="1287"/>
      <c r="N971" s="1065" t="s">
        <v>137</v>
      </c>
      <c r="O971" s="1062">
        <v>50000000</v>
      </c>
      <c r="P971" s="1063"/>
      <c r="Q971" s="1063"/>
      <c r="R971" s="1069"/>
      <c r="S971" s="1093"/>
      <c r="T971" s="1062">
        <v>50000000</v>
      </c>
      <c r="U971" s="1062">
        <f>O971-T971</f>
        <v>0</v>
      </c>
      <c r="V971" s="1062">
        <v>49540009</v>
      </c>
      <c r="W971" s="1063"/>
      <c r="X971" s="1033"/>
      <c r="Y971" s="1065" t="s">
        <v>1475</v>
      </c>
      <c r="Z971" s="386">
        <v>11459481.640000001</v>
      </c>
      <c r="AA971" s="386">
        <v>0</v>
      </c>
      <c r="AB971" s="386">
        <f t="shared" si="58"/>
        <v>11459481.640000001</v>
      </c>
      <c r="AC971" s="1068">
        <v>41939</v>
      </c>
      <c r="AD971" s="395">
        <v>11459481.640000001</v>
      </c>
      <c r="AE971" s="395" t="s">
        <v>7</v>
      </c>
      <c r="AF971" s="1044"/>
      <c r="AG971" s="1044"/>
      <c r="AH971" s="358">
        <f t="shared" si="56"/>
        <v>0</v>
      </c>
      <c r="AI971" s="1043">
        <f>O971-AD969-AD972</f>
        <v>3480194.2700000033</v>
      </c>
      <c r="AJ971" s="1063"/>
      <c r="AK971" s="1062">
        <f>O971-V971</f>
        <v>459991</v>
      </c>
      <c r="AL971" s="1063"/>
      <c r="AM971" s="1062">
        <f>AK971+AL971</f>
        <v>459991</v>
      </c>
      <c r="AN971" s="1109"/>
      <c r="AO971" s="1104"/>
      <c r="AP971" s="1104"/>
      <c r="AQ971" s="1104"/>
    </row>
    <row r="972" spans="1:43" ht="31.5">
      <c r="A972" s="1033"/>
      <c r="B972" s="1069"/>
      <c r="C972" s="1033"/>
      <c r="D972" s="1033"/>
      <c r="E972" s="1072"/>
      <c r="F972" s="1072"/>
      <c r="G972" s="1033"/>
      <c r="H972" s="1033"/>
      <c r="I972" s="1033"/>
      <c r="J972" s="1012"/>
      <c r="K972" s="1033"/>
      <c r="L972" s="1033"/>
      <c r="M972" s="1288"/>
      <c r="N972" s="1067"/>
      <c r="O972" s="1064"/>
      <c r="P972" s="1064"/>
      <c r="Q972" s="1063"/>
      <c r="R972" s="1070"/>
      <c r="S972" s="1094"/>
      <c r="T972" s="1064"/>
      <c r="U972" s="1064"/>
      <c r="V972" s="1064"/>
      <c r="W972" s="1063"/>
      <c r="X972" s="1033"/>
      <c r="Y972" s="1067"/>
      <c r="Z972" s="386">
        <v>12476115.359999999</v>
      </c>
      <c r="AA972" s="386">
        <v>0</v>
      </c>
      <c r="AB972" s="386">
        <f t="shared" si="58"/>
        <v>12476115.359999999</v>
      </c>
      <c r="AC972" s="1070"/>
      <c r="AD972" s="395">
        <v>12476115.359999999</v>
      </c>
      <c r="AE972" s="395" t="s">
        <v>137</v>
      </c>
      <c r="AF972" s="1045"/>
      <c r="AG972" s="1044"/>
      <c r="AH972" s="358">
        <f t="shared" si="56"/>
        <v>0</v>
      </c>
      <c r="AI972" s="1045"/>
      <c r="AJ972" s="1063"/>
      <c r="AK972" s="1064"/>
      <c r="AL972" s="1064"/>
      <c r="AM972" s="1064"/>
      <c r="AN972" s="1109"/>
      <c r="AO972" s="1104"/>
      <c r="AP972" s="1104"/>
      <c r="AQ972" s="1104"/>
    </row>
    <row r="973" spans="1:43" ht="78.75">
      <c r="A973" s="1033"/>
      <c r="B973" s="1069"/>
      <c r="C973" s="1033"/>
      <c r="D973" s="1033"/>
      <c r="E973" s="1072"/>
      <c r="F973" s="1072"/>
      <c r="G973" s="1033"/>
      <c r="H973" s="1033"/>
      <c r="I973" s="1033"/>
      <c r="J973" s="1011" t="s">
        <v>67</v>
      </c>
      <c r="K973" s="1033"/>
      <c r="L973" s="1033"/>
      <c r="M973" s="1286">
        <v>3</v>
      </c>
      <c r="N973" s="1065" t="s">
        <v>131</v>
      </c>
      <c r="O973" s="1062">
        <v>43850586</v>
      </c>
      <c r="P973" s="1062">
        <f>O973</f>
        <v>43850586</v>
      </c>
      <c r="Q973" s="1063"/>
      <c r="R973" s="1068">
        <v>41795</v>
      </c>
      <c r="S973" s="1092">
        <f>T973</f>
        <v>43838024.640000001</v>
      </c>
      <c r="T973" s="1062">
        <v>43838024.640000001</v>
      </c>
      <c r="U973" s="1062">
        <f>O973-T973</f>
        <v>12561.359999999404</v>
      </c>
      <c r="V973" s="1062">
        <v>43850586</v>
      </c>
      <c r="W973" s="1063"/>
      <c r="X973" s="1033"/>
      <c r="Y973" s="372" t="s">
        <v>1476</v>
      </c>
      <c r="Z973" s="386">
        <v>14531838.640000001</v>
      </c>
      <c r="AA973" s="386">
        <v>0</v>
      </c>
      <c r="AB973" s="386">
        <f t="shared" si="58"/>
        <v>14531838.640000001</v>
      </c>
      <c r="AC973" s="384">
        <v>41887</v>
      </c>
      <c r="AD973" s="395">
        <v>14531838.640000001</v>
      </c>
      <c r="AE973" s="395" t="s">
        <v>131</v>
      </c>
      <c r="AF973" s="1043">
        <f>SUM(AD973:AD974)</f>
        <v>43838024.640000001</v>
      </c>
      <c r="AG973" s="1044"/>
      <c r="AH973" s="358">
        <f t="shared" si="56"/>
        <v>0</v>
      </c>
      <c r="AI973" s="1043">
        <f>T973-SUM(AD973:AD974)</f>
        <v>0</v>
      </c>
      <c r="AJ973" s="1063"/>
      <c r="AK973" s="1062">
        <f>O973-V973</f>
        <v>0</v>
      </c>
      <c r="AL973" s="1062">
        <f>V973-SUM(Z973:Z974)</f>
        <v>12561.359999999404</v>
      </c>
      <c r="AM973" s="1062">
        <f>AK973+AL973</f>
        <v>12561.359999999404</v>
      </c>
      <c r="AN973" s="1109"/>
      <c r="AO973" s="1104"/>
      <c r="AP973" s="1104"/>
      <c r="AQ973" s="1104"/>
    </row>
    <row r="974" spans="1:43" ht="47.25">
      <c r="A974" s="1012"/>
      <c r="B974" s="1070"/>
      <c r="C974" s="1012"/>
      <c r="D974" s="1012"/>
      <c r="E974" s="1073"/>
      <c r="F974" s="1073"/>
      <c r="G974" s="1012"/>
      <c r="H974" s="1012"/>
      <c r="I974" s="1012"/>
      <c r="J974" s="1012"/>
      <c r="K974" s="1012"/>
      <c r="L974" s="1012"/>
      <c r="M974" s="1288"/>
      <c r="N974" s="1067"/>
      <c r="O974" s="1064"/>
      <c r="P974" s="1064"/>
      <c r="Q974" s="1064"/>
      <c r="R974" s="1070"/>
      <c r="S974" s="1094"/>
      <c r="T974" s="1064"/>
      <c r="U974" s="1064"/>
      <c r="V974" s="1064"/>
      <c r="W974" s="1064"/>
      <c r="X974" s="1012"/>
      <c r="Y974" s="372" t="s">
        <v>1477</v>
      </c>
      <c r="Z974" s="386">
        <v>29306186</v>
      </c>
      <c r="AA974" s="386">
        <v>0</v>
      </c>
      <c r="AB974" s="386">
        <f t="shared" si="58"/>
        <v>29306186</v>
      </c>
      <c r="AC974" s="384">
        <v>41989</v>
      </c>
      <c r="AD974" s="395">
        <v>29306186</v>
      </c>
      <c r="AE974" s="395" t="s">
        <v>131</v>
      </c>
      <c r="AF974" s="1045"/>
      <c r="AG974" s="1045"/>
      <c r="AH974" s="358">
        <f t="shared" si="56"/>
        <v>0</v>
      </c>
      <c r="AI974" s="1045"/>
      <c r="AJ974" s="1064"/>
      <c r="AK974" s="1064"/>
      <c r="AL974" s="1064"/>
      <c r="AM974" s="1064"/>
      <c r="AN974" s="1110"/>
      <c r="AO974" s="1105"/>
      <c r="AP974" s="1105"/>
      <c r="AQ974" s="1105"/>
    </row>
    <row r="975" spans="1:43" s="4" customFormat="1" ht="47.25">
      <c r="A975" s="1011" t="s">
        <v>2143</v>
      </c>
      <c r="B975" s="1068">
        <v>41332</v>
      </c>
      <c r="C975" s="1011" t="s">
        <v>32</v>
      </c>
      <c r="D975" s="1011" t="s">
        <v>2142</v>
      </c>
      <c r="E975" s="1011" t="s">
        <v>2317</v>
      </c>
      <c r="F975" s="1097"/>
      <c r="G975" s="1011" t="s">
        <v>2141</v>
      </c>
      <c r="H975" s="1011" t="s">
        <v>71</v>
      </c>
      <c r="I975" s="1011" t="s">
        <v>1235</v>
      </c>
      <c r="J975" s="1011" t="s">
        <v>66</v>
      </c>
      <c r="K975" s="1219" t="s">
        <v>183</v>
      </c>
      <c r="L975" s="1219" t="s">
        <v>2140</v>
      </c>
      <c r="M975" s="1009">
        <v>231</v>
      </c>
      <c r="N975" s="1023" t="s">
        <v>7</v>
      </c>
      <c r="O975" s="1043">
        <v>462377540</v>
      </c>
      <c r="P975" s="1043">
        <v>462377540</v>
      </c>
      <c r="Q975" s="1043">
        <f>P975</f>
        <v>462377540</v>
      </c>
      <c r="R975" s="1120">
        <v>40899</v>
      </c>
      <c r="S975" s="1043">
        <f>T975</f>
        <v>462377540</v>
      </c>
      <c r="T975" s="1043">
        <v>462377540</v>
      </c>
      <c r="U975" s="1043">
        <f>P975-T975</f>
        <v>0</v>
      </c>
      <c r="V975" s="1043">
        <v>455759154</v>
      </c>
      <c r="W975" s="1043">
        <v>455759154</v>
      </c>
      <c r="X975" s="1023" t="s">
        <v>2139</v>
      </c>
      <c r="Y975" s="372" t="s">
        <v>2138</v>
      </c>
      <c r="Z975" s="386">
        <v>106034016</v>
      </c>
      <c r="AA975" s="386">
        <v>0</v>
      </c>
      <c r="AB975" s="386">
        <f t="shared" si="58"/>
        <v>106034016</v>
      </c>
      <c r="AC975" s="384">
        <v>41619</v>
      </c>
      <c r="AD975" s="395">
        <v>106034016</v>
      </c>
      <c r="AE975" s="372" t="s">
        <v>7</v>
      </c>
      <c r="AF975" s="1043">
        <f>SUM(AD975:AD980)</f>
        <v>455759153.39999998</v>
      </c>
      <c r="AG975" s="1043">
        <f>AF975</f>
        <v>455759153.39999998</v>
      </c>
      <c r="AH975" s="358">
        <f t="shared" si="56"/>
        <v>0</v>
      </c>
      <c r="AI975" s="1043">
        <f>P975-AF975</f>
        <v>6618386.6000000238</v>
      </c>
      <c r="AJ975" s="1043">
        <f>SUM(Z975:Z980)-SUM(AD975:AD980)</f>
        <v>0</v>
      </c>
      <c r="AK975" s="1043">
        <f>P975-V975</f>
        <v>6618386</v>
      </c>
      <c r="AL975" s="1043">
        <f>V975-SUM(Z975:Z980)</f>
        <v>0.60000002384185791</v>
      </c>
      <c r="AM975" s="1043">
        <f>AK975+AL975</f>
        <v>6618386.6000000238</v>
      </c>
      <c r="AN975" s="1184" t="s">
        <v>2137</v>
      </c>
      <c r="AO975" s="1023" t="s">
        <v>2136</v>
      </c>
      <c r="AP975" s="1023" t="s">
        <v>195</v>
      </c>
      <c r="AQ975" s="1023" t="s">
        <v>1911</v>
      </c>
    </row>
    <row r="976" spans="1:43" s="4" customFormat="1" ht="47.25">
      <c r="A976" s="1033"/>
      <c r="B976" s="1069"/>
      <c r="C976" s="1033"/>
      <c r="D976" s="1033"/>
      <c r="E976" s="1033"/>
      <c r="F976" s="1098"/>
      <c r="G976" s="1033"/>
      <c r="H976" s="1033"/>
      <c r="I976" s="1033"/>
      <c r="J976" s="1033"/>
      <c r="K976" s="1219"/>
      <c r="L976" s="1219"/>
      <c r="M976" s="1039"/>
      <c r="N976" s="1124"/>
      <c r="O976" s="1044"/>
      <c r="P976" s="1044"/>
      <c r="Q976" s="1044"/>
      <c r="R976" s="1121"/>
      <c r="S976" s="1044"/>
      <c r="T976" s="1044"/>
      <c r="U976" s="1044"/>
      <c r="V976" s="1044"/>
      <c r="W976" s="1044"/>
      <c r="X976" s="1124"/>
      <c r="Y976" s="372" t="s">
        <v>2135</v>
      </c>
      <c r="Z976" s="386">
        <v>49470583</v>
      </c>
      <c r="AA976" s="386">
        <v>0</v>
      </c>
      <c r="AB976" s="386">
        <f t="shared" si="58"/>
        <v>49470583</v>
      </c>
      <c r="AC976" s="384">
        <v>41628</v>
      </c>
      <c r="AD976" s="395">
        <v>49470583</v>
      </c>
      <c r="AE976" s="372" t="s">
        <v>7</v>
      </c>
      <c r="AF976" s="1044"/>
      <c r="AG976" s="1044"/>
      <c r="AH976" s="358">
        <f t="shared" si="56"/>
        <v>0</v>
      </c>
      <c r="AI976" s="1044"/>
      <c r="AJ976" s="1044"/>
      <c r="AK976" s="1044"/>
      <c r="AL976" s="1044"/>
      <c r="AM976" s="1044"/>
      <c r="AN976" s="1207"/>
      <c r="AO976" s="1124"/>
      <c r="AP976" s="1124"/>
      <c r="AQ976" s="1124"/>
    </row>
    <row r="977" spans="1:44" s="4" customFormat="1" ht="47.25">
      <c r="A977" s="1033"/>
      <c r="B977" s="1069"/>
      <c r="C977" s="1033"/>
      <c r="D977" s="1033"/>
      <c r="E977" s="1033"/>
      <c r="F977" s="1098"/>
      <c r="G977" s="1033"/>
      <c r="H977" s="1033"/>
      <c r="I977" s="1033"/>
      <c r="J977" s="1033"/>
      <c r="K977" s="1219"/>
      <c r="L977" s="1219"/>
      <c r="M977" s="1039"/>
      <c r="N977" s="1124"/>
      <c r="O977" s="1044"/>
      <c r="P977" s="1044"/>
      <c r="Q977" s="1044"/>
      <c r="R977" s="1121"/>
      <c r="S977" s="1044"/>
      <c r="T977" s="1044"/>
      <c r="U977" s="1044"/>
      <c r="V977" s="1044"/>
      <c r="W977" s="1044"/>
      <c r="X977" s="1124"/>
      <c r="Y977" s="372" t="s">
        <v>2134</v>
      </c>
      <c r="Z977" s="386">
        <v>76718536</v>
      </c>
      <c r="AA977" s="386">
        <v>0</v>
      </c>
      <c r="AB977" s="386">
        <f t="shared" si="58"/>
        <v>76718536</v>
      </c>
      <c r="AC977" s="384">
        <v>41708</v>
      </c>
      <c r="AD977" s="395">
        <v>76718536</v>
      </c>
      <c r="AE977" s="372" t="s">
        <v>7</v>
      </c>
      <c r="AF977" s="1044"/>
      <c r="AG977" s="1044"/>
      <c r="AH977" s="358">
        <f t="shared" si="56"/>
        <v>0</v>
      </c>
      <c r="AI977" s="1044"/>
      <c r="AJ977" s="1044"/>
      <c r="AK977" s="1044"/>
      <c r="AL977" s="1044"/>
      <c r="AM977" s="1044"/>
      <c r="AN977" s="1207"/>
      <c r="AO977" s="1124"/>
      <c r="AP977" s="1124"/>
      <c r="AQ977" s="1124"/>
    </row>
    <row r="978" spans="1:44" s="4" customFormat="1" ht="47.25">
      <c r="A978" s="1033"/>
      <c r="B978" s="1069"/>
      <c r="C978" s="1033"/>
      <c r="D978" s="1033"/>
      <c r="E978" s="1033"/>
      <c r="F978" s="1098"/>
      <c r="G978" s="1033"/>
      <c r="H978" s="1033"/>
      <c r="I978" s="1033"/>
      <c r="J978" s="1033"/>
      <c r="K978" s="1219"/>
      <c r="L978" s="1219"/>
      <c r="M978" s="1039"/>
      <c r="N978" s="1124"/>
      <c r="O978" s="1044"/>
      <c r="P978" s="1044"/>
      <c r="Q978" s="1044"/>
      <c r="R978" s="1121"/>
      <c r="S978" s="1044"/>
      <c r="T978" s="1044"/>
      <c r="U978" s="1044"/>
      <c r="V978" s="1044"/>
      <c r="W978" s="1044"/>
      <c r="X978" s="1124"/>
      <c r="Y978" s="372" t="s">
        <v>2133</v>
      </c>
      <c r="Z978" s="386">
        <v>123911160</v>
      </c>
      <c r="AA978" s="386">
        <v>0</v>
      </c>
      <c r="AB978" s="386">
        <f t="shared" si="58"/>
        <v>123911160</v>
      </c>
      <c r="AC978" s="384">
        <v>41793</v>
      </c>
      <c r="AD978" s="395">
        <v>123911160</v>
      </c>
      <c r="AE978" s="372" t="s">
        <v>7</v>
      </c>
      <c r="AF978" s="1044"/>
      <c r="AG978" s="1044"/>
      <c r="AH978" s="358">
        <f t="shared" ref="AH978:AH1041" si="59">AB978-AD978</f>
        <v>0</v>
      </c>
      <c r="AI978" s="1044"/>
      <c r="AJ978" s="1044"/>
      <c r="AK978" s="1044"/>
      <c r="AL978" s="1044"/>
      <c r="AM978" s="1044"/>
      <c r="AN978" s="1207"/>
      <c r="AO978" s="1124"/>
      <c r="AP978" s="1124"/>
      <c r="AQ978" s="1124"/>
    </row>
    <row r="979" spans="1:44" s="4" customFormat="1" ht="47.25">
      <c r="A979" s="1033"/>
      <c r="B979" s="1069"/>
      <c r="C979" s="1033"/>
      <c r="D979" s="1033"/>
      <c r="E979" s="1033"/>
      <c r="F979" s="1098"/>
      <c r="G979" s="1033"/>
      <c r="H979" s="1033"/>
      <c r="I979" s="1033"/>
      <c r="J979" s="1033"/>
      <c r="K979" s="1219"/>
      <c r="L979" s="1219"/>
      <c r="M979" s="1039"/>
      <c r="N979" s="1124"/>
      <c r="O979" s="1044"/>
      <c r="P979" s="1044"/>
      <c r="Q979" s="1044"/>
      <c r="R979" s="1121"/>
      <c r="S979" s="1044"/>
      <c r="T979" s="1044"/>
      <c r="U979" s="1044"/>
      <c r="V979" s="1044"/>
      <c r="W979" s="1044"/>
      <c r="X979" s="1124"/>
      <c r="Y979" s="372" t="s">
        <v>2132</v>
      </c>
      <c r="Z979" s="386">
        <v>54045945</v>
      </c>
      <c r="AA979" s="386">
        <v>0</v>
      </c>
      <c r="AB979" s="386">
        <f t="shared" si="58"/>
        <v>54045945</v>
      </c>
      <c r="AC979" s="384">
        <v>41988</v>
      </c>
      <c r="AD979" s="395">
        <v>54045945</v>
      </c>
      <c r="AE979" s="372" t="s">
        <v>7</v>
      </c>
      <c r="AF979" s="1044"/>
      <c r="AG979" s="1044"/>
      <c r="AH979" s="358">
        <f t="shared" si="59"/>
        <v>0</v>
      </c>
      <c r="AI979" s="1044"/>
      <c r="AJ979" s="1044"/>
      <c r="AK979" s="1044"/>
      <c r="AL979" s="1044"/>
      <c r="AM979" s="1044"/>
      <c r="AN979" s="1207"/>
      <c r="AO979" s="1124"/>
      <c r="AP979" s="1124"/>
      <c r="AQ979" s="1124"/>
    </row>
    <row r="980" spans="1:44" s="4" customFormat="1" ht="31.5">
      <c r="A980" s="1012"/>
      <c r="B980" s="1070"/>
      <c r="C980" s="1012"/>
      <c r="D980" s="1012"/>
      <c r="E980" s="1012"/>
      <c r="F980" s="1099"/>
      <c r="G980" s="1012"/>
      <c r="H980" s="1012"/>
      <c r="I980" s="1012"/>
      <c r="J980" s="1012"/>
      <c r="K980" s="1219"/>
      <c r="L980" s="1219"/>
      <c r="M980" s="1010"/>
      <c r="N980" s="1024"/>
      <c r="O980" s="1045"/>
      <c r="P980" s="1045"/>
      <c r="Q980" s="1045"/>
      <c r="R980" s="1160"/>
      <c r="S980" s="1045"/>
      <c r="T980" s="1045"/>
      <c r="U980" s="1045"/>
      <c r="V980" s="1045"/>
      <c r="W980" s="1045"/>
      <c r="X980" s="1024"/>
      <c r="Y980" s="372" t="s">
        <v>2131</v>
      </c>
      <c r="Z980" s="386">
        <v>45578913.399999999</v>
      </c>
      <c r="AA980" s="386">
        <v>0</v>
      </c>
      <c r="AB980" s="386">
        <f t="shared" si="58"/>
        <v>45578913.399999999</v>
      </c>
      <c r="AC980" s="384">
        <v>42790</v>
      </c>
      <c r="AD980" s="395">
        <v>45578913.399999999</v>
      </c>
      <c r="AE980" s="372" t="s">
        <v>7</v>
      </c>
      <c r="AF980" s="1045"/>
      <c r="AG980" s="1045"/>
      <c r="AH980" s="358">
        <f t="shared" si="59"/>
        <v>0</v>
      </c>
      <c r="AI980" s="1045"/>
      <c r="AJ980" s="1045"/>
      <c r="AK980" s="1045"/>
      <c r="AL980" s="1045"/>
      <c r="AM980" s="1045"/>
      <c r="AN980" s="1185"/>
      <c r="AO980" s="1024"/>
      <c r="AP980" s="1024"/>
      <c r="AQ980" s="1024"/>
    </row>
    <row r="981" spans="1:44" ht="47.25">
      <c r="A981" s="1011" t="s">
        <v>1480</v>
      </c>
      <c r="B981" s="1068">
        <v>41332</v>
      </c>
      <c r="C981" s="1011" t="s">
        <v>15</v>
      </c>
      <c r="D981" s="1011" t="s">
        <v>1481</v>
      </c>
      <c r="E981" s="1071">
        <v>76305303</v>
      </c>
      <c r="F981" s="1071"/>
      <c r="G981" s="1011" t="s">
        <v>1482</v>
      </c>
      <c r="H981" s="1011" t="s">
        <v>71</v>
      </c>
      <c r="I981" s="1011" t="s">
        <v>1221</v>
      </c>
      <c r="J981" s="1011" t="s">
        <v>66</v>
      </c>
      <c r="K981" s="1011" t="s">
        <v>183</v>
      </c>
      <c r="L981" s="1011" t="s">
        <v>1484</v>
      </c>
      <c r="M981" s="1286">
        <v>251</v>
      </c>
      <c r="N981" s="1065" t="s">
        <v>137</v>
      </c>
      <c r="O981" s="1062">
        <v>82241467</v>
      </c>
      <c r="P981" s="1062">
        <f>O981</f>
        <v>82241467</v>
      </c>
      <c r="Q981" s="1062">
        <f>P981</f>
        <v>82241467</v>
      </c>
      <c r="R981" s="1068">
        <v>41165</v>
      </c>
      <c r="S981" s="1092">
        <f>T981</f>
        <v>81536567</v>
      </c>
      <c r="T981" s="1092">
        <v>81536567</v>
      </c>
      <c r="U981" s="1092">
        <f>O981-T981</f>
        <v>704900</v>
      </c>
      <c r="V981" s="1062">
        <v>81536567</v>
      </c>
      <c r="W981" s="1062">
        <v>81536567</v>
      </c>
      <c r="X981" s="1011" t="s">
        <v>1483</v>
      </c>
      <c r="Y981" s="372" t="s">
        <v>1485</v>
      </c>
      <c r="Z981" s="386">
        <v>61705679</v>
      </c>
      <c r="AA981" s="386">
        <v>0</v>
      </c>
      <c r="AB981" s="386">
        <f t="shared" si="58"/>
        <v>61705679</v>
      </c>
      <c r="AC981" s="384">
        <v>41604</v>
      </c>
      <c r="AD981" s="395">
        <v>61705679</v>
      </c>
      <c r="AE981" s="395" t="s">
        <v>137</v>
      </c>
      <c r="AF981" s="1043">
        <f>SUM(AD981:AD982)</f>
        <v>81536551</v>
      </c>
      <c r="AG981" s="1043">
        <f>AF981</f>
        <v>81536551</v>
      </c>
      <c r="AH981" s="358">
        <f t="shared" si="59"/>
        <v>0</v>
      </c>
      <c r="AI981" s="1043">
        <f>T981-SUM(AD981:AD982)</f>
        <v>16</v>
      </c>
      <c r="AJ981" s="1062">
        <f>SUM(Z981:Z982)-SUM(AD981:AD982)</f>
        <v>0</v>
      </c>
      <c r="AK981" s="1062">
        <f>T981-V981</f>
        <v>0</v>
      </c>
      <c r="AL981" s="1062">
        <f>V981-SUM(Z981:Z982)</f>
        <v>16</v>
      </c>
      <c r="AM981" s="1062">
        <f>AK981+AL981</f>
        <v>16</v>
      </c>
      <c r="AN981" s="1108" t="s">
        <v>606</v>
      </c>
      <c r="AO981" s="1108" t="s">
        <v>1487</v>
      </c>
      <c r="AP981" s="1103" t="s">
        <v>194</v>
      </c>
      <c r="AQ981" s="1103" t="s">
        <v>1414</v>
      </c>
    </row>
    <row r="982" spans="1:44" ht="47.25">
      <c r="A982" s="1012"/>
      <c r="B982" s="1070"/>
      <c r="C982" s="1012"/>
      <c r="D982" s="1012"/>
      <c r="E982" s="1073"/>
      <c r="F982" s="1073"/>
      <c r="G982" s="1012"/>
      <c r="H982" s="1012"/>
      <c r="I982" s="1012"/>
      <c r="J982" s="1012"/>
      <c r="K982" s="1012"/>
      <c r="L982" s="1012"/>
      <c r="M982" s="1288"/>
      <c r="N982" s="1067"/>
      <c r="O982" s="1064"/>
      <c r="P982" s="1064"/>
      <c r="Q982" s="1064"/>
      <c r="R982" s="1070"/>
      <c r="S982" s="1094"/>
      <c r="T982" s="1094"/>
      <c r="U982" s="1094"/>
      <c r="V982" s="1064"/>
      <c r="W982" s="1064"/>
      <c r="X982" s="1012"/>
      <c r="Y982" s="372" t="s">
        <v>1486</v>
      </c>
      <c r="Z982" s="386">
        <v>19830872</v>
      </c>
      <c r="AA982" s="386">
        <v>0</v>
      </c>
      <c r="AB982" s="386">
        <f t="shared" si="58"/>
        <v>19830872</v>
      </c>
      <c r="AC982" s="384">
        <v>41807</v>
      </c>
      <c r="AD982" s="395">
        <v>19830872</v>
      </c>
      <c r="AE982" s="395" t="s">
        <v>137</v>
      </c>
      <c r="AF982" s="1045"/>
      <c r="AG982" s="1045"/>
      <c r="AH982" s="358">
        <f t="shared" si="59"/>
        <v>0</v>
      </c>
      <c r="AI982" s="1045"/>
      <c r="AJ982" s="1064"/>
      <c r="AK982" s="1064"/>
      <c r="AL982" s="1064"/>
      <c r="AM982" s="1064"/>
      <c r="AN982" s="1110"/>
      <c r="AO982" s="1110"/>
      <c r="AP982" s="1105"/>
      <c r="AQ982" s="1105"/>
    </row>
    <row r="983" spans="1:44" ht="31.5">
      <c r="A983" s="1011" t="s">
        <v>1517</v>
      </c>
      <c r="B983" s="1068">
        <v>41332</v>
      </c>
      <c r="C983" s="1011" t="s">
        <v>9</v>
      </c>
      <c r="D983" s="1011" t="s">
        <v>1518</v>
      </c>
      <c r="E983" s="1071">
        <v>900594488</v>
      </c>
      <c r="F983" s="1071">
        <v>3</v>
      </c>
      <c r="G983" s="1011" t="s">
        <v>1521</v>
      </c>
      <c r="H983" s="1011" t="s">
        <v>71</v>
      </c>
      <c r="I983" s="1011" t="s">
        <v>206</v>
      </c>
      <c r="J983" s="1011" t="s">
        <v>66</v>
      </c>
      <c r="K983" s="1011" t="s">
        <v>217</v>
      </c>
      <c r="L983" s="1011" t="s">
        <v>1523</v>
      </c>
      <c r="M983" s="1286">
        <v>263</v>
      </c>
      <c r="N983" s="1065" t="s">
        <v>7</v>
      </c>
      <c r="O983" s="1062">
        <v>533344668</v>
      </c>
      <c r="P983" s="1062">
        <f>O983</f>
        <v>533344668</v>
      </c>
      <c r="Q983" s="1062">
        <f>P983+P987</f>
        <v>789486763</v>
      </c>
      <c r="R983" s="1068">
        <v>41227</v>
      </c>
      <c r="S983" s="1092">
        <f>T983</f>
        <v>526328149</v>
      </c>
      <c r="T983" s="1092">
        <v>526328149</v>
      </c>
      <c r="U983" s="1092">
        <f>O983-T983</f>
        <v>7016519</v>
      </c>
      <c r="V983" s="1062">
        <v>526328149</v>
      </c>
      <c r="W983" s="1062">
        <f>V983+V987</f>
        <v>782470244</v>
      </c>
      <c r="X983" s="1011" t="s">
        <v>1522</v>
      </c>
      <c r="Y983" s="372" t="s">
        <v>1525</v>
      </c>
      <c r="Z983" s="386">
        <v>170625444</v>
      </c>
      <c r="AA983" s="386">
        <v>0</v>
      </c>
      <c r="AB983" s="386">
        <f t="shared" si="58"/>
        <v>170625444</v>
      </c>
      <c r="AC983" s="384">
        <v>41628</v>
      </c>
      <c r="AD983" s="395">
        <v>162094172</v>
      </c>
      <c r="AE983" s="395" t="s">
        <v>7</v>
      </c>
      <c r="AF983" s="1043">
        <f>SUM(AD983:AD986)</f>
        <v>517796877</v>
      </c>
      <c r="AG983" s="1043">
        <f>AF983+AF987</f>
        <v>773935838</v>
      </c>
      <c r="AH983" s="358">
        <f t="shared" si="59"/>
        <v>8531272</v>
      </c>
      <c r="AI983" s="1043">
        <f>T983-SUM(AD983:AD986)</f>
        <v>8531272</v>
      </c>
      <c r="AJ983" s="1062">
        <f>SUM(Z983:Z988)-SUM(AD983:AD988)</f>
        <v>8531272</v>
      </c>
      <c r="AK983" s="1062">
        <f>T983-V983</f>
        <v>0</v>
      </c>
      <c r="AL983" s="1062">
        <f>V983-SUM(Z983:Z986)</f>
        <v>0</v>
      </c>
      <c r="AM983" s="1062">
        <f>AK983+AL983</f>
        <v>0</v>
      </c>
      <c r="AN983" s="1108" t="s">
        <v>1524</v>
      </c>
      <c r="AO983" s="1103" t="s">
        <v>1531</v>
      </c>
      <c r="AP983" s="1103" t="s">
        <v>194</v>
      </c>
      <c r="AQ983" s="1103" t="s">
        <v>1414</v>
      </c>
      <c r="AR983" s="25" t="s">
        <v>2318</v>
      </c>
    </row>
    <row r="984" spans="1:44" ht="31.5">
      <c r="A984" s="1033"/>
      <c r="B984" s="1069"/>
      <c r="C984" s="1033"/>
      <c r="D984" s="1033"/>
      <c r="E984" s="1072"/>
      <c r="F984" s="1072"/>
      <c r="G984" s="1033"/>
      <c r="H984" s="1033"/>
      <c r="I984" s="1033"/>
      <c r="J984" s="1033"/>
      <c r="K984" s="1033"/>
      <c r="L984" s="1033"/>
      <c r="M984" s="1287"/>
      <c r="N984" s="1066"/>
      <c r="O984" s="1063"/>
      <c r="P984" s="1063"/>
      <c r="Q984" s="1063"/>
      <c r="R984" s="1069"/>
      <c r="S984" s="1093"/>
      <c r="T984" s="1093"/>
      <c r="U984" s="1093"/>
      <c r="V984" s="1063"/>
      <c r="W984" s="1063"/>
      <c r="X984" s="1033"/>
      <c r="Y984" s="372" t="s">
        <v>1526</v>
      </c>
      <c r="Z984" s="386">
        <v>188469362</v>
      </c>
      <c r="AA984" s="386">
        <v>0</v>
      </c>
      <c r="AB984" s="386">
        <f t="shared" si="58"/>
        <v>188469362</v>
      </c>
      <c r="AC984" s="384">
        <v>41795</v>
      </c>
      <c r="AD984" s="395">
        <v>188469362</v>
      </c>
      <c r="AE984" s="395" t="s">
        <v>7</v>
      </c>
      <c r="AF984" s="1044"/>
      <c r="AG984" s="1044"/>
      <c r="AH984" s="358">
        <f t="shared" si="59"/>
        <v>0</v>
      </c>
      <c r="AI984" s="1044"/>
      <c r="AJ984" s="1063"/>
      <c r="AK984" s="1063"/>
      <c r="AL984" s="1063"/>
      <c r="AM984" s="1063"/>
      <c r="AN984" s="1109"/>
      <c r="AO984" s="1104"/>
      <c r="AP984" s="1104"/>
      <c r="AQ984" s="1104"/>
    </row>
    <row r="985" spans="1:44" ht="31.5">
      <c r="A985" s="1033"/>
      <c r="B985" s="1069"/>
      <c r="C985" s="1033"/>
      <c r="D985" s="1033"/>
      <c r="E985" s="1072"/>
      <c r="F985" s="1072"/>
      <c r="G985" s="1033"/>
      <c r="H985" s="1033"/>
      <c r="I985" s="1033"/>
      <c r="J985" s="1033"/>
      <c r="K985" s="1033"/>
      <c r="L985" s="1033"/>
      <c r="M985" s="1287"/>
      <c r="N985" s="1066"/>
      <c r="O985" s="1063"/>
      <c r="P985" s="1063"/>
      <c r="Q985" s="1063"/>
      <c r="R985" s="1069"/>
      <c r="S985" s="1093"/>
      <c r="T985" s="1093"/>
      <c r="U985" s="1093"/>
      <c r="V985" s="1063"/>
      <c r="W985" s="1063"/>
      <c r="X985" s="1033"/>
      <c r="Y985" s="372" t="s">
        <v>1527</v>
      </c>
      <c r="Z985" s="386">
        <v>114493648</v>
      </c>
      <c r="AA985" s="386">
        <v>0</v>
      </c>
      <c r="AB985" s="386">
        <f t="shared" si="58"/>
        <v>114493648</v>
      </c>
      <c r="AC985" s="384">
        <v>41963</v>
      </c>
      <c r="AD985" s="395">
        <v>114493648</v>
      </c>
      <c r="AE985" s="395" t="s">
        <v>7</v>
      </c>
      <c r="AF985" s="1044"/>
      <c r="AG985" s="1044"/>
      <c r="AH985" s="358">
        <f t="shared" si="59"/>
        <v>0</v>
      </c>
      <c r="AI985" s="1044"/>
      <c r="AJ985" s="1063"/>
      <c r="AK985" s="1063"/>
      <c r="AL985" s="1063"/>
      <c r="AM985" s="1063"/>
      <c r="AN985" s="1109"/>
      <c r="AO985" s="1104"/>
      <c r="AP985" s="1104"/>
      <c r="AQ985" s="1104"/>
    </row>
    <row r="986" spans="1:44" ht="78.75">
      <c r="A986" s="1033"/>
      <c r="B986" s="1069"/>
      <c r="C986" s="1033"/>
      <c r="D986" s="1033"/>
      <c r="E986" s="1072"/>
      <c r="F986" s="1072"/>
      <c r="G986" s="1033"/>
      <c r="H986" s="1033"/>
      <c r="I986" s="1033"/>
      <c r="J986" s="1033"/>
      <c r="K986" s="1033"/>
      <c r="L986" s="1033"/>
      <c r="M986" s="1287"/>
      <c r="N986" s="1066"/>
      <c r="O986" s="1063"/>
      <c r="P986" s="1063"/>
      <c r="Q986" s="1063"/>
      <c r="R986" s="1069"/>
      <c r="S986" s="1093"/>
      <c r="T986" s="1093"/>
      <c r="U986" s="1093">
        <f>O986-T986</f>
        <v>0</v>
      </c>
      <c r="V986" s="1063"/>
      <c r="W986" s="1063"/>
      <c r="X986" s="1033"/>
      <c r="Y986" s="372" t="s">
        <v>1528</v>
      </c>
      <c r="Z986" s="386">
        <v>52739695</v>
      </c>
      <c r="AA986" s="386">
        <v>0</v>
      </c>
      <c r="AB986" s="386">
        <f t="shared" si="58"/>
        <v>52739695</v>
      </c>
      <c r="AC986" s="384">
        <v>42180</v>
      </c>
      <c r="AD986" s="395">
        <v>52739695</v>
      </c>
      <c r="AE986" s="395" t="s">
        <v>7</v>
      </c>
      <c r="AF986" s="1044"/>
      <c r="AG986" s="1044"/>
      <c r="AH986" s="358">
        <f t="shared" si="59"/>
        <v>0</v>
      </c>
      <c r="AI986" s="1044"/>
      <c r="AJ986" s="1063"/>
      <c r="AK986" s="1063"/>
      <c r="AL986" s="1063"/>
      <c r="AM986" s="1063"/>
      <c r="AN986" s="1109"/>
      <c r="AO986" s="1104"/>
      <c r="AP986" s="1104"/>
      <c r="AQ986" s="1104"/>
    </row>
    <row r="987" spans="1:44" ht="78.75">
      <c r="A987" s="1033"/>
      <c r="B987" s="1069"/>
      <c r="C987" s="1033"/>
      <c r="D987" s="1033"/>
      <c r="E987" s="1072"/>
      <c r="F987" s="1072"/>
      <c r="G987" s="1033"/>
      <c r="H987" s="1033"/>
      <c r="I987" s="1033"/>
      <c r="J987" s="1011" t="s">
        <v>67</v>
      </c>
      <c r="K987" s="1033"/>
      <c r="L987" s="1033"/>
      <c r="M987" s="1286">
        <v>14</v>
      </c>
      <c r="N987" s="1065" t="s">
        <v>129</v>
      </c>
      <c r="O987" s="1062">
        <v>256142095</v>
      </c>
      <c r="P987" s="1062">
        <f>O987</f>
        <v>256142095</v>
      </c>
      <c r="Q987" s="1063"/>
      <c r="R987" s="1068">
        <v>42069</v>
      </c>
      <c r="S987" s="1092">
        <f>T987</f>
        <v>256138961</v>
      </c>
      <c r="T987" s="1092">
        <v>256138961</v>
      </c>
      <c r="U987" s="1092">
        <f>O987-T987</f>
        <v>3134</v>
      </c>
      <c r="V987" s="1062">
        <v>256142095</v>
      </c>
      <c r="W987" s="1063"/>
      <c r="X987" s="1033"/>
      <c r="Y987" s="372" t="s">
        <v>1529</v>
      </c>
      <c r="Z987" s="386">
        <v>175800731</v>
      </c>
      <c r="AA987" s="386">
        <v>0</v>
      </c>
      <c r="AB987" s="386">
        <f t="shared" si="58"/>
        <v>175800731</v>
      </c>
      <c r="AC987" s="384">
        <v>42180</v>
      </c>
      <c r="AD987" s="395">
        <v>175800731</v>
      </c>
      <c r="AE987" s="395" t="s">
        <v>129</v>
      </c>
      <c r="AF987" s="1043">
        <f>SUM(AD987:AD988)</f>
        <v>256138961</v>
      </c>
      <c r="AG987" s="1044"/>
      <c r="AH987" s="358">
        <f t="shared" si="59"/>
        <v>0</v>
      </c>
      <c r="AI987" s="1043">
        <f>T987-SUM(AD987:AD988)</f>
        <v>0</v>
      </c>
      <c r="AJ987" s="1063"/>
      <c r="AK987" s="1062">
        <f>T987-V987</f>
        <v>-3134</v>
      </c>
      <c r="AL987" s="1062">
        <f>V987-SUM(Z987:Z988)</f>
        <v>3134</v>
      </c>
      <c r="AM987" s="1062">
        <f>AK987+AL987</f>
        <v>0</v>
      </c>
      <c r="AN987" s="1109"/>
      <c r="AO987" s="1104"/>
      <c r="AP987" s="1104"/>
      <c r="AQ987" s="1104"/>
    </row>
    <row r="988" spans="1:44" ht="31.5">
      <c r="A988" s="1012"/>
      <c r="B988" s="1070"/>
      <c r="C988" s="1012"/>
      <c r="D988" s="1012"/>
      <c r="E988" s="1073"/>
      <c r="F988" s="1073"/>
      <c r="G988" s="1012"/>
      <c r="H988" s="1012"/>
      <c r="I988" s="1012"/>
      <c r="J988" s="1012"/>
      <c r="K988" s="1012"/>
      <c r="L988" s="1012"/>
      <c r="M988" s="1288"/>
      <c r="N988" s="1067"/>
      <c r="O988" s="1064"/>
      <c r="P988" s="1064"/>
      <c r="Q988" s="1064"/>
      <c r="R988" s="1070"/>
      <c r="S988" s="1094"/>
      <c r="T988" s="1094"/>
      <c r="U988" s="1094"/>
      <c r="V988" s="1064"/>
      <c r="W988" s="1064"/>
      <c r="X988" s="1012"/>
      <c r="Y988" s="372" t="s">
        <v>1530</v>
      </c>
      <c r="Z988" s="386">
        <v>80338230</v>
      </c>
      <c r="AA988" s="386">
        <v>0</v>
      </c>
      <c r="AB988" s="386">
        <f t="shared" si="58"/>
        <v>80338230</v>
      </c>
      <c r="AC988" s="384">
        <v>42366</v>
      </c>
      <c r="AD988" s="395">
        <v>80338230</v>
      </c>
      <c r="AE988" s="395" t="s">
        <v>129</v>
      </c>
      <c r="AF988" s="1045"/>
      <c r="AG988" s="1045"/>
      <c r="AH988" s="358">
        <f t="shared" si="59"/>
        <v>0</v>
      </c>
      <c r="AI988" s="1045"/>
      <c r="AJ988" s="1064"/>
      <c r="AK988" s="1064"/>
      <c r="AL988" s="1064"/>
      <c r="AM988" s="1064"/>
      <c r="AN988" s="1110"/>
      <c r="AO988" s="1105"/>
      <c r="AP988" s="1105"/>
      <c r="AQ988" s="1105"/>
    </row>
    <row r="989" spans="1:44" ht="47.25">
      <c r="A989" s="1011" t="s">
        <v>1493</v>
      </c>
      <c r="B989" s="1068">
        <v>41332</v>
      </c>
      <c r="C989" s="1011" t="s">
        <v>24</v>
      </c>
      <c r="D989" s="1011" t="s">
        <v>1494</v>
      </c>
      <c r="E989" s="1071">
        <v>10536855</v>
      </c>
      <c r="F989" s="1071"/>
      <c r="G989" s="1011" t="s">
        <v>1495</v>
      </c>
      <c r="H989" s="1011" t="s">
        <v>71</v>
      </c>
      <c r="I989" s="1011" t="s">
        <v>1221</v>
      </c>
      <c r="J989" s="1011" t="s">
        <v>66</v>
      </c>
      <c r="K989" s="1011" t="s">
        <v>183</v>
      </c>
      <c r="L989" s="1011" t="s">
        <v>1497</v>
      </c>
      <c r="M989" s="1286">
        <v>259</v>
      </c>
      <c r="N989" s="1065" t="s">
        <v>7</v>
      </c>
      <c r="O989" s="1062">
        <v>163689980</v>
      </c>
      <c r="P989" s="1062">
        <f>O989</f>
        <v>163689980</v>
      </c>
      <c r="Q989" s="1062">
        <f>P989+P991</f>
        <v>183326790</v>
      </c>
      <c r="R989" s="1068">
        <v>41214</v>
      </c>
      <c r="S989" s="1092">
        <f>T989</f>
        <v>163689980</v>
      </c>
      <c r="T989" s="1062">
        <v>163689980</v>
      </c>
      <c r="U989" s="1062">
        <f>O989-T989</f>
        <v>0</v>
      </c>
      <c r="V989" s="1062">
        <v>161970244</v>
      </c>
      <c r="W989" s="1062">
        <f>V989+V991</f>
        <v>181607054</v>
      </c>
      <c r="X989" s="1011" t="s">
        <v>1496</v>
      </c>
      <c r="Y989" s="372" t="s">
        <v>1498</v>
      </c>
      <c r="Z989" s="386">
        <v>143907842.30000001</v>
      </c>
      <c r="AA989" s="386">
        <v>0</v>
      </c>
      <c r="AB989" s="386">
        <f t="shared" si="58"/>
        <v>143907842.30000001</v>
      </c>
      <c r="AC989" s="384">
        <v>41838</v>
      </c>
      <c r="AD989" s="395">
        <v>143907842.30000001</v>
      </c>
      <c r="AE989" s="395" t="s">
        <v>7</v>
      </c>
      <c r="AF989" s="1043">
        <f>SUM(AD989:AD990)</f>
        <v>161970244</v>
      </c>
      <c r="AG989" s="1043">
        <f>AF989+AF991</f>
        <v>181606966.84</v>
      </c>
      <c r="AH989" s="358">
        <f t="shared" si="59"/>
        <v>0</v>
      </c>
      <c r="AI989" s="1043">
        <f>O989-SUM(AD989:AD990)</f>
        <v>1719736</v>
      </c>
      <c r="AJ989" s="1062">
        <f>SUM(Z989:Z991)-SUM(AD989:AD991)</f>
        <v>0</v>
      </c>
      <c r="AK989" s="1062">
        <f>P989-V989</f>
        <v>1719736</v>
      </c>
      <c r="AL989" s="1062">
        <f>V989-SUM(Z989:Z990)</f>
        <v>0</v>
      </c>
      <c r="AM989" s="1062">
        <f>AK989+AL989</f>
        <v>1719736</v>
      </c>
      <c r="AN989" s="1103" t="s">
        <v>606</v>
      </c>
      <c r="AO989" s="1195" t="s">
        <v>1501</v>
      </c>
      <c r="AP989" s="1103" t="s">
        <v>194</v>
      </c>
      <c r="AQ989" s="1103" t="s">
        <v>1414</v>
      </c>
    </row>
    <row r="990" spans="1:44" ht="63">
      <c r="A990" s="1033"/>
      <c r="B990" s="1069"/>
      <c r="C990" s="1033"/>
      <c r="D990" s="1033"/>
      <c r="E990" s="1072"/>
      <c r="F990" s="1072"/>
      <c r="G990" s="1033"/>
      <c r="H990" s="1033"/>
      <c r="I990" s="1033"/>
      <c r="J990" s="1012"/>
      <c r="K990" s="1033"/>
      <c r="L990" s="1033"/>
      <c r="M990" s="1288"/>
      <c r="N990" s="1067"/>
      <c r="O990" s="1064"/>
      <c r="P990" s="1064"/>
      <c r="Q990" s="1063"/>
      <c r="R990" s="1070"/>
      <c r="S990" s="1094"/>
      <c r="T990" s="1064"/>
      <c r="U990" s="1064"/>
      <c r="V990" s="1064"/>
      <c r="W990" s="1063"/>
      <c r="X990" s="1033"/>
      <c r="Y990" s="372" t="s">
        <v>1499</v>
      </c>
      <c r="Z990" s="386">
        <v>18062401.699999999</v>
      </c>
      <c r="AA990" s="386">
        <v>0</v>
      </c>
      <c r="AB990" s="386">
        <f t="shared" si="58"/>
        <v>18062401.699999999</v>
      </c>
      <c r="AC990" s="384">
        <v>42230</v>
      </c>
      <c r="AD990" s="395">
        <v>18062401.699999999</v>
      </c>
      <c r="AE990" s="395" t="s">
        <v>7</v>
      </c>
      <c r="AF990" s="1045"/>
      <c r="AG990" s="1044"/>
      <c r="AH990" s="358">
        <f t="shared" si="59"/>
        <v>0</v>
      </c>
      <c r="AI990" s="1045"/>
      <c r="AJ990" s="1063"/>
      <c r="AK990" s="1064"/>
      <c r="AL990" s="1064"/>
      <c r="AM990" s="1064"/>
      <c r="AN990" s="1104"/>
      <c r="AO990" s="1104"/>
      <c r="AP990" s="1104"/>
      <c r="AQ990" s="1104"/>
    </row>
    <row r="991" spans="1:44" ht="63">
      <c r="A991" s="1012"/>
      <c r="B991" s="1070"/>
      <c r="C991" s="1012"/>
      <c r="D991" s="1012"/>
      <c r="E991" s="1073"/>
      <c r="F991" s="1073"/>
      <c r="G991" s="1012"/>
      <c r="H991" s="1012"/>
      <c r="I991" s="1012"/>
      <c r="J991" s="354" t="s">
        <v>67</v>
      </c>
      <c r="K991" s="1012"/>
      <c r="L991" s="1012"/>
      <c r="M991" s="404">
        <v>10</v>
      </c>
      <c r="N991" s="372" t="s">
        <v>147</v>
      </c>
      <c r="O991" s="386">
        <v>19636810</v>
      </c>
      <c r="P991" s="386">
        <f>O991</f>
        <v>19636810</v>
      </c>
      <c r="Q991" s="1064"/>
      <c r="R991" s="384">
        <v>42043</v>
      </c>
      <c r="S991" s="390">
        <f>T991</f>
        <v>19636810</v>
      </c>
      <c r="T991" s="386">
        <v>19636810</v>
      </c>
      <c r="U991" s="386">
        <f>O991-T991</f>
        <v>0</v>
      </c>
      <c r="V991" s="386">
        <v>19636810</v>
      </c>
      <c r="W991" s="1064"/>
      <c r="X991" s="1012"/>
      <c r="Y991" s="372" t="s">
        <v>1500</v>
      </c>
      <c r="Z991" s="386">
        <v>19636722.84</v>
      </c>
      <c r="AA991" s="386">
        <v>0</v>
      </c>
      <c r="AB991" s="386">
        <f t="shared" si="58"/>
        <v>19636722.84</v>
      </c>
      <c r="AC991" s="384">
        <v>42230</v>
      </c>
      <c r="AD991" s="395">
        <v>19636722.84</v>
      </c>
      <c r="AE991" s="395" t="s">
        <v>147</v>
      </c>
      <c r="AF991" s="358">
        <f>AD991</f>
        <v>19636722.84</v>
      </c>
      <c r="AG991" s="1045"/>
      <c r="AH991" s="358">
        <f t="shared" si="59"/>
        <v>0</v>
      </c>
      <c r="AI991" s="358">
        <f>O991-AD991</f>
        <v>87.160000000149012</v>
      </c>
      <c r="AJ991" s="1064"/>
      <c r="AK991" s="386">
        <f>P991-V991</f>
        <v>0</v>
      </c>
      <c r="AL991" s="386">
        <f>V991-Z991</f>
        <v>87.160000000149012</v>
      </c>
      <c r="AM991" s="386">
        <f>AK991+AL991</f>
        <v>87.160000000149012</v>
      </c>
      <c r="AN991" s="1105"/>
      <c r="AO991" s="1105"/>
      <c r="AP991" s="1105"/>
      <c r="AQ991" s="1105"/>
    </row>
    <row r="992" spans="1:44" ht="26.25" customHeight="1">
      <c r="A992" s="1011" t="s">
        <v>1502</v>
      </c>
      <c r="B992" s="1068">
        <v>41332</v>
      </c>
      <c r="C992" s="1011" t="s">
        <v>45</v>
      </c>
      <c r="D992" s="1011" t="s">
        <v>1503</v>
      </c>
      <c r="E992" s="1071">
        <v>900577309</v>
      </c>
      <c r="F992" s="1071">
        <v>1</v>
      </c>
      <c r="G992" s="1011" t="s">
        <v>1595</v>
      </c>
      <c r="H992" s="1011" t="s">
        <v>1504</v>
      </c>
      <c r="I992" s="1011" t="s">
        <v>1235</v>
      </c>
      <c r="J992" s="1011" t="s">
        <v>66</v>
      </c>
      <c r="K992" s="1011" t="s">
        <v>183</v>
      </c>
      <c r="L992" s="1011" t="s">
        <v>1514</v>
      </c>
      <c r="M992" s="1286">
        <v>240</v>
      </c>
      <c r="N992" s="1065" t="s">
        <v>7</v>
      </c>
      <c r="O992" s="1062">
        <v>418021856</v>
      </c>
      <c r="P992" s="1062">
        <f>O992+O997</f>
        <v>1300852789</v>
      </c>
      <c r="Q992" s="1062">
        <f>P992+P1002+P1012+P1017</f>
        <v>3547077145</v>
      </c>
      <c r="R992" s="1068">
        <v>41080</v>
      </c>
      <c r="S992" s="1092">
        <f>T992+T997</f>
        <v>1300852789</v>
      </c>
      <c r="T992" s="1092">
        <v>418021856</v>
      </c>
      <c r="U992" s="1092">
        <f>O992-T992</f>
        <v>0</v>
      </c>
      <c r="V992" s="1062">
        <v>414676670.73000002</v>
      </c>
      <c r="W992" s="1062">
        <f>V992+V997+V1002+V1007+V1012+V1017</f>
        <v>3524109108.9999995</v>
      </c>
      <c r="X992" s="1011" t="s">
        <v>1505</v>
      </c>
      <c r="Y992" s="1065" t="s">
        <v>1506</v>
      </c>
      <c r="Z992" s="386">
        <v>200787608.46000001</v>
      </c>
      <c r="AA992" s="386">
        <v>0</v>
      </c>
      <c r="AB992" s="386">
        <f t="shared" si="58"/>
        <v>200787608.46000001</v>
      </c>
      <c r="AC992" s="1068">
        <v>41572</v>
      </c>
      <c r="AD992" s="395">
        <v>200787608.46000001</v>
      </c>
      <c r="AE992" s="395" t="s">
        <v>137</v>
      </c>
      <c r="AF992" s="1043">
        <f>SUM(AD992:AD1001)</f>
        <v>1300835161.2600002</v>
      </c>
      <c r="AG992" s="1043">
        <f>AF992+AF1002+AF1012+AF1017</f>
        <v>3547038252.0100002</v>
      </c>
      <c r="AH992" s="358">
        <f t="shared" si="59"/>
        <v>0</v>
      </c>
      <c r="AI992" s="1043">
        <f>O992-AD993-AD994-AD996-AD998-AD1000</f>
        <v>-223255156.90000001</v>
      </c>
      <c r="AJ992" s="1062">
        <f>SUM(Z992:Z1019)-SUM(AD992:AD1019)</f>
        <v>0</v>
      </c>
      <c r="AK992" s="1062">
        <f>O992-V992</f>
        <v>3345185.2699999809</v>
      </c>
      <c r="AL992" s="1062">
        <f>(V992+V997)-SUM(Z992:Z1001)</f>
        <v>-10392338.930000305</v>
      </c>
      <c r="AM992" s="1062">
        <f>AK992+AK997+AL992</f>
        <v>17627.739999651909</v>
      </c>
      <c r="AN992" s="1108" t="s">
        <v>1515</v>
      </c>
      <c r="AO992" s="1376" t="s">
        <v>1516</v>
      </c>
      <c r="AP992" s="1103" t="s">
        <v>194</v>
      </c>
      <c r="AQ992" s="1103" t="s">
        <v>1414</v>
      </c>
    </row>
    <row r="993" spans="1:43" ht="26.25" customHeight="1">
      <c r="A993" s="1033"/>
      <c r="B993" s="1069"/>
      <c r="C993" s="1033"/>
      <c r="D993" s="1033"/>
      <c r="E993" s="1072"/>
      <c r="F993" s="1072"/>
      <c r="G993" s="1033"/>
      <c r="H993" s="1033"/>
      <c r="I993" s="1033"/>
      <c r="J993" s="1033"/>
      <c r="K993" s="1033"/>
      <c r="L993" s="1033"/>
      <c r="M993" s="1287"/>
      <c r="N993" s="1066"/>
      <c r="O993" s="1063"/>
      <c r="P993" s="1063"/>
      <c r="Q993" s="1063"/>
      <c r="R993" s="1069"/>
      <c r="S993" s="1093"/>
      <c r="T993" s="1093"/>
      <c r="U993" s="1093"/>
      <c r="V993" s="1063"/>
      <c r="W993" s="1063"/>
      <c r="X993" s="1033"/>
      <c r="Y993" s="1067"/>
      <c r="Z993" s="386">
        <v>424048429.94</v>
      </c>
      <c r="AA993" s="386">
        <v>0</v>
      </c>
      <c r="AB993" s="386">
        <f t="shared" si="58"/>
        <v>424048429.94</v>
      </c>
      <c r="AC993" s="1070"/>
      <c r="AD993" s="395">
        <v>424048429.94</v>
      </c>
      <c r="AE993" s="395" t="s">
        <v>7</v>
      </c>
      <c r="AF993" s="1044"/>
      <c r="AG993" s="1044"/>
      <c r="AH993" s="358">
        <f t="shared" si="59"/>
        <v>0</v>
      </c>
      <c r="AI993" s="1044"/>
      <c r="AJ993" s="1063"/>
      <c r="AK993" s="1063"/>
      <c r="AL993" s="1063"/>
      <c r="AM993" s="1063"/>
      <c r="AN993" s="1109"/>
      <c r="AO993" s="1358"/>
      <c r="AP993" s="1104"/>
      <c r="AQ993" s="1104"/>
    </row>
    <row r="994" spans="1:43" ht="24" customHeight="1">
      <c r="A994" s="1033"/>
      <c r="B994" s="1069"/>
      <c r="C994" s="1033"/>
      <c r="D994" s="1033"/>
      <c r="E994" s="1072"/>
      <c r="F994" s="1072"/>
      <c r="G994" s="1033"/>
      <c r="H994" s="1033"/>
      <c r="I994" s="1033"/>
      <c r="J994" s="1033"/>
      <c r="K994" s="1033"/>
      <c r="L994" s="1033"/>
      <c r="M994" s="1287"/>
      <c r="N994" s="1066"/>
      <c r="O994" s="1063"/>
      <c r="P994" s="1063"/>
      <c r="Q994" s="1063"/>
      <c r="R994" s="1069"/>
      <c r="S994" s="1093"/>
      <c r="T994" s="1093"/>
      <c r="U994" s="1093"/>
      <c r="V994" s="1063"/>
      <c r="W994" s="1063"/>
      <c r="X994" s="1033"/>
      <c r="Y994" s="1065" t="s">
        <v>1507</v>
      </c>
      <c r="Z994" s="386">
        <v>129988610</v>
      </c>
      <c r="AA994" s="386">
        <v>0</v>
      </c>
      <c r="AB994" s="386">
        <f t="shared" si="58"/>
        <v>129988610</v>
      </c>
      <c r="AC994" s="1068">
        <v>41771</v>
      </c>
      <c r="AD994" s="395">
        <v>129988610</v>
      </c>
      <c r="AE994" s="395" t="s">
        <v>7</v>
      </c>
      <c r="AF994" s="1044"/>
      <c r="AG994" s="1044"/>
      <c r="AH994" s="358">
        <f t="shared" si="59"/>
        <v>0</v>
      </c>
      <c r="AI994" s="1044"/>
      <c r="AJ994" s="1063"/>
      <c r="AK994" s="1063"/>
      <c r="AL994" s="1063"/>
      <c r="AM994" s="1063"/>
      <c r="AN994" s="1109"/>
      <c r="AO994" s="1358"/>
      <c r="AP994" s="1104"/>
      <c r="AQ994" s="1104"/>
    </row>
    <row r="995" spans="1:43" ht="27" customHeight="1">
      <c r="A995" s="1033"/>
      <c r="B995" s="1069"/>
      <c r="C995" s="1033"/>
      <c r="D995" s="1033"/>
      <c r="E995" s="1072"/>
      <c r="F995" s="1072"/>
      <c r="G995" s="1033"/>
      <c r="H995" s="1033"/>
      <c r="I995" s="1033"/>
      <c r="J995" s="1033"/>
      <c r="K995" s="1033"/>
      <c r="L995" s="1033"/>
      <c r="M995" s="1287"/>
      <c r="N995" s="1066"/>
      <c r="O995" s="1063"/>
      <c r="P995" s="1063"/>
      <c r="Q995" s="1063"/>
      <c r="R995" s="1069"/>
      <c r="S995" s="1093"/>
      <c r="T995" s="1093"/>
      <c r="U995" s="1093"/>
      <c r="V995" s="1063"/>
      <c r="W995" s="1063"/>
      <c r="X995" s="1033"/>
      <c r="Y995" s="1067"/>
      <c r="Z995" s="386">
        <v>274526233</v>
      </c>
      <c r="AA995" s="386">
        <v>0</v>
      </c>
      <c r="AB995" s="386">
        <f t="shared" si="58"/>
        <v>274526233</v>
      </c>
      <c r="AC995" s="1070"/>
      <c r="AD995" s="395">
        <v>274526233</v>
      </c>
      <c r="AE995" s="395" t="s">
        <v>137</v>
      </c>
      <c r="AF995" s="1044"/>
      <c r="AG995" s="1044"/>
      <c r="AH995" s="358">
        <f t="shared" si="59"/>
        <v>0</v>
      </c>
      <c r="AI995" s="1044"/>
      <c r="AJ995" s="1063"/>
      <c r="AK995" s="1063"/>
      <c r="AL995" s="1063"/>
      <c r="AM995" s="1063"/>
      <c r="AN995" s="1109"/>
      <c r="AO995" s="1358"/>
      <c r="AP995" s="1104"/>
      <c r="AQ995" s="1104"/>
    </row>
    <row r="996" spans="1:43" ht="27.75" customHeight="1">
      <c r="A996" s="1033"/>
      <c r="B996" s="1069"/>
      <c r="C996" s="1033"/>
      <c r="D996" s="1033"/>
      <c r="E996" s="1072"/>
      <c r="F996" s="1072"/>
      <c r="G996" s="1033"/>
      <c r="H996" s="1033"/>
      <c r="I996" s="1033"/>
      <c r="J996" s="1033"/>
      <c r="K996" s="1033"/>
      <c r="L996" s="1033"/>
      <c r="M996" s="1287"/>
      <c r="N996" s="1067"/>
      <c r="O996" s="1064"/>
      <c r="P996" s="1063"/>
      <c r="Q996" s="1063"/>
      <c r="R996" s="1069"/>
      <c r="S996" s="1093"/>
      <c r="T996" s="1094"/>
      <c r="U996" s="1094"/>
      <c r="V996" s="1064"/>
      <c r="W996" s="1063"/>
      <c r="X996" s="1033"/>
      <c r="Y996" s="1065" t="s">
        <v>1508</v>
      </c>
      <c r="Z996" s="386">
        <v>34429930.609999999</v>
      </c>
      <c r="AA996" s="386">
        <v>0</v>
      </c>
      <c r="AB996" s="386">
        <f t="shared" si="58"/>
        <v>34429930.609999999</v>
      </c>
      <c r="AC996" s="1068">
        <v>41985</v>
      </c>
      <c r="AD996" s="395">
        <v>34429930.609999999</v>
      </c>
      <c r="AE996" s="395" t="s">
        <v>7</v>
      </c>
      <c r="AF996" s="1044"/>
      <c r="AG996" s="1044"/>
      <c r="AH996" s="358">
        <f t="shared" si="59"/>
        <v>0</v>
      </c>
      <c r="AI996" s="1045"/>
      <c r="AJ996" s="1063"/>
      <c r="AK996" s="1064"/>
      <c r="AL996" s="1063"/>
      <c r="AM996" s="1063"/>
      <c r="AN996" s="1109"/>
      <c r="AO996" s="1358"/>
      <c r="AP996" s="1104"/>
      <c r="AQ996" s="1104"/>
    </row>
    <row r="997" spans="1:43" ht="26.25" customHeight="1">
      <c r="A997" s="1033"/>
      <c r="B997" s="1069"/>
      <c r="C997" s="1033"/>
      <c r="D997" s="1033"/>
      <c r="E997" s="1072"/>
      <c r="F997" s="1072"/>
      <c r="G997" s="1033"/>
      <c r="H997" s="1033"/>
      <c r="I997" s="1033"/>
      <c r="J997" s="1033"/>
      <c r="K997" s="1033"/>
      <c r="L997" s="1033"/>
      <c r="M997" s="1287"/>
      <c r="N997" s="1065" t="s">
        <v>137</v>
      </c>
      <c r="O997" s="1062">
        <v>882830933</v>
      </c>
      <c r="P997" s="1063"/>
      <c r="Q997" s="1063"/>
      <c r="R997" s="1069"/>
      <c r="S997" s="1093"/>
      <c r="T997" s="1092">
        <v>882830933</v>
      </c>
      <c r="U997" s="1092">
        <f>O997-T997</f>
        <v>0</v>
      </c>
      <c r="V997" s="1062">
        <v>875766151.60000002</v>
      </c>
      <c r="W997" s="1063"/>
      <c r="X997" s="1033"/>
      <c r="Y997" s="1067"/>
      <c r="Z997" s="386">
        <v>72713441.469999999</v>
      </c>
      <c r="AA997" s="386">
        <v>0</v>
      </c>
      <c r="AB997" s="386">
        <f t="shared" si="58"/>
        <v>72713441.469999999</v>
      </c>
      <c r="AC997" s="1070"/>
      <c r="AD997" s="395">
        <v>72713441.469999999</v>
      </c>
      <c r="AE997" s="395" t="s">
        <v>137</v>
      </c>
      <c r="AF997" s="1044"/>
      <c r="AG997" s="1044"/>
      <c r="AH997" s="358">
        <f t="shared" si="59"/>
        <v>0</v>
      </c>
      <c r="AI997" s="1043">
        <f>O997-AD992-AD995-AD997-AD999-AD1001</f>
        <v>223272784.63999996</v>
      </c>
      <c r="AJ997" s="1063"/>
      <c r="AK997" s="1062">
        <f>O997-V997</f>
        <v>7064781.3999999762</v>
      </c>
      <c r="AL997" s="1063"/>
      <c r="AM997" s="1063"/>
      <c r="AN997" s="1109"/>
      <c r="AO997" s="1358"/>
      <c r="AP997" s="1104"/>
      <c r="AQ997" s="1104"/>
    </row>
    <row r="998" spans="1:43" ht="31.5" customHeight="1">
      <c r="A998" s="1033"/>
      <c r="B998" s="1069"/>
      <c r="C998" s="1033"/>
      <c r="D998" s="1033"/>
      <c r="E998" s="1072"/>
      <c r="F998" s="1072"/>
      <c r="G998" s="1033"/>
      <c r="H998" s="1033"/>
      <c r="I998" s="1033"/>
      <c r="J998" s="1033"/>
      <c r="K998" s="1033"/>
      <c r="L998" s="1033"/>
      <c r="M998" s="1287"/>
      <c r="N998" s="1066"/>
      <c r="O998" s="1063"/>
      <c r="P998" s="1063"/>
      <c r="Q998" s="1063"/>
      <c r="R998" s="1069"/>
      <c r="S998" s="1093"/>
      <c r="T998" s="1093"/>
      <c r="U998" s="1093"/>
      <c r="V998" s="1063"/>
      <c r="W998" s="1063"/>
      <c r="X998" s="1033"/>
      <c r="Y998" s="1065" t="s">
        <v>1511</v>
      </c>
      <c r="Z998" s="386">
        <v>49470521.659999996</v>
      </c>
      <c r="AA998" s="386">
        <v>0</v>
      </c>
      <c r="AB998" s="386">
        <f t="shared" si="58"/>
        <v>49470521.659999996</v>
      </c>
      <c r="AC998" s="1068">
        <v>42178</v>
      </c>
      <c r="AD998" s="395">
        <v>49470521.659999996</v>
      </c>
      <c r="AE998" s="395" t="s">
        <v>7</v>
      </c>
      <c r="AF998" s="1044"/>
      <c r="AG998" s="1044"/>
      <c r="AH998" s="358">
        <f t="shared" si="59"/>
        <v>0</v>
      </c>
      <c r="AI998" s="1044"/>
      <c r="AJ998" s="1063"/>
      <c r="AK998" s="1063"/>
      <c r="AL998" s="1063"/>
      <c r="AM998" s="1063"/>
      <c r="AN998" s="1109"/>
      <c r="AO998" s="1358"/>
      <c r="AP998" s="1104"/>
      <c r="AQ998" s="1104"/>
    </row>
    <row r="999" spans="1:43" ht="35.25" customHeight="1">
      <c r="A999" s="1033"/>
      <c r="B999" s="1069"/>
      <c r="C999" s="1033"/>
      <c r="D999" s="1033"/>
      <c r="E999" s="1072"/>
      <c r="F999" s="1072"/>
      <c r="G999" s="1033"/>
      <c r="H999" s="1033"/>
      <c r="I999" s="1033"/>
      <c r="J999" s="1033"/>
      <c r="K999" s="1033"/>
      <c r="L999" s="1033"/>
      <c r="M999" s="1287"/>
      <c r="N999" s="1066"/>
      <c r="O999" s="1063"/>
      <c r="P999" s="1063"/>
      <c r="Q999" s="1063"/>
      <c r="R999" s="1069"/>
      <c r="S999" s="1093"/>
      <c r="T999" s="1093"/>
      <c r="U999" s="1093"/>
      <c r="V999" s="1063"/>
      <c r="W999" s="1063"/>
      <c r="X999" s="1033"/>
      <c r="Y999" s="1067"/>
      <c r="Z999" s="386">
        <v>104478047.2</v>
      </c>
      <c r="AA999" s="386">
        <v>0</v>
      </c>
      <c r="AB999" s="386">
        <f t="shared" si="58"/>
        <v>104478047.2</v>
      </c>
      <c r="AC999" s="1070"/>
      <c r="AD999" s="395">
        <v>104478047.2</v>
      </c>
      <c r="AE999" s="395" t="s">
        <v>137</v>
      </c>
      <c r="AF999" s="1044"/>
      <c r="AG999" s="1044"/>
      <c r="AH999" s="358">
        <f t="shared" si="59"/>
        <v>0</v>
      </c>
      <c r="AI999" s="1044"/>
      <c r="AJ999" s="1063"/>
      <c r="AK999" s="1063"/>
      <c r="AL999" s="1063"/>
      <c r="AM999" s="1063"/>
      <c r="AN999" s="1109"/>
      <c r="AO999" s="1358"/>
      <c r="AP999" s="1104"/>
      <c r="AQ999" s="1104"/>
    </row>
    <row r="1000" spans="1:43">
      <c r="A1000" s="1033"/>
      <c r="B1000" s="1069"/>
      <c r="C1000" s="1033"/>
      <c r="D1000" s="1033"/>
      <c r="E1000" s="1072"/>
      <c r="F1000" s="1072"/>
      <c r="G1000" s="1033"/>
      <c r="H1000" s="1033"/>
      <c r="I1000" s="1033"/>
      <c r="J1000" s="1033"/>
      <c r="K1000" s="1033"/>
      <c r="L1000" s="1033"/>
      <c r="M1000" s="1287"/>
      <c r="N1000" s="1066"/>
      <c r="O1000" s="1063"/>
      <c r="P1000" s="1063"/>
      <c r="Q1000" s="1063"/>
      <c r="R1000" s="1069"/>
      <c r="S1000" s="1093"/>
      <c r="T1000" s="1093"/>
      <c r="U1000" s="1093"/>
      <c r="V1000" s="1063"/>
      <c r="W1000" s="1063"/>
      <c r="X1000" s="1033"/>
      <c r="Y1000" s="1065" t="s">
        <v>1513</v>
      </c>
      <c r="Z1000" s="386">
        <v>3339520.69</v>
      </c>
      <c r="AA1000" s="386">
        <v>0</v>
      </c>
      <c r="AB1000" s="386">
        <f t="shared" si="58"/>
        <v>3339520.69</v>
      </c>
      <c r="AC1000" s="1068">
        <v>42542</v>
      </c>
      <c r="AD1000" s="395">
        <v>3339520.69</v>
      </c>
      <c r="AE1000" s="395" t="s">
        <v>7</v>
      </c>
      <c r="AF1000" s="1044"/>
      <c r="AG1000" s="1044"/>
      <c r="AH1000" s="358">
        <f t="shared" si="59"/>
        <v>0</v>
      </c>
      <c r="AI1000" s="1044"/>
      <c r="AJ1000" s="1063"/>
      <c r="AK1000" s="1063"/>
      <c r="AL1000" s="1063"/>
      <c r="AM1000" s="1063"/>
      <c r="AN1000" s="1109"/>
      <c r="AO1000" s="1358"/>
      <c r="AP1000" s="1104"/>
      <c r="AQ1000" s="1104"/>
    </row>
    <row r="1001" spans="1:43" ht="31.5">
      <c r="A1001" s="1033"/>
      <c r="B1001" s="1069"/>
      <c r="C1001" s="1033"/>
      <c r="D1001" s="1033"/>
      <c r="E1001" s="1072"/>
      <c r="F1001" s="1072"/>
      <c r="G1001" s="1033"/>
      <c r="H1001" s="1033"/>
      <c r="I1001" s="1033"/>
      <c r="J1001" s="1033"/>
      <c r="K1001" s="1033"/>
      <c r="L1001" s="1033"/>
      <c r="M1001" s="1288"/>
      <c r="N1001" s="1067"/>
      <c r="O1001" s="1064"/>
      <c r="P1001" s="1064"/>
      <c r="Q1001" s="1063"/>
      <c r="R1001" s="1070"/>
      <c r="S1001" s="1094"/>
      <c r="T1001" s="1094"/>
      <c r="U1001" s="1094"/>
      <c r="V1001" s="1064"/>
      <c r="W1001" s="1063"/>
      <c r="X1001" s="1033"/>
      <c r="Y1001" s="1067"/>
      <c r="Z1001" s="386">
        <v>7052818.2300000004</v>
      </c>
      <c r="AA1001" s="386">
        <v>0</v>
      </c>
      <c r="AB1001" s="386">
        <f t="shared" si="58"/>
        <v>7052818.2300000004</v>
      </c>
      <c r="AC1001" s="1070"/>
      <c r="AD1001" s="395">
        <v>7052818.2300000004</v>
      </c>
      <c r="AE1001" s="395" t="s">
        <v>137</v>
      </c>
      <c r="AF1001" s="1045"/>
      <c r="AG1001" s="1044"/>
      <c r="AH1001" s="358">
        <f t="shared" si="59"/>
        <v>0</v>
      </c>
      <c r="AI1001" s="1045"/>
      <c r="AJ1001" s="1063"/>
      <c r="AK1001" s="1064"/>
      <c r="AL1001" s="1064"/>
      <c r="AM1001" s="1064"/>
      <c r="AN1001" s="1109"/>
      <c r="AO1001" s="1358"/>
      <c r="AP1001" s="1104"/>
      <c r="AQ1001" s="1104"/>
    </row>
    <row r="1002" spans="1:43" ht="28.5" customHeight="1">
      <c r="A1002" s="1033"/>
      <c r="B1002" s="1069"/>
      <c r="C1002" s="1033"/>
      <c r="D1002" s="1033"/>
      <c r="E1002" s="1072"/>
      <c r="F1002" s="1072"/>
      <c r="G1002" s="1033"/>
      <c r="H1002" s="1033"/>
      <c r="I1002" s="1033"/>
      <c r="J1002" s="1033"/>
      <c r="K1002" s="1033"/>
      <c r="L1002" s="1033"/>
      <c r="M1002" s="1286">
        <v>239</v>
      </c>
      <c r="N1002" s="1065" t="s">
        <v>137</v>
      </c>
      <c r="O1002" s="1062">
        <v>584557085</v>
      </c>
      <c r="P1002" s="1062">
        <f>O1002+O1007</f>
        <v>1420131406</v>
      </c>
      <c r="Q1002" s="1063"/>
      <c r="R1002" s="1068">
        <v>41080</v>
      </c>
      <c r="S1002" s="1092">
        <f>T1002+T1007</f>
        <v>1420131406</v>
      </c>
      <c r="T1002" s="1092">
        <v>584557085</v>
      </c>
      <c r="U1002" s="1092">
        <f>O1002-T1002</f>
        <v>0</v>
      </c>
      <c r="V1002" s="1062">
        <v>579879215.35000002</v>
      </c>
      <c r="W1002" s="1063"/>
      <c r="X1002" s="1033"/>
      <c r="Y1002" s="1065" t="s">
        <v>1506</v>
      </c>
      <c r="Z1002" s="386">
        <v>280779144.49000001</v>
      </c>
      <c r="AA1002" s="386">
        <v>0</v>
      </c>
      <c r="AB1002" s="386">
        <f t="shared" si="58"/>
        <v>280779144.49000001</v>
      </c>
      <c r="AC1002" s="1068">
        <v>41572</v>
      </c>
      <c r="AD1002" s="395">
        <v>280779144.49000001</v>
      </c>
      <c r="AE1002" s="395" t="s">
        <v>137</v>
      </c>
      <c r="AF1002" s="1043">
        <f>SUM(AD1002:AD1011)</f>
        <v>1420112161.9099998</v>
      </c>
      <c r="AG1002" s="1044"/>
      <c r="AH1002" s="358">
        <f t="shared" si="59"/>
        <v>0</v>
      </c>
      <c r="AI1002" s="1043">
        <f>O1002-AD1002-AD1004-AD1006-AD1008-AD1010</f>
        <v>7921.289999990724</v>
      </c>
      <c r="AJ1002" s="1063"/>
      <c r="AK1002" s="1062">
        <f>O1002-V1002</f>
        <v>4677869.6499999762</v>
      </c>
      <c r="AL1002" s="1062">
        <f>(V1002+V1007)-SUM(Z1002:Z1011)</f>
        <v>-11345239.839999676</v>
      </c>
      <c r="AM1002" s="1062">
        <f>AK1002+AK1007+AL1002</f>
        <v>19244.090000271797</v>
      </c>
      <c r="AN1002" s="1109"/>
      <c r="AO1002" s="1358"/>
      <c r="AP1002" s="1104"/>
      <c r="AQ1002" s="1104"/>
    </row>
    <row r="1003" spans="1:43" ht="22.5" customHeight="1">
      <c r="A1003" s="1033"/>
      <c r="B1003" s="1069"/>
      <c r="C1003" s="1033"/>
      <c r="D1003" s="1033"/>
      <c r="E1003" s="1072"/>
      <c r="F1003" s="1072"/>
      <c r="G1003" s="1033"/>
      <c r="H1003" s="1033"/>
      <c r="I1003" s="1033"/>
      <c r="J1003" s="1033"/>
      <c r="K1003" s="1033"/>
      <c r="L1003" s="1033"/>
      <c r="M1003" s="1287"/>
      <c r="N1003" s="1066"/>
      <c r="O1003" s="1063"/>
      <c r="P1003" s="1063"/>
      <c r="Q1003" s="1063"/>
      <c r="R1003" s="1069"/>
      <c r="S1003" s="1093"/>
      <c r="T1003" s="1093"/>
      <c r="U1003" s="1093"/>
      <c r="V1003" s="1063"/>
      <c r="W1003" s="1063"/>
      <c r="X1003" s="1033"/>
      <c r="Y1003" s="1067"/>
      <c r="Z1003" s="386">
        <v>401349755.27999997</v>
      </c>
      <c r="AA1003" s="386">
        <v>0</v>
      </c>
      <c r="AB1003" s="386">
        <f t="shared" si="58"/>
        <v>401349755.27999997</v>
      </c>
      <c r="AC1003" s="1070"/>
      <c r="AD1003" s="395">
        <v>401349755.27999997</v>
      </c>
      <c r="AE1003" s="395" t="s">
        <v>7</v>
      </c>
      <c r="AF1003" s="1044"/>
      <c r="AG1003" s="1044"/>
      <c r="AH1003" s="358">
        <f t="shared" si="59"/>
        <v>0</v>
      </c>
      <c r="AI1003" s="1044"/>
      <c r="AJ1003" s="1063"/>
      <c r="AK1003" s="1063"/>
      <c r="AL1003" s="1063"/>
      <c r="AM1003" s="1063"/>
      <c r="AN1003" s="1109"/>
      <c r="AO1003" s="1358"/>
      <c r="AP1003" s="1104"/>
      <c r="AQ1003" s="1104"/>
    </row>
    <row r="1004" spans="1:43" ht="26.25" customHeight="1">
      <c r="A1004" s="1033"/>
      <c r="B1004" s="1069"/>
      <c r="C1004" s="1033"/>
      <c r="D1004" s="1033"/>
      <c r="E1004" s="1072"/>
      <c r="F1004" s="1072"/>
      <c r="G1004" s="1033"/>
      <c r="H1004" s="1033"/>
      <c r="I1004" s="1033"/>
      <c r="J1004" s="1033"/>
      <c r="K1004" s="1033"/>
      <c r="L1004" s="1033"/>
      <c r="M1004" s="1287"/>
      <c r="N1004" s="1066"/>
      <c r="O1004" s="1063"/>
      <c r="P1004" s="1063"/>
      <c r="Q1004" s="1063"/>
      <c r="R1004" s="1069"/>
      <c r="S1004" s="1093"/>
      <c r="T1004" s="1093"/>
      <c r="U1004" s="1093"/>
      <c r="V1004" s="1063"/>
      <c r="W1004" s="1063"/>
      <c r="X1004" s="1033"/>
      <c r="Y1004" s="1065" t="s">
        <v>1507</v>
      </c>
      <c r="Z1004" s="386">
        <v>181774616.97999999</v>
      </c>
      <c r="AA1004" s="386">
        <v>0</v>
      </c>
      <c r="AB1004" s="386">
        <f t="shared" si="58"/>
        <v>181774616.97999999</v>
      </c>
      <c r="AC1004" s="1068">
        <v>41771</v>
      </c>
      <c r="AD1004" s="395">
        <v>181774616.97999999</v>
      </c>
      <c r="AE1004" s="395" t="s">
        <v>137</v>
      </c>
      <c r="AF1004" s="1044"/>
      <c r="AG1004" s="1044"/>
      <c r="AH1004" s="358">
        <f t="shared" si="59"/>
        <v>0</v>
      </c>
      <c r="AI1004" s="1044"/>
      <c r="AJ1004" s="1063"/>
      <c r="AK1004" s="1063"/>
      <c r="AL1004" s="1063"/>
      <c r="AM1004" s="1063"/>
      <c r="AN1004" s="1109"/>
      <c r="AO1004" s="1358"/>
      <c r="AP1004" s="1104"/>
      <c r="AQ1004" s="1104"/>
    </row>
    <row r="1005" spans="1:43" ht="26.25" customHeight="1">
      <c r="A1005" s="1033"/>
      <c r="B1005" s="1069"/>
      <c r="C1005" s="1033"/>
      <c r="D1005" s="1033"/>
      <c r="E1005" s="1072"/>
      <c r="F1005" s="1072"/>
      <c r="G1005" s="1033"/>
      <c r="H1005" s="1033"/>
      <c r="I1005" s="1033"/>
      <c r="J1005" s="1033"/>
      <c r="K1005" s="1033"/>
      <c r="L1005" s="1033"/>
      <c r="M1005" s="1287"/>
      <c r="N1005" s="1066"/>
      <c r="O1005" s="1063"/>
      <c r="P1005" s="1063"/>
      <c r="Q1005" s="1063"/>
      <c r="R1005" s="1069"/>
      <c r="S1005" s="1093"/>
      <c r="T1005" s="1093"/>
      <c r="U1005" s="1093"/>
      <c r="V1005" s="1063"/>
      <c r="W1005" s="1063"/>
      <c r="X1005" s="1033"/>
      <c r="Y1005" s="1067"/>
      <c r="Z1005" s="386">
        <v>259831256.94999999</v>
      </c>
      <c r="AA1005" s="386">
        <v>0</v>
      </c>
      <c r="AB1005" s="386">
        <f t="shared" si="58"/>
        <v>259831256.94999999</v>
      </c>
      <c r="AC1005" s="1070"/>
      <c r="AD1005" s="395">
        <v>259831256.94999999</v>
      </c>
      <c r="AE1005" s="395" t="s">
        <v>7</v>
      </c>
      <c r="AF1005" s="1044"/>
      <c r="AG1005" s="1044"/>
      <c r="AH1005" s="358">
        <f t="shared" si="59"/>
        <v>0</v>
      </c>
      <c r="AI1005" s="1044"/>
      <c r="AJ1005" s="1063"/>
      <c r="AK1005" s="1063"/>
      <c r="AL1005" s="1063"/>
      <c r="AM1005" s="1063"/>
      <c r="AN1005" s="1109"/>
      <c r="AO1005" s="1358"/>
      <c r="AP1005" s="1104"/>
      <c r="AQ1005" s="1104"/>
    </row>
    <row r="1006" spans="1:43" ht="23.25" customHeight="1">
      <c r="A1006" s="1033"/>
      <c r="B1006" s="1069"/>
      <c r="C1006" s="1033"/>
      <c r="D1006" s="1033"/>
      <c r="E1006" s="1072"/>
      <c r="F1006" s="1072"/>
      <c r="G1006" s="1033"/>
      <c r="H1006" s="1033"/>
      <c r="I1006" s="1033"/>
      <c r="J1006" s="1033"/>
      <c r="K1006" s="1033"/>
      <c r="L1006" s="1033"/>
      <c r="M1006" s="1287"/>
      <c r="N1006" s="1066"/>
      <c r="O1006" s="1063"/>
      <c r="P1006" s="1063"/>
      <c r="Q1006" s="1063"/>
      <c r="R1006" s="1069"/>
      <c r="S1006" s="1093"/>
      <c r="T1006" s="1094"/>
      <c r="U1006" s="1094"/>
      <c r="V1006" s="1064"/>
      <c r="W1006" s="1063"/>
      <c r="X1006" s="1033"/>
      <c r="Y1006" s="1065" t="s">
        <v>1508</v>
      </c>
      <c r="Z1006" s="386">
        <v>48146429.619999997</v>
      </c>
      <c r="AA1006" s="386">
        <v>0</v>
      </c>
      <c r="AB1006" s="386">
        <f t="shared" si="58"/>
        <v>48146429.619999997</v>
      </c>
      <c r="AC1006" s="1068">
        <v>41985</v>
      </c>
      <c r="AD1006" s="395">
        <v>48146429.619999997</v>
      </c>
      <c r="AE1006" s="395" t="s">
        <v>137</v>
      </c>
      <c r="AF1006" s="1044"/>
      <c r="AG1006" s="1044"/>
      <c r="AH1006" s="358">
        <f t="shared" si="59"/>
        <v>0</v>
      </c>
      <c r="AI1006" s="1045"/>
      <c r="AJ1006" s="1063"/>
      <c r="AK1006" s="1064"/>
      <c r="AL1006" s="1063"/>
      <c r="AM1006" s="1063"/>
      <c r="AN1006" s="1109"/>
      <c r="AO1006" s="1358"/>
      <c r="AP1006" s="1104"/>
      <c r="AQ1006" s="1104"/>
    </row>
    <row r="1007" spans="1:43" ht="30" customHeight="1">
      <c r="A1007" s="1033"/>
      <c r="B1007" s="1069"/>
      <c r="C1007" s="1033"/>
      <c r="D1007" s="1033"/>
      <c r="E1007" s="1072"/>
      <c r="F1007" s="1072"/>
      <c r="G1007" s="1033"/>
      <c r="H1007" s="1033"/>
      <c r="I1007" s="1033"/>
      <c r="J1007" s="1033"/>
      <c r="K1007" s="1033"/>
      <c r="L1007" s="1033"/>
      <c r="M1007" s="1287"/>
      <c r="N1007" s="1065" t="s">
        <v>7</v>
      </c>
      <c r="O1007" s="1062">
        <v>835574321</v>
      </c>
      <c r="P1007" s="1063"/>
      <c r="Q1007" s="1063"/>
      <c r="R1007" s="1069"/>
      <c r="S1007" s="1093"/>
      <c r="T1007" s="1092">
        <v>835574321</v>
      </c>
      <c r="U1007" s="1092">
        <f>O1007-T1007</f>
        <v>0</v>
      </c>
      <c r="V1007" s="1062">
        <v>828887706.72000003</v>
      </c>
      <c r="W1007" s="1063"/>
      <c r="X1007" s="1033"/>
      <c r="Y1007" s="1067"/>
      <c r="Z1007" s="386">
        <v>68821200.319999993</v>
      </c>
      <c r="AA1007" s="386">
        <v>0</v>
      </c>
      <c r="AB1007" s="386">
        <f t="shared" si="58"/>
        <v>68821200.319999993</v>
      </c>
      <c r="AC1007" s="1070"/>
      <c r="AD1007" s="395">
        <v>68821200.319999993</v>
      </c>
      <c r="AE1007" s="395" t="s">
        <v>7</v>
      </c>
      <c r="AF1007" s="1044"/>
      <c r="AG1007" s="1044"/>
      <c r="AH1007" s="358">
        <f t="shared" si="59"/>
        <v>0</v>
      </c>
      <c r="AI1007" s="1043">
        <f>O1007-AD1003-AD1005-AD1007-AD1009-AD1011</f>
        <v>11322.800000045449</v>
      </c>
      <c r="AJ1007" s="1063"/>
      <c r="AK1007" s="1062">
        <f>O1007-V1007</f>
        <v>6686614.2799999714</v>
      </c>
      <c r="AL1007" s="1063"/>
      <c r="AM1007" s="1063"/>
      <c r="AN1007" s="1109"/>
      <c r="AO1007" s="1358"/>
      <c r="AP1007" s="1104"/>
      <c r="AQ1007" s="1104"/>
    </row>
    <row r="1008" spans="1:43" ht="22.5" customHeight="1">
      <c r="A1008" s="1033"/>
      <c r="B1008" s="1069"/>
      <c r="C1008" s="1033"/>
      <c r="D1008" s="1033"/>
      <c r="E1008" s="1072"/>
      <c r="F1008" s="1072"/>
      <c r="G1008" s="1033"/>
      <c r="H1008" s="1033"/>
      <c r="I1008" s="1033"/>
      <c r="J1008" s="1033"/>
      <c r="K1008" s="1033"/>
      <c r="L1008" s="1033"/>
      <c r="M1008" s="1287"/>
      <c r="N1008" s="1066"/>
      <c r="O1008" s="1063"/>
      <c r="P1008" s="1063"/>
      <c r="Q1008" s="1063"/>
      <c r="R1008" s="1069"/>
      <c r="S1008" s="1093"/>
      <c r="T1008" s="1093"/>
      <c r="U1008" s="1093"/>
      <c r="V1008" s="1063"/>
      <c r="W1008" s="1063"/>
      <c r="X1008" s="1033"/>
      <c r="Y1008" s="1065" t="s">
        <v>1510</v>
      </c>
      <c r="Z1008" s="386">
        <v>69179024.260000005</v>
      </c>
      <c r="AA1008" s="386">
        <v>0</v>
      </c>
      <c r="AB1008" s="386">
        <f t="shared" si="58"/>
        <v>69179024.260000005</v>
      </c>
      <c r="AC1008" s="1068">
        <v>42178</v>
      </c>
      <c r="AD1008" s="395">
        <v>69179024.260000005</v>
      </c>
      <c r="AE1008" s="395" t="s">
        <v>137</v>
      </c>
      <c r="AF1008" s="1044"/>
      <c r="AG1008" s="1044"/>
      <c r="AH1008" s="358">
        <f t="shared" si="59"/>
        <v>0</v>
      </c>
      <c r="AI1008" s="1044"/>
      <c r="AJ1008" s="1063"/>
      <c r="AK1008" s="1063"/>
      <c r="AL1008" s="1063"/>
      <c r="AM1008" s="1063"/>
      <c r="AN1008" s="1109"/>
      <c r="AO1008" s="1358"/>
      <c r="AP1008" s="1104"/>
      <c r="AQ1008" s="1104"/>
    </row>
    <row r="1009" spans="1:43" ht="21" customHeight="1">
      <c r="A1009" s="1033"/>
      <c r="B1009" s="1069"/>
      <c r="C1009" s="1033"/>
      <c r="D1009" s="1033"/>
      <c r="E1009" s="1072"/>
      <c r="F1009" s="1072"/>
      <c r="G1009" s="1033"/>
      <c r="H1009" s="1033"/>
      <c r="I1009" s="1033"/>
      <c r="J1009" s="1033"/>
      <c r="K1009" s="1033"/>
      <c r="L1009" s="1033"/>
      <c r="M1009" s="1287"/>
      <c r="N1009" s="1066"/>
      <c r="O1009" s="1063"/>
      <c r="P1009" s="1063"/>
      <c r="Q1009" s="1063"/>
      <c r="R1009" s="1069"/>
      <c r="S1009" s="1093"/>
      <c r="T1009" s="1093"/>
      <c r="U1009" s="1093"/>
      <c r="V1009" s="1063"/>
      <c r="W1009" s="1063"/>
      <c r="X1009" s="1033"/>
      <c r="Y1009" s="1067"/>
      <c r="Z1009" s="386">
        <v>98885494.170000002</v>
      </c>
      <c r="AA1009" s="386">
        <v>0</v>
      </c>
      <c r="AB1009" s="386">
        <f t="shared" si="58"/>
        <v>98885494.170000002</v>
      </c>
      <c r="AC1009" s="1070"/>
      <c r="AD1009" s="395">
        <v>98885494.170000002</v>
      </c>
      <c r="AE1009" s="395" t="s">
        <v>7</v>
      </c>
      <c r="AF1009" s="1044"/>
      <c r="AG1009" s="1044"/>
      <c r="AH1009" s="358">
        <f t="shared" si="59"/>
        <v>0</v>
      </c>
      <c r="AI1009" s="1044"/>
      <c r="AJ1009" s="1063"/>
      <c r="AK1009" s="1063"/>
      <c r="AL1009" s="1063"/>
      <c r="AM1009" s="1063"/>
      <c r="AN1009" s="1109"/>
      <c r="AO1009" s="1358"/>
      <c r="AP1009" s="1104"/>
      <c r="AQ1009" s="1104"/>
    </row>
    <row r="1010" spans="1:43" ht="31.5">
      <c r="A1010" s="1033"/>
      <c r="B1010" s="1069"/>
      <c r="C1010" s="1033"/>
      <c r="D1010" s="1033"/>
      <c r="E1010" s="1072"/>
      <c r="F1010" s="1072"/>
      <c r="G1010" s="1033"/>
      <c r="H1010" s="1033"/>
      <c r="I1010" s="1033"/>
      <c r="J1010" s="1033"/>
      <c r="K1010" s="1033"/>
      <c r="L1010" s="1033"/>
      <c r="M1010" s="1287"/>
      <c r="N1010" s="1066"/>
      <c r="O1010" s="1063"/>
      <c r="P1010" s="1063"/>
      <c r="Q1010" s="1063"/>
      <c r="R1010" s="1069"/>
      <c r="S1010" s="1093"/>
      <c r="T1010" s="1093"/>
      <c r="U1010" s="1093"/>
      <c r="V1010" s="1063"/>
      <c r="W1010" s="1063"/>
      <c r="X1010" s="1033"/>
      <c r="Y1010" s="1065" t="s">
        <v>1513</v>
      </c>
      <c r="Z1010" s="386">
        <v>4669948.3600000003</v>
      </c>
      <c r="AA1010" s="386">
        <v>0</v>
      </c>
      <c r="AB1010" s="386">
        <f t="shared" si="58"/>
        <v>4669948.3600000003</v>
      </c>
      <c r="AC1010" s="1068">
        <v>42542</v>
      </c>
      <c r="AD1010" s="395">
        <v>4669948.3600000003</v>
      </c>
      <c r="AE1010" s="395" t="s">
        <v>137</v>
      </c>
      <c r="AF1010" s="1044"/>
      <c r="AG1010" s="1044"/>
      <c r="AH1010" s="358">
        <f t="shared" si="59"/>
        <v>0</v>
      </c>
      <c r="AI1010" s="1044"/>
      <c r="AJ1010" s="1063"/>
      <c r="AK1010" s="1063"/>
      <c r="AL1010" s="1063"/>
      <c r="AM1010" s="1063"/>
      <c r="AN1010" s="1109"/>
      <c r="AO1010" s="1358"/>
      <c r="AP1010" s="1104"/>
      <c r="AQ1010" s="1104"/>
    </row>
    <row r="1011" spans="1:43">
      <c r="A1011" s="1033"/>
      <c r="B1011" s="1069"/>
      <c r="C1011" s="1033"/>
      <c r="D1011" s="1033"/>
      <c r="E1011" s="1072"/>
      <c r="F1011" s="1072"/>
      <c r="G1011" s="1033"/>
      <c r="H1011" s="1033"/>
      <c r="I1011" s="1033"/>
      <c r="J1011" s="1033"/>
      <c r="K1011" s="1033"/>
      <c r="L1011" s="1033"/>
      <c r="M1011" s="1288"/>
      <c r="N1011" s="1067"/>
      <c r="O1011" s="1064"/>
      <c r="P1011" s="1064"/>
      <c r="Q1011" s="1063"/>
      <c r="R1011" s="1070"/>
      <c r="S1011" s="1094"/>
      <c r="T1011" s="1094"/>
      <c r="U1011" s="1094"/>
      <c r="V1011" s="1064"/>
      <c r="W1011" s="1063"/>
      <c r="X1011" s="1033"/>
      <c r="Y1011" s="1067"/>
      <c r="Z1011" s="386">
        <v>6675291.4800000004</v>
      </c>
      <c r="AA1011" s="386">
        <v>0</v>
      </c>
      <c r="AB1011" s="386">
        <f t="shared" si="58"/>
        <v>6675291.4800000004</v>
      </c>
      <c r="AC1011" s="1070"/>
      <c r="AD1011" s="395">
        <v>6675291.4800000004</v>
      </c>
      <c r="AE1011" s="395" t="s">
        <v>7</v>
      </c>
      <c r="AF1011" s="1045"/>
      <c r="AG1011" s="1044"/>
      <c r="AH1011" s="358">
        <f t="shared" si="59"/>
        <v>0</v>
      </c>
      <c r="AI1011" s="1045"/>
      <c r="AJ1011" s="1063"/>
      <c r="AK1011" s="1064"/>
      <c r="AL1011" s="1064"/>
      <c r="AM1011" s="1064"/>
      <c r="AN1011" s="1109"/>
      <c r="AO1011" s="1358"/>
      <c r="AP1011" s="1104"/>
      <c r="AQ1011" s="1104"/>
    </row>
    <row r="1012" spans="1:43" ht="78.75">
      <c r="A1012" s="1033"/>
      <c r="B1012" s="1069"/>
      <c r="C1012" s="1033"/>
      <c r="D1012" s="1033"/>
      <c r="E1012" s="1072"/>
      <c r="F1012" s="1072"/>
      <c r="G1012" s="1033"/>
      <c r="H1012" s="1033"/>
      <c r="I1012" s="1033"/>
      <c r="J1012" s="1033"/>
      <c r="K1012" s="1033"/>
      <c r="L1012" s="1033"/>
      <c r="M1012" s="1286">
        <v>4</v>
      </c>
      <c r="N1012" s="1065" t="s">
        <v>152</v>
      </c>
      <c r="O1012" s="1062">
        <v>149153109</v>
      </c>
      <c r="P1012" s="1062">
        <f>O1012</f>
        <v>149153109</v>
      </c>
      <c r="Q1012" s="1063"/>
      <c r="R1012" s="1068">
        <v>41080</v>
      </c>
      <c r="S1012" s="1092">
        <f>T1012</f>
        <v>149153109</v>
      </c>
      <c r="T1012" s="1092">
        <v>149153109</v>
      </c>
      <c r="U1012" s="1092">
        <f>O1012-T1012</f>
        <v>0</v>
      </c>
      <c r="V1012" s="1062">
        <v>147959523.59999999</v>
      </c>
      <c r="W1012" s="1063"/>
      <c r="X1012" s="1033"/>
      <c r="Y1012" s="372" t="s">
        <v>1506</v>
      </c>
      <c r="Z1012" s="386">
        <v>71642416.829999998</v>
      </c>
      <c r="AA1012" s="386">
        <v>0</v>
      </c>
      <c r="AB1012" s="386">
        <f t="shared" ref="AB1012:AB1058" si="60">Z1012+AA1012</f>
        <v>71642416.829999998</v>
      </c>
      <c r="AC1012" s="384">
        <v>41572</v>
      </c>
      <c r="AD1012" s="395">
        <v>71642416.829999998</v>
      </c>
      <c r="AE1012" s="395" t="s">
        <v>152</v>
      </c>
      <c r="AF1012" s="1043">
        <f>SUM(AD1012:AD1016)</f>
        <v>149151087.84000003</v>
      </c>
      <c r="AG1012" s="1044"/>
      <c r="AH1012" s="358">
        <f t="shared" si="59"/>
        <v>0</v>
      </c>
      <c r="AI1012" s="1043">
        <f>S1012-SUM(AD1012:AD1016)</f>
        <v>2021.1599999666214</v>
      </c>
      <c r="AJ1012" s="1063"/>
      <c r="AK1012" s="1062">
        <f>P1012-V1012</f>
        <v>1193585.400000006</v>
      </c>
      <c r="AL1012" s="1062">
        <f>V1012-SUM(Z1012:Z1016)</f>
        <v>-1191564.2400000393</v>
      </c>
      <c r="AM1012" s="1062">
        <f>AK1012+AL1012</f>
        <v>2021.1599999666214</v>
      </c>
      <c r="AN1012" s="1109"/>
      <c r="AO1012" s="1358"/>
      <c r="AP1012" s="1104"/>
      <c r="AQ1012" s="1104"/>
    </row>
    <row r="1013" spans="1:43" ht="78.75">
      <c r="A1013" s="1033"/>
      <c r="B1013" s="1069"/>
      <c r="C1013" s="1033"/>
      <c r="D1013" s="1033"/>
      <c r="E1013" s="1072"/>
      <c r="F1013" s="1072"/>
      <c r="G1013" s="1033"/>
      <c r="H1013" s="1033"/>
      <c r="I1013" s="1033"/>
      <c r="J1013" s="1033"/>
      <c r="K1013" s="1033"/>
      <c r="L1013" s="1033"/>
      <c r="M1013" s="1287"/>
      <c r="N1013" s="1066"/>
      <c r="O1013" s="1063"/>
      <c r="P1013" s="1063"/>
      <c r="Q1013" s="1063"/>
      <c r="R1013" s="1069"/>
      <c r="S1013" s="1093"/>
      <c r="T1013" s="1093"/>
      <c r="U1013" s="1093"/>
      <c r="V1013" s="1063"/>
      <c r="W1013" s="1063"/>
      <c r="X1013" s="1033"/>
      <c r="Y1013" s="25" t="s">
        <v>1507</v>
      </c>
      <c r="Z1013" s="386">
        <v>46380841.07</v>
      </c>
      <c r="AA1013" s="386">
        <v>0</v>
      </c>
      <c r="AB1013" s="386">
        <f t="shared" si="60"/>
        <v>46380841.07</v>
      </c>
      <c r="AC1013" s="384">
        <v>41771</v>
      </c>
      <c r="AD1013" s="395">
        <v>46380841.07</v>
      </c>
      <c r="AE1013" s="395" t="s">
        <v>152</v>
      </c>
      <c r="AF1013" s="1044"/>
      <c r="AG1013" s="1044"/>
      <c r="AH1013" s="358">
        <f t="shared" si="59"/>
        <v>0</v>
      </c>
      <c r="AI1013" s="1044"/>
      <c r="AJ1013" s="1063"/>
      <c r="AK1013" s="1063"/>
      <c r="AL1013" s="1063"/>
      <c r="AM1013" s="1063"/>
      <c r="AN1013" s="1109"/>
      <c r="AO1013" s="1358"/>
      <c r="AP1013" s="1104"/>
      <c r="AQ1013" s="1104"/>
    </row>
    <row r="1014" spans="1:43" ht="78.75">
      <c r="A1014" s="1033"/>
      <c r="B1014" s="1069"/>
      <c r="C1014" s="1033"/>
      <c r="D1014" s="1033"/>
      <c r="E1014" s="1072"/>
      <c r="F1014" s="1072"/>
      <c r="G1014" s="1033"/>
      <c r="H1014" s="1033"/>
      <c r="I1014" s="1033"/>
      <c r="J1014" s="1033"/>
      <c r="K1014" s="1033"/>
      <c r="L1014" s="1033"/>
      <c r="M1014" s="1287"/>
      <c r="N1014" s="1066"/>
      <c r="O1014" s="1063"/>
      <c r="P1014" s="1063"/>
      <c r="Q1014" s="1063"/>
      <c r="R1014" s="1069"/>
      <c r="S1014" s="1093"/>
      <c r="T1014" s="1093"/>
      <c r="U1014" s="1093"/>
      <c r="V1014" s="1063"/>
      <c r="W1014" s="1063"/>
      <c r="X1014" s="1033"/>
      <c r="Y1014" s="372" t="s">
        <v>1508</v>
      </c>
      <c r="Z1014" s="386">
        <v>12284838.98</v>
      </c>
      <c r="AA1014" s="386">
        <v>0</v>
      </c>
      <c r="AB1014" s="386">
        <f t="shared" si="60"/>
        <v>12284838.98</v>
      </c>
      <c r="AC1014" s="384">
        <v>41985</v>
      </c>
      <c r="AD1014" s="395">
        <v>12284838.98</v>
      </c>
      <c r="AE1014" s="395" t="s">
        <v>152</v>
      </c>
      <c r="AF1014" s="1044"/>
      <c r="AG1014" s="1044"/>
      <c r="AH1014" s="358">
        <f t="shared" si="59"/>
        <v>0</v>
      </c>
      <c r="AI1014" s="1044"/>
      <c r="AJ1014" s="1063"/>
      <c r="AK1014" s="1063"/>
      <c r="AL1014" s="1063"/>
      <c r="AM1014" s="1063"/>
      <c r="AN1014" s="1109"/>
      <c r="AO1014" s="1358"/>
      <c r="AP1014" s="1104"/>
      <c r="AQ1014" s="1104"/>
    </row>
    <row r="1015" spans="1:43" ht="110.25">
      <c r="A1015" s="1033"/>
      <c r="B1015" s="1069"/>
      <c r="C1015" s="1033"/>
      <c r="D1015" s="1033"/>
      <c r="E1015" s="1072"/>
      <c r="F1015" s="1072"/>
      <c r="G1015" s="1033"/>
      <c r="H1015" s="1033"/>
      <c r="I1015" s="1033"/>
      <c r="J1015" s="1033"/>
      <c r="K1015" s="1033"/>
      <c r="L1015" s="1033"/>
      <c r="M1015" s="1287"/>
      <c r="N1015" s="1066"/>
      <c r="O1015" s="1063"/>
      <c r="P1015" s="1063"/>
      <c r="Q1015" s="1063"/>
      <c r="R1015" s="1069"/>
      <c r="S1015" s="1093"/>
      <c r="T1015" s="1093"/>
      <c r="U1015" s="1093"/>
      <c r="V1015" s="1063"/>
      <c r="W1015" s="1063"/>
      <c r="X1015" s="1033"/>
      <c r="Y1015" s="372" t="s">
        <v>1510</v>
      </c>
      <c r="Z1015" s="386">
        <v>17651426.719999999</v>
      </c>
      <c r="AA1015" s="386">
        <v>0</v>
      </c>
      <c r="AB1015" s="386">
        <f t="shared" si="60"/>
        <v>17651426.719999999</v>
      </c>
      <c r="AC1015" s="384">
        <v>42178</v>
      </c>
      <c r="AD1015" s="395">
        <v>17651426.719999999</v>
      </c>
      <c r="AE1015" s="395" t="s">
        <v>152</v>
      </c>
      <c r="AF1015" s="1044"/>
      <c r="AG1015" s="1044"/>
      <c r="AH1015" s="358">
        <f t="shared" si="59"/>
        <v>0</v>
      </c>
      <c r="AI1015" s="1044"/>
      <c r="AJ1015" s="1063"/>
      <c r="AK1015" s="1063"/>
      <c r="AL1015" s="1063"/>
      <c r="AM1015" s="1063"/>
      <c r="AN1015" s="1109"/>
      <c r="AO1015" s="1358"/>
      <c r="AP1015" s="1104"/>
      <c r="AQ1015" s="1104"/>
    </row>
    <row r="1016" spans="1:43" ht="78.75">
      <c r="A1016" s="1033"/>
      <c r="B1016" s="1069"/>
      <c r="C1016" s="1033"/>
      <c r="D1016" s="1033"/>
      <c r="E1016" s="1072"/>
      <c r="F1016" s="1072"/>
      <c r="G1016" s="1033"/>
      <c r="H1016" s="1033"/>
      <c r="I1016" s="1033"/>
      <c r="J1016" s="1012"/>
      <c r="K1016" s="1033"/>
      <c r="L1016" s="1033"/>
      <c r="M1016" s="1287"/>
      <c r="N1016" s="1066"/>
      <c r="O1016" s="1063"/>
      <c r="P1016" s="1063"/>
      <c r="Q1016" s="1063"/>
      <c r="R1016" s="1069"/>
      <c r="S1016" s="1094"/>
      <c r="T1016" s="1094"/>
      <c r="U1016" s="1094"/>
      <c r="V1016" s="1064"/>
      <c r="W1016" s="1063"/>
      <c r="X1016" s="1033"/>
      <c r="Y1016" s="372" t="s">
        <v>1513</v>
      </c>
      <c r="Z1016" s="386">
        <v>1191564.24</v>
      </c>
      <c r="AA1016" s="386">
        <v>0</v>
      </c>
      <c r="AB1016" s="386">
        <f t="shared" si="60"/>
        <v>1191564.24</v>
      </c>
      <c r="AC1016" s="384">
        <v>42542</v>
      </c>
      <c r="AD1016" s="395">
        <v>1191564.24</v>
      </c>
      <c r="AE1016" s="395" t="s">
        <v>152</v>
      </c>
      <c r="AF1016" s="1045"/>
      <c r="AG1016" s="1044"/>
      <c r="AH1016" s="358">
        <f t="shared" si="59"/>
        <v>0</v>
      </c>
      <c r="AI1016" s="1045"/>
      <c r="AJ1016" s="1063"/>
      <c r="AK1016" s="1064"/>
      <c r="AL1016" s="1064"/>
      <c r="AM1016" s="1064"/>
      <c r="AN1016" s="1109"/>
      <c r="AO1016" s="1358"/>
      <c r="AP1016" s="1104"/>
      <c r="AQ1016" s="1104"/>
    </row>
    <row r="1017" spans="1:43" ht="78.75">
      <c r="A1017" s="1033"/>
      <c r="B1017" s="1069"/>
      <c r="C1017" s="1033"/>
      <c r="D1017" s="1033"/>
      <c r="E1017" s="1072"/>
      <c r="F1017" s="1072"/>
      <c r="G1017" s="1033"/>
      <c r="H1017" s="1033"/>
      <c r="I1017" s="1033"/>
      <c r="J1017" s="1011" t="s">
        <v>67</v>
      </c>
      <c r="K1017" s="1033"/>
      <c r="L1017" s="1033"/>
      <c r="M1017" s="1286">
        <v>310</v>
      </c>
      <c r="N1017" s="1065" t="s">
        <v>137</v>
      </c>
      <c r="O1017" s="1062">
        <v>676939841</v>
      </c>
      <c r="P1017" s="1062">
        <v>676939841</v>
      </c>
      <c r="Q1017" s="1063"/>
      <c r="R1017" s="1068">
        <v>41955</v>
      </c>
      <c r="S1017" s="1062">
        <f>T1017</f>
        <v>676939841</v>
      </c>
      <c r="T1017" s="1062">
        <v>676939841</v>
      </c>
      <c r="U1017" s="1062">
        <f>O1017-T1017</f>
        <v>0</v>
      </c>
      <c r="V1017" s="1062">
        <v>676939841</v>
      </c>
      <c r="W1017" s="1063"/>
      <c r="X1017" s="1033"/>
      <c r="Y1017" s="372" t="s">
        <v>1513</v>
      </c>
      <c r="Z1017" s="386">
        <v>331767544</v>
      </c>
      <c r="AA1017" s="386">
        <v>0</v>
      </c>
      <c r="AB1017" s="386">
        <f t="shared" si="60"/>
        <v>331767544</v>
      </c>
      <c r="AC1017" s="384">
        <v>42542</v>
      </c>
      <c r="AD1017" s="395">
        <v>331767544</v>
      </c>
      <c r="AE1017" s="395" t="s">
        <v>137</v>
      </c>
      <c r="AF1017" s="1043">
        <f>SUM(AD1017:AD1019)</f>
        <v>676939841</v>
      </c>
      <c r="AG1017" s="1044"/>
      <c r="AH1017" s="358">
        <f t="shared" si="59"/>
        <v>0</v>
      </c>
      <c r="AI1017" s="1043">
        <f>O1017-SUM(AD1017:AD1019)</f>
        <v>0</v>
      </c>
      <c r="AJ1017" s="1063"/>
      <c r="AK1017" s="1062">
        <f>P1017-V1017</f>
        <v>0</v>
      </c>
      <c r="AL1017" s="1062">
        <f>V1017-SUM(Z1017:Z1019)</f>
        <v>0</v>
      </c>
      <c r="AM1017" s="1062">
        <f>AK1017+AL1017</f>
        <v>0</v>
      </c>
      <c r="AN1017" s="1109"/>
      <c r="AO1017" s="1358"/>
      <c r="AP1017" s="1104"/>
      <c r="AQ1017" s="1104"/>
    </row>
    <row r="1018" spans="1:43" ht="78.75">
      <c r="A1018" s="1033"/>
      <c r="B1018" s="1069"/>
      <c r="C1018" s="1033"/>
      <c r="D1018" s="1033"/>
      <c r="E1018" s="1072"/>
      <c r="F1018" s="1072"/>
      <c r="G1018" s="1033"/>
      <c r="H1018" s="1033"/>
      <c r="I1018" s="1033"/>
      <c r="J1018" s="1033"/>
      <c r="K1018" s="1033"/>
      <c r="L1018" s="1033"/>
      <c r="M1018" s="1287"/>
      <c r="N1018" s="1066"/>
      <c r="O1018" s="1063"/>
      <c r="P1018" s="1063"/>
      <c r="Q1018" s="1063"/>
      <c r="R1018" s="1069"/>
      <c r="S1018" s="1063"/>
      <c r="T1018" s="1063"/>
      <c r="U1018" s="1063"/>
      <c r="V1018" s="1063"/>
      <c r="W1018" s="1063"/>
      <c r="X1018" s="1033"/>
      <c r="Y1018" s="372" t="s">
        <v>1509</v>
      </c>
      <c r="Z1018" s="386">
        <v>175706218</v>
      </c>
      <c r="AA1018" s="386">
        <v>0</v>
      </c>
      <c r="AB1018" s="386">
        <f t="shared" si="60"/>
        <v>175706218</v>
      </c>
      <c r="AC1018" s="384">
        <v>42178</v>
      </c>
      <c r="AD1018" s="395">
        <v>175706218</v>
      </c>
      <c r="AE1018" s="395" t="s">
        <v>137</v>
      </c>
      <c r="AF1018" s="1044"/>
      <c r="AG1018" s="1044"/>
      <c r="AH1018" s="358">
        <f t="shared" si="59"/>
        <v>0</v>
      </c>
      <c r="AI1018" s="1044"/>
      <c r="AJ1018" s="1063"/>
      <c r="AK1018" s="1063"/>
      <c r="AL1018" s="1063"/>
      <c r="AM1018" s="1063"/>
      <c r="AN1018" s="1109"/>
      <c r="AO1018" s="1358"/>
      <c r="AP1018" s="1104"/>
      <c r="AQ1018" s="1104"/>
    </row>
    <row r="1019" spans="1:43" ht="47.25">
      <c r="A1019" s="1012"/>
      <c r="B1019" s="1070"/>
      <c r="C1019" s="1012"/>
      <c r="D1019" s="1012"/>
      <c r="E1019" s="1073"/>
      <c r="F1019" s="1073"/>
      <c r="G1019" s="1012"/>
      <c r="H1019" s="1012"/>
      <c r="I1019" s="1012"/>
      <c r="J1019" s="1012"/>
      <c r="K1019" s="1012"/>
      <c r="L1019" s="1012"/>
      <c r="M1019" s="1288"/>
      <c r="N1019" s="1067"/>
      <c r="O1019" s="1064"/>
      <c r="P1019" s="1064"/>
      <c r="Q1019" s="1064"/>
      <c r="R1019" s="1070"/>
      <c r="S1019" s="1064"/>
      <c r="T1019" s="1064"/>
      <c r="U1019" s="1064"/>
      <c r="V1019" s="1064"/>
      <c r="W1019" s="1064"/>
      <c r="X1019" s="1012"/>
      <c r="Y1019" s="372" t="s">
        <v>1512</v>
      </c>
      <c r="Z1019" s="386">
        <v>169466079</v>
      </c>
      <c r="AA1019" s="386">
        <v>0</v>
      </c>
      <c r="AB1019" s="386">
        <f t="shared" si="60"/>
        <v>169466079</v>
      </c>
      <c r="AC1019" s="384">
        <v>42366</v>
      </c>
      <c r="AD1019" s="395">
        <v>169466079</v>
      </c>
      <c r="AE1019" s="395" t="s">
        <v>137</v>
      </c>
      <c r="AF1019" s="1045"/>
      <c r="AG1019" s="1045"/>
      <c r="AH1019" s="358">
        <f t="shared" si="59"/>
        <v>0</v>
      </c>
      <c r="AI1019" s="1045"/>
      <c r="AJ1019" s="1064"/>
      <c r="AK1019" s="1064"/>
      <c r="AL1019" s="1064"/>
      <c r="AM1019" s="1064"/>
      <c r="AN1019" s="1110"/>
      <c r="AO1019" s="1359"/>
      <c r="AP1019" s="1105"/>
      <c r="AQ1019" s="1105"/>
    </row>
    <row r="1020" spans="1:43" ht="66" customHeight="1">
      <c r="A1020" s="1011" t="s">
        <v>1532</v>
      </c>
      <c r="B1020" s="1068">
        <v>41337</v>
      </c>
      <c r="C1020" s="1011" t="s">
        <v>24</v>
      </c>
      <c r="D1020" s="1011" t="s">
        <v>1533</v>
      </c>
      <c r="E1020" s="1071">
        <v>10482754</v>
      </c>
      <c r="F1020" s="1071"/>
      <c r="G1020" s="1011" t="s">
        <v>1534</v>
      </c>
      <c r="H1020" s="1011" t="s">
        <v>71</v>
      </c>
      <c r="I1020" s="1011" t="s">
        <v>1221</v>
      </c>
      <c r="J1020" s="1011" t="s">
        <v>66</v>
      </c>
      <c r="K1020" s="1011" t="s">
        <v>183</v>
      </c>
      <c r="L1020" s="1011" t="s">
        <v>1044</v>
      </c>
      <c r="M1020" s="1286">
        <v>257</v>
      </c>
      <c r="N1020" s="1065" t="s">
        <v>7</v>
      </c>
      <c r="O1020" s="1062">
        <v>64274591</v>
      </c>
      <c r="P1020" s="1062">
        <f>O1020</f>
        <v>64274591</v>
      </c>
      <c r="Q1020" s="1062">
        <f>P1020</f>
        <v>64274591</v>
      </c>
      <c r="R1020" s="1068">
        <v>41212</v>
      </c>
      <c r="S1020" s="1092">
        <f>T1020</f>
        <v>64274591</v>
      </c>
      <c r="T1020" s="1062">
        <v>64274591</v>
      </c>
      <c r="U1020" s="1062">
        <f>O1020-T1020</f>
        <v>0</v>
      </c>
      <c r="V1020" s="1062">
        <v>63903840</v>
      </c>
      <c r="W1020" s="1062">
        <f>V1020</f>
        <v>63903840</v>
      </c>
      <c r="X1020" s="1011" t="s">
        <v>1535</v>
      </c>
      <c r="Y1020" s="372" t="s">
        <v>1536</v>
      </c>
      <c r="Z1020" s="386">
        <v>51515340</v>
      </c>
      <c r="AA1020" s="386">
        <v>0</v>
      </c>
      <c r="AB1020" s="386">
        <f t="shared" si="60"/>
        <v>51515340</v>
      </c>
      <c r="AC1020" s="384">
        <v>41712</v>
      </c>
      <c r="AD1020" s="395">
        <v>51515340</v>
      </c>
      <c r="AE1020" s="395" t="s">
        <v>7</v>
      </c>
      <c r="AF1020" s="1043">
        <f>AD1020+AD1021</f>
        <v>63424630</v>
      </c>
      <c r="AG1020" s="1043">
        <f>AF1020</f>
        <v>63424630</v>
      </c>
      <c r="AH1020" s="358">
        <f t="shared" si="59"/>
        <v>0</v>
      </c>
      <c r="AI1020" s="1043">
        <f>O1020-AD1020-AD1021</f>
        <v>849961</v>
      </c>
      <c r="AJ1020" s="1062">
        <f>SUM(Z1020:Z1021)-SUM(AD1020:AD1021)</f>
        <v>0</v>
      </c>
      <c r="AK1020" s="1062">
        <f>P1020-V1020</f>
        <v>370751</v>
      </c>
      <c r="AL1020" s="1062">
        <f>V1020-SUM(Z1020:Z1021)</f>
        <v>479210</v>
      </c>
      <c r="AM1020" s="1062">
        <f>AK1020+AL1020</f>
        <v>849961</v>
      </c>
      <c r="AN1020" s="1108" t="s">
        <v>606</v>
      </c>
      <c r="AO1020" s="1103" t="s">
        <v>1538</v>
      </c>
      <c r="AP1020" s="1103" t="s">
        <v>194</v>
      </c>
      <c r="AQ1020" s="1103" t="s">
        <v>1414</v>
      </c>
    </row>
    <row r="1021" spans="1:43" ht="39.75" customHeight="1">
      <c r="A1021" s="1012"/>
      <c r="B1021" s="1070"/>
      <c r="C1021" s="1012"/>
      <c r="D1021" s="1012"/>
      <c r="E1021" s="1073"/>
      <c r="F1021" s="1073"/>
      <c r="G1021" s="1012"/>
      <c r="H1021" s="1012"/>
      <c r="I1021" s="1012"/>
      <c r="J1021" s="1012"/>
      <c r="K1021" s="1012"/>
      <c r="L1021" s="1012"/>
      <c r="M1021" s="1288"/>
      <c r="N1021" s="1067"/>
      <c r="O1021" s="1064"/>
      <c r="P1021" s="1064"/>
      <c r="Q1021" s="1064"/>
      <c r="R1021" s="1070"/>
      <c r="S1021" s="1094"/>
      <c r="T1021" s="1064"/>
      <c r="U1021" s="1064"/>
      <c r="V1021" s="1064"/>
      <c r="W1021" s="1064"/>
      <c r="X1021" s="1012"/>
      <c r="Y1021" s="372" t="s">
        <v>1537</v>
      </c>
      <c r="Z1021" s="386">
        <v>11909290</v>
      </c>
      <c r="AA1021" s="386">
        <v>0</v>
      </c>
      <c r="AB1021" s="386">
        <f t="shared" si="60"/>
        <v>11909290</v>
      </c>
      <c r="AC1021" s="384">
        <v>41759</v>
      </c>
      <c r="AD1021" s="395">
        <v>11909290</v>
      </c>
      <c r="AE1021" s="395" t="s">
        <v>7</v>
      </c>
      <c r="AF1021" s="1045"/>
      <c r="AG1021" s="1045"/>
      <c r="AH1021" s="358">
        <f t="shared" si="59"/>
        <v>0</v>
      </c>
      <c r="AI1021" s="1045"/>
      <c r="AJ1021" s="1064"/>
      <c r="AK1021" s="1064"/>
      <c r="AL1021" s="1064"/>
      <c r="AM1021" s="1064"/>
      <c r="AN1021" s="1110"/>
      <c r="AO1021" s="1105"/>
      <c r="AP1021" s="1105"/>
      <c r="AQ1021" s="1105"/>
    </row>
    <row r="1022" spans="1:43" ht="47.25">
      <c r="A1022" s="1011" t="s">
        <v>1539</v>
      </c>
      <c r="B1022" s="1068">
        <v>41344</v>
      </c>
      <c r="C1022" s="1011" t="s">
        <v>12</v>
      </c>
      <c r="D1022" s="1011" t="s">
        <v>1540</v>
      </c>
      <c r="E1022" s="1071">
        <v>19130521</v>
      </c>
      <c r="F1022" s="1071"/>
      <c r="G1022" s="1011" t="s">
        <v>1541</v>
      </c>
      <c r="H1022" s="1011" t="s">
        <v>71</v>
      </c>
      <c r="I1022" s="1011" t="s">
        <v>1235</v>
      </c>
      <c r="J1022" s="1011" t="s">
        <v>66</v>
      </c>
      <c r="K1022" s="1011" t="s">
        <v>183</v>
      </c>
      <c r="L1022" s="1011" t="s">
        <v>1543</v>
      </c>
      <c r="M1022" s="1286">
        <v>255</v>
      </c>
      <c r="N1022" s="1065" t="s">
        <v>7</v>
      </c>
      <c r="O1022" s="1062">
        <v>258333759</v>
      </c>
      <c r="P1022" s="1062">
        <f>O1022</f>
        <v>258333759</v>
      </c>
      <c r="Q1022" s="1062">
        <f>P1022</f>
        <v>258333759</v>
      </c>
      <c r="R1022" s="1068">
        <v>41186</v>
      </c>
      <c r="S1022" s="1092">
        <f>T1022</f>
        <v>258333759</v>
      </c>
      <c r="T1022" s="1092">
        <v>258333759</v>
      </c>
      <c r="U1022" s="1092">
        <f>O1022-T1022</f>
        <v>0</v>
      </c>
      <c r="V1022" s="1062">
        <v>255010855</v>
      </c>
      <c r="W1022" s="1062">
        <v>255010855</v>
      </c>
      <c r="X1022" s="1011" t="s">
        <v>1542</v>
      </c>
      <c r="Y1022" s="372" t="s">
        <v>1544</v>
      </c>
      <c r="Z1022" s="386">
        <v>201260423</v>
      </c>
      <c r="AA1022" s="386">
        <v>0</v>
      </c>
      <c r="AB1022" s="386">
        <f t="shared" si="60"/>
        <v>201260423</v>
      </c>
      <c r="AC1022" s="384">
        <v>41935</v>
      </c>
      <c r="AD1022" s="395">
        <v>201260423</v>
      </c>
      <c r="AE1022" s="395" t="s">
        <v>7</v>
      </c>
      <c r="AF1022" s="1043">
        <f>SUM(AD1022:AD1024)</f>
        <v>255006953</v>
      </c>
      <c r="AG1022" s="1043">
        <f>AF1022</f>
        <v>255006953</v>
      </c>
      <c r="AH1022" s="358">
        <f t="shared" si="59"/>
        <v>0</v>
      </c>
      <c r="AI1022" s="1043">
        <f>O1022-SUM(AD1022:AD1024)</f>
        <v>3326806</v>
      </c>
      <c r="AJ1022" s="1062">
        <f>SUM(Z1022:Z1024)-SUM(AD1022:AD1024)</f>
        <v>0</v>
      </c>
      <c r="AK1022" s="1062">
        <f>P1022-V1022</f>
        <v>3322904</v>
      </c>
      <c r="AL1022" s="1062">
        <f>V1022-SUM(Z1022:Z1024)</f>
        <v>3902</v>
      </c>
      <c r="AM1022" s="1062">
        <f>AK1022+AL1022</f>
        <v>3326806</v>
      </c>
      <c r="AN1022" s="1108" t="s">
        <v>606</v>
      </c>
      <c r="AO1022" s="1103" t="s">
        <v>1547</v>
      </c>
      <c r="AP1022" s="1103" t="s">
        <v>194</v>
      </c>
      <c r="AQ1022" s="1103" t="s">
        <v>1414</v>
      </c>
    </row>
    <row r="1023" spans="1:43" ht="47.25">
      <c r="A1023" s="1033"/>
      <c r="B1023" s="1069"/>
      <c r="C1023" s="1033"/>
      <c r="D1023" s="1033"/>
      <c r="E1023" s="1072"/>
      <c r="F1023" s="1072"/>
      <c r="G1023" s="1033"/>
      <c r="H1023" s="1033"/>
      <c r="I1023" s="1033"/>
      <c r="J1023" s="1033"/>
      <c r="K1023" s="1033"/>
      <c r="L1023" s="1033"/>
      <c r="M1023" s="1287"/>
      <c r="N1023" s="1066"/>
      <c r="O1023" s="1063"/>
      <c r="P1023" s="1063"/>
      <c r="Q1023" s="1063"/>
      <c r="R1023" s="1069"/>
      <c r="S1023" s="1093"/>
      <c r="T1023" s="1093"/>
      <c r="U1023" s="1093"/>
      <c r="V1023" s="1063"/>
      <c r="W1023" s="1063"/>
      <c r="X1023" s="1033"/>
      <c r="Y1023" s="372" t="s">
        <v>1545</v>
      </c>
      <c r="Z1023" s="386">
        <v>28247924</v>
      </c>
      <c r="AA1023" s="386">
        <v>0</v>
      </c>
      <c r="AB1023" s="386">
        <f t="shared" si="60"/>
        <v>28247924</v>
      </c>
      <c r="AC1023" s="384">
        <v>42158</v>
      </c>
      <c r="AD1023" s="395">
        <v>28247924</v>
      </c>
      <c r="AE1023" s="395" t="s">
        <v>7</v>
      </c>
      <c r="AF1023" s="1044"/>
      <c r="AG1023" s="1044"/>
      <c r="AH1023" s="358">
        <f t="shared" si="59"/>
        <v>0</v>
      </c>
      <c r="AI1023" s="1044"/>
      <c r="AJ1023" s="1063"/>
      <c r="AK1023" s="1063"/>
      <c r="AL1023" s="1063"/>
      <c r="AM1023" s="1063"/>
      <c r="AN1023" s="1109"/>
      <c r="AO1023" s="1104"/>
      <c r="AP1023" s="1104"/>
      <c r="AQ1023" s="1104"/>
    </row>
    <row r="1024" spans="1:43" ht="47.25">
      <c r="A1024" s="1012"/>
      <c r="B1024" s="1070"/>
      <c r="C1024" s="1012"/>
      <c r="D1024" s="1012"/>
      <c r="E1024" s="1073"/>
      <c r="F1024" s="1073"/>
      <c r="G1024" s="1012"/>
      <c r="H1024" s="1012"/>
      <c r="I1024" s="1012"/>
      <c r="J1024" s="1012"/>
      <c r="K1024" s="1012"/>
      <c r="L1024" s="1012"/>
      <c r="M1024" s="1288"/>
      <c r="N1024" s="1067"/>
      <c r="O1024" s="1064"/>
      <c r="P1024" s="1064"/>
      <c r="Q1024" s="1064"/>
      <c r="R1024" s="1070"/>
      <c r="S1024" s="1094"/>
      <c r="T1024" s="1094"/>
      <c r="U1024" s="1094"/>
      <c r="V1024" s="1064"/>
      <c r="W1024" s="1064"/>
      <c r="X1024" s="1012"/>
      <c r="Y1024" s="372" t="s">
        <v>1546</v>
      </c>
      <c r="Z1024" s="386">
        <v>25498606</v>
      </c>
      <c r="AA1024" s="386">
        <v>0</v>
      </c>
      <c r="AB1024" s="386">
        <f t="shared" si="60"/>
        <v>25498606</v>
      </c>
      <c r="AC1024" s="384">
        <v>42551</v>
      </c>
      <c r="AD1024" s="395">
        <v>25498606</v>
      </c>
      <c r="AE1024" s="395" t="s">
        <v>7</v>
      </c>
      <c r="AF1024" s="1045"/>
      <c r="AG1024" s="1045"/>
      <c r="AH1024" s="358">
        <f t="shared" si="59"/>
        <v>0</v>
      </c>
      <c r="AI1024" s="1045"/>
      <c r="AJ1024" s="1064"/>
      <c r="AK1024" s="1064"/>
      <c r="AL1024" s="1064"/>
      <c r="AM1024" s="1064"/>
      <c r="AN1024" s="1110"/>
      <c r="AO1024" s="1105"/>
      <c r="AP1024" s="1105"/>
      <c r="AQ1024" s="1105"/>
    </row>
    <row r="1025" spans="1:43" ht="15" customHeight="1">
      <c r="A1025" s="1076" t="s">
        <v>1557</v>
      </c>
      <c r="B1025" s="1171">
        <v>41403</v>
      </c>
      <c r="C1025" s="1076" t="s">
        <v>11</v>
      </c>
      <c r="D1025" s="1076" t="s">
        <v>1558</v>
      </c>
      <c r="E1025" s="1208">
        <v>900618452</v>
      </c>
      <c r="F1025" s="1208">
        <v>4</v>
      </c>
      <c r="G1025" s="1076" t="s">
        <v>1559</v>
      </c>
      <c r="H1025" s="1076" t="s">
        <v>70</v>
      </c>
      <c r="I1025" s="1076" t="s">
        <v>206</v>
      </c>
      <c r="J1025" s="1076" t="s">
        <v>66</v>
      </c>
      <c r="K1025" s="1076" t="s">
        <v>183</v>
      </c>
      <c r="L1025" s="1076" t="s">
        <v>1597</v>
      </c>
      <c r="M1025" s="1209">
        <v>254</v>
      </c>
      <c r="N1025" s="1123" t="s">
        <v>7</v>
      </c>
      <c r="O1025" s="1119">
        <v>6714798</v>
      </c>
      <c r="P1025" s="1119">
        <v>6714798</v>
      </c>
      <c r="Q1025" s="1119">
        <f>SUM(P1025:P1049)</f>
        <v>241500542</v>
      </c>
      <c r="R1025" s="1171">
        <v>41165</v>
      </c>
      <c r="S1025" s="1196">
        <f>T1025</f>
        <v>6714798</v>
      </c>
      <c r="T1025" s="1196">
        <v>6714798</v>
      </c>
      <c r="U1025" s="1196">
        <f>O1025-T1025</f>
        <v>0</v>
      </c>
      <c r="V1025" s="1084">
        <v>6709515.21</v>
      </c>
      <c r="W1025" s="1119">
        <f>187886505+V1046+V1047+V1049</f>
        <v>241352608</v>
      </c>
      <c r="X1025" s="1076" t="s">
        <v>1271</v>
      </c>
      <c r="Y1025" s="372" t="s">
        <v>1596</v>
      </c>
      <c r="Z1025" s="386">
        <v>0</v>
      </c>
      <c r="AA1025" s="386">
        <v>2683806.0840000003</v>
      </c>
      <c r="AB1025" s="386">
        <f t="shared" si="60"/>
        <v>2683806.0840000003</v>
      </c>
      <c r="AC1025" s="384">
        <v>41464</v>
      </c>
      <c r="AD1025" s="395">
        <v>2683806.08</v>
      </c>
      <c r="AE1025" s="371" t="s">
        <v>7</v>
      </c>
      <c r="AF1025" s="1084">
        <f>SUM(AD1025:AD1027)</f>
        <v>6707382.0800000001</v>
      </c>
      <c r="AG1025" s="1084">
        <f>AF1025+AF1028+AF1033+AF1037+AF1042+AF1046+AF1047+AF1049</f>
        <v>241343771.99999997</v>
      </c>
      <c r="AH1025" s="358">
        <f t="shared" si="59"/>
        <v>4.0000001899898052E-3</v>
      </c>
      <c r="AI1025" s="1084">
        <f>P1025-SUM(AD1025:AD1027)</f>
        <v>7415.9199999999255</v>
      </c>
      <c r="AJ1025" s="1119">
        <f>SUM(Z1025:Z1049)-SUM(AD1025:AD1049)</f>
        <v>0</v>
      </c>
      <c r="AK1025" s="1119">
        <f>P1025-V1025</f>
        <v>5282.7900000000373</v>
      </c>
      <c r="AL1025" s="1119">
        <f>V1025-SUM(Z1025:Z1027)-1422.08</f>
        <v>2133.1299999999628</v>
      </c>
      <c r="AM1025" s="1119">
        <f>AK1025+AL1025</f>
        <v>7415.92</v>
      </c>
      <c r="AN1025" s="1203" t="s">
        <v>606</v>
      </c>
      <c r="AO1025" s="1204" t="s">
        <v>1615</v>
      </c>
      <c r="AP1025" s="1204" t="s">
        <v>194</v>
      </c>
      <c r="AQ1025" s="1204" t="s">
        <v>1619</v>
      </c>
    </row>
    <row r="1026" spans="1:43" ht="15" customHeight="1">
      <c r="A1026" s="1076"/>
      <c r="B1026" s="1171"/>
      <c r="C1026" s="1076"/>
      <c r="D1026" s="1076"/>
      <c r="E1026" s="1208"/>
      <c r="F1026" s="1208"/>
      <c r="G1026" s="1076"/>
      <c r="H1026" s="1076"/>
      <c r="I1026" s="1076"/>
      <c r="J1026" s="1076"/>
      <c r="K1026" s="1076"/>
      <c r="L1026" s="1076"/>
      <c r="M1026" s="1209"/>
      <c r="N1026" s="1123"/>
      <c r="O1026" s="1119"/>
      <c r="P1026" s="1119"/>
      <c r="Q1026" s="1119"/>
      <c r="R1026" s="1171"/>
      <c r="S1026" s="1196"/>
      <c r="T1026" s="1196"/>
      <c r="U1026" s="1196"/>
      <c r="V1026" s="1084"/>
      <c r="W1026" s="1119"/>
      <c r="X1026" s="1076"/>
      <c r="Y1026" s="372" t="s">
        <v>1598</v>
      </c>
      <c r="Z1026" s="386">
        <v>5029470</v>
      </c>
      <c r="AA1026" s="386">
        <v>-2011788</v>
      </c>
      <c r="AB1026" s="386">
        <f t="shared" si="60"/>
        <v>3017682</v>
      </c>
      <c r="AC1026" s="384">
        <v>41626</v>
      </c>
      <c r="AD1026" s="395">
        <v>3017682</v>
      </c>
      <c r="AE1026" s="371" t="s">
        <v>7</v>
      </c>
      <c r="AF1026" s="1084"/>
      <c r="AG1026" s="1084"/>
      <c r="AH1026" s="358">
        <f t="shared" si="59"/>
        <v>0</v>
      </c>
      <c r="AI1026" s="1084"/>
      <c r="AJ1026" s="1119"/>
      <c r="AK1026" s="1119"/>
      <c r="AL1026" s="1119"/>
      <c r="AM1026" s="1119"/>
      <c r="AN1026" s="1203"/>
      <c r="AO1026" s="1204"/>
      <c r="AP1026" s="1204"/>
      <c r="AQ1026" s="1204"/>
    </row>
    <row r="1027" spans="1:43" ht="15" customHeight="1">
      <c r="A1027" s="1076"/>
      <c r="B1027" s="1171"/>
      <c r="C1027" s="1076"/>
      <c r="D1027" s="1076"/>
      <c r="E1027" s="1208"/>
      <c r="F1027" s="1208"/>
      <c r="G1027" s="1076"/>
      <c r="H1027" s="1076"/>
      <c r="I1027" s="1076"/>
      <c r="J1027" s="1076"/>
      <c r="K1027" s="1076"/>
      <c r="L1027" s="1076"/>
      <c r="M1027" s="1209"/>
      <c r="N1027" s="1123"/>
      <c r="O1027" s="1119"/>
      <c r="P1027" s="1119"/>
      <c r="Q1027" s="1119"/>
      <c r="R1027" s="1171"/>
      <c r="S1027" s="1196"/>
      <c r="T1027" s="1196"/>
      <c r="U1027" s="1196"/>
      <c r="V1027" s="1084"/>
      <c r="W1027" s="1119"/>
      <c r="X1027" s="1076"/>
      <c r="Y1027" s="372" t="s">
        <v>1607</v>
      </c>
      <c r="Z1027" s="386">
        <v>1676490</v>
      </c>
      <c r="AA1027" s="386">
        <v>-670596</v>
      </c>
      <c r="AB1027" s="386">
        <f t="shared" si="60"/>
        <v>1005894</v>
      </c>
      <c r="AC1027" s="384">
        <v>42088</v>
      </c>
      <c r="AD1027" s="395">
        <v>1005894</v>
      </c>
      <c r="AE1027" s="371" t="s">
        <v>7</v>
      </c>
      <c r="AF1027" s="1084"/>
      <c r="AG1027" s="1084"/>
      <c r="AH1027" s="358">
        <f t="shared" si="59"/>
        <v>0</v>
      </c>
      <c r="AI1027" s="1084"/>
      <c r="AJ1027" s="1119"/>
      <c r="AK1027" s="1119"/>
      <c r="AL1027" s="1119"/>
      <c r="AM1027" s="1119"/>
      <c r="AN1027" s="1203"/>
      <c r="AO1027" s="1204"/>
      <c r="AP1027" s="1204"/>
      <c r="AQ1027" s="1204"/>
    </row>
    <row r="1028" spans="1:43" ht="15" customHeight="1">
      <c r="A1028" s="1076"/>
      <c r="B1028" s="1171"/>
      <c r="C1028" s="1076" t="s">
        <v>32</v>
      </c>
      <c r="D1028" s="1076"/>
      <c r="E1028" s="1208"/>
      <c r="F1028" s="1208"/>
      <c r="G1028" s="1076"/>
      <c r="H1028" s="1076"/>
      <c r="I1028" s="1076"/>
      <c r="J1028" s="1076"/>
      <c r="K1028" s="1076"/>
      <c r="L1028" s="1076"/>
      <c r="M1028" s="1209">
        <v>232</v>
      </c>
      <c r="N1028" s="1123" t="s">
        <v>7</v>
      </c>
      <c r="O1028" s="1119">
        <v>31988162</v>
      </c>
      <c r="P1028" s="1119">
        <v>31988162</v>
      </c>
      <c r="Q1028" s="1119"/>
      <c r="R1028" s="1171">
        <v>40899</v>
      </c>
      <c r="S1028" s="1196">
        <f>T1028</f>
        <v>31988162</v>
      </c>
      <c r="T1028" s="1196">
        <v>31988162</v>
      </c>
      <c r="U1028" s="1196">
        <f>O1028-T1028</f>
        <v>0</v>
      </c>
      <c r="V1028" s="1084">
        <v>31962995.670000002</v>
      </c>
      <c r="W1028" s="1119"/>
      <c r="X1028" s="1076"/>
      <c r="Y1028" s="372" t="s">
        <v>1596</v>
      </c>
      <c r="Z1028" s="358">
        <v>0</v>
      </c>
      <c r="AA1028" s="386">
        <v>12785198.268000001</v>
      </c>
      <c r="AB1028" s="386">
        <f t="shared" si="60"/>
        <v>12785198.268000001</v>
      </c>
      <c r="AC1028" s="384">
        <v>41464</v>
      </c>
      <c r="AD1028" s="395">
        <v>12785198.27</v>
      </c>
      <c r="AE1028" s="371" t="s">
        <v>7</v>
      </c>
      <c r="AF1028" s="1084">
        <f>SUM(AD1028:AD1032)</f>
        <v>31962995.27</v>
      </c>
      <c r="AG1028" s="1084"/>
      <c r="AH1028" s="358">
        <f t="shared" si="59"/>
        <v>-1.999998465180397E-3</v>
      </c>
      <c r="AI1028" s="1084">
        <f>P1028-SUM(AD1028:AD1032)</f>
        <v>25166.730000000447</v>
      </c>
      <c r="AJ1028" s="1119"/>
      <c r="AK1028" s="1119">
        <f>P1028-V1028</f>
        <v>25166.329999998212</v>
      </c>
      <c r="AL1028" s="1119">
        <v>0</v>
      </c>
      <c r="AM1028" s="1119">
        <f>AK1028+AL1028</f>
        <v>25166.329999998212</v>
      </c>
      <c r="AN1028" s="1203"/>
      <c r="AO1028" s="1204"/>
      <c r="AP1028" s="1204"/>
      <c r="AQ1028" s="1204"/>
    </row>
    <row r="1029" spans="1:43" ht="15" customHeight="1">
      <c r="A1029" s="1076"/>
      <c r="B1029" s="1171"/>
      <c r="C1029" s="1076"/>
      <c r="D1029" s="1076"/>
      <c r="E1029" s="1208"/>
      <c r="F1029" s="1208"/>
      <c r="G1029" s="1076"/>
      <c r="H1029" s="1076"/>
      <c r="I1029" s="1076"/>
      <c r="J1029" s="1076"/>
      <c r="K1029" s="1076"/>
      <c r="L1029" s="1076"/>
      <c r="M1029" s="1209"/>
      <c r="N1029" s="1123"/>
      <c r="O1029" s="1119"/>
      <c r="P1029" s="1119"/>
      <c r="Q1029" s="1119"/>
      <c r="R1029" s="1171"/>
      <c r="S1029" s="1196"/>
      <c r="T1029" s="1196"/>
      <c r="U1029" s="1196"/>
      <c r="V1029" s="1084"/>
      <c r="W1029" s="1119"/>
      <c r="X1029" s="1076"/>
      <c r="Y1029" s="372" t="s">
        <v>1599</v>
      </c>
      <c r="Z1029" s="386">
        <v>7354876</v>
      </c>
      <c r="AA1029" s="386">
        <v>-2941950</v>
      </c>
      <c r="AB1029" s="386">
        <f t="shared" si="60"/>
        <v>4412926</v>
      </c>
      <c r="AC1029" s="384">
        <v>41626</v>
      </c>
      <c r="AD1029" s="395">
        <v>4412926</v>
      </c>
      <c r="AE1029" s="371" t="s">
        <v>7</v>
      </c>
      <c r="AF1029" s="1084"/>
      <c r="AG1029" s="1084"/>
      <c r="AH1029" s="358">
        <f t="shared" si="59"/>
        <v>0</v>
      </c>
      <c r="AI1029" s="1084"/>
      <c r="AJ1029" s="1119"/>
      <c r="AK1029" s="1119"/>
      <c r="AL1029" s="1119"/>
      <c r="AM1029" s="1119"/>
      <c r="AN1029" s="1203"/>
      <c r="AO1029" s="1204"/>
      <c r="AP1029" s="1204"/>
      <c r="AQ1029" s="1204"/>
    </row>
    <row r="1030" spans="1:43" ht="15" customHeight="1">
      <c r="A1030" s="1076"/>
      <c r="B1030" s="1171"/>
      <c r="C1030" s="1076"/>
      <c r="D1030" s="1076"/>
      <c r="E1030" s="1208"/>
      <c r="F1030" s="1208"/>
      <c r="G1030" s="1076"/>
      <c r="H1030" s="1076"/>
      <c r="I1030" s="1076"/>
      <c r="J1030" s="1076"/>
      <c r="K1030" s="1076"/>
      <c r="L1030" s="1076"/>
      <c r="M1030" s="1209"/>
      <c r="N1030" s="1123"/>
      <c r="O1030" s="1119"/>
      <c r="P1030" s="1119"/>
      <c r="Q1030" s="1119"/>
      <c r="R1030" s="1171"/>
      <c r="S1030" s="1196"/>
      <c r="T1030" s="1196"/>
      <c r="U1030" s="1196"/>
      <c r="V1030" s="1084"/>
      <c r="W1030" s="1119"/>
      <c r="X1030" s="1076"/>
      <c r="Y1030" s="372" t="s">
        <v>1601</v>
      </c>
      <c r="Z1030" s="386">
        <v>8633984</v>
      </c>
      <c r="AA1030" s="386">
        <v>-3453594</v>
      </c>
      <c r="AB1030" s="386">
        <f t="shared" si="60"/>
        <v>5180390</v>
      </c>
      <c r="AC1030" s="384">
        <v>41849</v>
      </c>
      <c r="AD1030" s="395">
        <v>5180390</v>
      </c>
      <c r="AE1030" s="371" t="s">
        <v>7</v>
      </c>
      <c r="AF1030" s="1084"/>
      <c r="AG1030" s="1084"/>
      <c r="AH1030" s="358">
        <f t="shared" si="59"/>
        <v>0</v>
      </c>
      <c r="AI1030" s="1084"/>
      <c r="AJ1030" s="1119"/>
      <c r="AK1030" s="1119"/>
      <c r="AL1030" s="1119"/>
      <c r="AM1030" s="1119"/>
      <c r="AN1030" s="1203"/>
      <c r="AO1030" s="1204"/>
      <c r="AP1030" s="1204"/>
      <c r="AQ1030" s="1204"/>
    </row>
    <row r="1031" spans="1:43" ht="15" customHeight="1">
      <c r="A1031" s="1076"/>
      <c r="B1031" s="1171"/>
      <c r="C1031" s="1076"/>
      <c r="D1031" s="1076"/>
      <c r="E1031" s="1208"/>
      <c r="F1031" s="1208"/>
      <c r="G1031" s="1076"/>
      <c r="H1031" s="1076"/>
      <c r="I1031" s="1076"/>
      <c r="J1031" s="1076"/>
      <c r="K1031" s="1076"/>
      <c r="L1031" s="1076"/>
      <c r="M1031" s="1209"/>
      <c r="N1031" s="1123"/>
      <c r="O1031" s="1119"/>
      <c r="P1031" s="1119"/>
      <c r="Q1031" s="1119"/>
      <c r="R1031" s="1171"/>
      <c r="S1031" s="1196"/>
      <c r="T1031" s="1196"/>
      <c r="U1031" s="1196"/>
      <c r="V1031" s="1084"/>
      <c r="W1031" s="1119"/>
      <c r="X1031" s="1076"/>
      <c r="Y1031" s="372" t="s">
        <v>1605</v>
      </c>
      <c r="Z1031" s="386">
        <v>12791088</v>
      </c>
      <c r="AA1031" s="386">
        <v>-5116435</v>
      </c>
      <c r="AB1031" s="386">
        <f t="shared" si="60"/>
        <v>7674653</v>
      </c>
      <c r="AC1031" s="384">
        <v>42088</v>
      </c>
      <c r="AD1031" s="395">
        <v>7674653</v>
      </c>
      <c r="AE1031" s="371" t="s">
        <v>7</v>
      </c>
      <c r="AF1031" s="1084"/>
      <c r="AG1031" s="1084"/>
      <c r="AH1031" s="358">
        <f t="shared" si="59"/>
        <v>0</v>
      </c>
      <c r="AI1031" s="1084"/>
      <c r="AJ1031" s="1119"/>
      <c r="AK1031" s="1119"/>
      <c r="AL1031" s="1119"/>
      <c r="AM1031" s="1119"/>
      <c r="AN1031" s="1203"/>
      <c r="AO1031" s="1204"/>
      <c r="AP1031" s="1204"/>
      <c r="AQ1031" s="1204"/>
    </row>
    <row r="1032" spans="1:43" ht="15" customHeight="1">
      <c r="A1032" s="1076"/>
      <c r="B1032" s="1171"/>
      <c r="C1032" s="1076"/>
      <c r="D1032" s="1076"/>
      <c r="E1032" s="1208"/>
      <c r="F1032" s="1208"/>
      <c r="G1032" s="1076"/>
      <c r="H1032" s="1076"/>
      <c r="I1032" s="1076"/>
      <c r="J1032" s="1076"/>
      <c r="K1032" s="1076"/>
      <c r="L1032" s="1076"/>
      <c r="M1032" s="1209"/>
      <c r="N1032" s="1123"/>
      <c r="O1032" s="1119"/>
      <c r="P1032" s="1119"/>
      <c r="Q1032" s="1119"/>
      <c r="R1032" s="1171"/>
      <c r="S1032" s="1196"/>
      <c r="T1032" s="1196"/>
      <c r="U1032" s="1196"/>
      <c r="V1032" s="1084"/>
      <c r="W1032" s="1119"/>
      <c r="X1032" s="1076"/>
      <c r="Y1032" s="372" t="s">
        <v>1613</v>
      </c>
      <c r="Z1032" s="386">
        <v>3188936</v>
      </c>
      <c r="AA1032" s="386">
        <v>-1279108</v>
      </c>
      <c r="AB1032" s="386">
        <f t="shared" si="60"/>
        <v>1909828</v>
      </c>
      <c r="AC1032" s="384">
        <v>42922</v>
      </c>
      <c r="AD1032" s="395">
        <v>1909828</v>
      </c>
      <c r="AE1032" s="371" t="s">
        <v>7</v>
      </c>
      <c r="AF1032" s="1084"/>
      <c r="AG1032" s="1084"/>
      <c r="AH1032" s="358">
        <f t="shared" si="59"/>
        <v>0</v>
      </c>
      <c r="AI1032" s="1084"/>
      <c r="AJ1032" s="1119"/>
      <c r="AK1032" s="1119"/>
      <c r="AL1032" s="1119"/>
      <c r="AM1032" s="1119"/>
      <c r="AN1032" s="1203"/>
      <c r="AO1032" s="1204"/>
      <c r="AP1032" s="1204"/>
      <c r="AQ1032" s="1204"/>
    </row>
    <row r="1033" spans="1:43" ht="15" customHeight="1">
      <c r="A1033" s="1076"/>
      <c r="B1033" s="1171"/>
      <c r="C1033" s="1076" t="s">
        <v>24</v>
      </c>
      <c r="D1033" s="1076"/>
      <c r="E1033" s="1208"/>
      <c r="F1033" s="1208"/>
      <c r="G1033" s="1076"/>
      <c r="H1033" s="1076"/>
      <c r="I1033" s="1076"/>
      <c r="J1033" s="1076"/>
      <c r="K1033" s="1076"/>
      <c r="L1033" s="1076"/>
      <c r="M1033" s="1209">
        <v>260</v>
      </c>
      <c r="N1033" s="1123" t="s">
        <v>7</v>
      </c>
      <c r="O1033" s="1119">
        <v>11458298</v>
      </c>
      <c r="P1033" s="1119">
        <v>11458298</v>
      </c>
      <c r="Q1033" s="1119"/>
      <c r="R1033" s="1171">
        <v>41214</v>
      </c>
      <c r="S1033" s="1196">
        <f>T1033</f>
        <v>11458298</v>
      </c>
      <c r="T1033" s="1196">
        <v>11458298</v>
      </c>
      <c r="U1033" s="1196">
        <f>O1033-T1033</f>
        <v>0</v>
      </c>
      <c r="V1033" s="1084">
        <v>11449283.310000001</v>
      </c>
      <c r="W1033" s="1119"/>
      <c r="X1033" s="1076"/>
      <c r="Y1033" s="372" t="s">
        <v>1596</v>
      </c>
      <c r="Z1033" s="386">
        <v>0</v>
      </c>
      <c r="AA1033" s="386">
        <v>4579713.324</v>
      </c>
      <c r="AB1033" s="386">
        <f t="shared" si="60"/>
        <v>4579713.324</v>
      </c>
      <c r="AC1033" s="384">
        <v>41464</v>
      </c>
      <c r="AD1033" s="395">
        <v>4579713.32</v>
      </c>
      <c r="AE1033" s="371" t="s">
        <v>7</v>
      </c>
      <c r="AF1033" s="1084">
        <f>SUM(AD1033:AD1036)</f>
        <v>11442581.84</v>
      </c>
      <c r="AG1033" s="1084"/>
      <c r="AH1033" s="358">
        <f t="shared" si="59"/>
        <v>3.9999997243285179E-3</v>
      </c>
      <c r="AI1033" s="1084">
        <f>P1033-SUM(AD1033:AD1036)</f>
        <v>15716.160000000149</v>
      </c>
      <c r="AJ1033" s="1119"/>
      <c r="AK1033" s="1119">
        <f>P1033-V1033</f>
        <v>9014.6899999994785</v>
      </c>
      <c r="AL1033" s="1119">
        <f>V1033-SUM(Z1033:Z1036)-42637.13</f>
        <v>6701.4700000014927</v>
      </c>
      <c r="AM1033" s="1119">
        <f>AK1033+AL1033</f>
        <v>15716.160000000971</v>
      </c>
      <c r="AN1033" s="1203"/>
      <c r="AO1033" s="1204"/>
      <c r="AP1033" s="1204"/>
      <c r="AQ1033" s="1204"/>
    </row>
    <row r="1034" spans="1:43" ht="15" customHeight="1">
      <c r="A1034" s="1076"/>
      <c r="B1034" s="1171"/>
      <c r="C1034" s="1076"/>
      <c r="D1034" s="1076"/>
      <c r="E1034" s="1208"/>
      <c r="F1034" s="1208"/>
      <c r="G1034" s="1076"/>
      <c r="H1034" s="1076"/>
      <c r="I1034" s="1076"/>
      <c r="J1034" s="1076"/>
      <c r="K1034" s="1076"/>
      <c r="L1034" s="1076"/>
      <c r="M1034" s="1209"/>
      <c r="N1034" s="1123"/>
      <c r="O1034" s="1119"/>
      <c r="P1034" s="1119"/>
      <c r="Q1034" s="1119"/>
      <c r="R1034" s="1171"/>
      <c r="S1034" s="1196"/>
      <c r="T1034" s="1196"/>
      <c r="U1034" s="1196"/>
      <c r="V1034" s="1084"/>
      <c r="W1034" s="1119"/>
      <c r="X1034" s="1076"/>
      <c r="Y1034" s="372" t="s">
        <v>1603</v>
      </c>
      <c r="Z1034" s="386">
        <v>3204313</v>
      </c>
      <c r="AA1034" s="386">
        <v>-1281725</v>
      </c>
      <c r="AB1034" s="386">
        <f t="shared" si="60"/>
        <v>1922588</v>
      </c>
      <c r="AC1034" s="384">
        <v>41849</v>
      </c>
      <c r="AD1034" s="395">
        <v>1922588</v>
      </c>
      <c r="AE1034" s="371" t="s">
        <v>7</v>
      </c>
      <c r="AF1034" s="1084"/>
      <c r="AG1034" s="1084"/>
      <c r="AH1034" s="358">
        <f t="shared" si="59"/>
        <v>0</v>
      </c>
      <c r="AI1034" s="1084"/>
      <c r="AJ1034" s="1119"/>
      <c r="AK1034" s="1119"/>
      <c r="AL1034" s="1119"/>
      <c r="AM1034" s="1119"/>
      <c r="AN1034" s="1203"/>
      <c r="AO1034" s="1204"/>
      <c r="AP1034" s="1204"/>
      <c r="AQ1034" s="1204"/>
    </row>
    <row r="1035" spans="1:43" ht="15" customHeight="1">
      <c r="A1035" s="1076"/>
      <c r="B1035" s="1171"/>
      <c r="C1035" s="1076"/>
      <c r="D1035" s="1076"/>
      <c r="E1035" s="1208"/>
      <c r="F1035" s="1208"/>
      <c r="G1035" s="1076"/>
      <c r="H1035" s="1076"/>
      <c r="I1035" s="1076"/>
      <c r="J1035" s="1076"/>
      <c r="K1035" s="1076"/>
      <c r="L1035" s="1076"/>
      <c r="M1035" s="1209"/>
      <c r="N1035" s="1123"/>
      <c r="O1035" s="1119"/>
      <c r="P1035" s="1119"/>
      <c r="Q1035" s="1119"/>
      <c r="R1035" s="1171"/>
      <c r="S1035" s="1196"/>
      <c r="T1035" s="1196"/>
      <c r="U1035" s="1196"/>
      <c r="V1035" s="1084"/>
      <c r="W1035" s="1119"/>
      <c r="X1035" s="1076"/>
      <c r="Y1035" s="372" t="s">
        <v>1606</v>
      </c>
      <c r="Z1035" s="386">
        <v>2462862.86</v>
      </c>
      <c r="AA1035" s="386">
        <v>-985145.29</v>
      </c>
      <c r="AB1035" s="386">
        <f t="shared" si="60"/>
        <v>1477717.5699999998</v>
      </c>
      <c r="AC1035" s="384">
        <v>42088</v>
      </c>
      <c r="AD1035" s="395">
        <v>1477717.57</v>
      </c>
      <c r="AE1035" s="371" t="s">
        <v>7</v>
      </c>
      <c r="AF1035" s="1084"/>
      <c r="AG1035" s="1084"/>
      <c r="AH1035" s="358">
        <f t="shared" si="59"/>
        <v>0</v>
      </c>
      <c r="AI1035" s="1084"/>
      <c r="AJ1035" s="1119"/>
      <c r="AK1035" s="1119"/>
      <c r="AL1035" s="1119"/>
      <c r="AM1035" s="1119"/>
      <c r="AN1035" s="1203"/>
      <c r="AO1035" s="1204"/>
      <c r="AP1035" s="1204"/>
      <c r="AQ1035" s="1204"/>
    </row>
    <row r="1036" spans="1:43" ht="15" customHeight="1">
      <c r="A1036" s="1076"/>
      <c r="B1036" s="1171"/>
      <c r="C1036" s="1076"/>
      <c r="D1036" s="1076"/>
      <c r="E1036" s="1208"/>
      <c r="F1036" s="1208"/>
      <c r="G1036" s="1076"/>
      <c r="H1036" s="1076"/>
      <c r="I1036" s="1076"/>
      <c r="J1036" s="1076"/>
      <c r="K1036" s="1076"/>
      <c r="L1036" s="1076"/>
      <c r="M1036" s="1209"/>
      <c r="N1036" s="1123"/>
      <c r="O1036" s="1119"/>
      <c r="P1036" s="1119"/>
      <c r="Q1036" s="1119"/>
      <c r="R1036" s="1171"/>
      <c r="S1036" s="1196"/>
      <c r="T1036" s="1196"/>
      <c r="U1036" s="1196"/>
      <c r="V1036" s="1084"/>
      <c r="W1036" s="1119"/>
      <c r="X1036" s="1076"/>
      <c r="Y1036" s="372" t="s">
        <v>1609</v>
      </c>
      <c r="Z1036" s="386">
        <v>5732768.8499999996</v>
      </c>
      <c r="AA1036" s="386">
        <v>-2270205.9</v>
      </c>
      <c r="AB1036" s="386">
        <f t="shared" si="60"/>
        <v>3462562.9499999997</v>
      </c>
      <c r="AC1036" s="384">
        <v>42473</v>
      </c>
      <c r="AD1036" s="395">
        <v>3462562.95</v>
      </c>
      <c r="AE1036" s="371" t="s">
        <v>7</v>
      </c>
      <c r="AF1036" s="1084"/>
      <c r="AG1036" s="1084"/>
      <c r="AH1036" s="358">
        <f t="shared" si="59"/>
        <v>0</v>
      </c>
      <c r="AI1036" s="1084"/>
      <c r="AJ1036" s="1119"/>
      <c r="AK1036" s="1119"/>
      <c r="AL1036" s="1119"/>
      <c r="AM1036" s="1119"/>
      <c r="AN1036" s="1203"/>
      <c r="AO1036" s="1204"/>
      <c r="AP1036" s="1204"/>
      <c r="AQ1036" s="1204"/>
    </row>
    <row r="1037" spans="1:43" ht="15" customHeight="1">
      <c r="A1037" s="1076"/>
      <c r="B1037" s="1171"/>
      <c r="C1037" s="1076" t="s">
        <v>45</v>
      </c>
      <c r="D1037" s="1076"/>
      <c r="E1037" s="1208"/>
      <c r="F1037" s="1208"/>
      <c r="G1037" s="1076"/>
      <c r="H1037" s="1076"/>
      <c r="I1037" s="1076"/>
      <c r="J1037" s="1076"/>
      <c r="K1037" s="1076"/>
      <c r="L1037" s="1076"/>
      <c r="M1037" s="1209">
        <v>5</v>
      </c>
      <c r="N1037" s="1123" t="s">
        <v>152</v>
      </c>
      <c r="O1037" s="1119">
        <v>133373960</v>
      </c>
      <c r="P1037" s="1119">
        <v>133373960</v>
      </c>
      <c r="Q1037" s="1119"/>
      <c r="R1037" s="1171">
        <v>41080</v>
      </c>
      <c r="S1037" s="1196">
        <f>T1037</f>
        <v>133373960</v>
      </c>
      <c r="T1037" s="1196">
        <v>133373960</v>
      </c>
      <c r="U1037" s="1196">
        <f>O1037-T1037</f>
        <v>0</v>
      </c>
      <c r="V1037" s="1084">
        <v>133269029.52</v>
      </c>
      <c r="W1037" s="1119"/>
      <c r="X1037" s="1076"/>
      <c r="Y1037" s="372" t="s">
        <v>1596</v>
      </c>
      <c r="Z1037" s="386">
        <v>0</v>
      </c>
      <c r="AA1037" s="386">
        <v>53307611.807999998</v>
      </c>
      <c r="AB1037" s="386">
        <f t="shared" si="60"/>
        <v>53307611.807999998</v>
      </c>
      <c r="AC1037" s="384">
        <v>41464</v>
      </c>
      <c r="AD1037" s="395">
        <v>53307611.810000002</v>
      </c>
      <c r="AE1037" s="371" t="s">
        <v>152</v>
      </c>
      <c r="AF1037" s="1084">
        <f>SUM(AD1037:AD1041)</f>
        <v>133269029.52</v>
      </c>
      <c r="AG1037" s="1084"/>
      <c r="AH1037" s="358">
        <f t="shared" si="59"/>
        <v>-2.0000040531158447E-3</v>
      </c>
      <c r="AI1037" s="1084">
        <f>P1037-SUM(AD1037:AD1041)</f>
        <v>104930.48000000417</v>
      </c>
      <c r="AJ1037" s="1119"/>
      <c r="AK1037" s="1119">
        <f>P1037-V1037</f>
        <v>104930.48000000417</v>
      </c>
      <c r="AL1037" s="1119">
        <v>0</v>
      </c>
      <c r="AM1037" s="1119">
        <f>AK1037+AL1037</f>
        <v>104930.48000000417</v>
      </c>
      <c r="AN1037" s="1203"/>
      <c r="AO1037" s="1204"/>
      <c r="AP1037" s="1204"/>
      <c r="AQ1037" s="1204"/>
    </row>
    <row r="1038" spans="1:43" ht="15" customHeight="1">
      <c r="A1038" s="1076"/>
      <c r="B1038" s="1171"/>
      <c r="C1038" s="1076"/>
      <c r="D1038" s="1076"/>
      <c r="E1038" s="1208"/>
      <c r="F1038" s="1208"/>
      <c r="G1038" s="1076"/>
      <c r="H1038" s="1076"/>
      <c r="I1038" s="1076"/>
      <c r="J1038" s="1076"/>
      <c r="K1038" s="1076"/>
      <c r="L1038" s="1076"/>
      <c r="M1038" s="1209"/>
      <c r="N1038" s="1123"/>
      <c r="O1038" s="1119"/>
      <c r="P1038" s="1119"/>
      <c r="Q1038" s="1119"/>
      <c r="R1038" s="1171"/>
      <c r="S1038" s="1196"/>
      <c r="T1038" s="1196"/>
      <c r="U1038" s="1196"/>
      <c r="V1038" s="1084"/>
      <c r="W1038" s="1119"/>
      <c r="X1038" s="1076"/>
      <c r="Y1038" s="372" t="s">
        <v>1600</v>
      </c>
      <c r="Z1038" s="386">
        <v>63987456</v>
      </c>
      <c r="AA1038" s="386">
        <v>-25594982</v>
      </c>
      <c r="AB1038" s="386">
        <f t="shared" si="60"/>
        <v>38392474</v>
      </c>
      <c r="AC1038" s="384">
        <v>41627</v>
      </c>
      <c r="AD1038" s="395">
        <v>38392474</v>
      </c>
      <c r="AE1038" s="371" t="s">
        <v>152</v>
      </c>
      <c r="AF1038" s="1084"/>
      <c r="AG1038" s="1084"/>
      <c r="AH1038" s="358">
        <f t="shared" si="59"/>
        <v>0</v>
      </c>
      <c r="AI1038" s="1084"/>
      <c r="AJ1038" s="1119"/>
      <c r="AK1038" s="1119"/>
      <c r="AL1038" s="1119"/>
      <c r="AM1038" s="1119"/>
      <c r="AN1038" s="1203"/>
      <c r="AO1038" s="1204"/>
      <c r="AP1038" s="1204"/>
      <c r="AQ1038" s="1204"/>
    </row>
    <row r="1039" spans="1:43" ht="15" customHeight="1">
      <c r="A1039" s="1076"/>
      <c r="B1039" s="1171"/>
      <c r="C1039" s="1076"/>
      <c r="D1039" s="1076"/>
      <c r="E1039" s="1208"/>
      <c r="F1039" s="1208"/>
      <c r="G1039" s="1076"/>
      <c r="H1039" s="1076"/>
      <c r="I1039" s="1076"/>
      <c r="J1039" s="1076"/>
      <c r="K1039" s="1076"/>
      <c r="L1039" s="1076"/>
      <c r="M1039" s="1209"/>
      <c r="N1039" s="1123"/>
      <c r="O1039" s="1119"/>
      <c r="P1039" s="1119"/>
      <c r="Q1039" s="1119"/>
      <c r="R1039" s="1171"/>
      <c r="S1039" s="1196"/>
      <c r="T1039" s="1196"/>
      <c r="U1039" s="1196"/>
      <c r="V1039" s="1084"/>
      <c r="W1039" s="1119"/>
      <c r="X1039" s="1076"/>
      <c r="Y1039" s="372" t="s">
        <v>1602</v>
      </c>
      <c r="Z1039" s="386">
        <v>33326800</v>
      </c>
      <c r="AA1039" s="386">
        <v>-13330720</v>
      </c>
      <c r="AB1039" s="386">
        <f t="shared" si="60"/>
        <v>19996080</v>
      </c>
      <c r="AC1039" s="384">
        <v>41849</v>
      </c>
      <c r="AD1039" s="395">
        <v>19996080</v>
      </c>
      <c r="AE1039" s="371" t="s">
        <v>152</v>
      </c>
      <c r="AF1039" s="1084"/>
      <c r="AG1039" s="1084"/>
      <c r="AH1039" s="358">
        <f t="shared" si="59"/>
        <v>0</v>
      </c>
      <c r="AI1039" s="1084"/>
      <c r="AJ1039" s="1119"/>
      <c r="AK1039" s="1119"/>
      <c r="AL1039" s="1119"/>
      <c r="AM1039" s="1119"/>
      <c r="AN1039" s="1203"/>
      <c r="AO1039" s="1204"/>
      <c r="AP1039" s="1204"/>
      <c r="AQ1039" s="1204"/>
    </row>
    <row r="1040" spans="1:43" ht="15" customHeight="1">
      <c r="A1040" s="1076"/>
      <c r="B1040" s="1171"/>
      <c r="C1040" s="1076"/>
      <c r="D1040" s="1076"/>
      <c r="E1040" s="1208"/>
      <c r="F1040" s="1208"/>
      <c r="G1040" s="1076"/>
      <c r="H1040" s="1076"/>
      <c r="I1040" s="1076"/>
      <c r="J1040" s="1076"/>
      <c r="K1040" s="1076"/>
      <c r="L1040" s="1076"/>
      <c r="M1040" s="1209"/>
      <c r="N1040" s="1123"/>
      <c r="O1040" s="1119"/>
      <c r="P1040" s="1119"/>
      <c r="Q1040" s="1119"/>
      <c r="R1040" s="1171"/>
      <c r="S1040" s="1196"/>
      <c r="T1040" s="1196"/>
      <c r="U1040" s="1196"/>
      <c r="V1040" s="1084"/>
      <c r="W1040" s="1119"/>
      <c r="X1040" s="1076"/>
      <c r="Y1040" s="372" t="s">
        <v>1604</v>
      </c>
      <c r="Z1040" s="386">
        <v>22662224</v>
      </c>
      <c r="AA1040" s="386">
        <v>-9064890</v>
      </c>
      <c r="AB1040" s="386">
        <f t="shared" si="60"/>
        <v>13597334</v>
      </c>
      <c r="AC1040" s="384">
        <v>42088</v>
      </c>
      <c r="AD1040" s="395">
        <v>13597334</v>
      </c>
      <c r="AE1040" s="371" t="s">
        <v>152</v>
      </c>
      <c r="AF1040" s="1084"/>
      <c r="AG1040" s="1084"/>
      <c r="AH1040" s="358">
        <f t="shared" si="59"/>
        <v>0</v>
      </c>
      <c r="AI1040" s="1084"/>
      <c r="AJ1040" s="1119"/>
      <c r="AK1040" s="1119"/>
      <c r="AL1040" s="1119"/>
      <c r="AM1040" s="1119"/>
      <c r="AN1040" s="1203"/>
      <c r="AO1040" s="1204"/>
      <c r="AP1040" s="1204"/>
      <c r="AQ1040" s="1204"/>
    </row>
    <row r="1041" spans="1:43" ht="15" customHeight="1">
      <c r="A1041" s="1076"/>
      <c r="B1041" s="1171"/>
      <c r="C1041" s="1076"/>
      <c r="D1041" s="1076"/>
      <c r="E1041" s="1208"/>
      <c r="F1041" s="1208"/>
      <c r="G1041" s="1076"/>
      <c r="H1041" s="1076"/>
      <c r="I1041" s="1076"/>
      <c r="J1041" s="1076"/>
      <c r="K1041" s="1076"/>
      <c r="L1041" s="1076"/>
      <c r="M1041" s="1209"/>
      <c r="N1041" s="1123"/>
      <c r="O1041" s="1119"/>
      <c r="P1041" s="1119"/>
      <c r="Q1041" s="1119"/>
      <c r="R1041" s="1171"/>
      <c r="S1041" s="1196"/>
      <c r="T1041" s="1196"/>
      <c r="U1041" s="1196"/>
      <c r="V1041" s="1084"/>
      <c r="W1041" s="1119"/>
      <c r="X1041" s="1076"/>
      <c r="Y1041" s="372" t="s">
        <v>1610</v>
      </c>
      <c r="Z1041" s="386">
        <v>13330720</v>
      </c>
      <c r="AA1041" s="386">
        <v>-5355190.29</v>
      </c>
      <c r="AB1041" s="386">
        <f t="shared" si="60"/>
        <v>7975529.71</v>
      </c>
      <c r="AC1041" s="384">
        <v>42473</v>
      </c>
      <c r="AD1041" s="395">
        <v>7975529.71</v>
      </c>
      <c r="AE1041" s="371" t="s">
        <v>152</v>
      </c>
      <c r="AF1041" s="1084"/>
      <c r="AG1041" s="1084"/>
      <c r="AH1041" s="358">
        <f t="shared" si="59"/>
        <v>0</v>
      </c>
      <c r="AI1041" s="1084"/>
      <c r="AJ1041" s="1119"/>
      <c r="AK1041" s="1119"/>
      <c r="AL1041" s="1119"/>
      <c r="AM1041" s="1119"/>
      <c r="AN1041" s="1203"/>
      <c r="AO1041" s="1204"/>
      <c r="AP1041" s="1204"/>
      <c r="AQ1041" s="1204"/>
    </row>
    <row r="1042" spans="1:43" ht="15" customHeight="1">
      <c r="A1042" s="1076"/>
      <c r="B1042" s="1171"/>
      <c r="C1042" s="1076" t="s">
        <v>24</v>
      </c>
      <c r="D1042" s="1076"/>
      <c r="E1042" s="1208"/>
      <c r="F1042" s="1208"/>
      <c r="G1042" s="1076"/>
      <c r="H1042" s="1076"/>
      <c r="I1042" s="1076"/>
      <c r="J1042" s="1076"/>
      <c r="K1042" s="1076"/>
      <c r="L1042" s="1076"/>
      <c r="M1042" s="1209">
        <v>258</v>
      </c>
      <c r="N1042" s="1123" t="s">
        <v>7</v>
      </c>
      <c r="O1042" s="1119">
        <v>4499221</v>
      </c>
      <c r="P1042" s="1119">
        <v>4499221</v>
      </c>
      <c r="Q1042" s="1119"/>
      <c r="R1042" s="1171">
        <v>41212</v>
      </c>
      <c r="S1042" s="1196">
        <f>T1042</f>
        <v>4499221</v>
      </c>
      <c r="T1042" s="1196">
        <v>4499221</v>
      </c>
      <c r="U1042" s="1196">
        <f>O1042-T1042</f>
        <v>0</v>
      </c>
      <c r="V1042" s="1084">
        <v>4495681.29</v>
      </c>
      <c r="W1042" s="1119"/>
      <c r="X1042" s="1076"/>
      <c r="Y1042" s="372" t="s">
        <v>1596</v>
      </c>
      <c r="Z1042" s="386">
        <v>0</v>
      </c>
      <c r="AA1042" s="386">
        <v>1798272.5160000001</v>
      </c>
      <c r="AB1042" s="386">
        <f t="shared" si="60"/>
        <v>1798272.5160000001</v>
      </c>
      <c r="AC1042" s="384">
        <v>41464</v>
      </c>
      <c r="AD1042" s="395">
        <v>1798272.52</v>
      </c>
      <c r="AE1042" s="371" t="s">
        <v>7</v>
      </c>
      <c r="AF1042" s="1084">
        <f>SUM(AD1042:AD1045)</f>
        <v>4495681.29</v>
      </c>
      <c r="AG1042" s="1084"/>
      <c r="AH1042" s="358">
        <f t="shared" ref="AH1042:AH1057" si="61">AB1042-AD1042</f>
        <v>-3.9999999571591616E-3</v>
      </c>
      <c r="AI1042" s="1084">
        <f>P1042-SUM(AD1042:AD1045)</f>
        <v>3539.7099999999627</v>
      </c>
      <c r="AJ1042" s="1119"/>
      <c r="AK1042" s="1119">
        <f>P1042-V1042</f>
        <v>3539.7099999999627</v>
      </c>
      <c r="AL1042" s="1119">
        <f>V1042-SUM(Z1042:Z1045)</f>
        <v>0</v>
      </c>
      <c r="AM1042" s="1119">
        <f>AK1042+AL1042</f>
        <v>3539.7099999999627</v>
      </c>
      <c r="AN1042" s="1203"/>
      <c r="AO1042" s="1204"/>
      <c r="AP1042" s="1204"/>
      <c r="AQ1042" s="1204"/>
    </row>
    <row r="1043" spans="1:43" ht="15" customHeight="1">
      <c r="A1043" s="1076"/>
      <c r="B1043" s="1171"/>
      <c r="C1043" s="1076"/>
      <c r="D1043" s="1076"/>
      <c r="E1043" s="1208"/>
      <c r="F1043" s="1208"/>
      <c r="G1043" s="1076"/>
      <c r="H1043" s="1076"/>
      <c r="I1043" s="1076"/>
      <c r="J1043" s="1076"/>
      <c r="K1043" s="1076"/>
      <c r="L1043" s="1076"/>
      <c r="M1043" s="1209"/>
      <c r="N1043" s="1123"/>
      <c r="O1043" s="1119"/>
      <c r="P1043" s="1119"/>
      <c r="Q1043" s="1119"/>
      <c r="R1043" s="1171"/>
      <c r="S1043" s="1196"/>
      <c r="T1043" s="1196"/>
      <c r="U1043" s="1196"/>
      <c r="V1043" s="1084"/>
      <c r="W1043" s="1119"/>
      <c r="X1043" s="1076"/>
      <c r="Y1043" s="372" t="s">
        <v>1603</v>
      </c>
      <c r="Z1043" s="386">
        <v>1258207</v>
      </c>
      <c r="AA1043" s="386">
        <v>-503283</v>
      </c>
      <c r="AB1043" s="386">
        <f t="shared" si="60"/>
        <v>754924</v>
      </c>
      <c r="AC1043" s="384">
        <v>41849</v>
      </c>
      <c r="AD1043" s="395">
        <v>754924</v>
      </c>
      <c r="AE1043" s="371" t="s">
        <v>7</v>
      </c>
      <c r="AF1043" s="1084"/>
      <c r="AG1043" s="1084"/>
      <c r="AH1043" s="358">
        <f t="shared" si="61"/>
        <v>0</v>
      </c>
      <c r="AI1043" s="1084"/>
      <c r="AJ1043" s="1119"/>
      <c r="AK1043" s="1119"/>
      <c r="AL1043" s="1119"/>
      <c r="AM1043" s="1119"/>
      <c r="AN1043" s="1203"/>
      <c r="AO1043" s="1204"/>
      <c r="AP1043" s="1204"/>
      <c r="AQ1043" s="1204"/>
    </row>
    <row r="1044" spans="1:43" ht="15" customHeight="1">
      <c r="A1044" s="1076"/>
      <c r="B1044" s="1171"/>
      <c r="C1044" s="1076"/>
      <c r="D1044" s="1076"/>
      <c r="E1044" s="1208"/>
      <c r="F1044" s="1208"/>
      <c r="G1044" s="1076"/>
      <c r="H1044" s="1076"/>
      <c r="I1044" s="1076"/>
      <c r="J1044" s="1076"/>
      <c r="K1044" s="1076"/>
      <c r="L1044" s="1076"/>
      <c r="M1044" s="1209"/>
      <c r="N1044" s="1123"/>
      <c r="O1044" s="1119"/>
      <c r="P1044" s="1119"/>
      <c r="Q1044" s="1119"/>
      <c r="R1044" s="1171"/>
      <c r="S1044" s="1196"/>
      <c r="T1044" s="1196"/>
      <c r="U1044" s="1196"/>
      <c r="V1044" s="1084"/>
      <c r="W1044" s="1119"/>
      <c r="X1044" s="1076"/>
      <c r="Y1044" s="372" t="s">
        <v>1606</v>
      </c>
      <c r="Z1044" s="386">
        <v>967069.14</v>
      </c>
      <c r="AA1044" s="386">
        <v>-386827.71</v>
      </c>
      <c r="AB1044" s="386">
        <f t="shared" si="60"/>
        <v>580241.42999999993</v>
      </c>
      <c r="AC1044" s="384">
        <v>42088</v>
      </c>
      <c r="AD1044" s="395">
        <v>580241.43000000005</v>
      </c>
      <c r="AE1044" s="371" t="s">
        <v>7</v>
      </c>
      <c r="AF1044" s="1084"/>
      <c r="AG1044" s="1084"/>
      <c r="AH1044" s="358">
        <f t="shared" si="61"/>
        <v>0</v>
      </c>
      <c r="AI1044" s="1084"/>
      <c r="AJ1044" s="1119"/>
      <c r="AK1044" s="1119"/>
      <c r="AL1044" s="1119"/>
      <c r="AM1044" s="1119"/>
      <c r="AN1044" s="1203"/>
      <c r="AO1044" s="1204"/>
      <c r="AP1044" s="1204"/>
      <c r="AQ1044" s="1204"/>
    </row>
    <row r="1045" spans="1:43" ht="15" customHeight="1">
      <c r="A1045" s="1076"/>
      <c r="B1045" s="1171"/>
      <c r="C1045" s="1076"/>
      <c r="D1045" s="1076"/>
      <c r="E1045" s="1208"/>
      <c r="F1045" s="1208"/>
      <c r="G1045" s="1076"/>
      <c r="H1045" s="1076"/>
      <c r="I1045" s="1076"/>
      <c r="J1045" s="1076"/>
      <c r="K1045" s="1076"/>
      <c r="L1045" s="1076"/>
      <c r="M1045" s="1209"/>
      <c r="N1045" s="1123"/>
      <c r="O1045" s="1119"/>
      <c r="P1045" s="1119"/>
      <c r="Q1045" s="1119"/>
      <c r="R1045" s="1171"/>
      <c r="S1045" s="1196"/>
      <c r="T1045" s="1196"/>
      <c r="U1045" s="1196"/>
      <c r="V1045" s="1084"/>
      <c r="W1045" s="1119"/>
      <c r="X1045" s="1076"/>
      <c r="Y1045" s="372" t="s">
        <v>1609</v>
      </c>
      <c r="Z1045" s="386">
        <v>2270405.15</v>
      </c>
      <c r="AA1045" s="386">
        <v>-908161.81</v>
      </c>
      <c r="AB1045" s="386">
        <f t="shared" si="60"/>
        <v>1362243.3399999999</v>
      </c>
      <c r="AC1045" s="384">
        <v>42473</v>
      </c>
      <c r="AD1045" s="395">
        <v>1362243.34</v>
      </c>
      <c r="AE1045" s="371" t="s">
        <v>7</v>
      </c>
      <c r="AF1045" s="1084"/>
      <c r="AG1045" s="1084"/>
      <c r="AH1045" s="358">
        <f t="shared" si="61"/>
        <v>0</v>
      </c>
      <c r="AI1045" s="1084"/>
      <c r="AJ1045" s="1119"/>
      <c r="AK1045" s="1119"/>
      <c r="AL1045" s="1119"/>
      <c r="AM1045" s="1119"/>
      <c r="AN1045" s="1203"/>
      <c r="AO1045" s="1204"/>
      <c r="AP1045" s="1204"/>
      <c r="AQ1045" s="1204"/>
    </row>
    <row r="1046" spans="1:43" ht="15" customHeight="1">
      <c r="A1046" s="1076"/>
      <c r="B1046" s="1171"/>
      <c r="C1046" s="354" t="s">
        <v>11</v>
      </c>
      <c r="D1046" s="1076"/>
      <c r="E1046" s="1208"/>
      <c r="F1046" s="1208"/>
      <c r="G1046" s="1076"/>
      <c r="H1046" s="1076"/>
      <c r="I1046" s="1076"/>
      <c r="J1046" s="354" t="s">
        <v>67</v>
      </c>
      <c r="K1046" s="1076"/>
      <c r="L1046" s="1076"/>
      <c r="M1046" s="389">
        <v>4</v>
      </c>
      <c r="N1046" s="372" t="s">
        <v>131</v>
      </c>
      <c r="O1046" s="386">
        <v>3069541</v>
      </c>
      <c r="P1046" s="386">
        <v>3069541</v>
      </c>
      <c r="Q1046" s="1119"/>
      <c r="R1046" s="384">
        <v>41795</v>
      </c>
      <c r="S1046" s="390">
        <f>T1046</f>
        <v>3069541</v>
      </c>
      <c r="T1046" s="386">
        <v>3069541</v>
      </c>
      <c r="U1046" s="386">
        <f>O1046-T1046</f>
        <v>0</v>
      </c>
      <c r="V1046" s="358">
        <v>3069541</v>
      </c>
      <c r="W1046" s="1119"/>
      <c r="X1046" s="1076"/>
      <c r="Y1046" s="372" t="s">
        <v>1608</v>
      </c>
      <c r="Z1046" s="386">
        <v>3069541</v>
      </c>
      <c r="AA1046" s="386">
        <v>0</v>
      </c>
      <c r="AB1046" s="386">
        <f t="shared" si="60"/>
        <v>3069541</v>
      </c>
      <c r="AC1046" s="384">
        <v>42081</v>
      </c>
      <c r="AD1046" s="395">
        <v>3069541</v>
      </c>
      <c r="AE1046" s="371" t="s">
        <v>131</v>
      </c>
      <c r="AF1046" s="358">
        <f>AD1046</f>
        <v>3069541</v>
      </c>
      <c r="AG1046" s="1084"/>
      <c r="AH1046" s="358">
        <f t="shared" si="61"/>
        <v>0</v>
      </c>
      <c r="AI1046" s="358">
        <f>P1046-AD1046</f>
        <v>0</v>
      </c>
      <c r="AJ1046" s="1119"/>
      <c r="AK1046" s="386">
        <f>P1046-V1046</f>
        <v>0</v>
      </c>
      <c r="AL1046" s="386">
        <f>V1046-Z1046</f>
        <v>0</v>
      </c>
      <c r="AM1046" s="386">
        <f>AK1046+AL1046</f>
        <v>0</v>
      </c>
      <c r="AN1046" s="1203"/>
      <c r="AO1046" s="1204"/>
      <c r="AP1046" s="1204"/>
      <c r="AQ1046" s="1204"/>
    </row>
    <row r="1047" spans="1:43" ht="15" customHeight="1">
      <c r="A1047" s="1076"/>
      <c r="B1047" s="1171"/>
      <c r="C1047" s="1076" t="s">
        <v>45</v>
      </c>
      <c r="D1047" s="1076"/>
      <c r="E1047" s="1208"/>
      <c r="F1047" s="1208"/>
      <c r="G1047" s="1076"/>
      <c r="H1047" s="1076"/>
      <c r="I1047" s="1076"/>
      <c r="J1047" s="1076" t="s">
        <v>171</v>
      </c>
      <c r="K1047" s="1076"/>
      <c r="L1047" s="1076"/>
      <c r="M1047" s="1209">
        <v>311</v>
      </c>
      <c r="N1047" s="1123" t="s">
        <v>137</v>
      </c>
      <c r="O1047" s="1119">
        <v>48926798</v>
      </c>
      <c r="P1047" s="1119">
        <v>48926798</v>
      </c>
      <c r="Q1047" s="1119"/>
      <c r="R1047" s="1171">
        <v>41955</v>
      </c>
      <c r="S1047" s="1196">
        <f>T1047</f>
        <v>48926798</v>
      </c>
      <c r="T1047" s="1119">
        <v>48926798</v>
      </c>
      <c r="U1047" s="1119">
        <f>O1047-T1047</f>
        <v>0</v>
      </c>
      <c r="V1047" s="1084">
        <v>48926798</v>
      </c>
      <c r="W1047" s="1119"/>
      <c r="X1047" s="1076"/>
      <c r="Y1047" s="372" t="s">
        <v>1611</v>
      </c>
      <c r="Z1047" s="386">
        <v>12231700</v>
      </c>
      <c r="AA1047" s="386">
        <v>0</v>
      </c>
      <c r="AB1047" s="386">
        <f t="shared" si="60"/>
        <v>12231700</v>
      </c>
      <c r="AC1047" s="384">
        <v>42366</v>
      </c>
      <c r="AD1047" s="395">
        <v>12231700</v>
      </c>
      <c r="AE1047" s="371" t="s">
        <v>137</v>
      </c>
      <c r="AF1047" s="1084">
        <f>AD1047+AD1048</f>
        <v>48926797</v>
      </c>
      <c r="AG1047" s="1084"/>
      <c r="AH1047" s="358">
        <f t="shared" si="61"/>
        <v>0</v>
      </c>
      <c r="AI1047" s="1084">
        <f>P1047-SUM(AD1047:AD1048)</f>
        <v>1</v>
      </c>
      <c r="AJ1047" s="1119"/>
      <c r="AK1047" s="1119">
        <f>P1047-V1047</f>
        <v>0</v>
      </c>
      <c r="AL1047" s="1119">
        <f>V1047-Z1047-Z1048</f>
        <v>1</v>
      </c>
      <c r="AM1047" s="1119">
        <f>AK1047+AL1047</f>
        <v>1</v>
      </c>
      <c r="AN1047" s="1203"/>
      <c r="AO1047" s="1204"/>
      <c r="AP1047" s="1204"/>
      <c r="AQ1047" s="1204"/>
    </row>
    <row r="1048" spans="1:43" ht="15" customHeight="1">
      <c r="A1048" s="1076"/>
      <c r="B1048" s="1171"/>
      <c r="C1048" s="1076"/>
      <c r="D1048" s="1076"/>
      <c r="E1048" s="1208"/>
      <c r="F1048" s="1208"/>
      <c r="G1048" s="1076"/>
      <c r="H1048" s="1076"/>
      <c r="I1048" s="1076"/>
      <c r="J1048" s="1076"/>
      <c r="K1048" s="1076"/>
      <c r="L1048" s="1076"/>
      <c r="M1048" s="1209"/>
      <c r="N1048" s="1123"/>
      <c r="O1048" s="1119"/>
      <c r="P1048" s="1119"/>
      <c r="Q1048" s="1119"/>
      <c r="R1048" s="1171"/>
      <c r="S1048" s="1196"/>
      <c r="T1048" s="1119"/>
      <c r="U1048" s="1119"/>
      <c r="V1048" s="1084"/>
      <c r="W1048" s="1119"/>
      <c r="X1048" s="1076"/>
      <c r="Y1048" s="372" t="s">
        <v>1614</v>
      </c>
      <c r="Z1048" s="386">
        <v>36695097</v>
      </c>
      <c r="AA1048" s="386">
        <v>0</v>
      </c>
      <c r="AB1048" s="386">
        <f t="shared" si="60"/>
        <v>36695097</v>
      </c>
      <c r="AC1048" s="384">
        <v>42922</v>
      </c>
      <c r="AD1048" s="395">
        <v>36695097</v>
      </c>
      <c r="AE1048" s="371" t="s">
        <v>137</v>
      </c>
      <c r="AF1048" s="1084"/>
      <c r="AG1048" s="1084"/>
      <c r="AH1048" s="358">
        <f t="shared" si="61"/>
        <v>0</v>
      </c>
      <c r="AI1048" s="1084"/>
      <c r="AJ1048" s="1119"/>
      <c r="AK1048" s="1119"/>
      <c r="AL1048" s="1119"/>
      <c r="AM1048" s="1119"/>
      <c r="AN1048" s="1203"/>
      <c r="AO1048" s="1204"/>
      <c r="AP1048" s="1204"/>
      <c r="AQ1048" s="1204"/>
    </row>
    <row r="1049" spans="1:43" ht="15" customHeight="1">
      <c r="A1049" s="1076"/>
      <c r="B1049" s="1171"/>
      <c r="C1049" s="354" t="s">
        <v>24</v>
      </c>
      <c r="D1049" s="1076"/>
      <c r="E1049" s="1208"/>
      <c r="F1049" s="1208"/>
      <c r="G1049" s="1076"/>
      <c r="H1049" s="1076"/>
      <c r="I1049" s="1076"/>
      <c r="J1049" s="354" t="s">
        <v>172</v>
      </c>
      <c r="K1049" s="1076"/>
      <c r="L1049" s="1076"/>
      <c r="M1049" s="372">
        <v>11</v>
      </c>
      <c r="N1049" s="372" t="s">
        <v>147</v>
      </c>
      <c r="O1049" s="386">
        <v>1469764</v>
      </c>
      <c r="P1049" s="386">
        <v>1469764</v>
      </c>
      <c r="Q1049" s="1119"/>
      <c r="R1049" s="384">
        <v>42044</v>
      </c>
      <c r="S1049" s="390">
        <f>T1049</f>
        <v>1469764</v>
      </c>
      <c r="T1049" s="386">
        <v>1469764</v>
      </c>
      <c r="U1049" s="386">
        <f>O1049-T1049</f>
        <v>0</v>
      </c>
      <c r="V1049" s="358">
        <v>1469764</v>
      </c>
      <c r="W1049" s="1119"/>
      <c r="X1049" s="1076"/>
      <c r="Y1049" s="372" t="s">
        <v>1612</v>
      </c>
      <c r="Z1049" s="386">
        <v>1469764</v>
      </c>
      <c r="AA1049" s="386">
        <v>0</v>
      </c>
      <c r="AB1049" s="386">
        <f t="shared" si="60"/>
        <v>1469764</v>
      </c>
      <c r="AC1049" s="384">
        <v>42366</v>
      </c>
      <c r="AD1049" s="395">
        <v>1469764</v>
      </c>
      <c r="AE1049" s="371" t="s">
        <v>147</v>
      </c>
      <c r="AF1049" s="358">
        <f>AD1049</f>
        <v>1469764</v>
      </c>
      <c r="AG1049" s="1084"/>
      <c r="AH1049" s="358">
        <f t="shared" si="61"/>
        <v>0</v>
      </c>
      <c r="AI1049" s="358">
        <f>P1049-AD1049</f>
        <v>0</v>
      </c>
      <c r="AJ1049" s="1119"/>
      <c r="AK1049" s="386">
        <f>P1049-V1049</f>
        <v>0</v>
      </c>
      <c r="AL1049" s="386">
        <f>V1049-Z1049</f>
        <v>0</v>
      </c>
      <c r="AM1049" s="386">
        <f>AK1049+AL1049</f>
        <v>0</v>
      </c>
      <c r="AN1049" s="1203"/>
      <c r="AO1049" s="1204"/>
      <c r="AP1049" s="1204"/>
      <c r="AQ1049" s="1204"/>
    </row>
    <row r="1050" spans="1:43" ht="15" customHeight="1">
      <c r="A1050" s="1076" t="s">
        <v>1548</v>
      </c>
      <c r="B1050" s="1171">
        <v>41473</v>
      </c>
      <c r="C1050" s="1076" t="s">
        <v>1297</v>
      </c>
      <c r="D1050" s="1076" t="s">
        <v>1481</v>
      </c>
      <c r="E1050" s="1208">
        <v>76305303</v>
      </c>
      <c r="F1050" s="1208"/>
      <c r="G1050" s="1076" t="s">
        <v>1549</v>
      </c>
      <c r="H1050" s="1076" t="s">
        <v>71</v>
      </c>
      <c r="I1050" s="1076" t="s">
        <v>1221</v>
      </c>
      <c r="J1050" s="1076" t="s">
        <v>66</v>
      </c>
      <c r="K1050" s="1076" t="s">
        <v>183</v>
      </c>
      <c r="L1050" s="1076" t="s">
        <v>1555</v>
      </c>
      <c r="M1050" s="1245">
        <v>275</v>
      </c>
      <c r="N1050" s="1123" t="s">
        <v>7</v>
      </c>
      <c r="O1050" s="1119">
        <v>120451283</v>
      </c>
      <c r="P1050" s="1119">
        <v>120451283</v>
      </c>
      <c r="Q1050" s="1119">
        <f>P1050+P1052+P1054</f>
        <v>261987320</v>
      </c>
      <c r="R1050" s="1171">
        <v>41309</v>
      </c>
      <c r="S1050" s="1196">
        <f>T1050</f>
        <v>120451283</v>
      </c>
      <c r="T1050" s="1196">
        <v>120451283</v>
      </c>
      <c r="U1050" s="1196">
        <f>O1050-T1050</f>
        <v>0</v>
      </c>
      <c r="V1050" s="1119">
        <v>118828317</v>
      </c>
      <c r="W1050" s="1119">
        <f>V1050+V1052+V1054</f>
        <v>259231023</v>
      </c>
      <c r="X1050" s="1076" t="s">
        <v>1550</v>
      </c>
      <c r="Y1050" s="372" t="s">
        <v>1551</v>
      </c>
      <c r="Z1050" s="386">
        <v>106943202</v>
      </c>
      <c r="AA1050" s="386">
        <v>0</v>
      </c>
      <c r="AB1050" s="386">
        <f t="shared" si="60"/>
        <v>106943202</v>
      </c>
      <c r="AC1050" s="384">
        <v>41989</v>
      </c>
      <c r="AD1050" s="395">
        <v>106943202</v>
      </c>
      <c r="AE1050" s="395" t="s">
        <v>7</v>
      </c>
      <c r="AF1050" s="1084">
        <f>SUM(AD1050:AD1051)</f>
        <v>118677169</v>
      </c>
      <c r="AG1050" s="1084">
        <f>AF1050+AF1052+AF1054</f>
        <v>253137342</v>
      </c>
      <c r="AH1050" s="358">
        <f t="shared" si="61"/>
        <v>0</v>
      </c>
      <c r="AI1050" s="1084">
        <f>O1050-AD1050-AD1051</f>
        <v>1774114</v>
      </c>
      <c r="AJ1050" s="1119">
        <f>SUM(Z1050:Z1054)-SUM(AD1050:AD1054)</f>
        <v>0</v>
      </c>
      <c r="AK1050" s="1119">
        <f>P1050-V1050</f>
        <v>1622966</v>
      </c>
      <c r="AL1050" s="1119">
        <f>V1050-SUM(Z1050:Z1051)</f>
        <v>151148</v>
      </c>
      <c r="AM1050" s="1119">
        <f>AK1050+AL1050</f>
        <v>1774114</v>
      </c>
      <c r="AN1050" s="1204" t="s">
        <v>1553</v>
      </c>
      <c r="AO1050" s="1204" t="s">
        <v>1556</v>
      </c>
      <c r="AP1050" s="1204" t="s">
        <v>194</v>
      </c>
      <c r="AQ1050" s="1204" t="s">
        <v>1414</v>
      </c>
    </row>
    <row r="1051" spans="1:43" ht="15" customHeight="1">
      <c r="A1051" s="1076"/>
      <c r="B1051" s="1171"/>
      <c r="C1051" s="1076"/>
      <c r="D1051" s="1076"/>
      <c r="E1051" s="1208"/>
      <c r="F1051" s="1208"/>
      <c r="G1051" s="1076"/>
      <c r="H1051" s="1076"/>
      <c r="I1051" s="1076"/>
      <c r="J1051" s="1076"/>
      <c r="K1051" s="1076"/>
      <c r="L1051" s="1076"/>
      <c r="M1051" s="1245"/>
      <c r="N1051" s="1123"/>
      <c r="O1051" s="1119"/>
      <c r="P1051" s="1119"/>
      <c r="Q1051" s="1119"/>
      <c r="R1051" s="1171"/>
      <c r="S1051" s="1196"/>
      <c r="T1051" s="1196"/>
      <c r="U1051" s="1196"/>
      <c r="V1051" s="1119"/>
      <c r="W1051" s="1119"/>
      <c r="X1051" s="1076"/>
      <c r="Y1051" s="372" t="s">
        <v>1554</v>
      </c>
      <c r="Z1051" s="386">
        <v>11733967</v>
      </c>
      <c r="AA1051" s="386">
        <v>0</v>
      </c>
      <c r="AB1051" s="386">
        <f t="shared" si="60"/>
        <v>11733967</v>
      </c>
      <c r="AC1051" s="384">
        <v>42983</v>
      </c>
      <c r="AD1051" s="395">
        <v>11733967</v>
      </c>
      <c r="AE1051" s="395" t="s">
        <v>7</v>
      </c>
      <c r="AF1051" s="1084"/>
      <c r="AG1051" s="1084"/>
      <c r="AH1051" s="358">
        <f t="shared" si="61"/>
        <v>0</v>
      </c>
      <c r="AI1051" s="1084"/>
      <c r="AJ1051" s="1119"/>
      <c r="AK1051" s="1119"/>
      <c r="AL1051" s="1119"/>
      <c r="AM1051" s="1119"/>
      <c r="AN1051" s="1204"/>
      <c r="AO1051" s="1204"/>
      <c r="AP1051" s="1204"/>
      <c r="AQ1051" s="1204"/>
    </row>
    <row r="1052" spans="1:43" ht="15" customHeight="1">
      <c r="A1052" s="1076"/>
      <c r="B1052" s="1171"/>
      <c r="C1052" s="1076" t="s">
        <v>42</v>
      </c>
      <c r="D1052" s="1076"/>
      <c r="E1052" s="1208"/>
      <c r="F1052" s="1208"/>
      <c r="G1052" s="1076"/>
      <c r="H1052" s="1076"/>
      <c r="I1052" s="1076"/>
      <c r="J1052" s="1076"/>
      <c r="K1052" s="1076"/>
      <c r="L1052" s="1076"/>
      <c r="M1052" s="1245">
        <v>249</v>
      </c>
      <c r="N1052" s="1123" t="s">
        <v>137</v>
      </c>
      <c r="O1052" s="1119">
        <v>84112150</v>
      </c>
      <c r="P1052" s="1119">
        <v>84112150</v>
      </c>
      <c r="Q1052" s="1119"/>
      <c r="R1052" s="1171">
        <v>41165</v>
      </c>
      <c r="S1052" s="1196">
        <f>T1052</f>
        <v>84112150</v>
      </c>
      <c r="T1052" s="1196">
        <v>84112150</v>
      </c>
      <c r="U1052" s="1196">
        <f>O1052-T1052</f>
        <v>0</v>
      </c>
      <c r="V1052" s="1119">
        <v>82978819</v>
      </c>
      <c r="W1052" s="1119"/>
      <c r="X1052" s="1076"/>
      <c r="Y1052" s="372" t="s">
        <v>1552</v>
      </c>
      <c r="Z1052" s="386">
        <v>74679343</v>
      </c>
      <c r="AA1052" s="386">
        <v>0</v>
      </c>
      <c r="AB1052" s="386">
        <f t="shared" si="60"/>
        <v>74679343</v>
      </c>
      <c r="AC1052" s="384">
        <v>41989</v>
      </c>
      <c r="AD1052" s="395">
        <v>74679343</v>
      </c>
      <c r="AE1052" s="395" t="s">
        <v>137</v>
      </c>
      <c r="AF1052" s="1084">
        <f>SUM(AD1052:AD1053)</f>
        <v>82978819</v>
      </c>
      <c r="AG1052" s="1084"/>
      <c r="AH1052" s="358">
        <f t="shared" si="61"/>
        <v>0</v>
      </c>
      <c r="AI1052" s="1084">
        <f>O1052-AD1052-AD1053</f>
        <v>1133331</v>
      </c>
      <c r="AJ1052" s="1119"/>
      <c r="AK1052" s="1119">
        <f>P1052-V1052</f>
        <v>1133331</v>
      </c>
      <c r="AL1052" s="1119">
        <f>V1052-SUM(Z1052:Z1053)</f>
        <v>0</v>
      </c>
      <c r="AM1052" s="1119">
        <f>AK1052+AL1052</f>
        <v>1133331</v>
      </c>
      <c r="AN1052" s="1204"/>
      <c r="AO1052" s="1204"/>
      <c r="AP1052" s="1204"/>
      <c r="AQ1052" s="1204"/>
    </row>
    <row r="1053" spans="1:43" ht="15" customHeight="1">
      <c r="A1053" s="1076"/>
      <c r="B1053" s="1171"/>
      <c r="C1053" s="1076"/>
      <c r="D1053" s="1076"/>
      <c r="E1053" s="1208"/>
      <c r="F1053" s="1208"/>
      <c r="G1053" s="1076"/>
      <c r="H1053" s="1076"/>
      <c r="I1053" s="1076"/>
      <c r="J1053" s="1076"/>
      <c r="K1053" s="1076"/>
      <c r="L1053" s="1076"/>
      <c r="M1053" s="1245"/>
      <c r="N1053" s="1123"/>
      <c r="O1053" s="1119"/>
      <c r="P1053" s="1119"/>
      <c r="Q1053" s="1119"/>
      <c r="R1053" s="1171"/>
      <c r="S1053" s="1196"/>
      <c r="T1053" s="1196"/>
      <c r="U1053" s="1196"/>
      <c r="V1053" s="1119"/>
      <c r="W1053" s="1119"/>
      <c r="X1053" s="1076"/>
      <c r="Y1053" s="372" t="s">
        <v>1554</v>
      </c>
      <c r="Z1053" s="386">
        <v>8299476</v>
      </c>
      <c r="AA1053" s="386">
        <v>0</v>
      </c>
      <c r="AB1053" s="386">
        <f t="shared" si="60"/>
        <v>8299476</v>
      </c>
      <c r="AC1053" s="384">
        <v>42983</v>
      </c>
      <c r="AD1053" s="395">
        <v>8299476</v>
      </c>
      <c r="AE1053" s="395" t="s">
        <v>137</v>
      </c>
      <c r="AF1053" s="1084"/>
      <c r="AG1053" s="1084"/>
      <c r="AH1053" s="358">
        <f t="shared" si="61"/>
        <v>0</v>
      </c>
      <c r="AI1053" s="1084"/>
      <c r="AJ1053" s="1119"/>
      <c r="AK1053" s="1119"/>
      <c r="AL1053" s="1119"/>
      <c r="AM1053" s="1119"/>
      <c r="AN1053" s="1204"/>
      <c r="AO1053" s="1204"/>
      <c r="AP1053" s="1204"/>
      <c r="AQ1053" s="1204"/>
    </row>
    <row r="1054" spans="1:43" ht="15" customHeight="1">
      <c r="A1054" s="1076"/>
      <c r="B1054" s="1171"/>
      <c r="C1054" s="354" t="s">
        <v>1297</v>
      </c>
      <c r="D1054" s="1076"/>
      <c r="E1054" s="1208"/>
      <c r="F1054" s="1208"/>
      <c r="G1054" s="1076"/>
      <c r="H1054" s="1076"/>
      <c r="I1054" s="1076"/>
      <c r="J1054" s="354" t="s">
        <v>67</v>
      </c>
      <c r="K1054" s="1076"/>
      <c r="L1054" s="1076"/>
      <c r="M1054" s="404">
        <v>7</v>
      </c>
      <c r="N1054" s="372" t="s">
        <v>144</v>
      </c>
      <c r="O1054" s="386">
        <v>57423887</v>
      </c>
      <c r="P1054" s="386">
        <v>57423887</v>
      </c>
      <c r="Q1054" s="1119"/>
      <c r="R1054" s="384">
        <v>42173</v>
      </c>
      <c r="S1054" s="390">
        <f>T1054</f>
        <v>57423887</v>
      </c>
      <c r="T1054" s="386">
        <v>57423887</v>
      </c>
      <c r="U1054" s="386">
        <f>O1054-T1054</f>
        <v>0</v>
      </c>
      <c r="V1054" s="386">
        <v>57423887</v>
      </c>
      <c r="W1054" s="1119"/>
      <c r="X1054" s="1076"/>
      <c r="Y1054" s="372" t="s">
        <v>1554</v>
      </c>
      <c r="Z1054" s="386">
        <v>51481354</v>
      </c>
      <c r="AA1054" s="386">
        <v>0</v>
      </c>
      <c r="AB1054" s="386">
        <f t="shared" si="60"/>
        <v>51481354</v>
      </c>
      <c r="AC1054" s="384">
        <v>42983</v>
      </c>
      <c r="AD1054" s="395">
        <v>51481354</v>
      </c>
      <c r="AE1054" s="395" t="s">
        <v>144</v>
      </c>
      <c r="AF1054" s="358">
        <f>AD1054</f>
        <v>51481354</v>
      </c>
      <c r="AG1054" s="1084"/>
      <c r="AH1054" s="358">
        <f t="shared" si="61"/>
        <v>0</v>
      </c>
      <c r="AI1054" s="358">
        <f>O1054-AD1054</f>
        <v>5942533</v>
      </c>
      <c r="AJ1054" s="1119"/>
      <c r="AK1054" s="386">
        <f>P1054-V1054</f>
        <v>0</v>
      </c>
      <c r="AL1054" s="386">
        <f>V1054-Z1054</f>
        <v>5942533</v>
      </c>
      <c r="AM1054" s="386">
        <f>AK1054+AL1054</f>
        <v>5942533</v>
      </c>
      <c r="AN1054" s="1204"/>
      <c r="AO1054" s="1204"/>
      <c r="AP1054" s="1204"/>
      <c r="AQ1054" s="1204"/>
    </row>
    <row r="1055" spans="1:43" s="4" customFormat="1" ht="47.25">
      <c r="A1055" s="1011" t="s">
        <v>1662</v>
      </c>
      <c r="B1055" s="1068">
        <v>41600</v>
      </c>
      <c r="C1055" s="1011" t="s">
        <v>46</v>
      </c>
      <c r="D1055" s="1011" t="s">
        <v>2153</v>
      </c>
      <c r="E1055" s="1011" t="s">
        <v>2152</v>
      </c>
      <c r="F1055" s="1011"/>
      <c r="G1055" s="1011" t="s">
        <v>2151</v>
      </c>
      <c r="H1055" s="1011" t="s">
        <v>71</v>
      </c>
      <c r="I1055" s="1011" t="s">
        <v>2150</v>
      </c>
      <c r="J1055" s="1011" t="s">
        <v>66</v>
      </c>
      <c r="K1055" s="1011" t="s">
        <v>50</v>
      </c>
      <c r="L1055" s="1011"/>
      <c r="M1055" s="1009">
        <v>273</v>
      </c>
      <c r="N1055" s="1065" t="s">
        <v>7</v>
      </c>
      <c r="O1055" s="1062">
        <v>2789231471</v>
      </c>
      <c r="P1055" s="1062">
        <f>O1055+O1060</f>
        <v>3119128922</v>
      </c>
      <c r="Q1055" s="1062">
        <f>P1055</f>
        <v>3119128922</v>
      </c>
      <c r="R1055" s="1068"/>
      <c r="S1055" s="1089"/>
      <c r="T1055" s="1062"/>
      <c r="U1055" s="1062"/>
      <c r="V1055" s="1119">
        <f>SUM(AD1055:AD1059)</f>
        <v>1783587551</v>
      </c>
      <c r="W1055" s="1063">
        <f>SUM(V1055:V1061)</f>
        <v>1908987851</v>
      </c>
      <c r="X1055" s="1011"/>
      <c r="Y1055" s="372" t="s">
        <v>2149</v>
      </c>
      <c r="Z1055" s="386">
        <v>458410686</v>
      </c>
      <c r="AA1055" s="386">
        <v>0</v>
      </c>
      <c r="AB1055" s="386">
        <f t="shared" si="60"/>
        <v>458410686</v>
      </c>
      <c r="AC1055" s="384">
        <v>41824</v>
      </c>
      <c r="AD1055" s="395">
        <v>458410686</v>
      </c>
      <c r="AE1055" s="371" t="s">
        <v>7</v>
      </c>
      <c r="AF1055" s="1210">
        <f>SUM(AD1055:AD1061)</f>
        <v>1908987547</v>
      </c>
      <c r="AG1055" s="1043">
        <f>SUM(AF1055:AF1061)</f>
        <v>1908987547</v>
      </c>
      <c r="AH1055" s="358">
        <f t="shared" si="61"/>
        <v>0</v>
      </c>
      <c r="AI1055" s="1043"/>
      <c r="AJ1055" s="1043"/>
      <c r="AK1055" s="1043"/>
      <c r="AL1055" s="1210"/>
      <c r="AM1055" s="1062"/>
      <c r="AN1055" s="1108"/>
      <c r="AO1055" s="1103" t="s">
        <v>2148</v>
      </c>
      <c r="AP1055" s="1103" t="s">
        <v>195</v>
      </c>
      <c r="AQ1055" s="1103" t="s">
        <v>1911</v>
      </c>
    </row>
    <row r="1056" spans="1:43" s="4" customFormat="1" ht="31.5">
      <c r="A1056" s="1033"/>
      <c r="B1056" s="1069"/>
      <c r="C1056" s="1033"/>
      <c r="D1056" s="1033"/>
      <c r="E1056" s="1033"/>
      <c r="F1056" s="1033"/>
      <c r="G1056" s="1033"/>
      <c r="H1056" s="1033"/>
      <c r="I1056" s="1033"/>
      <c r="J1056" s="1033"/>
      <c r="K1056" s="1033"/>
      <c r="L1056" s="1033"/>
      <c r="M1056" s="1039"/>
      <c r="N1056" s="1066"/>
      <c r="O1056" s="1063"/>
      <c r="P1056" s="1063"/>
      <c r="Q1056" s="1063"/>
      <c r="R1056" s="1069"/>
      <c r="S1056" s="1090"/>
      <c r="T1056" s="1063"/>
      <c r="U1056" s="1063"/>
      <c r="V1056" s="1119"/>
      <c r="W1056" s="1063"/>
      <c r="X1056" s="1033"/>
      <c r="Y1056" s="372" t="s">
        <v>2147</v>
      </c>
      <c r="Z1056" s="386">
        <v>716136946</v>
      </c>
      <c r="AA1056" s="386">
        <v>0</v>
      </c>
      <c r="AB1056" s="386">
        <f t="shared" si="60"/>
        <v>716136946</v>
      </c>
      <c r="AC1056" s="384">
        <v>41843</v>
      </c>
      <c r="AD1056" s="395">
        <v>716136946</v>
      </c>
      <c r="AE1056" s="371" t="s">
        <v>7</v>
      </c>
      <c r="AF1056" s="1211"/>
      <c r="AG1056" s="1044"/>
      <c r="AH1056" s="358">
        <f t="shared" si="61"/>
        <v>0</v>
      </c>
      <c r="AI1056" s="1044"/>
      <c r="AJ1056" s="1044"/>
      <c r="AK1056" s="1044"/>
      <c r="AL1056" s="1211"/>
      <c r="AM1056" s="1063"/>
      <c r="AN1056" s="1109"/>
      <c r="AO1056" s="1104"/>
      <c r="AP1056" s="1104"/>
      <c r="AQ1056" s="1104"/>
    </row>
    <row r="1057" spans="1:43" s="4" customFormat="1" ht="47.25">
      <c r="A1057" s="1033"/>
      <c r="B1057" s="1069"/>
      <c r="C1057" s="1033"/>
      <c r="D1057" s="1033"/>
      <c r="E1057" s="1033"/>
      <c r="F1057" s="1033"/>
      <c r="G1057" s="1033"/>
      <c r="H1057" s="1033"/>
      <c r="I1057" s="1033"/>
      <c r="J1057" s="1033"/>
      <c r="K1057" s="1033"/>
      <c r="L1057" s="1033"/>
      <c r="M1057" s="1039"/>
      <c r="N1057" s="1066"/>
      <c r="O1057" s="1063"/>
      <c r="P1057" s="1063"/>
      <c r="Q1057" s="1063"/>
      <c r="R1057" s="1069"/>
      <c r="S1057" s="1090"/>
      <c r="T1057" s="1063"/>
      <c r="U1057" s="1063"/>
      <c r="V1057" s="1119"/>
      <c r="W1057" s="1063"/>
      <c r="X1057" s="1033"/>
      <c r="Y1057" s="372" t="s">
        <v>2146</v>
      </c>
      <c r="Z1057" s="386">
        <f>36031662+439381080+24874577</f>
        <v>500287319</v>
      </c>
      <c r="AA1057" s="386">
        <v>0</v>
      </c>
      <c r="AB1057" s="386">
        <f t="shared" si="60"/>
        <v>500287319</v>
      </c>
      <c r="AC1057" s="384">
        <v>41974</v>
      </c>
      <c r="AD1057" s="395">
        <v>500287319</v>
      </c>
      <c r="AE1057" s="371" t="s">
        <v>7</v>
      </c>
      <c r="AF1057" s="1211"/>
      <c r="AG1057" s="1044"/>
      <c r="AH1057" s="358">
        <f t="shared" si="61"/>
        <v>0</v>
      </c>
      <c r="AI1057" s="1044"/>
      <c r="AJ1057" s="1044"/>
      <c r="AK1057" s="1044"/>
      <c r="AL1057" s="1211"/>
      <c r="AM1057" s="1063"/>
      <c r="AN1057" s="1109"/>
      <c r="AO1057" s="1104"/>
      <c r="AP1057" s="1104"/>
      <c r="AQ1057" s="1104"/>
    </row>
    <row r="1058" spans="1:43" s="4" customFormat="1">
      <c r="A1058" s="1033"/>
      <c r="B1058" s="1069"/>
      <c r="C1058" s="1033"/>
      <c r="D1058" s="1033"/>
      <c r="E1058" s="1033"/>
      <c r="F1058" s="1033"/>
      <c r="G1058" s="1033"/>
      <c r="H1058" s="1033"/>
      <c r="I1058" s="1033"/>
      <c r="J1058" s="1033"/>
      <c r="K1058" s="1033"/>
      <c r="L1058" s="1033"/>
      <c r="M1058" s="1039"/>
      <c r="N1058" s="1066"/>
      <c r="O1058" s="1063"/>
      <c r="P1058" s="1063"/>
      <c r="Q1058" s="1063"/>
      <c r="R1058" s="1069"/>
      <c r="S1058" s="1090"/>
      <c r="T1058" s="1063"/>
      <c r="U1058" s="1063"/>
      <c r="V1058" s="1119"/>
      <c r="W1058" s="1063"/>
      <c r="X1058" s="1033"/>
      <c r="Y1058" s="1065" t="s">
        <v>2145</v>
      </c>
      <c r="Z1058" s="1062">
        <v>108752600</v>
      </c>
      <c r="AA1058" s="1062">
        <v>0</v>
      </c>
      <c r="AB1058" s="1062">
        <f t="shared" si="60"/>
        <v>108752600</v>
      </c>
      <c r="AC1058" s="384">
        <v>42209</v>
      </c>
      <c r="AD1058" s="395">
        <v>43763166.509999998</v>
      </c>
      <c r="AE1058" s="371" t="s">
        <v>7</v>
      </c>
      <c r="AF1058" s="1211"/>
      <c r="AG1058" s="1044"/>
      <c r="AH1058" s="358">
        <v>0</v>
      </c>
      <c r="AI1058" s="1044"/>
      <c r="AJ1058" s="1044"/>
      <c r="AK1058" s="1044"/>
      <c r="AL1058" s="1211"/>
      <c r="AM1058" s="1063"/>
      <c r="AN1058" s="1109"/>
      <c r="AO1058" s="1104"/>
      <c r="AP1058" s="1104"/>
      <c r="AQ1058" s="1104"/>
    </row>
    <row r="1059" spans="1:43" s="4" customFormat="1" ht="31.5">
      <c r="A1059" s="1033"/>
      <c r="B1059" s="1069"/>
      <c r="C1059" s="1033"/>
      <c r="D1059" s="1033"/>
      <c r="E1059" s="1033"/>
      <c r="F1059" s="1033"/>
      <c r="G1059" s="1033"/>
      <c r="H1059" s="1033"/>
      <c r="I1059" s="1033"/>
      <c r="J1059" s="1033"/>
      <c r="K1059" s="1033"/>
      <c r="L1059" s="1033"/>
      <c r="M1059" s="1039"/>
      <c r="N1059" s="1066"/>
      <c r="O1059" s="1063"/>
      <c r="P1059" s="1063"/>
      <c r="Q1059" s="1063"/>
      <c r="R1059" s="1069"/>
      <c r="S1059" s="1090"/>
      <c r="T1059" s="1063"/>
      <c r="U1059" s="1063"/>
      <c r="V1059" s="1119"/>
      <c r="W1059" s="1063"/>
      <c r="X1059" s="1033"/>
      <c r="Y1059" s="1067"/>
      <c r="Z1059" s="1064"/>
      <c r="AA1059" s="1064"/>
      <c r="AB1059" s="1064"/>
      <c r="AC1059" s="384">
        <v>42209</v>
      </c>
      <c r="AD1059" s="395">
        <v>64989433.490000002</v>
      </c>
      <c r="AE1059" s="436" t="s">
        <v>137</v>
      </c>
      <c r="AF1059" s="1211"/>
      <c r="AG1059" s="1044"/>
      <c r="AH1059" s="358">
        <v>0</v>
      </c>
      <c r="AI1059" s="1044"/>
      <c r="AJ1059" s="1044"/>
      <c r="AK1059" s="1044"/>
      <c r="AL1059" s="1211"/>
      <c r="AM1059" s="1063"/>
      <c r="AN1059" s="1109"/>
      <c r="AO1059" s="1104"/>
      <c r="AP1059" s="1104"/>
      <c r="AQ1059" s="1104"/>
    </row>
    <row r="1060" spans="1:43" s="4" customFormat="1">
      <c r="A1060" s="1033"/>
      <c r="B1060" s="1069"/>
      <c r="C1060" s="1033"/>
      <c r="D1060" s="1033"/>
      <c r="E1060" s="1033"/>
      <c r="F1060" s="1033"/>
      <c r="G1060" s="1033"/>
      <c r="H1060" s="1033"/>
      <c r="I1060" s="1033"/>
      <c r="J1060" s="1033"/>
      <c r="K1060" s="1033"/>
      <c r="L1060" s="1033"/>
      <c r="M1060" s="1039"/>
      <c r="N1060" s="1065" t="s">
        <v>137</v>
      </c>
      <c r="O1060" s="1062">
        <v>329897451</v>
      </c>
      <c r="P1060" s="1063"/>
      <c r="Q1060" s="1063"/>
      <c r="R1060" s="1069"/>
      <c r="S1060" s="1090"/>
      <c r="T1060" s="1063"/>
      <c r="U1060" s="1063"/>
      <c r="V1060" s="1119">
        <f>SUM(AD1060:AD1061)+304</f>
        <v>125400300</v>
      </c>
      <c r="W1060" s="1063"/>
      <c r="X1060" s="1033"/>
      <c r="Y1060" s="1065" t="s">
        <v>2144</v>
      </c>
      <c r="Z1060" s="1062">
        <v>125399996</v>
      </c>
      <c r="AA1060" s="1062">
        <v>0</v>
      </c>
      <c r="AB1060" s="1062">
        <f>Z1060+AA1060</f>
        <v>125399996</v>
      </c>
      <c r="AC1060" s="384">
        <v>42243</v>
      </c>
      <c r="AD1060" s="395">
        <v>50462250.149999999</v>
      </c>
      <c r="AE1060" s="371" t="s">
        <v>7</v>
      </c>
      <c r="AF1060" s="1211"/>
      <c r="AG1060" s="1044"/>
      <c r="AH1060" s="358">
        <v>0</v>
      </c>
      <c r="AI1060" s="1044"/>
      <c r="AJ1060" s="1044"/>
      <c r="AK1060" s="1044"/>
      <c r="AL1060" s="1211"/>
      <c r="AM1060" s="1063"/>
      <c r="AN1060" s="1109"/>
      <c r="AO1060" s="1104"/>
      <c r="AP1060" s="1104"/>
      <c r="AQ1060" s="1104"/>
    </row>
    <row r="1061" spans="1:43" s="4" customFormat="1" ht="31.5">
      <c r="A1061" s="1012"/>
      <c r="B1061" s="1070"/>
      <c r="C1061" s="1033"/>
      <c r="D1061" s="1033"/>
      <c r="E1061" s="1033"/>
      <c r="F1061" s="1012"/>
      <c r="G1061" s="1033"/>
      <c r="H1061" s="1033"/>
      <c r="I1061" s="1033"/>
      <c r="J1061" s="1033"/>
      <c r="K1061" s="1033"/>
      <c r="L1061" s="1033"/>
      <c r="M1061" s="1039"/>
      <c r="N1061" s="1066"/>
      <c r="O1061" s="1063"/>
      <c r="P1061" s="1064"/>
      <c r="Q1061" s="1064"/>
      <c r="R1061" s="1070"/>
      <c r="S1061" s="1091"/>
      <c r="T1061" s="1064"/>
      <c r="U1061" s="1064"/>
      <c r="V1061" s="1119"/>
      <c r="W1061" s="1064"/>
      <c r="X1061" s="1012"/>
      <c r="Y1061" s="1067"/>
      <c r="Z1061" s="1064"/>
      <c r="AA1061" s="1064"/>
      <c r="AB1061" s="1064"/>
      <c r="AC1061" s="384">
        <v>42243</v>
      </c>
      <c r="AD1061" s="395">
        <v>74937745.849999994</v>
      </c>
      <c r="AE1061" s="436" t="s">
        <v>137</v>
      </c>
      <c r="AF1061" s="1212"/>
      <c r="AG1061" s="1045"/>
      <c r="AH1061" s="358">
        <v>0</v>
      </c>
      <c r="AI1061" s="1045"/>
      <c r="AJ1061" s="1045"/>
      <c r="AK1061" s="1045"/>
      <c r="AL1061" s="1212"/>
      <c r="AM1061" s="1064"/>
      <c r="AN1061" s="1110"/>
      <c r="AO1061" s="1105"/>
      <c r="AP1061" s="1105"/>
      <c r="AQ1061" s="1105"/>
    </row>
    <row r="1062" spans="1:43" s="4" customFormat="1" ht="31.5">
      <c r="A1062" s="1149" t="s">
        <v>1662</v>
      </c>
      <c r="B1062" s="1171">
        <v>41478</v>
      </c>
      <c r="C1062" s="1149" t="s">
        <v>21</v>
      </c>
      <c r="D1062" s="1149" t="s">
        <v>1661</v>
      </c>
      <c r="E1062" s="1226">
        <v>900632869</v>
      </c>
      <c r="F1062" s="1226">
        <v>1</v>
      </c>
      <c r="G1062" s="1149" t="s">
        <v>1660</v>
      </c>
      <c r="H1062" s="1149" t="s">
        <v>70</v>
      </c>
      <c r="I1062" s="1149" t="str">
        <f>H1062</f>
        <v>Interventoría</v>
      </c>
      <c r="J1062" s="1149" t="s">
        <v>66</v>
      </c>
      <c r="K1062" s="1149" t="s">
        <v>49</v>
      </c>
      <c r="L1062" s="1149" t="s">
        <v>1659</v>
      </c>
      <c r="M1062" s="1209">
        <v>276</v>
      </c>
      <c r="N1062" s="1122" t="s">
        <v>7</v>
      </c>
      <c r="O1062" s="1149">
        <v>8431590</v>
      </c>
      <c r="P1062" s="1149">
        <v>8431590</v>
      </c>
      <c r="Q1062" s="1243">
        <f>SUM(O1062:O1086)</f>
        <v>288441255</v>
      </c>
      <c r="R1062" s="1171">
        <v>41309</v>
      </c>
      <c r="S1062" s="1242"/>
      <c r="T1062" s="1242"/>
      <c r="U1062" s="1242"/>
      <c r="V1062" s="1149">
        <v>8383534</v>
      </c>
      <c r="W1062" s="1149">
        <f>177892960+V1083+V1085+V1086</f>
        <v>214146079</v>
      </c>
      <c r="X1062" s="1149" t="s">
        <v>1658</v>
      </c>
      <c r="Y1062" s="372" t="s">
        <v>1657</v>
      </c>
      <c r="Z1062" s="386"/>
      <c r="AA1062" s="386">
        <f>AD1062</f>
        <v>3353413.6</v>
      </c>
      <c r="AB1062" s="386">
        <f t="shared" ref="AB1062:AB1081" si="62">SUM(Z1062:AA1062)</f>
        <v>3353413.6</v>
      </c>
      <c r="AC1062" s="384">
        <v>41554</v>
      </c>
      <c r="AD1062" s="430">
        <v>3353413.6</v>
      </c>
      <c r="AE1062" s="1122" t="s">
        <v>7</v>
      </c>
      <c r="AF1062" s="1084">
        <f>SUM(AD1062:AE1064)</f>
        <v>8118152.8000000007</v>
      </c>
      <c r="AG1062" s="1084">
        <f>SUM(AF1062:AF1086)</f>
        <v>183818099.80000001</v>
      </c>
      <c r="AH1062" s="358"/>
      <c r="AI1062" s="358"/>
      <c r="AJ1062" s="358"/>
      <c r="AK1062" s="358"/>
      <c r="AL1062" s="358"/>
      <c r="AM1062" s="358"/>
      <c r="AN1062" s="1149" t="s">
        <v>1656</v>
      </c>
      <c r="AO1062" s="1149" t="s">
        <v>1655</v>
      </c>
      <c r="AP1062" s="1204" t="s">
        <v>195</v>
      </c>
      <c r="AQ1062" s="1204" t="s">
        <v>1619</v>
      </c>
    </row>
    <row r="1063" spans="1:43" s="4" customFormat="1" ht="47.25">
      <c r="A1063" s="1149"/>
      <c r="B1063" s="1171"/>
      <c r="C1063" s="1149"/>
      <c r="D1063" s="1149"/>
      <c r="E1063" s="1226"/>
      <c r="F1063" s="1226"/>
      <c r="G1063" s="1149"/>
      <c r="H1063" s="1149"/>
      <c r="I1063" s="1149"/>
      <c r="J1063" s="1149"/>
      <c r="K1063" s="1149"/>
      <c r="L1063" s="1149"/>
      <c r="M1063" s="1209"/>
      <c r="N1063" s="1122"/>
      <c r="O1063" s="1149"/>
      <c r="P1063" s="1149"/>
      <c r="Q1063" s="1243"/>
      <c r="R1063" s="1171"/>
      <c r="S1063" s="1242"/>
      <c r="T1063" s="1242"/>
      <c r="U1063" s="1242"/>
      <c r="V1063" s="1149"/>
      <c r="W1063" s="1149"/>
      <c r="X1063" s="1149"/>
      <c r="Y1063" s="372" t="s">
        <v>1645</v>
      </c>
      <c r="Z1063" s="415">
        <v>7941232</v>
      </c>
      <c r="AA1063" s="386">
        <v>-3176492.8</v>
      </c>
      <c r="AB1063" s="386">
        <f t="shared" si="62"/>
        <v>4764739.2</v>
      </c>
      <c r="AC1063" s="384">
        <v>41885</v>
      </c>
      <c r="AD1063" s="395">
        <v>4764739.2</v>
      </c>
      <c r="AE1063" s="1122"/>
      <c r="AF1063" s="1084"/>
      <c r="AG1063" s="1084"/>
      <c r="AH1063" s="358"/>
      <c r="AI1063" s="358"/>
      <c r="AJ1063" s="358"/>
      <c r="AK1063" s="358"/>
      <c r="AL1063" s="358"/>
      <c r="AM1063" s="358"/>
      <c r="AN1063" s="1149"/>
      <c r="AO1063" s="1149"/>
      <c r="AP1063" s="1204"/>
      <c r="AQ1063" s="1204"/>
    </row>
    <row r="1064" spans="1:43" s="4" customFormat="1">
      <c r="A1064" s="1149"/>
      <c r="B1064" s="1171"/>
      <c r="C1064" s="1149"/>
      <c r="D1064" s="1149"/>
      <c r="E1064" s="1226"/>
      <c r="F1064" s="1226"/>
      <c r="G1064" s="1149"/>
      <c r="H1064" s="1149"/>
      <c r="I1064" s="1149"/>
      <c r="J1064" s="1149"/>
      <c r="K1064" s="1149"/>
      <c r="L1064" s="1149"/>
      <c r="M1064" s="1209"/>
      <c r="N1064" s="1122"/>
      <c r="O1064" s="1149"/>
      <c r="P1064" s="1149"/>
      <c r="Q1064" s="1243"/>
      <c r="R1064" s="1171"/>
      <c r="S1064" s="1242"/>
      <c r="T1064" s="1242"/>
      <c r="U1064" s="1242"/>
      <c r="V1064" s="1149"/>
      <c r="W1064" s="1149"/>
      <c r="X1064" s="1149"/>
      <c r="Y1064" s="372" t="s">
        <v>1641</v>
      </c>
      <c r="Z1064" s="415">
        <v>5281805</v>
      </c>
      <c r="AA1064" s="386">
        <v>-2112722</v>
      </c>
      <c r="AB1064" s="386">
        <f t="shared" si="62"/>
        <v>3169083</v>
      </c>
      <c r="AC1064" s="384"/>
      <c r="AD1064" s="395">
        <v>0</v>
      </c>
      <c r="AE1064" s="1122"/>
      <c r="AF1064" s="1084"/>
      <c r="AG1064" s="1084"/>
      <c r="AH1064" s="386"/>
      <c r="AI1064" s="358">
        <f>-AB1064</f>
        <v>-3169083</v>
      </c>
      <c r="AJ1064" s="358"/>
      <c r="AK1064" s="358"/>
      <c r="AL1064" s="358"/>
      <c r="AM1064" s="358"/>
      <c r="AN1064" s="1149"/>
      <c r="AO1064" s="1149" t="s">
        <v>1654</v>
      </c>
      <c r="AP1064" s="1204"/>
      <c r="AQ1064" s="1204"/>
    </row>
    <row r="1065" spans="1:43" s="4" customFormat="1" ht="47.25">
      <c r="A1065" s="1149"/>
      <c r="B1065" s="1171"/>
      <c r="C1065" s="1149" t="s">
        <v>47</v>
      </c>
      <c r="D1065" s="1149"/>
      <c r="E1065" s="1226"/>
      <c r="F1065" s="1226"/>
      <c r="G1065" s="1149"/>
      <c r="H1065" s="1149"/>
      <c r="I1065" s="1149"/>
      <c r="J1065" s="1149"/>
      <c r="K1065" s="1149"/>
      <c r="L1065" s="1149"/>
      <c r="M1065" s="1209">
        <v>278</v>
      </c>
      <c r="N1065" s="1122" t="s">
        <v>7</v>
      </c>
      <c r="O1065" s="1149">
        <v>13448739</v>
      </c>
      <c r="P1065" s="1149">
        <v>13448739</v>
      </c>
      <c r="Q1065" s="1243"/>
      <c r="R1065" s="1171"/>
      <c r="S1065" s="1244"/>
      <c r="T1065" s="1244"/>
      <c r="U1065" s="1244"/>
      <c r="V1065" s="1149">
        <v>13372088</v>
      </c>
      <c r="W1065" s="1149"/>
      <c r="X1065" s="1149"/>
      <c r="Y1065" s="372" t="s">
        <v>1653</v>
      </c>
      <c r="Z1065" s="386"/>
      <c r="AA1065" s="386">
        <f>AD1065</f>
        <v>5348538.2</v>
      </c>
      <c r="AB1065" s="386">
        <f t="shared" si="62"/>
        <v>5348538.2</v>
      </c>
      <c r="AC1065" s="384">
        <v>41554</v>
      </c>
      <c r="AD1065" s="430">
        <v>5348538.2</v>
      </c>
      <c r="AE1065" s="1122" t="s">
        <v>7</v>
      </c>
      <c r="AF1065" s="1084">
        <f>SUM(AD1065:AE1066)</f>
        <v>5348835.2</v>
      </c>
      <c r="AG1065" s="1084"/>
      <c r="AH1065" s="386"/>
      <c r="AI1065" s="358"/>
      <c r="AJ1065" s="358"/>
      <c r="AK1065" s="358"/>
      <c r="AL1065" s="358"/>
      <c r="AM1065" s="358"/>
      <c r="AN1065" s="1149"/>
      <c r="AO1065" s="1149"/>
      <c r="AP1065" s="1204"/>
      <c r="AQ1065" s="1204"/>
    </row>
    <row r="1066" spans="1:43" s="4" customFormat="1" ht="31.5">
      <c r="A1066" s="1149"/>
      <c r="B1066" s="1171"/>
      <c r="C1066" s="1149"/>
      <c r="D1066" s="1149"/>
      <c r="E1066" s="1226"/>
      <c r="F1066" s="1226"/>
      <c r="G1066" s="1149"/>
      <c r="H1066" s="1149"/>
      <c r="I1066" s="1149"/>
      <c r="J1066" s="1149"/>
      <c r="K1066" s="1149"/>
      <c r="L1066" s="1149"/>
      <c r="M1066" s="1209"/>
      <c r="N1066" s="1122"/>
      <c r="O1066" s="1149"/>
      <c r="P1066" s="1149"/>
      <c r="Q1066" s="1243"/>
      <c r="R1066" s="1171"/>
      <c r="S1066" s="1244"/>
      <c r="T1066" s="1244"/>
      <c r="U1066" s="1244"/>
      <c r="V1066" s="1149"/>
      <c r="W1066" s="1149"/>
      <c r="X1066" s="1149"/>
      <c r="Y1066" s="372" t="s">
        <v>1652</v>
      </c>
      <c r="Z1066" s="386"/>
      <c r="AA1066" s="386"/>
      <c r="AB1066" s="386">
        <f t="shared" si="62"/>
        <v>0</v>
      </c>
      <c r="AC1066" s="384">
        <v>41556</v>
      </c>
      <c r="AD1066" s="430">
        <v>297</v>
      </c>
      <c r="AE1066" s="1122"/>
      <c r="AF1066" s="1084"/>
      <c r="AG1066" s="1084"/>
      <c r="AH1066" s="386"/>
      <c r="AI1066" s="358"/>
      <c r="AJ1066" s="358"/>
      <c r="AK1066" s="358"/>
      <c r="AL1066" s="358"/>
      <c r="AM1066" s="358"/>
      <c r="AN1066" s="1149"/>
      <c r="AO1066" s="1149"/>
      <c r="AP1066" s="1204"/>
      <c r="AQ1066" s="1204"/>
    </row>
    <row r="1067" spans="1:43" s="4" customFormat="1" ht="31.5">
      <c r="A1067" s="1149"/>
      <c r="B1067" s="1171"/>
      <c r="C1067" s="1149" t="s">
        <v>12</v>
      </c>
      <c r="D1067" s="1149"/>
      <c r="E1067" s="1226"/>
      <c r="F1067" s="1226"/>
      <c r="G1067" s="1149"/>
      <c r="H1067" s="1149"/>
      <c r="I1067" s="1149"/>
      <c r="J1067" s="1149"/>
      <c r="K1067" s="1149"/>
      <c r="L1067" s="1149"/>
      <c r="M1067" s="1209">
        <v>256</v>
      </c>
      <c r="N1067" s="1122" t="s">
        <v>7</v>
      </c>
      <c r="O1067" s="1149">
        <v>18083363</v>
      </c>
      <c r="P1067" s="1149">
        <v>18083363</v>
      </c>
      <c r="Q1067" s="1243"/>
      <c r="R1067" s="1171"/>
      <c r="S1067" s="1242"/>
      <c r="T1067" s="1242"/>
      <c r="U1067" s="1242"/>
      <c r="V1067" s="1149">
        <v>17980297</v>
      </c>
      <c r="W1067" s="1149"/>
      <c r="X1067" s="1149"/>
      <c r="Y1067" s="372" t="s">
        <v>1651</v>
      </c>
      <c r="Z1067" s="386"/>
      <c r="AA1067" s="386">
        <f>AD1067</f>
        <v>7192118.7999999998</v>
      </c>
      <c r="AB1067" s="386">
        <f t="shared" si="62"/>
        <v>7192118.7999999998</v>
      </c>
      <c r="AC1067" s="384">
        <v>41554</v>
      </c>
      <c r="AD1067" s="430">
        <v>7192118.7999999998</v>
      </c>
      <c r="AE1067" s="1122" t="s">
        <v>7</v>
      </c>
      <c r="AF1067" s="1084">
        <f>SUM(AD1067:AE1069)</f>
        <v>15602416</v>
      </c>
      <c r="AG1067" s="1084"/>
      <c r="AH1067" s="386"/>
      <c r="AI1067" s="358"/>
      <c r="AJ1067" s="358"/>
      <c r="AK1067" s="358"/>
      <c r="AL1067" s="358"/>
      <c r="AM1067" s="358"/>
      <c r="AN1067" s="1149"/>
      <c r="AO1067" s="1149"/>
      <c r="AP1067" s="1204"/>
      <c r="AQ1067" s="1204"/>
    </row>
    <row r="1068" spans="1:43" s="4" customFormat="1" ht="47.25">
      <c r="A1068" s="1149"/>
      <c r="B1068" s="1171"/>
      <c r="C1068" s="1149"/>
      <c r="D1068" s="1149"/>
      <c r="E1068" s="1226"/>
      <c r="F1068" s="1226"/>
      <c r="G1068" s="1149"/>
      <c r="H1068" s="1149"/>
      <c r="I1068" s="1149"/>
      <c r="J1068" s="1149"/>
      <c r="K1068" s="1149"/>
      <c r="L1068" s="1149"/>
      <c r="M1068" s="1209"/>
      <c r="N1068" s="1122"/>
      <c r="O1068" s="1149"/>
      <c r="P1068" s="1149"/>
      <c r="Q1068" s="1243"/>
      <c r="R1068" s="1171"/>
      <c r="S1068" s="1242"/>
      <c r="T1068" s="1242"/>
      <c r="U1068" s="1242"/>
      <c r="V1068" s="1149"/>
      <c r="W1068" s="1149"/>
      <c r="X1068" s="1149"/>
      <c r="Y1068" s="372" t="s">
        <v>1645</v>
      </c>
      <c r="Z1068" s="386">
        <v>11680968</v>
      </c>
      <c r="AA1068" s="386">
        <v>-4672387</v>
      </c>
      <c r="AB1068" s="386">
        <f t="shared" si="62"/>
        <v>7008581</v>
      </c>
      <c r="AC1068" s="384">
        <v>41885</v>
      </c>
      <c r="AD1068" s="395">
        <v>7008580.7999999998</v>
      </c>
      <c r="AE1068" s="1122"/>
      <c r="AF1068" s="1084"/>
      <c r="AG1068" s="1084"/>
      <c r="AH1068" s="386"/>
      <c r="AI1068" s="358"/>
      <c r="AJ1068" s="358"/>
      <c r="AK1068" s="358"/>
      <c r="AL1068" s="358"/>
      <c r="AM1068" s="358"/>
      <c r="AN1068" s="1149"/>
      <c r="AO1068" s="1149"/>
      <c r="AP1068" s="1204"/>
      <c r="AQ1068" s="1204"/>
    </row>
    <row r="1069" spans="1:43" s="4" customFormat="1">
      <c r="A1069" s="1149"/>
      <c r="B1069" s="1171"/>
      <c r="C1069" s="1149"/>
      <c r="D1069" s="1149"/>
      <c r="E1069" s="1226"/>
      <c r="F1069" s="1226"/>
      <c r="G1069" s="1149"/>
      <c r="H1069" s="1149"/>
      <c r="I1069" s="1149"/>
      <c r="J1069" s="1149"/>
      <c r="K1069" s="1149"/>
      <c r="L1069" s="1149"/>
      <c r="M1069" s="1209"/>
      <c r="N1069" s="1122"/>
      <c r="O1069" s="1149"/>
      <c r="P1069" s="1149"/>
      <c r="Q1069" s="1243"/>
      <c r="R1069" s="1171"/>
      <c r="S1069" s="1242"/>
      <c r="T1069" s="1242"/>
      <c r="U1069" s="1242"/>
      <c r="V1069" s="1149"/>
      <c r="W1069" s="1149"/>
      <c r="X1069" s="1149"/>
      <c r="Y1069" s="372" t="s">
        <v>1641</v>
      </c>
      <c r="Z1069" s="386">
        <v>2336194</v>
      </c>
      <c r="AA1069" s="386">
        <v>-934477.6</v>
      </c>
      <c r="AB1069" s="386">
        <f t="shared" si="62"/>
        <v>1401716.4</v>
      </c>
      <c r="AC1069" s="384">
        <v>42047</v>
      </c>
      <c r="AD1069" s="395">
        <v>1401716.4</v>
      </c>
      <c r="AE1069" s="1122"/>
      <c r="AF1069" s="1084"/>
      <c r="AG1069" s="1084"/>
      <c r="AH1069" s="386"/>
      <c r="AI1069" s="358"/>
      <c r="AJ1069" s="358"/>
      <c r="AK1069" s="358"/>
      <c r="AL1069" s="358"/>
      <c r="AM1069" s="358"/>
      <c r="AN1069" s="1149"/>
      <c r="AO1069" s="1149"/>
      <c r="AP1069" s="1204"/>
      <c r="AQ1069" s="1204"/>
    </row>
    <row r="1070" spans="1:43" s="4" customFormat="1" ht="31.5">
      <c r="A1070" s="1149"/>
      <c r="B1070" s="1171"/>
      <c r="C1070" s="1149" t="s">
        <v>42</v>
      </c>
      <c r="D1070" s="1149"/>
      <c r="E1070" s="1226"/>
      <c r="F1070" s="1226"/>
      <c r="G1070" s="1149"/>
      <c r="H1070" s="1149"/>
      <c r="I1070" s="1149"/>
      <c r="J1070" s="1149"/>
      <c r="K1070" s="1149"/>
      <c r="L1070" s="1149"/>
      <c r="M1070" s="1209">
        <v>250</v>
      </c>
      <c r="N1070" s="1122" t="s">
        <v>137</v>
      </c>
      <c r="O1070" s="1149">
        <v>5887850</v>
      </c>
      <c r="P1070" s="1149">
        <v>5887850</v>
      </c>
      <c r="Q1070" s="1243"/>
      <c r="R1070" s="1171"/>
      <c r="S1070" s="1244"/>
      <c r="T1070" s="1244"/>
      <c r="U1070" s="1244"/>
      <c r="V1070" s="1149">
        <v>5854292</v>
      </c>
      <c r="W1070" s="1149"/>
      <c r="X1070" s="1149"/>
      <c r="Y1070" s="372" t="s">
        <v>1650</v>
      </c>
      <c r="Z1070" s="386"/>
      <c r="AA1070" s="386">
        <f>AD1070</f>
        <v>2341716.7999999998</v>
      </c>
      <c r="AB1070" s="386">
        <f t="shared" si="62"/>
        <v>2341716.7999999998</v>
      </c>
      <c r="AC1070" s="384">
        <v>41554</v>
      </c>
      <c r="AD1070" s="430">
        <v>2341716.7999999998</v>
      </c>
      <c r="AE1070" s="1122" t="s">
        <v>137</v>
      </c>
      <c r="AF1070" s="1084">
        <f>SUM(AD1070:AE1071)</f>
        <v>5510799.7999999998</v>
      </c>
      <c r="AG1070" s="1084"/>
      <c r="AH1070" s="386"/>
      <c r="AI1070" s="358"/>
      <c r="AJ1070" s="358"/>
      <c r="AK1070" s="358"/>
      <c r="AL1070" s="358"/>
      <c r="AM1070" s="358"/>
      <c r="AN1070" s="1149"/>
      <c r="AO1070" s="1149"/>
      <c r="AP1070" s="1204"/>
      <c r="AQ1070" s="1204"/>
    </row>
    <row r="1071" spans="1:43" s="4" customFormat="1" ht="31.5">
      <c r="A1071" s="1149"/>
      <c r="B1071" s="1171"/>
      <c r="C1071" s="1149"/>
      <c r="D1071" s="1149"/>
      <c r="E1071" s="1226"/>
      <c r="F1071" s="1226"/>
      <c r="G1071" s="1149"/>
      <c r="H1071" s="1149"/>
      <c r="I1071" s="1149"/>
      <c r="J1071" s="1149"/>
      <c r="K1071" s="1149"/>
      <c r="L1071" s="1149"/>
      <c r="M1071" s="1209"/>
      <c r="N1071" s="1122"/>
      <c r="O1071" s="1149"/>
      <c r="P1071" s="1149"/>
      <c r="Q1071" s="1243"/>
      <c r="R1071" s="1171"/>
      <c r="S1071" s="1244"/>
      <c r="T1071" s="1244"/>
      <c r="U1071" s="1244"/>
      <c r="V1071" s="1149"/>
      <c r="W1071" s="1149"/>
      <c r="X1071" s="1149"/>
      <c r="Y1071" s="372" t="s">
        <v>1649</v>
      </c>
      <c r="Z1071" s="386"/>
      <c r="AA1071" s="386"/>
      <c r="AB1071" s="386">
        <f t="shared" si="62"/>
        <v>0</v>
      </c>
      <c r="AC1071" s="384">
        <v>42047</v>
      </c>
      <c r="AD1071" s="395">
        <v>3169083</v>
      </c>
      <c r="AE1071" s="1122"/>
      <c r="AF1071" s="1084"/>
      <c r="AG1071" s="1084"/>
      <c r="AH1071" s="386"/>
      <c r="AI1071" s="358">
        <f>AD1071</f>
        <v>3169083</v>
      </c>
      <c r="AJ1071" s="358"/>
      <c r="AK1071" s="358"/>
      <c r="AL1071" s="358"/>
      <c r="AM1071" s="358"/>
      <c r="AN1071" s="1149"/>
      <c r="AO1071" s="1149"/>
      <c r="AP1071" s="1204"/>
      <c r="AQ1071" s="1204"/>
    </row>
    <row r="1072" spans="1:43" s="4" customFormat="1" ht="31.5">
      <c r="A1072" s="1149"/>
      <c r="B1072" s="1171"/>
      <c r="C1072" s="1149" t="s">
        <v>39</v>
      </c>
      <c r="D1072" s="1149"/>
      <c r="E1072" s="1226"/>
      <c r="F1072" s="1226"/>
      <c r="G1072" s="1149"/>
      <c r="H1072" s="1149"/>
      <c r="I1072" s="1149"/>
      <c r="J1072" s="1149"/>
      <c r="K1072" s="1149"/>
      <c r="L1072" s="1149"/>
      <c r="M1072" s="1209">
        <v>262</v>
      </c>
      <c r="N1072" s="1122" t="s">
        <v>137</v>
      </c>
      <c r="O1072" s="1149">
        <v>73275466</v>
      </c>
      <c r="P1072" s="1149">
        <v>73275466</v>
      </c>
      <c r="Q1072" s="1243"/>
      <c r="R1072" s="1171"/>
      <c r="S1072" s="1242"/>
      <c r="T1072" s="1242"/>
      <c r="U1072" s="1242"/>
      <c r="V1072" s="1149">
        <v>72857834</v>
      </c>
      <c r="W1072" s="1149"/>
      <c r="X1072" s="1149"/>
      <c r="Y1072" s="372" t="s">
        <v>1648</v>
      </c>
      <c r="Z1072" s="386"/>
      <c r="AA1072" s="386">
        <f>AD1072</f>
        <v>29143133.600000001</v>
      </c>
      <c r="AB1072" s="386">
        <f t="shared" si="62"/>
        <v>29143133.600000001</v>
      </c>
      <c r="AC1072" s="384">
        <v>41554</v>
      </c>
      <c r="AD1072" s="430">
        <v>29143133.600000001</v>
      </c>
      <c r="AE1072" s="1122" t="s">
        <v>137</v>
      </c>
      <c r="AF1072" s="1084">
        <f>SUM(AD1072:AE1075)</f>
        <v>72857834.000000015</v>
      </c>
      <c r="AG1072" s="1084"/>
      <c r="AH1072" s="358"/>
      <c r="AI1072" s="358"/>
      <c r="AJ1072" s="358"/>
      <c r="AK1072" s="358"/>
      <c r="AL1072" s="358"/>
      <c r="AM1072" s="358"/>
      <c r="AN1072" s="1149"/>
      <c r="AO1072" s="1149"/>
      <c r="AP1072" s="1204"/>
      <c r="AQ1072" s="1204"/>
    </row>
    <row r="1073" spans="1:43" s="4" customFormat="1" ht="47.25">
      <c r="A1073" s="1149"/>
      <c r="B1073" s="1171"/>
      <c r="C1073" s="1149"/>
      <c r="D1073" s="1149"/>
      <c r="E1073" s="1226"/>
      <c r="F1073" s="1226"/>
      <c r="G1073" s="1149"/>
      <c r="H1073" s="1149"/>
      <c r="I1073" s="1149"/>
      <c r="J1073" s="1149"/>
      <c r="K1073" s="1149"/>
      <c r="L1073" s="1149"/>
      <c r="M1073" s="1209"/>
      <c r="N1073" s="1122"/>
      <c r="O1073" s="1149"/>
      <c r="P1073" s="1149"/>
      <c r="Q1073" s="1243"/>
      <c r="R1073" s="1171"/>
      <c r="S1073" s="1242"/>
      <c r="T1073" s="1242"/>
      <c r="U1073" s="1242"/>
      <c r="V1073" s="1149"/>
      <c r="W1073" s="1149"/>
      <c r="X1073" s="1149"/>
      <c r="Y1073" s="372" t="s">
        <v>1645</v>
      </c>
      <c r="Z1073" s="386">
        <v>64842463</v>
      </c>
      <c r="AA1073" s="386">
        <v>-25936985.199999999</v>
      </c>
      <c r="AB1073" s="386">
        <f t="shared" si="62"/>
        <v>38905477.799999997</v>
      </c>
      <c r="AC1073" s="384">
        <v>41885</v>
      </c>
      <c r="AD1073" s="395">
        <v>38905477.799999997</v>
      </c>
      <c r="AE1073" s="1122"/>
      <c r="AF1073" s="1084"/>
      <c r="AG1073" s="1084"/>
      <c r="AH1073" s="358"/>
      <c r="AI1073" s="358"/>
      <c r="AJ1073" s="358"/>
      <c r="AK1073" s="358"/>
      <c r="AL1073" s="358"/>
      <c r="AM1073" s="358"/>
      <c r="AN1073" s="1149"/>
      <c r="AO1073" s="382"/>
      <c r="AP1073" s="1204"/>
      <c r="AQ1073" s="1204"/>
    </row>
    <row r="1074" spans="1:43" s="4" customFormat="1">
      <c r="A1074" s="1149"/>
      <c r="B1074" s="1171"/>
      <c r="C1074" s="1149"/>
      <c r="D1074" s="1149"/>
      <c r="E1074" s="1226"/>
      <c r="F1074" s="1226"/>
      <c r="G1074" s="1149"/>
      <c r="H1074" s="1149"/>
      <c r="I1074" s="1149"/>
      <c r="J1074" s="1149"/>
      <c r="K1074" s="1149"/>
      <c r="L1074" s="1149"/>
      <c r="M1074" s="1209"/>
      <c r="N1074" s="1122"/>
      <c r="O1074" s="1149"/>
      <c r="P1074" s="1149"/>
      <c r="Q1074" s="1243"/>
      <c r="R1074" s="1171"/>
      <c r="S1074" s="1242"/>
      <c r="T1074" s="1242"/>
      <c r="U1074" s="1242"/>
      <c r="V1074" s="1149"/>
      <c r="W1074" s="1149"/>
      <c r="X1074" s="1149"/>
      <c r="Y1074" s="372" t="s">
        <v>1641</v>
      </c>
      <c r="Z1074" s="386">
        <v>8014237</v>
      </c>
      <c r="AA1074" s="386">
        <v>-3205694.8</v>
      </c>
      <c r="AB1074" s="386">
        <f t="shared" si="62"/>
        <v>4808542.2</v>
      </c>
      <c r="AC1074" s="384">
        <v>42047</v>
      </c>
      <c r="AD1074" s="395">
        <v>4808542.2</v>
      </c>
      <c r="AE1074" s="1122"/>
      <c r="AF1074" s="1084"/>
      <c r="AG1074" s="1084"/>
      <c r="AH1074" s="358"/>
      <c r="AI1074" s="358"/>
      <c r="AJ1074" s="358"/>
      <c r="AK1074" s="358"/>
      <c r="AL1074" s="358"/>
      <c r="AM1074" s="358"/>
      <c r="AN1074" s="1149"/>
      <c r="AO1074" s="382"/>
      <c r="AP1074" s="1204"/>
      <c r="AQ1074" s="1204"/>
    </row>
    <row r="1075" spans="1:43" s="4" customFormat="1" ht="31.5">
      <c r="A1075" s="1149"/>
      <c r="B1075" s="1171"/>
      <c r="C1075" s="1149"/>
      <c r="D1075" s="1149"/>
      <c r="E1075" s="1226"/>
      <c r="F1075" s="1226"/>
      <c r="G1075" s="1149"/>
      <c r="H1075" s="1149"/>
      <c r="I1075" s="1149"/>
      <c r="J1075" s="1149"/>
      <c r="K1075" s="1149"/>
      <c r="L1075" s="1149"/>
      <c r="M1075" s="1209"/>
      <c r="N1075" s="1122"/>
      <c r="O1075" s="1149"/>
      <c r="P1075" s="1149"/>
      <c r="Q1075" s="1243"/>
      <c r="R1075" s="1171"/>
      <c r="S1075" s="1242"/>
      <c r="T1075" s="1242"/>
      <c r="U1075" s="1242"/>
      <c r="V1075" s="1149"/>
      <c r="W1075" s="1149"/>
      <c r="X1075" s="1149"/>
      <c r="Y1075" s="372" t="s">
        <v>1647</v>
      </c>
      <c r="Z1075" s="386"/>
      <c r="AA1075" s="386"/>
      <c r="AB1075" s="386">
        <f t="shared" si="62"/>
        <v>0</v>
      </c>
      <c r="AC1075" s="384">
        <v>42990</v>
      </c>
      <c r="AD1075" s="395">
        <v>680.4</v>
      </c>
      <c r="AE1075" s="1122"/>
      <c r="AF1075" s="1084"/>
      <c r="AG1075" s="1084"/>
      <c r="AH1075" s="358"/>
      <c r="AI1075" s="358"/>
      <c r="AJ1075" s="358"/>
      <c r="AK1075" s="358"/>
      <c r="AL1075" s="358"/>
      <c r="AM1075" s="358"/>
      <c r="AN1075" s="1149"/>
      <c r="AO1075" s="382"/>
      <c r="AP1075" s="1204"/>
      <c r="AQ1075" s="1204"/>
    </row>
    <row r="1076" spans="1:43" s="4" customFormat="1" ht="31.5">
      <c r="A1076" s="1149"/>
      <c r="B1076" s="1171"/>
      <c r="C1076" s="1149" t="s">
        <v>15</v>
      </c>
      <c r="D1076" s="1149"/>
      <c r="E1076" s="1226"/>
      <c r="F1076" s="1226"/>
      <c r="G1076" s="1149"/>
      <c r="H1076" s="1149"/>
      <c r="I1076" s="1149"/>
      <c r="J1076" s="1149"/>
      <c r="K1076" s="1149"/>
      <c r="L1076" s="1149"/>
      <c r="M1076" s="1209">
        <v>252</v>
      </c>
      <c r="N1076" s="1122" t="s">
        <v>137</v>
      </c>
      <c r="O1076" s="1149">
        <v>5756903</v>
      </c>
      <c r="P1076" s="1149">
        <v>5756903</v>
      </c>
      <c r="Q1076" s="1243"/>
      <c r="R1076" s="1171"/>
      <c r="S1076" s="1242"/>
      <c r="T1076" s="1242"/>
      <c r="U1076" s="1242"/>
      <c r="V1076" s="1149">
        <v>5724092</v>
      </c>
      <c r="W1076" s="1149"/>
      <c r="X1076" s="1149"/>
      <c r="Y1076" s="372" t="s">
        <v>1646</v>
      </c>
      <c r="Z1076" s="386"/>
      <c r="AA1076" s="386">
        <f>AD1076</f>
        <v>2289636.7999999998</v>
      </c>
      <c r="AB1076" s="386">
        <f t="shared" si="62"/>
        <v>2289636.7999999998</v>
      </c>
      <c r="AC1076" s="384">
        <v>41554</v>
      </c>
      <c r="AD1076" s="430">
        <v>2289636.7999999998</v>
      </c>
      <c r="AE1076" s="1122" t="s">
        <v>137</v>
      </c>
      <c r="AF1076" s="1084">
        <f>SUM(AD1076:AE1078)</f>
        <v>5724092</v>
      </c>
      <c r="AG1076" s="1084"/>
      <c r="AH1076" s="358"/>
      <c r="AI1076" s="358"/>
      <c r="AJ1076" s="358"/>
      <c r="AK1076" s="358"/>
      <c r="AL1076" s="358"/>
      <c r="AM1076" s="358"/>
      <c r="AN1076" s="1149"/>
      <c r="AO1076" s="382"/>
      <c r="AP1076" s="1204"/>
      <c r="AQ1076" s="1204"/>
    </row>
    <row r="1077" spans="1:43" s="4" customFormat="1" ht="47.25">
      <c r="A1077" s="1149"/>
      <c r="B1077" s="1171"/>
      <c r="C1077" s="1149"/>
      <c r="D1077" s="1149"/>
      <c r="E1077" s="1226"/>
      <c r="F1077" s="1226"/>
      <c r="G1077" s="1149"/>
      <c r="H1077" s="1149"/>
      <c r="I1077" s="1149"/>
      <c r="J1077" s="1149"/>
      <c r="K1077" s="1149"/>
      <c r="L1077" s="1149"/>
      <c r="M1077" s="1209"/>
      <c r="N1077" s="1122"/>
      <c r="O1077" s="1149"/>
      <c r="P1077" s="1149"/>
      <c r="Q1077" s="1243"/>
      <c r="R1077" s="1171"/>
      <c r="S1077" s="1242"/>
      <c r="T1077" s="1242"/>
      <c r="U1077" s="1242"/>
      <c r="V1077" s="1149"/>
      <c r="W1077" s="1149"/>
      <c r="X1077" s="1149"/>
      <c r="Y1077" s="372" t="s">
        <v>1645</v>
      </c>
      <c r="Z1077" s="386">
        <v>5719960</v>
      </c>
      <c r="AA1077" s="386">
        <v>-2287984</v>
      </c>
      <c r="AB1077" s="386">
        <f t="shared" si="62"/>
        <v>3431976</v>
      </c>
      <c r="AC1077" s="384">
        <v>41885</v>
      </c>
      <c r="AD1077" s="395">
        <v>3431976</v>
      </c>
      <c r="AE1077" s="1122"/>
      <c r="AF1077" s="1084"/>
      <c r="AG1077" s="1084"/>
      <c r="AH1077" s="358"/>
      <c r="AI1077" s="358"/>
      <c r="AJ1077" s="358"/>
      <c r="AK1077" s="358"/>
      <c r="AL1077" s="358"/>
      <c r="AM1077" s="358"/>
      <c r="AN1077" s="1149"/>
      <c r="AO1077" s="382"/>
      <c r="AP1077" s="1204"/>
      <c r="AQ1077" s="1204"/>
    </row>
    <row r="1078" spans="1:43" s="4" customFormat="1" ht="31.5">
      <c r="A1078" s="1149"/>
      <c r="B1078" s="1171"/>
      <c r="C1078" s="1149"/>
      <c r="D1078" s="1149"/>
      <c r="E1078" s="1226"/>
      <c r="F1078" s="1226"/>
      <c r="G1078" s="1149"/>
      <c r="H1078" s="1149"/>
      <c r="I1078" s="1149"/>
      <c r="J1078" s="1149"/>
      <c r="K1078" s="1149"/>
      <c r="L1078" s="1149"/>
      <c r="M1078" s="1209"/>
      <c r="N1078" s="1122"/>
      <c r="O1078" s="1149"/>
      <c r="P1078" s="1149"/>
      <c r="Q1078" s="1243"/>
      <c r="R1078" s="1171"/>
      <c r="S1078" s="1242"/>
      <c r="T1078" s="1242"/>
      <c r="U1078" s="1242"/>
      <c r="V1078" s="1149"/>
      <c r="W1078" s="1149"/>
      <c r="X1078" s="1149"/>
      <c r="Y1078" s="372" t="s">
        <v>1644</v>
      </c>
      <c r="Z1078" s="386"/>
      <c r="AA1078" s="386"/>
      <c r="AB1078" s="386">
        <f t="shared" si="62"/>
        <v>0</v>
      </c>
      <c r="AC1078" s="384">
        <v>42990</v>
      </c>
      <c r="AD1078" s="395">
        <v>2479.1999999999998</v>
      </c>
      <c r="AE1078" s="1122"/>
      <c r="AF1078" s="1084"/>
      <c r="AG1078" s="1084"/>
      <c r="AH1078" s="358"/>
      <c r="AI1078" s="358"/>
      <c r="AJ1078" s="358"/>
      <c r="AK1078" s="358"/>
      <c r="AL1078" s="358"/>
      <c r="AM1078" s="358"/>
      <c r="AN1078" s="1149"/>
      <c r="AO1078" s="382"/>
      <c r="AP1078" s="1204"/>
      <c r="AQ1078" s="1204"/>
    </row>
    <row r="1079" spans="1:43" s="4" customFormat="1">
      <c r="A1079" s="1149"/>
      <c r="B1079" s="1171"/>
      <c r="C1079" s="1149" t="s">
        <v>5</v>
      </c>
      <c r="D1079" s="1149"/>
      <c r="E1079" s="1226"/>
      <c r="F1079" s="1226"/>
      <c r="G1079" s="1149"/>
      <c r="H1079" s="1149"/>
      <c r="I1079" s="1149"/>
      <c r="J1079" s="1149"/>
      <c r="K1079" s="1149"/>
      <c r="L1079" s="1149"/>
      <c r="M1079" s="1209">
        <v>5</v>
      </c>
      <c r="N1079" s="1122" t="s">
        <v>150</v>
      </c>
      <c r="O1079" s="1149">
        <v>54028759</v>
      </c>
      <c r="P1079" s="1149">
        <v>54028759</v>
      </c>
      <c r="Q1079" s="1243"/>
      <c r="R1079" s="1171"/>
      <c r="S1079" s="1244"/>
      <c r="T1079" s="1244"/>
      <c r="U1079" s="1244"/>
      <c r="V1079" s="1149">
        <v>53720823</v>
      </c>
      <c r="W1079" s="1149"/>
      <c r="X1079" s="1149"/>
      <c r="Y1079" s="372" t="s">
        <v>1643</v>
      </c>
      <c r="Z1079" s="386"/>
      <c r="AA1079" s="386">
        <v>21478560</v>
      </c>
      <c r="AB1079" s="386">
        <f t="shared" si="62"/>
        <v>21478560</v>
      </c>
      <c r="AC1079" s="384">
        <v>41554</v>
      </c>
      <c r="AD1079" s="395">
        <v>21488329.199999999</v>
      </c>
      <c r="AE1079" s="1122" t="s">
        <v>150</v>
      </c>
      <c r="AF1079" s="1084">
        <f>SUM(AD1079:AE1082)</f>
        <v>49517850</v>
      </c>
      <c r="AG1079" s="1084"/>
      <c r="AH1079" s="358"/>
      <c r="AI1079" s="358"/>
      <c r="AJ1079" s="358"/>
      <c r="AK1079" s="358"/>
      <c r="AL1079" s="358"/>
      <c r="AM1079" s="358"/>
      <c r="AN1079" s="1149"/>
      <c r="AO1079" s="382"/>
      <c r="AP1079" s="1204"/>
      <c r="AQ1079" s="1204"/>
    </row>
    <row r="1080" spans="1:43" s="4" customFormat="1">
      <c r="A1080" s="1149"/>
      <c r="B1080" s="1171"/>
      <c r="C1080" s="1149"/>
      <c r="D1080" s="1149"/>
      <c r="E1080" s="1226"/>
      <c r="F1080" s="1226"/>
      <c r="G1080" s="1149"/>
      <c r="H1080" s="1149"/>
      <c r="I1080" s="1149"/>
      <c r="J1080" s="1149"/>
      <c r="K1080" s="1149"/>
      <c r="L1080" s="1149"/>
      <c r="M1080" s="1209"/>
      <c r="N1080" s="1122"/>
      <c r="O1080" s="1149"/>
      <c r="P1080" s="1149"/>
      <c r="Q1080" s="1243"/>
      <c r="R1080" s="1171"/>
      <c r="S1080" s="1244"/>
      <c r="T1080" s="1244"/>
      <c r="U1080" s="1244"/>
      <c r="V1080" s="1149"/>
      <c r="W1080" s="1149"/>
      <c r="X1080" s="1149"/>
      <c r="Y1080" s="372" t="s">
        <v>1642</v>
      </c>
      <c r="Z1080" s="386">
        <v>18793740</v>
      </c>
      <c r="AA1080" s="386">
        <v>-7517496</v>
      </c>
      <c r="AB1080" s="386">
        <f t="shared" si="62"/>
        <v>11276244</v>
      </c>
      <c r="AC1080" s="384">
        <v>41885</v>
      </c>
      <c r="AD1080" s="395">
        <v>11276244</v>
      </c>
      <c r="AE1080" s="1122"/>
      <c r="AF1080" s="1084"/>
      <c r="AG1080" s="1084"/>
      <c r="AH1080" s="358"/>
      <c r="AI1080" s="358"/>
      <c r="AJ1080" s="358"/>
      <c r="AK1080" s="358"/>
      <c r="AL1080" s="358"/>
      <c r="AM1080" s="358"/>
      <c r="AN1080" s="1149"/>
      <c r="AO1080" s="382"/>
      <c r="AP1080" s="1204"/>
      <c r="AQ1080" s="1204"/>
    </row>
    <row r="1081" spans="1:43" s="4" customFormat="1">
      <c r="A1081" s="1149"/>
      <c r="B1081" s="1171"/>
      <c r="C1081" s="1149"/>
      <c r="D1081" s="1149"/>
      <c r="E1081" s="1226"/>
      <c r="F1081" s="1226"/>
      <c r="G1081" s="1149"/>
      <c r="H1081" s="1149"/>
      <c r="I1081" s="1149"/>
      <c r="J1081" s="1149"/>
      <c r="K1081" s="1149"/>
      <c r="L1081" s="1149"/>
      <c r="M1081" s="1209"/>
      <c r="N1081" s="1122"/>
      <c r="O1081" s="1149"/>
      <c r="P1081" s="1149"/>
      <c r="Q1081" s="1243"/>
      <c r="R1081" s="1171"/>
      <c r="S1081" s="1244"/>
      <c r="T1081" s="1244"/>
      <c r="U1081" s="1244"/>
      <c r="V1081" s="1149"/>
      <c r="W1081" s="1149"/>
      <c r="X1081" s="1149"/>
      <c r="Y1081" s="372" t="s">
        <v>1641</v>
      </c>
      <c r="Z1081" s="386">
        <v>8054460</v>
      </c>
      <c r="AA1081" s="386">
        <v>-3221784</v>
      </c>
      <c r="AB1081" s="386">
        <f t="shared" si="62"/>
        <v>4832676</v>
      </c>
      <c r="AC1081" s="384">
        <v>42047</v>
      </c>
      <c r="AD1081" s="395">
        <v>4832676</v>
      </c>
      <c r="AE1081" s="1122"/>
      <c r="AF1081" s="1084"/>
      <c r="AG1081" s="1084"/>
      <c r="AH1081" s="358"/>
      <c r="AI1081" s="358"/>
      <c r="AJ1081" s="358"/>
      <c r="AK1081" s="358"/>
      <c r="AL1081" s="358"/>
      <c r="AM1081" s="358"/>
      <c r="AN1081" s="1149"/>
      <c r="AO1081" s="382"/>
      <c r="AP1081" s="1204"/>
      <c r="AQ1081" s="1204"/>
    </row>
    <row r="1082" spans="1:43" s="4" customFormat="1" ht="31.5">
      <c r="A1082" s="1149"/>
      <c r="B1082" s="1171"/>
      <c r="C1082" s="1149"/>
      <c r="D1082" s="1149"/>
      <c r="E1082" s="1226"/>
      <c r="F1082" s="1226"/>
      <c r="G1082" s="1149"/>
      <c r="H1082" s="1149"/>
      <c r="I1082" s="1149"/>
      <c r="J1082" s="1149"/>
      <c r="K1082" s="1149"/>
      <c r="L1082" s="1149"/>
      <c r="M1082" s="1209"/>
      <c r="N1082" s="1122"/>
      <c r="O1082" s="1149"/>
      <c r="P1082" s="1149"/>
      <c r="Q1082" s="1243"/>
      <c r="R1082" s="1171"/>
      <c r="S1082" s="1244"/>
      <c r="T1082" s="1244"/>
      <c r="U1082" s="1244"/>
      <c r="V1082" s="1149"/>
      <c r="W1082" s="1149"/>
      <c r="X1082" s="1149"/>
      <c r="Y1082" s="372" t="s">
        <v>1640</v>
      </c>
      <c r="Z1082" s="386"/>
      <c r="AA1082" s="386"/>
      <c r="AB1082" s="386"/>
      <c r="AC1082" s="384">
        <v>42990</v>
      </c>
      <c r="AD1082" s="395">
        <v>11920600.800000001</v>
      </c>
      <c r="AE1082" s="1122"/>
      <c r="AF1082" s="1084"/>
      <c r="AG1082" s="1084"/>
      <c r="AH1082" s="358"/>
      <c r="AI1082" s="358"/>
      <c r="AJ1082" s="358"/>
      <c r="AK1082" s="358"/>
      <c r="AL1082" s="358"/>
      <c r="AM1082" s="358"/>
      <c r="AN1082" s="1149"/>
      <c r="AO1082" s="382"/>
      <c r="AP1082" s="1204"/>
      <c r="AQ1082" s="1204"/>
    </row>
    <row r="1083" spans="1:43" s="4" customFormat="1">
      <c r="A1083" s="1149"/>
      <c r="B1083" s="1171"/>
      <c r="C1083" s="1149" t="s">
        <v>39</v>
      </c>
      <c r="D1083" s="1149"/>
      <c r="E1083" s="1226"/>
      <c r="F1083" s="1226"/>
      <c r="G1083" s="1149"/>
      <c r="H1083" s="1149"/>
      <c r="I1083" s="1149"/>
      <c r="J1083" s="1149" t="s">
        <v>67</v>
      </c>
      <c r="K1083" s="1149"/>
      <c r="L1083" s="1149"/>
      <c r="M1083" s="1209">
        <v>6</v>
      </c>
      <c r="N1083" s="1122" t="s">
        <v>164</v>
      </c>
      <c r="O1083" s="1149">
        <v>90795881</v>
      </c>
      <c r="P1083" s="1149">
        <v>90795881</v>
      </c>
      <c r="Q1083" s="1243"/>
      <c r="R1083" s="1171"/>
      <c r="S1083" s="1242"/>
      <c r="T1083" s="1242"/>
      <c r="U1083" s="1242"/>
      <c r="V1083" s="1149">
        <v>17520415</v>
      </c>
      <c r="W1083" s="1149"/>
      <c r="X1083" s="1149"/>
      <c r="Y1083" s="372" t="s">
        <v>1639</v>
      </c>
      <c r="Z1083" s="386">
        <v>10199938</v>
      </c>
      <c r="AA1083" s="386"/>
      <c r="AB1083" s="386">
        <f>SUM(Z1083:AA1083)</f>
        <v>10199938</v>
      </c>
      <c r="AC1083" s="384">
        <v>42047</v>
      </c>
      <c r="AD1083" s="395">
        <v>10199938</v>
      </c>
      <c r="AE1083" s="1122" t="s">
        <v>164</v>
      </c>
      <c r="AF1083" s="1084">
        <f>SUM(AD1083:AD1084)</f>
        <v>17520415</v>
      </c>
      <c r="AG1083" s="1084"/>
      <c r="AH1083" s="358"/>
      <c r="AI1083" s="358"/>
      <c r="AJ1083" s="358"/>
      <c r="AK1083" s="358"/>
      <c r="AL1083" s="358"/>
      <c r="AM1083" s="358"/>
      <c r="AN1083" s="1149"/>
      <c r="AO1083" s="382"/>
      <c r="AP1083" s="1204"/>
      <c r="AQ1083" s="1204"/>
    </row>
    <row r="1084" spans="1:43" s="4" customFormat="1" ht="31.5">
      <c r="A1084" s="1149"/>
      <c r="B1084" s="1171"/>
      <c r="C1084" s="1149"/>
      <c r="D1084" s="1149"/>
      <c r="E1084" s="1226"/>
      <c r="F1084" s="1226"/>
      <c r="G1084" s="1149"/>
      <c r="H1084" s="1149"/>
      <c r="I1084" s="1149"/>
      <c r="J1084" s="1149"/>
      <c r="K1084" s="1149"/>
      <c r="L1084" s="1149"/>
      <c r="M1084" s="1209"/>
      <c r="N1084" s="1122"/>
      <c r="O1084" s="1149"/>
      <c r="P1084" s="1149"/>
      <c r="Q1084" s="1243"/>
      <c r="R1084" s="1171"/>
      <c r="S1084" s="1242"/>
      <c r="T1084" s="1242"/>
      <c r="U1084" s="1242"/>
      <c r="V1084" s="1149"/>
      <c r="W1084" s="1149"/>
      <c r="X1084" s="1149"/>
      <c r="Y1084" s="372" t="s">
        <v>1638</v>
      </c>
      <c r="Z1084" s="386"/>
      <c r="AA1084" s="386"/>
      <c r="AB1084" s="386"/>
      <c r="AC1084" s="384">
        <v>42990</v>
      </c>
      <c r="AD1084" s="395">
        <v>7320477</v>
      </c>
      <c r="AE1084" s="1122"/>
      <c r="AF1084" s="1084"/>
      <c r="AG1084" s="1084"/>
      <c r="AH1084" s="358"/>
      <c r="AI1084" s="358"/>
      <c r="AJ1084" s="358"/>
      <c r="AK1084" s="358"/>
      <c r="AL1084" s="358"/>
      <c r="AM1084" s="358"/>
      <c r="AN1084" s="1149"/>
      <c r="AO1084" s="382"/>
      <c r="AP1084" s="1204"/>
      <c r="AQ1084" s="1204"/>
    </row>
    <row r="1085" spans="1:43" s="4" customFormat="1" ht="31.5">
      <c r="A1085" s="1149"/>
      <c r="B1085" s="1171"/>
      <c r="C1085" s="382" t="s">
        <v>5</v>
      </c>
      <c r="D1085" s="1149"/>
      <c r="E1085" s="1226"/>
      <c r="F1085" s="1226"/>
      <c r="G1085" s="1149"/>
      <c r="H1085" s="1149"/>
      <c r="I1085" s="1149"/>
      <c r="J1085" s="382" t="s">
        <v>171</v>
      </c>
      <c r="K1085" s="1149"/>
      <c r="L1085" s="1149"/>
      <c r="M1085" s="389">
        <v>9</v>
      </c>
      <c r="N1085" s="371" t="s">
        <v>150</v>
      </c>
      <c r="O1085" s="382">
        <v>14713032</v>
      </c>
      <c r="P1085" s="382">
        <v>14713032</v>
      </c>
      <c r="Q1085" s="1243"/>
      <c r="R1085" s="384"/>
      <c r="S1085" s="402"/>
      <c r="T1085" s="403"/>
      <c r="U1085" s="403"/>
      <c r="V1085" s="382">
        <f>O1085</f>
        <v>14713032</v>
      </c>
      <c r="W1085" s="1149"/>
      <c r="X1085" s="1149"/>
      <c r="Y1085" s="372"/>
      <c r="Z1085" s="386"/>
      <c r="AA1085" s="386"/>
      <c r="AB1085" s="386"/>
      <c r="AC1085" s="384"/>
      <c r="AD1085" s="395"/>
      <c r="AE1085" s="371" t="s">
        <v>150</v>
      </c>
      <c r="AF1085" s="358">
        <f>AD1085</f>
        <v>0</v>
      </c>
      <c r="AG1085" s="1084"/>
      <c r="AH1085" s="358"/>
      <c r="AI1085" s="358"/>
      <c r="AJ1085" s="358"/>
      <c r="AK1085" s="358"/>
      <c r="AL1085" s="358"/>
      <c r="AM1085" s="358"/>
      <c r="AN1085" s="1149"/>
      <c r="AO1085" s="382"/>
      <c r="AP1085" s="1204"/>
      <c r="AQ1085" s="1204"/>
    </row>
    <row r="1086" spans="1:43" s="4" customFormat="1" ht="47.25">
      <c r="A1086" s="1149"/>
      <c r="B1086" s="1171"/>
      <c r="C1086" s="382" t="s">
        <v>21</v>
      </c>
      <c r="D1086" s="1149"/>
      <c r="E1086" s="1226"/>
      <c r="F1086" s="1226"/>
      <c r="G1086" s="1149"/>
      <c r="H1086" s="1149"/>
      <c r="I1086" s="1149"/>
      <c r="J1086" s="382" t="s">
        <v>172</v>
      </c>
      <c r="K1086" s="1149"/>
      <c r="L1086" s="1149"/>
      <c r="M1086" s="389">
        <v>8</v>
      </c>
      <c r="N1086" s="371" t="s">
        <v>144</v>
      </c>
      <c r="O1086" s="382">
        <v>4019672</v>
      </c>
      <c r="P1086" s="382">
        <v>4019672</v>
      </c>
      <c r="Q1086" s="1243"/>
      <c r="R1086" s="384"/>
      <c r="S1086" s="402"/>
      <c r="T1086" s="403"/>
      <c r="U1086" s="403"/>
      <c r="V1086" s="382">
        <v>4019672</v>
      </c>
      <c r="W1086" s="1149"/>
      <c r="X1086" s="1149"/>
      <c r="Y1086" s="372" t="s">
        <v>1637</v>
      </c>
      <c r="Z1086" s="386"/>
      <c r="AA1086" s="386"/>
      <c r="AB1086" s="386"/>
      <c r="AC1086" s="384">
        <v>42990</v>
      </c>
      <c r="AD1086" s="395">
        <v>3617705</v>
      </c>
      <c r="AE1086" s="371" t="s">
        <v>144</v>
      </c>
      <c r="AF1086" s="358">
        <f>AD1086</f>
        <v>3617705</v>
      </c>
      <c r="AG1086" s="1084"/>
      <c r="AH1086" s="358"/>
      <c r="AI1086" s="358"/>
      <c r="AJ1086" s="358"/>
      <c r="AK1086" s="358"/>
      <c r="AL1086" s="358"/>
      <c r="AM1086" s="358"/>
      <c r="AN1086" s="1149"/>
      <c r="AO1086" s="382"/>
      <c r="AP1086" s="1204"/>
      <c r="AQ1086" s="1204"/>
    </row>
    <row r="1087" spans="1:43" ht="15" customHeight="1">
      <c r="A1087" s="1076" t="s">
        <v>1626</v>
      </c>
      <c r="B1087" s="1171">
        <v>41478</v>
      </c>
      <c r="C1087" s="1076" t="s">
        <v>9</v>
      </c>
      <c r="D1087" s="1076" t="s">
        <v>1627</v>
      </c>
      <c r="E1087" s="1208">
        <v>16627434</v>
      </c>
      <c r="F1087" s="1208">
        <v>3</v>
      </c>
      <c r="G1087" s="1076" t="s">
        <v>1628</v>
      </c>
      <c r="H1087" s="1076" t="s">
        <v>71</v>
      </c>
      <c r="I1087" s="1076" t="s">
        <v>1221</v>
      </c>
      <c r="J1087" s="1076" t="s">
        <v>66</v>
      </c>
      <c r="K1087" s="1076" t="s">
        <v>183</v>
      </c>
      <c r="L1087" s="1076" t="s">
        <v>1635</v>
      </c>
      <c r="M1087" s="1209">
        <v>271</v>
      </c>
      <c r="N1087" s="1123" t="s">
        <v>7</v>
      </c>
      <c r="O1087" s="1119">
        <v>313196209</v>
      </c>
      <c r="P1087" s="1119">
        <f>O1087+O1093</f>
        <v>332184962</v>
      </c>
      <c r="Q1087" s="1119">
        <f>P1087+P1097+P1102</f>
        <v>1301723353</v>
      </c>
      <c r="R1087" s="1171">
        <v>41239</v>
      </c>
      <c r="S1087" s="1196">
        <f>Q1087</f>
        <v>1301723353</v>
      </c>
      <c r="T1087" s="1196">
        <v>313196209</v>
      </c>
      <c r="U1087" s="1196">
        <f>O1087-T1087</f>
        <v>0</v>
      </c>
      <c r="V1087" s="1084">
        <v>310864962</v>
      </c>
      <c r="W1087" s="1119">
        <f>873794155+V1102</f>
        <v>1301723353</v>
      </c>
      <c r="X1087" s="1076" t="s">
        <v>1550</v>
      </c>
      <c r="Y1087" s="1123" t="s">
        <v>1629</v>
      </c>
      <c r="Z1087" s="386">
        <v>5177943.8</v>
      </c>
      <c r="AA1087" s="386">
        <v>0</v>
      </c>
      <c r="AB1087" s="386">
        <f>Z1087+AA1087</f>
        <v>5177943.8</v>
      </c>
      <c r="AC1087" s="1171">
        <v>41632</v>
      </c>
      <c r="AD1087" s="57">
        <v>5177943.8</v>
      </c>
      <c r="AE1087" s="371" t="s">
        <v>137</v>
      </c>
      <c r="AF1087" s="1084">
        <f>SUM(AD1087:AD1096)</f>
        <v>332184962.00000006</v>
      </c>
      <c r="AG1087" s="1084">
        <f>AF1087+AF1097+AF1102</f>
        <v>1301723353.02</v>
      </c>
      <c r="AH1087" s="358">
        <f>AB1087-AD1087</f>
        <v>0</v>
      </c>
      <c r="AI1087" s="1084">
        <f>O1087-AD1088-AD1090-AD1091-AD1092-AD1094-AD1096</f>
        <v>-5315774.9500000142</v>
      </c>
      <c r="AJ1087" s="1119">
        <f>SUM(Z1087:Z1104)-SUM(AD1087:AD1104)</f>
        <v>0</v>
      </c>
      <c r="AK1087" s="1119">
        <f>O1087-V1087</f>
        <v>2331247</v>
      </c>
      <c r="AL1087" s="1119">
        <f>(V1087+V1093)-SUM(Z1087:Z1096)</f>
        <v>-2472588.0000000596</v>
      </c>
      <c r="AM1087" s="1119">
        <f>AK1087+AK1093+AL1087</f>
        <v>-5.9604644775390625E-8</v>
      </c>
      <c r="AN1087" s="1203" t="s">
        <v>523</v>
      </c>
      <c r="AO1087" s="1204" t="s">
        <v>1636</v>
      </c>
      <c r="AP1087" s="1204" t="s">
        <v>194</v>
      </c>
      <c r="AQ1087" s="1204" t="s">
        <v>1619</v>
      </c>
    </row>
    <row r="1088" spans="1:43">
      <c r="A1088" s="1076"/>
      <c r="B1088" s="1171"/>
      <c r="C1088" s="1076"/>
      <c r="D1088" s="1076"/>
      <c r="E1088" s="1208"/>
      <c r="F1088" s="1208"/>
      <c r="G1088" s="1076"/>
      <c r="H1088" s="1076"/>
      <c r="I1088" s="1076"/>
      <c r="J1088" s="1076"/>
      <c r="K1088" s="1076"/>
      <c r="L1088" s="1076"/>
      <c r="M1088" s="1209"/>
      <c r="N1088" s="1123"/>
      <c r="O1088" s="1119"/>
      <c r="P1088" s="1119"/>
      <c r="Q1088" s="1119"/>
      <c r="R1088" s="1171"/>
      <c r="S1088" s="1196"/>
      <c r="T1088" s="1196"/>
      <c r="U1088" s="1196"/>
      <c r="V1088" s="1084"/>
      <c r="W1088" s="1119"/>
      <c r="X1088" s="1076"/>
      <c r="Y1088" s="1123"/>
      <c r="Z1088" s="386">
        <v>85403837.109999999</v>
      </c>
      <c r="AA1088" s="386">
        <v>0</v>
      </c>
      <c r="AB1088" s="386">
        <f t="shared" ref="AB1088:AB1132" si="63">Z1088+AA1088</f>
        <v>85403837.109999999</v>
      </c>
      <c r="AC1088" s="1171"/>
      <c r="AD1088" s="395">
        <v>85403837.109999999</v>
      </c>
      <c r="AE1088" s="371" t="s">
        <v>7</v>
      </c>
      <c r="AF1088" s="1084"/>
      <c r="AG1088" s="1084"/>
      <c r="AH1088" s="358">
        <f t="shared" ref="AH1088:AH1096" si="64">AB1088-AD1088</f>
        <v>0</v>
      </c>
      <c r="AI1088" s="1084"/>
      <c r="AJ1088" s="1119"/>
      <c r="AK1088" s="1119"/>
      <c r="AL1088" s="1119"/>
      <c r="AM1088" s="1119"/>
      <c r="AN1088" s="1203"/>
      <c r="AO1088" s="1204"/>
      <c r="AP1088" s="1204"/>
      <c r="AQ1088" s="1204"/>
    </row>
    <row r="1089" spans="1:43" ht="31.5">
      <c r="A1089" s="1076"/>
      <c r="B1089" s="1171"/>
      <c r="C1089" s="1076"/>
      <c r="D1089" s="1076"/>
      <c r="E1089" s="1208"/>
      <c r="F1089" s="1208"/>
      <c r="G1089" s="1076"/>
      <c r="H1089" s="1076"/>
      <c r="I1089" s="1076"/>
      <c r="J1089" s="1076"/>
      <c r="K1089" s="1076"/>
      <c r="L1089" s="1076"/>
      <c r="M1089" s="1209"/>
      <c r="N1089" s="1123"/>
      <c r="O1089" s="1119"/>
      <c r="P1089" s="1119"/>
      <c r="Q1089" s="1119"/>
      <c r="R1089" s="1171"/>
      <c r="S1089" s="1196"/>
      <c r="T1089" s="1196"/>
      <c r="U1089" s="1196"/>
      <c r="V1089" s="1084"/>
      <c r="W1089" s="1119"/>
      <c r="X1089" s="1076"/>
      <c r="Y1089" s="1123" t="s">
        <v>1630</v>
      </c>
      <c r="Z1089" s="386">
        <v>6468870.1799999997</v>
      </c>
      <c r="AA1089" s="386">
        <v>0</v>
      </c>
      <c r="AB1089" s="386">
        <f t="shared" si="63"/>
        <v>6468870.1799999997</v>
      </c>
      <c r="AC1089" s="1171">
        <v>41705</v>
      </c>
      <c r="AD1089" s="395">
        <v>6468870.1799999997</v>
      </c>
      <c r="AE1089" s="371" t="s">
        <v>137</v>
      </c>
      <c r="AF1089" s="1084"/>
      <c r="AG1089" s="1084"/>
      <c r="AH1089" s="358">
        <f t="shared" si="64"/>
        <v>0</v>
      </c>
      <c r="AI1089" s="1084"/>
      <c r="AJ1089" s="1119"/>
      <c r="AK1089" s="1119"/>
      <c r="AL1089" s="1119"/>
      <c r="AM1089" s="1119"/>
      <c r="AN1089" s="1203"/>
      <c r="AO1089" s="1204"/>
      <c r="AP1089" s="1204"/>
      <c r="AQ1089" s="1204"/>
    </row>
    <row r="1090" spans="1:43">
      <c r="A1090" s="1076"/>
      <c r="B1090" s="1171"/>
      <c r="C1090" s="1076"/>
      <c r="D1090" s="1076"/>
      <c r="E1090" s="1208"/>
      <c r="F1090" s="1208"/>
      <c r="G1090" s="1076"/>
      <c r="H1090" s="1076"/>
      <c r="I1090" s="1076"/>
      <c r="J1090" s="1076"/>
      <c r="K1090" s="1076"/>
      <c r="L1090" s="1076"/>
      <c r="M1090" s="1209"/>
      <c r="N1090" s="1123"/>
      <c r="O1090" s="1119"/>
      <c r="P1090" s="1119"/>
      <c r="Q1090" s="1119"/>
      <c r="R1090" s="1171"/>
      <c r="S1090" s="1196"/>
      <c r="T1090" s="1196"/>
      <c r="U1090" s="1196"/>
      <c r="V1090" s="1084"/>
      <c r="W1090" s="1119"/>
      <c r="X1090" s="1076"/>
      <c r="Y1090" s="1123"/>
      <c r="Z1090" s="386">
        <v>106696085.63</v>
      </c>
      <c r="AA1090" s="386">
        <v>0</v>
      </c>
      <c r="AB1090" s="386">
        <f t="shared" si="63"/>
        <v>106696085.63</v>
      </c>
      <c r="AC1090" s="1171"/>
      <c r="AD1090" s="395">
        <v>106696085.63</v>
      </c>
      <c r="AE1090" s="371" t="s">
        <v>7</v>
      </c>
      <c r="AF1090" s="1084"/>
      <c r="AG1090" s="1084"/>
      <c r="AH1090" s="358">
        <f t="shared" si="64"/>
        <v>0</v>
      </c>
      <c r="AI1090" s="1084"/>
      <c r="AJ1090" s="1119"/>
      <c r="AK1090" s="1119"/>
      <c r="AL1090" s="1119"/>
      <c r="AM1090" s="1119"/>
      <c r="AN1090" s="1203"/>
      <c r="AO1090" s="1204"/>
      <c r="AP1090" s="1204"/>
      <c r="AQ1090" s="1204"/>
    </row>
    <row r="1091" spans="1:43">
      <c r="A1091" s="1076"/>
      <c r="B1091" s="1171"/>
      <c r="C1091" s="1076"/>
      <c r="D1091" s="1076"/>
      <c r="E1091" s="1208"/>
      <c r="F1091" s="1208"/>
      <c r="G1091" s="1076"/>
      <c r="H1091" s="1076"/>
      <c r="I1091" s="1076"/>
      <c r="J1091" s="1076"/>
      <c r="K1091" s="1076"/>
      <c r="L1091" s="1076"/>
      <c r="M1091" s="1209"/>
      <c r="N1091" s="1123"/>
      <c r="O1091" s="1119"/>
      <c r="P1091" s="1119"/>
      <c r="Q1091" s="1119"/>
      <c r="R1091" s="1171"/>
      <c r="S1091" s="1196"/>
      <c r="T1091" s="1196"/>
      <c r="U1091" s="1196"/>
      <c r="V1091" s="1084"/>
      <c r="W1091" s="1119"/>
      <c r="X1091" s="1076"/>
      <c r="Y1091" s="1123" t="s">
        <v>1631</v>
      </c>
      <c r="Z1091" s="386">
        <v>5315774.95</v>
      </c>
      <c r="AA1091" s="386">
        <v>0</v>
      </c>
      <c r="AB1091" s="386">
        <f t="shared" si="63"/>
        <v>5315774.95</v>
      </c>
      <c r="AC1091" s="1171">
        <v>41802</v>
      </c>
      <c r="AD1091" s="395">
        <v>5315774.95</v>
      </c>
      <c r="AE1091" s="371" t="s">
        <v>7</v>
      </c>
      <c r="AF1091" s="1084"/>
      <c r="AG1091" s="1084"/>
      <c r="AH1091" s="358">
        <f t="shared" si="64"/>
        <v>0</v>
      </c>
      <c r="AI1091" s="1084"/>
      <c r="AJ1091" s="1119"/>
      <c r="AK1091" s="1119"/>
      <c r="AL1091" s="1119"/>
      <c r="AM1091" s="1119"/>
      <c r="AN1091" s="1203"/>
      <c r="AO1091" s="1204"/>
      <c r="AP1091" s="1204"/>
      <c r="AQ1091" s="1204"/>
    </row>
    <row r="1092" spans="1:43">
      <c r="A1092" s="1076"/>
      <c r="B1092" s="1171"/>
      <c r="C1092" s="1076"/>
      <c r="D1092" s="1076"/>
      <c r="E1092" s="1208"/>
      <c r="F1092" s="1208"/>
      <c r="G1092" s="1076"/>
      <c r="H1092" s="1076"/>
      <c r="I1092" s="1076"/>
      <c r="J1092" s="1076"/>
      <c r="K1092" s="1076"/>
      <c r="L1092" s="1076"/>
      <c r="M1092" s="1209"/>
      <c r="N1092" s="1123"/>
      <c r="O1092" s="1119"/>
      <c r="P1092" s="1119"/>
      <c r="Q1092" s="1119"/>
      <c r="R1092" s="1171"/>
      <c r="S1092" s="1196"/>
      <c r="T1092" s="1196"/>
      <c r="U1092" s="1196"/>
      <c r="V1092" s="1084"/>
      <c r="W1092" s="1119"/>
      <c r="X1092" s="1076"/>
      <c r="Y1092" s="1123"/>
      <c r="Z1092" s="386">
        <v>87677193.060000002</v>
      </c>
      <c r="AA1092" s="386">
        <v>0</v>
      </c>
      <c r="AB1092" s="386">
        <f t="shared" si="63"/>
        <v>87677193.060000002</v>
      </c>
      <c r="AC1092" s="1171"/>
      <c r="AD1092" s="395">
        <v>87677193.060000002</v>
      </c>
      <c r="AE1092" s="371" t="s">
        <v>7</v>
      </c>
      <c r="AF1092" s="1084"/>
      <c r="AG1092" s="1084"/>
      <c r="AH1092" s="358">
        <f t="shared" si="64"/>
        <v>0</v>
      </c>
      <c r="AI1092" s="1084"/>
      <c r="AJ1092" s="1119"/>
      <c r="AK1092" s="1119"/>
      <c r="AL1092" s="1119"/>
      <c r="AM1092" s="1119"/>
      <c r="AN1092" s="1203"/>
      <c r="AO1092" s="1204"/>
      <c r="AP1092" s="1204"/>
      <c r="AQ1092" s="1204"/>
    </row>
    <row r="1093" spans="1:43" ht="31.5">
      <c r="A1093" s="1076"/>
      <c r="B1093" s="1171"/>
      <c r="C1093" s="1076"/>
      <c r="D1093" s="1076"/>
      <c r="E1093" s="1208"/>
      <c r="F1093" s="1208"/>
      <c r="G1093" s="1076"/>
      <c r="H1093" s="1076"/>
      <c r="I1093" s="1076"/>
      <c r="J1093" s="1076"/>
      <c r="K1093" s="1076"/>
      <c r="L1093" s="1076"/>
      <c r="M1093" s="1209"/>
      <c r="N1093" s="1123" t="s">
        <v>137</v>
      </c>
      <c r="O1093" s="1119">
        <v>18988753</v>
      </c>
      <c r="P1093" s="1119"/>
      <c r="Q1093" s="1119"/>
      <c r="R1093" s="1171"/>
      <c r="S1093" s="1196"/>
      <c r="T1093" s="1196">
        <v>18988753</v>
      </c>
      <c r="U1093" s="1196">
        <f>O1093-T1093</f>
        <v>0</v>
      </c>
      <c r="V1093" s="1084">
        <v>18847412</v>
      </c>
      <c r="W1093" s="1119"/>
      <c r="X1093" s="1076"/>
      <c r="Y1093" s="1123" t="s">
        <v>1632</v>
      </c>
      <c r="Z1093" s="386">
        <v>1884823.06</v>
      </c>
      <c r="AA1093" s="386">
        <v>0</v>
      </c>
      <c r="AB1093" s="386">
        <f t="shared" si="63"/>
        <v>1884823.06</v>
      </c>
      <c r="AC1093" s="1171">
        <v>42619</v>
      </c>
      <c r="AD1093" s="395">
        <v>1884823.06</v>
      </c>
      <c r="AE1093" s="371" t="s">
        <v>137</v>
      </c>
      <c r="AF1093" s="1084"/>
      <c r="AG1093" s="1084"/>
      <c r="AH1093" s="358">
        <f t="shared" si="64"/>
        <v>0</v>
      </c>
      <c r="AI1093" s="1084">
        <f>O1093-AD1087-AD1089-AD1093-AD1095</f>
        <v>5315774.9499999993</v>
      </c>
      <c r="AJ1093" s="1119"/>
      <c r="AK1093" s="1119">
        <f>O1093-V1093</f>
        <v>141341</v>
      </c>
      <c r="AL1093" s="1119"/>
      <c r="AM1093" s="1119"/>
      <c r="AN1093" s="1203"/>
      <c r="AO1093" s="1204"/>
      <c r="AP1093" s="1204"/>
      <c r="AQ1093" s="1204"/>
    </row>
    <row r="1094" spans="1:43">
      <c r="A1094" s="1076"/>
      <c r="B1094" s="1171"/>
      <c r="C1094" s="1076"/>
      <c r="D1094" s="1076"/>
      <c r="E1094" s="1208"/>
      <c r="F1094" s="1208"/>
      <c r="G1094" s="1076"/>
      <c r="H1094" s="1076"/>
      <c r="I1094" s="1076"/>
      <c r="J1094" s="1076"/>
      <c r="K1094" s="1076"/>
      <c r="L1094" s="1076"/>
      <c r="M1094" s="1209"/>
      <c r="N1094" s="1123"/>
      <c r="O1094" s="1119"/>
      <c r="P1094" s="1119"/>
      <c r="Q1094" s="1119"/>
      <c r="R1094" s="1171"/>
      <c r="S1094" s="1196"/>
      <c r="T1094" s="1196"/>
      <c r="U1094" s="1196"/>
      <c r="V1094" s="1084"/>
      <c r="W1094" s="1119"/>
      <c r="X1094" s="1076"/>
      <c r="Y1094" s="1123"/>
      <c r="Z1094" s="386">
        <v>31087846.539999999</v>
      </c>
      <c r="AA1094" s="386">
        <v>0</v>
      </c>
      <c r="AB1094" s="386">
        <f t="shared" si="63"/>
        <v>31087846.539999999</v>
      </c>
      <c r="AC1094" s="1171"/>
      <c r="AD1094" s="395">
        <v>31087846.539999999</v>
      </c>
      <c r="AE1094" s="371" t="s">
        <v>7</v>
      </c>
      <c r="AF1094" s="1084"/>
      <c r="AG1094" s="1084"/>
      <c r="AH1094" s="358">
        <f t="shared" si="64"/>
        <v>0</v>
      </c>
      <c r="AI1094" s="1084"/>
      <c r="AJ1094" s="1119"/>
      <c r="AK1094" s="1119"/>
      <c r="AL1094" s="1119"/>
      <c r="AM1094" s="1119"/>
      <c r="AN1094" s="1203"/>
      <c r="AO1094" s="1204"/>
      <c r="AP1094" s="1204"/>
      <c r="AQ1094" s="1204"/>
    </row>
    <row r="1095" spans="1:43" ht="31.5">
      <c r="A1095" s="1076"/>
      <c r="B1095" s="1171"/>
      <c r="C1095" s="1076"/>
      <c r="D1095" s="1076"/>
      <c r="E1095" s="1208"/>
      <c r="F1095" s="1208"/>
      <c r="G1095" s="1076"/>
      <c r="H1095" s="1076"/>
      <c r="I1095" s="1076"/>
      <c r="J1095" s="1076"/>
      <c r="K1095" s="1076"/>
      <c r="L1095" s="1076"/>
      <c r="M1095" s="1209"/>
      <c r="N1095" s="1123"/>
      <c r="O1095" s="1119"/>
      <c r="P1095" s="1119"/>
      <c r="Q1095" s="1119"/>
      <c r="R1095" s="1171"/>
      <c r="S1095" s="1196"/>
      <c r="T1095" s="1196"/>
      <c r="U1095" s="1196"/>
      <c r="V1095" s="1084"/>
      <c r="W1095" s="1119"/>
      <c r="X1095" s="1076"/>
      <c r="Y1095" s="1123" t="s">
        <v>1633</v>
      </c>
      <c r="Z1095" s="386">
        <v>141341.01</v>
      </c>
      <c r="AA1095" s="386">
        <v>0</v>
      </c>
      <c r="AB1095" s="386">
        <f t="shared" si="63"/>
        <v>141341.01</v>
      </c>
      <c r="AC1095" s="1171">
        <v>42634</v>
      </c>
      <c r="AD1095" s="395">
        <v>141341.01</v>
      </c>
      <c r="AE1095" s="371" t="s">
        <v>137</v>
      </c>
      <c r="AF1095" s="1084"/>
      <c r="AG1095" s="1084"/>
      <c r="AH1095" s="358">
        <f t="shared" si="64"/>
        <v>0</v>
      </c>
      <c r="AI1095" s="1084"/>
      <c r="AJ1095" s="1119"/>
      <c r="AK1095" s="1119"/>
      <c r="AL1095" s="1119"/>
      <c r="AM1095" s="1119"/>
      <c r="AN1095" s="1203"/>
      <c r="AO1095" s="1204"/>
      <c r="AP1095" s="1204"/>
      <c r="AQ1095" s="1204"/>
    </row>
    <row r="1096" spans="1:43">
      <c r="A1096" s="1076"/>
      <c r="B1096" s="1171"/>
      <c r="C1096" s="1076"/>
      <c r="D1096" s="1076"/>
      <c r="E1096" s="1208"/>
      <c r="F1096" s="1208"/>
      <c r="G1096" s="1076"/>
      <c r="H1096" s="1076"/>
      <c r="I1096" s="1076"/>
      <c r="J1096" s="1076"/>
      <c r="K1096" s="1076"/>
      <c r="L1096" s="1076"/>
      <c r="M1096" s="1209"/>
      <c r="N1096" s="1123"/>
      <c r="O1096" s="1119"/>
      <c r="P1096" s="1119"/>
      <c r="Q1096" s="1119"/>
      <c r="R1096" s="1171"/>
      <c r="S1096" s="1196"/>
      <c r="T1096" s="1196"/>
      <c r="U1096" s="1196"/>
      <c r="V1096" s="1084"/>
      <c r="W1096" s="1119"/>
      <c r="X1096" s="1076"/>
      <c r="Y1096" s="1123"/>
      <c r="Z1096" s="386">
        <v>2331246.66</v>
      </c>
      <c r="AA1096" s="386">
        <v>0</v>
      </c>
      <c r="AB1096" s="386">
        <f t="shared" si="63"/>
        <v>2331246.66</v>
      </c>
      <c r="AC1096" s="1171"/>
      <c r="AD1096" s="395">
        <v>2331246.66</v>
      </c>
      <c r="AE1096" s="371" t="s">
        <v>7</v>
      </c>
      <c r="AF1096" s="1084"/>
      <c r="AG1096" s="1084"/>
      <c r="AH1096" s="358">
        <f t="shared" si="64"/>
        <v>0</v>
      </c>
      <c r="AI1096" s="1084"/>
      <c r="AJ1096" s="1119"/>
      <c r="AK1096" s="1119"/>
      <c r="AL1096" s="1119"/>
      <c r="AM1096" s="1119"/>
      <c r="AN1096" s="1203"/>
      <c r="AO1096" s="1204"/>
      <c r="AP1096" s="1204"/>
      <c r="AQ1096" s="1204"/>
    </row>
    <row r="1097" spans="1:43" ht="63">
      <c r="A1097" s="1076"/>
      <c r="B1097" s="1171"/>
      <c r="C1097" s="1076"/>
      <c r="D1097" s="1076"/>
      <c r="E1097" s="1208"/>
      <c r="F1097" s="1208"/>
      <c r="G1097" s="1076"/>
      <c r="H1097" s="1076"/>
      <c r="I1097" s="1076"/>
      <c r="J1097" s="1076"/>
      <c r="K1097" s="1076"/>
      <c r="L1097" s="1076"/>
      <c r="M1097" s="1209">
        <v>7</v>
      </c>
      <c r="N1097" s="1123" t="s">
        <v>129</v>
      </c>
      <c r="O1097" s="1119">
        <v>548161973</v>
      </c>
      <c r="P1097" s="1119">
        <v>548161973</v>
      </c>
      <c r="Q1097" s="1119"/>
      <c r="R1097" s="1171">
        <v>41239</v>
      </c>
      <c r="S1097" s="1196">
        <f>T1097</f>
        <v>548161973</v>
      </c>
      <c r="T1097" s="1196">
        <v>548161973</v>
      </c>
      <c r="U1097" s="1196">
        <f>O1097-T1097</f>
        <v>0</v>
      </c>
      <c r="V1097" s="1084">
        <v>544081781</v>
      </c>
      <c r="W1097" s="1119"/>
      <c r="X1097" s="1076"/>
      <c r="Y1097" s="372" t="s">
        <v>1629</v>
      </c>
      <c r="Z1097" s="386">
        <v>149475423.09</v>
      </c>
      <c r="AA1097" s="386">
        <v>0</v>
      </c>
      <c r="AB1097" s="386">
        <f t="shared" si="63"/>
        <v>149475423.09</v>
      </c>
      <c r="AC1097" s="384">
        <v>41632</v>
      </c>
      <c r="AD1097" s="395">
        <v>149475423.09</v>
      </c>
      <c r="AE1097" s="371" t="s">
        <v>129</v>
      </c>
      <c r="AF1097" s="1084">
        <f>SUM(AD1097:AD1101)</f>
        <v>548161973</v>
      </c>
      <c r="AG1097" s="1084"/>
      <c r="AH1097" s="358">
        <f>AB1097-AD1097</f>
        <v>0</v>
      </c>
      <c r="AI1097" s="1084">
        <f>O1097-SUM(AD1097:AD1101)</f>
        <v>0</v>
      </c>
      <c r="AJ1097" s="1119"/>
      <c r="AK1097" s="1119">
        <f>O1097-V1097</f>
        <v>4080192</v>
      </c>
      <c r="AL1097" s="1119">
        <f>V1097-SUM(Z1097:Z1101)</f>
        <v>-4080192</v>
      </c>
      <c r="AM1097" s="1119">
        <f>AK1097+AL1097</f>
        <v>0</v>
      </c>
      <c r="AN1097" s="1203"/>
      <c r="AO1097" s="1204"/>
      <c r="AP1097" s="1204"/>
      <c r="AQ1097" s="1204"/>
    </row>
    <row r="1098" spans="1:43" ht="63">
      <c r="A1098" s="1076"/>
      <c r="B1098" s="1171"/>
      <c r="C1098" s="1076"/>
      <c r="D1098" s="1076"/>
      <c r="E1098" s="1208"/>
      <c r="F1098" s="1208"/>
      <c r="G1098" s="1076"/>
      <c r="H1098" s="1076"/>
      <c r="I1098" s="1076"/>
      <c r="J1098" s="1076"/>
      <c r="K1098" s="1076"/>
      <c r="L1098" s="1076"/>
      <c r="M1098" s="1209"/>
      <c r="N1098" s="1123"/>
      <c r="O1098" s="1119"/>
      <c r="P1098" s="1119"/>
      <c r="Q1098" s="1119"/>
      <c r="R1098" s="1171"/>
      <c r="S1098" s="1196"/>
      <c r="T1098" s="1196"/>
      <c r="U1098" s="1196"/>
      <c r="V1098" s="1084"/>
      <c r="W1098" s="1119"/>
      <c r="X1098" s="1076"/>
      <c r="Y1098" s="372" t="s">
        <v>1630</v>
      </c>
      <c r="Z1098" s="386">
        <v>186741522.19</v>
      </c>
      <c r="AA1098" s="386">
        <v>0</v>
      </c>
      <c r="AB1098" s="386">
        <f t="shared" si="63"/>
        <v>186741522.19</v>
      </c>
      <c r="AC1098" s="384">
        <v>41705</v>
      </c>
      <c r="AD1098" s="395">
        <v>186741522.19</v>
      </c>
      <c r="AE1098" s="371" t="s">
        <v>129</v>
      </c>
      <c r="AF1098" s="1084"/>
      <c r="AG1098" s="1084"/>
      <c r="AH1098" s="358">
        <f t="shared" ref="AH1098:AH1119" si="65">AB1098-AD1098</f>
        <v>0</v>
      </c>
      <c r="AI1098" s="1084"/>
      <c r="AJ1098" s="1119"/>
      <c r="AK1098" s="1119"/>
      <c r="AL1098" s="1119"/>
      <c r="AM1098" s="1119"/>
      <c r="AN1098" s="1203"/>
      <c r="AO1098" s="1204"/>
      <c r="AP1098" s="1204"/>
      <c r="AQ1098" s="1204"/>
    </row>
    <row r="1099" spans="1:43" ht="63">
      <c r="A1099" s="1076"/>
      <c r="B1099" s="1171"/>
      <c r="C1099" s="1076"/>
      <c r="D1099" s="1076"/>
      <c r="E1099" s="1208"/>
      <c r="F1099" s="1208"/>
      <c r="G1099" s="1076"/>
      <c r="H1099" s="1076"/>
      <c r="I1099" s="1076"/>
      <c r="J1099" s="1076"/>
      <c r="K1099" s="1076"/>
      <c r="L1099" s="1076"/>
      <c r="M1099" s="1209"/>
      <c r="N1099" s="1123"/>
      <c r="O1099" s="1119"/>
      <c r="P1099" s="1119"/>
      <c r="Q1099" s="1119"/>
      <c r="R1099" s="1171"/>
      <c r="S1099" s="1196"/>
      <c r="T1099" s="1196"/>
      <c r="U1099" s="1196"/>
      <c r="V1099" s="1084"/>
      <c r="W1099" s="1119"/>
      <c r="X1099" s="1076"/>
      <c r="Y1099" s="372" t="s">
        <v>1631</v>
      </c>
      <c r="Z1099" s="386">
        <v>153454293.99000001</v>
      </c>
      <c r="AA1099" s="386">
        <v>0</v>
      </c>
      <c r="AB1099" s="386">
        <f t="shared" si="63"/>
        <v>153454293.99000001</v>
      </c>
      <c r="AC1099" s="384">
        <v>41802</v>
      </c>
      <c r="AD1099" s="395">
        <v>153454293.99000001</v>
      </c>
      <c r="AE1099" s="371" t="s">
        <v>129</v>
      </c>
      <c r="AF1099" s="1084"/>
      <c r="AG1099" s="1084"/>
      <c r="AH1099" s="358">
        <f t="shared" si="65"/>
        <v>0</v>
      </c>
      <c r="AI1099" s="1084"/>
      <c r="AJ1099" s="1119"/>
      <c r="AK1099" s="1119"/>
      <c r="AL1099" s="1119"/>
      <c r="AM1099" s="1119"/>
      <c r="AN1099" s="1203"/>
      <c r="AO1099" s="1204"/>
      <c r="AP1099" s="1204"/>
      <c r="AQ1099" s="1204"/>
    </row>
    <row r="1100" spans="1:43" ht="63">
      <c r="A1100" s="1076"/>
      <c r="B1100" s="1171"/>
      <c r="C1100" s="1076"/>
      <c r="D1100" s="1076"/>
      <c r="E1100" s="1208"/>
      <c r="F1100" s="1208"/>
      <c r="G1100" s="1076"/>
      <c r="H1100" s="1076"/>
      <c r="I1100" s="1076"/>
      <c r="J1100" s="1076"/>
      <c r="K1100" s="1076"/>
      <c r="L1100" s="1076"/>
      <c r="M1100" s="1209"/>
      <c r="N1100" s="1123"/>
      <c r="O1100" s="1119"/>
      <c r="P1100" s="1119"/>
      <c r="Q1100" s="1119"/>
      <c r="R1100" s="1171"/>
      <c r="S1100" s="1196"/>
      <c r="T1100" s="1196"/>
      <c r="U1100" s="1196"/>
      <c r="V1100" s="1084"/>
      <c r="W1100" s="1119"/>
      <c r="X1100" s="1076"/>
      <c r="Y1100" s="372" t="s">
        <v>1632</v>
      </c>
      <c r="Z1100" s="386">
        <v>54410541.399999999</v>
      </c>
      <c r="AA1100" s="386">
        <v>0</v>
      </c>
      <c r="AB1100" s="386">
        <f t="shared" si="63"/>
        <v>54410541.399999999</v>
      </c>
      <c r="AC1100" s="384">
        <v>42619</v>
      </c>
      <c r="AD1100" s="395">
        <v>54410541.399999999</v>
      </c>
      <c r="AE1100" s="371" t="s">
        <v>129</v>
      </c>
      <c r="AF1100" s="1084"/>
      <c r="AG1100" s="1084"/>
      <c r="AH1100" s="358">
        <f t="shared" si="65"/>
        <v>0</v>
      </c>
      <c r="AI1100" s="1084"/>
      <c r="AJ1100" s="1119"/>
      <c r="AK1100" s="1119"/>
      <c r="AL1100" s="1119"/>
      <c r="AM1100" s="1119"/>
      <c r="AN1100" s="1203"/>
      <c r="AO1100" s="1204"/>
      <c r="AP1100" s="1204"/>
      <c r="AQ1100" s="1204"/>
    </row>
    <row r="1101" spans="1:43" ht="63">
      <c r="A1101" s="1076"/>
      <c r="B1101" s="1171"/>
      <c r="C1101" s="1076"/>
      <c r="D1101" s="1076"/>
      <c r="E1101" s="1208"/>
      <c r="F1101" s="1208"/>
      <c r="G1101" s="1076"/>
      <c r="H1101" s="1076"/>
      <c r="I1101" s="1076"/>
      <c r="J1101" s="1076"/>
      <c r="K1101" s="1076"/>
      <c r="L1101" s="1076"/>
      <c r="M1101" s="1209"/>
      <c r="N1101" s="1123"/>
      <c r="O1101" s="1119"/>
      <c r="P1101" s="1119"/>
      <c r="Q1101" s="1119"/>
      <c r="R1101" s="1171"/>
      <c r="S1101" s="1196"/>
      <c r="T1101" s="1196"/>
      <c r="U1101" s="1196"/>
      <c r="V1101" s="1084"/>
      <c r="W1101" s="1119"/>
      <c r="X1101" s="1076"/>
      <c r="Y1101" s="372" t="s">
        <v>1633</v>
      </c>
      <c r="Z1101" s="386">
        <v>4080192.33</v>
      </c>
      <c r="AA1101" s="386">
        <v>0</v>
      </c>
      <c r="AB1101" s="386">
        <f t="shared" si="63"/>
        <v>4080192.33</v>
      </c>
      <c r="AC1101" s="384">
        <v>42634</v>
      </c>
      <c r="AD1101" s="395">
        <v>4080192.33</v>
      </c>
      <c r="AE1101" s="371" t="s">
        <v>129</v>
      </c>
      <c r="AF1101" s="1084"/>
      <c r="AG1101" s="1084"/>
      <c r="AH1101" s="358">
        <f t="shared" si="65"/>
        <v>0</v>
      </c>
      <c r="AI1101" s="1084"/>
      <c r="AJ1101" s="1119"/>
      <c r="AK1101" s="1119"/>
      <c r="AL1101" s="1119"/>
      <c r="AM1101" s="1119"/>
      <c r="AN1101" s="1203"/>
      <c r="AO1101" s="1204"/>
      <c r="AP1101" s="1204"/>
      <c r="AQ1101" s="1204"/>
    </row>
    <row r="1102" spans="1:43" ht="63">
      <c r="A1102" s="1076"/>
      <c r="B1102" s="1171"/>
      <c r="C1102" s="1076"/>
      <c r="D1102" s="1076"/>
      <c r="E1102" s="1208"/>
      <c r="F1102" s="1208"/>
      <c r="G1102" s="1076"/>
      <c r="H1102" s="1076"/>
      <c r="I1102" s="1076"/>
      <c r="J1102" s="1076" t="s">
        <v>67</v>
      </c>
      <c r="K1102" s="1076"/>
      <c r="L1102" s="1076"/>
      <c r="M1102" s="1209">
        <v>20</v>
      </c>
      <c r="N1102" s="1123" t="s">
        <v>129</v>
      </c>
      <c r="O1102" s="1119">
        <v>421376418</v>
      </c>
      <c r="P1102" s="1119">
        <v>421376418</v>
      </c>
      <c r="Q1102" s="1119"/>
      <c r="R1102" s="1171">
        <v>42236</v>
      </c>
      <c r="S1102" s="1196">
        <f>T1102</f>
        <v>421376418</v>
      </c>
      <c r="T1102" s="1196">
        <v>421376418</v>
      </c>
      <c r="U1102" s="1196">
        <f>O1102-T1102</f>
        <v>0</v>
      </c>
      <c r="V1102" s="1084">
        <v>427929198</v>
      </c>
      <c r="W1102" s="1119"/>
      <c r="X1102" s="1076"/>
      <c r="Y1102" s="372" t="s">
        <v>1633</v>
      </c>
      <c r="Z1102" s="386">
        <v>169443135</v>
      </c>
      <c r="AA1102" s="386">
        <v>0</v>
      </c>
      <c r="AB1102" s="386">
        <f t="shared" si="63"/>
        <v>169443135</v>
      </c>
      <c r="AC1102" s="384">
        <v>42634</v>
      </c>
      <c r="AD1102" s="395">
        <v>169443135</v>
      </c>
      <c r="AE1102" s="371" t="s">
        <v>129</v>
      </c>
      <c r="AF1102" s="1084">
        <f>SUM(AD1102:AD1104)</f>
        <v>421376418.01999998</v>
      </c>
      <c r="AG1102" s="1084"/>
      <c r="AH1102" s="358">
        <f t="shared" si="65"/>
        <v>0</v>
      </c>
      <c r="AI1102" s="1084">
        <f>O1102-SUM(AD1102:AD1104)</f>
        <v>-1.9999980926513672E-2</v>
      </c>
      <c r="AJ1102" s="1119"/>
      <c r="AK1102" s="1119">
        <f>O1102-V1102</f>
        <v>-6552780</v>
      </c>
      <c r="AL1102" s="1119">
        <f>V1102-SUM(Z1102:Z1104)</f>
        <v>6552779.9800000191</v>
      </c>
      <c r="AM1102" s="1119">
        <f>AK1102+AL1102</f>
        <v>-1.9999980926513672E-2</v>
      </c>
      <c r="AN1102" s="1203"/>
      <c r="AO1102" s="1204"/>
      <c r="AP1102" s="1204"/>
      <c r="AQ1102" s="1204"/>
    </row>
    <row r="1103" spans="1:43">
      <c r="A1103" s="1076"/>
      <c r="B1103" s="1171"/>
      <c r="C1103" s="1076"/>
      <c r="D1103" s="1076"/>
      <c r="E1103" s="1208"/>
      <c r="F1103" s="1208"/>
      <c r="G1103" s="1076"/>
      <c r="H1103" s="1076"/>
      <c r="I1103" s="1076"/>
      <c r="J1103" s="1076"/>
      <c r="K1103" s="1076"/>
      <c r="L1103" s="1076"/>
      <c r="M1103" s="1209"/>
      <c r="N1103" s="1123"/>
      <c r="O1103" s="1119"/>
      <c r="P1103" s="1119"/>
      <c r="Q1103" s="1119"/>
      <c r="R1103" s="1171"/>
      <c r="S1103" s="1196"/>
      <c r="T1103" s="1196"/>
      <c r="U1103" s="1196"/>
      <c r="V1103" s="1084"/>
      <c r="W1103" s="1119"/>
      <c r="X1103" s="1076"/>
      <c r="Y1103" s="1123" t="s">
        <v>1634</v>
      </c>
      <c r="Z1103" s="386">
        <v>226739953.19</v>
      </c>
      <c r="AA1103" s="386">
        <v>0</v>
      </c>
      <c r="AB1103" s="386">
        <f t="shared" si="63"/>
        <v>226739953.19</v>
      </c>
      <c r="AC1103" s="384">
        <v>42906</v>
      </c>
      <c r="AD1103" s="395">
        <v>226739953.19</v>
      </c>
      <c r="AE1103" s="371" t="s">
        <v>129</v>
      </c>
      <c r="AF1103" s="1084"/>
      <c r="AG1103" s="1084"/>
      <c r="AH1103" s="358">
        <f t="shared" si="65"/>
        <v>0</v>
      </c>
      <c r="AI1103" s="1084"/>
      <c r="AJ1103" s="1119"/>
      <c r="AK1103" s="1119"/>
      <c r="AL1103" s="1119"/>
      <c r="AM1103" s="1119"/>
      <c r="AN1103" s="1203"/>
      <c r="AO1103" s="1204"/>
      <c r="AP1103" s="1204"/>
      <c r="AQ1103" s="1204"/>
    </row>
    <row r="1104" spans="1:43">
      <c r="A1104" s="1076"/>
      <c r="B1104" s="1171"/>
      <c r="C1104" s="1076"/>
      <c r="D1104" s="1076"/>
      <c r="E1104" s="1208"/>
      <c r="F1104" s="1208"/>
      <c r="G1104" s="1076"/>
      <c r="H1104" s="1076"/>
      <c r="I1104" s="1076"/>
      <c r="J1104" s="1076"/>
      <c r="K1104" s="1076"/>
      <c r="L1104" s="1076"/>
      <c r="M1104" s="1209"/>
      <c r="N1104" s="1123"/>
      <c r="O1104" s="1119"/>
      <c r="P1104" s="1119"/>
      <c r="Q1104" s="1119"/>
      <c r="R1104" s="1171"/>
      <c r="S1104" s="1196"/>
      <c r="T1104" s="1196"/>
      <c r="U1104" s="1196"/>
      <c r="V1104" s="1084"/>
      <c r="W1104" s="1119"/>
      <c r="X1104" s="1076"/>
      <c r="Y1104" s="1123"/>
      <c r="Z1104" s="386">
        <v>25193329.829999998</v>
      </c>
      <c r="AA1104" s="386">
        <v>0</v>
      </c>
      <c r="AB1104" s="386">
        <f t="shared" si="63"/>
        <v>25193329.829999998</v>
      </c>
      <c r="AC1104" s="384">
        <v>42916</v>
      </c>
      <c r="AD1104" s="395">
        <v>25193329.829999998</v>
      </c>
      <c r="AE1104" s="371" t="s">
        <v>129</v>
      </c>
      <c r="AF1104" s="1084"/>
      <c r="AG1104" s="1084"/>
      <c r="AH1104" s="358">
        <f t="shared" si="65"/>
        <v>0</v>
      </c>
      <c r="AI1104" s="1084"/>
      <c r="AJ1104" s="1119"/>
      <c r="AK1104" s="1119"/>
      <c r="AL1104" s="1119"/>
      <c r="AM1104" s="1119"/>
      <c r="AN1104" s="1203"/>
      <c r="AO1104" s="1204"/>
      <c r="AP1104" s="1204"/>
      <c r="AQ1104" s="1204"/>
    </row>
    <row r="1105" spans="1:43" ht="15" customHeight="1">
      <c r="A1105" s="1076" t="s">
        <v>1616</v>
      </c>
      <c r="B1105" s="1171">
        <v>41590</v>
      </c>
      <c r="C1105" s="1076" t="s">
        <v>5</v>
      </c>
      <c r="D1105" s="1076" t="s">
        <v>1617</v>
      </c>
      <c r="E1105" s="1208">
        <v>10537006</v>
      </c>
      <c r="F1105" s="1208">
        <v>6</v>
      </c>
      <c r="G1105" s="1076" t="s">
        <v>1618</v>
      </c>
      <c r="H1105" s="1076" t="s">
        <v>71</v>
      </c>
      <c r="I1105" s="1076" t="s">
        <v>1221</v>
      </c>
      <c r="J1105" s="1076" t="s">
        <v>66</v>
      </c>
      <c r="K1105" s="1076" t="s">
        <v>217</v>
      </c>
      <c r="L1105" s="1076" t="s">
        <v>1624</v>
      </c>
      <c r="M1105" s="1209">
        <v>290</v>
      </c>
      <c r="N1105" s="1123" t="s">
        <v>7</v>
      </c>
      <c r="O1105" s="1119">
        <v>558579220</v>
      </c>
      <c r="P1105" s="1119">
        <v>558579220</v>
      </c>
      <c r="Q1105" s="1119">
        <f>P1105+P1108+P1111</f>
        <v>854013803</v>
      </c>
      <c r="R1105" s="1171">
        <v>41533</v>
      </c>
      <c r="S1105" s="1119">
        <f>T1105</f>
        <v>558579220</v>
      </c>
      <c r="T1105" s="1119">
        <v>558579220</v>
      </c>
      <c r="U1105" s="1119">
        <f>O1105-T1105</f>
        <v>0</v>
      </c>
      <c r="V1105" s="1084">
        <v>554229928</v>
      </c>
      <c r="W1105" s="1119">
        <v>848755219</v>
      </c>
      <c r="X1105" s="1076" t="s">
        <v>1620</v>
      </c>
      <c r="Y1105" s="372" t="s">
        <v>1621</v>
      </c>
      <c r="Z1105" s="386">
        <v>0</v>
      </c>
      <c r="AA1105" s="386">
        <v>277114963.92000002</v>
      </c>
      <c r="AB1105" s="386">
        <f t="shared" si="63"/>
        <v>277114963.92000002</v>
      </c>
      <c r="AC1105" s="384">
        <v>41691</v>
      </c>
      <c r="AD1105" s="395">
        <v>277114964</v>
      </c>
      <c r="AE1105" s="371" t="s">
        <v>7</v>
      </c>
      <c r="AF1105" s="1084">
        <f>SUM(AD1105:AD1107)</f>
        <v>391674846.13999999</v>
      </c>
      <c r="AG1105" s="1084">
        <f>AF1105+AF1108+AF1111</f>
        <v>473560984</v>
      </c>
      <c r="AH1105" s="358">
        <f t="shared" si="65"/>
        <v>-7.9999983310699463E-2</v>
      </c>
      <c r="AI1105" s="1084">
        <f>O1105-SUM(AD1105:AD1107)</f>
        <v>166904373.86000001</v>
      </c>
      <c r="AJ1105" s="1119">
        <f>SUM(Z1105:Z1111)-SUM(AD1105:AD1111)</f>
        <v>371353966</v>
      </c>
      <c r="AK1105" s="1119">
        <f>P1105-V1105</f>
        <v>4349292</v>
      </c>
      <c r="AL1105" s="1119">
        <f>V1105-SUM(Z1105:Z1107)</f>
        <v>0.99000000953674316</v>
      </c>
      <c r="AM1105" s="1119"/>
      <c r="AN1105" s="1203"/>
      <c r="AO1105" s="1237" t="s">
        <v>1625</v>
      </c>
      <c r="AP1105" s="1204" t="s">
        <v>194</v>
      </c>
      <c r="AQ1105" s="1204" t="s">
        <v>1619</v>
      </c>
    </row>
    <row r="1106" spans="1:43" ht="15" customHeight="1">
      <c r="A1106" s="1076"/>
      <c r="B1106" s="1171"/>
      <c r="C1106" s="1076"/>
      <c r="D1106" s="1076"/>
      <c r="E1106" s="1208"/>
      <c r="F1106" s="1208"/>
      <c r="G1106" s="1076"/>
      <c r="H1106" s="1076"/>
      <c r="I1106" s="1076"/>
      <c r="J1106" s="1076"/>
      <c r="K1106" s="1076"/>
      <c r="L1106" s="1076"/>
      <c r="M1106" s="1209"/>
      <c r="N1106" s="1123"/>
      <c r="O1106" s="1119"/>
      <c r="P1106" s="1119"/>
      <c r="Q1106" s="1119"/>
      <c r="R1106" s="1171"/>
      <c r="S1106" s="1119"/>
      <c r="T1106" s="1119"/>
      <c r="U1106" s="1119"/>
      <c r="V1106" s="1084"/>
      <c r="W1106" s="1119"/>
      <c r="X1106" s="1076"/>
      <c r="Y1106" s="372" t="s">
        <v>1622</v>
      </c>
      <c r="Z1106" s="386">
        <v>229119765.11000001</v>
      </c>
      <c r="AA1106" s="386">
        <v>-114559882.97</v>
      </c>
      <c r="AB1106" s="386">
        <f t="shared" si="63"/>
        <v>114559882.14000002</v>
      </c>
      <c r="AC1106" s="384">
        <v>41988</v>
      </c>
      <c r="AD1106" s="395">
        <v>114559882.14</v>
      </c>
      <c r="AE1106" s="371" t="s">
        <v>7</v>
      </c>
      <c r="AF1106" s="1084"/>
      <c r="AG1106" s="1084"/>
      <c r="AH1106" s="358">
        <f t="shared" si="65"/>
        <v>0</v>
      </c>
      <c r="AI1106" s="1084"/>
      <c r="AJ1106" s="1119"/>
      <c r="AK1106" s="1119"/>
      <c r="AL1106" s="1119"/>
      <c r="AM1106" s="1119"/>
      <c r="AN1106" s="1203"/>
      <c r="AO1106" s="1204"/>
      <c r="AP1106" s="1204"/>
      <c r="AQ1106" s="1204"/>
    </row>
    <row r="1107" spans="1:43" ht="15" customHeight="1">
      <c r="A1107" s="1076"/>
      <c r="B1107" s="1171"/>
      <c r="C1107" s="1076"/>
      <c r="D1107" s="1076"/>
      <c r="E1107" s="1208"/>
      <c r="F1107" s="1208"/>
      <c r="G1107" s="1076"/>
      <c r="H1107" s="1076"/>
      <c r="I1107" s="1076"/>
      <c r="J1107" s="1076"/>
      <c r="K1107" s="1076"/>
      <c r="L1107" s="1076"/>
      <c r="M1107" s="1209"/>
      <c r="N1107" s="1123"/>
      <c r="O1107" s="1119"/>
      <c r="P1107" s="1119"/>
      <c r="Q1107" s="1119"/>
      <c r="R1107" s="1171"/>
      <c r="S1107" s="1119"/>
      <c r="T1107" s="1119"/>
      <c r="U1107" s="1119"/>
      <c r="V1107" s="1084"/>
      <c r="W1107" s="1119"/>
      <c r="X1107" s="1076"/>
      <c r="Y1107" s="372" t="s">
        <v>1623</v>
      </c>
      <c r="Z1107" s="386">
        <v>325110161.89999998</v>
      </c>
      <c r="AA1107" s="386">
        <v>-162555080.94999999</v>
      </c>
      <c r="AB1107" s="386">
        <f t="shared" si="63"/>
        <v>162555080.94999999</v>
      </c>
      <c r="AC1107" s="384"/>
      <c r="AD1107" s="395">
        <v>0</v>
      </c>
      <c r="AE1107" s="371"/>
      <c r="AF1107" s="1084"/>
      <c r="AG1107" s="1084"/>
      <c r="AH1107" s="358">
        <f t="shared" si="65"/>
        <v>162555080.94999999</v>
      </c>
      <c r="AI1107" s="1084"/>
      <c r="AJ1107" s="1119"/>
      <c r="AK1107" s="1119"/>
      <c r="AL1107" s="1119"/>
      <c r="AM1107" s="1119"/>
      <c r="AN1107" s="1203"/>
      <c r="AO1107" s="1204"/>
      <c r="AP1107" s="1204"/>
      <c r="AQ1107" s="1204"/>
    </row>
    <row r="1108" spans="1:43" ht="15" customHeight="1">
      <c r="A1108" s="1076"/>
      <c r="B1108" s="1171"/>
      <c r="C1108" s="1076"/>
      <c r="D1108" s="1076"/>
      <c r="E1108" s="1208"/>
      <c r="F1108" s="1208"/>
      <c r="G1108" s="1076"/>
      <c r="H1108" s="1076"/>
      <c r="I1108" s="1076"/>
      <c r="J1108" s="1076"/>
      <c r="K1108" s="1076"/>
      <c r="L1108" s="1076"/>
      <c r="M1108" s="1209">
        <v>4</v>
      </c>
      <c r="N1108" s="1123" t="s">
        <v>150</v>
      </c>
      <c r="O1108" s="1119">
        <v>116780272</v>
      </c>
      <c r="P1108" s="1119">
        <v>116780272</v>
      </c>
      <c r="Q1108" s="1119"/>
      <c r="R1108" s="1171">
        <v>41533</v>
      </c>
      <c r="S1108" s="1196">
        <f>T1108</f>
        <v>116780272</v>
      </c>
      <c r="T1108" s="1196">
        <v>116780272</v>
      </c>
      <c r="U1108" s="1196">
        <f>O1108-T1108</f>
        <v>0</v>
      </c>
      <c r="V1108" s="1084">
        <v>115870980</v>
      </c>
      <c r="W1108" s="1119"/>
      <c r="X1108" s="1076"/>
      <c r="Y1108" s="372" t="s">
        <v>1621</v>
      </c>
      <c r="Z1108" s="386">
        <v>0</v>
      </c>
      <c r="AA1108" s="386">
        <v>57935490.090000004</v>
      </c>
      <c r="AB1108" s="386">
        <f t="shared" si="63"/>
        <v>57935490.090000004</v>
      </c>
      <c r="AC1108" s="384">
        <v>41691</v>
      </c>
      <c r="AD1108" s="395">
        <v>57935490</v>
      </c>
      <c r="AE1108" s="371" t="s">
        <v>150</v>
      </c>
      <c r="AF1108" s="1084">
        <f>SUM(AD1108:AD1110)</f>
        <v>81886137.859999999</v>
      </c>
      <c r="AG1108" s="1084"/>
      <c r="AH1108" s="358">
        <f t="shared" si="65"/>
        <v>9.0000003576278687E-2</v>
      </c>
      <c r="AI1108" s="1084">
        <f>O1108-SUM(AD1108:AD1110)</f>
        <v>34894134.140000001</v>
      </c>
      <c r="AJ1108" s="1119"/>
      <c r="AK1108" s="1119">
        <f>P1108-V1108</f>
        <v>909292</v>
      </c>
      <c r="AL1108" s="1119">
        <f>V1108-SUM(Z1108:Z1110)</f>
        <v>-1.000000536441803E-2</v>
      </c>
      <c r="AM1108" s="1119"/>
      <c r="AN1108" s="1203"/>
      <c r="AO1108" s="1204"/>
      <c r="AP1108" s="1204"/>
      <c r="AQ1108" s="1204"/>
    </row>
    <row r="1109" spans="1:43" ht="15" customHeight="1">
      <c r="A1109" s="1076"/>
      <c r="B1109" s="1171"/>
      <c r="C1109" s="1076"/>
      <c r="D1109" s="1076"/>
      <c r="E1109" s="1208"/>
      <c r="F1109" s="1208"/>
      <c r="G1109" s="1076"/>
      <c r="H1109" s="1076"/>
      <c r="I1109" s="1076"/>
      <c r="J1109" s="1076"/>
      <c r="K1109" s="1076"/>
      <c r="L1109" s="1076"/>
      <c r="M1109" s="1209"/>
      <c r="N1109" s="1123"/>
      <c r="O1109" s="1119"/>
      <c r="P1109" s="1119"/>
      <c r="Q1109" s="1119"/>
      <c r="R1109" s="1171"/>
      <c r="S1109" s="1196"/>
      <c r="T1109" s="1196"/>
      <c r="U1109" s="1196"/>
      <c r="V1109" s="1084"/>
      <c r="W1109" s="1119"/>
      <c r="X1109" s="1076"/>
      <c r="Y1109" s="372" t="s">
        <v>1622</v>
      </c>
      <c r="Z1109" s="386">
        <v>47901295.890000001</v>
      </c>
      <c r="AA1109" s="386">
        <v>-23950648.030000001</v>
      </c>
      <c r="AB1109" s="386">
        <f t="shared" si="63"/>
        <v>23950647.859999999</v>
      </c>
      <c r="AC1109" s="384">
        <v>41988</v>
      </c>
      <c r="AD1109" s="395">
        <v>23950647.859999999</v>
      </c>
      <c r="AE1109" s="371" t="s">
        <v>150</v>
      </c>
      <c r="AF1109" s="1084"/>
      <c r="AG1109" s="1084"/>
      <c r="AH1109" s="358">
        <f t="shared" si="65"/>
        <v>0</v>
      </c>
      <c r="AI1109" s="1084"/>
      <c r="AJ1109" s="1119"/>
      <c r="AK1109" s="1119"/>
      <c r="AL1109" s="1119"/>
      <c r="AM1109" s="1119"/>
      <c r="AN1109" s="1203"/>
      <c r="AO1109" s="1204"/>
      <c r="AP1109" s="1204"/>
      <c r="AQ1109" s="1204"/>
    </row>
    <row r="1110" spans="1:43" ht="15" customHeight="1">
      <c r="A1110" s="1076"/>
      <c r="B1110" s="1171"/>
      <c r="C1110" s="1076"/>
      <c r="D1110" s="1076"/>
      <c r="E1110" s="1208"/>
      <c r="F1110" s="1208"/>
      <c r="G1110" s="1076"/>
      <c r="H1110" s="1076"/>
      <c r="I1110" s="1076"/>
      <c r="J1110" s="1076"/>
      <c r="K1110" s="1076"/>
      <c r="L1110" s="1076"/>
      <c r="M1110" s="1209"/>
      <c r="N1110" s="1123"/>
      <c r="O1110" s="1119"/>
      <c r="P1110" s="1119"/>
      <c r="Q1110" s="1119"/>
      <c r="R1110" s="1171"/>
      <c r="S1110" s="1196"/>
      <c r="T1110" s="1196"/>
      <c r="U1110" s="1196"/>
      <c r="V1110" s="1084"/>
      <c r="W1110" s="1119"/>
      <c r="X1110" s="1076"/>
      <c r="Y1110" s="372" t="s">
        <v>1623</v>
      </c>
      <c r="Z1110" s="386">
        <v>67969684.120000005</v>
      </c>
      <c r="AA1110" s="386">
        <v>-33984842.060000002</v>
      </c>
      <c r="AB1110" s="386">
        <f t="shared" si="63"/>
        <v>33984842.060000002</v>
      </c>
      <c r="AC1110" s="384"/>
      <c r="AD1110" s="395">
        <v>0</v>
      </c>
      <c r="AE1110" s="371"/>
      <c r="AF1110" s="1084"/>
      <c r="AG1110" s="1084"/>
      <c r="AH1110" s="358">
        <f t="shared" si="65"/>
        <v>33984842.060000002</v>
      </c>
      <c r="AI1110" s="1084"/>
      <c r="AJ1110" s="1119"/>
      <c r="AK1110" s="1119"/>
      <c r="AL1110" s="1119"/>
      <c r="AM1110" s="1119"/>
      <c r="AN1110" s="1203"/>
      <c r="AO1110" s="1204"/>
      <c r="AP1110" s="1204"/>
      <c r="AQ1110" s="1204"/>
    </row>
    <row r="1111" spans="1:43" ht="15" customHeight="1">
      <c r="A1111" s="1076"/>
      <c r="B1111" s="1171"/>
      <c r="C1111" s="1076"/>
      <c r="D1111" s="1076"/>
      <c r="E1111" s="1208"/>
      <c r="F1111" s="1208"/>
      <c r="G1111" s="1076"/>
      <c r="H1111" s="1076"/>
      <c r="I1111" s="1076"/>
      <c r="J1111" s="354" t="s">
        <v>67</v>
      </c>
      <c r="K1111" s="1076"/>
      <c r="L1111" s="1076"/>
      <c r="M1111" s="389">
        <v>8</v>
      </c>
      <c r="N1111" s="372" t="s">
        <v>150</v>
      </c>
      <c r="O1111" s="386">
        <v>178654311</v>
      </c>
      <c r="P1111" s="386">
        <v>178654311</v>
      </c>
      <c r="Q1111" s="1119"/>
      <c r="R1111" s="384">
        <v>42048</v>
      </c>
      <c r="S1111" s="390">
        <f>T1111</f>
        <v>178654311</v>
      </c>
      <c r="T1111" s="390">
        <v>178654311</v>
      </c>
      <c r="U1111" s="386">
        <f>O1111-T1111</f>
        <v>0</v>
      </c>
      <c r="V1111" s="358">
        <v>178654311</v>
      </c>
      <c r="W1111" s="1119"/>
      <c r="X1111" s="1076"/>
      <c r="Y1111" s="372" t="s">
        <v>1623</v>
      </c>
      <c r="Z1111" s="386">
        <v>174814042.98000002</v>
      </c>
      <c r="AA1111" s="386">
        <v>0</v>
      </c>
      <c r="AB1111" s="386">
        <f t="shared" si="63"/>
        <v>174814042.98000002</v>
      </c>
      <c r="AC1111" s="384"/>
      <c r="AD1111" s="395">
        <v>0</v>
      </c>
      <c r="AE1111" s="371"/>
      <c r="AF1111" s="358">
        <f>AD1111</f>
        <v>0</v>
      </c>
      <c r="AG1111" s="1084"/>
      <c r="AH1111" s="358">
        <f t="shared" si="65"/>
        <v>174814042.98000002</v>
      </c>
      <c r="AI1111" s="358">
        <f>O1111-AD1111</f>
        <v>178654311</v>
      </c>
      <c r="AJ1111" s="1119"/>
      <c r="AK1111" s="386">
        <f>P1111-V1111</f>
        <v>0</v>
      </c>
      <c r="AL1111" s="386">
        <f>V1111-Z1111</f>
        <v>3840268.0199999809</v>
      </c>
      <c r="AM1111" s="386"/>
      <c r="AN1111" s="1203"/>
      <c r="AO1111" s="1204"/>
      <c r="AP1111" s="1204"/>
      <c r="AQ1111" s="1204"/>
    </row>
    <row r="1112" spans="1:43" ht="15" customHeight="1">
      <c r="A1112" s="1076" t="s">
        <v>1663</v>
      </c>
      <c r="B1112" s="1171">
        <v>41528</v>
      </c>
      <c r="C1112" s="1076" t="s">
        <v>9</v>
      </c>
      <c r="D1112" s="1076" t="s">
        <v>1040</v>
      </c>
      <c r="E1112" s="1208">
        <v>10541182</v>
      </c>
      <c r="F1112" s="1208"/>
      <c r="G1112" s="1076" t="s">
        <v>1664</v>
      </c>
      <c r="H1112" s="1076" t="s">
        <v>70</v>
      </c>
      <c r="I1112" s="1076" t="s">
        <v>206</v>
      </c>
      <c r="J1112" s="1076" t="s">
        <v>66</v>
      </c>
      <c r="K1112" s="1076" t="s">
        <v>49</v>
      </c>
      <c r="L1112" s="1076" t="s">
        <v>1665</v>
      </c>
      <c r="M1112" s="1209">
        <v>264</v>
      </c>
      <c r="N1112" s="1123" t="s">
        <v>7</v>
      </c>
      <c r="O1112" s="1119">
        <v>32021416</v>
      </c>
      <c r="P1112" s="1119">
        <v>32021416</v>
      </c>
      <c r="Q1112" s="1119">
        <f>P1112+P1120+P1128+P1131</f>
        <v>133601418</v>
      </c>
      <c r="R1112" s="1171">
        <v>41227</v>
      </c>
      <c r="S1112" s="1196">
        <f>T1112</f>
        <v>32021416</v>
      </c>
      <c r="T1112" s="1196">
        <v>32021416</v>
      </c>
      <c r="U1112" s="1196">
        <f>O1112-T1112</f>
        <v>0</v>
      </c>
      <c r="V1112" s="1084">
        <v>31872971.600000001</v>
      </c>
      <c r="W1112" s="1119">
        <f>87420906+V1128+V1131</f>
        <v>133194266</v>
      </c>
      <c r="X1112" s="1076" t="s">
        <v>1271</v>
      </c>
      <c r="Y1112" s="372" t="s">
        <v>1667</v>
      </c>
      <c r="Z1112" s="386">
        <v>0</v>
      </c>
      <c r="AA1112" s="386">
        <v>12749188.640000001</v>
      </c>
      <c r="AB1112" s="386">
        <f t="shared" si="63"/>
        <v>12749188.640000001</v>
      </c>
      <c r="AC1112" s="384">
        <v>41564</v>
      </c>
      <c r="AD1112" s="395">
        <v>12749188.49</v>
      </c>
      <c r="AE1112" s="371" t="s">
        <v>7</v>
      </c>
      <c r="AF1112" s="1084">
        <f>SUM(AD1112:AD1119)</f>
        <v>31872971.600000001</v>
      </c>
      <c r="AG1112" s="1084">
        <f>AF1112+AF1120+AF1128+AF1131</f>
        <v>114092706.99000001</v>
      </c>
      <c r="AH1112" s="358">
        <f t="shared" si="65"/>
        <v>0.15000000037252903</v>
      </c>
      <c r="AI1112" s="1084">
        <f>O1112-SUM(AD1112:AD1119)</f>
        <v>148444.39999999851</v>
      </c>
      <c r="AJ1112" s="1119"/>
      <c r="AK1112" s="1119">
        <f>P1112-V1112</f>
        <v>148444.39999999851</v>
      </c>
      <c r="AL1112" s="1119"/>
      <c r="AM1112" s="1119"/>
      <c r="AN1112" s="1203" t="s">
        <v>1676</v>
      </c>
      <c r="AO1112" s="1204" t="s">
        <v>1666</v>
      </c>
      <c r="AP1112" s="1204" t="s">
        <v>194</v>
      </c>
      <c r="AQ1112" s="1204" t="s">
        <v>1619</v>
      </c>
    </row>
    <row r="1113" spans="1:43" ht="15" customHeight="1">
      <c r="A1113" s="1076"/>
      <c r="B1113" s="1171"/>
      <c r="C1113" s="1076"/>
      <c r="D1113" s="1076"/>
      <c r="E1113" s="1208"/>
      <c r="F1113" s="1208"/>
      <c r="G1113" s="1076"/>
      <c r="H1113" s="1076"/>
      <c r="I1113" s="1076"/>
      <c r="J1113" s="1076"/>
      <c r="K1113" s="1076"/>
      <c r="L1113" s="1076"/>
      <c r="M1113" s="1209"/>
      <c r="N1113" s="1123"/>
      <c r="O1113" s="1119"/>
      <c r="P1113" s="1119"/>
      <c r="Q1113" s="1119"/>
      <c r="R1113" s="1171"/>
      <c r="S1113" s="1196"/>
      <c r="T1113" s="1196"/>
      <c r="U1113" s="1196"/>
      <c r="V1113" s="1084"/>
      <c r="W1113" s="1119"/>
      <c r="X1113" s="1076"/>
      <c r="Y1113" s="372" t="s">
        <v>1668</v>
      </c>
      <c r="Z1113" s="386">
        <v>9183216.7200000007</v>
      </c>
      <c r="AA1113" s="386">
        <v>-3673286.54</v>
      </c>
      <c r="AB1113" s="386">
        <f t="shared" si="63"/>
        <v>5509930.1800000006</v>
      </c>
      <c r="AC1113" s="384">
        <v>41631</v>
      </c>
      <c r="AD1113" s="395">
        <v>5509930.1799999997</v>
      </c>
      <c r="AE1113" s="371" t="s">
        <v>7</v>
      </c>
      <c r="AF1113" s="1084"/>
      <c r="AG1113" s="1084"/>
      <c r="AH1113" s="358">
        <f t="shared" si="65"/>
        <v>0</v>
      </c>
      <c r="AI1113" s="1084"/>
      <c r="AJ1113" s="1119"/>
      <c r="AK1113" s="1119"/>
      <c r="AL1113" s="1119"/>
      <c r="AM1113" s="1119"/>
      <c r="AN1113" s="1203"/>
      <c r="AO1113" s="1204"/>
      <c r="AP1113" s="1204"/>
      <c r="AQ1113" s="1204"/>
    </row>
    <row r="1114" spans="1:43" ht="15" customHeight="1">
      <c r="A1114" s="1076"/>
      <c r="B1114" s="1171"/>
      <c r="C1114" s="1076"/>
      <c r="D1114" s="1076"/>
      <c r="E1114" s="1208"/>
      <c r="F1114" s="1208"/>
      <c r="G1114" s="1076"/>
      <c r="H1114" s="1076"/>
      <c r="I1114" s="1076"/>
      <c r="J1114" s="1076"/>
      <c r="K1114" s="1076"/>
      <c r="L1114" s="1076"/>
      <c r="M1114" s="1209"/>
      <c r="N1114" s="1123"/>
      <c r="O1114" s="1119"/>
      <c r="P1114" s="1119"/>
      <c r="Q1114" s="1119"/>
      <c r="R1114" s="1171"/>
      <c r="S1114" s="1196"/>
      <c r="T1114" s="1196"/>
      <c r="U1114" s="1196"/>
      <c r="V1114" s="1084"/>
      <c r="W1114" s="1119"/>
      <c r="X1114" s="1076"/>
      <c r="Y1114" s="372" t="s">
        <v>1669</v>
      </c>
      <c r="Z1114" s="386">
        <v>6909712.3300000001</v>
      </c>
      <c r="AA1114" s="386">
        <v>-2763884.93</v>
      </c>
      <c r="AB1114" s="386">
        <f t="shared" si="63"/>
        <v>4145827.4</v>
      </c>
      <c r="AC1114" s="384">
        <v>41726</v>
      </c>
      <c r="AD1114" s="395">
        <v>4145827.4</v>
      </c>
      <c r="AE1114" s="371" t="s">
        <v>7</v>
      </c>
      <c r="AF1114" s="1084"/>
      <c r="AG1114" s="1084"/>
      <c r="AH1114" s="358">
        <f t="shared" si="65"/>
        <v>0</v>
      </c>
      <c r="AI1114" s="1084"/>
      <c r="AJ1114" s="1119"/>
      <c r="AK1114" s="1119"/>
      <c r="AL1114" s="1119"/>
      <c r="AM1114" s="1119"/>
      <c r="AN1114" s="1203"/>
      <c r="AO1114" s="1204"/>
      <c r="AP1114" s="1204"/>
      <c r="AQ1114" s="1204"/>
    </row>
    <row r="1115" spans="1:43" ht="15" customHeight="1">
      <c r="A1115" s="1076"/>
      <c r="B1115" s="1171"/>
      <c r="C1115" s="1076"/>
      <c r="D1115" s="1076"/>
      <c r="E1115" s="1208"/>
      <c r="F1115" s="1208"/>
      <c r="G1115" s="1076"/>
      <c r="H1115" s="1076"/>
      <c r="I1115" s="1076"/>
      <c r="J1115" s="1076"/>
      <c r="K1115" s="1076"/>
      <c r="L1115" s="1076"/>
      <c r="M1115" s="1209"/>
      <c r="N1115" s="1123"/>
      <c r="O1115" s="1119"/>
      <c r="P1115" s="1119"/>
      <c r="Q1115" s="1119"/>
      <c r="R1115" s="1171"/>
      <c r="S1115" s="1196"/>
      <c r="T1115" s="1196"/>
      <c r="U1115" s="1196"/>
      <c r="V1115" s="1084"/>
      <c r="W1115" s="1119"/>
      <c r="X1115" s="1076"/>
      <c r="Y1115" s="372" t="s">
        <v>1670</v>
      </c>
      <c r="Z1115" s="386">
        <v>10051681.939999999</v>
      </c>
      <c r="AA1115" s="386">
        <v>-4020672.78</v>
      </c>
      <c r="AB1115" s="386">
        <f t="shared" si="63"/>
        <v>6031009.1600000001</v>
      </c>
      <c r="AC1115" s="384">
        <v>41793</v>
      </c>
      <c r="AD1115" s="395">
        <v>6031009.1600000001</v>
      </c>
      <c r="AE1115" s="371" t="s">
        <v>7</v>
      </c>
      <c r="AF1115" s="1084"/>
      <c r="AG1115" s="1084"/>
      <c r="AH1115" s="358">
        <f t="shared" si="65"/>
        <v>0</v>
      </c>
      <c r="AI1115" s="1084"/>
      <c r="AJ1115" s="1119"/>
      <c r="AK1115" s="1119"/>
      <c r="AL1115" s="1119"/>
      <c r="AM1115" s="1119"/>
      <c r="AN1115" s="1203"/>
      <c r="AO1115" s="1204"/>
      <c r="AP1115" s="1204"/>
      <c r="AQ1115" s="1204"/>
    </row>
    <row r="1116" spans="1:43" ht="15" customHeight="1">
      <c r="A1116" s="1076"/>
      <c r="B1116" s="1171"/>
      <c r="C1116" s="1076"/>
      <c r="D1116" s="1076"/>
      <c r="E1116" s="1208"/>
      <c r="F1116" s="1208"/>
      <c r="G1116" s="1076"/>
      <c r="H1116" s="1076"/>
      <c r="I1116" s="1076"/>
      <c r="J1116" s="1076"/>
      <c r="K1116" s="1076"/>
      <c r="L1116" s="1076"/>
      <c r="M1116" s="1209"/>
      <c r="N1116" s="1123"/>
      <c r="O1116" s="1119"/>
      <c r="P1116" s="1119"/>
      <c r="Q1116" s="1119"/>
      <c r="R1116" s="1171"/>
      <c r="S1116" s="1196"/>
      <c r="T1116" s="1196"/>
      <c r="U1116" s="1196"/>
      <c r="V1116" s="1084"/>
      <c r="W1116" s="1119"/>
      <c r="X1116" s="1076"/>
      <c r="Y1116" s="372" t="s">
        <v>1674</v>
      </c>
      <c r="Z1116" s="386">
        <v>2541063.4300000002</v>
      </c>
      <c r="AA1116" s="386">
        <v>-1016425.38</v>
      </c>
      <c r="AB1116" s="386">
        <f t="shared" si="63"/>
        <v>1524638.0500000003</v>
      </c>
      <c r="AC1116" s="384">
        <v>41976</v>
      </c>
      <c r="AD1116" s="395">
        <v>1524638.05</v>
      </c>
      <c r="AE1116" s="371" t="s">
        <v>7</v>
      </c>
      <c r="AF1116" s="1084"/>
      <c r="AG1116" s="1084"/>
      <c r="AH1116" s="358">
        <f t="shared" si="65"/>
        <v>0</v>
      </c>
      <c r="AI1116" s="1084"/>
      <c r="AJ1116" s="1119"/>
      <c r="AK1116" s="1119"/>
      <c r="AL1116" s="1119"/>
      <c r="AM1116" s="1119"/>
      <c r="AN1116" s="1203"/>
      <c r="AO1116" s="1204"/>
      <c r="AP1116" s="1204"/>
      <c r="AQ1116" s="1204"/>
    </row>
    <row r="1117" spans="1:43" ht="15" customHeight="1">
      <c r="A1117" s="1076"/>
      <c r="B1117" s="1171"/>
      <c r="C1117" s="1076"/>
      <c r="D1117" s="1076"/>
      <c r="E1117" s="1208"/>
      <c r="F1117" s="1208"/>
      <c r="G1117" s="1076"/>
      <c r="H1117" s="1076"/>
      <c r="I1117" s="1076"/>
      <c r="J1117" s="1076"/>
      <c r="K1117" s="1076"/>
      <c r="L1117" s="1076"/>
      <c r="M1117" s="1209"/>
      <c r="N1117" s="1123"/>
      <c r="O1117" s="1119"/>
      <c r="P1117" s="1119"/>
      <c r="Q1117" s="1119"/>
      <c r="R1117" s="1171"/>
      <c r="S1117" s="1196"/>
      <c r="T1117" s="1196"/>
      <c r="U1117" s="1196"/>
      <c r="V1117" s="1084"/>
      <c r="W1117" s="1119"/>
      <c r="X1117" s="1076"/>
      <c r="Y1117" s="372" t="s">
        <v>1671</v>
      </c>
      <c r="Z1117" s="386">
        <v>1912378.32</v>
      </c>
      <c r="AA1117" s="386">
        <v>-462011.53</v>
      </c>
      <c r="AB1117" s="386">
        <f t="shared" si="63"/>
        <v>1450366.79</v>
      </c>
      <c r="AC1117" s="384">
        <v>42256</v>
      </c>
      <c r="AD1117" s="395">
        <v>1450366.79</v>
      </c>
      <c r="AE1117" s="371" t="s">
        <v>7</v>
      </c>
      <c r="AF1117" s="1084"/>
      <c r="AG1117" s="1084"/>
      <c r="AH1117" s="358">
        <f t="shared" si="65"/>
        <v>0</v>
      </c>
      <c r="AI1117" s="1084"/>
      <c r="AJ1117" s="1119"/>
      <c r="AK1117" s="1119"/>
      <c r="AL1117" s="1119"/>
      <c r="AM1117" s="1119"/>
      <c r="AN1117" s="1203"/>
      <c r="AO1117" s="1204"/>
      <c r="AP1117" s="1204"/>
      <c r="AQ1117" s="1204"/>
    </row>
    <row r="1118" spans="1:43" ht="15" customHeight="1">
      <c r="A1118" s="1076"/>
      <c r="B1118" s="1171"/>
      <c r="C1118" s="1076"/>
      <c r="D1118" s="1076"/>
      <c r="E1118" s="1208"/>
      <c r="F1118" s="1208"/>
      <c r="G1118" s="1076"/>
      <c r="H1118" s="1076"/>
      <c r="I1118" s="1076"/>
      <c r="J1118" s="1076"/>
      <c r="K1118" s="1076"/>
      <c r="L1118" s="1076"/>
      <c r="M1118" s="1209"/>
      <c r="N1118" s="1123"/>
      <c r="O1118" s="1119"/>
      <c r="P1118" s="1119"/>
      <c r="Q1118" s="1119"/>
      <c r="R1118" s="1171"/>
      <c r="S1118" s="1196"/>
      <c r="T1118" s="1196"/>
      <c r="U1118" s="1196"/>
      <c r="V1118" s="1084"/>
      <c r="W1118" s="1119"/>
      <c r="X1118" s="1076"/>
      <c r="Y1118" s="372" t="s">
        <v>1675</v>
      </c>
      <c r="Z1118" s="386"/>
      <c r="AA1118" s="386"/>
      <c r="AB1118" s="386">
        <f t="shared" si="63"/>
        <v>0</v>
      </c>
      <c r="AC1118" s="384">
        <v>42774</v>
      </c>
      <c r="AD1118" s="395">
        <v>462011.53</v>
      </c>
      <c r="AE1118" s="371" t="s">
        <v>7</v>
      </c>
      <c r="AF1118" s="1084"/>
      <c r="AG1118" s="1084"/>
      <c r="AH1118" s="358">
        <f t="shared" si="65"/>
        <v>-462011.53</v>
      </c>
      <c r="AI1118" s="1084"/>
      <c r="AJ1118" s="1119"/>
      <c r="AK1118" s="1119"/>
      <c r="AL1118" s="1119"/>
      <c r="AM1118" s="1119"/>
      <c r="AN1118" s="1203"/>
      <c r="AO1118" s="1204"/>
      <c r="AP1118" s="1204"/>
      <c r="AQ1118" s="1204"/>
    </row>
    <row r="1119" spans="1:43" ht="15" customHeight="1">
      <c r="A1119" s="1076"/>
      <c r="B1119" s="1171"/>
      <c r="C1119" s="1076"/>
      <c r="D1119" s="1076"/>
      <c r="E1119" s="1208"/>
      <c r="F1119" s="1208"/>
      <c r="G1119" s="1076"/>
      <c r="H1119" s="1076"/>
      <c r="I1119" s="1076"/>
      <c r="J1119" s="1076"/>
      <c r="K1119" s="1076"/>
      <c r="L1119" s="1076"/>
      <c r="M1119" s="1209"/>
      <c r="N1119" s="1123"/>
      <c r="O1119" s="1119"/>
      <c r="P1119" s="1119"/>
      <c r="Q1119" s="1119"/>
      <c r="R1119" s="1171"/>
      <c r="S1119" s="1196"/>
      <c r="T1119" s="1196"/>
      <c r="U1119" s="1196"/>
      <c r="V1119" s="1084"/>
      <c r="W1119" s="1119"/>
      <c r="X1119" s="1076"/>
      <c r="Y1119" s="372"/>
      <c r="Z1119" s="386"/>
      <c r="AA1119" s="386"/>
      <c r="AB1119" s="386">
        <f t="shared" si="63"/>
        <v>0</v>
      </c>
      <c r="AC1119" s="384"/>
      <c r="AD1119" s="395"/>
      <c r="AE1119" s="371"/>
      <c r="AF1119" s="1084"/>
      <c r="AG1119" s="1084"/>
      <c r="AH1119" s="358">
        <f t="shared" si="65"/>
        <v>0</v>
      </c>
      <c r="AI1119" s="1084"/>
      <c r="AJ1119" s="1119"/>
      <c r="AK1119" s="1119"/>
      <c r="AL1119" s="1119"/>
      <c r="AM1119" s="1119"/>
      <c r="AN1119" s="1203"/>
      <c r="AO1119" s="1204"/>
      <c r="AP1119" s="1204"/>
      <c r="AQ1119" s="1204"/>
    </row>
    <row r="1120" spans="1:43" ht="15" customHeight="1">
      <c r="A1120" s="1076"/>
      <c r="B1120" s="1171"/>
      <c r="C1120" s="1076"/>
      <c r="D1120" s="1076"/>
      <c r="E1120" s="1208"/>
      <c r="F1120" s="1208"/>
      <c r="G1120" s="1076"/>
      <c r="H1120" s="1076"/>
      <c r="I1120" s="1076"/>
      <c r="J1120" s="1076"/>
      <c r="K1120" s="1076"/>
      <c r="L1120" s="1076"/>
      <c r="M1120" s="1209">
        <v>272</v>
      </c>
      <c r="N1120" s="1123" t="s">
        <v>137</v>
      </c>
      <c r="O1120" s="1119">
        <v>55806642</v>
      </c>
      <c r="P1120" s="1119">
        <v>55806642</v>
      </c>
      <c r="Q1120" s="1119"/>
      <c r="R1120" s="1171">
        <v>41239</v>
      </c>
      <c r="S1120" s="1119">
        <f>T1120</f>
        <v>55806642</v>
      </c>
      <c r="T1120" s="1119">
        <v>55806642</v>
      </c>
      <c r="U1120" s="1119">
        <f>O1120-T1120</f>
        <v>0</v>
      </c>
      <c r="V1120" s="1084">
        <v>55547934.399999999</v>
      </c>
      <c r="W1120" s="1119"/>
      <c r="X1120" s="1076"/>
      <c r="Y1120" s="372" t="s">
        <v>1667</v>
      </c>
      <c r="Z1120" s="386">
        <v>0</v>
      </c>
      <c r="AA1120" s="386">
        <v>22219173.760000002</v>
      </c>
      <c r="AB1120" s="386">
        <f t="shared" si="63"/>
        <v>22219173.760000002</v>
      </c>
      <c r="AC1120" s="384">
        <v>41564</v>
      </c>
      <c r="AD1120" s="395">
        <v>22219173.510000002</v>
      </c>
      <c r="AE1120" s="371" t="s">
        <v>137</v>
      </c>
      <c r="AF1120" s="1084">
        <f>SUM(AD1120:AD1127)</f>
        <v>55547934.400000013</v>
      </c>
      <c r="AG1120" s="1084"/>
      <c r="AH1120" s="358">
        <f>AB1120-AD1120</f>
        <v>0.25</v>
      </c>
      <c r="AI1120" s="1084">
        <f>O1120-SUM(AD1120:AD1127)</f>
        <v>258707.59999998659</v>
      </c>
      <c r="AJ1120" s="1119"/>
      <c r="AK1120" s="1119">
        <f>P1120-V1120</f>
        <v>258707.60000000149</v>
      </c>
      <c r="AL1120" s="1119"/>
      <c r="AM1120" s="1119"/>
      <c r="AN1120" s="1203"/>
      <c r="AO1120" s="1204"/>
      <c r="AP1120" s="1204"/>
      <c r="AQ1120" s="1204"/>
    </row>
    <row r="1121" spans="1:43" ht="15" customHeight="1">
      <c r="A1121" s="1076"/>
      <c r="B1121" s="1171"/>
      <c r="C1121" s="1076"/>
      <c r="D1121" s="1076"/>
      <c r="E1121" s="1208"/>
      <c r="F1121" s="1208"/>
      <c r="G1121" s="1076"/>
      <c r="H1121" s="1076"/>
      <c r="I1121" s="1076"/>
      <c r="J1121" s="1076"/>
      <c r="K1121" s="1076"/>
      <c r="L1121" s="1076"/>
      <c r="M1121" s="1209"/>
      <c r="N1121" s="1123"/>
      <c r="O1121" s="1119"/>
      <c r="P1121" s="1119"/>
      <c r="Q1121" s="1119"/>
      <c r="R1121" s="1171"/>
      <c r="S1121" s="1119"/>
      <c r="T1121" s="1119"/>
      <c r="U1121" s="1119"/>
      <c r="V1121" s="1084"/>
      <c r="W1121" s="1119"/>
      <c r="X1121" s="1076"/>
      <c r="Y1121" s="372" t="s">
        <v>1668</v>
      </c>
      <c r="Z1121" s="386">
        <v>16004429.279999999</v>
      </c>
      <c r="AA1121" s="386">
        <v>-6401771.46</v>
      </c>
      <c r="AB1121" s="386">
        <f t="shared" si="63"/>
        <v>9602657.8200000003</v>
      </c>
      <c r="AC1121" s="384">
        <v>41631</v>
      </c>
      <c r="AD1121" s="395">
        <v>9602657.8200000003</v>
      </c>
      <c r="AE1121" s="371" t="s">
        <v>137</v>
      </c>
      <c r="AF1121" s="1084"/>
      <c r="AG1121" s="1084"/>
      <c r="AH1121" s="358">
        <f t="shared" ref="AH1121:AH1127" si="66">AB1121-AD1121</f>
        <v>0</v>
      </c>
      <c r="AI1121" s="1084"/>
      <c r="AJ1121" s="1119"/>
      <c r="AK1121" s="1119"/>
      <c r="AL1121" s="1119"/>
      <c r="AM1121" s="1119"/>
      <c r="AN1121" s="1203"/>
      <c r="AO1121" s="1204"/>
      <c r="AP1121" s="1204"/>
      <c r="AQ1121" s="1204"/>
    </row>
    <row r="1122" spans="1:43" ht="15" customHeight="1">
      <c r="A1122" s="1076"/>
      <c r="B1122" s="1171"/>
      <c r="C1122" s="1076"/>
      <c r="D1122" s="1076"/>
      <c r="E1122" s="1208"/>
      <c r="F1122" s="1208"/>
      <c r="G1122" s="1076"/>
      <c r="H1122" s="1076"/>
      <c r="I1122" s="1076"/>
      <c r="J1122" s="1076"/>
      <c r="K1122" s="1076"/>
      <c r="L1122" s="1076"/>
      <c r="M1122" s="1209"/>
      <c r="N1122" s="1123"/>
      <c r="O1122" s="1119"/>
      <c r="P1122" s="1119"/>
      <c r="Q1122" s="1119"/>
      <c r="R1122" s="1171"/>
      <c r="S1122" s="1119"/>
      <c r="T1122" s="1119"/>
      <c r="U1122" s="1119"/>
      <c r="V1122" s="1084"/>
      <c r="W1122" s="1119"/>
      <c r="X1122" s="1076"/>
      <c r="Y1122" s="372" t="s">
        <v>1669</v>
      </c>
      <c r="Z1122" s="386">
        <v>12042185.85</v>
      </c>
      <c r="AA1122" s="386">
        <v>-4816874.34</v>
      </c>
      <c r="AB1122" s="386">
        <f t="shared" si="63"/>
        <v>7225311.5099999998</v>
      </c>
      <c r="AC1122" s="384">
        <v>41726</v>
      </c>
      <c r="AD1122" s="395">
        <v>7225311.5099999998</v>
      </c>
      <c r="AE1122" s="371" t="s">
        <v>137</v>
      </c>
      <c r="AF1122" s="1084"/>
      <c r="AG1122" s="1084"/>
      <c r="AH1122" s="358">
        <f t="shared" si="66"/>
        <v>0</v>
      </c>
      <c r="AI1122" s="1084"/>
      <c r="AJ1122" s="1119"/>
      <c r="AK1122" s="1119"/>
      <c r="AL1122" s="1119"/>
      <c r="AM1122" s="1119"/>
      <c r="AN1122" s="1203"/>
      <c r="AO1122" s="1204"/>
      <c r="AP1122" s="1204"/>
      <c r="AQ1122" s="1204"/>
    </row>
    <row r="1123" spans="1:43" ht="15" customHeight="1">
      <c r="A1123" s="1076"/>
      <c r="B1123" s="1171"/>
      <c r="C1123" s="1076"/>
      <c r="D1123" s="1076"/>
      <c r="E1123" s="1208"/>
      <c r="F1123" s="1208"/>
      <c r="G1123" s="1076"/>
      <c r="H1123" s="1076"/>
      <c r="I1123" s="1076"/>
      <c r="J1123" s="1076"/>
      <c r="K1123" s="1076"/>
      <c r="L1123" s="1076"/>
      <c r="M1123" s="1209"/>
      <c r="N1123" s="1123"/>
      <c r="O1123" s="1119"/>
      <c r="P1123" s="1119"/>
      <c r="Q1123" s="1119"/>
      <c r="R1123" s="1171"/>
      <c r="S1123" s="1119"/>
      <c r="T1123" s="1119"/>
      <c r="U1123" s="1119"/>
      <c r="V1123" s="1084"/>
      <c r="W1123" s="1119"/>
      <c r="X1123" s="1076"/>
      <c r="Y1123" s="372" t="s">
        <v>1670</v>
      </c>
      <c r="Z1123" s="386">
        <v>17517982.829999998</v>
      </c>
      <c r="AA1123" s="386">
        <v>-7007193.1299999999</v>
      </c>
      <c r="AB1123" s="386">
        <f t="shared" si="63"/>
        <v>10510789.699999999</v>
      </c>
      <c r="AC1123" s="384">
        <v>41793</v>
      </c>
      <c r="AD1123" s="395">
        <v>10510789.699999999</v>
      </c>
      <c r="AE1123" s="371" t="s">
        <v>137</v>
      </c>
      <c r="AF1123" s="1084"/>
      <c r="AG1123" s="1084"/>
      <c r="AH1123" s="358">
        <f t="shared" si="66"/>
        <v>0</v>
      </c>
      <c r="AI1123" s="1084"/>
      <c r="AJ1123" s="1119"/>
      <c r="AK1123" s="1119"/>
      <c r="AL1123" s="1119"/>
      <c r="AM1123" s="1119"/>
      <c r="AN1123" s="1203"/>
      <c r="AO1123" s="1204"/>
      <c r="AP1123" s="1204"/>
      <c r="AQ1123" s="1204"/>
    </row>
    <row r="1124" spans="1:43" ht="15" customHeight="1">
      <c r="A1124" s="1076"/>
      <c r="B1124" s="1171"/>
      <c r="C1124" s="1076"/>
      <c r="D1124" s="1076"/>
      <c r="E1124" s="1208"/>
      <c r="F1124" s="1208"/>
      <c r="G1124" s="1076"/>
      <c r="H1124" s="1076"/>
      <c r="I1124" s="1076"/>
      <c r="J1124" s="1076"/>
      <c r="K1124" s="1076"/>
      <c r="L1124" s="1076"/>
      <c r="M1124" s="1209"/>
      <c r="N1124" s="1123"/>
      <c r="O1124" s="1119"/>
      <c r="P1124" s="1119"/>
      <c r="Q1124" s="1119"/>
      <c r="R1124" s="1171"/>
      <c r="S1124" s="1119"/>
      <c r="T1124" s="1119"/>
      <c r="U1124" s="1119"/>
      <c r="V1124" s="1084"/>
      <c r="W1124" s="1119"/>
      <c r="X1124" s="1076"/>
      <c r="Y1124" s="372" t="s">
        <v>1674</v>
      </c>
      <c r="Z1124" s="386">
        <v>4428542.95</v>
      </c>
      <c r="AA1124" s="386">
        <v>-1771417.17</v>
      </c>
      <c r="AB1124" s="386">
        <f t="shared" si="63"/>
        <v>2657125.7800000003</v>
      </c>
      <c r="AC1124" s="384">
        <v>41976</v>
      </c>
      <c r="AD1124" s="395">
        <v>2657125.7799999998</v>
      </c>
      <c r="AE1124" s="371" t="s">
        <v>137</v>
      </c>
      <c r="AF1124" s="1084"/>
      <c r="AG1124" s="1084"/>
      <c r="AH1124" s="358">
        <f t="shared" si="66"/>
        <v>0</v>
      </c>
      <c r="AI1124" s="1084"/>
      <c r="AJ1124" s="1119"/>
      <c r="AK1124" s="1119"/>
      <c r="AL1124" s="1119"/>
      <c r="AM1124" s="1119"/>
      <c r="AN1124" s="1203"/>
      <c r="AO1124" s="1204"/>
      <c r="AP1124" s="1204"/>
      <c r="AQ1124" s="1204"/>
    </row>
    <row r="1125" spans="1:43" ht="15" customHeight="1">
      <c r="A1125" s="1076"/>
      <c r="B1125" s="1171"/>
      <c r="C1125" s="1076"/>
      <c r="D1125" s="1076"/>
      <c r="E1125" s="1208"/>
      <c r="F1125" s="1208"/>
      <c r="G1125" s="1076"/>
      <c r="H1125" s="1076"/>
      <c r="I1125" s="1076"/>
      <c r="J1125" s="1076"/>
      <c r="K1125" s="1076"/>
      <c r="L1125" s="1076"/>
      <c r="M1125" s="1209"/>
      <c r="N1125" s="1123"/>
      <c r="O1125" s="1119"/>
      <c r="P1125" s="1119"/>
      <c r="Q1125" s="1119"/>
      <c r="R1125" s="1171"/>
      <c r="S1125" s="1119"/>
      <c r="T1125" s="1119"/>
      <c r="U1125" s="1119"/>
      <c r="V1125" s="1084"/>
      <c r="W1125" s="1119"/>
      <c r="X1125" s="1076"/>
      <c r="Y1125" s="372" t="s">
        <v>1671</v>
      </c>
      <c r="Z1125" s="386">
        <v>1255624.58</v>
      </c>
      <c r="AA1125" s="386">
        <v>-805189.63</v>
      </c>
      <c r="AB1125" s="386">
        <f t="shared" si="63"/>
        <v>450434.95000000007</v>
      </c>
      <c r="AC1125" s="384">
        <v>42256</v>
      </c>
      <c r="AD1125" s="395">
        <v>450434.95</v>
      </c>
      <c r="AE1125" s="371" t="s">
        <v>137</v>
      </c>
      <c r="AF1125" s="1084"/>
      <c r="AG1125" s="1084"/>
      <c r="AH1125" s="358">
        <f t="shared" si="66"/>
        <v>0</v>
      </c>
      <c r="AI1125" s="1084"/>
      <c r="AJ1125" s="1119"/>
      <c r="AK1125" s="1119"/>
      <c r="AL1125" s="1119"/>
      <c r="AM1125" s="1119"/>
      <c r="AN1125" s="1203"/>
      <c r="AO1125" s="1204"/>
      <c r="AP1125" s="1204"/>
      <c r="AQ1125" s="1204"/>
    </row>
    <row r="1126" spans="1:43" ht="15" customHeight="1">
      <c r="A1126" s="1076"/>
      <c r="B1126" s="1171"/>
      <c r="C1126" s="1076"/>
      <c r="D1126" s="1076"/>
      <c r="E1126" s="1208"/>
      <c r="F1126" s="1208"/>
      <c r="G1126" s="1076"/>
      <c r="H1126" s="1076"/>
      <c r="I1126" s="1076"/>
      <c r="J1126" s="1076"/>
      <c r="K1126" s="1076"/>
      <c r="L1126" s="1076"/>
      <c r="M1126" s="1209"/>
      <c r="N1126" s="1123"/>
      <c r="O1126" s="1119"/>
      <c r="P1126" s="1119"/>
      <c r="Q1126" s="1119"/>
      <c r="R1126" s="1171"/>
      <c r="S1126" s="1119"/>
      <c r="T1126" s="1119"/>
      <c r="U1126" s="1119"/>
      <c r="V1126" s="1084"/>
      <c r="W1126" s="1119"/>
      <c r="X1126" s="1076"/>
      <c r="Y1126" s="372" t="s">
        <v>1675</v>
      </c>
      <c r="Z1126" s="386"/>
      <c r="AA1126" s="386"/>
      <c r="AB1126" s="386">
        <f t="shared" si="63"/>
        <v>0</v>
      </c>
      <c r="AC1126" s="384">
        <v>42774</v>
      </c>
      <c r="AD1126" s="395">
        <v>2882441.13</v>
      </c>
      <c r="AE1126" s="371" t="s">
        <v>137</v>
      </c>
      <c r="AF1126" s="1084"/>
      <c r="AG1126" s="1084"/>
      <c r="AH1126" s="358">
        <f t="shared" si="66"/>
        <v>-2882441.13</v>
      </c>
      <c r="AI1126" s="1084"/>
      <c r="AJ1126" s="1119"/>
      <c r="AK1126" s="1119"/>
      <c r="AL1126" s="1119"/>
      <c r="AM1126" s="1119"/>
      <c r="AN1126" s="1203"/>
      <c r="AO1126" s="1204"/>
      <c r="AP1126" s="1204"/>
      <c r="AQ1126" s="1204"/>
    </row>
    <row r="1127" spans="1:43" ht="15" customHeight="1">
      <c r="A1127" s="1076"/>
      <c r="B1127" s="1171"/>
      <c r="C1127" s="1076"/>
      <c r="D1127" s="1076"/>
      <c r="E1127" s="1208"/>
      <c r="F1127" s="1208"/>
      <c r="G1127" s="1076"/>
      <c r="H1127" s="1076"/>
      <c r="I1127" s="1076"/>
      <c r="J1127" s="1076"/>
      <c r="K1127" s="1076"/>
      <c r="L1127" s="1076"/>
      <c r="M1127" s="1209"/>
      <c r="N1127" s="1123"/>
      <c r="O1127" s="1119"/>
      <c r="P1127" s="1119"/>
      <c r="Q1127" s="1119"/>
      <c r="R1127" s="1171"/>
      <c r="S1127" s="1119"/>
      <c r="T1127" s="1119"/>
      <c r="U1127" s="1119"/>
      <c r="V1127" s="1084"/>
      <c r="W1127" s="1119"/>
      <c r="X1127" s="1076"/>
      <c r="Y1127" s="372"/>
      <c r="Z1127" s="386"/>
      <c r="AA1127" s="386"/>
      <c r="AB1127" s="386">
        <f t="shared" si="63"/>
        <v>0</v>
      </c>
      <c r="AC1127" s="384"/>
      <c r="AD1127" s="395"/>
      <c r="AE1127" s="371"/>
      <c r="AF1127" s="1084"/>
      <c r="AG1127" s="1084"/>
      <c r="AH1127" s="358">
        <f t="shared" si="66"/>
        <v>0</v>
      </c>
      <c r="AI1127" s="1084"/>
      <c r="AJ1127" s="1119"/>
      <c r="AK1127" s="1119"/>
      <c r="AL1127" s="1119"/>
      <c r="AM1127" s="1119"/>
      <c r="AN1127" s="1203"/>
      <c r="AO1127" s="1204"/>
      <c r="AP1127" s="1204"/>
      <c r="AQ1127" s="1204"/>
    </row>
    <row r="1128" spans="1:43" ht="15" customHeight="1">
      <c r="A1128" s="1076"/>
      <c r="B1128" s="1171"/>
      <c r="C1128" s="1076"/>
      <c r="D1128" s="1076"/>
      <c r="E1128" s="1208"/>
      <c r="F1128" s="1208"/>
      <c r="G1128" s="1076"/>
      <c r="H1128" s="1076"/>
      <c r="I1128" s="1076"/>
      <c r="J1128" s="1076" t="s">
        <v>67</v>
      </c>
      <c r="K1128" s="1076"/>
      <c r="L1128" s="1076"/>
      <c r="M1128" s="1209">
        <v>15</v>
      </c>
      <c r="N1128" s="1123" t="s">
        <v>129</v>
      </c>
      <c r="O1128" s="1119">
        <v>16220453</v>
      </c>
      <c r="P1128" s="1119">
        <v>16220453</v>
      </c>
      <c r="Q1128" s="1119"/>
      <c r="R1128" s="1171">
        <v>42069</v>
      </c>
      <c r="S1128" s="1196">
        <f>T1128</f>
        <v>16220453</v>
      </c>
      <c r="T1128" s="1196">
        <v>16220453</v>
      </c>
      <c r="U1128" s="1196">
        <f>O1128-T1128</f>
        <v>0</v>
      </c>
      <c r="V1128" s="1084">
        <v>16220453</v>
      </c>
      <c r="W1128" s="1119"/>
      <c r="X1128" s="1076"/>
      <c r="Y1128" s="372" t="s">
        <v>1672</v>
      </c>
      <c r="Z1128" s="386">
        <v>11088421.99</v>
      </c>
      <c r="AA1128" s="386">
        <v>0</v>
      </c>
      <c r="AB1128" s="386">
        <f t="shared" si="63"/>
        <v>11088421.99</v>
      </c>
      <c r="AC1128" s="384">
        <v>42256</v>
      </c>
      <c r="AD1128" s="395">
        <v>11088421.99</v>
      </c>
      <c r="AE1128" s="371" t="s">
        <v>129</v>
      </c>
      <c r="AF1128" s="1084">
        <f>SUM(AD1128:AD1130)</f>
        <v>15523625.99</v>
      </c>
      <c r="AG1128" s="1084"/>
      <c r="AH1128" s="358">
        <f>AB1128-AD1128</f>
        <v>0</v>
      </c>
      <c r="AI1128" s="1084">
        <f>O1128-SUM(AD1128:AD1130)</f>
        <v>696827.00999999978</v>
      </c>
      <c r="AJ1128" s="1119"/>
      <c r="AK1128" s="1119">
        <f>P1128-V1128</f>
        <v>0</v>
      </c>
      <c r="AL1128" s="1119"/>
      <c r="AM1128" s="1119"/>
      <c r="AN1128" s="1203"/>
      <c r="AO1128" s="1204"/>
      <c r="AP1128" s="1204"/>
      <c r="AQ1128" s="1204"/>
    </row>
    <row r="1129" spans="1:43" ht="15" customHeight="1">
      <c r="A1129" s="1076"/>
      <c r="B1129" s="1171"/>
      <c r="C1129" s="1076"/>
      <c r="D1129" s="1076"/>
      <c r="E1129" s="1208"/>
      <c r="F1129" s="1208"/>
      <c r="G1129" s="1076"/>
      <c r="H1129" s="1076"/>
      <c r="I1129" s="1076"/>
      <c r="J1129" s="1076"/>
      <c r="K1129" s="1076"/>
      <c r="L1129" s="1076"/>
      <c r="M1129" s="1209"/>
      <c r="N1129" s="1123"/>
      <c r="O1129" s="1119"/>
      <c r="P1129" s="1119"/>
      <c r="Q1129" s="1119"/>
      <c r="R1129" s="1171"/>
      <c r="S1129" s="1196"/>
      <c r="T1129" s="1196"/>
      <c r="U1129" s="1196"/>
      <c r="V1129" s="1084"/>
      <c r="W1129" s="1119"/>
      <c r="X1129" s="1076"/>
      <c r="Y1129" s="372" t="s">
        <v>1673</v>
      </c>
      <c r="Z1129" s="386">
        <v>4435204.0599999996</v>
      </c>
      <c r="AA1129" s="386">
        <v>0</v>
      </c>
      <c r="AB1129" s="386">
        <f t="shared" si="63"/>
        <v>4435204.0599999996</v>
      </c>
      <c r="AC1129" s="384">
        <v>42366</v>
      </c>
      <c r="AD1129" s="395">
        <v>4435204</v>
      </c>
      <c r="AE1129" s="371" t="s">
        <v>129</v>
      </c>
      <c r="AF1129" s="1084"/>
      <c r="AG1129" s="1084"/>
      <c r="AH1129" s="358">
        <f>AB1129-AD1129</f>
        <v>5.9999999590218067E-2</v>
      </c>
      <c r="AI1129" s="1084"/>
      <c r="AJ1129" s="1119"/>
      <c r="AK1129" s="1119"/>
      <c r="AL1129" s="1119"/>
      <c r="AM1129" s="1119"/>
      <c r="AN1129" s="1203"/>
      <c r="AO1129" s="1204"/>
      <c r="AP1129" s="1204"/>
      <c r="AQ1129" s="1204"/>
    </row>
    <row r="1130" spans="1:43" ht="15" customHeight="1">
      <c r="A1130" s="1076"/>
      <c r="B1130" s="1171"/>
      <c r="C1130" s="1076"/>
      <c r="D1130" s="1076"/>
      <c r="E1130" s="1208"/>
      <c r="F1130" s="1208"/>
      <c r="G1130" s="1076"/>
      <c r="H1130" s="1076"/>
      <c r="I1130" s="1076"/>
      <c r="J1130" s="1076"/>
      <c r="K1130" s="1076"/>
      <c r="L1130" s="1076"/>
      <c r="M1130" s="1209"/>
      <c r="N1130" s="1123"/>
      <c r="O1130" s="1119"/>
      <c r="P1130" s="1119"/>
      <c r="Q1130" s="1119"/>
      <c r="R1130" s="1171"/>
      <c r="S1130" s="1196"/>
      <c r="T1130" s="1196"/>
      <c r="U1130" s="1196"/>
      <c r="V1130" s="1084"/>
      <c r="W1130" s="1119"/>
      <c r="X1130" s="1076"/>
      <c r="Y1130" s="372"/>
      <c r="Z1130" s="386"/>
      <c r="AA1130" s="386"/>
      <c r="AB1130" s="386">
        <f t="shared" si="63"/>
        <v>0</v>
      </c>
      <c r="AC1130" s="384"/>
      <c r="AD1130" s="395"/>
      <c r="AE1130" s="371"/>
      <c r="AF1130" s="1084"/>
      <c r="AG1130" s="1084"/>
      <c r="AH1130" s="358">
        <f>AB1130-AD1130</f>
        <v>0</v>
      </c>
      <c r="AI1130" s="1084"/>
      <c r="AJ1130" s="1119"/>
      <c r="AK1130" s="1119"/>
      <c r="AL1130" s="1119"/>
      <c r="AM1130" s="1119"/>
      <c r="AN1130" s="1203"/>
      <c r="AO1130" s="1204"/>
      <c r="AP1130" s="1204"/>
      <c r="AQ1130" s="1204"/>
    </row>
    <row r="1131" spans="1:43" ht="15" customHeight="1">
      <c r="A1131" s="1076"/>
      <c r="B1131" s="1171"/>
      <c r="C1131" s="1076"/>
      <c r="D1131" s="1076"/>
      <c r="E1131" s="1208"/>
      <c r="F1131" s="1208"/>
      <c r="G1131" s="1076"/>
      <c r="H1131" s="1076"/>
      <c r="I1131" s="1076"/>
      <c r="J1131" s="1076" t="s">
        <v>171</v>
      </c>
      <c r="K1131" s="1076"/>
      <c r="L1131" s="1076"/>
      <c r="M1131" s="1209">
        <v>21</v>
      </c>
      <c r="N1131" s="1123" t="s">
        <v>129</v>
      </c>
      <c r="O1131" s="1119">
        <v>29552907</v>
      </c>
      <c r="P1131" s="1119">
        <v>29552907</v>
      </c>
      <c r="Q1131" s="1119"/>
      <c r="R1131" s="1171">
        <v>42236</v>
      </c>
      <c r="S1131" s="1119">
        <f>T1131</f>
        <v>29552907</v>
      </c>
      <c r="T1131" s="1119">
        <v>29552907</v>
      </c>
      <c r="U1131" s="1119">
        <f>O1131-T1131</f>
        <v>0</v>
      </c>
      <c r="V1131" s="1084">
        <v>29552907</v>
      </c>
      <c r="W1131" s="1119"/>
      <c r="X1131" s="1076"/>
      <c r="Y1131" s="372"/>
      <c r="Z1131" s="386">
        <v>11148175</v>
      </c>
      <c r="AA1131" s="386">
        <v>0</v>
      </c>
      <c r="AB1131" s="386">
        <f t="shared" si="63"/>
        <v>11148175</v>
      </c>
      <c r="AC1131" s="384">
        <v>42817</v>
      </c>
      <c r="AD1131" s="395">
        <v>11148175</v>
      </c>
      <c r="AE1131" s="371" t="s">
        <v>129</v>
      </c>
      <c r="AF1131" s="1084">
        <f>SUM(AD1131:AD1132)</f>
        <v>11148175</v>
      </c>
      <c r="AG1131" s="1084"/>
      <c r="AH1131" s="358">
        <f>AB1131-AD1131</f>
        <v>0</v>
      </c>
      <c r="AI1131" s="1084">
        <f>O1131-AD1131-AD1132</f>
        <v>18404732</v>
      </c>
      <c r="AJ1131" s="1119"/>
      <c r="AK1131" s="1119">
        <f>P1131-V1131</f>
        <v>0</v>
      </c>
      <c r="AL1131" s="1119"/>
      <c r="AM1131" s="1119"/>
      <c r="AN1131" s="1203"/>
      <c r="AO1131" s="1204"/>
      <c r="AP1131" s="1204"/>
      <c r="AQ1131" s="1204"/>
    </row>
    <row r="1132" spans="1:43" ht="15" customHeight="1">
      <c r="A1132" s="1076"/>
      <c r="B1132" s="1171"/>
      <c r="C1132" s="1076"/>
      <c r="D1132" s="1076"/>
      <c r="E1132" s="1208"/>
      <c r="F1132" s="1208"/>
      <c r="G1132" s="1076"/>
      <c r="H1132" s="1076"/>
      <c r="I1132" s="1076"/>
      <c r="J1132" s="1076"/>
      <c r="K1132" s="1076"/>
      <c r="L1132" s="1076"/>
      <c r="M1132" s="1209"/>
      <c r="N1132" s="1123"/>
      <c r="O1132" s="1119"/>
      <c r="P1132" s="1119"/>
      <c r="Q1132" s="1119"/>
      <c r="R1132" s="1171"/>
      <c r="S1132" s="1119"/>
      <c r="T1132" s="1119"/>
      <c r="U1132" s="1119"/>
      <c r="V1132" s="1084"/>
      <c r="W1132" s="1119"/>
      <c r="X1132" s="1076"/>
      <c r="Y1132" s="372"/>
      <c r="Z1132" s="386"/>
      <c r="AA1132" s="386"/>
      <c r="AB1132" s="386">
        <f t="shared" si="63"/>
        <v>0</v>
      </c>
      <c r="AC1132" s="384"/>
      <c r="AD1132" s="395"/>
      <c r="AE1132" s="371"/>
      <c r="AF1132" s="1084"/>
      <c r="AG1132" s="1084"/>
      <c r="AH1132" s="358">
        <f>AB1132-AD1132</f>
        <v>0</v>
      </c>
      <c r="AI1132" s="1084"/>
      <c r="AJ1132" s="1119"/>
      <c r="AK1132" s="1119"/>
      <c r="AL1132" s="1119"/>
      <c r="AM1132" s="1119"/>
      <c r="AN1132" s="1203"/>
      <c r="AO1132" s="1204"/>
      <c r="AP1132" s="1204"/>
      <c r="AQ1132" s="1204"/>
    </row>
    <row r="1133" spans="1:43" s="4" customFormat="1" ht="15" customHeight="1">
      <c r="A1133" s="1149" t="s">
        <v>1680</v>
      </c>
      <c r="B1133" s="1171">
        <v>41576</v>
      </c>
      <c r="C1133" s="1149" t="s">
        <v>47</v>
      </c>
      <c r="D1133" s="1149" t="s">
        <v>1679</v>
      </c>
      <c r="E1133" s="1241">
        <v>900670956</v>
      </c>
      <c r="F1133" s="1241"/>
      <c r="G1133" s="1149" t="s">
        <v>1678</v>
      </c>
      <c r="H1133" s="1149" t="s">
        <v>71</v>
      </c>
      <c r="I1133" s="1149" t="s">
        <v>1221</v>
      </c>
      <c r="J1133" s="1149" t="s">
        <v>66</v>
      </c>
      <c r="K1133" s="1149" t="s">
        <v>183</v>
      </c>
      <c r="L1133" s="1149" t="s">
        <v>1677</v>
      </c>
      <c r="M1133" s="1209">
        <v>277</v>
      </c>
      <c r="N1133" s="1122" t="s">
        <v>7</v>
      </c>
      <c r="O1133" s="1149">
        <v>192124850</v>
      </c>
      <c r="P1133" s="1149">
        <v>192124850</v>
      </c>
      <c r="Q1133" s="1149">
        <v>192124850</v>
      </c>
      <c r="R1133" s="1171">
        <v>41310</v>
      </c>
      <c r="S1133" s="1242"/>
      <c r="T1133" s="1242"/>
      <c r="U1133" s="1242"/>
      <c r="V1133" s="1149">
        <f>W1133</f>
        <v>190449007</v>
      </c>
      <c r="W1133" s="1149">
        <v>190449007</v>
      </c>
      <c r="X1133" s="1149"/>
      <c r="Y1133" s="372" t="s">
        <v>1682</v>
      </c>
      <c r="Z1133" s="397">
        <v>147710367</v>
      </c>
      <c r="AA1133" s="397">
        <v>0</v>
      </c>
      <c r="AB1133" s="397">
        <f>Z1133+AA1133</f>
        <v>147710367</v>
      </c>
      <c r="AC1133" s="384">
        <v>42200</v>
      </c>
      <c r="AD1133" s="371">
        <v>147710367</v>
      </c>
      <c r="AE1133" s="1122" t="s">
        <v>7</v>
      </c>
      <c r="AF1133" s="1149">
        <f>SUM(AD1133:AD1134)</f>
        <v>190448592</v>
      </c>
      <c r="AG1133" s="1149">
        <f>+AF1133</f>
        <v>190448592</v>
      </c>
      <c r="AH1133" s="1149">
        <v>0</v>
      </c>
      <c r="AI1133" s="1149">
        <v>0</v>
      </c>
      <c r="AJ1133" s="1149">
        <v>0</v>
      </c>
      <c r="AK1133" s="1149">
        <f>O1133-W1133</f>
        <v>1675843</v>
      </c>
      <c r="AL1133" s="1149">
        <f>W1133-AD1133-AD1134</f>
        <v>415</v>
      </c>
      <c r="AM1133" s="1149">
        <f>AK1133+AL1133</f>
        <v>1676258</v>
      </c>
      <c r="AN1133" s="1149"/>
      <c r="AO1133" s="1149" t="s">
        <v>1681</v>
      </c>
      <c r="AP1133" s="1204" t="s">
        <v>195</v>
      </c>
      <c r="AQ1133" s="1204" t="s">
        <v>1619</v>
      </c>
    </row>
    <row r="1134" spans="1:43" s="4" customFormat="1" ht="15" customHeight="1">
      <c r="A1134" s="1149"/>
      <c r="B1134" s="1171"/>
      <c r="C1134" s="1149"/>
      <c r="D1134" s="1149"/>
      <c r="E1134" s="1241"/>
      <c r="F1134" s="1241"/>
      <c r="G1134" s="1149"/>
      <c r="H1134" s="1149"/>
      <c r="I1134" s="1149"/>
      <c r="J1134" s="1149"/>
      <c r="K1134" s="1149"/>
      <c r="L1134" s="1149"/>
      <c r="M1134" s="1209"/>
      <c r="N1134" s="1122"/>
      <c r="O1134" s="1149"/>
      <c r="P1134" s="1149"/>
      <c r="Q1134" s="1149"/>
      <c r="R1134" s="1171"/>
      <c r="S1134" s="1242"/>
      <c r="T1134" s="1242"/>
      <c r="U1134" s="1242"/>
      <c r="V1134" s="1149"/>
      <c r="W1134" s="1149"/>
      <c r="X1134" s="1149"/>
      <c r="Y1134" s="372" t="s">
        <v>1683</v>
      </c>
      <c r="Z1134" s="397">
        <v>42738225</v>
      </c>
      <c r="AA1134" s="397">
        <v>0</v>
      </c>
      <c r="AB1134" s="397">
        <f>Z1134+AA1134</f>
        <v>42738225</v>
      </c>
      <c r="AC1134" s="384">
        <v>42615</v>
      </c>
      <c r="AD1134" s="371">
        <v>42738225</v>
      </c>
      <c r="AE1134" s="1122"/>
      <c r="AF1134" s="1149"/>
      <c r="AG1134" s="1149"/>
      <c r="AH1134" s="1149"/>
      <c r="AI1134" s="1149"/>
      <c r="AJ1134" s="1149"/>
      <c r="AK1134" s="1149"/>
      <c r="AL1134" s="1149"/>
      <c r="AM1134" s="1149"/>
      <c r="AN1134" s="1149"/>
      <c r="AO1134" s="1149"/>
      <c r="AP1134" s="1204"/>
      <c r="AQ1134" s="1204"/>
    </row>
    <row r="1135" spans="1:43" s="203" customFormat="1" ht="15" customHeight="1">
      <c r="A1135" s="1075" t="s">
        <v>1698</v>
      </c>
      <c r="B1135" s="1199">
        <v>41592</v>
      </c>
      <c r="C1135" s="1075" t="s">
        <v>37</v>
      </c>
      <c r="D1135" s="1075" t="s">
        <v>1699</v>
      </c>
      <c r="E1135" s="1238">
        <v>900671733</v>
      </c>
      <c r="F1135" s="1238">
        <v>3</v>
      </c>
      <c r="G1135" s="1075" t="s">
        <v>1700</v>
      </c>
      <c r="H1135" s="1075" t="s">
        <v>71</v>
      </c>
      <c r="I1135" s="1075" t="s">
        <v>1221</v>
      </c>
      <c r="J1135" s="1075" t="s">
        <v>66</v>
      </c>
      <c r="K1135" s="1075" t="s">
        <v>49</v>
      </c>
      <c r="L1135" s="1075" t="s">
        <v>1703</v>
      </c>
      <c r="M1135" s="1239">
        <v>288</v>
      </c>
      <c r="N1135" s="1206" t="s">
        <v>137</v>
      </c>
      <c r="O1135" s="1198">
        <v>564649341</v>
      </c>
      <c r="P1135" s="1198">
        <f>O1135+O1141</f>
        <v>2190887838</v>
      </c>
      <c r="Q1135" s="1198">
        <f>P1135+P1147+P1153+P1156</f>
        <v>3708336908</v>
      </c>
      <c r="R1135" s="1199">
        <v>41522</v>
      </c>
      <c r="S1135" s="1240">
        <f>T1135+T1141</f>
        <v>2190887838</v>
      </c>
      <c r="T1135" s="1198">
        <v>564649341</v>
      </c>
      <c r="U1135" s="1198">
        <f>O1135-T1135</f>
        <v>0</v>
      </c>
      <c r="V1135" s="1197">
        <v>2472301814.6500001</v>
      </c>
      <c r="W1135" s="1198">
        <f>2472301814.65+1199510028+36525065.35</f>
        <v>3708336908</v>
      </c>
      <c r="X1135" s="1075" t="s">
        <v>1701</v>
      </c>
      <c r="Y1135" s="1206" t="s">
        <v>1705</v>
      </c>
      <c r="Z1135" s="388">
        <v>157769107.96000001</v>
      </c>
      <c r="AA1135" s="388">
        <v>0</v>
      </c>
      <c r="AB1135" s="388">
        <f>Z1135+AA1135</f>
        <v>157769107.96000001</v>
      </c>
      <c r="AC1135" s="1199">
        <v>41961</v>
      </c>
      <c r="AD1135" s="200">
        <v>157769107.96000001</v>
      </c>
      <c r="AE1135" s="201" t="s">
        <v>137</v>
      </c>
      <c r="AF1135" s="1197">
        <f>SUM(AD1135:AD1146)</f>
        <v>2158991527.3799996</v>
      </c>
      <c r="AG1135" s="1197">
        <f>AF1135+AF1147+AF1153+AF1156</f>
        <v>3289963512.3399997</v>
      </c>
      <c r="AH1135" s="387">
        <f>AB1135-AD1135</f>
        <v>0</v>
      </c>
      <c r="AI1135" s="1197"/>
      <c r="AJ1135" s="1198"/>
      <c r="AK1135" s="1198"/>
      <c r="AL1135" s="1198"/>
      <c r="AM1135" s="1198"/>
      <c r="AN1135" s="1200" t="s">
        <v>1704</v>
      </c>
      <c r="AO1135" s="1201" t="s">
        <v>1711</v>
      </c>
      <c r="AP1135" s="1202" t="s">
        <v>194</v>
      </c>
      <c r="AQ1135" s="1202" t="s">
        <v>1619</v>
      </c>
    </row>
    <row r="1136" spans="1:43" s="203" customFormat="1" ht="15" customHeight="1">
      <c r="A1136" s="1075"/>
      <c r="B1136" s="1199"/>
      <c r="C1136" s="1075"/>
      <c r="D1136" s="1075"/>
      <c r="E1136" s="1238"/>
      <c r="F1136" s="1238"/>
      <c r="G1136" s="1075"/>
      <c r="H1136" s="1075"/>
      <c r="I1136" s="1075"/>
      <c r="J1136" s="1075"/>
      <c r="K1136" s="1075"/>
      <c r="L1136" s="1075"/>
      <c r="M1136" s="1239"/>
      <c r="N1136" s="1206"/>
      <c r="O1136" s="1198"/>
      <c r="P1136" s="1198"/>
      <c r="Q1136" s="1198"/>
      <c r="R1136" s="1199"/>
      <c r="S1136" s="1240"/>
      <c r="T1136" s="1198"/>
      <c r="U1136" s="1198"/>
      <c r="V1136" s="1197"/>
      <c r="W1136" s="1198"/>
      <c r="X1136" s="1075"/>
      <c r="Y1136" s="1206"/>
      <c r="Z1136" s="388">
        <v>454388552.99000001</v>
      </c>
      <c r="AA1136" s="388">
        <v>0</v>
      </c>
      <c r="AB1136" s="388">
        <f t="shared" ref="AB1136:AB1166" si="67">Z1136+AA1136</f>
        <v>454388552.99000001</v>
      </c>
      <c r="AC1136" s="1199"/>
      <c r="AD1136" s="200">
        <v>454388552.99000001</v>
      </c>
      <c r="AE1136" s="201" t="s">
        <v>7</v>
      </c>
      <c r="AF1136" s="1197"/>
      <c r="AG1136" s="1197"/>
      <c r="AH1136" s="387">
        <f t="shared" ref="AH1136:AH1146" si="68">AB1136-AD1136</f>
        <v>0</v>
      </c>
      <c r="AI1136" s="1197"/>
      <c r="AJ1136" s="1198"/>
      <c r="AK1136" s="1198"/>
      <c r="AL1136" s="1198"/>
      <c r="AM1136" s="1198"/>
      <c r="AN1136" s="1200"/>
      <c r="AO1136" s="1202"/>
      <c r="AP1136" s="1202"/>
      <c r="AQ1136" s="1202"/>
    </row>
    <row r="1137" spans="1:43" s="203" customFormat="1" ht="15" customHeight="1">
      <c r="A1137" s="1075"/>
      <c r="B1137" s="1199"/>
      <c r="C1137" s="1075"/>
      <c r="D1137" s="1075"/>
      <c r="E1137" s="1238"/>
      <c r="F1137" s="1238"/>
      <c r="G1137" s="1075"/>
      <c r="H1137" s="1075"/>
      <c r="I1137" s="1075"/>
      <c r="J1137" s="1075"/>
      <c r="K1137" s="1075"/>
      <c r="L1137" s="1075"/>
      <c r="M1137" s="1239"/>
      <c r="N1137" s="1206"/>
      <c r="O1137" s="1198"/>
      <c r="P1137" s="1198"/>
      <c r="Q1137" s="1198"/>
      <c r="R1137" s="1199"/>
      <c r="S1137" s="1240"/>
      <c r="T1137" s="1198"/>
      <c r="U1137" s="1198"/>
      <c r="V1137" s="1197"/>
      <c r="W1137" s="1198"/>
      <c r="X1137" s="1075"/>
      <c r="Y1137" s="1206" t="s">
        <v>1706</v>
      </c>
      <c r="Z1137" s="388">
        <v>78015709.75</v>
      </c>
      <c r="AA1137" s="388">
        <v>0</v>
      </c>
      <c r="AB1137" s="388">
        <f t="shared" si="67"/>
        <v>78015709.75</v>
      </c>
      <c r="AC1137" s="1199">
        <v>42026</v>
      </c>
      <c r="AD1137" s="200">
        <v>78015709.75</v>
      </c>
      <c r="AE1137" s="201" t="s">
        <v>137</v>
      </c>
      <c r="AF1137" s="1197"/>
      <c r="AG1137" s="1197"/>
      <c r="AH1137" s="387">
        <f t="shared" si="68"/>
        <v>0</v>
      </c>
      <c r="AI1137" s="1197"/>
      <c r="AJ1137" s="1198"/>
      <c r="AK1137" s="1198"/>
      <c r="AL1137" s="1198"/>
      <c r="AM1137" s="1198"/>
      <c r="AN1137" s="1200"/>
      <c r="AO1137" s="1202"/>
      <c r="AP1137" s="1202"/>
      <c r="AQ1137" s="1202"/>
    </row>
    <row r="1138" spans="1:43" s="203" customFormat="1" ht="15" customHeight="1">
      <c r="A1138" s="1075"/>
      <c r="B1138" s="1199"/>
      <c r="C1138" s="1075"/>
      <c r="D1138" s="1075"/>
      <c r="E1138" s="1238"/>
      <c r="F1138" s="1238"/>
      <c r="G1138" s="1075"/>
      <c r="H1138" s="1075"/>
      <c r="I1138" s="1075"/>
      <c r="J1138" s="1075"/>
      <c r="K1138" s="1075"/>
      <c r="L1138" s="1075"/>
      <c r="M1138" s="1239"/>
      <c r="N1138" s="1206"/>
      <c r="O1138" s="1198"/>
      <c r="P1138" s="1198"/>
      <c r="Q1138" s="1198"/>
      <c r="R1138" s="1199"/>
      <c r="S1138" s="1240"/>
      <c r="T1138" s="1198"/>
      <c r="U1138" s="1198"/>
      <c r="V1138" s="1197"/>
      <c r="W1138" s="1198"/>
      <c r="X1138" s="1075"/>
      <c r="Y1138" s="1206"/>
      <c r="Z1138" s="388">
        <v>224691930.66</v>
      </c>
      <c r="AA1138" s="388">
        <v>0</v>
      </c>
      <c r="AB1138" s="388">
        <f t="shared" si="67"/>
        <v>224691930.66</v>
      </c>
      <c r="AC1138" s="1199"/>
      <c r="AD1138" s="200">
        <v>224691930.66</v>
      </c>
      <c r="AE1138" s="201" t="s">
        <v>7</v>
      </c>
      <c r="AF1138" s="1197"/>
      <c r="AG1138" s="1197"/>
      <c r="AH1138" s="387">
        <f t="shared" si="68"/>
        <v>0</v>
      </c>
      <c r="AI1138" s="1197"/>
      <c r="AJ1138" s="1198"/>
      <c r="AK1138" s="1198"/>
      <c r="AL1138" s="1198"/>
      <c r="AM1138" s="1198"/>
      <c r="AN1138" s="1200"/>
      <c r="AO1138" s="1202"/>
      <c r="AP1138" s="1202"/>
      <c r="AQ1138" s="1202"/>
    </row>
    <row r="1139" spans="1:43" s="203" customFormat="1" ht="15" customHeight="1">
      <c r="A1139" s="1075"/>
      <c r="B1139" s="1199"/>
      <c r="C1139" s="1075"/>
      <c r="D1139" s="1075"/>
      <c r="E1139" s="1238"/>
      <c r="F1139" s="1238"/>
      <c r="G1139" s="1075"/>
      <c r="H1139" s="1075"/>
      <c r="I1139" s="1075"/>
      <c r="J1139" s="1075"/>
      <c r="K1139" s="1075"/>
      <c r="L1139" s="1075"/>
      <c r="M1139" s="1239"/>
      <c r="N1139" s="1206"/>
      <c r="O1139" s="1198"/>
      <c r="P1139" s="1198"/>
      <c r="Q1139" s="1198"/>
      <c r="R1139" s="1199"/>
      <c r="S1139" s="1240"/>
      <c r="T1139" s="1198"/>
      <c r="U1139" s="1198"/>
      <c r="V1139" s="1197"/>
      <c r="W1139" s="1198"/>
      <c r="X1139" s="1075"/>
      <c r="Y1139" s="1206" t="s">
        <v>1707</v>
      </c>
      <c r="Z1139" s="388">
        <v>135723777.19</v>
      </c>
      <c r="AA1139" s="388">
        <v>0</v>
      </c>
      <c r="AB1139" s="388">
        <f t="shared" si="67"/>
        <v>135723777.19</v>
      </c>
      <c r="AC1139" s="1199">
        <v>42342</v>
      </c>
      <c r="AD1139" s="200">
        <v>135723777.19</v>
      </c>
      <c r="AE1139" s="201" t="s">
        <v>137</v>
      </c>
      <c r="AF1139" s="1197"/>
      <c r="AG1139" s="1197"/>
      <c r="AH1139" s="387">
        <f t="shared" si="68"/>
        <v>0</v>
      </c>
      <c r="AI1139" s="1197"/>
      <c r="AJ1139" s="1198"/>
      <c r="AK1139" s="1198"/>
      <c r="AL1139" s="1198"/>
      <c r="AM1139" s="1198"/>
      <c r="AN1139" s="1200"/>
      <c r="AO1139" s="1202"/>
      <c r="AP1139" s="1202"/>
      <c r="AQ1139" s="1202"/>
    </row>
    <row r="1140" spans="1:43" s="203" customFormat="1" ht="15" customHeight="1">
      <c r="A1140" s="1075"/>
      <c r="B1140" s="1199"/>
      <c r="C1140" s="1075"/>
      <c r="D1140" s="1075"/>
      <c r="E1140" s="1238"/>
      <c r="F1140" s="1238"/>
      <c r="G1140" s="1075"/>
      <c r="H1140" s="1075"/>
      <c r="I1140" s="1075"/>
      <c r="J1140" s="1075"/>
      <c r="K1140" s="1075"/>
      <c r="L1140" s="1075"/>
      <c r="M1140" s="1239"/>
      <c r="N1140" s="1206"/>
      <c r="O1140" s="1198"/>
      <c r="P1140" s="1198"/>
      <c r="Q1140" s="1198"/>
      <c r="R1140" s="1199"/>
      <c r="S1140" s="1240"/>
      <c r="T1140" s="1198"/>
      <c r="U1140" s="1198"/>
      <c r="V1140" s="1197"/>
      <c r="W1140" s="1198"/>
      <c r="X1140" s="1075"/>
      <c r="Y1140" s="1206"/>
      <c r="Z1140" s="388">
        <v>390896110.89999998</v>
      </c>
      <c r="AA1140" s="388">
        <v>0</v>
      </c>
      <c r="AB1140" s="388">
        <f t="shared" si="67"/>
        <v>390896110.89999998</v>
      </c>
      <c r="AC1140" s="1199"/>
      <c r="AD1140" s="200">
        <v>390896110.89999998</v>
      </c>
      <c r="AE1140" s="201" t="s">
        <v>7</v>
      </c>
      <c r="AF1140" s="1197"/>
      <c r="AG1140" s="1197"/>
      <c r="AH1140" s="387">
        <f t="shared" si="68"/>
        <v>0</v>
      </c>
      <c r="AI1140" s="1197"/>
      <c r="AJ1140" s="1198"/>
      <c r="AK1140" s="1198"/>
      <c r="AL1140" s="1198"/>
      <c r="AM1140" s="1198"/>
      <c r="AN1140" s="1200"/>
      <c r="AO1140" s="1202"/>
      <c r="AP1140" s="1202"/>
      <c r="AQ1140" s="1202"/>
    </row>
    <row r="1141" spans="1:43" s="203" customFormat="1" ht="15" customHeight="1">
      <c r="A1141" s="1075"/>
      <c r="B1141" s="1199"/>
      <c r="C1141" s="1075"/>
      <c r="D1141" s="1075"/>
      <c r="E1141" s="1238"/>
      <c r="F1141" s="1238"/>
      <c r="G1141" s="1075"/>
      <c r="H1141" s="1075"/>
      <c r="I1141" s="1075"/>
      <c r="J1141" s="1075"/>
      <c r="K1141" s="1075"/>
      <c r="L1141" s="1075"/>
      <c r="M1141" s="1239"/>
      <c r="N1141" s="1206" t="s">
        <v>7</v>
      </c>
      <c r="O1141" s="1198">
        <v>1626238497</v>
      </c>
      <c r="P1141" s="1198"/>
      <c r="Q1141" s="1198"/>
      <c r="R1141" s="1199"/>
      <c r="S1141" s="1240"/>
      <c r="T1141" s="1198">
        <v>1626238497</v>
      </c>
      <c r="U1141" s="1198">
        <f>O1141-T1141</f>
        <v>0</v>
      </c>
      <c r="V1141" s="1197"/>
      <c r="W1141" s="1198"/>
      <c r="X1141" s="1075"/>
      <c r="Y1141" s="1206" t="s">
        <v>1708</v>
      </c>
      <c r="Z1141" s="388">
        <v>97399436.519999996</v>
      </c>
      <c r="AA1141" s="388">
        <v>0</v>
      </c>
      <c r="AB1141" s="388">
        <f t="shared" si="67"/>
        <v>97399436.519999996</v>
      </c>
      <c r="AC1141" s="1199">
        <v>42367</v>
      </c>
      <c r="AD1141" s="200">
        <v>97399436.519999996</v>
      </c>
      <c r="AE1141" s="201" t="s">
        <v>137</v>
      </c>
      <c r="AF1141" s="1197"/>
      <c r="AG1141" s="1197"/>
      <c r="AH1141" s="387">
        <f t="shared" si="68"/>
        <v>0</v>
      </c>
      <c r="AI1141" s="1197"/>
      <c r="AJ1141" s="1198"/>
      <c r="AK1141" s="1198"/>
      <c r="AL1141" s="1198"/>
      <c r="AM1141" s="1198"/>
      <c r="AN1141" s="1200"/>
      <c r="AO1141" s="1202"/>
      <c r="AP1141" s="1202"/>
      <c r="AQ1141" s="1202"/>
    </row>
    <row r="1142" spans="1:43" s="203" customFormat="1" ht="15" customHeight="1">
      <c r="A1142" s="1075"/>
      <c r="B1142" s="1199"/>
      <c r="C1142" s="1075"/>
      <c r="D1142" s="1075"/>
      <c r="E1142" s="1238"/>
      <c r="F1142" s="1238"/>
      <c r="G1142" s="1075"/>
      <c r="H1142" s="1075"/>
      <c r="I1142" s="1075"/>
      <c r="J1142" s="1075"/>
      <c r="K1142" s="1075"/>
      <c r="L1142" s="1075"/>
      <c r="M1142" s="1239"/>
      <c r="N1142" s="1206"/>
      <c r="O1142" s="1198"/>
      <c r="P1142" s="1198"/>
      <c r="Q1142" s="1198"/>
      <c r="R1142" s="1199"/>
      <c r="S1142" s="1240"/>
      <c r="T1142" s="1198"/>
      <c r="U1142" s="1198"/>
      <c r="V1142" s="1197"/>
      <c r="W1142" s="1198"/>
      <c r="X1142" s="1075"/>
      <c r="Y1142" s="1206"/>
      <c r="Z1142" s="388">
        <v>280518725.07999998</v>
      </c>
      <c r="AA1142" s="388">
        <v>0</v>
      </c>
      <c r="AB1142" s="388">
        <f t="shared" si="67"/>
        <v>280518725.07999998</v>
      </c>
      <c r="AC1142" s="1199"/>
      <c r="AD1142" s="200">
        <v>280518725.07999998</v>
      </c>
      <c r="AE1142" s="201" t="s">
        <v>7</v>
      </c>
      <c r="AF1142" s="1197"/>
      <c r="AG1142" s="1197"/>
      <c r="AH1142" s="387">
        <f t="shared" si="68"/>
        <v>0</v>
      </c>
      <c r="AI1142" s="1197"/>
      <c r="AJ1142" s="1198"/>
      <c r="AK1142" s="1198"/>
      <c r="AL1142" s="1198"/>
      <c r="AM1142" s="1198"/>
      <c r="AN1142" s="1200"/>
      <c r="AO1142" s="1202"/>
      <c r="AP1142" s="1202"/>
      <c r="AQ1142" s="1202"/>
    </row>
    <row r="1143" spans="1:43" s="203" customFormat="1" ht="15" customHeight="1">
      <c r="A1143" s="1075"/>
      <c r="B1143" s="1199"/>
      <c r="C1143" s="1075"/>
      <c r="D1143" s="1075"/>
      <c r="E1143" s="1238"/>
      <c r="F1143" s="1238"/>
      <c r="G1143" s="1075"/>
      <c r="H1143" s="1075"/>
      <c r="I1143" s="1075"/>
      <c r="J1143" s="1075"/>
      <c r="K1143" s="1075"/>
      <c r="L1143" s="1075"/>
      <c r="M1143" s="1239"/>
      <c r="N1143" s="1206"/>
      <c r="O1143" s="1198"/>
      <c r="P1143" s="1198"/>
      <c r="Q1143" s="1198"/>
      <c r="R1143" s="1199"/>
      <c r="S1143" s="1240"/>
      <c r="T1143" s="1198"/>
      <c r="U1143" s="1198"/>
      <c r="V1143" s="1197"/>
      <c r="W1143" s="1198"/>
      <c r="X1143" s="1075"/>
      <c r="Y1143" s="1206" t="s">
        <v>1709</v>
      </c>
      <c r="Z1143" s="388">
        <v>87520792.560000002</v>
      </c>
      <c r="AA1143" s="388">
        <v>0</v>
      </c>
      <c r="AB1143" s="388">
        <f t="shared" si="67"/>
        <v>87520792.560000002</v>
      </c>
      <c r="AC1143" s="1199">
        <v>42732</v>
      </c>
      <c r="AD1143" s="200">
        <v>87520792.560000002</v>
      </c>
      <c r="AE1143" s="201" t="s">
        <v>137</v>
      </c>
      <c r="AF1143" s="1197"/>
      <c r="AG1143" s="1197"/>
      <c r="AH1143" s="387">
        <f t="shared" si="68"/>
        <v>0</v>
      </c>
      <c r="AI1143" s="1197"/>
      <c r="AJ1143" s="1198"/>
      <c r="AK1143" s="1198"/>
      <c r="AL1143" s="1198"/>
      <c r="AM1143" s="1198"/>
      <c r="AN1143" s="1200"/>
      <c r="AO1143" s="1202"/>
      <c r="AP1143" s="1202"/>
      <c r="AQ1143" s="1202"/>
    </row>
    <row r="1144" spans="1:43" s="203" customFormat="1" ht="15" customHeight="1">
      <c r="A1144" s="1075"/>
      <c r="B1144" s="1199"/>
      <c r="C1144" s="1075"/>
      <c r="D1144" s="1075"/>
      <c r="E1144" s="1238"/>
      <c r="F1144" s="1238"/>
      <c r="G1144" s="1075"/>
      <c r="H1144" s="1075"/>
      <c r="I1144" s="1075"/>
      <c r="J1144" s="1075"/>
      <c r="K1144" s="1075"/>
      <c r="L1144" s="1075"/>
      <c r="M1144" s="1239"/>
      <c r="N1144" s="1206"/>
      <c r="O1144" s="1198"/>
      <c r="P1144" s="1198"/>
      <c r="Q1144" s="1198"/>
      <c r="R1144" s="1199"/>
      <c r="S1144" s="1240"/>
      <c r="T1144" s="1198"/>
      <c r="U1144" s="1198"/>
      <c r="V1144" s="1197"/>
      <c r="W1144" s="1198"/>
      <c r="X1144" s="1075"/>
      <c r="Y1144" s="1206"/>
      <c r="Z1144" s="388">
        <v>252067383.77000001</v>
      </c>
      <c r="AA1144" s="388">
        <v>0</v>
      </c>
      <c r="AB1144" s="388">
        <f t="shared" si="67"/>
        <v>252067383.77000001</v>
      </c>
      <c r="AC1144" s="1199"/>
      <c r="AD1144" s="200">
        <v>252067383.77000001</v>
      </c>
      <c r="AE1144" s="201" t="s">
        <v>7</v>
      </c>
      <c r="AF1144" s="1197"/>
      <c r="AG1144" s="1197"/>
      <c r="AH1144" s="387"/>
      <c r="AI1144" s="1197"/>
      <c r="AJ1144" s="1198"/>
      <c r="AK1144" s="1198"/>
      <c r="AL1144" s="1198"/>
      <c r="AM1144" s="1198"/>
      <c r="AN1144" s="1200"/>
      <c r="AO1144" s="1202"/>
      <c r="AP1144" s="1202"/>
      <c r="AQ1144" s="1202"/>
    </row>
    <row r="1145" spans="1:43" s="203" customFormat="1" ht="15" customHeight="1">
      <c r="A1145" s="1075"/>
      <c r="B1145" s="1199"/>
      <c r="C1145" s="1075"/>
      <c r="D1145" s="1075"/>
      <c r="E1145" s="1238"/>
      <c r="F1145" s="1238"/>
      <c r="G1145" s="1075"/>
      <c r="H1145" s="1075"/>
      <c r="I1145" s="1075"/>
      <c r="J1145" s="1075"/>
      <c r="K1145" s="1075"/>
      <c r="L1145" s="1075"/>
      <c r="M1145" s="1239"/>
      <c r="N1145" s="1206"/>
      <c r="O1145" s="1198"/>
      <c r="P1145" s="1198"/>
      <c r="Q1145" s="1198"/>
      <c r="R1145" s="1199"/>
      <c r="S1145" s="1240"/>
      <c r="T1145" s="1198"/>
      <c r="U1145" s="1198"/>
      <c r="V1145" s="1197"/>
      <c r="W1145" s="1198"/>
      <c r="X1145" s="1075"/>
      <c r="Y1145" s="1206"/>
      <c r="Z1145" s="388"/>
      <c r="AA1145" s="388">
        <v>0</v>
      </c>
      <c r="AB1145" s="388">
        <f t="shared" si="67"/>
        <v>0</v>
      </c>
      <c r="AC1145" s="1199"/>
      <c r="AD1145" s="200"/>
      <c r="AE1145" s="201"/>
      <c r="AF1145" s="1197"/>
      <c r="AG1145" s="1197"/>
      <c r="AH1145" s="387"/>
      <c r="AI1145" s="1197"/>
      <c r="AJ1145" s="1198"/>
      <c r="AK1145" s="1198"/>
      <c r="AL1145" s="1198"/>
      <c r="AM1145" s="1198"/>
      <c r="AN1145" s="1200"/>
      <c r="AO1145" s="1202"/>
      <c r="AP1145" s="1202"/>
      <c r="AQ1145" s="1202"/>
    </row>
    <row r="1146" spans="1:43" s="203" customFormat="1" ht="15" customHeight="1">
      <c r="A1146" s="1075"/>
      <c r="B1146" s="1199"/>
      <c r="C1146" s="1075"/>
      <c r="D1146" s="1075"/>
      <c r="E1146" s="1238"/>
      <c r="F1146" s="1238"/>
      <c r="G1146" s="1075"/>
      <c r="H1146" s="1075"/>
      <c r="I1146" s="1075"/>
      <c r="J1146" s="1075"/>
      <c r="K1146" s="1075"/>
      <c r="L1146" s="1075"/>
      <c r="M1146" s="1239"/>
      <c r="N1146" s="1206"/>
      <c r="O1146" s="1198"/>
      <c r="P1146" s="1198"/>
      <c r="Q1146" s="1198"/>
      <c r="R1146" s="1199"/>
      <c r="S1146" s="1240"/>
      <c r="T1146" s="1198"/>
      <c r="U1146" s="1198"/>
      <c r="V1146" s="1197"/>
      <c r="W1146" s="1198"/>
      <c r="X1146" s="1075"/>
      <c r="Y1146" s="1206"/>
      <c r="Z1146" s="388"/>
      <c r="AA1146" s="388">
        <v>0</v>
      </c>
      <c r="AB1146" s="388">
        <f t="shared" si="67"/>
        <v>0</v>
      </c>
      <c r="AC1146" s="1199"/>
      <c r="AD1146" s="200"/>
      <c r="AE1146" s="201"/>
      <c r="AF1146" s="1197"/>
      <c r="AG1146" s="1197"/>
      <c r="AH1146" s="387">
        <f t="shared" si="68"/>
        <v>0</v>
      </c>
      <c r="AI1146" s="1197"/>
      <c r="AJ1146" s="1198"/>
      <c r="AK1146" s="1198"/>
      <c r="AL1146" s="1198"/>
      <c r="AM1146" s="1198"/>
      <c r="AN1146" s="1200"/>
      <c r="AO1146" s="1202"/>
      <c r="AP1146" s="1202"/>
      <c r="AQ1146" s="1202"/>
    </row>
    <row r="1147" spans="1:43" s="203" customFormat="1" ht="15" customHeight="1">
      <c r="A1147" s="1075"/>
      <c r="B1147" s="1199"/>
      <c r="C1147" s="1075"/>
      <c r="D1147" s="1075"/>
      <c r="E1147" s="1238"/>
      <c r="F1147" s="1238"/>
      <c r="G1147" s="1075"/>
      <c r="H1147" s="1075"/>
      <c r="I1147" s="1075"/>
      <c r="J1147" s="1075"/>
      <c r="K1147" s="1075"/>
      <c r="L1147" s="1075"/>
      <c r="M1147" s="1239">
        <v>3</v>
      </c>
      <c r="N1147" s="1206" t="s">
        <v>162</v>
      </c>
      <c r="O1147" s="1198">
        <v>317939042</v>
      </c>
      <c r="P1147" s="1198">
        <v>317939042</v>
      </c>
      <c r="Q1147" s="1198"/>
      <c r="R1147" s="1199">
        <v>41522</v>
      </c>
      <c r="S1147" s="1240">
        <f>T1147</f>
        <v>317939042</v>
      </c>
      <c r="T1147" s="1240">
        <v>317939042</v>
      </c>
      <c r="U1147" s="1240">
        <f>O1147-T1147</f>
        <v>0</v>
      </c>
      <c r="V1147" s="1197"/>
      <c r="W1147" s="1198"/>
      <c r="X1147" s="1075"/>
      <c r="Y1147" s="400" t="s">
        <v>1705</v>
      </c>
      <c r="Z1147" s="388">
        <v>88835593</v>
      </c>
      <c r="AA1147" s="388">
        <v>0</v>
      </c>
      <c r="AB1147" s="388">
        <f t="shared" si="67"/>
        <v>88835593</v>
      </c>
      <c r="AC1147" s="401">
        <v>41961</v>
      </c>
      <c r="AD1147" s="200">
        <v>88835593</v>
      </c>
      <c r="AE1147" s="201" t="s">
        <v>162</v>
      </c>
      <c r="AF1147" s="1197">
        <f>SUM(AD1147:AD1152)</f>
        <v>317939042.00000006</v>
      </c>
      <c r="AG1147" s="1197"/>
      <c r="AH1147" s="387">
        <f>AB1147-AD1147</f>
        <v>0</v>
      </c>
      <c r="AI1147" s="1197"/>
      <c r="AJ1147" s="1198"/>
      <c r="AK1147" s="1198"/>
      <c r="AL1147" s="1198"/>
      <c r="AM1147" s="1198"/>
      <c r="AN1147" s="1200"/>
      <c r="AO1147" s="1202"/>
      <c r="AP1147" s="1202"/>
      <c r="AQ1147" s="1202"/>
    </row>
    <row r="1148" spans="1:43" s="203" customFormat="1" ht="15" customHeight="1">
      <c r="A1148" s="1075"/>
      <c r="B1148" s="1199"/>
      <c r="C1148" s="1075"/>
      <c r="D1148" s="1075"/>
      <c r="E1148" s="1238"/>
      <c r="F1148" s="1238"/>
      <c r="G1148" s="1075"/>
      <c r="H1148" s="1075"/>
      <c r="I1148" s="1075"/>
      <c r="J1148" s="1075"/>
      <c r="K1148" s="1075"/>
      <c r="L1148" s="1075"/>
      <c r="M1148" s="1239"/>
      <c r="N1148" s="1206"/>
      <c r="O1148" s="1198"/>
      <c r="P1148" s="1198"/>
      <c r="Q1148" s="1198"/>
      <c r="R1148" s="1199"/>
      <c r="S1148" s="1240"/>
      <c r="T1148" s="1240"/>
      <c r="U1148" s="1240"/>
      <c r="V1148" s="1197"/>
      <c r="W1148" s="1198"/>
      <c r="X1148" s="1075"/>
      <c r="Y1148" s="400" t="s">
        <v>1706</v>
      </c>
      <c r="Z1148" s="388">
        <v>43928573.399999999</v>
      </c>
      <c r="AA1148" s="388">
        <v>0</v>
      </c>
      <c r="AB1148" s="388">
        <f t="shared" si="67"/>
        <v>43928573.399999999</v>
      </c>
      <c r="AC1148" s="401">
        <v>42026</v>
      </c>
      <c r="AD1148" s="200">
        <v>43928573.399999999</v>
      </c>
      <c r="AE1148" s="201" t="s">
        <v>162</v>
      </c>
      <c r="AF1148" s="1197"/>
      <c r="AG1148" s="1197"/>
      <c r="AH1148" s="387">
        <f t="shared" ref="AH1148:AH1158" si="69">AB1148-AD1148</f>
        <v>0</v>
      </c>
      <c r="AI1148" s="1197"/>
      <c r="AJ1148" s="1198"/>
      <c r="AK1148" s="1198"/>
      <c r="AL1148" s="1198"/>
      <c r="AM1148" s="1198"/>
      <c r="AN1148" s="1200"/>
      <c r="AO1148" s="1202"/>
      <c r="AP1148" s="1202"/>
      <c r="AQ1148" s="1202"/>
    </row>
    <row r="1149" spans="1:43" s="203" customFormat="1" ht="15" customHeight="1">
      <c r="A1149" s="1075"/>
      <c r="B1149" s="1199"/>
      <c r="C1149" s="1075"/>
      <c r="D1149" s="1075"/>
      <c r="E1149" s="1238"/>
      <c r="F1149" s="1238"/>
      <c r="G1149" s="1075"/>
      <c r="H1149" s="1075"/>
      <c r="I1149" s="1075"/>
      <c r="J1149" s="1075"/>
      <c r="K1149" s="1075"/>
      <c r="L1149" s="1075"/>
      <c r="M1149" s="1239"/>
      <c r="N1149" s="1206"/>
      <c r="O1149" s="1198"/>
      <c r="P1149" s="1198"/>
      <c r="Q1149" s="1198"/>
      <c r="R1149" s="1199"/>
      <c r="S1149" s="1240"/>
      <c r="T1149" s="1240"/>
      <c r="U1149" s="1240"/>
      <c r="V1149" s="1197"/>
      <c r="W1149" s="1198"/>
      <c r="X1149" s="1075"/>
      <c r="Y1149" s="400" t="s">
        <v>1707</v>
      </c>
      <c r="Z1149" s="388">
        <v>76422452.950000003</v>
      </c>
      <c r="AA1149" s="388">
        <v>0</v>
      </c>
      <c r="AB1149" s="388">
        <f t="shared" si="67"/>
        <v>76422452.950000003</v>
      </c>
      <c r="AC1149" s="401">
        <v>42342</v>
      </c>
      <c r="AD1149" s="200">
        <v>76422452.950000003</v>
      </c>
      <c r="AE1149" s="201" t="s">
        <v>162</v>
      </c>
      <c r="AF1149" s="1197"/>
      <c r="AG1149" s="1197"/>
      <c r="AH1149" s="387">
        <f t="shared" si="69"/>
        <v>0</v>
      </c>
      <c r="AI1149" s="1197"/>
      <c r="AJ1149" s="1198"/>
      <c r="AK1149" s="1198"/>
      <c r="AL1149" s="1198"/>
      <c r="AM1149" s="1198"/>
      <c r="AN1149" s="1200"/>
      <c r="AO1149" s="1202"/>
      <c r="AP1149" s="1202"/>
      <c r="AQ1149" s="1202"/>
    </row>
    <row r="1150" spans="1:43" s="203" customFormat="1" ht="15" customHeight="1">
      <c r="A1150" s="1075"/>
      <c r="B1150" s="1199"/>
      <c r="C1150" s="1075"/>
      <c r="D1150" s="1075"/>
      <c r="E1150" s="1238"/>
      <c r="F1150" s="1238"/>
      <c r="G1150" s="1075"/>
      <c r="H1150" s="1075"/>
      <c r="I1150" s="1075"/>
      <c r="J1150" s="1075"/>
      <c r="K1150" s="1075"/>
      <c r="L1150" s="1075"/>
      <c r="M1150" s="1239"/>
      <c r="N1150" s="1206"/>
      <c r="O1150" s="1198"/>
      <c r="P1150" s="1198"/>
      <c r="Q1150" s="1198"/>
      <c r="R1150" s="1199"/>
      <c r="S1150" s="1240"/>
      <c r="T1150" s="1240"/>
      <c r="U1150" s="1240"/>
      <c r="V1150" s="1197"/>
      <c r="W1150" s="1198"/>
      <c r="X1150" s="1075"/>
      <c r="Y1150" s="400" t="s">
        <v>1708</v>
      </c>
      <c r="Z1150" s="388">
        <v>54843034.939999998</v>
      </c>
      <c r="AA1150" s="388">
        <v>0</v>
      </c>
      <c r="AB1150" s="388">
        <f t="shared" si="67"/>
        <v>54843034.939999998</v>
      </c>
      <c r="AC1150" s="401">
        <v>42367</v>
      </c>
      <c r="AD1150" s="200">
        <v>54843034.939999998</v>
      </c>
      <c r="AE1150" s="201" t="s">
        <v>162</v>
      </c>
      <c r="AF1150" s="1197"/>
      <c r="AG1150" s="1197"/>
      <c r="AH1150" s="387">
        <f t="shared" si="69"/>
        <v>0</v>
      </c>
      <c r="AI1150" s="1197"/>
      <c r="AJ1150" s="1198"/>
      <c r="AK1150" s="1198"/>
      <c r="AL1150" s="1198"/>
      <c r="AM1150" s="1198"/>
      <c r="AN1150" s="1200"/>
      <c r="AO1150" s="1202"/>
      <c r="AP1150" s="1202"/>
      <c r="AQ1150" s="1202"/>
    </row>
    <row r="1151" spans="1:43" s="203" customFormat="1" ht="15" customHeight="1">
      <c r="A1151" s="1075"/>
      <c r="B1151" s="1199"/>
      <c r="C1151" s="1075"/>
      <c r="D1151" s="1075"/>
      <c r="E1151" s="1238"/>
      <c r="F1151" s="1238"/>
      <c r="G1151" s="1075"/>
      <c r="H1151" s="1075"/>
      <c r="I1151" s="1075"/>
      <c r="J1151" s="1075"/>
      <c r="K1151" s="1075"/>
      <c r="L1151" s="1075"/>
      <c r="M1151" s="1239"/>
      <c r="N1151" s="1206"/>
      <c r="O1151" s="1198"/>
      <c r="P1151" s="1198"/>
      <c r="Q1151" s="1198"/>
      <c r="R1151" s="1199"/>
      <c r="S1151" s="1240"/>
      <c r="T1151" s="1240"/>
      <c r="U1151" s="1240"/>
      <c r="V1151" s="1197"/>
      <c r="W1151" s="1198"/>
      <c r="X1151" s="1075"/>
      <c r="Y1151" s="400" t="s">
        <v>1709</v>
      </c>
      <c r="Z1151" s="388">
        <v>49280632.979999997</v>
      </c>
      <c r="AA1151" s="388">
        <v>0</v>
      </c>
      <c r="AB1151" s="388">
        <f t="shared" si="67"/>
        <v>49280632.979999997</v>
      </c>
      <c r="AC1151" s="401">
        <v>42732</v>
      </c>
      <c r="AD1151" s="200">
        <v>49280632.979999997</v>
      </c>
      <c r="AE1151" s="201" t="s">
        <v>162</v>
      </c>
      <c r="AF1151" s="1197"/>
      <c r="AG1151" s="1197"/>
      <c r="AH1151" s="387">
        <f t="shared" si="69"/>
        <v>0</v>
      </c>
      <c r="AI1151" s="1197"/>
      <c r="AJ1151" s="1198"/>
      <c r="AK1151" s="1198"/>
      <c r="AL1151" s="1198"/>
      <c r="AM1151" s="1198"/>
      <c r="AN1151" s="1200"/>
      <c r="AO1151" s="1202"/>
      <c r="AP1151" s="1202"/>
      <c r="AQ1151" s="1202"/>
    </row>
    <row r="1152" spans="1:43" s="203" customFormat="1" ht="15" customHeight="1">
      <c r="A1152" s="1075"/>
      <c r="B1152" s="1199"/>
      <c r="C1152" s="1075"/>
      <c r="D1152" s="1075"/>
      <c r="E1152" s="1238"/>
      <c r="F1152" s="1238"/>
      <c r="G1152" s="1075"/>
      <c r="H1152" s="1075"/>
      <c r="I1152" s="1075"/>
      <c r="J1152" s="1075"/>
      <c r="K1152" s="1075"/>
      <c r="L1152" s="1075"/>
      <c r="M1152" s="1239"/>
      <c r="N1152" s="1206"/>
      <c r="O1152" s="1198"/>
      <c r="P1152" s="1198"/>
      <c r="Q1152" s="1198"/>
      <c r="R1152" s="1199"/>
      <c r="S1152" s="1240"/>
      <c r="T1152" s="1240"/>
      <c r="U1152" s="1240"/>
      <c r="V1152" s="1197"/>
      <c r="W1152" s="1198"/>
      <c r="X1152" s="1075"/>
      <c r="Y1152" s="400" t="s">
        <v>1710</v>
      </c>
      <c r="Z1152" s="388">
        <v>4628754.7300000004</v>
      </c>
      <c r="AA1152" s="388">
        <v>0</v>
      </c>
      <c r="AB1152" s="388">
        <f t="shared" si="67"/>
        <v>4628754.7300000004</v>
      </c>
      <c r="AC1152" s="401">
        <v>43005</v>
      </c>
      <c r="AD1152" s="200">
        <v>4628754.7300000004</v>
      </c>
      <c r="AE1152" s="201" t="s">
        <v>162</v>
      </c>
      <c r="AF1152" s="1197"/>
      <c r="AG1152" s="1197"/>
      <c r="AH1152" s="387">
        <f t="shared" si="69"/>
        <v>0</v>
      </c>
      <c r="AI1152" s="1197"/>
      <c r="AJ1152" s="1198"/>
      <c r="AK1152" s="1198"/>
      <c r="AL1152" s="1198"/>
      <c r="AM1152" s="1198"/>
      <c r="AN1152" s="1200"/>
      <c r="AO1152" s="1202"/>
      <c r="AP1152" s="1202"/>
      <c r="AQ1152" s="1202"/>
    </row>
    <row r="1153" spans="1:43" s="203" customFormat="1" ht="15" customHeight="1">
      <c r="A1153" s="1075"/>
      <c r="B1153" s="1199"/>
      <c r="C1153" s="1075"/>
      <c r="D1153" s="1075"/>
      <c r="E1153" s="1238"/>
      <c r="F1153" s="1238"/>
      <c r="G1153" s="1075"/>
      <c r="H1153" s="1075"/>
      <c r="I1153" s="1075"/>
      <c r="J1153" s="1075" t="s">
        <v>67</v>
      </c>
      <c r="K1153" s="1075"/>
      <c r="L1153" s="1075"/>
      <c r="M1153" s="1239">
        <v>341</v>
      </c>
      <c r="N1153" s="1206" t="s">
        <v>137</v>
      </c>
      <c r="O1153" s="1198">
        <v>549510028</v>
      </c>
      <c r="P1153" s="1198">
        <v>549510028</v>
      </c>
      <c r="Q1153" s="1198"/>
      <c r="R1153" s="1199">
        <v>42611</v>
      </c>
      <c r="S1153" s="1240">
        <f>T1153</f>
        <v>549510028</v>
      </c>
      <c r="T1153" s="1240">
        <v>549510028</v>
      </c>
      <c r="U1153" s="1240">
        <f>O1153-T1153</f>
        <v>0</v>
      </c>
      <c r="V1153" s="1197">
        <v>1199510028</v>
      </c>
      <c r="W1153" s="1198"/>
      <c r="X1153" s="1075"/>
      <c r="Y1153" s="400" t="s">
        <v>1709</v>
      </c>
      <c r="Z1153" s="388">
        <v>100000000</v>
      </c>
      <c r="AA1153" s="388">
        <v>0</v>
      </c>
      <c r="AB1153" s="388">
        <f t="shared" si="67"/>
        <v>100000000</v>
      </c>
      <c r="AC1153" s="401">
        <v>42732</v>
      </c>
      <c r="AD1153" s="200">
        <v>100000000</v>
      </c>
      <c r="AE1153" s="201" t="s">
        <v>137</v>
      </c>
      <c r="AF1153" s="1197">
        <f>SUM(AD1153:AD1155)</f>
        <v>310752673.96000004</v>
      </c>
      <c r="AG1153" s="1197"/>
      <c r="AH1153" s="387">
        <f t="shared" si="69"/>
        <v>0</v>
      </c>
      <c r="AI1153" s="1197"/>
      <c r="AJ1153" s="1198"/>
      <c r="AK1153" s="1198"/>
      <c r="AL1153" s="1198"/>
      <c r="AM1153" s="1198"/>
      <c r="AN1153" s="1200"/>
      <c r="AO1153" s="1202"/>
      <c r="AP1153" s="1202"/>
      <c r="AQ1153" s="1202"/>
    </row>
    <row r="1154" spans="1:43" s="203" customFormat="1" ht="15" customHeight="1">
      <c r="A1154" s="1075"/>
      <c r="B1154" s="1199"/>
      <c r="C1154" s="1075"/>
      <c r="D1154" s="1075"/>
      <c r="E1154" s="1238"/>
      <c r="F1154" s="1238"/>
      <c r="G1154" s="1075"/>
      <c r="H1154" s="1075"/>
      <c r="I1154" s="1075"/>
      <c r="J1154" s="1075"/>
      <c r="K1154" s="1075"/>
      <c r="L1154" s="1075"/>
      <c r="M1154" s="1239"/>
      <c r="N1154" s="1206"/>
      <c r="O1154" s="1198"/>
      <c r="P1154" s="1198"/>
      <c r="Q1154" s="1198"/>
      <c r="R1154" s="1199"/>
      <c r="S1154" s="1240"/>
      <c r="T1154" s="1240"/>
      <c r="U1154" s="1240"/>
      <c r="V1154" s="1197"/>
      <c r="W1154" s="1198"/>
      <c r="X1154" s="1075"/>
      <c r="Y1154" s="400" t="s">
        <v>1710</v>
      </c>
      <c r="Z1154" s="388">
        <v>210752673.96000001</v>
      </c>
      <c r="AA1154" s="388">
        <v>0</v>
      </c>
      <c r="AB1154" s="388">
        <f t="shared" si="67"/>
        <v>210752673.96000001</v>
      </c>
      <c r="AC1154" s="401">
        <v>43005</v>
      </c>
      <c r="AD1154" s="200">
        <v>210752673.96000001</v>
      </c>
      <c r="AE1154" s="201" t="s">
        <v>137</v>
      </c>
      <c r="AF1154" s="1197"/>
      <c r="AG1154" s="1197"/>
      <c r="AH1154" s="387">
        <f t="shared" si="69"/>
        <v>0</v>
      </c>
      <c r="AI1154" s="1197"/>
      <c r="AJ1154" s="1198"/>
      <c r="AK1154" s="1198"/>
      <c r="AL1154" s="1198"/>
      <c r="AM1154" s="1198"/>
      <c r="AN1154" s="1200"/>
      <c r="AO1154" s="1202"/>
      <c r="AP1154" s="1202"/>
      <c r="AQ1154" s="1202"/>
    </row>
    <row r="1155" spans="1:43" s="203" customFormat="1" ht="15" customHeight="1">
      <c r="A1155" s="1075"/>
      <c r="B1155" s="1199"/>
      <c r="C1155" s="1075"/>
      <c r="D1155" s="1075"/>
      <c r="E1155" s="1238"/>
      <c r="F1155" s="1238"/>
      <c r="G1155" s="1075"/>
      <c r="H1155" s="1075"/>
      <c r="I1155" s="1075"/>
      <c r="J1155" s="1075"/>
      <c r="K1155" s="1075"/>
      <c r="L1155" s="1075"/>
      <c r="M1155" s="1239"/>
      <c r="N1155" s="1206"/>
      <c r="O1155" s="1198"/>
      <c r="P1155" s="1198"/>
      <c r="Q1155" s="1198"/>
      <c r="R1155" s="1199"/>
      <c r="S1155" s="1240"/>
      <c r="T1155" s="1240"/>
      <c r="U1155" s="1240"/>
      <c r="V1155" s="1197"/>
      <c r="W1155" s="1198"/>
      <c r="X1155" s="1075"/>
      <c r="Y1155" s="400"/>
      <c r="Z1155" s="388"/>
      <c r="AA1155" s="388">
        <v>0</v>
      </c>
      <c r="AB1155" s="388">
        <f t="shared" si="67"/>
        <v>0</v>
      </c>
      <c r="AC1155" s="401"/>
      <c r="AD1155" s="200"/>
      <c r="AE1155" s="201"/>
      <c r="AF1155" s="1197"/>
      <c r="AG1155" s="1197"/>
      <c r="AH1155" s="387">
        <f t="shared" si="69"/>
        <v>0</v>
      </c>
      <c r="AI1155" s="1197"/>
      <c r="AJ1155" s="1198"/>
      <c r="AK1155" s="1198"/>
      <c r="AL1155" s="1198"/>
      <c r="AM1155" s="1198"/>
      <c r="AN1155" s="1200"/>
      <c r="AO1155" s="1202"/>
      <c r="AP1155" s="1202"/>
      <c r="AQ1155" s="1202"/>
    </row>
    <row r="1156" spans="1:43" s="203" customFormat="1" ht="15" customHeight="1">
      <c r="A1156" s="1075"/>
      <c r="B1156" s="1199"/>
      <c r="C1156" s="1075"/>
      <c r="D1156" s="1075"/>
      <c r="E1156" s="1238"/>
      <c r="F1156" s="1238"/>
      <c r="G1156" s="1075"/>
      <c r="H1156" s="1075"/>
      <c r="I1156" s="1075"/>
      <c r="J1156" s="1075"/>
      <c r="K1156" s="1075"/>
      <c r="L1156" s="1075"/>
      <c r="M1156" s="1239">
        <v>12</v>
      </c>
      <c r="N1156" s="1206" t="s">
        <v>162</v>
      </c>
      <c r="O1156" s="1198">
        <v>650000000</v>
      </c>
      <c r="P1156" s="1198">
        <v>650000000</v>
      </c>
      <c r="Q1156" s="1198"/>
      <c r="R1156" s="1199">
        <v>42611</v>
      </c>
      <c r="S1156" s="1198">
        <f>T1156</f>
        <v>650000000</v>
      </c>
      <c r="T1156" s="1198">
        <v>650000000</v>
      </c>
      <c r="U1156" s="1198">
        <f>O1156-T1156</f>
        <v>0</v>
      </c>
      <c r="V1156" s="1197"/>
      <c r="W1156" s="1198"/>
      <c r="X1156" s="1075"/>
      <c r="Y1156" s="400" t="s">
        <v>1709</v>
      </c>
      <c r="Z1156" s="388">
        <v>292318451.69</v>
      </c>
      <c r="AA1156" s="388">
        <v>0</v>
      </c>
      <c r="AB1156" s="388">
        <f t="shared" si="67"/>
        <v>292318451.69</v>
      </c>
      <c r="AC1156" s="401">
        <v>42732</v>
      </c>
      <c r="AD1156" s="200">
        <v>292318451.69</v>
      </c>
      <c r="AE1156" s="201" t="s">
        <v>162</v>
      </c>
      <c r="AF1156" s="1197">
        <f>SUM(AD1156:AD1158)</f>
        <v>502280269</v>
      </c>
      <c r="AG1156" s="1197"/>
      <c r="AH1156" s="387">
        <f t="shared" si="69"/>
        <v>0</v>
      </c>
      <c r="AI1156" s="1197"/>
      <c r="AJ1156" s="1198"/>
      <c r="AK1156" s="1198"/>
      <c r="AL1156" s="1198"/>
      <c r="AM1156" s="1198"/>
      <c r="AN1156" s="1200"/>
      <c r="AO1156" s="1202"/>
      <c r="AP1156" s="1202"/>
      <c r="AQ1156" s="1202"/>
    </row>
    <row r="1157" spans="1:43" s="203" customFormat="1" ht="15" customHeight="1">
      <c r="A1157" s="1075"/>
      <c r="B1157" s="1199"/>
      <c r="C1157" s="1075"/>
      <c r="D1157" s="1075"/>
      <c r="E1157" s="1238"/>
      <c r="F1157" s="1238"/>
      <c r="G1157" s="1075"/>
      <c r="H1157" s="1075"/>
      <c r="I1157" s="1075"/>
      <c r="J1157" s="1075"/>
      <c r="K1157" s="1075"/>
      <c r="L1157" s="1075"/>
      <c r="M1157" s="1239"/>
      <c r="N1157" s="1206"/>
      <c r="O1157" s="1198"/>
      <c r="P1157" s="1198"/>
      <c r="Q1157" s="1198"/>
      <c r="R1157" s="1199"/>
      <c r="S1157" s="1198"/>
      <c r="T1157" s="1198"/>
      <c r="U1157" s="1198"/>
      <c r="V1157" s="1197"/>
      <c r="W1157" s="1198"/>
      <c r="X1157" s="1075"/>
      <c r="Y1157" s="400" t="s">
        <v>1710</v>
      </c>
      <c r="Z1157" s="388">
        <v>209961817.31</v>
      </c>
      <c r="AA1157" s="388">
        <v>0</v>
      </c>
      <c r="AB1157" s="388">
        <f t="shared" si="67"/>
        <v>209961817.31</v>
      </c>
      <c r="AC1157" s="401">
        <v>43005</v>
      </c>
      <c r="AD1157" s="200">
        <v>209961817.31</v>
      </c>
      <c r="AE1157" s="201" t="s">
        <v>162</v>
      </c>
      <c r="AF1157" s="1197"/>
      <c r="AG1157" s="1197"/>
      <c r="AH1157" s="387">
        <f t="shared" si="69"/>
        <v>0</v>
      </c>
      <c r="AI1157" s="1197"/>
      <c r="AJ1157" s="1198"/>
      <c r="AK1157" s="1198"/>
      <c r="AL1157" s="1198"/>
      <c r="AM1157" s="1198"/>
      <c r="AN1157" s="1200"/>
      <c r="AO1157" s="1202"/>
      <c r="AP1157" s="1202"/>
      <c r="AQ1157" s="1202"/>
    </row>
    <row r="1158" spans="1:43" s="203" customFormat="1" ht="15" customHeight="1">
      <c r="A1158" s="1075"/>
      <c r="B1158" s="1199"/>
      <c r="C1158" s="1075"/>
      <c r="D1158" s="1075"/>
      <c r="E1158" s="1238"/>
      <c r="F1158" s="1238"/>
      <c r="G1158" s="1075"/>
      <c r="H1158" s="1075"/>
      <c r="I1158" s="1075"/>
      <c r="J1158" s="1075"/>
      <c r="K1158" s="1075"/>
      <c r="L1158" s="1075"/>
      <c r="M1158" s="1239"/>
      <c r="N1158" s="1206"/>
      <c r="O1158" s="1198"/>
      <c r="P1158" s="1198"/>
      <c r="Q1158" s="1198"/>
      <c r="R1158" s="1199"/>
      <c r="S1158" s="1198"/>
      <c r="T1158" s="1198"/>
      <c r="U1158" s="1198"/>
      <c r="V1158" s="1197"/>
      <c r="W1158" s="1198"/>
      <c r="X1158" s="1075"/>
      <c r="Y1158" s="400"/>
      <c r="Z1158" s="388"/>
      <c r="AA1158" s="388">
        <v>0</v>
      </c>
      <c r="AB1158" s="388">
        <f t="shared" si="67"/>
        <v>0</v>
      </c>
      <c r="AC1158" s="401"/>
      <c r="AD1158" s="200"/>
      <c r="AE1158" s="201"/>
      <c r="AF1158" s="1197"/>
      <c r="AG1158" s="1197"/>
      <c r="AH1158" s="387">
        <f t="shared" si="69"/>
        <v>0</v>
      </c>
      <c r="AI1158" s="1197"/>
      <c r="AJ1158" s="1198"/>
      <c r="AK1158" s="1198"/>
      <c r="AL1158" s="1198"/>
      <c r="AM1158" s="1198"/>
      <c r="AN1158" s="1200"/>
      <c r="AO1158" s="1202"/>
      <c r="AP1158" s="1202"/>
      <c r="AQ1158" s="1202"/>
    </row>
    <row r="1159" spans="1:43" ht="15" customHeight="1">
      <c r="A1159" s="1076" t="s">
        <v>1684</v>
      </c>
      <c r="B1159" s="1171">
        <v>41603</v>
      </c>
      <c r="C1159" s="1076" t="s">
        <v>24</v>
      </c>
      <c r="D1159" s="1076" t="s">
        <v>1685</v>
      </c>
      <c r="E1159" s="1208">
        <v>900660841</v>
      </c>
      <c r="F1159" s="1208">
        <v>3</v>
      </c>
      <c r="G1159" s="1076" t="s">
        <v>1686</v>
      </c>
      <c r="H1159" s="1076" t="s">
        <v>71</v>
      </c>
      <c r="I1159" s="1076" t="s">
        <v>1221</v>
      </c>
      <c r="J1159" s="1076" t="s">
        <v>66</v>
      </c>
      <c r="K1159" s="1076" t="s">
        <v>50</v>
      </c>
      <c r="L1159" s="1076" t="s">
        <v>1695</v>
      </c>
      <c r="M1159" s="1209">
        <v>283</v>
      </c>
      <c r="N1159" s="1123" t="s">
        <v>7</v>
      </c>
      <c r="O1159" s="1119">
        <v>1060540121</v>
      </c>
      <c r="P1159" s="1119">
        <f>O1159+O1164</f>
        <v>1060540121</v>
      </c>
      <c r="Q1159" s="1119">
        <f>P1159+P1167+P1171</f>
        <v>4617420117</v>
      </c>
      <c r="R1159" s="1171">
        <v>41449</v>
      </c>
      <c r="S1159" s="1196">
        <f>T1159+T1164</f>
        <v>1060540121</v>
      </c>
      <c r="T1159" s="1196">
        <v>1060540121</v>
      </c>
      <c r="U1159" s="1196">
        <f>O1159-T1159</f>
        <v>0</v>
      </c>
      <c r="V1159" s="1084">
        <v>1048502322.5</v>
      </c>
      <c r="W1159" s="1119">
        <f>V1159+V1163+V1167+V1171</f>
        <v>5645082978</v>
      </c>
      <c r="X1159" s="1076" t="s">
        <v>1687</v>
      </c>
      <c r="Y1159" s="1123" t="s">
        <v>1688</v>
      </c>
      <c r="Z1159" s="386">
        <v>354402897.62</v>
      </c>
      <c r="AA1159" s="386">
        <v>0</v>
      </c>
      <c r="AB1159" s="386">
        <f t="shared" si="67"/>
        <v>354402897.62</v>
      </c>
      <c r="AC1159" s="1171">
        <v>41864</v>
      </c>
      <c r="AD1159" s="395">
        <v>354402897.62</v>
      </c>
      <c r="AE1159" s="371" t="s">
        <v>7</v>
      </c>
      <c r="AF1159" s="1084">
        <f>SUM(AD1159:AD1166)</f>
        <v>2107559302.5400002</v>
      </c>
      <c r="AG1159" s="1084">
        <f>AF1159+AF1167+AF1171</f>
        <v>5069523127.8000002</v>
      </c>
      <c r="AH1159" s="358">
        <f>AB1159-AD1159</f>
        <v>0</v>
      </c>
      <c r="AI1159" s="1084">
        <f>O1159-AD1159-AD1161-AD1163-AD1165</f>
        <v>12037798.49999997</v>
      </c>
      <c r="AJ1159" s="1119">
        <f>SUM(Z1159:Z1173)-SUM(AD1159:AD1173)</f>
        <v>575450359</v>
      </c>
      <c r="AK1159" s="1119">
        <f>O1159-V1159</f>
        <v>12037798.5</v>
      </c>
      <c r="AL1159" s="1119">
        <f>(V1159+V1163)-SUM(Z1159:Z1166)</f>
        <v>0</v>
      </c>
      <c r="AM1159" s="1119"/>
      <c r="AN1159" s="1203" t="s">
        <v>1696</v>
      </c>
      <c r="AO1159" s="1204" t="s">
        <v>1697</v>
      </c>
      <c r="AP1159" s="1204" t="s">
        <v>194</v>
      </c>
      <c r="AQ1159" s="1204" t="s">
        <v>1619</v>
      </c>
    </row>
    <row r="1160" spans="1:43" ht="15" customHeight="1">
      <c r="A1160" s="1076"/>
      <c r="B1160" s="1171"/>
      <c r="C1160" s="1076"/>
      <c r="D1160" s="1076"/>
      <c r="E1160" s="1208"/>
      <c r="F1160" s="1208"/>
      <c r="G1160" s="1076"/>
      <c r="H1160" s="1076"/>
      <c r="I1160" s="1076"/>
      <c r="J1160" s="1076"/>
      <c r="K1160" s="1076"/>
      <c r="L1160" s="1076"/>
      <c r="M1160" s="1209"/>
      <c r="N1160" s="1123"/>
      <c r="O1160" s="1119"/>
      <c r="P1160" s="1119"/>
      <c r="Q1160" s="1119"/>
      <c r="R1160" s="1171"/>
      <c r="S1160" s="1196"/>
      <c r="T1160" s="1196"/>
      <c r="U1160" s="1196"/>
      <c r="V1160" s="1084"/>
      <c r="W1160" s="1119"/>
      <c r="X1160" s="1076"/>
      <c r="Y1160" s="1123"/>
      <c r="Z1160" s="386">
        <v>357970463.61000001</v>
      </c>
      <c r="AA1160" s="386">
        <v>0</v>
      </c>
      <c r="AB1160" s="386">
        <f t="shared" si="67"/>
        <v>357970463.61000001</v>
      </c>
      <c r="AC1160" s="1171"/>
      <c r="AD1160" s="395">
        <v>357970463.61000001</v>
      </c>
      <c r="AE1160" s="371" t="s">
        <v>137</v>
      </c>
      <c r="AF1160" s="1084"/>
      <c r="AG1160" s="1084"/>
      <c r="AH1160" s="358">
        <f t="shared" ref="AH1160:AH1219" si="70">AB1160-AD1160</f>
        <v>0</v>
      </c>
      <c r="AI1160" s="1084"/>
      <c r="AJ1160" s="1119"/>
      <c r="AK1160" s="1119"/>
      <c r="AL1160" s="1119"/>
      <c r="AM1160" s="1119"/>
      <c r="AN1160" s="1203"/>
      <c r="AO1160" s="1204"/>
      <c r="AP1160" s="1204"/>
      <c r="AQ1160" s="1204"/>
    </row>
    <row r="1161" spans="1:43" ht="15" customHeight="1">
      <c r="A1161" s="1076"/>
      <c r="B1161" s="1171"/>
      <c r="C1161" s="1076"/>
      <c r="D1161" s="1076"/>
      <c r="E1161" s="1208"/>
      <c r="F1161" s="1208"/>
      <c r="G1161" s="1076"/>
      <c r="H1161" s="1076"/>
      <c r="I1161" s="1076"/>
      <c r="J1161" s="1076"/>
      <c r="K1161" s="1076"/>
      <c r="L1161" s="1076"/>
      <c r="M1161" s="1209"/>
      <c r="N1161" s="1123"/>
      <c r="O1161" s="1119"/>
      <c r="P1161" s="1119"/>
      <c r="Q1161" s="1119"/>
      <c r="R1161" s="1171"/>
      <c r="S1161" s="1196"/>
      <c r="T1161" s="1196"/>
      <c r="U1161" s="1196"/>
      <c r="V1161" s="1084"/>
      <c r="W1161" s="1119"/>
      <c r="X1161" s="1076"/>
      <c r="Y1161" s="1123" t="s">
        <v>1689</v>
      </c>
      <c r="Z1161" s="386">
        <v>342086080.35000002</v>
      </c>
      <c r="AA1161" s="386">
        <v>0</v>
      </c>
      <c r="AB1161" s="386">
        <f t="shared" si="67"/>
        <v>342086080.35000002</v>
      </c>
      <c r="AC1161" s="1171">
        <v>41982</v>
      </c>
      <c r="AD1161" s="395">
        <v>342086080.35000002</v>
      </c>
      <c r="AE1161" s="371" t="s">
        <v>7</v>
      </c>
      <c r="AF1161" s="1084"/>
      <c r="AG1161" s="1084"/>
      <c r="AH1161" s="358">
        <f t="shared" si="70"/>
        <v>0</v>
      </c>
      <c r="AI1161" s="1084"/>
      <c r="AJ1161" s="1119"/>
      <c r="AK1161" s="1119"/>
      <c r="AL1161" s="1119"/>
      <c r="AM1161" s="1119"/>
      <c r="AN1161" s="1203"/>
      <c r="AO1161" s="1204"/>
      <c r="AP1161" s="1204"/>
      <c r="AQ1161" s="1204"/>
    </row>
    <row r="1162" spans="1:43" ht="15" customHeight="1">
      <c r="A1162" s="1076"/>
      <c r="B1162" s="1171"/>
      <c r="C1162" s="1076"/>
      <c r="D1162" s="1076"/>
      <c r="E1162" s="1208"/>
      <c r="F1162" s="1208"/>
      <c r="G1162" s="1076"/>
      <c r="H1162" s="1076"/>
      <c r="I1162" s="1076"/>
      <c r="J1162" s="1076"/>
      <c r="K1162" s="1076"/>
      <c r="L1162" s="1076"/>
      <c r="M1162" s="1209"/>
      <c r="N1162" s="1123"/>
      <c r="O1162" s="1119"/>
      <c r="P1162" s="1119"/>
      <c r="Q1162" s="1119"/>
      <c r="R1162" s="1171"/>
      <c r="S1162" s="1196"/>
      <c r="T1162" s="1196"/>
      <c r="U1162" s="1196"/>
      <c r="V1162" s="1084"/>
      <c r="W1162" s="1119"/>
      <c r="X1162" s="1076"/>
      <c r="Y1162" s="1123"/>
      <c r="Z1162" s="386">
        <v>345529660.16000003</v>
      </c>
      <c r="AA1162" s="386">
        <v>0</v>
      </c>
      <c r="AB1162" s="386">
        <f t="shared" si="67"/>
        <v>345529660.16000003</v>
      </c>
      <c r="AC1162" s="1171"/>
      <c r="AD1162" s="395">
        <v>345529660.16000003</v>
      </c>
      <c r="AE1162" s="371" t="s">
        <v>137</v>
      </c>
      <c r="AF1162" s="1084"/>
      <c r="AG1162" s="1084"/>
      <c r="AH1162" s="358">
        <f t="shared" si="70"/>
        <v>0</v>
      </c>
      <c r="AI1162" s="1084"/>
      <c r="AJ1162" s="1119"/>
      <c r="AK1162" s="1119"/>
      <c r="AL1162" s="1119"/>
      <c r="AM1162" s="1119"/>
      <c r="AN1162" s="1203"/>
      <c r="AO1162" s="1204"/>
      <c r="AP1162" s="1204"/>
      <c r="AQ1162" s="1204"/>
    </row>
    <row r="1163" spans="1:43" ht="15" customHeight="1">
      <c r="A1163" s="1076"/>
      <c r="B1163" s="1171"/>
      <c r="C1163" s="1076"/>
      <c r="D1163" s="1076"/>
      <c r="E1163" s="1208"/>
      <c r="F1163" s="1208"/>
      <c r="G1163" s="1076"/>
      <c r="H1163" s="1076"/>
      <c r="I1163" s="1076"/>
      <c r="J1163" s="1076"/>
      <c r="K1163" s="1076"/>
      <c r="L1163" s="1076"/>
      <c r="M1163" s="1209"/>
      <c r="N1163" s="1123" t="s">
        <v>137</v>
      </c>
      <c r="O1163" s="1119">
        <v>1071215956</v>
      </c>
      <c r="P1163" s="1119"/>
      <c r="Q1163" s="1119"/>
      <c r="R1163" s="1171"/>
      <c r="S1163" s="1196"/>
      <c r="T1163" s="1119">
        <v>1071215956</v>
      </c>
      <c r="U1163" s="1119">
        <f>O1163-T1163</f>
        <v>0</v>
      </c>
      <c r="V1163" s="1084">
        <v>1059056980.04</v>
      </c>
      <c r="W1163" s="1119"/>
      <c r="X1163" s="1076"/>
      <c r="Y1163" s="1123" t="s">
        <v>1690</v>
      </c>
      <c r="Z1163" s="386">
        <v>247043901.65000001</v>
      </c>
      <c r="AA1163" s="386">
        <v>0</v>
      </c>
      <c r="AB1163" s="386">
        <f t="shared" si="67"/>
        <v>247043901.65000001</v>
      </c>
      <c r="AC1163" s="1171">
        <v>42108</v>
      </c>
      <c r="AD1163" s="395">
        <v>247043901.65000001</v>
      </c>
      <c r="AE1163" s="371" t="s">
        <v>7</v>
      </c>
      <c r="AF1163" s="1084"/>
      <c r="AG1163" s="1084"/>
      <c r="AH1163" s="358">
        <f t="shared" si="70"/>
        <v>0</v>
      </c>
      <c r="AI1163" s="1084">
        <f>O1163-AD1160-AD1162-AD1164-AD1166</f>
        <v>12158975.959999964</v>
      </c>
      <c r="AJ1163" s="1119"/>
      <c r="AK1163" s="1119">
        <f>O1163-V1163</f>
        <v>12158975.960000038</v>
      </c>
      <c r="AL1163" s="1119"/>
      <c r="AM1163" s="1119"/>
      <c r="AN1163" s="1203"/>
      <c r="AO1163" s="1204"/>
      <c r="AP1163" s="1204"/>
      <c r="AQ1163" s="1204"/>
    </row>
    <row r="1164" spans="1:43" ht="15" customHeight="1">
      <c r="A1164" s="1076"/>
      <c r="B1164" s="1171"/>
      <c r="C1164" s="1076"/>
      <c r="D1164" s="1076"/>
      <c r="E1164" s="1208"/>
      <c r="F1164" s="1208"/>
      <c r="G1164" s="1076"/>
      <c r="H1164" s="1076"/>
      <c r="I1164" s="1076"/>
      <c r="J1164" s="1076"/>
      <c r="K1164" s="1076"/>
      <c r="L1164" s="1076"/>
      <c r="M1164" s="1209"/>
      <c r="N1164" s="1123"/>
      <c r="O1164" s="1119"/>
      <c r="P1164" s="1119"/>
      <c r="Q1164" s="1119"/>
      <c r="R1164" s="1171"/>
      <c r="S1164" s="1196"/>
      <c r="T1164" s="1119"/>
      <c r="U1164" s="1119"/>
      <c r="V1164" s="1084"/>
      <c r="W1164" s="1119"/>
      <c r="X1164" s="1076"/>
      <c r="Y1164" s="1123"/>
      <c r="Z1164" s="386">
        <v>249530747.63</v>
      </c>
      <c r="AA1164" s="386">
        <v>0</v>
      </c>
      <c r="AB1164" s="386">
        <f t="shared" si="67"/>
        <v>249530747.63</v>
      </c>
      <c r="AC1164" s="1171"/>
      <c r="AD1164" s="395">
        <v>249530747.63</v>
      </c>
      <c r="AE1164" s="371" t="s">
        <v>137</v>
      </c>
      <c r="AF1164" s="1084"/>
      <c r="AG1164" s="1084"/>
      <c r="AH1164" s="358">
        <f t="shared" si="70"/>
        <v>0</v>
      </c>
      <c r="AI1164" s="1084"/>
      <c r="AJ1164" s="1119"/>
      <c r="AK1164" s="1119"/>
      <c r="AL1164" s="1119"/>
      <c r="AM1164" s="1119"/>
      <c r="AN1164" s="1203"/>
      <c r="AO1164" s="1204"/>
      <c r="AP1164" s="1204"/>
      <c r="AQ1164" s="1204"/>
    </row>
    <row r="1165" spans="1:43" ht="15" customHeight="1">
      <c r="A1165" s="1076"/>
      <c r="B1165" s="1171"/>
      <c r="C1165" s="1076"/>
      <c r="D1165" s="1076"/>
      <c r="E1165" s="1208"/>
      <c r="F1165" s="1208"/>
      <c r="G1165" s="1076"/>
      <c r="H1165" s="1076"/>
      <c r="I1165" s="1076"/>
      <c r="J1165" s="1076"/>
      <c r="K1165" s="1076"/>
      <c r="L1165" s="1076"/>
      <c r="M1165" s="1209"/>
      <c r="N1165" s="1123"/>
      <c r="O1165" s="1119"/>
      <c r="P1165" s="1119"/>
      <c r="Q1165" s="1119"/>
      <c r="R1165" s="1171"/>
      <c r="S1165" s="1196"/>
      <c r="T1165" s="1119"/>
      <c r="U1165" s="1119"/>
      <c r="V1165" s="1084"/>
      <c r="W1165" s="1119"/>
      <c r="X1165" s="1076"/>
      <c r="Y1165" s="1123" t="s">
        <v>1691</v>
      </c>
      <c r="Z1165" s="386">
        <v>104969442.88</v>
      </c>
      <c r="AA1165" s="386">
        <v>0</v>
      </c>
      <c r="AB1165" s="386">
        <f t="shared" si="67"/>
        <v>104969442.88</v>
      </c>
      <c r="AC1165" s="1171">
        <v>42243</v>
      </c>
      <c r="AD1165" s="395">
        <v>104969442.88</v>
      </c>
      <c r="AE1165" s="371" t="s">
        <v>7</v>
      </c>
      <c r="AF1165" s="1084"/>
      <c r="AG1165" s="1084"/>
      <c r="AH1165" s="358">
        <f t="shared" si="70"/>
        <v>0</v>
      </c>
      <c r="AI1165" s="1084"/>
      <c r="AJ1165" s="1119"/>
      <c r="AK1165" s="1119"/>
      <c r="AL1165" s="1119"/>
      <c r="AM1165" s="1119"/>
      <c r="AN1165" s="1203"/>
      <c r="AO1165" s="1204"/>
      <c r="AP1165" s="1204"/>
      <c r="AQ1165" s="1204"/>
    </row>
    <row r="1166" spans="1:43" ht="15" customHeight="1">
      <c r="A1166" s="1076"/>
      <c r="B1166" s="1171"/>
      <c r="C1166" s="1076"/>
      <c r="D1166" s="1076"/>
      <c r="E1166" s="1208"/>
      <c r="F1166" s="1208"/>
      <c r="G1166" s="1076"/>
      <c r="H1166" s="1076"/>
      <c r="I1166" s="1076"/>
      <c r="J1166" s="1076"/>
      <c r="K1166" s="1076"/>
      <c r="L1166" s="1076"/>
      <c r="M1166" s="1209"/>
      <c r="N1166" s="1123"/>
      <c r="O1166" s="1119"/>
      <c r="P1166" s="1119"/>
      <c r="Q1166" s="1119"/>
      <c r="R1166" s="1171"/>
      <c r="S1166" s="1196"/>
      <c r="T1166" s="1119"/>
      <c r="U1166" s="1119"/>
      <c r="V1166" s="1084"/>
      <c r="W1166" s="1119"/>
      <c r="X1166" s="1076"/>
      <c r="Y1166" s="1123"/>
      <c r="Z1166" s="386">
        <v>106026108.64</v>
      </c>
      <c r="AA1166" s="386">
        <v>0</v>
      </c>
      <c r="AB1166" s="386">
        <f t="shared" si="67"/>
        <v>106026108.64</v>
      </c>
      <c r="AC1166" s="1171"/>
      <c r="AD1166" s="395">
        <v>106026108.64</v>
      </c>
      <c r="AE1166" s="371" t="s">
        <v>137</v>
      </c>
      <c r="AF1166" s="1084"/>
      <c r="AG1166" s="1084"/>
      <c r="AH1166" s="358">
        <f t="shared" si="70"/>
        <v>0</v>
      </c>
      <c r="AI1166" s="1084"/>
      <c r="AJ1166" s="1119"/>
      <c r="AK1166" s="1119"/>
      <c r="AL1166" s="1119"/>
      <c r="AM1166" s="1119"/>
      <c r="AN1166" s="1203"/>
      <c r="AO1166" s="1204"/>
      <c r="AP1166" s="1204"/>
      <c r="AQ1166" s="1204"/>
    </row>
    <row r="1167" spans="1:43" ht="15" customHeight="1">
      <c r="A1167" s="1076"/>
      <c r="B1167" s="1171"/>
      <c r="C1167" s="1076"/>
      <c r="D1167" s="1076"/>
      <c r="E1167" s="1208"/>
      <c r="F1167" s="1208"/>
      <c r="G1167" s="1076"/>
      <c r="H1167" s="1076"/>
      <c r="I1167" s="1076"/>
      <c r="J1167" s="1076"/>
      <c r="K1167" s="1076"/>
      <c r="L1167" s="1076"/>
      <c r="M1167" s="1209">
        <v>2</v>
      </c>
      <c r="N1167" s="1123" t="s">
        <v>147</v>
      </c>
      <c r="O1167" s="1119">
        <v>1705308036</v>
      </c>
      <c r="P1167" s="1119">
        <v>1705308036</v>
      </c>
      <c r="Q1167" s="1119"/>
      <c r="R1167" s="1171">
        <v>41449</v>
      </c>
      <c r="S1167" s="1196">
        <f>T1167</f>
        <v>1705308036</v>
      </c>
      <c r="T1167" s="1196">
        <v>1705308036</v>
      </c>
      <c r="U1167" s="1196">
        <f>O1167-T1167</f>
        <v>0</v>
      </c>
      <c r="V1167" s="1084">
        <v>1685951715.46</v>
      </c>
      <c r="W1167" s="1119"/>
      <c r="X1167" s="1076"/>
      <c r="Y1167" s="372" t="s">
        <v>1688</v>
      </c>
      <c r="Z1167" s="386">
        <v>569866332.57000005</v>
      </c>
      <c r="AA1167" s="386">
        <v>0</v>
      </c>
      <c r="AB1167" s="386">
        <f>Z1167+AA1167</f>
        <v>569866332.57000005</v>
      </c>
      <c r="AC1167" s="384">
        <v>41864</v>
      </c>
      <c r="AD1167" s="395">
        <v>569866332.57000005</v>
      </c>
      <c r="AE1167" s="371" t="s">
        <v>147</v>
      </c>
      <c r="AF1167" s="1084">
        <f>SUM(AD1167:AD1170)</f>
        <v>1685951715.46</v>
      </c>
      <c r="AG1167" s="1084"/>
      <c r="AH1167" s="358">
        <f t="shared" si="70"/>
        <v>0</v>
      </c>
      <c r="AI1167" s="1084">
        <f>O1167-SUM(AD1167:AD1170)</f>
        <v>19356320.539999962</v>
      </c>
      <c r="AJ1167" s="1119"/>
      <c r="AK1167" s="1119">
        <f>P1167-V1167</f>
        <v>19356320.539999962</v>
      </c>
      <c r="AL1167" s="1119">
        <f>V1167-SUM(Z1167:Z1170)</f>
        <v>0</v>
      </c>
      <c r="AM1167" s="1119"/>
      <c r="AN1167" s="1203"/>
      <c r="AO1167" s="1204"/>
      <c r="AP1167" s="1204"/>
      <c r="AQ1167" s="1204"/>
    </row>
    <row r="1168" spans="1:43" ht="15" customHeight="1">
      <c r="A1168" s="1076"/>
      <c r="B1168" s="1171"/>
      <c r="C1168" s="1076"/>
      <c r="D1168" s="1076"/>
      <c r="E1168" s="1208"/>
      <c r="F1168" s="1208"/>
      <c r="G1168" s="1076"/>
      <c r="H1168" s="1076"/>
      <c r="I1168" s="1076"/>
      <c r="J1168" s="1076"/>
      <c r="K1168" s="1076"/>
      <c r="L1168" s="1076"/>
      <c r="M1168" s="1209"/>
      <c r="N1168" s="1123"/>
      <c r="O1168" s="1119"/>
      <c r="P1168" s="1119"/>
      <c r="Q1168" s="1119"/>
      <c r="R1168" s="1171"/>
      <c r="S1168" s="1196"/>
      <c r="T1168" s="1196"/>
      <c r="U1168" s="1196"/>
      <c r="V1168" s="1084"/>
      <c r="W1168" s="1119"/>
      <c r="X1168" s="1076"/>
      <c r="Y1168" s="372" t="s">
        <v>1689</v>
      </c>
      <c r="Z1168" s="386">
        <v>550061360.49000001</v>
      </c>
      <c r="AA1168" s="386">
        <v>0</v>
      </c>
      <c r="AB1168" s="386">
        <f t="shared" ref="AB1168:AB1173" si="71">Z1168+AA1168</f>
        <v>550061360.49000001</v>
      </c>
      <c r="AC1168" s="384">
        <v>41982</v>
      </c>
      <c r="AD1168" s="395">
        <v>550061360.49000001</v>
      </c>
      <c r="AE1168" s="371" t="s">
        <v>147</v>
      </c>
      <c r="AF1168" s="1084"/>
      <c r="AG1168" s="1084"/>
      <c r="AH1168" s="358">
        <f t="shared" si="70"/>
        <v>0</v>
      </c>
      <c r="AI1168" s="1084"/>
      <c r="AJ1168" s="1119"/>
      <c r="AK1168" s="1119"/>
      <c r="AL1168" s="1119"/>
      <c r="AM1168" s="1119"/>
      <c r="AN1168" s="1203"/>
      <c r="AO1168" s="1204"/>
      <c r="AP1168" s="1204"/>
      <c r="AQ1168" s="1204"/>
    </row>
    <row r="1169" spans="1:43" ht="15" customHeight="1">
      <c r="A1169" s="1076"/>
      <c r="B1169" s="1171"/>
      <c r="C1169" s="1076"/>
      <c r="D1169" s="1076"/>
      <c r="E1169" s="1208"/>
      <c r="F1169" s="1208"/>
      <c r="G1169" s="1076"/>
      <c r="H1169" s="1076"/>
      <c r="I1169" s="1076"/>
      <c r="J1169" s="1076"/>
      <c r="K1169" s="1076"/>
      <c r="L1169" s="1076"/>
      <c r="M1169" s="1209"/>
      <c r="N1169" s="1123"/>
      <c r="O1169" s="1119"/>
      <c r="P1169" s="1119"/>
      <c r="Q1169" s="1119"/>
      <c r="R1169" s="1171"/>
      <c r="S1169" s="1196"/>
      <c r="T1169" s="1196"/>
      <c r="U1169" s="1196"/>
      <c r="V1169" s="1084"/>
      <c r="W1169" s="1119"/>
      <c r="X1169" s="1076"/>
      <c r="Y1169" s="372" t="s">
        <v>1690</v>
      </c>
      <c r="Z1169" s="386">
        <v>397237164.72000003</v>
      </c>
      <c r="AA1169" s="386">
        <v>0</v>
      </c>
      <c r="AB1169" s="386">
        <f t="shared" si="71"/>
        <v>397237164.72000003</v>
      </c>
      <c r="AC1169" s="384">
        <v>42108</v>
      </c>
      <c r="AD1169" s="395">
        <v>397237164.72000003</v>
      </c>
      <c r="AE1169" s="371" t="s">
        <v>147</v>
      </c>
      <c r="AF1169" s="1084"/>
      <c r="AG1169" s="1084"/>
      <c r="AH1169" s="358">
        <f t="shared" si="70"/>
        <v>0</v>
      </c>
      <c r="AI1169" s="1084"/>
      <c r="AJ1169" s="1119"/>
      <c r="AK1169" s="1119"/>
      <c r="AL1169" s="1119"/>
      <c r="AM1169" s="1119"/>
      <c r="AN1169" s="1203"/>
      <c r="AO1169" s="1204"/>
      <c r="AP1169" s="1204"/>
      <c r="AQ1169" s="1204"/>
    </row>
    <row r="1170" spans="1:43" ht="15" customHeight="1">
      <c r="A1170" s="1076"/>
      <c r="B1170" s="1171"/>
      <c r="C1170" s="1076"/>
      <c r="D1170" s="1076"/>
      <c r="E1170" s="1208"/>
      <c r="F1170" s="1208"/>
      <c r="G1170" s="1076"/>
      <c r="H1170" s="1076"/>
      <c r="I1170" s="1076"/>
      <c r="J1170" s="1076"/>
      <c r="K1170" s="1076"/>
      <c r="L1170" s="1076"/>
      <c r="M1170" s="1209"/>
      <c r="N1170" s="1123"/>
      <c r="O1170" s="1119"/>
      <c r="P1170" s="1119"/>
      <c r="Q1170" s="1119"/>
      <c r="R1170" s="1171"/>
      <c r="S1170" s="1196"/>
      <c r="T1170" s="1196"/>
      <c r="U1170" s="1196"/>
      <c r="V1170" s="1084"/>
      <c r="W1170" s="1119"/>
      <c r="X1170" s="1076"/>
      <c r="Y1170" s="372" t="s">
        <v>1691</v>
      </c>
      <c r="Z1170" s="386">
        <v>168786857.68000001</v>
      </c>
      <c r="AA1170" s="386">
        <v>0</v>
      </c>
      <c r="AB1170" s="386">
        <f t="shared" si="71"/>
        <v>168786857.68000001</v>
      </c>
      <c r="AC1170" s="384">
        <v>42243</v>
      </c>
      <c r="AD1170" s="395">
        <v>168786857.68000001</v>
      </c>
      <c r="AE1170" s="371" t="s">
        <v>147</v>
      </c>
      <c r="AF1170" s="1084"/>
      <c r="AG1170" s="1084"/>
      <c r="AH1170" s="358">
        <f t="shared" si="70"/>
        <v>0</v>
      </c>
      <c r="AI1170" s="1084"/>
      <c r="AJ1170" s="1119"/>
      <c r="AK1170" s="1119"/>
      <c r="AL1170" s="1119"/>
      <c r="AM1170" s="1119"/>
      <c r="AN1170" s="1203"/>
      <c r="AO1170" s="1204"/>
      <c r="AP1170" s="1204"/>
      <c r="AQ1170" s="1204"/>
    </row>
    <row r="1171" spans="1:43" ht="15" customHeight="1">
      <c r="A1171" s="1076"/>
      <c r="B1171" s="1171"/>
      <c r="C1171" s="1076"/>
      <c r="D1171" s="1076"/>
      <c r="E1171" s="1208"/>
      <c r="F1171" s="1208"/>
      <c r="G1171" s="1076"/>
      <c r="H1171" s="1076"/>
      <c r="I1171" s="1076"/>
      <c r="J1171" s="1076" t="s">
        <v>67</v>
      </c>
      <c r="K1171" s="1076"/>
      <c r="L1171" s="1076"/>
      <c r="M1171" s="1209">
        <v>317</v>
      </c>
      <c r="N1171" s="1123" t="s">
        <v>137</v>
      </c>
      <c r="O1171" s="1119">
        <v>1851571960</v>
      </c>
      <c r="P1171" s="1119">
        <v>1851571960</v>
      </c>
      <c r="Q1171" s="1119"/>
      <c r="R1171" s="1171">
        <v>42130</v>
      </c>
      <c r="S1171" s="1196">
        <f>T1171</f>
        <v>1851571960</v>
      </c>
      <c r="T1171" s="1196">
        <v>1851571960</v>
      </c>
      <c r="U1171" s="1196">
        <f>O1171-T1171</f>
        <v>0</v>
      </c>
      <c r="V1171" s="1084">
        <v>1851571960</v>
      </c>
      <c r="W1171" s="1119"/>
      <c r="X1171" s="1076"/>
      <c r="Y1171" s="372" t="s">
        <v>1692</v>
      </c>
      <c r="Z1171" s="386">
        <v>509387198.80000001</v>
      </c>
      <c r="AA1171" s="386">
        <v>0</v>
      </c>
      <c r="AB1171" s="386">
        <f t="shared" si="71"/>
        <v>509387198.80000001</v>
      </c>
      <c r="AC1171" s="384">
        <v>42243</v>
      </c>
      <c r="AD1171" s="395">
        <v>509387198.80000001</v>
      </c>
      <c r="AE1171" s="371" t="s">
        <v>137</v>
      </c>
      <c r="AF1171" s="1084">
        <f>SUM(AD1171:AD1173)</f>
        <v>1276012109.8</v>
      </c>
      <c r="AG1171" s="1084"/>
      <c r="AH1171" s="358">
        <f t="shared" si="70"/>
        <v>0</v>
      </c>
      <c r="AI1171" s="1084">
        <f>O1171-SUM(AD1171:AD1173)</f>
        <v>575559850.20000005</v>
      </c>
      <c r="AJ1171" s="1119"/>
      <c r="AK1171" s="1119">
        <f>P1171-V1171</f>
        <v>0</v>
      </c>
      <c r="AL1171" s="1119">
        <f>V1171-SUM(Z1171:Z1173)</f>
        <v>109491.20000004768</v>
      </c>
      <c r="AM1171" s="1119"/>
      <c r="AN1171" s="1203"/>
      <c r="AO1171" s="1204"/>
      <c r="AP1171" s="1204"/>
      <c r="AQ1171" s="1204"/>
    </row>
    <row r="1172" spans="1:43" ht="15" customHeight="1">
      <c r="A1172" s="1076"/>
      <c r="B1172" s="1171"/>
      <c r="C1172" s="1076"/>
      <c r="D1172" s="1076"/>
      <c r="E1172" s="1208"/>
      <c r="F1172" s="1208"/>
      <c r="G1172" s="1076"/>
      <c r="H1172" s="1076"/>
      <c r="I1172" s="1076"/>
      <c r="J1172" s="1076"/>
      <c r="K1172" s="1076"/>
      <c r="L1172" s="1076"/>
      <c r="M1172" s="1209"/>
      <c r="N1172" s="1123"/>
      <c r="O1172" s="1119"/>
      <c r="P1172" s="1119"/>
      <c r="Q1172" s="1119"/>
      <c r="R1172" s="1171"/>
      <c r="S1172" s="1196"/>
      <c r="T1172" s="1196"/>
      <c r="U1172" s="1196"/>
      <c r="V1172" s="1084"/>
      <c r="W1172" s="1119"/>
      <c r="X1172" s="1076"/>
      <c r="Y1172" s="372" t="s">
        <v>1693</v>
      </c>
      <c r="Z1172" s="386">
        <v>766624911</v>
      </c>
      <c r="AA1172" s="386">
        <v>0</v>
      </c>
      <c r="AB1172" s="386">
        <f t="shared" si="71"/>
        <v>766624911</v>
      </c>
      <c r="AC1172" s="384">
        <v>42332</v>
      </c>
      <c r="AD1172" s="395">
        <v>766624911</v>
      </c>
      <c r="AE1172" s="371" t="s">
        <v>137</v>
      </c>
      <c r="AF1172" s="1084"/>
      <c r="AG1172" s="1084"/>
      <c r="AH1172" s="358">
        <f t="shared" si="70"/>
        <v>0</v>
      </c>
      <c r="AI1172" s="1084"/>
      <c r="AJ1172" s="1119"/>
      <c r="AK1172" s="1119"/>
      <c r="AL1172" s="1119"/>
      <c r="AM1172" s="1119"/>
      <c r="AN1172" s="1203"/>
      <c r="AO1172" s="1204"/>
      <c r="AP1172" s="1204"/>
      <c r="AQ1172" s="1204"/>
    </row>
    <row r="1173" spans="1:43" ht="15" customHeight="1">
      <c r="A1173" s="1076"/>
      <c r="B1173" s="1171"/>
      <c r="C1173" s="1076"/>
      <c r="D1173" s="1076"/>
      <c r="E1173" s="1208"/>
      <c r="F1173" s="1208"/>
      <c r="G1173" s="1076"/>
      <c r="H1173" s="1076"/>
      <c r="I1173" s="1076"/>
      <c r="J1173" s="1076"/>
      <c r="K1173" s="1076"/>
      <c r="L1173" s="1076"/>
      <c r="M1173" s="1209"/>
      <c r="N1173" s="1123"/>
      <c r="O1173" s="1119"/>
      <c r="P1173" s="1119"/>
      <c r="Q1173" s="1119"/>
      <c r="R1173" s="1171"/>
      <c r="S1173" s="1196"/>
      <c r="T1173" s="1196"/>
      <c r="U1173" s="1196"/>
      <c r="V1173" s="1084"/>
      <c r="W1173" s="1119"/>
      <c r="X1173" s="1076"/>
      <c r="Y1173" s="372" t="s">
        <v>1694</v>
      </c>
      <c r="Z1173" s="386">
        <v>575450359</v>
      </c>
      <c r="AA1173" s="386">
        <v>0</v>
      </c>
      <c r="AB1173" s="386">
        <f t="shared" si="71"/>
        <v>575450359</v>
      </c>
      <c r="AC1173" s="384"/>
      <c r="AD1173" s="395"/>
      <c r="AE1173" s="371"/>
      <c r="AF1173" s="1084"/>
      <c r="AG1173" s="1084"/>
      <c r="AH1173" s="358">
        <f t="shared" si="70"/>
        <v>575450359</v>
      </c>
      <c r="AI1173" s="1084"/>
      <c r="AJ1173" s="1119"/>
      <c r="AK1173" s="1119"/>
      <c r="AL1173" s="1119"/>
      <c r="AM1173" s="1119"/>
      <c r="AN1173" s="1203"/>
      <c r="AO1173" s="1204"/>
      <c r="AP1173" s="1204"/>
      <c r="AQ1173" s="1204"/>
    </row>
    <row r="1174" spans="1:43" ht="15" customHeight="1">
      <c r="A1174" s="1076" t="s">
        <v>1712</v>
      </c>
      <c r="B1174" s="1171">
        <v>41635</v>
      </c>
      <c r="C1174" s="1076" t="s">
        <v>29</v>
      </c>
      <c r="D1174" s="1076" t="s">
        <v>1713</v>
      </c>
      <c r="E1174" s="1208">
        <v>10534582</v>
      </c>
      <c r="F1174" s="1208">
        <v>3</v>
      </c>
      <c r="G1174" s="1076" t="s">
        <v>1714</v>
      </c>
      <c r="H1174" s="1076" t="s">
        <v>71</v>
      </c>
      <c r="I1174" s="1076" t="s">
        <v>1221</v>
      </c>
      <c r="J1174" s="1076" t="s">
        <v>66</v>
      </c>
      <c r="K1174" s="1076" t="s">
        <v>183</v>
      </c>
      <c r="L1174" s="1076" t="s">
        <v>1718</v>
      </c>
      <c r="M1174" s="1209">
        <v>296</v>
      </c>
      <c r="N1174" s="1123" t="s">
        <v>7</v>
      </c>
      <c r="O1174" s="1119">
        <v>130416795</v>
      </c>
      <c r="P1174" s="1119">
        <v>130416795</v>
      </c>
      <c r="Q1174" s="1119">
        <v>130416795</v>
      </c>
      <c r="R1174" s="1171">
        <v>41598</v>
      </c>
      <c r="S1174" s="1196">
        <f>T1174</f>
        <v>129113450.16</v>
      </c>
      <c r="T1174" s="1196">
        <v>129113450.16</v>
      </c>
      <c r="U1174" s="1196">
        <f>P1174-T1174</f>
        <v>1303344.8400000036</v>
      </c>
      <c r="V1174" s="1084">
        <v>129113450.16</v>
      </c>
      <c r="W1174" s="1119">
        <v>129113450.16</v>
      </c>
      <c r="X1174" s="1076" t="s">
        <v>1715</v>
      </c>
      <c r="Y1174" s="372" t="s">
        <v>1716</v>
      </c>
      <c r="Z1174" s="386">
        <v>116549544</v>
      </c>
      <c r="AA1174" s="386">
        <v>0</v>
      </c>
      <c r="AB1174" s="386">
        <f>Z1174+AA1174</f>
        <v>116549544</v>
      </c>
      <c r="AC1174" s="384">
        <v>41901</v>
      </c>
      <c r="AD1174" s="395">
        <v>116549544</v>
      </c>
      <c r="AE1174" s="371" t="s">
        <v>7</v>
      </c>
      <c r="AF1174" s="1084">
        <f>SUM(AD1174:AD1175)</f>
        <v>129113450.16</v>
      </c>
      <c r="AG1174" s="1084">
        <f>AF1174</f>
        <v>129113450.16</v>
      </c>
      <c r="AH1174" s="358">
        <f t="shared" si="70"/>
        <v>0</v>
      </c>
      <c r="AI1174" s="1084">
        <f>T1174-AD1174-AD1175</f>
        <v>0</v>
      </c>
      <c r="AJ1174" s="1119">
        <f>SUM(Z1174:Z1175)-SUM(AD1174:AD1175)</f>
        <v>0</v>
      </c>
      <c r="AK1174" s="1119">
        <f>T1174-V1174</f>
        <v>0</v>
      </c>
      <c r="AL1174" s="1119">
        <f>V1174-SUM(Z1174:Z1175)</f>
        <v>0</v>
      </c>
      <c r="AM1174" s="1119">
        <f>AK1174+AL1174</f>
        <v>0</v>
      </c>
      <c r="AN1174" s="1203" t="s">
        <v>606</v>
      </c>
      <c r="AO1174" s="1204" t="s">
        <v>1719</v>
      </c>
      <c r="AP1174" s="1204" t="s">
        <v>194</v>
      </c>
      <c r="AQ1174" s="1204" t="s">
        <v>1619</v>
      </c>
    </row>
    <row r="1175" spans="1:43" ht="15" customHeight="1">
      <c r="A1175" s="1076"/>
      <c r="B1175" s="1171"/>
      <c r="C1175" s="1076"/>
      <c r="D1175" s="1076"/>
      <c r="E1175" s="1208"/>
      <c r="F1175" s="1208"/>
      <c r="G1175" s="1076"/>
      <c r="H1175" s="1076"/>
      <c r="I1175" s="1076"/>
      <c r="J1175" s="1076"/>
      <c r="K1175" s="1076"/>
      <c r="L1175" s="1076"/>
      <c r="M1175" s="1209"/>
      <c r="N1175" s="1123"/>
      <c r="O1175" s="1119"/>
      <c r="P1175" s="1119"/>
      <c r="Q1175" s="1119"/>
      <c r="R1175" s="1171"/>
      <c r="S1175" s="1196"/>
      <c r="T1175" s="1196"/>
      <c r="U1175" s="1196"/>
      <c r="V1175" s="1084"/>
      <c r="W1175" s="1119"/>
      <c r="X1175" s="1076"/>
      <c r="Y1175" s="372" t="s">
        <v>1717</v>
      </c>
      <c r="Z1175" s="386">
        <v>12563906.16</v>
      </c>
      <c r="AA1175" s="386">
        <v>0</v>
      </c>
      <c r="AB1175" s="386">
        <f>Z1175+AA1175</f>
        <v>12563906.16</v>
      </c>
      <c r="AC1175" s="384">
        <v>41984</v>
      </c>
      <c r="AD1175" s="395">
        <v>12563906.16</v>
      </c>
      <c r="AE1175" s="371" t="s">
        <v>7</v>
      </c>
      <c r="AF1175" s="1084"/>
      <c r="AG1175" s="1084"/>
      <c r="AH1175" s="358">
        <f t="shared" si="70"/>
        <v>0</v>
      </c>
      <c r="AI1175" s="1084"/>
      <c r="AJ1175" s="1119"/>
      <c r="AK1175" s="1119"/>
      <c r="AL1175" s="1119"/>
      <c r="AM1175" s="1119"/>
      <c r="AN1175" s="1203"/>
      <c r="AO1175" s="1204"/>
      <c r="AP1175" s="1204"/>
      <c r="AQ1175" s="1204"/>
    </row>
    <row r="1176" spans="1:43" ht="15" customHeight="1">
      <c r="A1176" s="1076" t="s">
        <v>1758</v>
      </c>
      <c r="B1176" s="1171">
        <v>41635</v>
      </c>
      <c r="C1176" s="1076" t="s">
        <v>37</v>
      </c>
      <c r="D1176" s="1076" t="s">
        <v>1760</v>
      </c>
      <c r="E1176" s="1208">
        <v>900685181</v>
      </c>
      <c r="F1176" s="1208">
        <v>9</v>
      </c>
      <c r="G1176" s="1076" t="s">
        <v>1759</v>
      </c>
      <c r="H1176" s="1076" t="s">
        <v>70</v>
      </c>
      <c r="I1176" s="1076" t="s">
        <v>206</v>
      </c>
      <c r="J1176" s="1076" t="s">
        <v>66</v>
      </c>
      <c r="K1176" s="1076" t="s">
        <v>49</v>
      </c>
      <c r="L1176" s="1076" t="s">
        <v>1761</v>
      </c>
      <c r="M1176" s="1209">
        <v>4</v>
      </c>
      <c r="N1176" s="1123" t="s">
        <v>162</v>
      </c>
      <c r="O1176" s="1119">
        <v>136092428</v>
      </c>
      <c r="P1176" s="1119">
        <v>136092428</v>
      </c>
      <c r="Q1176" s="1119">
        <f>P1176+P1181+P1185</f>
        <v>173486418</v>
      </c>
      <c r="R1176" s="1171">
        <v>41522</v>
      </c>
      <c r="S1176" s="1196">
        <f>T1176</f>
        <v>136092428</v>
      </c>
      <c r="T1176" s="1196">
        <v>136092428</v>
      </c>
      <c r="U1176" s="1196">
        <f>O1176-T1176</f>
        <v>0</v>
      </c>
      <c r="V1176" s="1084">
        <v>136040933</v>
      </c>
      <c r="W1176" s="1119">
        <f>147333920+V1185</f>
        <v>173434923</v>
      </c>
      <c r="X1176" s="1076" t="s">
        <v>1271</v>
      </c>
      <c r="Y1176" s="372" t="s">
        <v>1762</v>
      </c>
      <c r="Z1176" s="386">
        <v>0</v>
      </c>
      <c r="AA1176" s="386">
        <v>54413363.329999998</v>
      </c>
      <c r="AB1176" s="386">
        <f>Z1176+AA1176</f>
        <v>54413363.329999998</v>
      </c>
      <c r="AC1176" s="384">
        <v>41745</v>
      </c>
      <c r="AD1176" s="395">
        <v>54413363.329999998</v>
      </c>
      <c r="AE1176" s="371" t="s">
        <v>162</v>
      </c>
      <c r="AF1176" s="1084">
        <f>SUM(AD1176:AD1180)</f>
        <v>136040933.15000001</v>
      </c>
      <c r="AG1176" s="1084">
        <f>AF1176+AF1181+AF1185</f>
        <v>155686241.15000001</v>
      </c>
      <c r="AH1176" s="358">
        <f t="shared" si="70"/>
        <v>0</v>
      </c>
      <c r="AI1176" s="1084">
        <f>P1176-SUM(AD1176:AD1180)</f>
        <v>51494.84999999404</v>
      </c>
      <c r="AJ1176" s="1119">
        <f>SUM(Z1176:Z1186)-SUM(AD1176:AD1186)</f>
        <v>-0.14999997615814209</v>
      </c>
      <c r="AK1176" s="1119">
        <f>P1176-V1176</f>
        <v>51495</v>
      </c>
      <c r="AL1176" s="1119">
        <f>V1176-SUM(Z1176:Z1180)</f>
        <v>0</v>
      </c>
      <c r="AM1176" s="1119"/>
      <c r="AN1176" s="1203"/>
      <c r="AO1176" s="1204" t="s">
        <v>1767</v>
      </c>
      <c r="AP1176" s="1204" t="s">
        <v>194</v>
      </c>
      <c r="AQ1176" s="1204" t="s">
        <v>1619</v>
      </c>
    </row>
    <row r="1177" spans="1:43" ht="15" customHeight="1">
      <c r="A1177" s="1076"/>
      <c r="B1177" s="1171"/>
      <c r="C1177" s="1076"/>
      <c r="D1177" s="1076"/>
      <c r="E1177" s="1208"/>
      <c r="F1177" s="1208"/>
      <c r="G1177" s="1076"/>
      <c r="H1177" s="1076"/>
      <c r="I1177" s="1076"/>
      <c r="J1177" s="1076"/>
      <c r="K1177" s="1076"/>
      <c r="L1177" s="1076"/>
      <c r="M1177" s="1209"/>
      <c r="N1177" s="1123"/>
      <c r="O1177" s="1119"/>
      <c r="P1177" s="1119"/>
      <c r="Q1177" s="1119"/>
      <c r="R1177" s="1171"/>
      <c r="S1177" s="1196"/>
      <c r="T1177" s="1196"/>
      <c r="U1177" s="1196"/>
      <c r="V1177" s="1084"/>
      <c r="W1177" s="1119"/>
      <c r="X1177" s="1076"/>
      <c r="Y1177" s="372" t="s">
        <v>1763</v>
      </c>
      <c r="Z1177" s="386">
        <v>57134031.130000003</v>
      </c>
      <c r="AA1177" s="386">
        <v>-22854876.23</v>
      </c>
      <c r="AB1177" s="386">
        <f t="shared" ref="AB1177:AB1186" si="72">Z1177+AA1177</f>
        <v>34279154.900000006</v>
      </c>
      <c r="AC1177" s="384">
        <v>41992</v>
      </c>
      <c r="AD1177" s="395">
        <v>34279154.899999999</v>
      </c>
      <c r="AE1177" s="371" t="s">
        <v>162</v>
      </c>
      <c r="AF1177" s="1084"/>
      <c r="AG1177" s="1084"/>
      <c r="AH1177" s="358">
        <f t="shared" si="70"/>
        <v>0</v>
      </c>
      <c r="AI1177" s="1084"/>
      <c r="AJ1177" s="1119"/>
      <c r="AK1177" s="1119"/>
      <c r="AL1177" s="1119"/>
      <c r="AM1177" s="1119"/>
      <c r="AN1177" s="1203"/>
      <c r="AO1177" s="1204"/>
      <c r="AP1177" s="1204"/>
      <c r="AQ1177" s="1204"/>
    </row>
    <row r="1178" spans="1:43" ht="15" customHeight="1">
      <c r="A1178" s="1076"/>
      <c r="B1178" s="1171"/>
      <c r="C1178" s="1076"/>
      <c r="D1178" s="1076"/>
      <c r="E1178" s="1208"/>
      <c r="F1178" s="1208"/>
      <c r="G1178" s="1076"/>
      <c r="H1178" s="1076"/>
      <c r="I1178" s="1076"/>
      <c r="J1178" s="1076"/>
      <c r="K1178" s="1076"/>
      <c r="L1178" s="1076"/>
      <c r="M1178" s="1209"/>
      <c r="N1178" s="1123"/>
      <c r="O1178" s="1119"/>
      <c r="P1178" s="1119"/>
      <c r="Q1178" s="1119"/>
      <c r="R1178" s="1171"/>
      <c r="S1178" s="1196"/>
      <c r="T1178" s="1196"/>
      <c r="U1178" s="1196"/>
      <c r="V1178" s="1084"/>
      <c r="W1178" s="1119"/>
      <c r="X1178" s="1076"/>
      <c r="Y1178" s="372" t="s">
        <v>1764</v>
      </c>
      <c r="Z1178" s="386">
        <v>57137193.340000004</v>
      </c>
      <c r="AA1178" s="386">
        <v>-22854877.149999999</v>
      </c>
      <c r="AB1178" s="386">
        <f>Z1178+AA1178</f>
        <v>34282316.190000005</v>
      </c>
      <c r="AC1178" s="384">
        <v>42366</v>
      </c>
      <c r="AD1178" s="395">
        <v>34282316.340000004</v>
      </c>
      <c r="AE1178" s="371" t="s">
        <v>162</v>
      </c>
      <c r="AF1178" s="1084"/>
      <c r="AG1178" s="1084"/>
      <c r="AH1178" s="358">
        <f t="shared" si="70"/>
        <v>-0.14999999850988388</v>
      </c>
      <c r="AI1178" s="1084"/>
      <c r="AJ1178" s="1119"/>
      <c r="AK1178" s="1119"/>
      <c r="AL1178" s="1119"/>
      <c r="AM1178" s="1119"/>
      <c r="AN1178" s="1203"/>
      <c r="AO1178" s="1204"/>
      <c r="AP1178" s="1204"/>
      <c r="AQ1178" s="1204"/>
    </row>
    <row r="1179" spans="1:43" ht="15" customHeight="1">
      <c r="A1179" s="1076"/>
      <c r="B1179" s="1171"/>
      <c r="C1179" s="1076"/>
      <c r="D1179" s="1076"/>
      <c r="E1179" s="1208"/>
      <c r="F1179" s="1208"/>
      <c r="G1179" s="1076"/>
      <c r="H1179" s="1076"/>
      <c r="I1179" s="1076"/>
      <c r="J1179" s="1076"/>
      <c r="K1179" s="1076"/>
      <c r="L1179" s="1076"/>
      <c r="M1179" s="1209"/>
      <c r="N1179" s="1123"/>
      <c r="O1179" s="1119"/>
      <c r="P1179" s="1119"/>
      <c r="Q1179" s="1119"/>
      <c r="R1179" s="1171"/>
      <c r="S1179" s="1196"/>
      <c r="T1179" s="1196"/>
      <c r="U1179" s="1196"/>
      <c r="V1179" s="1084"/>
      <c r="W1179" s="1119"/>
      <c r="X1179" s="1076"/>
      <c r="Y1179" s="372" t="s">
        <v>1765</v>
      </c>
      <c r="Z1179" s="386">
        <v>21769708.530000001</v>
      </c>
      <c r="AA1179" s="386">
        <v>-8703609.9499999993</v>
      </c>
      <c r="AB1179" s="386">
        <f t="shared" si="72"/>
        <v>13066098.580000002</v>
      </c>
      <c r="AC1179" s="384">
        <v>42933</v>
      </c>
      <c r="AD1179" s="395">
        <v>13066098.58</v>
      </c>
      <c r="AE1179" s="371" t="s">
        <v>162</v>
      </c>
      <c r="AF1179" s="1084"/>
      <c r="AG1179" s="1084"/>
      <c r="AH1179" s="358">
        <f t="shared" si="70"/>
        <v>0</v>
      </c>
      <c r="AI1179" s="1084"/>
      <c r="AJ1179" s="1119"/>
      <c r="AK1179" s="1119"/>
      <c r="AL1179" s="1119"/>
      <c r="AM1179" s="1119"/>
      <c r="AN1179" s="1203"/>
      <c r="AO1179" s="1204"/>
      <c r="AP1179" s="1204"/>
      <c r="AQ1179" s="1204"/>
    </row>
    <row r="1180" spans="1:43" ht="15" customHeight="1">
      <c r="A1180" s="1076"/>
      <c r="B1180" s="1171"/>
      <c r="C1180" s="1076"/>
      <c r="D1180" s="1076"/>
      <c r="E1180" s="1208"/>
      <c r="F1180" s="1208"/>
      <c r="G1180" s="1076"/>
      <c r="H1180" s="1076"/>
      <c r="I1180" s="1076"/>
      <c r="J1180" s="1076"/>
      <c r="K1180" s="1076"/>
      <c r="L1180" s="1076"/>
      <c r="M1180" s="1209"/>
      <c r="N1180" s="1123"/>
      <c r="O1180" s="1119"/>
      <c r="P1180" s="1119"/>
      <c r="Q1180" s="1119"/>
      <c r="R1180" s="1171"/>
      <c r="S1180" s="1196"/>
      <c r="T1180" s="1196"/>
      <c r="U1180" s="1196"/>
      <c r="V1180" s="1084"/>
      <c r="W1180" s="1119"/>
      <c r="X1180" s="1076"/>
      <c r="Y1180" s="372"/>
      <c r="Z1180" s="386"/>
      <c r="AA1180" s="386">
        <v>0</v>
      </c>
      <c r="AB1180" s="386">
        <f t="shared" si="72"/>
        <v>0</v>
      </c>
      <c r="AC1180" s="384"/>
      <c r="AD1180" s="395"/>
      <c r="AE1180" s="371"/>
      <c r="AF1180" s="1084"/>
      <c r="AG1180" s="1084"/>
      <c r="AH1180" s="358">
        <f t="shared" si="70"/>
        <v>0</v>
      </c>
      <c r="AI1180" s="1084"/>
      <c r="AJ1180" s="1119"/>
      <c r="AK1180" s="1119"/>
      <c r="AL1180" s="1119"/>
      <c r="AM1180" s="1119"/>
      <c r="AN1180" s="1203"/>
      <c r="AO1180" s="1204"/>
      <c r="AP1180" s="1204"/>
      <c r="AQ1180" s="1204"/>
    </row>
    <row r="1181" spans="1:43" ht="15" customHeight="1">
      <c r="A1181" s="1076"/>
      <c r="B1181" s="1171"/>
      <c r="C1181" s="1076"/>
      <c r="D1181" s="1076"/>
      <c r="E1181" s="1208"/>
      <c r="F1181" s="1208"/>
      <c r="G1181" s="1076"/>
      <c r="H1181" s="1076"/>
      <c r="I1181" s="1076"/>
      <c r="J1181" s="1076"/>
      <c r="K1181" s="1076"/>
      <c r="L1181" s="1076"/>
      <c r="M1181" s="1209">
        <v>289</v>
      </c>
      <c r="N1181" s="1123" t="s">
        <v>7</v>
      </c>
      <c r="O1181" s="1119">
        <v>11292987</v>
      </c>
      <c r="P1181" s="1119">
        <v>11292987</v>
      </c>
      <c r="Q1181" s="1119"/>
      <c r="R1181" s="1171">
        <v>41522</v>
      </c>
      <c r="S1181" s="1196">
        <f>T1181</f>
        <v>11292987</v>
      </c>
      <c r="T1181" s="1119">
        <v>11292987</v>
      </c>
      <c r="U1181" s="1119">
        <f>O1181-T1181</f>
        <v>0</v>
      </c>
      <c r="V1181" s="1084">
        <v>11292987</v>
      </c>
      <c r="W1181" s="1119"/>
      <c r="X1181" s="1076"/>
      <c r="Y1181" s="372" t="s">
        <v>1762</v>
      </c>
      <c r="Z1181" s="386">
        <v>0</v>
      </c>
      <c r="AA1181" s="386">
        <v>4520204.67</v>
      </c>
      <c r="AB1181" s="386">
        <f t="shared" si="72"/>
        <v>4520204.67</v>
      </c>
      <c r="AC1181" s="384">
        <v>41745</v>
      </c>
      <c r="AD1181" s="395">
        <v>4520204.67</v>
      </c>
      <c r="AE1181" s="371" t="s">
        <v>7</v>
      </c>
      <c r="AF1181" s="1084">
        <f>SUM(AD1181:AD1184)</f>
        <v>11292987</v>
      </c>
      <c r="AG1181" s="1084"/>
      <c r="AH1181" s="358">
        <f t="shared" si="70"/>
        <v>0</v>
      </c>
      <c r="AI1181" s="1084">
        <f>P1181-SUM(AD1181:AD1184)</f>
        <v>0</v>
      </c>
      <c r="AJ1181" s="1119"/>
      <c r="AK1181" s="1119">
        <f>P1181-V1181</f>
        <v>0</v>
      </c>
      <c r="AL1181" s="1119">
        <f>V1181-SUM(Z1181:Z1184)</f>
        <v>0</v>
      </c>
      <c r="AM1181" s="1119"/>
      <c r="AN1181" s="1203"/>
      <c r="AO1181" s="1204"/>
      <c r="AP1181" s="1204"/>
      <c r="AQ1181" s="1204"/>
    </row>
    <row r="1182" spans="1:43" ht="15" customHeight="1">
      <c r="A1182" s="1076"/>
      <c r="B1182" s="1171"/>
      <c r="C1182" s="1076"/>
      <c r="D1182" s="1076"/>
      <c r="E1182" s="1208"/>
      <c r="F1182" s="1208"/>
      <c r="G1182" s="1076"/>
      <c r="H1182" s="1076"/>
      <c r="I1182" s="1076"/>
      <c r="J1182" s="1076"/>
      <c r="K1182" s="1076"/>
      <c r="L1182" s="1076"/>
      <c r="M1182" s="1209"/>
      <c r="N1182" s="1123"/>
      <c r="O1182" s="1119"/>
      <c r="P1182" s="1119"/>
      <c r="Q1182" s="1119"/>
      <c r="R1182" s="1171"/>
      <c r="S1182" s="1196"/>
      <c r="T1182" s="1119"/>
      <c r="U1182" s="1119"/>
      <c r="V1182" s="1084"/>
      <c r="W1182" s="1119"/>
      <c r="X1182" s="1076"/>
      <c r="Y1182" s="372" t="s">
        <v>1763</v>
      </c>
      <c r="Z1182" s="386">
        <v>4746214.87</v>
      </c>
      <c r="AA1182" s="386">
        <v>-1897221.77</v>
      </c>
      <c r="AB1182" s="386">
        <f t="shared" si="72"/>
        <v>2848993.1</v>
      </c>
      <c r="AC1182" s="384">
        <v>41992</v>
      </c>
      <c r="AD1182" s="395">
        <v>2848993.1</v>
      </c>
      <c r="AE1182" s="371" t="s">
        <v>7</v>
      </c>
      <c r="AF1182" s="1084"/>
      <c r="AG1182" s="1084"/>
      <c r="AH1182" s="358">
        <f t="shared" si="70"/>
        <v>0</v>
      </c>
      <c r="AI1182" s="1084"/>
      <c r="AJ1182" s="1119"/>
      <c r="AK1182" s="1119"/>
      <c r="AL1182" s="1119"/>
      <c r="AM1182" s="1119"/>
      <c r="AN1182" s="1203"/>
      <c r="AO1182" s="1204"/>
      <c r="AP1182" s="1204"/>
      <c r="AQ1182" s="1204"/>
    </row>
    <row r="1183" spans="1:43" ht="15" customHeight="1">
      <c r="A1183" s="1076"/>
      <c r="B1183" s="1171"/>
      <c r="C1183" s="1076"/>
      <c r="D1183" s="1076"/>
      <c r="E1183" s="1208"/>
      <c r="F1183" s="1208"/>
      <c r="G1183" s="1076"/>
      <c r="H1183" s="1076"/>
      <c r="I1183" s="1076"/>
      <c r="J1183" s="1076"/>
      <c r="K1183" s="1076"/>
      <c r="L1183" s="1076"/>
      <c r="M1183" s="1209"/>
      <c r="N1183" s="1123"/>
      <c r="O1183" s="1119"/>
      <c r="P1183" s="1119"/>
      <c r="Q1183" s="1119"/>
      <c r="R1183" s="1171"/>
      <c r="S1183" s="1196"/>
      <c r="T1183" s="1119"/>
      <c r="U1183" s="1119"/>
      <c r="V1183" s="1084"/>
      <c r="W1183" s="1119"/>
      <c r="X1183" s="1076"/>
      <c r="Y1183" s="372" t="s">
        <v>1764</v>
      </c>
      <c r="Z1183" s="386">
        <v>4743054.66</v>
      </c>
      <c r="AA1183" s="386">
        <v>-1897221.85</v>
      </c>
      <c r="AB1183" s="386">
        <f t="shared" si="72"/>
        <v>2845832.81</v>
      </c>
      <c r="AC1183" s="384">
        <v>42366</v>
      </c>
      <c r="AD1183" s="395">
        <v>2845832.81</v>
      </c>
      <c r="AE1183" s="371" t="s">
        <v>7</v>
      </c>
      <c r="AF1183" s="1084"/>
      <c r="AG1183" s="1084"/>
      <c r="AH1183" s="358">
        <f t="shared" si="70"/>
        <v>0</v>
      </c>
      <c r="AI1183" s="1084"/>
      <c r="AJ1183" s="1119"/>
      <c r="AK1183" s="1119"/>
      <c r="AL1183" s="1119"/>
      <c r="AM1183" s="1119"/>
      <c r="AN1183" s="1203"/>
      <c r="AO1183" s="1204"/>
      <c r="AP1183" s="1204"/>
      <c r="AQ1183" s="1204"/>
    </row>
    <row r="1184" spans="1:43" ht="15" customHeight="1">
      <c r="A1184" s="1076"/>
      <c r="B1184" s="1171"/>
      <c r="C1184" s="1076"/>
      <c r="D1184" s="1076"/>
      <c r="E1184" s="1208"/>
      <c r="F1184" s="1208"/>
      <c r="G1184" s="1076"/>
      <c r="H1184" s="1076"/>
      <c r="I1184" s="1076"/>
      <c r="J1184" s="1076"/>
      <c r="K1184" s="1076"/>
      <c r="L1184" s="1076"/>
      <c r="M1184" s="1209"/>
      <c r="N1184" s="1123"/>
      <c r="O1184" s="1119"/>
      <c r="P1184" s="1119"/>
      <c r="Q1184" s="1119"/>
      <c r="R1184" s="1171"/>
      <c r="S1184" s="1196"/>
      <c r="T1184" s="1119"/>
      <c r="U1184" s="1119"/>
      <c r="V1184" s="1084"/>
      <c r="W1184" s="1119"/>
      <c r="X1184" s="1076"/>
      <c r="Y1184" s="372" t="s">
        <v>1765</v>
      </c>
      <c r="Z1184" s="386">
        <v>1803717.47</v>
      </c>
      <c r="AA1184" s="386">
        <v>-725761.05</v>
      </c>
      <c r="AB1184" s="386">
        <f t="shared" si="72"/>
        <v>1077956.42</v>
      </c>
      <c r="AC1184" s="384">
        <v>42933</v>
      </c>
      <c r="AD1184" s="395">
        <v>1077956.42</v>
      </c>
      <c r="AE1184" s="371" t="s">
        <v>7</v>
      </c>
      <c r="AF1184" s="1084"/>
      <c r="AG1184" s="1084"/>
      <c r="AH1184" s="358">
        <f t="shared" si="70"/>
        <v>0</v>
      </c>
      <c r="AI1184" s="1084"/>
      <c r="AJ1184" s="1119"/>
      <c r="AK1184" s="1119"/>
      <c r="AL1184" s="1119"/>
      <c r="AM1184" s="1119"/>
      <c r="AN1184" s="1203"/>
      <c r="AO1184" s="1204"/>
      <c r="AP1184" s="1204"/>
      <c r="AQ1184" s="1204"/>
    </row>
    <row r="1185" spans="1:43" ht="15" customHeight="1">
      <c r="A1185" s="1076"/>
      <c r="B1185" s="1171"/>
      <c r="C1185" s="1076"/>
      <c r="D1185" s="1076"/>
      <c r="E1185" s="1208"/>
      <c r="F1185" s="1208"/>
      <c r="G1185" s="1076"/>
      <c r="H1185" s="1076"/>
      <c r="I1185" s="1076"/>
      <c r="J1185" s="1076" t="s">
        <v>67</v>
      </c>
      <c r="K1185" s="1076"/>
      <c r="L1185" s="1076"/>
      <c r="M1185" s="1209">
        <v>342</v>
      </c>
      <c r="N1185" s="1123" t="s">
        <v>137</v>
      </c>
      <c r="O1185" s="1119">
        <v>26101003</v>
      </c>
      <c r="P1185" s="1119">
        <v>26101003</v>
      </c>
      <c r="Q1185" s="1119"/>
      <c r="R1185" s="1171">
        <v>42611</v>
      </c>
      <c r="S1185" s="1196">
        <f>T1185</f>
        <v>26101003</v>
      </c>
      <c r="T1185" s="1196">
        <v>26101003</v>
      </c>
      <c r="U1185" s="1196">
        <f>O1185-T1185</f>
        <v>0</v>
      </c>
      <c r="V1185" s="1084">
        <v>26101003</v>
      </c>
      <c r="W1185" s="1119"/>
      <c r="X1185" s="1076"/>
      <c r="Y1185" s="372" t="s">
        <v>1766</v>
      </c>
      <c r="Z1185" s="386">
        <v>8352321</v>
      </c>
      <c r="AA1185" s="386">
        <v>0</v>
      </c>
      <c r="AB1185" s="386">
        <f t="shared" si="72"/>
        <v>8352321</v>
      </c>
      <c r="AC1185" s="384">
        <v>42933</v>
      </c>
      <c r="AD1185" s="395">
        <v>8352321</v>
      </c>
      <c r="AE1185" s="371" t="s">
        <v>137</v>
      </c>
      <c r="AF1185" s="1084">
        <f>AD1185+AD1186</f>
        <v>8352321</v>
      </c>
      <c r="AG1185" s="1084"/>
      <c r="AH1185" s="358">
        <f t="shared" si="70"/>
        <v>0</v>
      </c>
      <c r="AI1185" s="1084">
        <f>P1185-AD1185-AD1186</f>
        <v>17748682</v>
      </c>
      <c r="AJ1185" s="1119"/>
      <c r="AK1185" s="1119">
        <f>P1185-V1185</f>
        <v>0</v>
      </c>
      <c r="AL1185" s="1119">
        <f>V1185-SUM(Z1185:Z1186)</f>
        <v>17748682</v>
      </c>
      <c r="AM1185" s="1119"/>
      <c r="AN1185" s="1203"/>
      <c r="AO1185" s="1204"/>
      <c r="AP1185" s="1204"/>
      <c r="AQ1185" s="1204"/>
    </row>
    <row r="1186" spans="1:43" ht="15" customHeight="1">
      <c r="A1186" s="1076"/>
      <c r="B1186" s="1171"/>
      <c r="C1186" s="1076"/>
      <c r="D1186" s="1076"/>
      <c r="E1186" s="1208"/>
      <c r="F1186" s="1208"/>
      <c r="G1186" s="1076"/>
      <c r="H1186" s="1076"/>
      <c r="I1186" s="1076"/>
      <c r="J1186" s="1076"/>
      <c r="K1186" s="1076"/>
      <c r="L1186" s="1076"/>
      <c r="M1186" s="1209"/>
      <c r="N1186" s="1123"/>
      <c r="O1186" s="1119"/>
      <c r="P1186" s="1119"/>
      <c r="Q1186" s="1119"/>
      <c r="R1186" s="1171"/>
      <c r="S1186" s="1196"/>
      <c r="T1186" s="1196"/>
      <c r="U1186" s="1196"/>
      <c r="V1186" s="1084"/>
      <c r="W1186" s="1119"/>
      <c r="X1186" s="1076"/>
      <c r="Y1186" s="372"/>
      <c r="Z1186" s="386"/>
      <c r="AA1186" s="386"/>
      <c r="AB1186" s="386">
        <f t="shared" si="72"/>
        <v>0</v>
      </c>
      <c r="AC1186" s="384"/>
      <c r="AD1186" s="395"/>
      <c r="AE1186" s="371"/>
      <c r="AF1186" s="1084"/>
      <c r="AG1186" s="1084"/>
      <c r="AH1186" s="358">
        <f t="shared" si="70"/>
        <v>0</v>
      </c>
      <c r="AI1186" s="1084"/>
      <c r="AJ1186" s="1119"/>
      <c r="AK1186" s="1119"/>
      <c r="AL1186" s="1119"/>
      <c r="AM1186" s="1119"/>
      <c r="AN1186" s="1203"/>
      <c r="AO1186" s="1204"/>
      <c r="AP1186" s="1204"/>
      <c r="AQ1186" s="1204"/>
    </row>
    <row r="1187" spans="1:43" s="4" customFormat="1" ht="15" customHeight="1">
      <c r="A1187" s="1076" t="s">
        <v>2158</v>
      </c>
      <c r="B1187" s="1171">
        <v>41635</v>
      </c>
      <c r="C1187" s="1011" t="s">
        <v>34</v>
      </c>
      <c r="D1187" s="1011" t="s">
        <v>2157</v>
      </c>
      <c r="E1187" s="1011">
        <v>10753700</v>
      </c>
      <c r="F1187" s="1011"/>
      <c r="G1187" s="1011" t="s">
        <v>2156</v>
      </c>
      <c r="H1187" s="1011" t="s">
        <v>71</v>
      </c>
      <c r="I1187" s="1011" t="s">
        <v>2036</v>
      </c>
      <c r="J1187" s="1011" t="s">
        <v>66</v>
      </c>
      <c r="K1187" s="1011" t="s">
        <v>48</v>
      </c>
      <c r="L1187" s="1011" t="s">
        <v>2155</v>
      </c>
      <c r="M1187" s="1009">
        <v>291</v>
      </c>
      <c r="N1187" s="1065" t="s">
        <v>7</v>
      </c>
      <c r="O1187" s="1062">
        <v>249876522</v>
      </c>
      <c r="P1187" s="1062">
        <v>249876522</v>
      </c>
      <c r="Q1187" s="1062">
        <f>P1187+P1189+P1191</f>
        <v>479313848</v>
      </c>
      <c r="R1187" s="1068">
        <v>41533</v>
      </c>
      <c r="S1187" s="1089">
        <f>T1187</f>
        <v>249876522</v>
      </c>
      <c r="T1187" s="1062">
        <v>249876522</v>
      </c>
      <c r="U1187" s="1089">
        <f>P1187-T1187</f>
        <v>0</v>
      </c>
      <c r="V1187" s="1062">
        <v>354508261</v>
      </c>
      <c r="W1187" s="1062">
        <f>V1187+V1191</f>
        <v>472245337</v>
      </c>
      <c r="X1187" s="1011"/>
      <c r="Y1187" s="372"/>
      <c r="Z1187" s="386"/>
      <c r="AA1187" s="386"/>
      <c r="AB1187" s="386"/>
      <c r="AC1187" s="384"/>
      <c r="AD1187" s="395">
        <v>0</v>
      </c>
      <c r="AE1187" s="371"/>
      <c r="AF1187" s="1043">
        <f>AD1187+AD1188</f>
        <v>0</v>
      </c>
      <c r="AG1187" s="358"/>
      <c r="AH1187" s="358">
        <f t="shared" si="70"/>
        <v>0</v>
      </c>
      <c r="AI1187" s="1043">
        <f>P1187-AF1187</f>
        <v>249876522</v>
      </c>
      <c r="AJ1187" s="1062"/>
      <c r="AK1187" s="1062"/>
      <c r="AL1187" s="1062"/>
      <c r="AM1187" s="1062"/>
      <c r="AN1187" s="1108"/>
      <c r="AO1187" s="1103" t="s">
        <v>2154</v>
      </c>
      <c r="AP1187" s="1103" t="s">
        <v>195</v>
      </c>
      <c r="AQ1187" s="1103" t="s">
        <v>1911</v>
      </c>
    </row>
    <row r="1188" spans="1:43" s="4" customFormat="1" ht="15" customHeight="1">
      <c r="A1188" s="1076"/>
      <c r="B1188" s="1171"/>
      <c r="C1188" s="1033"/>
      <c r="D1188" s="1033"/>
      <c r="E1188" s="1033"/>
      <c r="F1188" s="1033"/>
      <c r="G1188" s="1033"/>
      <c r="H1188" s="1033"/>
      <c r="I1188" s="1033"/>
      <c r="J1188" s="1033"/>
      <c r="K1188" s="1033"/>
      <c r="L1188" s="1033"/>
      <c r="M1188" s="1039"/>
      <c r="N1188" s="1066"/>
      <c r="O1188" s="1064"/>
      <c r="P1188" s="1064"/>
      <c r="Q1188" s="1063"/>
      <c r="R1188" s="1070"/>
      <c r="S1188" s="1091"/>
      <c r="T1188" s="1064"/>
      <c r="U1188" s="1091"/>
      <c r="V1188" s="1063"/>
      <c r="W1188" s="1063"/>
      <c r="X1188" s="1033"/>
      <c r="Y1188" s="372"/>
      <c r="Z1188" s="386"/>
      <c r="AA1188" s="386"/>
      <c r="AB1188" s="386"/>
      <c r="AC1188" s="384"/>
      <c r="AD1188" s="395">
        <v>0</v>
      </c>
      <c r="AE1188" s="371"/>
      <c r="AF1188" s="1045"/>
      <c r="AG1188" s="358"/>
      <c r="AH1188" s="358">
        <f t="shared" si="70"/>
        <v>0</v>
      </c>
      <c r="AI1188" s="1045"/>
      <c r="AJ1188" s="1063"/>
      <c r="AK1188" s="1064"/>
      <c r="AL1188" s="1064"/>
      <c r="AM1188" s="1064"/>
      <c r="AN1188" s="1109"/>
      <c r="AO1188" s="1104"/>
      <c r="AP1188" s="1104"/>
      <c r="AQ1188" s="1104"/>
    </row>
    <row r="1189" spans="1:43" s="4" customFormat="1" ht="15" customHeight="1">
      <c r="A1189" s="1076"/>
      <c r="B1189" s="1171"/>
      <c r="C1189" s="1033"/>
      <c r="D1189" s="1033"/>
      <c r="E1189" s="1033"/>
      <c r="F1189" s="1033"/>
      <c r="G1189" s="1033"/>
      <c r="H1189" s="1033"/>
      <c r="I1189" s="1033"/>
      <c r="J1189" s="1033"/>
      <c r="K1189" s="1033"/>
      <c r="L1189" s="1033"/>
      <c r="M1189" s="1009">
        <v>3</v>
      </c>
      <c r="N1189" s="1065" t="s">
        <v>159</v>
      </c>
      <c r="O1189" s="1062">
        <v>111700250</v>
      </c>
      <c r="P1189" s="1062">
        <v>111700250</v>
      </c>
      <c r="Q1189" s="1063"/>
      <c r="R1189" s="1068">
        <v>41536</v>
      </c>
      <c r="S1189" s="1062">
        <f>T1189</f>
        <v>111700250</v>
      </c>
      <c r="T1189" s="1062">
        <v>111700250</v>
      </c>
      <c r="U1189" s="1062">
        <f>P1189-T1189</f>
        <v>0</v>
      </c>
      <c r="V1189" s="1063"/>
      <c r="W1189" s="1063"/>
      <c r="X1189" s="1033"/>
      <c r="Y1189" s="372"/>
      <c r="Z1189" s="386"/>
      <c r="AA1189" s="386"/>
      <c r="AB1189" s="386"/>
      <c r="AC1189" s="384"/>
      <c r="AD1189" s="395">
        <v>0</v>
      </c>
      <c r="AE1189" s="371"/>
      <c r="AF1189" s="1043">
        <f>AD1189+AD1190</f>
        <v>0</v>
      </c>
      <c r="AG1189" s="358"/>
      <c r="AH1189" s="358">
        <f t="shared" si="70"/>
        <v>0</v>
      </c>
      <c r="AI1189" s="1043">
        <f>P1189-AF1189</f>
        <v>111700250</v>
      </c>
      <c r="AJ1189" s="1063"/>
      <c r="AK1189" s="1062"/>
      <c r="AL1189" s="1062"/>
      <c r="AM1189" s="1062"/>
      <c r="AN1189" s="1109"/>
      <c r="AO1189" s="1104"/>
      <c r="AP1189" s="1104"/>
      <c r="AQ1189" s="1104"/>
    </row>
    <row r="1190" spans="1:43" s="4" customFormat="1" ht="15" customHeight="1">
      <c r="A1190" s="1076"/>
      <c r="B1190" s="1171"/>
      <c r="C1190" s="1033"/>
      <c r="D1190" s="1033"/>
      <c r="E1190" s="1033"/>
      <c r="F1190" s="1033"/>
      <c r="G1190" s="1033"/>
      <c r="H1190" s="1033"/>
      <c r="I1190" s="1033"/>
      <c r="J1190" s="1033"/>
      <c r="K1190" s="1033"/>
      <c r="L1190" s="1033"/>
      <c r="M1190" s="1010"/>
      <c r="N1190" s="1066"/>
      <c r="O1190" s="1064"/>
      <c r="P1190" s="1064"/>
      <c r="Q1190" s="1063"/>
      <c r="R1190" s="1070"/>
      <c r="S1190" s="1064"/>
      <c r="T1190" s="1064"/>
      <c r="U1190" s="1064"/>
      <c r="V1190" s="1064"/>
      <c r="W1190" s="1063"/>
      <c r="X1190" s="1033"/>
      <c r="Y1190" s="372"/>
      <c r="Z1190" s="386"/>
      <c r="AA1190" s="386"/>
      <c r="AB1190" s="386"/>
      <c r="AC1190" s="384"/>
      <c r="AD1190" s="395">
        <v>0</v>
      </c>
      <c r="AE1190" s="371"/>
      <c r="AF1190" s="1045"/>
      <c r="AG1190" s="358"/>
      <c r="AH1190" s="358">
        <f t="shared" si="70"/>
        <v>0</v>
      </c>
      <c r="AI1190" s="1045"/>
      <c r="AJ1190" s="1063"/>
      <c r="AK1190" s="1064"/>
      <c r="AL1190" s="1064"/>
      <c r="AM1190" s="1064"/>
      <c r="AN1190" s="1109"/>
      <c r="AO1190" s="1104"/>
      <c r="AP1190" s="1104"/>
      <c r="AQ1190" s="1104"/>
    </row>
    <row r="1191" spans="1:43" s="4" customFormat="1" ht="15" customHeight="1">
      <c r="A1191" s="1076"/>
      <c r="B1191" s="1171"/>
      <c r="C1191" s="1033"/>
      <c r="D1191" s="1033"/>
      <c r="E1191" s="1033"/>
      <c r="F1191" s="1033"/>
      <c r="G1191" s="1033"/>
      <c r="H1191" s="1033"/>
      <c r="I1191" s="1033"/>
      <c r="J1191" s="1011" t="s">
        <v>67</v>
      </c>
      <c r="K1191" s="1033"/>
      <c r="L1191" s="1033"/>
      <c r="M1191" s="1009">
        <v>2646</v>
      </c>
      <c r="N1191" s="1065" t="s">
        <v>159</v>
      </c>
      <c r="O1191" s="1062">
        <v>117737076</v>
      </c>
      <c r="P1191" s="1062">
        <v>117737076</v>
      </c>
      <c r="Q1191" s="1063"/>
      <c r="R1191" s="1068">
        <v>42860</v>
      </c>
      <c r="S1191" s="1089">
        <f>T1191</f>
        <v>117737076</v>
      </c>
      <c r="T1191" s="1062">
        <v>117737076</v>
      </c>
      <c r="U1191" s="1089">
        <f>P1191-T1191</f>
        <v>0</v>
      </c>
      <c r="V1191" s="1062">
        <f>O1191</f>
        <v>117737076</v>
      </c>
      <c r="W1191" s="1063"/>
      <c r="X1191" s="1033"/>
      <c r="Y1191" s="372"/>
      <c r="Z1191" s="386"/>
      <c r="AA1191" s="386"/>
      <c r="AB1191" s="386"/>
      <c r="AC1191" s="384"/>
      <c r="AD1191" s="395">
        <v>0</v>
      </c>
      <c r="AE1191" s="371"/>
      <c r="AF1191" s="1043">
        <f>AD1191+AD1192</f>
        <v>0</v>
      </c>
      <c r="AG1191" s="358"/>
      <c r="AH1191" s="358">
        <f t="shared" si="70"/>
        <v>0</v>
      </c>
      <c r="AI1191" s="1043">
        <f>P1191-AF1191</f>
        <v>117737076</v>
      </c>
      <c r="AJ1191" s="1063"/>
      <c r="AK1191" s="1062"/>
      <c r="AL1191" s="1062"/>
      <c r="AM1191" s="1062"/>
      <c r="AN1191" s="1109"/>
      <c r="AO1191" s="1104"/>
      <c r="AP1191" s="1104"/>
      <c r="AQ1191" s="1104"/>
    </row>
    <row r="1192" spans="1:43" s="4" customFormat="1" ht="15" customHeight="1">
      <c r="A1192" s="1076"/>
      <c r="B1192" s="1171"/>
      <c r="C1192" s="1012"/>
      <c r="D1192" s="1012"/>
      <c r="E1192" s="1012"/>
      <c r="F1192" s="1012"/>
      <c r="G1192" s="1012"/>
      <c r="H1192" s="1012"/>
      <c r="I1192" s="1012"/>
      <c r="J1192" s="1033"/>
      <c r="K1192" s="1012"/>
      <c r="L1192" s="1012"/>
      <c r="M1192" s="1010"/>
      <c r="N1192" s="1066"/>
      <c r="O1192" s="1064"/>
      <c r="P1192" s="1064"/>
      <c r="Q1192" s="1064"/>
      <c r="R1192" s="1070"/>
      <c r="S1192" s="1091"/>
      <c r="T1192" s="1064"/>
      <c r="U1192" s="1091"/>
      <c r="V1192" s="1064"/>
      <c r="W1192" s="1064"/>
      <c r="X1192" s="1012"/>
      <c r="Y1192" s="372"/>
      <c r="Z1192" s="386"/>
      <c r="AA1192" s="386"/>
      <c r="AB1192" s="386"/>
      <c r="AC1192" s="384"/>
      <c r="AD1192" s="395">
        <v>0</v>
      </c>
      <c r="AE1192" s="371"/>
      <c r="AF1192" s="1045"/>
      <c r="AG1192" s="358"/>
      <c r="AH1192" s="358">
        <f t="shared" si="70"/>
        <v>0</v>
      </c>
      <c r="AI1192" s="1045"/>
      <c r="AJ1192" s="1064"/>
      <c r="AK1192" s="1064"/>
      <c r="AL1192" s="1064"/>
      <c r="AM1192" s="1064"/>
      <c r="AN1192" s="1110"/>
      <c r="AO1192" s="1105"/>
      <c r="AP1192" s="1105"/>
      <c r="AQ1192" s="1105"/>
    </row>
    <row r="1193" spans="1:43" ht="15" customHeight="1">
      <c r="A1193" s="1076" t="s">
        <v>1720</v>
      </c>
      <c r="B1193" s="1171">
        <v>41639</v>
      </c>
      <c r="C1193" s="1076" t="s">
        <v>24</v>
      </c>
      <c r="D1193" s="1076" t="s">
        <v>1721</v>
      </c>
      <c r="E1193" s="1208">
        <v>860503545</v>
      </c>
      <c r="F1193" s="1208">
        <v>1</v>
      </c>
      <c r="G1193" s="1076" t="s">
        <v>1722</v>
      </c>
      <c r="H1193" s="1076" t="s">
        <v>70</v>
      </c>
      <c r="I1193" s="1076" t="s">
        <v>206</v>
      </c>
      <c r="J1193" s="1076" t="s">
        <v>66</v>
      </c>
      <c r="K1193" s="1076" t="s">
        <v>49</v>
      </c>
      <c r="L1193" s="1076" t="s">
        <v>1723</v>
      </c>
      <c r="M1193" s="1209">
        <v>284</v>
      </c>
      <c r="N1193" s="1123" t="s">
        <v>137</v>
      </c>
      <c r="O1193" s="1119">
        <v>170540486</v>
      </c>
      <c r="P1193" s="1119">
        <v>170540486</v>
      </c>
      <c r="Q1193" s="1119">
        <f>P1193+P1199+P1205</f>
        <v>353962767</v>
      </c>
      <c r="R1193" s="1171">
        <v>41449</v>
      </c>
      <c r="S1193" s="1196">
        <f>T1193</f>
        <v>170540486</v>
      </c>
      <c r="T1193" s="1196">
        <v>170540486</v>
      </c>
      <c r="U1193" s="1196">
        <f>O1193-T1193</f>
        <v>0</v>
      </c>
      <c r="V1193" s="1084">
        <v>170534367</v>
      </c>
      <c r="W1193" s="1119">
        <f>238744240+V1205</f>
        <v>353954200</v>
      </c>
      <c r="X1193" s="1076" t="s">
        <v>1271</v>
      </c>
      <c r="Y1193" s="372" t="s">
        <v>1724</v>
      </c>
      <c r="Z1193" s="386">
        <v>0</v>
      </c>
      <c r="AA1193" s="386">
        <v>68213747</v>
      </c>
      <c r="AB1193" s="386">
        <f t="shared" ref="AB1193:AB1219" si="73">Z1193+AA1193</f>
        <v>68213747</v>
      </c>
      <c r="AC1193" s="384">
        <v>41855</v>
      </c>
      <c r="AD1193" s="395">
        <v>68213747</v>
      </c>
      <c r="AE1193" s="371" t="s">
        <v>137</v>
      </c>
      <c r="AF1193" s="1084">
        <f>SUM(AD1193:AD1198)</f>
        <v>163706170.63</v>
      </c>
      <c r="AG1193" s="1084">
        <f>AF1193+AF1199+AF1205</f>
        <v>317846611.13999999</v>
      </c>
      <c r="AH1193" s="358">
        <f t="shared" si="70"/>
        <v>0</v>
      </c>
      <c r="AI1193" s="1084">
        <f>O1193-SUM(AD1193:AD1198)</f>
        <v>6834315.3700000048</v>
      </c>
      <c r="AJ1193" s="1119">
        <f>SUM(Z1193:Z1207)-SUM(AD1193:AD1207)</f>
        <v>36096248.980000019</v>
      </c>
      <c r="AK1193" s="1119">
        <f>P1193-V1193</f>
        <v>6119</v>
      </c>
      <c r="AL1193" s="1119">
        <f>V1193-SUM(Z1193:Z1198)</f>
        <v>0</v>
      </c>
      <c r="AM1193" s="1119"/>
      <c r="AN1193" s="1203"/>
      <c r="AO1193" s="1204" t="s">
        <v>1666</v>
      </c>
      <c r="AP1193" s="1204" t="s">
        <v>194</v>
      </c>
      <c r="AQ1193" s="1204" t="s">
        <v>1619</v>
      </c>
    </row>
    <row r="1194" spans="1:43" ht="15" customHeight="1">
      <c r="A1194" s="1076"/>
      <c r="B1194" s="1171"/>
      <c r="C1194" s="1076"/>
      <c r="D1194" s="1076"/>
      <c r="E1194" s="1208"/>
      <c r="F1194" s="1208"/>
      <c r="G1194" s="1076"/>
      <c r="H1194" s="1076"/>
      <c r="I1194" s="1076"/>
      <c r="J1194" s="1076"/>
      <c r="K1194" s="1076"/>
      <c r="L1194" s="1076"/>
      <c r="M1194" s="1209"/>
      <c r="N1194" s="1123"/>
      <c r="O1194" s="1119"/>
      <c r="P1194" s="1119"/>
      <c r="Q1194" s="1119"/>
      <c r="R1194" s="1171"/>
      <c r="S1194" s="1196"/>
      <c r="T1194" s="1196"/>
      <c r="U1194" s="1196"/>
      <c r="V1194" s="1084"/>
      <c r="W1194" s="1119"/>
      <c r="X1194" s="1076"/>
      <c r="Y1194" s="372" t="s">
        <v>1725</v>
      </c>
      <c r="Z1194" s="386">
        <v>57640615.920000002</v>
      </c>
      <c r="AA1194" s="386">
        <v>-23056246.370000001</v>
      </c>
      <c r="AB1194" s="386">
        <f t="shared" si="73"/>
        <v>34584369.549999997</v>
      </c>
      <c r="AC1194" s="384">
        <v>41904</v>
      </c>
      <c r="AD1194" s="395">
        <v>34584369.549999997</v>
      </c>
      <c r="AE1194" s="371" t="s">
        <v>137</v>
      </c>
      <c r="AF1194" s="1084"/>
      <c r="AG1194" s="1084"/>
      <c r="AH1194" s="358">
        <f t="shared" si="70"/>
        <v>0</v>
      </c>
      <c r="AI1194" s="1084"/>
      <c r="AJ1194" s="1119"/>
      <c r="AK1194" s="1119"/>
      <c r="AL1194" s="1119"/>
      <c r="AM1194" s="1119"/>
      <c r="AN1194" s="1203"/>
      <c r="AO1194" s="1204"/>
      <c r="AP1194" s="1204"/>
      <c r="AQ1194" s="1204"/>
    </row>
    <row r="1195" spans="1:43" ht="15" customHeight="1">
      <c r="A1195" s="1076"/>
      <c r="B1195" s="1171"/>
      <c r="C1195" s="1076"/>
      <c r="D1195" s="1076"/>
      <c r="E1195" s="1208"/>
      <c r="F1195" s="1208"/>
      <c r="G1195" s="1076"/>
      <c r="H1195" s="1076"/>
      <c r="I1195" s="1076"/>
      <c r="J1195" s="1076"/>
      <c r="K1195" s="1076"/>
      <c r="L1195" s="1076"/>
      <c r="M1195" s="1209"/>
      <c r="N1195" s="1123"/>
      <c r="O1195" s="1119"/>
      <c r="P1195" s="1119"/>
      <c r="Q1195" s="1119"/>
      <c r="R1195" s="1171"/>
      <c r="S1195" s="1196"/>
      <c r="T1195" s="1196"/>
      <c r="U1195" s="1196"/>
      <c r="V1195" s="1084"/>
      <c r="W1195" s="1119"/>
      <c r="X1195" s="1076"/>
      <c r="Y1195" s="372" t="s">
        <v>1726</v>
      </c>
      <c r="Z1195" s="386">
        <v>55645363.460000001</v>
      </c>
      <c r="AA1195" s="386">
        <v>-22258145.379999999</v>
      </c>
      <c r="AB1195" s="386">
        <f t="shared" si="73"/>
        <v>33387218.080000002</v>
      </c>
      <c r="AC1195" s="384">
        <v>42089</v>
      </c>
      <c r="AD1195" s="395">
        <v>33387218.079999998</v>
      </c>
      <c r="AE1195" s="371" t="s">
        <v>137</v>
      </c>
      <c r="AF1195" s="1084"/>
      <c r="AG1195" s="1084"/>
      <c r="AH1195" s="358">
        <f t="shared" si="70"/>
        <v>0</v>
      </c>
      <c r="AI1195" s="1084"/>
      <c r="AJ1195" s="1119"/>
      <c r="AK1195" s="1119"/>
      <c r="AL1195" s="1119"/>
      <c r="AM1195" s="1119"/>
      <c r="AN1195" s="1203"/>
      <c r="AO1195" s="1204"/>
      <c r="AP1195" s="1204"/>
      <c r="AQ1195" s="1204"/>
    </row>
    <row r="1196" spans="1:43" ht="15" customHeight="1">
      <c r="A1196" s="1076"/>
      <c r="B1196" s="1171"/>
      <c r="C1196" s="1076"/>
      <c r="D1196" s="1076"/>
      <c r="E1196" s="1208"/>
      <c r="F1196" s="1208"/>
      <c r="G1196" s="1076"/>
      <c r="H1196" s="1076"/>
      <c r="I1196" s="1076"/>
      <c r="J1196" s="1076"/>
      <c r="K1196" s="1076"/>
      <c r="L1196" s="1076"/>
      <c r="M1196" s="1209"/>
      <c r="N1196" s="1123"/>
      <c r="O1196" s="1119"/>
      <c r="P1196" s="1119"/>
      <c r="Q1196" s="1119"/>
      <c r="R1196" s="1171"/>
      <c r="S1196" s="1196"/>
      <c r="T1196" s="1196"/>
      <c r="U1196" s="1196"/>
      <c r="V1196" s="1084"/>
      <c r="W1196" s="1119"/>
      <c r="X1196" s="1076"/>
      <c r="Y1196" s="372" t="s">
        <v>1727</v>
      </c>
      <c r="Z1196" s="386">
        <v>40177896.189999998</v>
      </c>
      <c r="AA1196" s="386">
        <v>-16071158.619999999</v>
      </c>
      <c r="AB1196" s="386">
        <f t="shared" si="73"/>
        <v>24106737.57</v>
      </c>
      <c r="AC1196" s="384">
        <v>42121</v>
      </c>
      <c r="AD1196" s="395">
        <v>24106737.57</v>
      </c>
      <c r="AE1196" s="371" t="s">
        <v>137</v>
      </c>
      <c r="AF1196" s="1084"/>
      <c r="AG1196" s="1084"/>
      <c r="AH1196" s="358">
        <f t="shared" si="70"/>
        <v>0</v>
      </c>
      <c r="AI1196" s="1084"/>
      <c r="AJ1196" s="1119"/>
      <c r="AK1196" s="1119"/>
      <c r="AL1196" s="1119"/>
      <c r="AM1196" s="1119"/>
      <c r="AN1196" s="1203"/>
      <c r="AO1196" s="1204"/>
      <c r="AP1196" s="1204"/>
      <c r="AQ1196" s="1204"/>
    </row>
    <row r="1197" spans="1:43" ht="15" customHeight="1">
      <c r="A1197" s="1076"/>
      <c r="B1197" s="1171"/>
      <c r="C1197" s="1076"/>
      <c r="D1197" s="1076"/>
      <c r="E1197" s="1208"/>
      <c r="F1197" s="1208"/>
      <c r="G1197" s="1076"/>
      <c r="H1197" s="1076"/>
      <c r="I1197" s="1076"/>
      <c r="J1197" s="1076"/>
      <c r="K1197" s="1076"/>
      <c r="L1197" s="1076"/>
      <c r="M1197" s="1209"/>
      <c r="N1197" s="1123"/>
      <c r="O1197" s="1119"/>
      <c r="P1197" s="1119"/>
      <c r="Q1197" s="1119"/>
      <c r="R1197" s="1171"/>
      <c r="S1197" s="1196"/>
      <c r="T1197" s="1196"/>
      <c r="U1197" s="1196"/>
      <c r="V1197" s="1084"/>
      <c r="W1197" s="1119"/>
      <c r="X1197" s="1076"/>
      <c r="Y1197" s="372" t="s">
        <v>1728</v>
      </c>
      <c r="Z1197" s="386">
        <v>10242294.76</v>
      </c>
      <c r="AA1197" s="386">
        <v>-6828196.3300000001</v>
      </c>
      <c r="AB1197" s="386">
        <f t="shared" si="73"/>
        <v>3414098.4299999997</v>
      </c>
      <c r="AC1197" s="384">
        <v>42299</v>
      </c>
      <c r="AD1197" s="395">
        <v>3414098.43</v>
      </c>
      <c r="AE1197" s="371" t="s">
        <v>137</v>
      </c>
      <c r="AF1197" s="1084"/>
      <c r="AG1197" s="1084"/>
      <c r="AH1197" s="358">
        <f t="shared" si="70"/>
        <v>0</v>
      </c>
      <c r="AI1197" s="1084"/>
      <c r="AJ1197" s="1119"/>
      <c r="AK1197" s="1119"/>
      <c r="AL1197" s="1119"/>
      <c r="AM1197" s="1119"/>
      <c r="AN1197" s="1203"/>
      <c r="AO1197" s="1204"/>
      <c r="AP1197" s="1204"/>
      <c r="AQ1197" s="1204"/>
    </row>
    <row r="1198" spans="1:43" ht="15" customHeight="1">
      <c r="A1198" s="1076"/>
      <c r="B1198" s="1171"/>
      <c r="C1198" s="1076"/>
      <c r="D1198" s="1076"/>
      <c r="E1198" s="1208"/>
      <c r="F1198" s="1208"/>
      <c r="G1198" s="1076"/>
      <c r="H1198" s="1076"/>
      <c r="I1198" s="1076"/>
      <c r="J1198" s="1076"/>
      <c r="K1198" s="1076"/>
      <c r="L1198" s="1076"/>
      <c r="M1198" s="1209"/>
      <c r="N1198" s="1123"/>
      <c r="O1198" s="1119"/>
      <c r="P1198" s="1119"/>
      <c r="Q1198" s="1119"/>
      <c r="R1198" s="1171"/>
      <c r="S1198" s="1196"/>
      <c r="T1198" s="1196"/>
      <c r="U1198" s="1196"/>
      <c r="V1198" s="1084"/>
      <c r="W1198" s="1119"/>
      <c r="X1198" s="1076"/>
      <c r="Y1198" s="372" t="s">
        <v>1731</v>
      </c>
      <c r="Z1198" s="386">
        <v>6828196.6700000167</v>
      </c>
      <c r="AA1198" s="386"/>
      <c r="AB1198" s="386">
        <f t="shared" si="73"/>
        <v>6828196.6700000167</v>
      </c>
      <c r="AC1198" s="384"/>
      <c r="AD1198" s="395"/>
      <c r="AE1198" s="371"/>
      <c r="AF1198" s="1084"/>
      <c r="AG1198" s="1084"/>
      <c r="AH1198" s="358">
        <f t="shared" si="70"/>
        <v>6828196.6700000167</v>
      </c>
      <c r="AI1198" s="1084"/>
      <c r="AJ1198" s="1119"/>
      <c r="AK1198" s="1119"/>
      <c r="AL1198" s="1119"/>
      <c r="AM1198" s="1119"/>
      <c r="AN1198" s="1203"/>
      <c r="AO1198" s="1204"/>
      <c r="AP1198" s="1204"/>
      <c r="AQ1198" s="1204"/>
    </row>
    <row r="1199" spans="1:43" ht="15" customHeight="1">
      <c r="A1199" s="1076"/>
      <c r="B1199" s="1171"/>
      <c r="C1199" s="1076"/>
      <c r="D1199" s="1076"/>
      <c r="E1199" s="1208"/>
      <c r="F1199" s="1208"/>
      <c r="G1199" s="1076"/>
      <c r="H1199" s="1076"/>
      <c r="I1199" s="1076"/>
      <c r="J1199" s="1076"/>
      <c r="K1199" s="1076"/>
      <c r="L1199" s="1076"/>
      <c r="M1199" s="1209">
        <v>285</v>
      </c>
      <c r="N1199" s="1123" t="s">
        <v>137</v>
      </c>
      <c r="O1199" s="1119">
        <v>68212321</v>
      </c>
      <c r="P1199" s="1119">
        <v>68212321</v>
      </c>
      <c r="Q1199" s="1119"/>
      <c r="R1199" s="1171">
        <v>41449</v>
      </c>
      <c r="S1199" s="1119">
        <f>T1199</f>
        <v>68212321</v>
      </c>
      <c r="T1199" s="1119">
        <v>68212321</v>
      </c>
      <c r="U1199" s="1119">
        <f>O1199-T1199</f>
        <v>0</v>
      </c>
      <c r="V1199" s="1084">
        <v>68209873</v>
      </c>
      <c r="W1199" s="1119"/>
      <c r="X1199" s="1076"/>
      <c r="Y1199" s="372" t="s">
        <v>1724</v>
      </c>
      <c r="Z1199" s="386">
        <v>0</v>
      </c>
      <c r="AA1199" s="386">
        <v>27283949</v>
      </c>
      <c r="AB1199" s="386">
        <f t="shared" si="73"/>
        <v>27283949</v>
      </c>
      <c r="AC1199" s="384">
        <v>41855</v>
      </c>
      <c r="AD1199" s="395">
        <v>27283949</v>
      </c>
      <c r="AE1199" s="371" t="s">
        <v>137</v>
      </c>
      <c r="AF1199" s="1084">
        <f>SUM(AD1199:AD1204)</f>
        <v>65478749.509999998</v>
      </c>
      <c r="AG1199" s="1084"/>
      <c r="AH1199" s="358">
        <f t="shared" si="70"/>
        <v>0</v>
      </c>
      <c r="AI1199" s="1084">
        <f>O1199-SUM(AD1199:AD1204)</f>
        <v>2733571.4900000021</v>
      </c>
      <c r="AJ1199" s="1119"/>
      <c r="AK1199" s="1119">
        <f>P1199-V1199</f>
        <v>2448</v>
      </c>
      <c r="AL1199" s="1119">
        <f>V1199-SUM(Z1199:Z1204)</f>
        <v>0</v>
      </c>
      <c r="AM1199" s="1119"/>
      <c r="AN1199" s="1203"/>
      <c r="AO1199" s="1204"/>
      <c r="AP1199" s="1204"/>
      <c r="AQ1199" s="1204"/>
    </row>
    <row r="1200" spans="1:43" ht="15" customHeight="1">
      <c r="A1200" s="1076"/>
      <c r="B1200" s="1171"/>
      <c r="C1200" s="1076"/>
      <c r="D1200" s="1076"/>
      <c r="E1200" s="1208"/>
      <c r="F1200" s="1208"/>
      <c r="G1200" s="1076"/>
      <c r="H1200" s="1076"/>
      <c r="I1200" s="1076"/>
      <c r="J1200" s="1076"/>
      <c r="K1200" s="1076"/>
      <c r="L1200" s="1076"/>
      <c r="M1200" s="1209"/>
      <c r="N1200" s="1123"/>
      <c r="O1200" s="1119"/>
      <c r="P1200" s="1119"/>
      <c r="Q1200" s="1119"/>
      <c r="R1200" s="1171"/>
      <c r="S1200" s="1119"/>
      <c r="T1200" s="1119"/>
      <c r="U1200" s="1119"/>
      <c r="V1200" s="1084"/>
      <c r="W1200" s="1119"/>
      <c r="X1200" s="1076"/>
      <c r="Y1200" s="372" t="s">
        <v>1725</v>
      </c>
      <c r="Z1200" s="386">
        <v>23054937.199999999</v>
      </c>
      <c r="AA1200" s="386">
        <v>-9221974.8800000008</v>
      </c>
      <c r="AB1200" s="386">
        <f t="shared" si="73"/>
        <v>13832962.319999998</v>
      </c>
      <c r="AC1200" s="384">
        <v>41904</v>
      </c>
      <c r="AD1200" s="395">
        <v>13832962.32</v>
      </c>
      <c r="AE1200" s="371" t="s">
        <v>137</v>
      </c>
      <c r="AF1200" s="1084"/>
      <c r="AG1200" s="1084"/>
      <c r="AH1200" s="358">
        <f t="shared" si="70"/>
        <v>0</v>
      </c>
      <c r="AI1200" s="1084"/>
      <c r="AJ1200" s="1119"/>
      <c r="AK1200" s="1119"/>
      <c r="AL1200" s="1119"/>
      <c r="AM1200" s="1119"/>
      <c r="AN1200" s="1203"/>
      <c r="AO1200" s="1204"/>
      <c r="AP1200" s="1204"/>
      <c r="AQ1200" s="1204"/>
    </row>
    <row r="1201" spans="1:43" ht="15" customHeight="1">
      <c r="A1201" s="1076"/>
      <c r="B1201" s="1171"/>
      <c r="C1201" s="1076"/>
      <c r="D1201" s="1076"/>
      <c r="E1201" s="1208"/>
      <c r="F1201" s="1208"/>
      <c r="G1201" s="1076"/>
      <c r="H1201" s="1076"/>
      <c r="I1201" s="1076"/>
      <c r="J1201" s="1076"/>
      <c r="K1201" s="1076"/>
      <c r="L1201" s="1076"/>
      <c r="M1201" s="1209"/>
      <c r="N1201" s="1123"/>
      <c r="O1201" s="1119"/>
      <c r="P1201" s="1119"/>
      <c r="Q1201" s="1119"/>
      <c r="R1201" s="1171"/>
      <c r="S1201" s="1119"/>
      <c r="T1201" s="1119"/>
      <c r="U1201" s="1119"/>
      <c r="V1201" s="1084"/>
      <c r="W1201" s="1119"/>
      <c r="X1201" s="1076"/>
      <c r="Y1201" s="372" t="s">
        <v>1726</v>
      </c>
      <c r="Z1201" s="386">
        <v>22256881.539999999</v>
      </c>
      <c r="AA1201" s="386">
        <v>-8902752.6199999992</v>
      </c>
      <c r="AB1201" s="386">
        <f t="shared" si="73"/>
        <v>13354128.92</v>
      </c>
      <c r="AC1201" s="384">
        <v>42089</v>
      </c>
      <c r="AD1201" s="395">
        <v>13354128.92</v>
      </c>
      <c r="AE1201" s="371" t="s">
        <v>137</v>
      </c>
      <c r="AF1201" s="1084"/>
      <c r="AG1201" s="1084"/>
      <c r="AH1201" s="358">
        <f t="shared" si="70"/>
        <v>0</v>
      </c>
      <c r="AI1201" s="1084"/>
      <c r="AJ1201" s="1119"/>
      <c r="AK1201" s="1119"/>
      <c r="AL1201" s="1119"/>
      <c r="AM1201" s="1119"/>
      <c r="AN1201" s="1203"/>
      <c r="AO1201" s="1204"/>
      <c r="AP1201" s="1204"/>
      <c r="AQ1201" s="1204"/>
    </row>
    <row r="1202" spans="1:43" ht="15" customHeight="1">
      <c r="A1202" s="1076"/>
      <c r="B1202" s="1171"/>
      <c r="C1202" s="1076"/>
      <c r="D1202" s="1076"/>
      <c r="E1202" s="1208"/>
      <c r="F1202" s="1208"/>
      <c r="G1202" s="1076"/>
      <c r="H1202" s="1076"/>
      <c r="I1202" s="1076"/>
      <c r="J1202" s="1076"/>
      <c r="K1202" s="1076"/>
      <c r="L1202" s="1076"/>
      <c r="M1202" s="1209"/>
      <c r="N1202" s="1123"/>
      <c r="O1202" s="1119"/>
      <c r="P1202" s="1119"/>
      <c r="Q1202" s="1119"/>
      <c r="R1202" s="1171"/>
      <c r="S1202" s="1119"/>
      <c r="T1202" s="1119"/>
      <c r="U1202" s="1119"/>
      <c r="V1202" s="1084"/>
      <c r="W1202" s="1119"/>
      <c r="X1202" s="1076"/>
      <c r="Y1202" s="372" t="s">
        <v>1727</v>
      </c>
      <c r="Z1202" s="386">
        <v>16070245.810000001</v>
      </c>
      <c r="AA1202" s="386">
        <v>-6428098.3600000003</v>
      </c>
      <c r="AB1202" s="386">
        <f t="shared" si="73"/>
        <v>9642147.4499999993</v>
      </c>
      <c r="AC1202" s="384">
        <v>42121</v>
      </c>
      <c r="AD1202" s="395">
        <v>9642147.4499999993</v>
      </c>
      <c r="AE1202" s="371" t="s">
        <v>137</v>
      </c>
      <c r="AF1202" s="1084"/>
      <c r="AG1202" s="1084"/>
      <c r="AH1202" s="358">
        <f t="shared" si="70"/>
        <v>0</v>
      </c>
      <c r="AI1202" s="1084"/>
      <c r="AJ1202" s="1119"/>
      <c r="AK1202" s="1119"/>
      <c r="AL1202" s="1119"/>
      <c r="AM1202" s="1119"/>
      <c r="AN1202" s="1203"/>
      <c r="AO1202" s="1204"/>
      <c r="AP1202" s="1204"/>
      <c r="AQ1202" s="1204"/>
    </row>
    <row r="1203" spans="1:43" ht="15" customHeight="1">
      <c r="A1203" s="1076"/>
      <c r="B1203" s="1171"/>
      <c r="C1203" s="1076"/>
      <c r="D1203" s="1076"/>
      <c r="E1203" s="1208"/>
      <c r="F1203" s="1208"/>
      <c r="G1203" s="1076"/>
      <c r="H1203" s="1076"/>
      <c r="I1203" s="1076"/>
      <c r="J1203" s="1076"/>
      <c r="K1203" s="1076"/>
      <c r="L1203" s="1076"/>
      <c r="M1203" s="1209"/>
      <c r="N1203" s="1123"/>
      <c r="O1203" s="1119"/>
      <c r="P1203" s="1119"/>
      <c r="Q1203" s="1119"/>
      <c r="R1203" s="1171"/>
      <c r="S1203" s="1119"/>
      <c r="T1203" s="1119"/>
      <c r="U1203" s="1119"/>
      <c r="V1203" s="1084"/>
      <c r="W1203" s="1119"/>
      <c r="X1203" s="1076"/>
      <c r="Y1203" s="372" t="s">
        <v>1728</v>
      </c>
      <c r="Z1203" s="386">
        <v>4096685.24</v>
      </c>
      <c r="AA1203" s="386">
        <v>-2731123.42</v>
      </c>
      <c r="AB1203" s="386">
        <f t="shared" si="73"/>
        <v>1365561.8200000003</v>
      </c>
      <c r="AC1203" s="384">
        <v>42299</v>
      </c>
      <c r="AD1203" s="395">
        <v>1365561.82</v>
      </c>
      <c r="AE1203" s="371" t="s">
        <v>137</v>
      </c>
      <c r="AF1203" s="1084"/>
      <c r="AG1203" s="1084"/>
      <c r="AH1203" s="358">
        <f t="shared" si="70"/>
        <v>0</v>
      </c>
      <c r="AI1203" s="1084"/>
      <c r="AJ1203" s="1119"/>
      <c r="AK1203" s="1119"/>
      <c r="AL1203" s="1119"/>
      <c r="AM1203" s="1119"/>
      <c r="AN1203" s="1203"/>
      <c r="AO1203" s="1204"/>
      <c r="AP1203" s="1204"/>
      <c r="AQ1203" s="1204"/>
    </row>
    <row r="1204" spans="1:43" ht="15" customHeight="1">
      <c r="A1204" s="1076"/>
      <c r="B1204" s="1171"/>
      <c r="C1204" s="1076"/>
      <c r="D1204" s="1076"/>
      <c r="E1204" s="1208"/>
      <c r="F1204" s="1208"/>
      <c r="G1204" s="1076"/>
      <c r="H1204" s="1076"/>
      <c r="I1204" s="1076"/>
      <c r="J1204" s="1076"/>
      <c r="K1204" s="1076"/>
      <c r="L1204" s="1076"/>
      <c r="M1204" s="1209"/>
      <c r="N1204" s="1123"/>
      <c r="O1204" s="1119"/>
      <c r="P1204" s="1119"/>
      <c r="Q1204" s="1119"/>
      <c r="R1204" s="1171"/>
      <c r="S1204" s="1119"/>
      <c r="T1204" s="1119"/>
      <c r="U1204" s="1119"/>
      <c r="V1204" s="1084"/>
      <c r="W1204" s="1119"/>
      <c r="X1204" s="1076"/>
      <c r="Y1204" s="372" t="s">
        <v>1731</v>
      </c>
      <c r="Z1204" s="386">
        <v>2731123.2100000009</v>
      </c>
      <c r="AA1204" s="386"/>
      <c r="AB1204" s="386">
        <f t="shared" si="73"/>
        <v>2731123.2100000009</v>
      </c>
      <c r="AC1204" s="384"/>
      <c r="AD1204" s="395"/>
      <c r="AE1204" s="371"/>
      <c r="AF1204" s="1084"/>
      <c r="AG1204" s="1084"/>
      <c r="AH1204" s="358">
        <f t="shared" si="70"/>
        <v>2731123.2100000009</v>
      </c>
      <c r="AI1204" s="1084"/>
      <c r="AJ1204" s="1119"/>
      <c r="AK1204" s="1119"/>
      <c r="AL1204" s="1119"/>
      <c r="AM1204" s="1119"/>
      <c r="AN1204" s="1203"/>
      <c r="AO1204" s="1204"/>
      <c r="AP1204" s="1204"/>
      <c r="AQ1204" s="1204"/>
    </row>
    <row r="1205" spans="1:43" ht="15" customHeight="1">
      <c r="A1205" s="1076"/>
      <c r="B1205" s="1171"/>
      <c r="C1205" s="1076"/>
      <c r="D1205" s="1076"/>
      <c r="E1205" s="1208"/>
      <c r="F1205" s="1208"/>
      <c r="G1205" s="1076"/>
      <c r="H1205" s="1076"/>
      <c r="I1205" s="1076"/>
      <c r="J1205" s="1076" t="s">
        <v>67</v>
      </c>
      <c r="K1205" s="1076"/>
      <c r="L1205" s="1076"/>
      <c r="M1205" s="1209">
        <v>318</v>
      </c>
      <c r="N1205" s="1123" t="s">
        <v>137</v>
      </c>
      <c r="O1205" s="1119">
        <v>115209960</v>
      </c>
      <c r="P1205" s="1119">
        <v>115209960</v>
      </c>
      <c r="Q1205" s="1119"/>
      <c r="R1205" s="1171">
        <v>42130</v>
      </c>
      <c r="S1205" s="1196">
        <f>T1205</f>
        <v>115209960</v>
      </c>
      <c r="T1205" s="1196">
        <v>115209960</v>
      </c>
      <c r="U1205" s="1196">
        <f>O1205-T1205</f>
        <v>0</v>
      </c>
      <c r="V1205" s="1084">
        <v>115209960</v>
      </c>
      <c r="W1205" s="1119"/>
      <c r="X1205" s="1076"/>
      <c r="Y1205" s="372" t="s">
        <v>1729</v>
      </c>
      <c r="Z1205" s="386">
        <v>40594711</v>
      </c>
      <c r="AA1205" s="386">
        <v>0</v>
      </c>
      <c r="AB1205" s="386">
        <f t="shared" si="73"/>
        <v>40594711</v>
      </c>
      <c r="AC1205" s="384">
        <v>42299</v>
      </c>
      <c r="AD1205" s="395">
        <v>40594711</v>
      </c>
      <c r="AE1205" s="371" t="s">
        <v>137</v>
      </c>
      <c r="AF1205" s="1084">
        <f>SUM(AD1205:AD1207)</f>
        <v>88661691</v>
      </c>
      <c r="AG1205" s="1084"/>
      <c r="AH1205" s="358">
        <f t="shared" si="70"/>
        <v>0</v>
      </c>
      <c r="AI1205" s="1084">
        <f>O1205-SUM(AD1205:AD1207)</f>
        <v>26548269</v>
      </c>
      <c r="AJ1205" s="1119"/>
      <c r="AK1205" s="1119">
        <f>P1205-V1205</f>
        <v>0</v>
      </c>
      <c r="AL1205" s="1119">
        <f>V1205-SUM(Z1205:Z1207)</f>
        <v>11339.879999995232</v>
      </c>
      <c r="AM1205" s="1119"/>
      <c r="AN1205" s="1203"/>
      <c r="AO1205" s="1204"/>
      <c r="AP1205" s="1204"/>
      <c r="AQ1205" s="1204"/>
    </row>
    <row r="1206" spans="1:43" ht="15" customHeight="1">
      <c r="A1206" s="1076"/>
      <c r="B1206" s="1171"/>
      <c r="C1206" s="1076"/>
      <c r="D1206" s="1076"/>
      <c r="E1206" s="1208"/>
      <c r="F1206" s="1208"/>
      <c r="G1206" s="1076"/>
      <c r="H1206" s="1076"/>
      <c r="I1206" s="1076"/>
      <c r="J1206" s="1076"/>
      <c r="K1206" s="1076"/>
      <c r="L1206" s="1076"/>
      <c r="M1206" s="1209"/>
      <c r="N1206" s="1123"/>
      <c r="O1206" s="1119"/>
      <c r="P1206" s="1119"/>
      <c r="Q1206" s="1119"/>
      <c r="R1206" s="1171"/>
      <c r="S1206" s="1196"/>
      <c r="T1206" s="1196"/>
      <c r="U1206" s="1196"/>
      <c r="V1206" s="1084"/>
      <c r="W1206" s="1119"/>
      <c r="X1206" s="1076"/>
      <c r="Y1206" s="372" t="s">
        <v>1730</v>
      </c>
      <c r="Z1206" s="386">
        <v>48066980</v>
      </c>
      <c r="AA1206" s="386">
        <v>0</v>
      </c>
      <c r="AB1206" s="386">
        <f t="shared" si="73"/>
        <v>48066980</v>
      </c>
      <c r="AC1206" s="384">
        <v>42340</v>
      </c>
      <c r="AD1206" s="395">
        <v>48066980</v>
      </c>
      <c r="AE1206" s="371" t="s">
        <v>137</v>
      </c>
      <c r="AF1206" s="1084"/>
      <c r="AG1206" s="1084"/>
      <c r="AH1206" s="358">
        <f t="shared" si="70"/>
        <v>0</v>
      </c>
      <c r="AI1206" s="1084"/>
      <c r="AJ1206" s="1119"/>
      <c r="AK1206" s="1119"/>
      <c r="AL1206" s="1119"/>
      <c r="AM1206" s="1119"/>
      <c r="AN1206" s="1203"/>
      <c r="AO1206" s="1204"/>
      <c r="AP1206" s="1204"/>
      <c r="AQ1206" s="1204"/>
    </row>
    <row r="1207" spans="1:43" ht="15" customHeight="1">
      <c r="A1207" s="1076"/>
      <c r="B1207" s="1171"/>
      <c r="C1207" s="1076"/>
      <c r="D1207" s="1076"/>
      <c r="E1207" s="1208"/>
      <c r="F1207" s="1208"/>
      <c r="G1207" s="1076"/>
      <c r="H1207" s="1076"/>
      <c r="I1207" s="1076"/>
      <c r="J1207" s="1076"/>
      <c r="K1207" s="1076"/>
      <c r="L1207" s="1076"/>
      <c r="M1207" s="1209"/>
      <c r="N1207" s="1123"/>
      <c r="O1207" s="1119"/>
      <c r="P1207" s="1119"/>
      <c r="Q1207" s="1119"/>
      <c r="R1207" s="1171"/>
      <c r="S1207" s="1196"/>
      <c r="T1207" s="1196"/>
      <c r="U1207" s="1196"/>
      <c r="V1207" s="1084"/>
      <c r="W1207" s="1119"/>
      <c r="X1207" s="1076"/>
      <c r="Y1207" s="372" t="s">
        <v>1731</v>
      </c>
      <c r="Z1207" s="386">
        <v>26536929.120000001</v>
      </c>
      <c r="AA1207" s="386"/>
      <c r="AB1207" s="386">
        <f t="shared" si="73"/>
        <v>26536929.120000001</v>
      </c>
      <c r="AC1207" s="384"/>
      <c r="AD1207" s="395"/>
      <c r="AE1207" s="371"/>
      <c r="AF1207" s="1084"/>
      <c r="AG1207" s="1084"/>
      <c r="AH1207" s="358">
        <f t="shared" si="70"/>
        <v>26536929.120000001</v>
      </c>
      <c r="AI1207" s="1084"/>
      <c r="AJ1207" s="1119"/>
      <c r="AK1207" s="1119"/>
      <c r="AL1207" s="1119"/>
      <c r="AM1207" s="1119"/>
      <c r="AN1207" s="1203"/>
      <c r="AO1207" s="1204"/>
      <c r="AP1207" s="1204"/>
      <c r="AQ1207" s="1204"/>
    </row>
    <row r="1208" spans="1:43" ht="15" customHeight="1">
      <c r="A1208" s="354" t="s">
        <v>2319</v>
      </c>
      <c r="B1208" s="384">
        <v>41365</v>
      </c>
      <c r="C1208" s="354"/>
      <c r="D1208" s="354" t="s">
        <v>1733</v>
      </c>
      <c r="E1208" s="394">
        <v>8300610</v>
      </c>
      <c r="F1208" s="394"/>
      <c r="G1208" s="354" t="s">
        <v>1732</v>
      </c>
      <c r="H1208" s="354" t="s">
        <v>72</v>
      </c>
      <c r="I1208" s="354" t="s">
        <v>206</v>
      </c>
      <c r="J1208" s="354" t="s">
        <v>489</v>
      </c>
      <c r="K1208" s="354" t="s">
        <v>183</v>
      </c>
      <c r="L1208" s="354" t="s">
        <v>1734</v>
      </c>
      <c r="M1208" s="389">
        <v>269</v>
      </c>
      <c r="N1208" s="372" t="s">
        <v>7</v>
      </c>
      <c r="O1208" s="386">
        <v>111000000</v>
      </c>
      <c r="P1208" s="386">
        <v>111000000</v>
      </c>
      <c r="Q1208" s="386">
        <v>111000000</v>
      </c>
      <c r="R1208" s="384">
        <v>41234</v>
      </c>
      <c r="S1208" s="390">
        <v>111000000</v>
      </c>
      <c r="T1208" s="390">
        <v>111000000</v>
      </c>
      <c r="U1208" s="390">
        <f>O1208-T1208</f>
        <v>0</v>
      </c>
      <c r="V1208" s="358">
        <v>15995000</v>
      </c>
      <c r="W1208" s="386">
        <v>15995000</v>
      </c>
      <c r="X1208" s="354"/>
      <c r="Y1208" s="372" t="s">
        <v>1735</v>
      </c>
      <c r="Z1208" s="386">
        <v>15995000</v>
      </c>
      <c r="AA1208" s="386">
        <v>0</v>
      </c>
      <c r="AB1208" s="386">
        <f t="shared" si="73"/>
        <v>15995000</v>
      </c>
      <c r="AC1208" s="384">
        <v>41495</v>
      </c>
      <c r="AD1208" s="395">
        <v>15995000</v>
      </c>
      <c r="AE1208" s="371" t="s">
        <v>7</v>
      </c>
      <c r="AF1208" s="358">
        <f>AD1208</f>
        <v>15995000</v>
      </c>
      <c r="AG1208" s="358">
        <f>AF1208</f>
        <v>15995000</v>
      </c>
      <c r="AH1208" s="358">
        <f t="shared" si="70"/>
        <v>0</v>
      </c>
      <c r="AI1208" s="358">
        <f>O1208-AD1208</f>
        <v>95005000</v>
      </c>
      <c r="AJ1208" s="386">
        <f>Z1208-AD1208</f>
        <v>0</v>
      </c>
      <c r="AK1208" s="386">
        <f>P1208-V1208</f>
        <v>95005000</v>
      </c>
      <c r="AL1208" s="386">
        <f>V1208-Z1208</f>
        <v>0</v>
      </c>
      <c r="AM1208" s="386">
        <f>AK1208+AL1208</f>
        <v>95005000</v>
      </c>
      <c r="AN1208" s="391" t="s">
        <v>606</v>
      </c>
      <c r="AO1208" s="399" t="s">
        <v>1736</v>
      </c>
      <c r="AP1208" s="392" t="s">
        <v>194</v>
      </c>
      <c r="AQ1208" s="392" t="s">
        <v>1619</v>
      </c>
    </row>
    <row r="1209" spans="1:43" ht="15" customHeight="1">
      <c r="A1209" s="354" t="s">
        <v>1746</v>
      </c>
      <c r="B1209" s="384">
        <v>41695</v>
      </c>
      <c r="C1209" s="354" t="s">
        <v>29</v>
      </c>
      <c r="D1209" s="354" t="s">
        <v>1747</v>
      </c>
      <c r="E1209" s="394">
        <v>98572671</v>
      </c>
      <c r="F1209" s="394">
        <v>2</v>
      </c>
      <c r="G1209" s="354" t="s">
        <v>1748</v>
      </c>
      <c r="H1209" s="354" t="s">
        <v>70</v>
      </c>
      <c r="I1209" s="354" t="s">
        <v>206</v>
      </c>
      <c r="J1209" s="354" t="s">
        <v>66</v>
      </c>
      <c r="K1209" s="354" t="s">
        <v>183</v>
      </c>
      <c r="L1209" s="354" t="s">
        <v>954</v>
      </c>
      <c r="M1209" s="389">
        <v>297</v>
      </c>
      <c r="N1209" s="372" t="s">
        <v>7</v>
      </c>
      <c r="O1209" s="386">
        <v>9129176</v>
      </c>
      <c r="P1209" s="386">
        <v>9129176</v>
      </c>
      <c r="Q1209" s="386">
        <v>9129176</v>
      </c>
      <c r="R1209" s="384">
        <v>41598</v>
      </c>
      <c r="S1209" s="390">
        <f>T1209</f>
        <v>9129176</v>
      </c>
      <c r="T1209" s="390">
        <v>9129176</v>
      </c>
      <c r="U1209" s="390">
        <f>O1209-T1209</f>
        <v>0</v>
      </c>
      <c r="V1209" s="358">
        <v>8672717</v>
      </c>
      <c r="W1209" s="386">
        <v>8672717</v>
      </c>
      <c r="X1209" s="354"/>
      <c r="Y1209" s="372" t="s">
        <v>1749</v>
      </c>
      <c r="Z1209" s="386">
        <v>8672717</v>
      </c>
      <c r="AA1209" s="386">
        <v>0</v>
      </c>
      <c r="AB1209" s="386">
        <f t="shared" si="73"/>
        <v>8672717</v>
      </c>
      <c r="AC1209" s="384">
        <v>41990</v>
      </c>
      <c r="AD1209" s="395">
        <v>8672717</v>
      </c>
      <c r="AE1209" s="371" t="s">
        <v>7</v>
      </c>
      <c r="AF1209" s="358">
        <f>AD1209</f>
        <v>8672717</v>
      </c>
      <c r="AG1209" s="358">
        <f>AF1209</f>
        <v>8672717</v>
      </c>
      <c r="AH1209" s="358">
        <f t="shared" si="70"/>
        <v>0</v>
      </c>
      <c r="AI1209" s="358">
        <f>O1209-AD1209</f>
        <v>456459</v>
      </c>
      <c r="AJ1209" s="386">
        <f>Z1209-AD1209</f>
        <v>0</v>
      </c>
      <c r="AK1209" s="386">
        <f>P1209-V1209</f>
        <v>456459</v>
      </c>
      <c r="AL1209" s="386">
        <f>V1209-Z1209</f>
        <v>0</v>
      </c>
      <c r="AM1209" s="386">
        <f>AK1209+AL1209</f>
        <v>456459</v>
      </c>
      <c r="AN1209" s="391" t="s">
        <v>606</v>
      </c>
      <c r="AO1209" s="399" t="s">
        <v>1750</v>
      </c>
      <c r="AP1209" s="392" t="s">
        <v>194</v>
      </c>
      <c r="AQ1209" s="392" t="s">
        <v>1619</v>
      </c>
    </row>
    <row r="1210" spans="1:43" ht="15" customHeight="1">
      <c r="A1210" s="1076" t="s">
        <v>1751</v>
      </c>
      <c r="B1210" s="1171">
        <v>41733</v>
      </c>
      <c r="C1210" s="1076" t="s">
        <v>34</v>
      </c>
      <c r="D1210" s="1076" t="s">
        <v>1753</v>
      </c>
      <c r="E1210" s="1208">
        <v>76027866</v>
      </c>
      <c r="F1210" s="1208"/>
      <c r="G1210" s="1076" t="s">
        <v>1752</v>
      </c>
      <c r="H1210" s="1076" t="s">
        <v>70</v>
      </c>
      <c r="I1210" s="1076" t="s">
        <v>206</v>
      </c>
      <c r="J1210" s="1076" t="s">
        <v>66</v>
      </c>
      <c r="K1210" s="1076" t="s">
        <v>48</v>
      </c>
      <c r="L1210" s="1076" t="s">
        <v>1756</v>
      </c>
      <c r="M1210" s="1209">
        <v>292</v>
      </c>
      <c r="N1210" s="1123" t="s">
        <v>7</v>
      </c>
      <c r="O1210" s="1119">
        <v>28926142</v>
      </c>
      <c r="P1210" s="1119">
        <v>28926142</v>
      </c>
      <c r="Q1210" s="1119">
        <f>28926142+P1212</f>
        <v>38910589</v>
      </c>
      <c r="R1210" s="1171">
        <v>41533</v>
      </c>
      <c r="S1210" s="1196">
        <f>T1210</f>
        <v>28926142</v>
      </c>
      <c r="T1210" s="1196">
        <v>28926142</v>
      </c>
      <c r="U1210" s="1196">
        <f>O1210-T1210</f>
        <v>0</v>
      </c>
      <c r="V1210" s="1084">
        <v>28926142</v>
      </c>
      <c r="W1210" s="1119">
        <f>28926142+V1212</f>
        <v>38910589</v>
      </c>
      <c r="X1210" s="1076" t="s">
        <v>1754</v>
      </c>
      <c r="Y1210" s="372"/>
      <c r="Z1210" s="386"/>
      <c r="AA1210" s="386"/>
      <c r="AB1210" s="386">
        <f t="shared" si="73"/>
        <v>0</v>
      </c>
      <c r="AC1210" s="384"/>
      <c r="AD1210" s="395"/>
      <c r="AE1210" s="371"/>
      <c r="AF1210" s="358"/>
      <c r="AG1210" s="358"/>
      <c r="AH1210" s="358">
        <f t="shared" si="70"/>
        <v>0</v>
      </c>
      <c r="AI1210" s="1084">
        <f>P1210-SUM(AD1210:AD1211)</f>
        <v>28926142</v>
      </c>
      <c r="AJ1210" s="1119">
        <f>SUM(Z1210:Z1213)-SUM(AD1210:AD1213)</f>
        <v>0</v>
      </c>
      <c r="AK1210" s="1119">
        <f>P1210-V1210</f>
        <v>0</v>
      </c>
      <c r="AL1210" s="1119">
        <f>V1210-SUM(Z1210:Z1211)</f>
        <v>28926142</v>
      </c>
      <c r="AM1210" s="1119"/>
      <c r="AN1210" s="1203"/>
      <c r="AO1210" s="1237" t="s">
        <v>1755</v>
      </c>
      <c r="AP1210" s="1204" t="s">
        <v>194</v>
      </c>
      <c r="AQ1210" s="1204" t="s">
        <v>1619</v>
      </c>
    </row>
    <row r="1211" spans="1:43" ht="15" customHeight="1">
      <c r="A1211" s="1076"/>
      <c r="B1211" s="1171"/>
      <c r="C1211" s="1076"/>
      <c r="D1211" s="1076"/>
      <c r="E1211" s="1208"/>
      <c r="F1211" s="1208"/>
      <c r="G1211" s="1076"/>
      <c r="H1211" s="1076"/>
      <c r="I1211" s="1076"/>
      <c r="J1211" s="1076"/>
      <c r="K1211" s="1076"/>
      <c r="L1211" s="1076"/>
      <c r="M1211" s="1209"/>
      <c r="N1211" s="1123"/>
      <c r="O1211" s="1119"/>
      <c r="P1211" s="1119"/>
      <c r="Q1211" s="1119"/>
      <c r="R1211" s="1171"/>
      <c r="S1211" s="1196"/>
      <c r="T1211" s="1196"/>
      <c r="U1211" s="1196"/>
      <c r="V1211" s="1084"/>
      <c r="W1211" s="1119"/>
      <c r="X1211" s="1076"/>
      <c r="Y1211" s="372"/>
      <c r="Z1211" s="386"/>
      <c r="AA1211" s="386"/>
      <c r="AB1211" s="386">
        <f t="shared" si="73"/>
        <v>0</v>
      </c>
      <c r="AC1211" s="384"/>
      <c r="AD1211" s="395"/>
      <c r="AE1211" s="371"/>
      <c r="AF1211" s="358"/>
      <c r="AG1211" s="358"/>
      <c r="AH1211" s="358">
        <f t="shared" si="70"/>
        <v>0</v>
      </c>
      <c r="AI1211" s="1084"/>
      <c r="AJ1211" s="1119"/>
      <c r="AK1211" s="1119"/>
      <c r="AL1211" s="1119"/>
      <c r="AM1211" s="1119"/>
      <c r="AN1211" s="1203"/>
      <c r="AO1211" s="1204"/>
      <c r="AP1211" s="1204"/>
      <c r="AQ1211" s="1204"/>
    </row>
    <row r="1212" spans="1:43" ht="15" customHeight="1">
      <c r="A1212" s="1076"/>
      <c r="B1212" s="1171"/>
      <c r="C1212" s="1076"/>
      <c r="D1212" s="1076"/>
      <c r="E1212" s="1208"/>
      <c r="F1212" s="1208"/>
      <c r="G1212" s="1076"/>
      <c r="H1212" s="1076"/>
      <c r="I1212" s="1076"/>
      <c r="J1212" s="1076" t="s">
        <v>67</v>
      </c>
      <c r="K1212" s="1076"/>
      <c r="L1212" s="1076"/>
      <c r="M1212" s="1209">
        <v>2647</v>
      </c>
      <c r="N1212" s="1123" t="s">
        <v>159</v>
      </c>
      <c r="O1212" s="1119">
        <v>9984447</v>
      </c>
      <c r="P1212" s="1119">
        <v>9984447</v>
      </c>
      <c r="Q1212" s="1119"/>
      <c r="R1212" s="1171">
        <v>42860</v>
      </c>
      <c r="S1212" s="1196">
        <f>T1212</f>
        <v>9984447</v>
      </c>
      <c r="T1212" s="1119">
        <v>9984447</v>
      </c>
      <c r="U1212" s="1119">
        <f>O1212-T1212</f>
        <v>0</v>
      </c>
      <c r="V1212" s="1084">
        <v>9984447</v>
      </c>
      <c r="W1212" s="1119"/>
      <c r="X1212" s="1076"/>
      <c r="Y1212" s="372"/>
      <c r="Z1212" s="386"/>
      <c r="AA1212" s="386"/>
      <c r="AB1212" s="386">
        <f t="shared" si="73"/>
        <v>0</v>
      </c>
      <c r="AC1212" s="384"/>
      <c r="AD1212" s="395"/>
      <c r="AE1212" s="371"/>
      <c r="AF1212" s="358"/>
      <c r="AG1212" s="358"/>
      <c r="AH1212" s="358">
        <f t="shared" si="70"/>
        <v>0</v>
      </c>
      <c r="AI1212" s="1084">
        <f>P1212-SUM(AD1212:AD1213)</f>
        <v>9984447</v>
      </c>
      <c r="AJ1212" s="1119"/>
      <c r="AK1212" s="1119">
        <f>P1212-V1212</f>
        <v>0</v>
      </c>
      <c r="AL1212" s="1119">
        <f>V1212-SUM(Z1212:Z1213)</f>
        <v>9984447</v>
      </c>
      <c r="AM1212" s="1119"/>
      <c r="AN1212" s="1203"/>
      <c r="AO1212" s="1204"/>
      <c r="AP1212" s="1204"/>
      <c r="AQ1212" s="1204"/>
    </row>
    <row r="1213" spans="1:43" ht="15" customHeight="1">
      <c r="A1213" s="1076"/>
      <c r="B1213" s="1171"/>
      <c r="C1213" s="1076"/>
      <c r="D1213" s="1076"/>
      <c r="E1213" s="1208"/>
      <c r="F1213" s="1208"/>
      <c r="G1213" s="1076"/>
      <c r="H1213" s="1076"/>
      <c r="I1213" s="1076"/>
      <c r="J1213" s="1076"/>
      <c r="K1213" s="1076"/>
      <c r="L1213" s="1076"/>
      <c r="M1213" s="1209"/>
      <c r="N1213" s="1123"/>
      <c r="O1213" s="1119"/>
      <c r="P1213" s="1119"/>
      <c r="Q1213" s="1119"/>
      <c r="R1213" s="1171"/>
      <c r="S1213" s="1196"/>
      <c r="T1213" s="1119"/>
      <c r="U1213" s="1119"/>
      <c r="V1213" s="1084"/>
      <c r="W1213" s="1119"/>
      <c r="X1213" s="1076"/>
      <c r="Y1213" s="372"/>
      <c r="Z1213" s="386"/>
      <c r="AA1213" s="386"/>
      <c r="AB1213" s="386">
        <f t="shared" si="73"/>
        <v>0</v>
      </c>
      <c r="AC1213" s="384"/>
      <c r="AD1213" s="395"/>
      <c r="AE1213" s="371"/>
      <c r="AF1213" s="358"/>
      <c r="AG1213" s="358"/>
      <c r="AH1213" s="358">
        <f t="shared" si="70"/>
        <v>0</v>
      </c>
      <c r="AI1213" s="1084"/>
      <c r="AJ1213" s="1119"/>
      <c r="AK1213" s="1119"/>
      <c r="AL1213" s="1119"/>
      <c r="AM1213" s="1119"/>
      <c r="AN1213" s="1203"/>
      <c r="AO1213" s="1204"/>
      <c r="AP1213" s="1204"/>
      <c r="AQ1213" s="1204"/>
    </row>
    <row r="1214" spans="1:43" ht="15" customHeight="1">
      <c r="A1214" s="1076" t="s">
        <v>1737</v>
      </c>
      <c r="B1214" s="1171">
        <v>41738</v>
      </c>
      <c r="C1214" s="1076" t="s">
        <v>41</v>
      </c>
      <c r="D1214" s="1076" t="s">
        <v>1040</v>
      </c>
      <c r="E1214" s="1208">
        <v>10541182</v>
      </c>
      <c r="F1214" s="1208"/>
      <c r="G1214" s="1076" t="s">
        <v>1738</v>
      </c>
      <c r="H1214" s="1076" t="s">
        <v>70</v>
      </c>
      <c r="I1214" s="1076" t="s">
        <v>206</v>
      </c>
      <c r="J1214" s="1076" t="s">
        <v>66</v>
      </c>
      <c r="K1214" s="1076" t="s">
        <v>49</v>
      </c>
      <c r="L1214" s="1076" t="s">
        <v>1740</v>
      </c>
      <c r="M1214" s="1209">
        <v>5</v>
      </c>
      <c r="N1214" s="1123" t="s">
        <v>166</v>
      </c>
      <c r="O1214" s="1119">
        <v>31888331</v>
      </c>
      <c r="P1214" s="1119">
        <v>31888331</v>
      </c>
      <c r="Q1214" s="1119">
        <f>P1214+P1219</f>
        <v>41661626</v>
      </c>
      <c r="R1214" s="1171">
        <v>41598</v>
      </c>
      <c r="S1214" s="1196">
        <f>T1214</f>
        <v>31888331</v>
      </c>
      <c r="T1214" s="1196">
        <v>31888331</v>
      </c>
      <c r="U1214" s="1196">
        <f>O1214-T1214</f>
        <v>0</v>
      </c>
      <c r="V1214" s="1084">
        <v>31848682</v>
      </c>
      <c r="W1214" s="1119">
        <f>31848682+V1219</f>
        <v>41621977</v>
      </c>
      <c r="X1214" s="1076" t="s">
        <v>1739</v>
      </c>
      <c r="Y1214" s="372" t="s">
        <v>1741</v>
      </c>
      <c r="Z1214" s="386">
        <v>0</v>
      </c>
      <c r="AA1214" s="386">
        <v>3184868.2</v>
      </c>
      <c r="AB1214" s="386">
        <f t="shared" si="73"/>
        <v>3184868.2</v>
      </c>
      <c r="AC1214" s="384">
        <v>41796</v>
      </c>
      <c r="AD1214" s="395">
        <v>3184868.2</v>
      </c>
      <c r="AE1214" s="371" t="s">
        <v>166</v>
      </c>
      <c r="AF1214" s="1084">
        <f>SUM(AD1214:AD1218)</f>
        <v>28409024.199999999</v>
      </c>
      <c r="AG1214" s="1084">
        <f>AF1214+AF1219</f>
        <v>28409024.199999999</v>
      </c>
      <c r="AH1214" s="358">
        <f t="shared" si="70"/>
        <v>0</v>
      </c>
      <c r="AI1214" s="1084">
        <f>P1214-SUM(AG1214:AG1218)</f>
        <v>3479306.8000000007</v>
      </c>
      <c r="AJ1214" s="1119">
        <f>SUM(Z1214:Z1219)-SUM(AD1214:AD1219)</f>
        <v>-382184.19999999925</v>
      </c>
      <c r="AK1214" s="1119">
        <f>P1214-V1214</f>
        <v>39649</v>
      </c>
      <c r="AL1214" s="1119">
        <f>V1214-SUM(Z1214:Z1218)+AJ1214</f>
        <v>3439657.8000000007</v>
      </c>
      <c r="AM1214" s="1119"/>
      <c r="AN1214" s="1203" t="s">
        <v>1216</v>
      </c>
      <c r="AO1214" s="1204" t="s">
        <v>1745</v>
      </c>
      <c r="AP1214" s="1204" t="s">
        <v>194</v>
      </c>
      <c r="AQ1214" s="1204" t="s">
        <v>1619</v>
      </c>
    </row>
    <row r="1215" spans="1:43" ht="15" customHeight="1">
      <c r="A1215" s="1076"/>
      <c r="B1215" s="1171"/>
      <c r="C1215" s="1076"/>
      <c r="D1215" s="1076"/>
      <c r="E1215" s="1208"/>
      <c r="F1215" s="1208"/>
      <c r="G1215" s="1076"/>
      <c r="H1215" s="1076"/>
      <c r="I1215" s="1076"/>
      <c r="J1215" s="1076"/>
      <c r="K1215" s="1076"/>
      <c r="L1215" s="1076"/>
      <c r="M1215" s="1209"/>
      <c r="N1215" s="1123"/>
      <c r="O1215" s="1119"/>
      <c r="P1215" s="1119"/>
      <c r="Q1215" s="1119"/>
      <c r="R1215" s="1171"/>
      <c r="S1215" s="1196"/>
      <c r="T1215" s="1196"/>
      <c r="U1215" s="1196"/>
      <c r="V1215" s="1084"/>
      <c r="W1215" s="1119"/>
      <c r="X1215" s="1076"/>
      <c r="Y1215" s="372" t="s">
        <v>1742</v>
      </c>
      <c r="Z1215" s="386">
        <v>13694933</v>
      </c>
      <c r="AA1215" s="386">
        <v>-1369493</v>
      </c>
      <c r="AB1215" s="386">
        <f t="shared" si="73"/>
        <v>12325440</v>
      </c>
      <c r="AC1215" s="384">
        <v>41934</v>
      </c>
      <c r="AD1215" s="395">
        <v>12325440</v>
      </c>
      <c r="AE1215" s="371" t="s">
        <v>166</v>
      </c>
      <c r="AF1215" s="1084"/>
      <c r="AG1215" s="1084"/>
      <c r="AH1215" s="358">
        <f t="shared" si="70"/>
        <v>0</v>
      </c>
      <c r="AI1215" s="1084"/>
      <c r="AJ1215" s="1119"/>
      <c r="AK1215" s="1119"/>
      <c r="AL1215" s="1119"/>
      <c r="AM1215" s="1119"/>
      <c r="AN1215" s="1203"/>
      <c r="AO1215" s="1204"/>
      <c r="AP1215" s="1204"/>
      <c r="AQ1215" s="1204"/>
    </row>
    <row r="1216" spans="1:43" ht="15" customHeight="1">
      <c r="A1216" s="1076"/>
      <c r="B1216" s="1171"/>
      <c r="C1216" s="1076"/>
      <c r="D1216" s="1076"/>
      <c r="E1216" s="1208"/>
      <c r="F1216" s="1208"/>
      <c r="G1216" s="1076"/>
      <c r="H1216" s="1076"/>
      <c r="I1216" s="1076"/>
      <c r="J1216" s="1076"/>
      <c r="K1216" s="1076"/>
      <c r="L1216" s="1076"/>
      <c r="M1216" s="1209"/>
      <c r="N1216" s="1123"/>
      <c r="O1216" s="1119"/>
      <c r="P1216" s="1119"/>
      <c r="Q1216" s="1119"/>
      <c r="R1216" s="1171"/>
      <c r="S1216" s="1196"/>
      <c r="T1216" s="1196"/>
      <c r="U1216" s="1196"/>
      <c r="V1216" s="1084"/>
      <c r="W1216" s="1119"/>
      <c r="X1216" s="1076"/>
      <c r="Y1216" s="372" t="s">
        <v>1743</v>
      </c>
      <c r="Z1216" s="386">
        <v>8280657</v>
      </c>
      <c r="AA1216" s="386">
        <v>-828066</v>
      </c>
      <c r="AB1216" s="386">
        <f t="shared" si="73"/>
        <v>7452591</v>
      </c>
      <c r="AC1216" s="384">
        <v>42038</v>
      </c>
      <c r="AD1216" s="395">
        <v>7452591</v>
      </c>
      <c r="AE1216" s="371" t="s">
        <v>166</v>
      </c>
      <c r="AF1216" s="1084"/>
      <c r="AG1216" s="1084"/>
      <c r="AH1216" s="358">
        <f t="shared" si="70"/>
        <v>0</v>
      </c>
      <c r="AI1216" s="1084"/>
      <c r="AJ1216" s="1119"/>
      <c r="AK1216" s="1119"/>
      <c r="AL1216" s="1119"/>
      <c r="AM1216" s="1119"/>
      <c r="AN1216" s="1203"/>
      <c r="AO1216" s="1204"/>
      <c r="AP1216" s="1204"/>
      <c r="AQ1216" s="1204"/>
    </row>
    <row r="1217" spans="1:43" ht="15" customHeight="1">
      <c r="A1217" s="1076"/>
      <c r="B1217" s="1171"/>
      <c r="C1217" s="1076"/>
      <c r="D1217" s="1076"/>
      <c r="E1217" s="1208"/>
      <c r="F1217" s="1208"/>
      <c r="G1217" s="1076"/>
      <c r="H1217" s="1076"/>
      <c r="I1217" s="1076"/>
      <c r="J1217" s="1076"/>
      <c r="K1217" s="1076"/>
      <c r="L1217" s="1076"/>
      <c r="M1217" s="1209"/>
      <c r="N1217" s="1123"/>
      <c r="O1217" s="1119"/>
      <c r="P1217" s="1119"/>
      <c r="Q1217" s="1119"/>
      <c r="R1217" s="1171"/>
      <c r="S1217" s="1196"/>
      <c r="T1217" s="1196"/>
      <c r="U1217" s="1196"/>
      <c r="V1217" s="1084"/>
      <c r="W1217" s="1119"/>
      <c r="X1217" s="1076"/>
      <c r="Y1217" s="372" t="s">
        <v>1744</v>
      </c>
      <c r="Z1217" s="386">
        <v>6051250</v>
      </c>
      <c r="AA1217" s="386">
        <v>-605125</v>
      </c>
      <c r="AB1217" s="386">
        <f t="shared" si="73"/>
        <v>5446125</v>
      </c>
      <c r="AC1217" s="384">
        <v>42157</v>
      </c>
      <c r="AD1217" s="395">
        <v>5446125</v>
      </c>
      <c r="AE1217" s="371" t="s">
        <v>166</v>
      </c>
      <c r="AF1217" s="1084"/>
      <c r="AG1217" s="1084"/>
      <c r="AH1217" s="358">
        <f t="shared" si="70"/>
        <v>0</v>
      </c>
      <c r="AI1217" s="1084"/>
      <c r="AJ1217" s="1119"/>
      <c r="AK1217" s="1119"/>
      <c r="AL1217" s="1119"/>
      <c r="AM1217" s="1119"/>
      <c r="AN1217" s="1203"/>
      <c r="AO1217" s="1204"/>
      <c r="AP1217" s="1204"/>
      <c r="AQ1217" s="1204"/>
    </row>
    <row r="1218" spans="1:43" ht="15" customHeight="1">
      <c r="A1218" s="1076"/>
      <c r="B1218" s="1171"/>
      <c r="C1218" s="1076"/>
      <c r="D1218" s="1076"/>
      <c r="E1218" s="1208"/>
      <c r="F1218" s="1208"/>
      <c r="G1218" s="1076"/>
      <c r="H1218" s="1076"/>
      <c r="I1218" s="1076"/>
      <c r="J1218" s="1076"/>
      <c r="K1218" s="1076"/>
      <c r="L1218" s="1076"/>
      <c r="M1218" s="1209"/>
      <c r="N1218" s="1123"/>
      <c r="O1218" s="1119"/>
      <c r="P1218" s="1119"/>
      <c r="Q1218" s="1119"/>
      <c r="R1218" s="1171"/>
      <c r="S1218" s="1196"/>
      <c r="T1218" s="1196"/>
      <c r="U1218" s="1196"/>
      <c r="V1218" s="1084"/>
      <c r="W1218" s="1119"/>
      <c r="X1218" s="1076"/>
      <c r="Y1218" s="372"/>
      <c r="Z1218" s="386"/>
      <c r="AA1218" s="386"/>
      <c r="AB1218" s="386">
        <f t="shared" si="73"/>
        <v>0</v>
      </c>
      <c r="AC1218" s="384"/>
      <c r="AD1218" s="395"/>
      <c r="AE1218" s="371"/>
      <c r="AF1218" s="1084"/>
      <c r="AG1218" s="1084"/>
      <c r="AH1218" s="358">
        <f t="shared" si="70"/>
        <v>0</v>
      </c>
      <c r="AI1218" s="1084"/>
      <c r="AJ1218" s="1119"/>
      <c r="AK1218" s="1119"/>
      <c r="AL1218" s="1119"/>
      <c r="AM1218" s="1119"/>
      <c r="AN1218" s="1203"/>
      <c r="AO1218" s="1204"/>
      <c r="AP1218" s="1204"/>
      <c r="AQ1218" s="1204"/>
    </row>
    <row r="1219" spans="1:43" ht="15" customHeight="1">
      <c r="A1219" s="1076"/>
      <c r="B1219" s="1171"/>
      <c r="C1219" s="1076"/>
      <c r="D1219" s="1076"/>
      <c r="E1219" s="1208"/>
      <c r="F1219" s="1208"/>
      <c r="G1219" s="1076"/>
      <c r="H1219" s="1076"/>
      <c r="I1219" s="1076"/>
      <c r="J1219" s="354" t="s">
        <v>67</v>
      </c>
      <c r="K1219" s="1076"/>
      <c r="L1219" s="1076"/>
      <c r="M1219" s="389">
        <v>14</v>
      </c>
      <c r="N1219" s="372" t="s">
        <v>166</v>
      </c>
      <c r="O1219" s="386">
        <v>9773295</v>
      </c>
      <c r="P1219" s="386">
        <v>9773295</v>
      </c>
      <c r="Q1219" s="1119"/>
      <c r="R1219" s="384">
        <v>42325</v>
      </c>
      <c r="S1219" s="390">
        <f>T1219</f>
        <v>9773295</v>
      </c>
      <c r="T1219" s="386">
        <v>9773295</v>
      </c>
      <c r="U1219" s="386">
        <f>O1219-T1219</f>
        <v>0</v>
      </c>
      <c r="V1219" s="358">
        <v>9773295</v>
      </c>
      <c r="W1219" s="1119"/>
      <c r="X1219" s="1076"/>
      <c r="Y1219" s="372"/>
      <c r="Z1219" s="386"/>
      <c r="AA1219" s="386"/>
      <c r="AB1219" s="386">
        <f t="shared" si="73"/>
        <v>0</v>
      </c>
      <c r="AC1219" s="384"/>
      <c r="AD1219" s="395"/>
      <c r="AE1219" s="371"/>
      <c r="AF1219" s="358">
        <f>AD1219</f>
        <v>0</v>
      </c>
      <c r="AG1219" s="1084"/>
      <c r="AH1219" s="358">
        <f t="shared" si="70"/>
        <v>0</v>
      </c>
      <c r="AI1219" s="358">
        <f>O1219-AD1219</f>
        <v>9773295</v>
      </c>
      <c r="AJ1219" s="1119"/>
      <c r="AK1219" s="386">
        <f>P1219-V1219</f>
        <v>0</v>
      </c>
      <c r="AL1219" s="386">
        <f>V1219-Z1219</f>
        <v>9773295</v>
      </c>
      <c r="AM1219" s="386"/>
      <c r="AN1219" s="1203"/>
      <c r="AO1219" s="1204"/>
      <c r="AP1219" s="1204"/>
      <c r="AQ1219" s="1204"/>
    </row>
    <row r="1220" spans="1:43" ht="15" customHeight="1">
      <c r="A1220" s="1076" t="s">
        <v>1768</v>
      </c>
      <c r="B1220" s="1171">
        <v>41743</v>
      </c>
      <c r="C1220" s="1076" t="s">
        <v>10</v>
      </c>
      <c r="D1220" s="1076" t="s">
        <v>1770</v>
      </c>
      <c r="E1220" s="1208">
        <v>900718859</v>
      </c>
      <c r="F1220" s="1208">
        <v>7</v>
      </c>
      <c r="G1220" s="1076" t="s">
        <v>1769</v>
      </c>
      <c r="H1220" s="1076" t="s">
        <v>70</v>
      </c>
      <c r="I1220" s="1076" t="s">
        <v>206</v>
      </c>
      <c r="J1220" s="1076" t="s">
        <v>66</v>
      </c>
      <c r="K1220" s="1076" t="s">
        <v>49</v>
      </c>
      <c r="L1220" s="1076" t="s">
        <v>1772</v>
      </c>
      <c r="M1220" s="1209">
        <v>294</v>
      </c>
      <c r="N1220" s="1123" t="s">
        <v>7</v>
      </c>
      <c r="O1220" s="1119">
        <v>200064922</v>
      </c>
      <c r="P1220" s="1119">
        <v>200064922</v>
      </c>
      <c r="Q1220" s="1119">
        <v>200064922</v>
      </c>
      <c r="R1220" s="1171">
        <v>41546</v>
      </c>
      <c r="S1220" s="1196">
        <f>T1220</f>
        <v>200064922</v>
      </c>
      <c r="T1220" s="1196">
        <v>200064922</v>
      </c>
      <c r="U1220" s="1196">
        <f>O1220-T1220</f>
        <v>0</v>
      </c>
      <c r="V1220" s="1084">
        <v>200061488</v>
      </c>
      <c r="W1220" s="1119">
        <v>200061488</v>
      </c>
      <c r="X1220" s="1076" t="s">
        <v>1771</v>
      </c>
      <c r="Y1220" s="372" t="s">
        <v>1773</v>
      </c>
      <c r="Z1220" s="386">
        <v>0</v>
      </c>
      <c r="AA1220" s="386">
        <v>20006148</v>
      </c>
      <c r="AB1220" s="386">
        <f>Z1220+AA1220</f>
        <v>20006148</v>
      </c>
      <c r="AC1220" s="384">
        <v>41901</v>
      </c>
      <c r="AD1220" s="395">
        <v>20006148.800000001</v>
      </c>
      <c r="AE1220" s="371" t="s">
        <v>7</v>
      </c>
      <c r="AF1220" s="1084">
        <f>SUM(AD1220:AD1226)</f>
        <v>181515677.38000003</v>
      </c>
      <c r="AG1220" s="1084">
        <f>AF1220</f>
        <v>181515677.38000003</v>
      </c>
      <c r="AH1220" s="358">
        <f>AB1220-AD1220</f>
        <v>-0.80000000074505806</v>
      </c>
      <c r="AI1220" s="1084">
        <f>O1220-SUM(AD1220:AD1226)</f>
        <v>18549244.619999975</v>
      </c>
      <c r="AJ1220" s="1119">
        <f>SUM(Z1220:Z1226)-SUM(AD1220:AD1226)</f>
        <v>-2460665.6200000048</v>
      </c>
      <c r="AK1220" s="1119">
        <f>P1220-V1220</f>
        <v>3434</v>
      </c>
      <c r="AL1220" s="1119">
        <f>V1220-SUM(Z1220:Z1226)+AJ1220</f>
        <v>18545810.619999975</v>
      </c>
      <c r="AM1220" s="1119"/>
      <c r="AN1220" s="1203"/>
      <c r="AO1220" s="1204" t="s">
        <v>1767</v>
      </c>
      <c r="AP1220" s="1204" t="s">
        <v>194</v>
      </c>
      <c r="AQ1220" s="1204" t="s">
        <v>1619</v>
      </c>
    </row>
    <row r="1221" spans="1:43" ht="15" customHeight="1">
      <c r="A1221" s="1076"/>
      <c r="B1221" s="1171"/>
      <c r="C1221" s="1076"/>
      <c r="D1221" s="1076"/>
      <c r="E1221" s="1208"/>
      <c r="F1221" s="1208"/>
      <c r="G1221" s="1076"/>
      <c r="H1221" s="1076"/>
      <c r="I1221" s="1076"/>
      <c r="J1221" s="1076"/>
      <c r="K1221" s="1076"/>
      <c r="L1221" s="1076"/>
      <c r="M1221" s="1209"/>
      <c r="N1221" s="1123"/>
      <c r="O1221" s="1119"/>
      <c r="P1221" s="1119"/>
      <c r="Q1221" s="1119"/>
      <c r="R1221" s="1171"/>
      <c r="S1221" s="1196"/>
      <c r="T1221" s="1196"/>
      <c r="U1221" s="1196"/>
      <c r="V1221" s="1084"/>
      <c r="W1221" s="1119"/>
      <c r="X1221" s="1076"/>
      <c r="Y1221" s="372" t="s">
        <v>1774</v>
      </c>
      <c r="Z1221" s="386">
        <v>46014122.240000002</v>
      </c>
      <c r="AA1221" s="386">
        <v>-4601394.22</v>
      </c>
      <c r="AB1221" s="386">
        <f t="shared" ref="AB1221:AB1226" si="74">Z1221+AA1221</f>
        <v>41412728.020000003</v>
      </c>
      <c r="AC1221" s="384">
        <v>41984</v>
      </c>
      <c r="AD1221" s="395">
        <v>41412728.020000003</v>
      </c>
      <c r="AE1221" s="371" t="s">
        <v>7</v>
      </c>
      <c r="AF1221" s="1084"/>
      <c r="AG1221" s="1084"/>
      <c r="AH1221" s="358">
        <f t="shared" ref="AH1221:AH1226" si="75">AB1221-AD1221</f>
        <v>0</v>
      </c>
      <c r="AI1221" s="1084"/>
      <c r="AJ1221" s="1119"/>
      <c r="AK1221" s="1119"/>
      <c r="AL1221" s="1119"/>
      <c r="AM1221" s="1119"/>
      <c r="AN1221" s="1203"/>
      <c r="AO1221" s="1204"/>
      <c r="AP1221" s="1204"/>
      <c r="AQ1221" s="1204"/>
    </row>
    <row r="1222" spans="1:43" ht="15" customHeight="1">
      <c r="A1222" s="1076"/>
      <c r="B1222" s="1171"/>
      <c r="C1222" s="1076"/>
      <c r="D1222" s="1076"/>
      <c r="E1222" s="1208"/>
      <c r="F1222" s="1208"/>
      <c r="G1222" s="1076"/>
      <c r="H1222" s="1076"/>
      <c r="I1222" s="1076"/>
      <c r="J1222" s="1076"/>
      <c r="K1222" s="1076"/>
      <c r="L1222" s="1076"/>
      <c r="M1222" s="1209"/>
      <c r="N1222" s="1123"/>
      <c r="O1222" s="1119"/>
      <c r="P1222" s="1119"/>
      <c r="Q1222" s="1119"/>
      <c r="R1222" s="1171"/>
      <c r="S1222" s="1196"/>
      <c r="T1222" s="1196"/>
      <c r="U1222" s="1196"/>
      <c r="V1222" s="1084"/>
      <c r="W1222" s="1119"/>
      <c r="X1222" s="1076"/>
      <c r="Y1222" s="372" t="s">
        <v>1775</v>
      </c>
      <c r="Z1222" s="386">
        <v>53016294.32</v>
      </c>
      <c r="AA1222" s="386">
        <v>-5301629.43</v>
      </c>
      <c r="AB1222" s="386">
        <f t="shared" si="74"/>
        <v>47714664.890000001</v>
      </c>
      <c r="AC1222" s="384">
        <v>42136</v>
      </c>
      <c r="AD1222" s="395">
        <v>47714664.890000001</v>
      </c>
      <c r="AE1222" s="371" t="s">
        <v>7</v>
      </c>
      <c r="AF1222" s="1084"/>
      <c r="AG1222" s="1084"/>
      <c r="AH1222" s="358">
        <f t="shared" si="75"/>
        <v>0</v>
      </c>
      <c r="AI1222" s="1084"/>
      <c r="AJ1222" s="1119"/>
      <c r="AK1222" s="1119"/>
      <c r="AL1222" s="1119"/>
      <c r="AM1222" s="1119"/>
      <c r="AN1222" s="1203"/>
      <c r="AO1222" s="1204"/>
      <c r="AP1222" s="1204"/>
      <c r="AQ1222" s="1204"/>
    </row>
    <row r="1223" spans="1:43" ht="15" customHeight="1">
      <c r="A1223" s="1076"/>
      <c r="B1223" s="1171"/>
      <c r="C1223" s="1076"/>
      <c r="D1223" s="1076"/>
      <c r="E1223" s="1208"/>
      <c r="F1223" s="1208"/>
      <c r="G1223" s="1076"/>
      <c r="H1223" s="1076"/>
      <c r="I1223" s="1076"/>
      <c r="J1223" s="1076"/>
      <c r="K1223" s="1076"/>
      <c r="L1223" s="1076"/>
      <c r="M1223" s="1209"/>
      <c r="N1223" s="1123"/>
      <c r="O1223" s="1119"/>
      <c r="P1223" s="1119"/>
      <c r="Q1223" s="1119"/>
      <c r="R1223" s="1171"/>
      <c r="S1223" s="1196"/>
      <c r="T1223" s="1196"/>
      <c r="U1223" s="1196"/>
      <c r="V1223" s="1084"/>
      <c r="W1223" s="1119"/>
      <c r="X1223" s="1076"/>
      <c r="Y1223" s="372" t="s">
        <v>1776</v>
      </c>
      <c r="Z1223" s="386">
        <v>32009838.079999998</v>
      </c>
      <c r="AA1223" s="386">
        <v>-3200983.81</v>
      </c>
      <c r="AB1223" s="386">
        <f t="shared" si="74"/>
        <v>28808854.27</v>
      </c>
      <c r="AC1223" s="384">
        <v>42282</v>
      </c>
      <c r="AD1223" s="395">
        <v>28808854.27</v>
      </c>
      <c r="AE1223" s="371" t="s">
        <v>7</v>
      </c>
      <c r="AF1223" s="1084"/>
      <c r="AG1223" s="1084"/>
      <c r="AH1223" s="358">
        <f t="shared" si="75"/>
        <v>0</v>
      </c>
      <c r="AI1223" s="1084"/>
      <c r="AJ1223" s="1119"/>
      <c r="AK1223" s="1119"/>
      <c r="AL1223" s="1119"/>
      <c r="AM1223" s="1119"/>
      <c r="AN1223" s="1203"/>
      <c r="AO1223" s="1204"/>
      <c r="AP1223" s="1204"/>
      <c r="AQ1223" s="1204"/>
    </row>
    <row r="1224" spans="1:43" ht="15" customHeight="1">
      <c r="A1224" s="1076"/>
      <c r="B1224" s="1171"/>
      <c r="C1224" s="1076"/>
      <c r="D1224" s="1076"/>
      <c r="E1224" s="1208"/>
      <c r="F1224" s="1208"/>
      <c r="G1224" s="1076"/>
      <c r="H1224" s="1076"/>
      <c r="I1224" s="1076"/>
      <c r="J1224" s="1076"/>
      <c r="K1224" s="1076"/>
      <c r="L1224" s="1076"/>
      <c r="M1224" s="1209"/>
      <c r="N1224" s="1123"/>
      <c r="O1224" s="1119"/>
      <c r="P1224" s="1119"/>
      <c r="Q1224" s="1119"/>
      <c r="R1224" s="1171"/>
      <c r="S1224" s="1196"/>
      <c r="T1224" s="1196"/>
      <c r="U1224" s="1196"/>
      <c r="V1224" s="1084"/>
      <c r="W1224" s="1119"/>
      <c r="X1224" s="1076"/>
      <c r="Y1224" s="372" t="s">
        <v>1777</v>
      </c>
      <c r="Z1224" s="386">
        <v>14004304.16</v>
      </c>
      <c r="AA1224" s="386">
        <v>-1400430.42</v>
      </c>
      <c r="AB1224" s="386">
        <f t="shared" si="74"/>
        <v>12603873.74</v>
      </c>
      <c r="AC1224" s="384">
        <v>42290</v>
      </c>
      <c r="AD1224" s="395">
        <v>12603873.74</v>
      </c>
      <c r="AE1224" s="371" t="s">
        <v>7</v>
      </c>
      <c r="AF1224" s="1084"/>
      <c r="AG1224" s="1084"/>
      <c r="AH1224" s="358">
        <f t="shared" si="75"/>
        <v>0</v>
      </c>
      <c r="AI1224" s="1084"/>
      <c r="AJ1224" s="1119"/>
      <c r="AK1224" s="1119"/>
      <c r="AL1224" s="1119"/>
      <c r="AM1224" s="1119"/>
      <c r="AN1224" s="1203"/>
      <c r="AO1224" s="1204"/>
      <c r="AP1224" s="1204"/>
      <c r="AQ1224" s="1204"/>
    </row>
    <row r="1225" spans="1:43" ht="15" customHeight="1">
      <c r="A1225" s="1076"/>
      <c r="B1225" s="1171"/>
      <c r="C1225" s="1076"/>
      <c r="D1225" s="1076"/>
      <c r="E1225" s="1208"/>
      <c r="F1225" s="1208"/>
      <c r="G1225" s="1076"/>
      <c r="H1225" s="1076"/>
      <c r="I1225" s="1076"/>
      <c r="J1225" s="1076"/>
      <c r="K1225" s="1076"/>
      <c r="L1225" s="1076"/>
      <c r="M1225" s="1209"/>
      <c r="N1225" s="1123"/>
      <c r="O1225" s="1119"/>
      <c r="P1225" s="1119"/>
      <c r="Q1225" s="1119"/>
      <c r="R1225" s="1171"/>
      <c r="S1225" s="1196"/>
      <c r="T1225" s="1196"/>
      <c r="U1225" s="1196"/>
      <c r="V1225" s="1084"/>
      <c r="W1225" s="1119"/>
      <c r="X1225" s="1076"/>
      <c r="Y1225" s="372" t="s">
        <v>1778</v>
      </c>
      <c r="Z1225" s="386">
        <v>34010452.960000001</v>
      </c>
      <c r="AA1225" s="386">
        <v>-3041045.3</v>
      </c>
      <c r="AB1225" s="386">
        <f t="shared" si="74"/>
        <v>30969407.66</v>
      </c>
      <c r="AC1225" s="384">
        <v>42439</v>
      </c>
      <c r="AD1225" s="395">
        <v>30969407.66</v>
      </c>
      <c r="AE1225" s="371" t="s">
        <v>7</v>
      </c>
      <c r="AF1225" s="1084"/>
      <c r="AG1225" s="1084"/>
      <c r="AH1225" s="358">
        <f t="shared" si="75"/>
        <v>0</v>
      </c>
      <c r="AI1225" s="1084"/>
      <c r="AJ1225" s="1119"/>
      <c r="AK1225" s="1119"/>
      <c r="AL1225" s="1119"/>
      <c r="AM1225" s="1119"/>
      <c r="AN1225" s="1203"/>
      <c r="AO1225" s="1204"/>
      <c r="AP1225" s="1204"/>
      <c r="AQ1225" s="1204"/>
    </row>
    <row r="1226" spans="1:43" ht="15" customHeight="1">
      <c r="A1226" s="1076"/>
      <c r="B1226" s="1171"/>
      <c r="C1226" s="1076"/>
      <c r="D1226" s="1076"/>
      <c r="E1226" s="1208"/>
      <c r="F1226" s="1208"/>
      <c r="G1226" s="1076"/>
      <c r="H1226" s="1076"/>
      <c r="I1226" s="1076"/>
      <c r="J1226" s="1076"/>
      <c r="K1226" s="1076"/>
      <c r="L1226" s="1076"/>
      <c r="M1226" s="1209"/>
      <c r="N1226" s="1123"/>
      <c r="O1226" s="1119"/>
      <c r="P1226" s="1119"/>
      <c r="Q1226" s="1119"/>
      <c r="R1226" s="1171"/>
      <c r="S1226" s="1196"/>
      <c r="T1226" s="1196"/>
      <c r="U1226" s="1196"/>
      <c r="V1226" s="1084"/>
      <c r="W1226" s="1119"/>
      <c r="X1226" s="1076"/>
      <c r="Y1226" s="372"/>
      <c r="Z1226" s="386"/>
      <c r="AA1226" s="386"/>
      <c r="AB1226" s="386">
        <f t="shared" si="74"/>
        <v>0</v>
      </c>
      <c r="AC1226" s="384"/>
      <c r="AD1226" s="395"/>
      <c r="AE1226" s="371"/>
      <c r="AF1226" s="1084"/>
      <c r="AG1226" s="1084"/>
      <c r="AH1226" s="358">
        <f t="shared" si="75"/>
        <v>0</v>
      </c>
      <c r="AI1226" s="1084"/>
      <c r="AJ1226" s="1119"/>
      <c r="AK1226" s="1119"/>
      <c r="AL1226" s="1119"/>
      <c r="AM1226" s="1119"/>
      <c r="AN1226" s="1203"/>
      <c r="AO1226" s="1204"/>
      <c r="AP1226" s="1204"/>
      <c r="AQ1226" s="1204"/>
    </row>
    <row r="1227" spans="1:43" s="4" customFormat="1" ht="15" customHeight="1">
      <c r="A1227" s="382" t="s">
        <v>1781</v>
      </c>
      <c r="B1227" s="384">
        <v>41782</v>
      </c>
      <c r="C1227" s="382" t="s">
        <v>11</v>
      </c>
      <c r="D1227" s="382" t="s">
        <v>1780</v>
      </c>
      <c r="E1227" s="385">
        <v>900729848</v>
      </c>
      <c r="F1227" s="385">
        <v>3</v>
      </c>
      <c r="G1227" s="382" t="s">
        <v>1779</v>
      </c>
      <c r="H1227" s="382" t="s">
        <v>70</v>
      </c>
      <c r="I1227" s="382" t="s">
        <v>206</v>
      </c>
      <c r="J1227" s="382" t="s">
        <v>66</v>
      </c>
      <c r="K1227" s="382" t="s">
        <v>48</v>
      </c>
      <c r="L1227" s="382" t="s">
        <v>1783</v>
      </c>
      <c r="M1227" s="389">
        <v>301</v>
      </c>
      <c r="N1227" s="382" t="s">
        <v>137</v>
      </c>
      <c r="O1227" s="382">
        <v>172789634</v>
      </c>
      <c r="P1227" s="382">
        <v>172789634</v>
      </c>
      <c r="Q1227" s="382">
        <v>172789634</v>
      </c>
      <c r="R1227" s="384">
        <v>41705</v>
      </c>
      <c r="S1227" s="402">
        <f>T1227</f>
        <v>172789634</v>
      </c>
      <c r="T1227" s="403">
        <v>172789634</v>
      </c>
      <c r="U1227" s="403">
        <f>O1227-T1227</f>
        <v>0</v>
      </c>
      <c r="V1227" s="62">
        <v>172789621.19999999</v>
      </c>
      <c r="W1227" s="62">
        <v>172789621.19999999</v>
      </c>
      <c r="X1227" s="382"/>
      <c r="Y1227" s="372"/>
      <c r="Z1227" s="397"/>
      <c r="AA1227" s="397"/>
      <c r="AB1227" s="397"/>
      <c r="AC1227" s="384"/>
      <c r="AD1227" s="371">
        <v>0</v>
      </c>
      <c r="AE1227" s="371"/>
      <c r="AF1227" s="382"/>
      <c r="AG1227" s="382"/>
      <c r="AH1227" s="382"/>
      <c r="AI1227" s="382"/>
      <c r="AJ1227" s="382"/>
      <c r="AK1227" s="382">
        <f>P1227-V1227</f>
        <v>12.800000011920929</v>
      </c>
      <c r="AL1227" s="382"/>
      <c r="AM1227" s="382"/>
      <c r="AN1227" s="382"/>
      <c r="AO1227" s="382" t="s">
        <v>1782</v>
      </c>
      <c r="AP1227" s="392" t="s">
        <v>195</v>
      </c>
      <c r="AQ1227" s="392" t="s">
        <v>1619</v>
      </c>
    </row>
    <row r="1228" spans="1:43" ht="15" customHeight="1">
      <c r="A1228" s="1076" t="s">
        <v>1784</v>
      </c>
      <c r="B1228" s="1171">
        <v>41815</v>
      </c>
      <c r="C1228" s="1076" t="s">
        <v>36</v>
      </c>
      <c r="D1228" s="1076" t="s">
        <v>1787</v>
      </c>
      <c r="E1228" s="1208">
        <v>890329571</v>
      </c>
      <c r="F1228" s="1208">
        <v>7</v>
      </c>
      <c r="G1228" s="1076" t="s">
        <v>1785</v>
      </c>
      <c r="H1228" s="1076" t="s">
        <v>72</v>
      </c>
      <c r="I1228" s="1076" t="s">
        <v>206</v>
      </c>
      <c r="J1228" s="1076" t="s">
        <v>489</v>
      </c>
      <c r="K1228" s="1076" t="s">
        <v>49</v>
      </c>
      <c r="L1228" s="1076" t="s">
        <v>1788</v>
      </c>
      <c r="M1228" s="1209">
        <v>267</v>
      </c>
      <c r="N1228" s="1123" t="s">
        <v>7</v>
      </c>
      <c r="O1228" s="1119">
        <v>400000000</v>
      </c>
      <c r="P1228" s="1119">
        <v>400000000</v>
      </c>
      <c r="Q1228" s="1119">
        <v>400000000</v>
      </c>
      <c r="R1228" s="1171">
        <v>41234</v>
      </c>
      <c r="S1228" s="1196">
        <f>T1228</f>
        <v>400000000</v>
      </c>
      <c r="T1228" s="1196">
        <v>400000000</v>
      </c>
      <c r="U1228" s="1196">
        <f>O1228-T1228</f>
        <v>0</v>
      </c>
      <c r="V1228" s="1084">
        <v>399998961</v>
      </c>
      <c r="W1228" s="1119">
        <v>399998961</v>
      </c>
      <c r="X1228" s="1076" t="s">
        <v>1786</v>
      </c>
      <c r="Y1228" s="372" t="s">
        <v>1789</v>
      </c>
      <c r="Z1228" s="386">
        <v>0</v>
      </c>
      <c r="AA1228" s="386">
        <v>39999896.100000001</v>
      </c>
      <c r="AB1228" s="386">
        <f>Z1228+AA1228</f>
        <v>39999896.100000001</v>
      </c>
      <c r="AC1228" s="384">
        <v>41982</v>
      </c>
      <c r="AD1228" s="395">
        <v>39999896</v>
      </c>
      <c r="AE1228" s="371" t="s">
        <v>7</v>
      </c>
      <c r="AF1228" s="1084">
        <f>SUM(AD1228:AD1231)</f>
        <v>115959699</v>
      </c>
      <c r="AG1228" s="1084">
        <f>AF1228</f>
        <v>115959699</v>
      </c>
      <c r="AH1228" s="358">
        <f>AB1228-AD1228</f>
        <v>0.10000000149011612</v>
      </c>
      <c r="AI1228" s="1084">
        <f>O1228-SUM(AD1228:AD1231)</f>
        <v>284040301</v>
      </c>
      <c r="AJ1228" s="1119">
        <f>SUM(Z1228:Z1231)-SUM(AD1228:AD1231)</f>
        <v>-31559918</v>
      </c>
      <c r="AK1228" s="1119">
        <f>P1228-V1228</f>
        <v>1039</v>
      </c>
      <c r="AL1228" s="1119">
        <f>V1228-SUM(Z1228:Z1231)+AJ1228</f>
        <v>284039262</v>
      </c>
      <c r="AM1228" s="1119"/>
      <c r="AN1228" s="1203" t="s">
        <v>1696</v>
      </c>
      <c r="AO1228" s="1204" t="s">
        <v>1666</v>
      </c>
      <c r="AP1228" s="1204" t="s">
        <v>194</v>
      </c>
      <c r="AQ1228" s="1204" t="s">
        <v>1619</v>
      </c>
    </row>
    <row r="1229" spans="1:43" ht="15" customHeight="1">
      <c r="A1229" s="1076"/>
      <c r="B1229" s="1171"/>
      <c r="C1229" s="1076"/>
      <c r="D1229" s="1076"/>
      <c r="E1229" s="1208"/>
      <c r="F1229" s="1208"/>
      <c r="G1229" s="1076"/>
      <c r="H1229" s="1076"/>
      <c r="I1229" s="1076"/>
      <c r="J1229" s="1076"/>
      <c r="K1229" s="1076"/>
      <c r="L1229" s="1076"/>
      <c r="M1229" s="1209"/>
      <c r="N1229" s="1123"/>
      <c r="O1229" s="1119"/>
      <c r="P1229" s="1119"/>
      <c r="Q1229" s="1119"/>
      <c r="R1229" s="1171"/>
      <c r="S1229" s="1196"/>
      <c r="T1229" s="1196"/>
      <c r="U1229" s="1196"/>
      <c r="V1229" s="1084"/>
      <c r="W1229" s="1119"/>
      <c r="X1229" s="1076"/>
      <c r="Y1229" s="372" t="s">
        <v>1790</v>
      </c>
      <c r="Z1229" s="386">
        <v>84399781</v>
      </c>
      <c r="AA1229" s="386">
        <v>-8439978</v>
      </c>
      <c r="AB1229" s="386">
        <f>Z1229+AA1229</f>
        <v>75959803</v>
      </c>
      <c r="AC1229" s="384">
        <v>42173</v>
      </c>
      <c r="AD1229" s="395">
        <v>75959803</v>
      </c>
      <c r="AE1229" s="371" t="s">
        <v>7</v>
      </c>
      <c r="AF1229" s="1084"/>
      <c r="AG1229" s="1084"/>
      <c r="AH1229" s="358">
        <f>AB1229-AD1229</f>
        <v>0</v>
      </c>
      <c r="AI1229" s="1084"/>
      <c r="AJ1229" s="1119"/>
      <c r="AK1229" s="1119"/>
      <c r="AL1229" s="1119"/>
      <c r="AM1229" s="1119"/>
      <c r="AN1229" s="1203"/>
      <c r="AO1229" s="1204"/>
      <c r="AP1229" s="1204"/>
      <c r="AQ1229" s="1204"/>
    </row>
    <row r="1230" spans="1:43" ht="15" customHeight="1">
      <c r="A1230" s="1076"/>
      <c r="B1230" s="1171"/>
      <c r="C1230" s="1076"/>
      <c r="D1230" s="1076"/>
      <c r="E1230" s="1208"/>
      <c r="F1230" s="1208"/>
      <c r="G1230" s="1076"/>
      <c r="H1230" s="1076"/>
      <c r="I1230" s="1076"/>
      <c r="J1230" s="1076"/>
      <c r="K1230" s="1076"/>
      <c r="L1230" s="1076"/>
      <c r="M1230" s="1209"/>
      <c r="N1230" s="1123"/>
      <c r="O1230" s="1119"/>
      <c r="P1230" s="1119"/>
      <c r="Q1230" s="1119"/>
      <c r="R1230" s="1171"/>
      <c r="S1230" s="1196"/>
      <c r="T1230" s="1196"/>
      <c r="U1230" s="1196"/>
      <c r="V1230" s="1084"/>
      <c r="W1230" s="1119"/>
      <c r="X1230" s="1076"/>
      <c r="Y1230" s="372"/>
      <c r="Z1230" s="386"/>
      <c r="AA1230" s="386"/>
      <c r="AB1230" s="386">
        <f>Z1230+AA1230</f>
        <v>0</v>
      </c>
      <c r="AC1230" s="384"/>
      <c r="AD1230" s="395"/>
      <c r="AE1230" s="371"/>
      <c r="AF1230" s="1084"/>
      <c r="AG1230" s="1084"/>
      <c r="AH1230" s="358">
        <f>AB1230-AD1230</f>
        <v>0</v>
      </c>
      <c r="AI1230" s="1084"/>
      <c r="AJ1230" s="1119"/>
      <c r="AK1230" s="1119"/>
      <c r="AL1230" s="1119"/>
      <c r="AM1230" s="1119"/>
      <c r="AN1230" s="1203"/>
      <c r="AO1230" s="1204"/>
      <c r="AP1230" s="1204"/>
      <c r="AQ1230" s="1204"/>
    </row>
    <row r="1231" spans="1:43" ht="15" customHeight="1">
      <c r="A1231" s="1076"/>
      <c r="B1231" s="1171"/>
      <c r="C1231" s="1076"/>
      <c r="D1231" s="1076"/>
      <c r="E1231" s="1208"/>
      <c r="F1231" s="1208"/>
      <c r="G1231" s="1076"/>
      <c r="H1231" s="1076"/>
      <c r="I1231" s="1076"/>
      <c r="J1231" s="1076"/>
      <c r="K1231" s="1076"/>
      <c r="L1231" s="1076"/>
      <c r="M1231" s="1209"/>
      <c r="N1231" s="1123"/>
      <c r="O1231" s="1119"/>
      <c r="P1231" s="1119"/>
      <c r="Q1231" s="1119"/>
      <c r="R1231" s="1171"/>
      <c r="S1231" s="1196"/>
      <c r="T1231" s="1196"/>
      <c r="U1231" s="1196"/>
      <c r="V1231" s="1084"/>
      <c r="W1231" s="1119"/>
      <c r="X1231" s="1076"/>
      <c r="Y1231" s="372"/>
      <c r="Z1231" s="386"/>
      <c r="AA1231" s="386"/>
      <c r="AB1231" s="386">
        <f>Z1231+AA1231</f>
        <v>0</v>
      </c>
      <c r="AC1231" s="384"/>
      <c r="AD1231" s="395"/>
      <c r="AE1231" s="371"/>
      <c r="AF1231" s="1084"/>
      <c r="AG1231" s="1084"/>
      <c r="AH1231" s="358">
        <f>AB1231-AD1231</f>
        <v>0</v>
      </c>
      <c r="AI1231" s="1084"/>
      <c r="AJ1231" s="1119"/>
      <c r="AK1231" s="1119"/>
      <c r="AL1231" s="1119"/>
      <c r="AM1231" s="1119"/>
      <c r="AN1231" s="1203"/>
      <c r="AO1231" s="1204"/>
      <c r="AP1231" s="1204"/>
      <c r="AQ1231" s="1204"/>
    </row>
    <row r="1232" spans="1:43" s="4" customFormat="1" ht="15" customHeight="1">
      <c r="A1232" s="1011" t="s">
        <v>2172</v>
      </c>
      <c r="B1232" s="1068">
        <v>41723</v>
      </c>
      <c r="C1232" s="1011" t="s">
        <v>46</v>
      </c>
      <c r="D1232" s="1011" t="s">
        <v>2171</v>
      </c>
      <c r="E1232" s="1011" t="s">
        <v>2170</v>
      </c>
      <c r="F1232" s="1011"/>
      <c r="G1232" s="1011" t="s">
        <v>2169</v>
      </c>
      <c r="H1232" s="1011" t="s">
        <v>71</v>
      </c>
      <c r="I1232" s="1011" t="s">
        <v>1235</v>
      </c>
      <c r="J1232" s="1011" t="s">
        <v>66</v>
      </c>
      <c r="K1232" s="1011" t="s">
        <v>48</v>
      </c>
      <c r="L1232" s="1011"/>
      <c r="M1232" s="1009">
        <v>273</v>
      </c>
      <c r="N1232" s="1065" t="s">
        <v>137</v>
      </c>
      <c r="O1232" s="1062">
        <v>469824812</v>
      </c>
      <c r="P1232" s="1062">
        <f>O1232+O1237</f>
        <v>5028116773</v>
      </c>
      <c r="Q1232" s="1062">
        <f>P1232+P1242</f>
        <v>6505975000</v>
      </c>
      <c r="R1232" s="1068">
        <v>41277</v>
      </c>
      <c r="S1232" s="1089">
        <f>T1232+T1237</f>
        <v>5028116773</v>
      </c>
      <c r="T1232" s="1062">
        <v>469824812</v>
      </c>
      <c r="U1232" s="1062">
        <f>O1232-T1232</f>
        <v>0</v>
      </c>
      <c r="V1232" s="1062">
        <v>321044130</v>
      </c>
      <c r="W1232" s="1062">
        <f>V1232+V1237+V1242</f>
        <v>4382858750</v>
      </c>
      <c r="X1232" s="1011" t="s">
        <v>2168</v>
      </c>
      <c r="Y1232" s="1065" t="s">
        <v>2167</v>
      </c>
      <c r="Z1232" s="358">
        <v>0</v>
      </c>
      <c r="AA1232" s="358">
        <f>V1232*40%</f>
        <v>128417652</v>
      </c>
      <c r="AB1232" s="358">
        <f t="shared" ref="AB1232:AB1263" si="76">Z1232+AA1232</f>
        <v>128417652</v>
      </c>
      <c r="AC1232" s="1120">
        <v>41906</v>
      </c>
      <c r="AD1232" s="395">
        <v>128417652</v>
      </c>
      <c r="AE1232" s="372" t="s">
        <v>137</v>
      </c>
      <c r="AF1232" s="1043">
        <f>SUM(AD1232:AD1241)</f>
        <v>2872484167.3899999</v>
      </c>
      <c r="AG1232" s="1043">
        <f>SUM(AF1232:AF1244)</f>
        <v>4226194869.5900002</v>
      </c>
      <c r="AH1232" s="358">
        <f t="shared" ref="AH1232:AH1263" si="77">AB1232-AD1232</f>
        <v>0</v>
      </c>
      <c r="AI1232" s="1043">
        <f>V1232-AD1232-AD1234-AD1236-AD1238-AD1240</f>
        <v>0</v>
      </c>
      <c r="AJ1232" s="1062">
        <f>SUM(Z1232:Z1244)-SUM(AD1232:AD1244)</f>
        <v>145021422.61000013</v>
      </c>
      <c r="AK1232" s="1062"/>
      <c r="AL1232" s="1062"/>
      <c r="AM1232" s="1062"/>
      <c r="AN1232" s="1103" t="s">
        <v>2166</v>
      </c>
      <c r="AO1232" s="1103" t="s">
        <v>2165</v>
      </c>
      <c r="AP1232" s="1103" t="s">
        <v>195</v>
      </c>
      <c r="AQ1232" s="1103" t="s">
        <v>1911</v>
      </c>
    </row>
    <row r="1233" spans="1:43" s="4" customFormat="1" ht="15" customHeight="1">
      <c r="A1233" s="1033"/>
      <c r="B1233" s="1069"/>
      <c r="C1233" s="1033"/>
      <c r="D1233" s="1033"/>
      <c r="E1233" s="1033"/>
      <c r="F1233" s="1033"/>
      <c r="G1233" s="1033"/>
      <c r="H1233" s="1033"/>
      <c r="I1233" s="1033"/>
      <c r="J1233" s="1033"/>
      <c r="K1233" s="1033"/>
      <c r="L1233" s="1033"/>
      <c r="M1233" s="1039"/>
      <c r="N1233" s="1066"/>
      <c r="O1233" s="1063"/>
      <c r="P1233" s="1063"/>
      <c r="Q1233" s="1063"/>
      <c r="R1233" s="1069"/>
      <c r="S1233" s="1090"/>
      <c r="T1233" s="1063"/>
      <c r="U1233" s="1063"/>
      <c r="V1233" s="1063"/>
      <c r="W1233" s="1063"/>
      <c r="X1233" s="1033"/>
      <c r="Y1233" s="1067"/>
      <c r="Z1233" s="358">
        <v>0</v>
      </c>
      <c r="AA1233" s="358">
        <f>V1237*40%</f>
        <v>1078584584</v>
      </c>
      <c r="AB1233" s="358">
        <f t="shared" si="76"/>
        <v>1078584584</v>
      </c>
      <c r="AC1233" s="1160"/>
      <c r="AD1233" s="395">
        <v>1078584584</v>
      </c>
      <c r="AE1233" s="372" t="s">
        <v>7</v>
      </c>
      <c r="AF1233" s="1044"/>
      <c r="AG1233" s="1044"/>
      <c r="AH1233" s="358">
        <f t="shared" si="77"/>
        <v>0</v>
      </c>
      <c r="AI1233" s="1044"/>
      <c r="AJ1233" s="1063"/>
      <c r="AK1233" s="1063"/>
      <c r="AL1233" s="1063"/>
      <c r="AM1233" s="1063"/>
      <c r="AN1233" s="1104"/>
      <c r="AO1233" s="1104"/>
      <c r="AP1233" s="1104"/>
      <c r="AQ1233" s="1104"/>
    </row>
    <row r="1234" spans="1:43" s="4" customFormat="1" ht="15" customHeight="1">
      <c r="A1234" s="1033"/>
      <c r="B1234" s="1069"/>
      <c r="C1234" s="1033"/>
      <c r="D1234" s="1033"/>
      <c r="E1234" s="1033"/>
      <c r="F1234" s="1033"/>
      <c r="G1234" s="1033"/>
      <c r="H1234" s="1033"/>
      <c r="I1234" s="1033"/>
      <c r="J1234" s="1033"/>
      <c r="K1234" s="1033"/>
      <c r="L1234" s="1033"/>
      <c r="M1234" s="1039"/>
      <c r="N1234" s="1066"/>
      <c r="O1234" s="1063"/>
      <c r="P1234" s="1063"/>
      <c r="Q1234" s="1063"/>
      <c r="R1234" s="1069"/>
      <c r="S1234" s="1090"/>
      <c r="T1234" s="1063"/>
      <c r="U1234" s="1063"/>
      <c r="V1234" s="1063"/>
      <c r="W1234" s="1063"/>
      <c r="X1234" s="1033"/>
      <c r="Y1234" s="1065" t="s">
        <v>2164</v>
      </c>
      <c r="Z1234" s="358">
        <v>154990024.09999999</v>
      </c>
      <c r="AA1234" s="358">
        <v>-61996009.600000001</v>
      </c>
      <c r="AB1234" s="358">
        <f t="shared" si="76"/>
        <v>92994014.5</v>
      </c>
      <c r="AC1234" s="1120">
        <v>42191</v>
      </c>
      <c r="AD1234" s="395">
        <v>92994014.5</v>
      </c>
      <c r="AE1234" s="372" t="s">
        <v>137</v>
      </c>
      <c r="AF1234" s="1044"/>
      <c r="AG1234" s="1044"/>
      <c r="AH1234" s="358">
        <f t="shared" si="77"/>
        <v>0</v>
      </c>
      <c r="AI1234" s="1044"/>
      <c r="AJ1234" s="1063"/>
      <c r="AK1234" s="1063"/>
      <c r="AL1234" s="1063"/>
      <c r="AM1234" s="1063"/>
      <c r="AN1234" s="1104"/>
      <c r="AO1234" s="1104"/>
      <c r="AP1234" s="1104"/>
      <c r="AQ1234" s="1104"/>
    </row>
    <row r="1235" spans="1:43" s="4" customFormat="1" ht="15" customHeight="1">
      <c r="A1235" s="1033"/>
      <c r="B1235" s="1069"/>
      <c r="C1235" s="1033"/>
      <c r="D1235" s="1033"/>
      <c r="E1235" s="1033"/>
      <c r="F1235" s="1033"/>
      <c r="G1235" s="1033"/>
      <c r="H1235" s="1033"/>
      <c r="I1235" s="1033"/>
      <c r="J1235" s="1033"/>
      <c r="K1235" s="1033"/>
      <c r="L1235" s="1033"/>
      <c r="M1235" s="1039"/>
      <c r="N1235" s="1066"/>
      <c r="O1235" s="1063"/>
      <c r="P1235" s="1063"/>
      <c r="Q1235" s="1063"/>
      <c r="R1235" s="1069"/>
      <c r="S1235" s="1090"/>
      <c r="T1235" s="1063"/>
      <c r="U1235" s="1063"/>
      <c r="V1235" s="1063"/>
      <c r="W1235" s="1063"/>
      <c r="X1235" s="1033"/>
      <c r="Y1235" s="1067"/>
      <c r="Z1235" s="358">
        <v>1301766916.9000001</v>
      </c>
      <c r="AA1235" s="358">
        <v>-520706766.39999998</v>
      </c>
      <c r="AB1235" s="358">
        <f t="shared" si="76"/>
        <v>781060150.50000012</v>
      </c>
      <c r="AC1235" s="1160"/>
      <c r="AD1235" s="395">
        <v>781060150.5</v>
      </c>
      <c r="AE1235" s="372" t="s">
        <v>7</v>
      </c>
      <c r="AF1235" s="1044"/>
      <c r="AG1235" s="1044"/>
      <c r="AH1235" s="358">
        <f t="shared" si="77"/>
        <v>0</v>
      </c>
      <c r="AI1235" s="1044"/>
      <c r="AJ1235" s="1063"/>
      <c r="AK1235" s="1063"/>
      <c r="AL1235" s="1063"/>
      <c r="AM1235" s="1063"/>
      <c r="AN1235" s="1104"/>
      <c r="AO1235" s="1104"/>
      <c r="AP1235" s="1104"/>
      <c r="AQ1235" s="1104"/>
    </row>
    <row r="1236" spans="1:43" s="4" customFormat="1" ht="15" customHeight="1">
      <c r="A1236" s="1033"/>
      <c r="B1236" s="1069"/>
      <c r="C1236" s="1033"/>
      <c r="D1236" s="1033"/>
      <c r="E1236" s="1033"/>
      <c r="F1236" s="1033"/>
      <c r="G1236" s="1033"/>
      <c r="H1236" s="1033"/>
      <c r="I1236" s="1033"/>
      <c r="J1236" s="1033"/>
      <c r="K1236" s="1033"/>
      <c r="L1236" s="1033"/>
      <c r="M1236" s="1039"/>
      <c r="N1236" s="1066"/>
      <c r="O1236" s="1063"/>
      <c r="P1236" s="1063"/>
      <c r="Q1236" s="1063"/>
      <c r="R1236" s="1069"/>
      <c r="S1236" s="1090"/>
      <c r="T1236" s="1064"/>
      <c r="U1236" s="1064"/>
      <c r="V1236" s="1063"/>
      <c r="W1236" s="1063"/>
      <c r="X1236" s="1033"/>
      <c r="Y1236" s="1065" t="s">
        <v>2163</v>
      </c>
      <c r="Z1236" s="358">
        <v>87176240.709999993</v>
      </c>
      <c r="AA1236" s="358">
        <v>-34870496.399999999</v>
      </c>
      <c r="AB1236" s="358">
        <f t="shared" si="76"/>
        <v>52305744.309999995</v>
      </c>
      <c r="AC1236" s="1120">
        <v>42367</v>
      </c>
      <c r="AD1236" s="395">
        <v>52305744.310000002</v>
      </c>
      <c r="AE1236" s="372" t="s">
        <v>137</v>
      </c>
      <c r="AF1236" s="1044"/>
      <c r="AG1236" s="1044"/>
      <c r="AH1236" s="358">
        <f t="shared" si="77"/>
        <v>0</v>
      </c>
      <c r="AI1236" s="1045"/>
      <c r="AJ1236" s="1063"/>
      <c r="AK1236" s="1064"/>
      <c r="AL1236" s="1063"/>
      <c r="AM1236" s="1063"/>
      <c r="AN1236" s="1104"/>
      <c r="AO1236" s="1104"/>
      <c r="AP1236" s="1104"/>
      <c r="AQ1236" s="1104"/>
    </row>
    <row r="1237" spans="1:43" s="4" customFormat="1" ht="15" customHeight="1">
      <c r="A1237" s="1033"/>
      <c r="B1237" s="1069"/>
      <c r="C1237" s="1033"/>
      <c r="D1237" s="1033"/>
      <c r="E1237" s="1033"/>
      <c r="F1237" s="1033"/>
      <c r="G1237" s="1033"/>
      <c r="H1237" s="1033"/>
      <c r="I1237" s="1033"/>
      <c r="J1237" s="1033"/>
      <c r="K1237" s="1033"/>
      <c r="L1237" s="1033"/>
      <c r="M1237" s="1039"/>
      <c r="N1237" s="1065" t="s">
        <v>7</v>
      </c>
      <c r="O1237" s="1062">
        <v>4558291961</v>
      </c>
      <c r="P1237" s="1063"/>
      <c r="Q1237" s="1063"/>
      <c r="R1237" s="1069"/>
      <c r="S1237" s="1090"/>
      <c r="T1237" s="1062">
        <v>4558291961</v>
      </c>
      <c r="U1237" s="1062">
        <f>O1237-T1237</f>
        <v>0</v>
      </c>
      <c r="V1237" s="1062">
        <v>2696461460</v>
      </c>
      <c r="W1237" s="1063"/>
      <c r="X1237" s="1033"/>
      <c r="Y1237" s="1067"/>
      <c r="Z1237" s="358">
        <v>732196451.49000001</v>
      </c>
      <c r="AA1237" s="358">
        <v>-292878580.60000002</v>
      </c>
      <c r="AB1237" s="358">
        <f t="shared" si="76"/>
        <v>439317870.88999999</v>
      </c>
      <c r="AC1237" s="1160"/>
      <c r="AD1237" s="395">
        <v>439317870.88999999</v>
      </c>
      <c r="AE1237" s="372" t="s">
        <v>7</v>
      </c>
      <c r="AF1237" s="1044"/>
      <c r="AG1237" s="1044"/>
      <c r="AH1237" s="358">
        <f t="shared" si="77"/>
        <v>0</v>
      </c>
      <c r="AI1237" s="1043">
        <f>V1237-AD1233-AD1235-AD1237-AD1239-AD1241</f>
        <v>145021422.61000001</v>
      </c>
      <c r="AJ1237" s="1063"/>
      <c r="AK1237" s="1062"/>
      <c r="AL1237" s="1063"/>
      <c r="AM1237" s="1063"/>
      <c r="AN1237" s="1104"/>
      <c r="AO1237" s="1104"/>
      <c r="AP1237" s="1104"/>
      <c r="AQ1237" s="1104"/>
    </row>
    <row r="1238" spans="1:43" s="4" customFormat="1" ht="15" customHeight="1">
      <c r="A1238" s="1033"/>
      <c r="B1238" s="1069"/>
      <c r="C1238" s="1033"/>
      <c r="D1238" s="1033"/>
      <c r="E1238" s="1033"/>
      <c r="F1238" s="1033"/>
      <c r="G1238" s="1033"/>
      <c r="H1238" s="1033"/>
      <c r="I1238" s="1033"/>
      <c r="J1238" s="1033"/>
      <c r="K1238" s="1033"/>
      <c r="L1238" s="1033"/>
      <c r="M1238" s="1039"/>
      <c r="N1238" s="1066"/>
      <c r="O1238" s="1063"/>
      <c r="P1238" s="1063"/>
      <c r="Q1238" s="1063"/>
      <c r="R1238" s="1069"/>
      <c r="S1238" s="1090"/>
      <c r="T1238" s="1063"/>
      <c r="U1238" s="1063"/>
      <c r="V1238" s="1063"/>
      <c r="W1238" s="1063"/>
      <c r="X1238" s="1033"/>
      <c r="Y1238" s="1065" t="s">
        <v>2162</v>
      </c>
      <c r="Z1238" s="358">
        <v>46755080</v>
      </c>
      <c r="AA1238" s="358">
        <v>-18702032</v>
      </c>
      <c r="AB1238" s="358">
        <f t="shared" si="76"/>
        <v>28053048</v>
      </c>
      <c r="AC1238" s="1120">
        <v>42793</v>
      </c>
      <c r="AD1238" s="395">
        <v>28053048</v>
      </c>
      <c r="AE1238" s="372" t="s">
        <v>137</v>
      </c>
      <c r="AF1238" s="1044"/>
      <c r="AG1238" s="1044"/>
      <c r="AH1238" s="358">
        <f t="shared" si="77"/>
        <v>0</v>
      </c>
      <c r="AI1238" s="1044"/>
      <c r="AJ1238" s="1063"/>
      <c r="AK1238" s="1063"/>
      <c r="AL1238" s="1063"/>
      <c r="AM1238" s="1063"/>
      <c r="AN1238" s="1104"/>
      <c r="AO1238" s="1104"/>
      <c r="AP1238" s="1104"/>
      <c r="AQ1238" s="1104"/>
    </row>
    <row r="1239" spans="1:43" s="4" customFormat="1" ht="15" customHeight="1">
      <c r="A1239" s="1033"/>
      <c r="B1239" s="1069"/>
      <c r="C1239" s="1033"/>
      <c r="D1239" s="1033"/>
      <c r="E1239" s="1033"/>
      <c r="F1239" s="1033"/>
      <c r="G1239" s="1033"/>
      <c r="H1239" s="1033"/>
      <c r="I1239" s="1033"/>
      <c r="J1239" s="1033"/>
      <c r="K1239" s="1033"/>
      <c r="L1239" s="1033"/>
      <c r="M1239" s="1039"/>
      <c r="N1239" s="1066"/>
      <c r="O1239" s="1063"/>
      <c r="P1239" s="1063"/>
      <c r="Q1239" s="1063"/>
      <c r="R1239" s="1069"/>
      <c r="S1239" s="1090"/>
      <c r="T1239" s="1063"/>
      <c r="U1239" s="1063"/>
      <c r="V1239" s="1063"/>
      <c r="W1239" s="1063"/>
      <c r="X1239" s="1033"/>
      <c r="Y1239" s="1067"/>
      <c r="Z1239" s="358">
        <v>420795720</v>
      </c>
      <c r="AA1239" s="358">
        <v>-168318288</v>
      </c>
      <c r="AB1239" s="358">
        <f t="shared" si="76"/>
        <v>252477432</v>
      </c>
      <c r="AC1239" s="1160"/>
      <c r="AD1239" s="395">
        <v>252477432</v>
      </c>
      <c r="AE1239" s="372" t="s">
        <v>7</v>
      </c>
      <c r="AF1239" s="1044"/>
      <c r="AG1239" s="1044"/>
      <c r="AH1239" s="358">
        <f t="shared" si="77"/>
        <v>0</v>
      </c>
      <c r="AI1239" s="1044"/>
      <c r="AJ1239" s="1063"/>
      <c r="AK1239" s="1063"/>
      <c r="AL1239" s="1063"/>
      <c r="AM1239" s="1063"/>
      <c r="AN1239" s="1104"/>
      <c r="AO1239" s="1104"/>
      <c r="AP1239" s="1104"/>
      <c r="AQ1239" s="1104"/>
    </row>
    <row r="1240" spans="1:43" s="4" customFormat="1" ht="15" customHeight="1">
      <c r="A1240" s="1033"/>
      <c r="B1240" s="1069"/>
      <c r="C1240" s="1033"/>
      <c r="D1240" s="1033"/>
      <c r="E1240" s="1033"/>
      <c r="F1240" s="1033"/>
      <c r="G1240" s="1033"/>
      <c r="H1240" s="1033"/>
      <c r="I1240" s="1033"/>
      <c r="J1240" s="1033"/>
      <c r="K1240" s="1033"/>
      <c r="L1240" s="1033"/>
      <c r="M1240" s="1039"/>
      <c r="N1240" s="1066"/>
      <c r="O1240" s="1063"/>
      <c r="P1240" s="1063"/>
      <c r="Q1240" s="1063"/>
      <c r="R1240" s="1069"/>
      <c r="S1240" s="1090"/>
      <c r="T1240" s="1063"/>
      <c r="U1240" s="1063"/>
      <c r="V1240" s="1063"/>
      <c r="W1240" s="1063"/>
      <c r="X1240" s="1033"/>
      <c r="Y1240" s="1065" t="s">
        <v>2161</v>
      </c>
      <c r="Z1240" s="358">
        <v>32122785.190000001</v>
      </c>
      <c r="AA1240" s="358">
        <v>-12849114</v>
      </c>
      <c r="AB1240" s="358">
        <f t="shared" si="76"/>
        <v>19273671.190000001</v>
      </c>
      <c r="AC1240" s="1120">
        <v>42842</v>
      </c>
      <c r="AD1240" s="395">
        <v>19273671.190000001</v>
      </c>
      <c r="AE1240" s="372" t="s">
        <v>137</v>
      </c>
      <c r="AF1240" s="1044"/>
      <c r="AG1240" s="1044"/>
      <c r="AH1240" s="358">
        <f t="shared" si="77"/>
        <v>0</v>
      </c>
      <c r="AI1240" s="1044"/>
      <c r="AJ1240" s="1063"/>
      <c r="AK1240" s="1063"/>
      <c r="AL1240" s="1063"/>
      <c r="AM1240" s="1063"/>
      <c r="AN1240" s="1104"/>
      <c r="AO1240" s="1104"/>
      <c r="AP1240" s="1104"/>
      <c r="AQ1240" s="1104"/>
    </row>
    <row r="1241" spans="1:43" s="4" customFormat="1" ht="15" customHeight="1">
      <c r="A1241" s="1033"/>
      <c r="B1241" s="1069"/>
      <c r="C1241" s="1033"/>
      <c r="D1241" s="1033"/>
      <c r="E1241" s="1033"/>
      <c r="F1241" s="1033"/>
      <c r="G1241" s="1033"/>
      <c r="H1241" s="1033"/>
      <c r="I1241" s="1033"/>
      <c r="J1241" s="1033"/>
      <c r="K1241" s="1033"/>
      <c r="L1241" s="1033"/>
      <c r="M1241" s="1010"/>
      <c r="N1241" s="1067"/>
      <c r="O1241" s="1064"/>
      <c r="P1241" s="1064"/>
      <c r="Q1241" s="1063"/>
      <c r="R1241" s="1070"/>
      <c r="S1241" s="1091"/>
      <c r="T1241" s="1064"/>
      <c r="U1241" s="1064"/>
      <c r="V1241" s="1064"/>
      <c r="W1241" s="1063"/>
      <c r="X1241" s="1033"/>
      <c r="Y1241" s="1067"/>
      <c r="Z1241" s="358">
        <v>241702371.61000001</v>
      </c>
      <c r="AA1241" s="358">
        <v>-96680949</v>
      </c>
      <c r="AB1241" s="358">
        <f t="shared" si="76"/>
        <v>145021422.61000001</v>
      </c>
      <c r="AC1241" s="1160"/>
      <c r="AD1241" s="395">
        <v>0</v>
      </c>
      <c r="AE1241" s="372" t="s">
        <v>7</v>
      </c>
      <c r="AF1241" s="1045"/>
      <c r="AG1241" s="1044"/>
      <c r="AH1241" s="358">
        <f t="shared" si="77"/>
        <v>145021422.61000001</v>
      </c>
      <c r="AI1241" s="1045"/>
      <c r="AJ1241" s="1063"/>
      <c r="AK1241" s="1064"/>
      <c r="AL1241" s="1064"/>
      <c r="AM1241" s="1064"/>
      <c r="AN1241" s="1104"/>
      <c r="AO1241" s="1104"/>
      <c r="AP1241" s="1104"/>
      <c r="AQ1241" s="1104"/>
    </row>
    <row r="1242" spans="1:43" s="4" customFormat="1" ht="15" customHeight="1">
      <c r="A1242" s="1033"/>
      <c r="B1242" s="1069"/>
      <c r="C1242" s="1033"/>
      <c r="D1242" s="1033"/>
      <c r="E1242" s="1033"/>
      <c r="F1242" s="1033"/>
      <c r="G1242" s="1033"/>
      <c r="H1242" s="1033"/>
      <c r="I1242" s="1033"/>
      <c r="J1242" s="1033"/>
      <c r="K1242" s="1033"/>
      <c r="L1242" s="1033"/>
      <c r="M1242" s="1009">
        <v>6</v>
      </c>
      <c r="N1242" s="1065" t="s">
        <v>155</v>
      </c>
      <c r="O1242" s="1062">
        <v>1477858227</v>
      </c>
      <c r="P1242" s="1062">
        <v>1477858227</v>
      </c>
      <c r="Q1242" s="1063"/>
      <c r="R1242" s="1068">
        <v>42366</v>
      </c>
      <c r="S1242" s="1089">
        <f>T1242</f>
        <v>1477858227</v>
      </c>
      <c r="T1242" s="1089">
        <v>1477858227</v>
      </c>
      <c r="U1242" s="1089">
        <f>O1242-T1242</f>
        <v>0</v>
      </c>
      <c r="V1242" s="1062">
        <v>1365353160</v>
      </c>
      <c r="W1242" s="1063"/>
      <c r="X1242" s="1033"/>
      <c r="Y1242" s="372" t="s">
        <v>2161</v>
      </c>
      <c r="Z1242" s="386">
        <v>336377319.19999999</v>
      </c>
      <c r="AA1242" s="386">
        <v>0</v>
      </c>
      <c r="AB1242" s="358">
        <f t="shared" si="76"/>
        <v>336377319.19999999</v>
      </c>
      <c r="AC1242" s="384">
        <v>42842</v>
      </c>
      <c r="AD1242" s="395">
        <v>336377319.19999999</v>
      </c>
      <c r="AE1242" s="1065" t="s">
        <v>155</v>
      </c>
      <c r="AF1242" s="1043">
        <f>SUM(AD1242:AD1244)</f>
        <v>1353710702.2</v>
      </c>
      <c r="AG1242" s="1044"/>
      <c r="AH1242" s="358">
        <f t="shared" si="77"/>
        <v>0</v>
      </c>
      <c r="AI1242" s="1043">
        <f>V1242-AF1242</f>
        <v>11642457.799999952</v>
      </c>
      <c r="AJ1242" s="1063"/>
      <c r="AK1242" s="1062"/>
      <c r="AL1242" s="1062"/>
      <c r="AM1242" s="1062"/>
      <c r="AN1242" s="1104"/>
      <c r="AO1242" s="1104"/>
      <c r="AP1242" s="1104"/>
      <c r="AQ1242" s="1104"/>
    </row>
    <row r="1243" spans="1:43" s="4" customFormat="1" ht="15" customHeight="1">
      <c r="A1243" s="1033"/>
      <c r="B1243" s="1069"/>
      <c r="C1243" s="1033"/>
      <c r="D1243" s="1033"/>
      <c r="E1243" s="1033"/>
      <c r="F1243" s="1033"/>
      <c r="G1243" s="1033"/>
      <c r="H1243" s="1033"/>
      <c r="I1243" s="1033"/>
      <c r="J1243" s="1033"/>
      <c r="K1243" s="1033"/>
      <c r="L1243" s="1033"/>
      <c r="M1243" s="1039"/>
      <c r="N1243" s="1066"/>
      <c r="O1243" s="1063"/>
      <c r="P1243" s="1063"/>
      <c r="Q1243" s="1063"/>
      <c r="R1243" s="1069"/>
      <c r="S1243" s="1090"/>
      <c r="T1243" s="1090"/>
      <c r="U1243" s="1090"/>
      <c r="V1243" s="1063"/>
      <c r="W1243" s="1063"/>
      <c r="X1243" s="1033"/>
      <c r="Y1243" s="372" t="s">
        <v>2160</v>
      </c>
      <c r="Z1243" s="386">
        <v>411691289</v>
      </c>
      <c r="AA1243" s="386">
        <v>0</v>
      </c>
      <c r="AB1243" s="358">
        <f t="shared" si="76"/>
        <v>411691289</v>
      </c>
      <c r="AC1243" s="384">
        <v>42978</v>
      </c>
      <c r="AD1243" s="395">
        <v>411691289</v>
      </c>
      <c r="AE1243" s="1066"/>
      <c r="AF1243" s="1044"/>
      <c r="AG1243" s="1044"/>
      <c r="AH1243" s="358">
        <f t="shared" si="77"/>
        <v>0</v>
      </c>
      <c r="AI1243" s="1044"/>
      <c r="AJ1243" s="1063"/>
      <c r="AK1243" s="1063"/>
      <c r="AL1243" s="1063"/>
      <c r="AM1243" s="1063"/>
      <c r="AN1243" s="1104"/>
      <c r="AO1243" s="1104"/>
      <c r="AP1243" s="1104"/>
      <c r="AQ1243" s="1104"/>
    </row>
    <row r="1244" spans="1:43" s="4" customFormat="1" ht="15" customHeight="1">
      <c r="A1244" s="1012"/>
      <c r="B1244" s="1070"/>
      <c r="C1244" s="1012"/>
      <c r="D1244" s="1012"/>
      <c r="E1244" s="1012"/>
      <c r="F1244" s="1012"/>
      <c r="G1244" s="1012"/>
      <c r="H1244" s="1012"/>
      <c r="I1244" s="1012"/>
      <c r="J1244" s="1012"/>
      <c r="K1244" s="1012"/>
      <c r="L1244" s="1012"/>
      <c r="M1244" s="1039"/>
      <c r="N1244" s="1066"/>
      <c r="O1244" s="1064"/>
      <c r="P1244" s="1064"/>
      <c r="Q1244" s="1064"/>
      <c r="R1244" s="1070"/>
      <c r="S1244" s="1091"/>
      <c r="T1244" s="1091"/>
      <c r="U1244" s="1091"/>
      <c r="V1244" s="1063"/>
      <c r="W1244" s="1063"/>
      <c r="X1244" s="1033"/>
      <c r="Y1244" s="372" t="s">
        <v>2159</v>
      </c>
      <c r="Z1244" s="386">
        <v>605642094</v>
      </c>
      <c r="AA1244" s="386">
        <v>0</v>
      </c>
      <c r="AB1244" s="358">
        <f t="shared" si="76"/>
        <v>605642094</v>
      </c>
      <c r="AC1244" s="384">
        <v>43096</v>
      </c>
      <c r="AD1244" s="395">
        <v>605642094</v>
      </c>
      <c r="AE1244" s="1066"/>
      <c r="AF1244" s="1045"/>
      <c r="AG1244" s="1045"/>
      <c r="AH1244" s="358">
        <f t="shared" si="77"/>
        <v>0</v>
      </c>
      <c r="AI1244" s="1045"/>
      <c r="AJ1244" s="1064"/>
      <c r="AK1244" s="1064"/>
      <c r="AL1244" s="1064"/>
      <c r="AM1244" s="1064"/>
      <c r="AN1244" s="1105"/>
      <c r="AO1244" s="1105"/>
      <c r="AP1244" s="1105"/>
      <c r="AQ1244" s="1105"/>
    </row>
    <row r="1245" spans="1:43" ht="15" customHeight="1">
      <c r="A1245" s="1011" t="s">
        <v>2182</v>
      </c>
      <c r="B1245" s="1068">
        <v>41773</v>
      </c>
      <c r="C1245" s="1011" t="s">
        <v>46</v>
      </c>
      <c r="D1245" s="1011" t="s">
        <v>2181</v>
      </c>
      <c r="E1245" s="1071">
        <v>900730400</v>
      </c>
      <c r="F1245" s="1071">
        <v>1</v>
      </c>
      <c r="G1245" s="1011" t="s">
        <v>2180</v>
      </c>
      <c r="H1245" s="1011" t="s">
        <v>70</v>
      </c>
      <c r="I1245" s="1011" t="s">
        <v>206</v>
      </c>
      <c r="J1245" s="1076" t="s">
        <v>66</v>
      </c>
      <c r="K1245" s="1011" t="s">
        <v>50</v>
      </c>
      <c r="L1245" s="1011"/>
      <c r="M1245" s="1009">
        <v>274</v>
      </c>
      <c r="N1245" s="1065" t="s">
        <v>7</v>
      </c>
      <c r="O1245" s="1062">
        <v>214195920</v>
      </c>
      <c r="P1245" s="1062">
        <v>214195920</v>
      </c>
      <c r="Q1245" s="1062">
        <f>P1245+P1247+P1248</f>
        <v>1813602565</v>
      </c>
      <c r="R1245" s="1068">
        <v>41277</v>
      </c>
      <c r="S1245" s="1092"/>
      <c r="T1245" s="1092"/>
      <c r="U1245" s="1092"/>
      <c r="V1245" s="1043">
        <v>211071744</v>
      </c>
      <c r="W1245" s="1062">
        <f>V1245+V1247+V1248</f>
        <v>299018304</v>
      </c>
      <c r="X1245" s="1011" t="s">
        <v>2179</v>
      </c>
      <c r="Y1245" s="372" t="s">
        <v>2178</v>
      </c>
      <c r="Z1245" s="386">
        <v>0</v>
      </c>
      <c r="AA1245" s="386">
        <v>84428697.599999994</v>
      </c>
      <c r="AB1245" s="386">
        <f t="shared" si="76"/>
        <v>84428697.599999994</v>
      </c>
      <c r="AC1245" s="384">
        <v>41992</v>
      </c>
      <c r="AD1245" s="395">
        <v>84428697.599999994</v>
      </c>
      <c r="AE1245" s="371" t="s">
        <v>7</v>
      </c>
      <c r="AF1245" s="1043">
        <f>SUM(AD1245:AD1246)</f>
        <v>211071744</v>
      </c>
      <c r="AG1245" s="1043">
        <f>AF1245+AF1247+AF1248</f>
        <v>299018304</v>
      </c>
      <c r="AH1245" s="358">
        <f t="shared" si="77"/>
        <v>0</v>
      </c>
      <c r="AI1245" s="1043">
        <f>P1245-AF1245</f>
        <v>3124176</v>
      </c>
      <c r="AJ1245" s="1062">
        <f>SUM(Z1245:Z1249)-SUM(AD1245:AD1249)</f>
        <v>0</v>
      </c>
      <c r="AK1245" s="1062">
        <f>P1245-V1245</f>
        <v>3124176</v>
      </c>
      <c r="AL1245" s="1062">
        <f>V1245-Z1246</f>
        <v>0</v>
      </c>
      <c r="AM1245" s="1062">
        <f>AK1245+AL1245</f>
        <v>3124176</v>
      </c>
      <c r="AN1245" s="1108" t="s">
        <v>2177</v>
      </c>
      <c r="AO1245" s="1103" t="s">
        <v>2176</v>
      </c>
      <c r="AP1245" s="1103" t="s">
        <v>194</v>
      </c>
      <c r="AQ1245" s="1103" t="s">
        <v>1911</v>
      </c>
    </row>
    <row r="1246" spans="1:43" ht="15" customHeight="1">
      <c r="A1246" s="1033"/>
      <c r="B1246" s="1069"/>
      <c r="C1246" s="1033"/>
      <c r="D1246" s="1033"/>
      <c r="E1246" s="1072"/>
      <c r="F1246" s="1072"/>
      <c r="G1246" s="1033"/>
      <c r="H1246" s="1033"/>
      <c r="I1246" s="1033"/>
      <c r="J1246" s="1076"/>
      <c r="K1246" s="1033"/>
      <c r="L1246" s="1033"/>
      <c r="M1246" s="1039"/>
      <c r="N1246" s="1066"/>
      <c r="O1246" s="1063"/>
      <c r="P1246" s="1063"/>
      <c r="Q1246" s="1063"/>
      <c r="R1246" s="1069"/>
      <c r="S1246" s="1093"/>
      <c r="T1246" s="1093"/>
      <c r="U1246" s="1093"/>
      <c r="V1246" s="1044"/>
      <c r="W1246" s="1063"/>
      <c r="X1246" s="1033"/>
      <c r="Y1246" s="372" t="s">
        <v>2175</v>
      </c>
      <c r="Z1246" s="386">
        <v>211071744</v>
      </c>
      <c r="AA1246" s="386">
        <v>-84428697.599999994</v>
      </c>
      <c r="AB1246" s="386">
        <f t="shared" si="76"/>
        <v>126643046.40000001</v>
      </c>
      <c r="AC1246" s="384">
        <v>42349</v>
      </c>
      <c r="AD1246" s="395">
        <v>126643046.40000001</v>
      </c>
      <c r="AE1246" s="371" t="s">
        <v>7</v>
      </c>
      <c r="AF1246" s="1044"/>
      <c r="AG1246" s="1044"/>
      <c r="AH1246" s="358">
        <f t="shared" si="77"/>
        <v>0</v>
      </c>
      <c r="AI1246" s="1045"/>
      <c r="AJ1246" s="1063"/>
      <c r="AK1246" s="1063"/>
      <c r="AL1246" s="1063"/>
      <c r="AM1246" s="1063"/>
      <c r="AN1246" s="1109"/>
      <c r="AO1246" s="1104"/>
      <c r="AP1246" s="1104"/>
      <c r="AQ1246" s="1104"/>
    </row>
    <row r="1247" spans="1:43" ht="15" customHeight="1">
      <c r="A1247" s="1033"/>
      <c r="B1247" s="1069"/>
      <c r="C1247" s="1033"/>
      <c r="D1247" s="1033"/>
      <c r="E1247" s="1072"/>
      <c r="F1247" s="1072"/>
      <c r="G1247" s="1033"/>
      <c r="H1247" s="1033"/>
      <c r="I1247" s="1033"/>
      <c r="J1247" s="354" t="s">
        <v>67</v>
      </c>
      <c r="K1247" s="1033"/>
      <c r="L1247" s="1033"/>
      <c r="M1247" s="366">
        <v>6</v>
      </c>
      <c r="N1247" s="367" t="s">
        <v>155</v>
      </c>
      <c r="O1247" s="369">
        <v>1477858227</v>
      </c>
      <c r="P1247" s="369">
        <v>1477858227</v>
      </c>
      <c r="Q1247" s="1063"/>
      <c r="R1247" s="364">
        <v>42366</v>
      </c>
      <c r="S1247" s="390"/>
      <c r="T1247" s="386"/>
      <c r="U1247" s="386"/>
      <c r="V1247" s="358">
        <v>841308</v>
      </c>
      <c r="W1247" s="1063"/>
      <c r="X1247" s="1033"/>
      <c r="Y1247" s="372" t="s">
        <v>2174</v>
      </c>
      <c r="Z1247" s="386">
        <v>841308</v>
      </c>
      <c r="AA1247" s="386">
        <v>0</v>
      </c>
      <c r="AB1247" s="386">
        <f t="shared" si="76"/>
        <v>841308</v>
      </c>
      <c r="AC1247" s="384">
        <v>42886</v>
      </c>
      <c r="AD1247" s="395">
        <v>841308</v>
      </c>
      <c r="AE1247" s="371" t="s">
        <v>155</v>
      </c>
      <c r="AF1247" s="358">
        <f>AD1247</f>
        <v>841308</v>
      </c>
      <c r="AG1247" s="1044"/>
      <c r="AH1247" s="358">
        <f t="shared" si="77"/>
        <v>0</v>
      </c>
      <c r="AI1247" s="358">
        <f>V1247-AF1247</f>
        <v>0</v>
      </c>
      <c r="AJ1247" s="1063"/>
      <c r="AK1247" s="386">
        <v>0</v>
      </c>
      <c r="AL1247" s="386">
        <f>V1247-Z1247</f>
        <v>0</v>
      </c>
      <c r="AM1247" s="386">
        <f>AK1247+AL1247</f>
        <v>0</v>
      </c>
      <c r="AN1247" s="1109"/>
      <c r="AO1247" s="1104"/>
      <c r="AP1247" s="1104"/>
      <c r="AQ1247" s="1104"/>
    </row>
    <row r="1248" spans="1:43" ht="15" customHeight="1">
      <c r="A1248" s="1033"/>
      <c r="B1248" s="1069"/>
      <c r="C1248" s="1033"/>
      <c r="D1248" s="1033"/>
      <c r="E1248" s="1072"/>
      <c r="F1248" s="1072"/>
      <c r="G1248" s="1033"/>
      <c r="H1248" s="1033"/>
      <c r="I1248" s="1033"/>
      <c r="J1248" s="1011" t="s">
        <v>171</v>
      </c>
      <c r="K1248" s="1033"/>
      <c r="L1248" s="1033"/>
      <c r="M1248" s="1167">
        <v>7</v>
      </c>
      <c r="N1248" s="1065" t="s">
        <v>155</v>
      </c>
      <c r="O1248" s="1062">
        <v>121548418</v>
      </c>
      <c r="P1248" s="1062">
        <v>121548418</v>
      </c>
      <c r="Q1248" s="1063"/>
      <c r="R1248" s="1068">
        <v>42366</v>
      </c>
      <c r="S1248" s="1062"/>
      <c r="T1248" s="1062"/>
      <c r="U1248" s="1062"/>
      <c r="V1248" s="1043">
        <v>87105252</v>
      </c>
      <c r="W1248" s="1063"/>
      <c r="X1248" s="1033"/>
      <c r="Y1248" s="372" t="s">
        <v>2174</v>
      </c>
      <c r="Z1248" s="386">
        <v>51926628</v>
      </c>
      <c r="AA1248" s="386">
        <v>0</v>
      </c>
      <c r="AB1248" s="386">
        <f t="shared" si="76"/>
        <v>51926628</v>
      </c>
      <c r="AC1248" s="1068">
        <v>42886</v>
      </c>
      <c r="AD1248" s="395">
        <v>51926628</v>
      </c>
      <c r="AE1248" s="371" t="s">
        <v>155</v>
      </c>
      <c r="AF1248" s="1043">
        <f>SUM(AD1248:AD1249)</f>
        <v>87105252</v>
      </c>
      <c r="AG1248" s="1044"/>
      <c r="AH1248" s="358">
        <f t="shared" si="77"/>
        <v>0</v>
      </c>
      <c r="AI1248" s="1043">
        <f>V1248-AF1248</f>
        <v>0</v>
      </c>
      <c r="AJ1248" s="1063"/>
      <c r="AK1248" s="1062">
        <v>0</v>
      </c>
      <c r="AL1248" s="1062">
        <f>V1248-Z1248-Z1249</f>
        <v>0</v>
      </c>
      <c r="AM1248" s="1062">
        <f>AK1248+AL1248</f>
        <v>0</v>
      </c>
      <c r="AN1248" s="1109"/>
      <c r="AO1248" s="1104"/>
      <c r="AP1248" s="1104"/>
      <c r="AQ1248" s="1104"/>
    </row>
    <row r="1249" spans="1:43" ht="15" customHeight="1">
      <c r="A1249" s="1012"/>
      <c r="B1249" s="1070"/>
      <c r="C1249" s="1012"/>
      <c r="D1249" s="1012"/>
      <c r="E1249" s="1073"/>
      <c r="F1249" s="1073"/>
      <c r="G1249" s="1012"/>
      <c r="H1249" s="1012"/>
      <c r="I1249" s="1012"/>
      <c r="J1249" s="1012"/>
      <c r="K1249" s="1012"/>
      <c r="L1249" s="1012"/>
      <c r="M1249" s="1169"/>
      <c r="N1249" s="1067"/>
      <c r="O1249" s="1064"/>
      <c r="P1249" s="1064"/>
      <c r="Q1249" s="1064"/>
      <c r="R1249" s="1070"/>
      <c r="S1249" s="1064"/>
      <c r="T1249" s="1064"/>
      <c r="U1249" s="1064"/>
      <c r="V1249" s="1045"/>
      <c r="W1249" s="1064"/>
      <c r="X1249" s="1012"/>
      <c r="Y1249" s="372" t="s">
        <v>2173</v>
      </c>
      <c r="Z1249" s="386">
        <v>35178624</v>
      </c>
      <c r="AA1249" s="386">
        <v>0</v>
      </c>
      <c r="AB1249" s="386">
        <f t="shared" si="76"/>
        <v>35178624</v>
      </c>
      <c r="AC1249" s="1070"/>
      <c r="AD1249" s="395">
        <v>35178624</v>
      </c>
      <c r="AE1249" s="371" t="s">
        <v>155</v>
      </c>
      <c r="AF1249" s="1045"/>
      <c r="AG1249" s="1045"/>
      <c r="AH1249" s="358">
        <f t="shared" si="77"/>
        <v>0</v>
      </c>
      <c r="AI1249" s="1045"/>
      <c r="AJ1249" s="1064"/>
      <c r="AK1249" s="1064"/>
      <c r="AL1249" s="1064"/>
      <c r="AM1249" s="1064"/>
      <c r="AN1249" s="1110"/>
      <c r="AO1249" s="1105"/>
      <c r="AP1249" s="1105"/>
      <c r="AQ1249" s="1105"/>
    </row>
    <row r="1250" spans="1:43" ht="15" customHeight="1">
      <c r="A1250" s="1076" t="s">
        <v>1791</v>
      </c>
      <c r="B1250" s="1171">
        <v>41827</v>
      </c>
      <c r="C1250" s="1076" t="s">
        <v>10</v>
      </c>
      <c r="D1250" s="1076" t="s">
        <v>1792</v>
      </c>
      <c r="E1250" s="1208">
        <v>16243259</v>
      </c>
      <c r="F1250" s="1208">
        <v>1</v>
      </c>
      <c r="G1250" s="1076" t="s">
        <v>1793</v>
      </c>
      <c r="H1250" s="1076" t="s">
        <v>71</v>
      </c>
      <c r="I1250" s="1076" t="s">
        <v>1221</v>
      </c>
      <c r="J1250" s="1076" t="s">
        <v>489</v>
      </c>
      <c r="K1250" s="1076" t="s">
        <v>49</v>
      </c>
      <c r="L1250" s="1076" t="s">
        <v>1772</v>
      </c>
      <c r="M1250" s="1209">
        <v>293</v>
      </c>
      <c r="N1250" s="1123" t="s">
        <v>137</v>
      </c>
      <c r="O1250" s="1119">
        <v>1100000000</v>
      </c>
      <c r="P1250" s="1119">
        <f>O1250+O1257</f>
        <v>1999935078</v>
      </c>
      <c r="Q1250" s="1119">
        <f>P1250+P1264</f>
        <v>3076113020</v>
      </c>
      <c r="R1250" s="1171">
        <v>41543</v>
      </c>
      <c r="S1250" s="1196">
        <f>T1250+T1257</f>
        <v>1999935078</v>
      </c>
      <c r="T1250" s="1196">
        <v>1100000000</v>
      </c>
      <c r="U1250" s="1196">
        <f>O1250-T1250</f>
        <v>0</v>
      </c>
      <c r="V1250" s="1084">
        <v>1087898038.3199999</v>
      </c>
      <c r="W1250" s="1119">
        <v>3042270291</v>
      </c>
      <c r="X1250" s="1076" t="s">
        <v>1794</v>
      </c>
      <c r="Y1250" s="1123" t="s">
        <v>1795</v>
      </c>
      <c r="Z1250" s="386">
        <v>0</v>
      </c>
      <c r="AA1250" s="386">
        <v>267010256.09</v>
      </c>
      <c r="AB1250" s="386">
        <f t="shared" si="76"/>
        <v>267010256.09</v>
      </c>
      <c r="AC1250" s="1171">
        <v>41976</v>
      </c>
      <c r="AD1250" s="395">
        <v>267010256.09</v>
      </c>
      <c r="AE1250" s="371" t="s">
        <v>7</v>
      </c>
      <c r="AF1250" s="1084">
        <f>SUM(AD1250:AD1263)</f>
        <v>1833020464.4299996</v>
      </c>
      <c r="AG1250" s="1084">
        <f>AF1250+AF1264</f>
        <v>2819380578.1899996</v>
      </c>
      <c r="AH1250" s="358">
        <f t="shared" si="77"/>
        <v>0</v>
      </c>
      <c r="AI1250" s="1084">
        <f>O1250-AD1251-AD1253-AD1255-AD1257-AD1259-AD1261</f>
        <v>91806017.580000028</v>
      </c>
      <c r="AJ1250" s="1119"/>
      <c r="AK1250" s="1119">
        <f>O1250-V1250</f>
        <v>12101961.680000067</v>
      </c>
      <c r="AL1250" s="1119">
        <f>(V1250+V1257)-SUM(Z1250:Z1263)+AJ1250</f>
        <v>207016800.45571423</v>
      </c>
      <c r="AM1250" s="1119"/>
      <c r="AN1250" s="1203" t="s">
        <v>1800</v>
      </c>
      <c r="AO1250" s="1204" t="s">
        <v>1767</v>
      </c>
      <c r="AP1250" s="1204" t="s">
        <v>194</v>
      </c>
      <c r="AQ1250" s="1204" t="s">
        <v>1619</v>
      </c>
    </row>
    <row r="1251" spans="1:43" ht="15" customHeight="1">
      <c r="A1251" s="1076"/>
      <c r="B1251" s="1171"/>
      <c r="C1251" s="1076"/>
      <c r="D1251" s="1076"/>
      <c r="E1251" s="1208"/>
      <c r="F1251" s="1208"/>
      <c r="G1251" s="1076"/>
      <c r="H1251" s="1076"/>
      <c r="I1251" s="1076"/>
      <c r="J1251" s="1076"/>
      <c r="K1251" s="1076"/>
      <c r="L1251" s="1076"/>
      <c r="M1251" s="1209"/>
      <c r="N1251" s="1123"/>
      <c r="O1251" s="1119"/>
      <c r="P1251" s="1119"/>
      <c r="Q1251" s="1119"/>
      <c r="R1251" s="1171"/>
      <c r="S1251" s="1196"/>
      <c r="T1251" s="1196"/>
      <c r="U1251" s="1196"/>
      <c r="V1251" s="1084"/>
      <c r="W1251" s="1119"/>
      <c r="X1251" s="1076"/>
      <c r="Y1251" s="1123"/>
      <c r="Z1251" s="386">
        <v>0</v>
      </c>
      <c r="AA1251" s="386">
        <v>326369411.38999999</v>
      </c>
      <c r="AB1251" s="386">
        <f t="shared" si="76"/>
        <v>326369411.38999999</v>
      </c>
      <c r="AC1251" s="1171"/>
      <c r="AD1251" s="395">
        <v>326369411.38999999</v>
      </c>
      <c r="AE1251" s="371" t="s">
        <v>137</v>
      </c>
      <c r="AF1251" s="1084"/>
      <c r="AG1251" s="1084"/>
      <c r="AH1251" s="358">
        <f t="shared" si="77"/>
        <v>0</v>
      </c>
      <c r="AI1251" s="1084"/>
      <c r="AJ1251" s="1119"/>
      <c r="AK1251" s="1119"/>
      <c r="AL1251" s="1119"/>
      <c r="AM1251" s="1119"/>
      <c r="AN1251" s="1203"/>
      <c r="AO1251" s="1204"/>
      <c r="AP1251" s="1204"/>
      <c r="AQ1251" s="1204"/>
    </row>
    <row r="1252" spans="1:43" ht="15" customHeight="1">
      <c r="A1252" s="1076"/>
      <c r="B1252" s="1171"/>
      <c r="C1252" s="1076"/>
      <c r="D1252" s="1076"/>
      <c r="E1252" s="1208"/>
      <c r="F1252" s="1208"/>
      <c r="G1252" s="1076"/>
      <c r="H1252" s="1076"/>
      <c r="I1252" s="1076"/>
      <c r="J1252" s="1076"/>
      <c r="K1252" s="1076"/>
      <c r="L1252" s="1076"/>
      <c r="M1252" s="1209"/>
      <c r="N1252" s="1123"/>
      <c r="O1252" s="1119"/>
      <c r="P1252" s="1119"/>
      <c r="Q1252" s="1119"/>
      <c r="R1252" s="1171"/>
      <c r="S1252" s="1196"/>
      <c r="T1252" s="1196"/>
      <c r="U1252" s="1196"/>
      <c r="V1252" s="1084"/>
      <c r="W1252" s="1119"/>
      <c r="X1252" s="1076"/>
      <c r="Y1252" s="1123" t="s">
        <v>1796</v>
      </c>
      <c r="Z1252" s="386">
        <v>208587001.06999999</v>
      </c>
      <c r="AA1252" s="386">
        <v>-62576100.420000002</v>
      </c>
      <c r="AB1252" s="386">
        <f t="shared" si="76"/>
        <v>146010900.64999998</v>
      </c>
      <c r="AC1252" s="1171">
        <v>42027</v>
      </c>
      <c r="AD1252" s="395">
        <v>146010900.65000001</v>
      </c>
      <c r="AE1252" s="371" t="s">
        <v>7</v>
      </c>
      <c r="AF1252" s="1084"/>
      <c r="AG1252" s="1084"/>
      <c r="AH1252" s="358">
        <f t="shared" si="77"/>
        <v>0</v>
      </c>
      <c r="AI1252" s="1084"/>
      <c r="AJ1252" s="1119"/>
      <c r="AK1252" s="1119"/>
      <c r="AL1252" s="1119"/>
      <c r="AM1252" s="1119"/>
      <c r="AN1252" s="1203"/>
      <c r="AO1252" s="1204"/>
      <c r="AP1252" s="1204"/>
      <c r="AQ1252" s="1204"/>
    </row>
    <row r="1253" spans="1:43" ht="15" customHeight="1">
      <c r="A1253" s="1076"/>
      <c r="B1253" s="1171"/>
      <c r="C1253" s="1076"/>
      <c r="D1253" s="1076"/>
      <c r="E1253" s="1208"/>
      <c r="F1253" s="1208"/>
      <c r="G1253" s="1076"/>
      <c r="H1253" s="1076"/>
      <c r="I1253" s="1076"/>
      <c r="J1253" s="1076"/>
      <c r="K1253" s="1076"/>
      <c r="L1253" s="1076"/>
      <c r="M1253" s="1209"/>
      <c r="N1253" s="1123"/>
      <c r="O1253" s="1119"/>
      <c r="P1253" s="1119"/>
      <c r="Q1253" s="1119"/>
      <c r="R1253" s="1171"/>
      <c r="S1253" s="1196"/>
      <c r="T1253" s="1196"/>
      <c r="U1253" s="1196"/>
      <c r="V1253" s="1084"/>
      <c r="W1253" s="1119"/>
      <c r="X1253" s="1076"/>
      <c r="Y1253" s="1123"/>
      <c r="Z1253" s="386">
        <v>254958059.52000001</v>
      </c>
      <c r="AA1253" s="386">
        <v>-76487417.980000004</v>
      </c>
      <c r="AB1253" s="386">
        <f t="shared" si="76"/>
        <v>178470641.54000002</v>
      </c>
      <c r="AC1253" s="1171"/>
      <c r="AD1253" s="395">
        <v>178470641.53999999</v>
      </c>
      <c r="AE1253" s="371" t="s">
        <v>137</v>
      </c>
      <c r="AF1253" s="1084"/>
      <c r="AG1253" s="1084"/>
      <c r="AH1253" s="358">
        <f t="shared" si="77"/>
        <v>0</v>
      </c>
      <c r="AI1253" s="1084"/>
      <c r="AJ1253" s="1119"/>
      <c r="AK1253" s="1119"/>
      <c r="AL1253" s="1119"/>
      <c r="AM1253" s="1119"/>
      <c r="AN1253" s="1203"/>
      <c r="AO1253" s="1204"/>
      <c r="AP1253" s="1204"/>
      <c r="AQ1253" s="1204"/>
    </row>
    <row r="1254" spans="1:43" ht="15" customHeight="1">
      <c r="A1254" s="1076"/>
      <c r="B1254" s="1171"/>
      <c r="C1254" s="1076"/>
      <c r="D1254" s="1076"/>
      <c r="E1254" s="1208"/>
      <c r="F1254" s="1208"/>
      <c r="G1254" s="1076"/>
      <c r="H1254" s="1076"/>
      <c r="I1254" s="1076"/>
      <c r="J1254" s="1076"/>
      <c r="K1254" s="1076"/>
      <c r="L1254" s="1076"/>
      <c r="M1254" s="1209"/>
      <c r="N1254" s="1123"/>
      <c r="O1254" s="1119"/>
      <c r="P1254" s="1119"/>
      <c r="Q1254" s="1119"/>
      <c r="R1254" s="1171"/>
      <c r="S1254" s="1196"/>
      <c r="T1254" s="1196"/>
      <c r="U1254" s="1196"/>
      <c r="V1254" s="1084"/>
      <c r="W1254" s="1119"/>
      <c r="X1254" s="1076"/>
      <c r="Y1254" s="1123" t="s">
        <v>1797</v>
      </c>
      <c r="Z1254" s="386">
        <v>239906576.02000001</v>
      </c>
      <c r="AA1254" s="386">
        <v>-71971972.950000003</v>
      </c>
      <c r="AB1254" s="386">
        <f t="shared" si="76"/>
        <v>167934603.06999999</v>
      </c>
      <c r="AC1254" s="1171">
        <v>42135</v>
      </c>
      <c r="AD1254" s="395">
        <v>167934603.06999999</v>
      </c>
      <c r="AE1254" s="371" t="s">
        <v>7</v>
      </c>
      <c r="AF1254" s="1084"/>
      <c r="AG1254" s="1084"/>
      <c r="AH1254" s="358">
        <f t="shared" si="77"/>
        <v>0</v>
      </c>
      <c r="AI1254" s="1084"/>
      <c r="AJ1254" s="1119"/>
      <c r="AK1254" s="1119"/>
      <c r="AL1254" s="1119"/>
      <c r="AM1254" s="1119"/>
      <c r="AN1254" s="1203"/>
      <c r="AO1254" s="1204"/>
      <c r="AP1254" s="1204"/>
      <c r="AQ1254" s="1204"/>
    </row>
    <row r="1255" spans="1:43" ht="15" customHeight="1">
      <c r="A1255" s="1076"/>
      <c r="B1255" s="1171"/>
      <c r="C1255" s="1076"/>
      <c r="D1255" s="1076"/>
      <c r="E1255" s="1208"/>
      <c r="F1255" s="1208"/>
      <c r="G1255" s="1076"/>
      <c r="H1255" s="1076"/>
      <c r="I1255" s="1076"/>
      <c r="J1255" s="1076"/>
      <c r="K1255" s="1076"/>
      <c r="L1255" s="1076"/>
      <c r="M1255" s="1209"/>
      <c r="N1255" s="1123"/>
      <c r="O1255" s="1119"/>
      <c r="P1255" s="1119"/>
      <c r="Q1255" s="1119"/>
      <c r="R1255" s="1171"/>
      <c r="S1255" s="1196"/>
      <c r="T1255" s="1196"/>
      <c r="U1255" s="1196"/>
      <c r="V1255" s="1084"/>
      <c r="W1255" s="1119"/>
      <c r="X1255" s="1076"/>
      <c r="Y1255" s="1123"/>
      <c r="Z1255" s="386">
        <v>293240301.51999998</v>
      </c>
      <c r="AA1255" s="386">
        <v>-87972090.640000001</v>
      </c>
      <c r="AB1255" s="386">
        <f t="shared" si="76"/>
        <v>205268210.88</v>
      </c>
      <c r="AC1255" s="1171"/>
      <c r="AD1255" s="395">
        <v>205268210.88</v>
      </c>
      <c r="AE1255" s="371" t="s">
        <v>137</v>
      </c>
      <c r="AF1255" s="1084"/>
      <c r="AG1255" s="1084"/>
      <c r="AH1255" s="358">
        <f t="shared" si="77"/>
        <v>0</v>
      </c>
      <c r="AI1255" s="1084"/>
      <c r="AJ1255" s="1119"/>
      <c r="AK1255" s="1119"/>
      <c r="AL1255" s="1119"/>
      <c r="AM1255" s="1119"/>
      <c r="AN1255" s="1203"/>
      <c r="AO1255" s="1204"/>
      <c r="AP1255" s="1204"/>
      <c r="AQ1255" s="1204"/>
    </row>
    <row r="1256" spans="1:43" ht="15" customHeight="1">
      <c r="A1256" s="1076"/>
      <c r="B1256" s="1171"/>
      <c r="C1256" s="1076"/>
      <c r="D1256" s="1076"/>
      <c r="E1256" s="1208"/>
      <c r="F1256" s="1208"/>
      <c r="G1256" s="1076"/>
      <c r="H1256" s="1076"/>
      <c r="I1256" s="1076"/>
      <c r="J1256" s="1076"/>
      <c r="K1256" s="1076"/>
      <c r="L1256" s="1076"/>
      <c r="M1256" s="1209"/>
      <c r="N1256" s="1123"/>
      <c r="O1256" s="1119"/>
      <c r="P1256" s="1119"/>
      <c r="Q1256" s="1119"/>
      <c r="R1256" s="1171"/>
      <c r="S1256" s="1196"/>
      <c r="T1256" s="1196"/>
      <c r="U1256" s="1196"/>
      <c r="V1256" s="1084"/>
      <c r="W1256" s="1119"/>
      <c r="X1256" s="1076"/>
      <c r="Y1256" s="1123" t="s">
        <v>1798</v>
      </c>
      <c r="Z1256" s="386">
        <v>143310067.33000001</v>
      </c>
      <c r="AA1256" s="386">
        <v>-42993020.259999998</v>
      </c>
      <c r="AB1256" s="386">
        <f t="shared" si="76"/>
        <v>100317047.07000002</v>
      </c>
      <c r="AC1256" s="1171">
        <v>42214</v>
      </c>
      <c r="AD1256" s="395">
        <v>100317047.06999999</v>
      </c>
      <c r="AE1256" s="371" t="s">
        <v>7</v>
      </c>
      <c r="AF1256" s="1084"/>
      <c r="AG1256" s="1084"/>
      <c r="AH1256" s="358">
        <f t="shared" si="77"/>
        <v>0</v>
      </c>
      <c r="AI1256" s="1084"/>
      <c r="AJ1256" s="1119"/>
      <c r="AK1256" s="1119"/>
      <c r="AL1256" s="1119"/>
      <c r="AM1256" s="1119"/>
      <c r="AN1256" s="1203"/>
      <c r="AO1256" s="1204"/>
      <c r="AP1256" s="1204"/>
      <c r="AQ1256" s="1204"/>
    </row>
    <row r="1257" spans="1:43" ht="15" customHeight="1">
      <c r="A1257" s="1076"/>
      <c r="B1257" s="1171"/>
      <c r="C1257" s="1076"/>
      <c r="D1257" s="1076"/>
      <c r="E1257" s="1208"/>
      <c r="F1257" s="1208"/>
      <c r="G1257" s="1076"/>
      <c r="H1257" s="1076"/>
      <c r="I1257" s="1076"/>
      <c r="J1257" s="1076"/>
      <c r="K1257" s="1076"/>
      <c r="L1257" s="1076"/>
      <c r="M1257" s="1209"/>
      <c r="N1257" s="1123" t="s">
        <v>7</v>
      </c>
      <c r="O1257" s="1119">
        <v>899935078</v>
      </c>
      <c r="P1257" s="1119"/>
      <c r="Q1257" s="1119"/>
      <c r="R1257" s="1171"/>
      <c r="S1257" s="1196"/>
      <c r="T1257" s="1196">
        <v>899935078</v>
      </c>
      <c r="U1257" s="1196">
        <f>O1257-T1257</f>
        <v>0</v>
      </c>
      <c r="V1257" s="1084">
        <v>890034187.24000001</v>
      </c>
      <c r="W1257" s="1119"/>
      <c r="X1257" s="1076"/>
      <c r="Y1257" s="1123"/>
      <c r="Z1257" s="386">
        <v>175169384.90000001</v>
      </c>
      <c r="AA1257" s="386">
        <v>-52550815.539999999</v>
      </c>
      <c r="AB1257" s="386">
        <f t="shared" si="76"/>
        <v>122618569.36000001</v>
      </c>
      <c r="AC1257" s="1171"/>
      <c r="AD1257" s="395">
        <v>122618569.36</v>
      </c>
      <c r="AE1257" s="371" t="s">
        <v>137</v>
      </c>
      <c r="AF1257" s="1084"/>
      <c r="AG1257" s="1084"/>
      <c r="AH1257" s="358">
        <f t="shared" si="77"/>
        <v>0</v>
      </c>
      <c r="AI1257" s="1084">
        <f>O1257-AD1250-AD1252-AD1254-AD1256-AD1258-AD1260</f>
        <v>75108595.989999995</v>
      </c>
      <c r="AJ1257" s="1119"/>
      <c r="AK1257" s="1119">
        <f>O1257-V1257</f>
        <v>9900890.7599999905</v>
      </c>
      <c r="AL1257" s="1119"/>
      <c r="AM1257" s="1119"/>
      <c r="AN1257" s="1203"/>
      <c r="AO1257" s="1204"/>
      <c r="AP1257" s="1204"/>
      <c r="AQ1257" s="1204"/>
    </row>
    <row r="1258" spans="1:43" ht="15" customHeight="1">
      <c r="A1258" s="1076"/>
      <c r="B1258" s="1171"/>
      <c r="C1258" s="1076"/>
      <c r="D1258" s="1076"/>
      <c r="E1258" s="1208"/>
      <c r="F1258" s="1208"/>
      <c r="G1258" s="1076"/>
      <c r="H1258" s="1076"/>
      <c r="I1258" s="1076"/>
      <c r="J1258" s="1076"/>
      <c r="K1258" s="1076"/>
      <c r="L1258" s="1076"/>
      <c r="M1258" s="1209"/>
      <c r="N1258" s="1123"/>
      <c r="O1258" s="1119"/>
      <c r="P1258" s="1119"/>
      <c r="Q1258" s="1119"/>
      <c r="R1258" s="1171"/>
      <c r="S1258" s="1196"/>
      <c r="T1258" s="1196"/>
      <c r="U1258" s="1196"/>
      <c r="V1258" s="1084"/>
      <c r="W1258" s="1119"/>
      <c r="X1258" s="1076"/>
      <c r="Y1258" s="1123" t="s">
        <v>1799</v>
      </c>
      <c r="Z1258" s="386">
        <v>64205205.090000004</v>
      </c>
      <c r="AA1258" s="386">
        <v>-19261561.5</v>
      </c>
      <c r="AB1258" s="386">
        <f t="shared" si="76"/>
        <v>44943643.590000004</v>
      </c>
      <c r="AC1258" s="1171">
        <v>42293</v>
      </c>
      <c r="AD1258" s="395">
        <v>44943643.590000004</v>
      </c>
      <c r="AE1258" s="371" t="s">
        <v>7</v>
      </c>
      <c r="AF1258" s="1084"/>
      <c r="AG1258" s="1084"/>
      <c r="AH1258" s="358">
        <f t="shared" si="77"/>
        <v>0</v>
      </c>
      <c r="AI1258" s="1084"/>
      <c r="AJ1258" s="1119"/>
      <c r="AK1258" s="1119"/>
      <c r="AL1258" s="1119"/>
      <c r="AM1258" s="1119"/>
      <c r="AN1258" s="1203"/>
      <c r="AO1258" s="1204"/>
      <c r="AP1258" s="1204"/>
      <c r="AQ1258" s="1204"/>
    </row>
    <row r="1259" spans="1:43" ht="15" customHeight="1">
      <c r="A1259" s="1076"/>
      <c r="B1259" s="1171"/>
      <c r="C1259" s="1076"/>
      <c r="D1259" s="1076"/>
      <c r="E1259" s="1208"/>
      <c r="F1259" s="1208"/>
      <c r="G1259" s="1076"/>
      <c r="H1259" s="1076"/>
      <c r="I1259" s="1076"/>
      <c r="J1259" s="1076"/>
      <c r="K1259" s="1076"/>
      <c r="L1259" s="1076"/>
      <c r="M1259" s="1209"/>
      <c r="N1259" s="1123"/>
      <c r="O1259" s="1119"/>
      <c r="P1259" s="1119"/>
      <c r="Q1259" s="1119"/>
      <c r="R1259" s="1171"/>
      <c r="S1259" s="1196"/>
      <c r="T1259" s="1196"/>
      <c r="U1259" s="1196"/>
      <c r="V1259" s="1084"/>
      <c r="W1259" s="1119"/>
      <c r="X1259" s="1076"/>
      <c r="Y1259" s="1123"/>
      <c r="Z1259" s="386">
        <v>78478689.540000007</v>
      </c>
      <c r="AA1259" s="386">
        <v>-23543606.829999998</v>
      </c>
      <c r="AB1259" s="386">
        <f t="shared" si="76"/>
        <v>54935082.710000008</v>
      </c>
      <c r="AC1259" s="1171"/>
      <c r="AD1259" s="395">
        <v>54935082.710000001</v>
      </c>
      <c r="AE1259" s="371" t="s">
        <v>137</v>
      </c>
      <c r="AF1259" s="1084"/>
      <c r="AG1259" s="1084"/>
      <c r="AH1259" s="358">
        <f t="shared" si="77"/>
        <v>0</v>
      </c>
      <c r="AI1259" s="1084"/>
      <c r="AJ1259" s="1119"/>
      <c r="AK1259" s="1119"/>
      <c r="AL1259" s="1119"/>
      <c r="AM1259" s="1119"/>
      <c r="AN1259" s="1203"/>
      <c r="AO1259" s="1204"/>
      <c r="AP1259" s="1204"/>
      <c r="AQ1259" s="1204"/>
    </row>
    <row r="1260" spans="1:43" ht="15" customHeight="1">
      <c r="A1260" s="1076"/>
      <c r="B1260" s="1171"/>
      <c r="C1260" s="1076"/>
      <c r="D1260" s="1076"/>
      <c r="E1260" s="1208"/>
      <c r="F1260" s="1208"/>
      <c r="G1260" s="1076"/>
      <c r="H1260" s="1076"/>
      <c r="I1260" s="1076"/>
      <c r="J1260" s="1076"/>
      <c r="K1260" s="1076"/>
      <c r="L1260" s="1076"/>
      <c r="M1260" s="1209"/>
      <c r="N1260" s="1123"/>
      <c r="O1260" s="1119"/>
      <c r="P1260" s="1119"/>
      <c r="Q1260" s="1119"/>
      <c r="R1260" s="1171"/>
      <c r="S1260" s="1196"/>
      <c r="T1260" s="1196"/>
      <c r="U1260" s="1196"/>
      <c r="V1260" s="1084"/>
      <c r="W1260" s="1119"/>
      <c r="X1260" s="1076"/>
      <c r="Y1260" s="1123"/>
      <c r="Z1260" s="386">
        <v>140871473.62857142</v>
      </c>
      <c r="AA1260" s="386">
        <v>-42261442.088571399</v>
      </c>
      <c r="AB1260" s="386">
        <f t="shared" si="76"/>
        <v>98610031.540000021</v>
      </c>
      <c r="AC1260" s="1171">
        <v>42446</v>
      </c>
      <c r="AD1260" s="395">
        <v>98610031.540000007</v>
      </c>
      <c r="AE1260" s="371" t="s">
        <v>7</v>
      </c>
      <c r="AF1260" s="1084"/>
      <c r="AG1260" s="1084"/>
      <c r="AH1260" s="358">
        <f t="shared" si="77"/>
        <v>0</v>
      </c>
      <c r="AI1260" s="1084"/>
      <c r="AJ1260" s="1119"/>
      <c r="AK1260" s="1119"/>
      <c r="AL1260" s="1119"/>
      <c r="AM1260" s="1119"/>
      <c r="AN1260" s="1203"/>
      <c r="AO1260" s="1204"/>
      <c r="AP1260" s="1204"/>
      <c r="AQ1260" s="1204"/>
    </row>
    <row r="1261" spans="1:43" ht="15" customHeight="1">
      <c r="A1261" s="1076"/>
      <c r="B1261" s="1171"/>
      <c r="C1261" s="1076"/>
      <c r="D1261" s="1076"/>
      <c r="E1261" s="1208"/>
      <c r="F1261" s="1208"/>
      <c r="G1261" s="1076"/>
      <c r="H1261" s="1076"/>
      <c r="I1261" s="1076"/>
      <c r="J1261" s="1076"/>
      <c r="K1261" s="1076"/>
      <c r="L1261" s="1076"/>
      <c r="M1261" s="1209"/>
      <c r="N1261" s="1123"/>
      <c r="O1261" s="1119"/>
      <c r="P1261" s="1119"/>
      <c r="Q1261" s="1119"/>
      <c r="R1261" s="1171"/>
      <c r="S1261" s="1196"/>
      <c r="T1261" s="1196"/>
      <c r="U1261" s="1196"/>
      <c r="V1261" s="1084"/>
      <c r="W1261" s="1119"/>
      <c r="X1261" s="1076"/>
      <c r="Y1261" s="1123"/>
      <c r="Z1261" s="386">
        <v>172188666.48571429</v>
      </c>
      <c r="AA1261" s="386">
        <v>-51656599.945714302</v>
      </c>
      <c r="AB1261" s="386">
        <f t="shared" si="76"/>
        <v>120532066.53999999</v>
      </c>
      <c r="AC1261" s="1171"/>
      <c r="AD1261" s="395">
        <v>120532066.54000001</v>
      </c>
      <c r="AE1261" s="371" t="s">
        <v>137</v>
      </c>
      <c r="AF1261" s="1084"/>
      <c r="AG1261" s="1084"/>
      <c r="AH1261" s="358">
        <f t="shared" si="77"/>
        <v>0</v>
      </c>
      <c r="AI1261" s="1084"/>
      <c r="AJ1261" s="1119"/>
      <c r="AK1261" s="1119"/>
      <c r="AL1261" s="1119"/>
      <c r="AM1261" s="1119"/>
      <c r="AN1261" s="1203"/>
      <c r="AO1261" s="1204"/>
      <c r="AP1261" s="1204"/>
      <c r="AQ1261" s="1204"/>
    </row>
    <row r="1262" spans="1:43" ht="15" customHeight="1">
      <c r="A1262" s="1076"/>
      <c r="B1262" s="1171"/>
      <c r="C1262" s="1076"/>
      <c r="D1262" s="1076"/>
      <c r="E1262" s="1208"/>
      <c r="F1262" s="1208"/>
      <c r="G1262" s="1076"/>
      <c r="H1262" s="1076"/>
      <c r="I1262" s="1076"/>
      <c r="J1262" s="1076"/>
      <c r="K1262" s="1076"/>
      <c r="L1262" s="1076"/>
      <c r="M1262" s="1209"/>
      <c r="N1262" s="1123"/>
      <c r="O1262" s="1119"/>
      <c r="P1262" s="1119"/>
      <c r="Q1262" s="1119"/>
      <c r="R1262" s="1171"/>
      <c r="S1262" s="1196"/>
      <c r="T1262" s="1196"/>
      <c r="U1262" s="1196"/>
      <c r="V1262" s="1084"/>
      <c r="W1262" s="1119"/>
      <c r="X1262" s="1076"/>
      <c r="Y1262" s="1123"/>
      <c r="Z1262" s="386"/>
      <c r="AA1262" s="386"/>
      <c r="AB1262" s="386">
        <f t="shared" si="76"/>
        <v>0</v>
      </c>
      <c r="AC1262" s="1171"/>
      <c r="AD1262" s="395"/>
      <c r="AE1262" s="371"/>
      <c r="AF1262" s="1084"/>
      <c r="AG1262" s="1084"/>
      <c r="AH1262" s="358">
        <f t="shared" si="77"/>
        <v>0</v>
      </c>
      <c r="AI1262" s="1084"/>
      <c r="AJ1262" s="1119"/>
      <c r="AK1262" s="1119"/>
      <c r="AL1262" s="1119"/>
      <c r="AM1262" s="1119"/>
      <c r="AN1262" s="1203"/>
      <c r="AO1262" s="1204"/>
      <c r="AP1262" s="1204"/>
      <c r="AQ1262" s="1204"/>
    </row>
    <row r="1263" spans="1:43" ht="15" customHeight="1">
      <c r="A1263" s="1076"/>
      <c r="B1263" s="1171"/>
      <c r="C1263" s="1076"/>
      <c r="D1263" s="1076"/>
      <c r="E1263" s="1208"/>
      <c r="F1263" s="1208"/>
      <c r="G1263" s="1076"/>
      <c r="H1263" s="1076"/>
      <c r="I1263" s="1076"/>
      <c r="J1263" s="1076"/>
      <c r="K1263" s="1076"/>
      <c r="L1263" s="1076"/>
      <c r="M1263" s="1209"/>
      <c r="N1263" s="1123"/>
      <c r="O1263" s="1119"/>
      <c r="P1263" s="1119"/>
      <c r="Q1263" s="1119"/>
      <c r="R1263" s="1171"/>
      <c r="S1263" s="1196"/>
      <c r="T1263" s="1196"/>
      <c r="U1263" s="1196"/>
      <c r="V1263" s="1084"/>
      <c r="W1263" s="1119"/>
      <c r="X1263" s="1076"/>
      <c r="Y1263" s="1123"/>
      <c r="Z1263" s="386"/>
      <c r="AA1263" s="386"/>
      <c r="AB1263" s="386">
        <f t="shared" si="76"/>
        <v>0</v>
      </c>
      <c r="AC1263" s="1171"/>
      <c r="AD1263" s="395"/>
      <c r="AE1263" s="371"/>
      <c r="AF1263" s="1084"/>
      <c r="AG1263" s="1084"/>
      <c r="AH1263" s="358">
        <f t="shared" si="77"/>
        <v>0</v>
      </c>
      <c r="AI1263" s="1084"/>
      <c r="AJ1263" s="1119"/>
      <c r="AK1263" s="1119"/>
      <c r="AL1263" s="1119"/>
      <c r="AM1263" s="1119"/>
      <c r="AN1263" s="1203"/>
      <c r="AO1263" s="1204"/>
      <c r="AP1263" s="1204"/>
      <c r="AQ1263" s="1204"/>
    </row>
    <row r="1264" spans="1:43" ht="15" customHeight="1">
      <c r="A1264" s="1076"/>
      <c r="B1264" s="1171"/>
      <c r="C1264" s="1076"/>
      <c r="D1264" s="1076"/>
      <c r="E1264" s="1208"/>
      <c r="F1264" s="1208"/>
      <c r="G1264" s="1076"/>
      <c r="H1264" s="1076"/>
      <c r="I1264" s="1076"/>
      <c r="J1264" s="1076"/>
      <c r="K1264" s="1076"/>
      <c r="L1264" s="1076"/>
      <c r="M1264" s="1209">
        <v>2</v>
      </c>
      <c r="N1264" s="1123" t="s">
        <v>130</v>
      </c>
      <c r="O1264" s="1119">
        <v>1076177942</v>
      </c>
      <c r="P1264" s="1119">
        <v>1076177942</v>
      </c>
      <c r="Q1264" s="1119"/>
      <c r="R1264" s="1171">
        <v>41543</v>
      </c>
      <c r="S1264" s="1196">
        <f>T1264</f>
        <v>1076177942</v>
      </c>
      <c r="T1264" s="1196">
        <v>1076177942</v>
      </c>
      <c r="U1264" s="1119">
        <f>O1264-T1264</f>
        <v>0</v>
      </c>
      <c r="V1264" s="1084">
        <v>1064338065.4400001</v>
      </c>
      <c r="W1264" s="1119"/>
      <c r="X1264" s="1076"/>
      <c r="Y1264" s="372" t="s">
        <v>1795</v>
      </c>
      <c r="Z1264" s="386">
        <v>0</v>
      </c>
      <c r="AA1264" s="386">
        <v>319301419.51999998</v>
      </c>
      <c r="AB1264" s="386">
        <f>Z1264+AA1264</f>
        <v>319301419.51999998</v>
      </c>
      <c r="AC1264" s="384">
        <v>41976</v>
      </c>
      <c r="AD1264" s="395">
        <v>319301419.51999998</v>
      </c>
      <c r="AE1264" s="371" t="s">
        <v>130</v>
      </c>
      <c r="AF1264" s="1084">
        <f>SUM(AD1264:AD1270)</f>
        <v>986360113.75999987</v>
      </c>
      <c r="AG1264" s="1084"/>
      <c r="AH1264" s="358">
        <f>AB1264-AD1264</f>
        <v>0</v>
      </c>
      <c r="AI1264" s="1084">
        <f>O1264-SUM(AD1264:AD1270)</f>
        <v>89817828.240000129</v>
      </c>
      <c r="AJ1264" s="1119"/>
      <c r="AK1264" s="1119">
        <f>P1264-V1264</f>
        <v>11839876.559999943</v>
      </c>
      <c r="AL1264" s="1119">
        <f>V1264-SUM(Z1264:Z1270)</f>
        <v>111397073.20000005</v>
      </c>
      <c r="AM1264" s="1119"/>
      <c r="AN1264" s="1203"/>
      <c r="AO1264" s="1204"/>
      <c r="AP1264" s="1204"/>
      <c r="AQ1264" s="1204"/>
    </row>
    <row r="1265" spans="1:43" ht="15" customHeight="1">
      <c r="A1265" s="1076"/>
      <c r="B1265" s="1171"/>
      <c r="C1265" s="1076"/>
      <c r="D1265" s="1076"/>
      <c r="E1265" s="1208"/>
      <c r="F1265" s="1208"/>
      <c r="G1265" s="1076"/>
      <c r="H1265" s="1076"/>
      <c r="I1265" s="1076"/>
      <c r="J1265" s="1076"/>
      <c r="K1265" s="1076"/>
      <c r="L1265" s="1076"/>
      <c r="M1265" s="1209"/>
      <c r="N1265" s="1123"/>
      <c r="O1265" s="1119"/>
      <c r="P1265" s="1119"/>
      <c r="Q1265" s="1119"/>
      <c r="R1265" s="1171"/>
      <c r="S1265" s="1196"/>
      <c r="T1265" s="1196"/>
      <c r="U1265" s="1119"/>
      <c r="V1265" s="1084"/>
      <c r="W1265" s="1119"/>
      <c r="X1265" s="1076"/>
      <c r="Y1265" s="372" t="s">
        <v>1796</v>
      </c>
      <c r="Z1265" s="386">
        <v>249436581.61000001</v>
      </c>
      <c r="AA1265" s="386">
        <v>-74830974.599999994</v>
      </c>
      <c r="AB1265" s="386">
        <f t="shared" ref="AB1265:AB1270" si="78">Z1265+AA1265</f>
        <v>174605607.01000002</v>
      </c>
      <c r="AC1265" s="384">
        <v>42027</v>
      </c>
      <c r="AD1265" s="395">
        <v>174605607.00999999</v>
      </c>
      <c r="AE1265" s="371" t="s">
        <v>130</v>
      </c>
      <c r="AF1265" s="1084"/>
      <c r="AG1265" s="1084"/>
      <c r="AH1265" s="358">
        <f t="shared" ref="AH1265:AH1270" si="79">AB1265-AD1265</f>
        <v>0</v>
      </c>
      <c r="AI1265" s="1084"/>
      <c r="AJ1265" s="1119"/>
      <c r="AK1265" s="1119"/>
      <c r="AL1265" s="1119"/>
      <c r="AM1265" s="1119"/>
      <c r="AN1265" s="1203"/>
      <c r="AO1265" s="1204"/>
      <c r="AP1265" s="1204"/>
      <c r="AQ1265" s="1204"/>
    </row>
    <row r="1266" spans="1:43" ht="15" customHeight="1">
      <c r="A1266" s="1076"/>
      <c r="B1266" s="1171"/>
      <c r="C1266" s="1076"/>
      <c r="D1266" s="1076"/>
      <c r="E1266" s="1208"/>
      <c r="F1266" s="1208"/>
      <c r="G1266" s="1076"/>
      <c r="H1266" s="1076"/>
      <c r="I1266" s="1076"/>
      <c r="J1266" s="1076"/>
      <c r="K1266" s="1076"/>
      <c r="L1266" s="1076"/>
      <c r="M1266" s="1209"/>
      <c r="N1266" s="1123"/>
      <c r="O1266" s="1119"/>
      <c r="P1266" s="1119"/>
      <c r="Q1266" s="1119"/>
      <c r="R1266" s="1171"/>
      <c r="S1266" s="1196"/>
      <c r="T1266" s="1196"/>
      <c r="U1266" s="1119"/>
      <c r="V1266" s="1084"/>
      <c r="W1266" s="1119"/>
      <c r="X1266" s="1076"/>
      <c r="Y1266" s="372" t="s">
        <v>1797</v>
      </c>
      <c r="Z1266" s="386">
        <v>286889767.45999998</v>
      </c>
      <c r="AA1266" s="386">
        <v>-86066930.409999996</v>
      </c>
      <c r="AB1266" s="386">
        <f t="shared" si="78"/>
        <v>200822837.04999998</v>
      </c>
      <c r="AC1266" s="384">
        <v>42135</v>
      </c>
      <c r="AD1266" s="395">
        <v>200822837.05000001</v>
      </c>
      <c r="AE1266" s="371" t="s">
        <v>130</v>
      </c>
      <c r="AF1266" s="1084"/>
      <c r="AG1266" s="1084"/>
      <c r="AH1266" s="358">
        <f t="shared" si="79"/>
        <v>0</v>
      </c>
      <c r="AI1266" s="1084"/>
      <c r="AJ1266" s="1119"/>
      <c r="AK1266" s="1119"/>
      <c r="AL1266" s="1119"/>
      <c r="AM1266" s="1119"/>
      <c r="AN1266" s="1203"/>
      <c r="AO1266" s="1204"/>
      <c r="AP1266" s="1204"/>
      <c r="AQ1266" s="1204"/>
    </row>
    <row r="1267" spans="1:43" ht="15" customHeight="1">
      <c r="A1267" s="1076"/>
      <c r="B1267" s="1171"/>
      <c r="C1267" s="1076"/>
      <c r="D1267" s="1076"/>
      <c r="E1267" s="1208"/>
      <c r="F1267" s="1208"/>
      <c r="G1267" s="1076"/>
      <c r="H1267" s="1076"/>
      <c r="I1267" s="1076"/>
      <c r="J1267" s="1076"/>
      <c r="K1267" s="1076"/>
      <c r="L1267" s="1076"/>
      <c r="M1267" s="1209"/>
      <c r="N1267" s="1123"/>
      <c r="O1267" s="1119"/>
      <c r="P1267" s="1119"/>
      <c r="Q1267" s="1119"/>
      <c r="R1267" s="1171"/>
      <c r="S1267" s="1196"/>
      <c r="T1267" s="1196"/>
      <c r="U1267" s="1119"/>
      <c r="V1267" s="1084"/>
      <c r="W1267" s="1119"/>
      <c r="X1267" s="1076"/>
      <c r="Y1267" s="372" t="s">
        <v>1798</v>
      </c>
      <c r="Z1267" s="386">
        <v>171375843.77000001</v>
      </c>
      <c r="AA1267" s="386">
        <v>-51412753.200000003</v>
      </c>
      <c r="AB1267" s="386">
        <f t="shared" si="78"/>
        <v>119963090.57000001</v>
      </c>
      <c r="AC1267" s="384">
        <v>42214</v>
      </c>
      <c r="AD1267" s="395">
        <v>119963090.56999999</v>
      </c>
      <c r="AE1267" s="371" t="s">
        <v>130</v>
      </c>
      <c r="AF1267" s="1084"/>
      <c r="AG1267" s="1084"/>
      <c r="AH1267" s="358">
        <f t="shared" si="79"/>
        <v>0</v>
      </c>
      <c r="AI1267" s="1084"/>
      <c r="AJ1267" s="1119"/>
      <c r="AK1267" s="1119"/>
      <c r="AL1267" s="1119"/>
      <c r="AM1267" s="1119"/>
      <c r="AN1267" s="1203"/>
      <c r="AO1267" s="1204"/>
      <c r="AP1267" s="1204"/>
      <c r="AQ1267" s="1204"/>
    </row>
    <row r="1268" spans="1:43" ht="15" customHeight="1">
      <c r="A1268" s="1076"/>
      <c r="B1268" s="1171"/>
      <c r="C1268" s="1076"/>
      <c r="D1268" s="1076"/>
      <c r="E1268" s="1208"/>
      <c r="F1268" s="1208"/>
      <c r="G1268" s="1076"/>
      <c r="H1268" s="1076"/>
      <c r="I1268" s="1076"/>
      <c r="J1268" s="1076"/>
      <c r="K1268" s="1076"/>
      <c r="L1268" s="1076"/>
      <c r="M1268" s="1209"/>
      <c r="N1268" s="1123"/>
      <c r="O1268" s="1119"/>
      <c r="P1268" s="1119"/>
      <c r="Q1268" s="1119"/>
      <c r="R1268" s="1171"/>
      <c r="S1268" s="1196"/>
      <c r="T1268" s="1196"/>
      <c r="U1268" s="1119"/>
      <c r="V1268" s="1084"/>
      <c r="W1268" s="1119"/>
      <c r="X1268" s="1076"/>
      <c r="Y1268" s="372" t="s">
        <v>1799</v>
      </c>
      <c r="Z1268" s="386">
        <v>76779122.370000005</v>
      </c>
      <c r="AA1268" s="386">
        <v>-23033736.68</v>
      </c>
      <c r="AB1268" s="386">
        <f t="shared" si="78"/>
        <v>53745385.690000005</v>
      </c>
      <c r="AC1268" s="384">
        <v>42293</v>
      </c>
      <c r="AD1268" s="395">
        <v>53745385.689999998</v>
      </c>
      <c r="AE1268" s="371" t="s">
        <v>130</v>
      </c>
      <c r="AF1268" s="1084"/>
      <c r="AG1268" s="1084"/>
      <c r="AH1268" s="358">
        <f t="shared" si="79"/>
        <v>0</v>
      </c>
      <c r="AI1268" s="1084"/>
      <c r="AJ1268" s="1119"/>
      <c r="AK1268" s="1119"/>
      <c r="AL1268" s="1119"/>
      <c r="AM1268" s="1119"/>
      <c r="AN1268" s="1203"/>
      <c r="AO1268" s="1204"/>
      <c r="AP1268" s="1204"/>
      <c r="AQ1268" s="1204"/>
    </row>
    <row r="1269" spans="1:43" ht="15" customHeight="1">
      <c r="A1269" s="1076"/>
      <c r="B1269" s="1171"/>
      <c r="C1269" s="1076"/>
      <c r="D1269" s="1076"/>
      <c r="E1269" s="1208"/>
      <c r="F1269" s="1208"/>
      <c r="G1269" s="1076"/>
      <c r="H1269" s="1076"/>
      <c r="I1269" s="1076"/>
      <c r="J1269" s="1076"/>
      <c r="K1269" s="1076"/>
      <c r="L1269" s="1076"/>
      <c r="M1269" s="1209"/>
      <c r="N1269" s="1123"/>
      <c r="O1269" s="1119"/>
      <c r="P1269" s="1119"/>
      <c r="Q1269" s="1119"/>
      <c r="R1269" s="1171"/>
      <c r="S1269" s="1196"/>
      <c r="T1269" s="1196"/>
      <c r="U1269" s="1119"/>
      <c r="V1269" s="1084"/>
      <c r="W1269" s="1119"/>
      <c r="X1269" s="1076"/>
      <c r="Y1269" s="372"/>
      <c r="Z1269" s="386">
        <v>168459677.03</v>
      </c>
      <c r="AA1269" s="386">
        <v>-50537903.108571403</v>
      </c>
      <c r="AB1269" s="386">
        <f t="shared" si="78"/>
        <v>117921773.92142859</v>
      </c>
      <c r="AC1269" s="384">
        <v>42446</v>
      </c>
      <c r="AD1269" s="395">
        <v>117921773.92</v>
      </c>
      <c r="AE1269" s="371" t="s">
        <v>130</v>
      </c>
      <c r="AF1269" s="1084"/>
      <c r="AG1269" s="1084"/>
      <c r="AH1269" s="358">
        <f t="shared" si="79"/>
        <v>1.4285892248153687E-3</v>
      </c>
      <c r="AI1269" s="1084"/>
      <c r="AJ1269" s="1119"/>
      <c r="AK1269" s="1119"/>
      <c r="AL1269" s="1119"/>
      <c r="AM1269" s="1119"/>
      <c r="AN1269" s="1203"/>
      <c r="AO1269" s="1204"/>
      <c r="AP1269" s="1204"/>
      <c r="AQ1269" s="1204"/>
    </row>
    <row r="1270" spans="1:43" ht="15" customHeight="1">
      <c r="A1270" s="1076"/>
      <c r="B1270" s="1171"/>
      <c r="C1270" s="1076"/>
      <c r="D1270" s="1076"/>
      <c r="E1270" s="1208"/>
      <c r="F1270" s="1208"/>
      <c r="G1270" s="1076"/>
      <c r="H1270" s="1076"/>
      <c r="I1270" s="1076"/>
      <c r="J1270" s="1076"/>
      <c r="K1270" s="1076"/>
      <c r="L1270" s="1076"/>
      <c r="M1270" s="1209"/>
      <c r="N1270" s="1123"/>
      <c r="O1270" s="1119"/>
      <c r="P1270" s="1119"/>
      <c r="Q1270" s="1119"/>
      <c r="R1270" s="1171"/>
      <c r="S1270" s="1196"/>
      <c r="T1270" s="1196"/>
      <c r="U1270" s="1119"/>
      <c r="V1270" s="1084"/>
      <c r="W1270" s="1119"/>
      <c r="X1270" s="1076"/>
      <c r="Y1270" s="372"/>
      <c r="Z1270" s="386"/>
      <c r="AA1270" s="386"/>
      <c r="AB1270" s="386">
        <f t="shared" si="78"/>
        <v>0</v>
      </c>
      <c r="AC1270" s="384"/>
      <c r="AD1270" s="395"/>
      <c r="AE1270" s="371"/>
      <c r="AF1270" s="1084"/>
      <c r="AG1270" s="1084"/>
      <c r="AH1270" s="358">
        <f t="shared" si="79"/>
        <v>0</v>
      </c>
      <c r="AI1270" s="1084"/>
      <c r="AJ1270" s="1119"/>
      <c r="AK1270" s="1119"/>
      <c r="AL1270" s="1119"/>
      <c r="AM1270" s="1119"/>
      <c r="AN1270" s="1203"/>
      <c r="AO1270" s="1204"/>
      <c r="AP1270" s="1204"/>
      <c r="AQ1270" s="1204"/>
    </row>
    <row r="1271" spans="1:43" s="4" customFormat="1" ht="15" customHeight="1">
      <c r="A1271" s="1149" t="s">
        <v>1808</v>
      </c>
      <c r="B1271" s="1213">
        <v>41834</v>
      </c>
      <c r="C1271" s="1149" t="s">
        <v>11</v>
      </c>
      <c r="D1271" s="1149" t="s">
        <v>1801</v>
      </c>
      <c r="E1271" s="1226">
        <v>900316215</v>
      </c>
      <c r="F1271" s="1226">
        <v>9</v>
      </c>
      <c r="G1271" s="1149" t="s">
        <v>1802</v>
      </c>
      <c r="H1271" s="1149" t="s">
        <v>71</v>
      </c>
      <c r="I1271" s="1149" t="s">
        <v>1221</v>
      </c>
      <c r="J1271" s="1149" t="s">
        <v>66</v>
      </c>
      <c r="K1271" s="1149" t="s">
        <v>48</v>
      </c>
      <c r="L1271" s="1149"/>
      <c r="M1271" s="1156">
        <v>300</v>
      </c>
      <c r="N1271" s="1122" t="s">
        <v>7</v>
      </c>
      <c r="O1271" s="1149">
        <v>1626280611</v>
      </c>
      <c r="P1271" s="1149">
        <f>O1271</f>
        <v>1626280611</v>
      </c>
      <c r="Q1271" s="1149">
        <f>P1271+P1274</f>
        <v>2589569935</v>
      </c>
      <c r="R1271" s="1171">
        <v>41705</v>
      </c>
      <c r="S1271" s="402"/>
      <c r="T1271" s="403"/>
      <c r="U1271" s="403"/>
      <c r="V1271" s="1233">
        <v>1625961427.74</v>
      </c>
      <c r="W1271" s="1149">
        <v>2589061691</v>
      </c>
      <c r="X1271" s="1204" t="s">
        <v>1803</v>
      </c>
      <c r="Y1271" s="372" t="s">
        <v>1804</v>
      </c>
      <c r="Z1271" s="397"/>
      <c r="AA1271" s="397"/>
      <c r="AB1271" s="397"/>
      <c r="AC1271" s="384">
        <v>41974</v>
      </c>
      <c r="AD1271" s="63">
        <v>487788428.13</v>
      </c>
      <c r="AE1271" s="1122" t="s">
        <v>7</v>
      </c>
      <c r="AF1271" s="382"/>
      <c r="AG1271" s="382"/>
      <c r="AH1271" s="382"/>
      <c r="AI1271" s="382"/>
      <c r="AJ1271" s="382"/>
      <c r="AK1271" s="382"/>
      <c r="AL1271" s="382" t="s">
        <v>1809</v>
      </c>
      <c r="AM1271" s="382"/>
      <c r="AN1271" s="1023"/>
      <c r="AO1271" s="1021" t="s">
        <v>1755</v>
      </c>
      <c r="AP1271" s="1103" t="s">
        <v>195</v>
      </c>
      <c r="AQ1271" s="1103" t="s">
        <v>1619</v>
      </c>
    </row>
    <row r="1272" spans="1:43" s="4" customFormat="1" ht="15" customHeight="1">
      <c r="A1272" s="1149"/>
      <c r="B1272" s="1213"/>
      <c r="C1272" s="1149"/>
      <c r="D1272" s="1149"/>
      <c r="E1272" s="1226"/>
      <c r="F1272" s="1226"/>
      <c r="G1272" s="1149"/>
      <c r="H1272" s="1149"/>
      <c r="I1272" s="1149"/>
      <c r="J1272" s="1149"/>
      <c r="K1272" s="1149"/>
      <c r="L1272" s="1149"/>
      <c r="M1272" s="1156"/>
      <c r="N1272" s="1122"/>
      <c r="O1272" s="1149"/>
      <c r="P1272" s="1149"/>
      <c r="Q1272" s="1149"/>
      <c r="R1272" s="1171"/>
      <c r="S1272" s="402"/>
      <c r="T1272" s="403"/>
      <c r="U1272" s="403"/>
      <c r="V1272" s="1233"/>
      <c r="W1272" s="1149"/>
      <c r="X1272" s="1204"/>
      <c r="Y1272" s="372" t="s">
        <v>1805</v>
      </c>
      <c r="Z1272" s="397"/>
      <c r="AA1272" s="397"/>
      <c r="AB1272" s="397"/>
      <c r="AC1272" s="384">
        <v>42296</v>
      </c>
      <c r="AD1272" s="63">
        <v>612993191.38</v>
      </c>
      <c r="AE1272" s="1122"/>
      <c r="AF1272" s="382"/>
      <c r="AG1272" s="382"/>
      <c r="AH1272" s="382"/>
      <c r="AI1272" s="382"/>
      <c r="AJ1272" s="382"/>
      <c r="AK1272" s="382"/>
      <c r="AL1272" s="382"/>
      <c r="AM1272" s="382"/>
      <c r="AN1272" s="1124"/>
      <c r="AO1272" s="1124"/>
      <c r="AP1272" s="1104"/>
      <c r="AQ1272" s="1104"/>
    </row>
    <row r="1273" spans="1:43" s="4" customFormat="1" ht="15" customHeight="1">
      <c r="A1273" s="1149"/>
      <c r="B1273" s="1213"/>
      <c r="C1273" s="1149"/>
      <c r="D1273" s="1149"/>
      <c r="E1273" s="1226"/>
      <c r="F1273" s="1226"/>
      <c r="G1273" s="1149"/>
      <c r="H1273" s="1149"/>
      <c r="I1273" s="1149"/>
      <c r="J1273" s="1149"/>
      <c r="K1273" s="1149"/>
      <c r="L1273" s="1149"/>
      <c r="M1273" s="1156"/>
      <c r="N1273" s="1122"/>
      <c r="O1273" s="1149"/>
      <c r="P1273" s="1149"/>
      <c r="Q1273" s="1149"/>
      <c r="R1273" s="1171"/>
      <c r="S1273" s="402"/>
      <c r="T1273" s="403"/>
      <c r="U1273" s="403"/>
      <c r="V1273" s="1233"/>
      <c r="W1273" s="1149"/>
      <c r="X1273" s="1204"/>
      <c r="Y1273" s="372" t="s">
        <v>1806</v>
      </c>
      <c r="Z1273" s="397"/>
      <c r="AA1273" s="397"/>
      <c r="AB1273" s="397"/>
      <c r="AC1273" s="384">
        <v>42671</v>
      </c>
      <c r="AD1273" s="63">
        <v>290082230.33999997</v>
      </c>
      <c r="AE1273" s="1122"/>
      <c r="AF1273" s="382"/>
      <c r="AG1273" s="382"/>
      <c r="AH1273" s="382"/>
      <c r="AI1273" s="382"/>
      <c r="AJ1273" s="382"/>
      <c r="AK1273" s="382"/>
      <c r="AL1273" s="382"/>
      <c r="AM1273" s="382"/>
      <c r="AN1273" s="1124"/>
      <c r="AO1273" s="1124"/>
      <c r="AP1273" s="1104"/>
      <c r="AQ1273" s="1104"/>
    </row>
    <row r="1274" spans="1:43" s="4" customFormat="1" ht="15" customHeight="1">
      <c r="A1274" s="1149"/>
      <c r="B1274" s="1213"/>
      <c r="C1274" s="1149"/>
      <c r="D1274" s="1149"/>
      <c r="E1274" s="1226"/>
      <c r="F1274" s="1226"/>
      <c r="G1274" s="1149"/>
      <c r="H1274" s="1149"/>
      <c r="I1274" s="1149"/>
      <c r="J1274" s="1149"/>
      <c r="K1274" s="1149"/>
      <c r="L1274" s="1149"/>
      <c r="M1274" s="1156">
        <v>2</v>
      </c>
      <c r="N1274" s="1122" t="s">
        <v>131</v>
      </c>
      <c r="O1274" s="1149">
        <v>963289324</v>
      </c>
      <c r="P1274" s="1149">
        <v>963289324</v>
      </c>
      <c r="Q1274" s="1149"/>
      <c r="R1274" s="1171">
        <v>41705</v>
      </c>
      <c r="S1274" s="402"/>
      <c r="T1274" s="403"/>
      <c r="U1274" s="403"/>
      <c r="V1274" s="1233">
        <v>963100263.25999999</v>
      </c>
      <c r="W1274" s="1149"/>
      <c r="X1274" s="1204"/>
      <c r="Y1274" s="372" t="s">
        <v>1804</v>
      </c>
      <c r="Z1274" s="397"/>
      <c r="AA1274" s="397"/>
      <c r="AB1274" s="397"/>
      <c r="AC1274" s="384">
        <v>41974</v>
      </c>
      <c r="AD1274" s="63">
        <v>288930078.87</v>
      </c>
      <c r="AE1274" s="1122" t="s">
        <v>131</v>
      </c>
      <c r="AF1274" s="382"/>
      <c r="AG1274" s="382"/>
      <c r="AH1274" s="382"/>
      <c r="AI1274" s="382"/>
      <c r="AJ1274" s="382"/>
      <c r="AK1274" s="382"/>
      <c r="AL1274" s="382"/>
      <c r="AM1274" s="382"/>
      <c r="AN1274" s="1124"/>
      <c r="AO1274" s="1124"/>
      <c r="AP1274" s="1104"/>
      <c r="AQ1274" s="1104"/>
    </row>
    <row r="1275" spans="1:43" s="4" customFormat="1" ht="15" customHeight="1">
      <c r="A1275" s="1149"/>
      <c r="B1275" s="1213"/>
      <c r="C1275" s="1149"/>
      <c r="D1275" s="1149"/>
      <c r="E1275" s="1226"/>
      <c r="F1275" s="1226"/>
      <c r="G1275" s="1149"/>
      <c r="H1275" s="1149"/>
      <c r="I1275" s="1149"/>
      <c r="J1275" s="1149"/>
      <c r="K1275" s="1149"/>
      <c r="L1275" s="1149"/>
      <c r="M1275" s="1156"/>
      <c r="N1275" s="1122"/>
      <c r="O1275" s="1149"/>
      <c r="P1275" s="1149"/>
      <c r="Q1275" s="1149"/>
      <c r="R1275" s="1171"/>
      <c r="S1275" s="402"/>
      <c r="T1275" s="403"/>
      <c r="U1275" s="403"/>
      <c r="V1275" s="1233"/>
      <c r="W1275" s="1149"/>
      <c r="X1275" s="1204"/>
      <c r="Y1275" s="372" t="s">
        <v>1805</v>
      </c>
      <c r="Z1275" s="397"/>
      <c r="AA1275" s="397"/>
      <c r="AB1275" s="397"/>
      <c r="AC1275" s="384">
        <v>42296</v>
      </c>
      <c r="AD1275" s="63">
        <v>363092195.12</v>
      </c>
      <c r="AE1275" s="1122"/>
      <c r="AF1275" s="382"/>
      <c r="AG1275" s="382"/>
      <c r="AH1275" s="382"/>
      <c r="AI1275" s="382"/>
      <c r="AJ1275" s="382"/>
      <c r="AK1275" s="382"/>
      <c r="AL1275" s="382"/>
      <c r="AM1275" s="382"/>
      <c r="AN1275" s="1124"/>
      <c r="AO1275" s="1124"/>
      <c r="AP1275" s="1104"/>
      <c r="AQ1275" s="1104"/>
    </row>
    <row r="1276" spans="1:43" s="4" customFormat="1" ht="15" customHeight="1">
      <c r="A1276" s="1149"/>
      <c r="B1276" s="1213"/>
      <c r="C1276" s="1149"/>
      <c r="D1276" s="1149"/>
      <c r="E1276" s="1226"/>
      <c r="F1276" s="1226"/>
      <c r="G1276" s="1149"/>
      <c r="H1276" s="1149"/>
      <c r="I1276" s="1149"/>
      <c r="J1276" s="1149"/>
      <c r="K1276" s="1149"/>
      <c r="L1276" s="1149"/>
      <c r="M1276" s="1156"/>
      <c r="N1276" s="1122"/>
      <c r="O1276" s="1149"/>
      <c r="P1276" s="1149"/>
      <c r="Q1276" s="1149"/>
      <c r="R1276" s="1171"/>
      <c r="S1276" s="402"/>
      <c r="T1276" s="403"/>
      <c r="U1276" s="403"/>
      <c r="V1276" s="1233"/>
      <c r="W1276" s="1149"/>
      <c r="X1276" s="1204"/>
      <c r="Y1276" s="372" t="s">
        <v>1807</v>
      </c>
      <c r="Z1276" s="397"/>
      <c r="AA1276" s="397"/>
      <c r="AB1276" s="397"/>
      <c r="AC1276" s="384">
        <v>42671</v>
      </c>
      <c r="AD1276" s="63">
        <v>193388153.56</v>
      </c>
      <c r="AE1276" s="1122"/>
      <c r="AF1276" s="382"/>
      <c r="AG1276" s="382"/>
      <c r="AH1276" s="382"/>
      <c r="AI1276" s="382"/>
      <c r="AJ1276" s="382"/>
      <c r="AK1276" s="382"/>
      <c r="AL1276" s="382"/>
      <c r="AM1276" s="382"/>
      <c r="AN1276" s="1024"/>
      <c r="AO1276" s="1024"/>
      <c r="AP1276" s="1105"/>
      <c r="AQ1276" s="1105"/>
    </row>
    <row r="1277" spans="1:43" ht="15" customHeight="1">
      <c r="A1277" s="1011" t="s">
        <v>2190</v>
      </c>
      <c r="B1277" s="1068">
        <v>41829</v>
      </c>
      <c r="C1277" s="1011" t="s">
        <v>31</v>
      </c>
      <c r="D1277" s="1011" t="s">
        <v>1040</v>
      </c>
      <c r="E1277" s="1071">
        <v>10541182</v>
      </c>
      <c r="F1277" s="1071"/>
      <c r="G1277" s="1011" t="s">
        <v>2189</v>
      </c>
      <c r="H1277" s="1011" t="s">
        <v>70</v>
      </c>
      <c r="I1277" s="1011" t="s">
        <v>206</v>
      </c>
      <c r="J1277" s="1011" t="s">
        <v>66</v>
      </c>
      <c r="K1277" s="1011" t="s">
        <v>49</v>
      </c>
      <c r="L1277" s="1011" t="s">
        <v>1819</v>
      </c>
      <c r="M1277" s="1009">
        <v>9</v>
      </c>
      <c r="N1277" s="1065" t="s">
        <v>157</v>
      </c>
      <c r="O1277" s="1062">
        <v>166787899</v>
      </c>
      <c r="P1277" s="1062">
        <v>166787899</v>
      </c>
      <c r="Q1277" s="1062">
        <v>166787899</v>
      </c>
      <c r="R1277" s="1068"/>
      <c r="S1277" s="1092">
        <f>T1277</f>
        <v>166787899</v>
      </c>
      <c r="T1277" s="1092">
        <v>166787899</v>
      </c>
      <c r="U1277" s="1092">
        <f>P1277-T1277</f>
        <v>0</v>
      </c>
      <c r="V1277" s="1043">
        <v>166719260</v>
      </c>
      <c r="W1277" s="1043">
        <v>166719260</v>
      </c>
      <c r="X1277" s="1011" t="s">
        <v>2188</v>
      </c>
      <c r="Y1277" s="372" t="s">
        <v>2187</v>
      </c>
      <c r="Z1277" s="386">
        <v>0</v>
      </c>
      <c r="AA1277" s="386">
        <v>16671926</v>
      </c>
      <c r="AB1277" s="386">
        <f>Z1277+AA1277</f>
        <v>16671926</v>
      </c>
      <c r="AC1277" s="384">
        <v>41991</v>
      </c>
      <c r="AD1277" s="395">
        <v>16671926</v>
      </c>
      <c r="AE1277" s="371" t="s">
        <v>157</v>
      </c>
      <c r="AF1277" s="1043">
        <f>SUM(AD1277:AD1280)</f>
        <v>149433807.13</v>
      </c>
      <c r="AG1277" s="1043">
        <f>AF1277</f>
        <v>149433807.13</v>
      </c>
      <c r="AH1277" s="358">
        <f>AB1277-AD1277</f>
        <v>0</v>
      </c>
      <c r="AI1277" s="1043">
        <f>P1277-AF1277</f>
        <v>17354091.870000005</v>
      </c>
      <c r="AJ1277" s="1062">
        <f>SUM(Z1277:Z1280)-SUM(AD1277:AD1280)</f>
        <v>-1920605.8799999952</v>
      </c>
      <c r="AK1277" s="1062">
        <f>P1277-V1277</f>
        <v>68639</v>
      </c>
      <c r="AL1277" s="1062">
        <f>V1277-SUM(Z1277:Z1280)+AJ1277</f>
        <v>17285452.870000005</v>
      </c>
      <c r="AM1277" s="1062"/>
      <c r="AN1277" s="1108" t="s">
        <v>2186</v>
      </c>
      <c r="AO1277" s="1103" t="s">
        <v>2185</v>
      </c>
      <c r="AP1277" s="1103" t="s">
        <v>194</v>
      </c>
      <c r="AQ1277" s="1103" t="s">
        <v>1911</v>
      </c>
    </row>
    <row r="1278" spans="1:43" ht="15" customHeight="1">
      <c r="A1278" s="1033"/>
      <c r="B1278" s="1069"/>
      <c r="C1278" s="1033"/>
      <c r="D1278" s="1033"/>
      <c r="E1278" s="1072"/>
      <c r="F1278" s="1072"/>
      <c r="G1278" s="1033"/>
      <c r="H1278" s="1033"/>
      <c r="I1278" s="1033"/>
      <c r="J1278" s="1033"/>
      <c r="K1278" s="1033"/>
      <c r="L1278" s="1033"/>
      <c r="M1278" s="1039"/>
      <c r="N1278" s="1066"/>
      <c r="O1278" s="1063"/>
      <c r="P1278" s="1063"/>
      <c r="Q1278" s="1063"/>
      <c r="R1278" s="1069"/>
      <c r="S1278" s="1093"/>
      <c r="T1278" s="1093"/>
      <c r="U1278" s="1093"/>
      <c r="V1278" s="1044"/>
      <c r="W1278" s="1044"/>
      <c r="X1278" s="1033"/>
      <c r="Y1278" s="372" t="s">
        <v>2184</v>
      </c>
      <c r="Z1278" s="386">
        <v>94979962.420000002</v>
      </c>
      <c r="AA1278" s="386">
        <v>-9497996.2399999909</v>
      </c>
      <c r="AB1278" s="386">
        <f>Z1278+AA1278</f>
        <v>85481966.180000007</v>
      </c>
      <c r="AC1278" s="384">
        <v>42180</v>
      </c>
      <c r="AD1278" s="395">
        <v>85481966.180000007</v>
      </c>
      <c r="AE1278" s="371" t="s">
        <v>157</v>
      </c>
      <c r="AF1278" s="1044"/>
      <c r="AG1278" s="1044"/>
      <c r="AH1278" s="358">
        <f>AB1278-AD1278</f>
        <v>0</v>
      </c>
      <c r="AI1278" s="1044"/>
      <c r="AJ1278" s="1063"/>
      <c r="AK1278" s="1063"/>
      <c r="AL1278" s="1063"/>
      <c r="AM1278" s="1063"/>
      <c r="AN1278" s="1109"/>
      <c r="AO1278" s="1104"/>
      <c r="AP1278" s="1104"/>
      <c r="AQ1278" s="1104"/>
    </row>
    <row r="1279" spans="1:43" ht="15" customHeight="1">
      <c r="A1279" s="1033"/>
      <c r="B1279" s="1069"/>
      <c r="C1279" s="1033"/>
      <c r="D1279" s="1033"/>
      <c r="E1279" s="1072"/>
      <c r="F1279" s="1072"/>
      <c r="G1279" s="1033"/>
      <c r="H1279" s="1033"/>
      <c r="I1279" s="1033"/>
      <c r="J1279" s="1033"/>
      <c r="K1279" s="1033"/>
      <c r="L1279" s="1033"/>
      <c r="M1279" s="1039"/>
      <c r="N1279" s="1066"/>
      <c r="O1279" s="1063"/>
      <c r="P1279" s="1063"/>
      <c r="Q1279" s="1063"/>
      <c r="R1279" s="1069"/>
      <c r="S1279" s="1093"/>
      <c r="T1279" s="1093"/>
      <c r="U1279" s="1093"/>
      <c r="V1279" s="1044"/>
      <c r="W1279" s="1044"/>
      <c r="X1279" s="1033"/>
      <c r="Y1279" s="372" t="s">
        <v>2183</v>
      </c>
      <c r="Z1279" s="386">
        <v>52533238.829999998</v>
      </c>
      <c r="AA1279" s="386">
        <v>-5253323.88</v>
      </c>
      <c r="AB1279" s="386">
        <f>Z1279+AA1279</f>
        <v>47279914.949999996</v>
      </c>
      <c r="AC1279" s="384">
        <v>42303</v>
      </c>
      <c r="AD1279" s="395">
        <v>47279914.950000003</v>
      </c>
      <c r="AE1279" s="371" t="s">
        <v>157</v>
      </c>
      <c r="AF1279" s="1044"/>
      <c r="AG1279" s="1044"/>
      <c r="AH1279" s="358">
        <f>AB1279-AD1279</f>
        <v>0</v>
      </c>
      <c r="AI1279" s="1044"/>
      <c r="AJ1279" s="1063"/>
      <c r="AK1279" s="1063"/>
      <c r="AL1279" s="1063"/>
      <c r="AM1279" s="1063"/>
      <c r="AN1279" s="1109"/>
      <c r="AO1279" s="1104"/>
      <c r="AP1279" s="1104"/>
      <c r="AQ1279" s="1104"/>
    </row>
    <row r="1280" spans="1:43" ht="15" customHeight="1">
      <c r="A1280" s="1012"/>
      <c r="B1280" s="1070"/>
      <c r="C1280" s="1012"/>
      <c r="D1280" s="1012"/>
      <c r="E1280" s="1073"/>
      <c r="F1280" s="1073"/>
      <c r="G1280" s="1012"/>
      <c r="H1280" s="1012"/>
      <c r="I1280" s="1012"/>
      <c r="J1280" s="1012"/>
      <c r="K1280" s="1012"/>
      <c r="L1280" s="1012"/>
      <c r="M1280" s="1010"/>
      <c r="N1280" s="1067"/>
      <c r="O1280" s="1064"/>
      <c r="P1280" s="1064"/>
      <c r="Q1280" s="1064"/>
      <c r="R1280" s="1070"/>
      <c r="S1280" s="1094"/>
      <c r="T1280" s="1094"/>
      <c r="U1280" s="1094"/>
      <c r="V1280" s="1045"/>
      <c r="W1280" s="1045"/>
      <c r="X1280" s="1012"/>
      <c r="Y1280" s="372"/>
      <c r="Z1280" s="386"/>
      <c r="AA1280" s="386"/>
      <c r="AB1280" s="386">
        <f>Z1280+AA1280</f>
        <v>0</v>
      </c>
      <c r="AC1280" s="384"/>
      <c r="AD1280" s="395"/>
      <c r="AE1280" s="371"/>
      <c r="AF1280" s="1045"/>
      <c r="AG1280" s="1045"/>
      <c r="AH1280" s="358">
        <f>AB1280-AD1280</f>
        <v>0</v>
      </c>
      <c r="AI1280" s="1045"/>
      <c r="AJ1280" s="1064"/>
      <c r="AK1280" s="1064"/>
      <c r="AL1280" s="1064"/>
      <c r="AM1280" s="1064"/>
      <c r="AN1280" s="1110"/>
      <c r="AO1280" s="1105"/>
      <c r="AP1280" s="1105"/>
      <c r="AQ1280" s="1105"/>
    </row>
    <row r="1281" spans="1:43" ht="15" customHeight="1">
      <c r="A1281" s="354" t="s">
        <v>1811</v>
      </c>
      <c r="B1281" s="384">
        <v>41883</v>
      </c>
      <c r="C1281" s="354" t="s">
        <v>36</v>
      </c>
      <c r="D1281" s="354" t="s">
        <v>1812</v>
      </c>
      <c r="E1281" s="394">
        <v>19244039</v>
      </c>
      <c r="F1281" s="394">
        <v>3</v>
      </c>
      <c r="G1281" s="354" t="s">
        <v>1813</v>
      </c>
      <c r="H1281" s="354" t="s">
        <v>70</v>
      </c>
      <c r="I1281" s="354" t="s">
        <v>206</v>
      </c>
      <c r="J1281" s="354" t="s">
        <v>66</v>
      </c>
      <c r="K1281" s="354" t="s">
        <v>49</v>
      </c>
      <c r="L1281" s="354" t="s">
        <v>1788</v>
      </c>
      <c r="M1281" s="389">
        <v>268</v>
      </c>
      <c r="N1281" s="372" t="s">
        <v>7</v>
      </c>
      <c r="O1281" s="386">
        <v>40000000</v>
      </c>
      <c r="P1281" s="386">
        <v>40000000</v>
      </c>
      <c r="Q1281" s="386">
        <v>40000000</v>
      </c>
      <c r="R1281" s="384">
        <v>41234</v>
      </c>
      <c r="S1281" s="390">
        <f>T1281</f>
        <v>40000000</v>
      </c>
      <c r="T1281" s="386">
        <v>40000000</v>
      </c>
      <c r="U1281" s="386">
        <f>P1281-T1281</f>
        <v>0</v>
      </c>
      <c r="V1281" s="358">
        <v>39767700</v>
      </c>
      <c r="W1281" s="386">
        <v>39767700</v>
      </c>
      <c r="X1281" s="354" t="s">
        <v>1771</v>
      </c>
      <c r="Y1281" s="372"/>
      <c r="Z1281" s="386"/>
      <c r="AA1281" s="386"/>
      <c r="AB1281" s="386"/>
      <c r="AC1281" s="384"/>
      <c r="AD1281" s="395"/>
      <c r="AE1281" s="371"/>
      <c r="AF1281" s="358"/>
      <c r="AG1281" s="358"/>
      <c r="AH1281" s="358"/>
      <c r="AI1281" s="358"/>
      <c r="AJ1281" s="386">
        <f>Z1281-AD1281</f>
        <v>0</v>
      </c>
      <c r="AK1281" s="386">
        <f>P1281-V1281</f>
        <v>232300</v>
      </c>
      <c r="AL1281" s="386">
        <f>V1281-Z1281</f>
        <v>39767700</v>
      </c>
      <c r="AM1281" s="386"/>
      <c r="AN1281" s="391"/>
      <c r="AO1281" s="392" t="s">
        <v>1814</v>
      </c>
      <c r="AP1281" s="392" t="s">
        <v>194</v>
      </c>
      <c r="AQ1281" s="392" t="s">
        <v>1619</v>
      </c>
    </row>
    <row r="1282" spans="1:43" ht="15" customHeight="1">
      <c r="A1282" s="1011" t="s">
        <v>1815</v>
      </c>
      <c r="B1282" s="1068">
        <v>41947</v>
      </c>
      <c r="C1282" s="1011" t="s">
        <v>31</v>
      </c>
      <c r="D1282" s="1011" t="s">
        <v>1816</v>
      </c>
      <c r="E1282" s="1071">
        <v>900786189</v>
      </c>
      <c r="F1282" s="1071">
        <v>0</v>
      </c>
      <c r="G1282" s="1011" t="s">
        <v>1817</v>
      </c>
      <c r="H1282" s="1011" t="s">
        <v>71</v>
      </c>
      <c r="I1282" s="1011" t="s">
        <v>1221</v>
      </c>
      <c r="J1282" s="1011" t="s">
        <v>66</v>
      </c>
      <c r="K1282" s="1011" t="s">
        <v>49</v>
      </c>
      <c r="L1282" s="1011" t="s">
        <v>1819</v>
      </c>
      <c r="M1282" s="1009">
        <v>304</v>
      </c>
      <c r="N1282" s="1065" t="s">
        <v>137</v>
      </c>
      <c r="O1282" s="1062">
        <v>240346167</v>
      </c>
      <c r="P1282" s="1062">
        <f>O1282+O1286</f>
        <v>1880113881</v>
      </c>
      <c r="Q1282" s="1062">
        <f>P1282+P1290</f>
        <v>2289583598</v>
      </c>
      <c r="R1282" s="1068">
        <v>41759</v>
      </c>
      <c r="S1282" s="1092">
        <f>T1282+T1286</f>
        <v>1880113881</v>
      </c>
      <c r="T1282" s="1062">
        <v>240346167</v>
      </c>
      <c r="U1282" s="1062">
        <f>O1282-T1282</f>
        <v>0</v>
      </c>
      <c r="V1282" s="1043">
        <v>235664483.11000001</v>
      </c>
      <c r="W1282" s="1062">
        <v>2244984981</v>
      </c>
      <c r="X1282" s="1011" t="s">
        <v>1818</v>
      </c>
      <c r="Y1282" s="1065" t="s">
        <v>1820</v>
      </c>
      <c r="Z1282" s="386">
        <v>0</v>
      </c>
      <c r="AA1282" s="386">
        <v>47132896.619999997</v>
      </c>
      <c r="AB1282" s="386">
        <f>Z1282+AA1282</f>
        <v>47132896.619999997</v>
      </c>
      <c r="AC1282" s="1068">
        <v>42031</v>
      </c>
      <c r="AD1282" s="395">
        <v>47132896.619999997</v>
      </c>
      <c r="AE1282" s="371" t="s">
        <v>137</v>
      </c>
      <c r="AF1282" s="1043">
        <f>SUM(AD1282:AD1289)</f>
        <v>1673589260</v>
      </c>
      <c r="AG1282" s="358"/>
      <c r="AH1282" s="358"/>
      <c r="AI1282" s="1043"/>
      <c r="AJ1282" s="386"/>
      <c r="AK1282" s="1062"/>
      <c r="AL1282" s="1062"/>
      <c r="AM1282" s="1062"/>
      <c r="AN1282" s="1108"/>
      <c r="AO1282" s="1103" t="s">
        <v>1666</v>
      </c>
      <c r="AP1282" s="1103" t="s">
        <v>194</v>
      </c>
      <c r="AQ1282" s="1103" t="s">
        <v>1619</v>
      </c>
    </row>
    <row r="1283" spans="1:43" ht="15" customHeight="1">
      <c r="A1283" s="1033"/>
      <c r="B1283" s="1069"/>
      <c r="C1283" s="1033"/>
      <c r="D1283" s="1033"/>
      <c r="E1283" s="1072"/>
      <c r="F1283" s="1072"/>
      <c r="G1283" s="1033"/>
      <c r="H1283" s="1033"/>
      <c r="I1283" s="1033"/>
      <c r="J1283" s="1033"/>
      <c r="K1283" s="1033"/>
      <c r="L1283" s="1033"/>
      <c r="M1283" s="1039"/>
      <c r="N1283" s="1066"/>
      <c r="O1283" s="1063"/>
      <c r="P1283" s="1063"/>
      <c r="Q1283" s="1063"/>
      <c r="R1283" s="1069"/>
      <c r="S1283" s="1093"/>
      <c r="T1283" s="1063"/>
      <c r="U1283" s="1063"/>
      <c r="V1283" s="1044"/>
      <c r="W1283" s="1063"/>
      <c r="X1283" s="1033"/>
      <c r="Y1283" s="1067"/>
      <c r="Z1283" s="386">
        <v>0</v>
      </c>
      <c r="AA1283" s="386">
        <v>321565361.80000001</v>
      </c>
      <c r="AB1283" s="386">
        <f t="shared" ref="AB1283:AB1293" si="80">Z1283+AA1283</f>
        <v>321565361.80000001</v>
      </c>
      <c r="AC1283" s="1070"/>
      <c r="AD1283" s="395">
        <v>321565361.80000001</v>
      </c>
      <c r="AE1283" s="371" t="s">
        <v>7</v>
      </c>
      <c r="AF1283" s="1044"/>
      <c r="AG1283" s="358"/>
      <c r="AH1283" s="358"/>
      <c r="AI1283" s="1044"/>
      <c r="AJ1283" s="386"/>
      <c r="AK1283" s="1063"/>
      <c r="AL1283" s="1063"/>
      <c r="AM1283" s="1063"/>
      <c r="AN1283" s="1109"/>
      <c r="AO1283" s="1104"/>
      <c r="AP1283" s="1104"/>
      <c r="AQ1283" s="1104"/>
    </row>
    <row r="1284" spans="1:43" ht="15" customHeight="1">
      <c r="A1284" s="1033"/>
      <c r="B1284" s="1069"/>
      <c r="C1284" s="1033"/>
      <c r="D1284" s="1033"/>
      <c r="E1284" s="1072"/>
      <c r="F1284" s="1072"/>
      <c r="G1284" s="1033"/>
      <c r="H1284" s="1033"/>
      <c r="I1284" s="1033"/>
      <c r="J1284" s="1033"/>
      <c r="K1284" s="1033"/>
      <c r="L1284" s="1033"/>
      <c r="M1284" s="1039"/>
      <c r="N1284" s="1066"/>
      <c r="O1284" s="1063"/>
      <c r="P1284" s="1063"/>
      <c r="Q1284" s="1063"/>
      <c r="R1284" s="1069"/>
      <c r="S1284" s="1093"/>
      <c r="T1284" s="1063"/>
      <c r="U1284" s="1063"/>
      <c r="V1284" s="1044"/>
      <c r="W1284" s="1063"/>
      <c r="X1284" s="1033"/>
      <c r="Y1284" s="1065" t="s">
        <v>1821</v>
      </c>
      <c r="Z1284" s="386">
        <v>134257641.52000001</v>
      </c>
      <c r="AA1284" s="386">
        <v>-26851527.82</v>
      </c>
      <c r="AB1284" s="386">
        <f t="shared" si="80"/>
        <v>107406113.70000002</v>
      </c>
      <c r="AC1284" s="1068">
        <v>42164</v>
      </c>
      <c r="AD1284" s="395">
        <v>107406113.7</v>
      </c>
      <c r="AE1284" s="371" t="s">
        <v>137</v>
      </c>
      <c r="AF1284" s="1044"/>
      <c r="AG1284" s="358"/>
      <c r="AH1284" s="358"/>
      <c r="AI1284" s="1044"/>
      <c r="AJ1284" s="386"/>
      <c r="AK1284" s="1063"/>
      <c r="AL1284" s="1063"/>
      <c r="AM1284" s="1063"/>
      <c r="AN1284" s="1109"/>
      <c r="AO1284" s="1104"/>
      <c r="AP1284" s="1104"/>
      <c r="AQ1284" s="1104"/>
    </row>
    <row r="1285" spans="1:43" ht="15" customHeight="1">
      <c r="A1285" s="1033"/>
      <c r="B1285" s="1069"/>
      <c r="C1285" s="1033"/>
      <c r="D1285" s="1033"/>
      <c r="E1285" s="1072"/>
      <c r="F1285" s="1072"/>
      <c r="G1285" s="1033"/>
      <c r="H1285" s="1033"/>
      <c r="I1285" s="1033"/>
      <c r="J1285" s="1033"/>
      <c r="K1285" s="1033"/>
      <c r="L1285" s="1033"/>
      <c r="M1285" s="1039"/>
      <c r="N1285" s="1067"/>
      <c r="O1285" s="1064"/>
      <c r="P1285" s="1063"/>
      <c r="Q1285" s="1063"/>
      <c r="R1285" s="1069"/>
      <c r="S1285" s="1093"/>
      <c r="T1285" s="1064"/>
      <c r="U1285" s="1064"/>
      <c r="V1285" s="1045"/>
      <c r="W1285" s="1063"/>
      <c r="X1285" s="1033"/>
      <c r="Y1285" s="1067"/>
      <c r="Z1285" s="386">
        <v>915976105.09000003</v>
      </c>
      <c r="AA1285" s="386">
        <v>-183195221.11000001</v>
      </c>
      <c r="AB1285" s="386">
        <f t="shared" si="80"/>
        <v>732780883.98000002</v>
      </c>
      <c r="AC1285" s="1070"/>
      <c r="AD1285" s="395">
        <v>732780883.98000002</v>
      </c>
      <c r="AE1285" s="371" t="s">
        <v>7</v>
      </c>
      <c r="AF1285" s="1044"/>
      <c r="AG1285" s="358"/>
      <c r="AH1285" s="358"/>
      <c r="AI1285" s="1045"/>
      <c r="AJ1285" s="386"/>
      <c r="AK1285" s="1063"/>
      <c r="AL1285" s="1063"/>
      <c r="AM1285" s="1063"/>
      <c r="AN1285" s="1109"/>
      <c r="AO1285" s="1104"/>
      <c r="AP1285" s="1104"/>
      <c r="AQ1285" s="1104"/>
    </row>
    <row r="1286" spans="1:43" ht="15" customHeight="1">
      <c r="A1286" s="1033"/>
      <c r="B1286" s="1069"/>
      <c r="C1286" s="1033"/>
      <c r="D1286" s="1033"/>
      <c r="E1286" s="1072"/>
      <c r="F1286" s="1072"/>
      <c r="G1286" s="1033"/>
      <c r="H1286" s="1033"/>
      <c r="I1286" s="1033"/>
      <c r="J1286" s="1033"/>
      <c r="K1286" s="1033"/>
      <c r="L1286" s="1033"/>
      <c r="M1286" s="1039"/>
      <c r="N1286" s="1065" t="s">
        <v>7</v>
      </c>
      <c r="O1286" s="1062">
        <v>1639767714</v>
      </c>
      <c r="P1286" s="1063"/>
      <c r="Q1286" s="1063"/>
      <c r="R1286" s="1069"/>
      <c r="S1286" s="1093"/>
      <c r="T1286" s="1062">
        <v>1639767714</v>
      </c>
      <c r="U1286" s="1062">
        <f>O1286-T1286</f>
        <v>0</v>
      </c>
      <c r="V1286" s="1043">
        <v>1607826808.98</v>
      </c>
      <c r="W1286" s="1063"/>
      <c r="X1286" s="1033"/>
      <c r="Y1286" s="1065" t="s">
        <v>1822</v>
      </c>
      <c r="Z1286" s="386">
        <f>AD1286*100/80</f>
        <v>74257354.25</v>
      </c>
      <c r="AA1286" s="386">
        <v>-14851470.85</v>
      </c>
      <c r="AB1286" s="386">
        <f t="shared" si="80"/>
        <v>59405883.399999999</v>
      </c>
      <c r="AC1286" s="1068">
        <v>42261</v>
      </c>
      <c r="AD1286" s="395">
        <v>59405883.399999999</v>
      </c>
      <c r="AE1286" s="371" t="s">
        <v>137</v>
      </c>
      <c r="AF1286" s="1044"/>
      <c r="AG1286" s="358"/>
      <c r="AH1286" s="358"/>
      <c r="AI1286" s="1043"/>
      <c r="AJ1286" s="386"/>
      <c r="AK1286" s="1063"/>
      <c r="AL1286" s="1063"/>
      <c r="AM1286" s="1063"/>
      <c r="AN1286" s="1109"/>
      <c r="AO1286" s="1104"/>
      <c r="AP1286" s="1104"/>
      <c r="AQ1286" s="1104"/>
    </row>
    <row r="1287" spans="1:43" ht="15" customHeight="1">
      <c r="A1287" s="1033"/>
      <c r="B1287" s="1069"/>
      <c r="C1287" s="1033"/>
      <c r="D1287" s="1033"/>
      <c r="E1287" s="1072"/>
      <c r="F1287" s="1072"/>
      <c r="G1287" s="1033"/>
      <c r="H1287" s="1033"/>
      <c r="I1287" s="1033"/>
      <c r="J1287" s="1033"/>
      <c r="K1287" s="1033"/>
      <c r="L1287" s="1033"/>
      <c r="M1287" s="1039"/>
      <c r="N1287" s="1066"/>
      <c r="O1287" s="1063"/>
      <c r="P1287" s="1063"/>
      <c r="Q1287" s="1063"/>
      <c r="R1287" s="1069"/>
      <c r="S1287" s="1093"/>
      <c r="T1287" s="1063"/>
      <c r="U1287" s="1063"/>
      <c r="V1287" s="1044"/>
      <c r="W1287" s="1063"/>
      <c r="X1287" s="1033"/>
      <c r="Y1287" s="1067"/>
      <c r="Z1287" s="386">
        <f>AD1287*100/80</f>
        <v>506622650.625</v>
      </c>
      <c r="AA1287" s="386">
        <v>-101324530.125</v>
      </c>
      <c r="AB1287" s="386">
        <f t="shared" si="80"/>
        <v>405298120.5</v>
      </c>
      <c r="AC1287" s="1070"/>
      <c r="AD1287" s="395">
        <v>405298120.5</v>
      </c>
      <c r="AE1287" s="371" t="s">
        <v>7</v>
      </c>
      <c r="AF1287" s="1044"/>
      <c r="AG1287" s="358"/>
      <c r="AH1287" s="358"/>
      <c r="AI1287" s="1044"/>
      <c r="AJ1287" s="386"/>
      <c r="AK1287" s="1063"/>
      <c r="AL1287" s="1063"/>
      <c r="AM1287" s="1063"/>
      <c r="AN1287" s="1109"/>
      <c r="AO1287" s="1104"/>
      <c r="AP1287" s="1104"/>
      <c r="AQ1287" s="1104"/>
    </row>
    <row r="1288" spans="1:43" ht="15" customHeight="1">
      <c r="A1288" s="1033"/>
      <c r="B1288" s="1069"/>
      <c r="C1288" s="1033"/>
      <c r="D1288" s="1033"/>
      <c r="E1288" s="1072"/>
      <c r="F1288" s="1072"/>
      <c r="G1288" s="1033"/>
      <c r="H1288" s="1033"/>
      <c r="I1288" s="1033"/>
      <c r="J1288" s="1033"/>
      <c r="K1288" s="1033"/>
      <c r="L1288" s="1033"/>
      <c r="M1288" s="1039"/>
      <c r="N1288" s="1066"/>
      <c r="O1288" s="1063"/>
      <c r="P1288" s="1063"/>
      <c r="Q1288" s="1063"/>
      <c r="R1288" s="1069"/>
      <c r="S1288" s="1093"/>
      <c r="T1288" s="1063"/>
      <c r="U1288" s="1063"/>
      <c r="V1288" s="1044"/>
      <c r="W1288" s="1063"/>
      <c r="X1288" s="1033"/>
      <c r="Y1288" s="1065"/>
      <c r="Z1288" s="386"/>
      <c r="AA1288" s="386"/>
      <c r="AB1288" s="386">
        <f t="shared" si="80"/>
        <v>0</v>
      </c>
      <c r="AC1288" s="384"/>
      <c r="AD1288" s="395"/>
      <c r="AE1288" s="371"/>
      <c r="AF1288" s="1044"/>
      <c r="AG1288" s="358"/>
      <c r="AH1288" s="358"/>
      <c r="AI1288" s="1044"/>
      <c r="AJ1288" s="386"/>
      <c r="AK1288" s="1063"/>
      <c r="AL1288" s="1063"/>
      <c r="AM1288" s="1063"/>
      <c r="AN1288" s="1109"/>
      <c r="AO1288" s="1104"/>
      <c r="AP1288" s="1104"/>
      <c r="AQ1288" s="1104"/>
    </row>
    <row r="1289" spans="1:43" ht="15" customHeight="1">
      <c r="A1289" s="1033"/>
      <c r="B1289" s="1069"/>
      <c r="C1289" s="1033"/>
      <c r="D1289" s="1033"/>
      <c r="E1289" s="1072"/>
      <c r="F1289" s="1072"/>
      <c r="G1289" s="1033"/>
      <c r="H1289" s="1033"/>
      <c r="I1289" s="1033"/>
      <c r="J1289" s="1033"/>
      <c r="K1289" s="1033"/>
      <c r="L1289" s="1033"/>
      <c r="M1289" s="1010"/>
      <c r="N1289" s="1067"/>
      <c r="O1289" s="1064"/>
      <c r="P1289" s="1064"/>
      <c r="Q1289" s="1063"/>
      <c r="R1289" s="1070"/>
      <c r="S1289" s="1094"/>
      <c r="T1289" s="1064"/>
      <c r="U1289" s="1064"/>
      <c r="V1289" s="1045"/>
      <c r="W1289" s="1063"/>
      <c r="X1289" s="1033"/>
      <c r="Y1289" s="1067"/>
      <c r="Z1289" s="386"/>
      <c r="AA1289" s="386"/>
      <c r="AB1289" s="386">
        <f t="shared" si="80"/>
        <v>0</v>
      </c>
      <c r="AC1289" s="384"/>
      <c r="AD1289" s="395"/>
      <c r="AE1289" s="371"/>
      <c r="AF1289" s="1045"/>
      <c r="AG1289" s="358"/>
      <c r="AH1289" s="358"/>
      <c r="AI1289" s="1045"/>
      <c r="AJ1289" s="386"/>
      <c r="AK1289" s="1064"/>
      <c r="AL1289" s="1064"/>
      <c r="AM1289" s="1064"/>
      <c r="AN1289" s="1109"/>
      <c r="AO1289" s="1104"/>
      <c r="AP1289" s="1104"/>
      <c r="AQ1289" s="1104"/>
    </row>
    <row r="1290" spans="1:43" ht="15" customHeight="1">
      <c r="A1290" s="1033"/>
      <c r="B1290" s="1069"/>
      <c r="C1290" s="1033"/>
      <c r="D1290" s="1033"/>
      <c r="E1290" s="1072"/>
      <c r="F1290" s="1072"/>
      <c r="G1290" s="1033"/>
      <c r="H1290" s="1033"/>
      <c r="I1290" s="1033"/>
      <c r="J1290" s="1033"/>
      <c r="K1290" s="1033"/>
      <c r="L1290" s="1033"/>
      <c r="M1290" s="1009">
        <v>8</v>
      </c>
      <c r="N1290" s="1065" t="s">
        <v>157</v>
      </c>
      <c r="O1290" s="1062">
        <v>409469717</v>
      </c>
      <c r="P1290" s="1062">
        <v>409469717</v>
      </c>
      <c r="Q1290" s="1063"/>
      <c r="R1290" s="1068">
        <v>41759</v>
      </c>
      <c r="S1290" s="1092">
        <f>T1290</f>
        <v>409469717</v>
      </c>
      <c r="T1290" s="1092">
        <v>409469717</v>
      </c>
      <c r="U1290" s="1092">
        <f>O1290-T1290</f>
        <v>0</v>
      </c>
      <c r="V1290" s="1043">
        <v>401493688.91000003</v>
      </c>
      <c r="W1290" s="1063"/>
      <c r="X1290" s="1033"/>
      <c r="Y1290" s="372" t="s">
        <v>1820</v>
      </c>
      <c r="Z1290" s="386">
        <v>0</v>
      </c>
      <c r="AA1290" s="386">
        <v>80298737.780000001</v>
      </c>
      <c r="AB1290" s="386">
        <f t="shared" si="80"/>
        <v>80298737.780000001</v>
      </c>
      <c r="AC1290" s="384">
        <v>42031</v>
      </c>
      <c r="AD1290" s="395">
        <v>80298737.780000001</v>
      </c>
      <c r="AE1290" s="371" t="s">
        <v>157</v>
      </c>
      <c r="AF1290" s="1043">
        <f>SUM(AD1290:AD1293)</f>
        <v>364490750.80000001</v>
      </c>
      <c r="AG1290" s="358"/>
      <c r="AH1290" s="358"/>
      <c r="AI1290" s="1043"/>
      <c r="AJ1290" s="386"/>
      <c r="AK1290" s="1062"/>
      <c r="AL1290" s="1062"/>
      <c r="AM1290" s="1062"/>
      <c r="AN1290" s="1109"/>
      <c r="AO1290" s="1104"/>
      <c r="AP1290" s="1104"/>
      <c r="AQ1290" s="1104"/>
    </row>
    <row r="1291" spans="1:43" ht="15" customHeight="1">
      <c r="A1291" s="1033"/>
      <c r="B1291" s="1069"/>
      <c r="C1291" s="1033"/>
      <c r="D1291" s="1033"/>
      <c r="E1291" s="1072"/>
      <c r="F1291" s="1072"/>
      <c r="G1291" s="1033"/>
      <c r="H1291" s="1033"/>
      <c r="I1291" s="1033"/>
      <c r="J1291" s="1033"/>
      <c r="K1291" s="1033"/>
      <c r="L1291" s="1033"/>
      <c r="M1291" s="1039"/>
      <c r="N1291" s="1066"/>
      <c r="O1291" s="1063"/>
      <c r="P1291" s="1063"/>
      <c r="Q1291" s="1063"/>
      <c r="R1291" s="1069"/>
      <c r="S1291" s="1093"/>
      <c r="T1291" s="1093"/>
      <c r="U1291" s="1093"/>
      <c r="V1291" s="1044"/>
      <c r="W1291" s="1063"/>
      <c r="X1291" s="1033"/>
      <c r="Y1291" s="372" t="s">
        <v>1821</v>
      </c>
      <c r="Z1291" s="386">
        <v>228730248.38999999</v>
      </c>
      <c r="AA1291" s="386">
        <v>-45746050.07</v>
      </c>
      <c r="AB1291" s="386">
        <f t="shared" si="80"/>
        <v>182984198.31999999</v>
      </c>
      <c r="AC1291" s="384">
        <v>42164</v>
      </c>
      <c r="AD1291" s="395">
        <v>182984198.31999999</v>
      </c>
      <c r="AE1291" s="371" t="s">
        <v>157</v>
      </c>
      <c r="AF1291" s="1044"/>
      <c r="AG1291" s="358"/>
      <c r="AH1291" s="358"/>
      <c r="AI1291" s="1044"/>
      <c r="AJ1291" s="386"/>
      <c r="AK1291" s="1063"/>
      <c r="AL1291" s="1063"/>
      <c r="AM1291" s="1063"/>
      <c r="AN1291" s="1109"/>
      <c r="AO1291" s="1104"/>
      <c r="AP1291" s="1104"/>
      <c r="AQ1291" s="1104"/>
    </row>
    <row r="1292" spans="1:43" ht="15" customHeight="1">
      <c r="A1292" s="1033"/>
      <c r="B1292" s="1069"/>
      <c r="C1292" s="1033"/>
      <c r="D1292" s="1033"/>
      <c r="E1292" s="1072"/>
      <c r="F1292" s="1072"/>
      <c r="G1292" s="1033"/>
      <c r="H1292" s="1033"/>
      <c r="I1292" s="1033"/>
      <c r="J1292" s="1033"/>
      <c r="K1292" s="1033"/>
      <c r="L1292" s="1033"/>
      <c r="M1292" s="1039"/>
      <c r="N1292" s="1066"/>
      <c r="O1292" s="1063"/>
      <c r="P1292" s="1063"/>
      <c r="Q1292" s="1063"/>
      <c r="R1292" s="1069"/>
      <c r="S1292" s="1093"/>
      <c r="T1292" s="1093"/>
      <c r="U1292" s="1093"/>
      <c r="V1292" s="1044"/>
      <c r="W1292" s="1063"/>
      <c r="X1292" s="1033"/>
      <c r="Y1292" s="372" t="s">
        <v>1822</v>
      </c>
      <c r="Z1292" s="386">
        <v>126509768.375</v>
      </c>
      <c r="AA1292" s="386">
        <v>-25301953.675000001</v>
      </c>
      <c r="AB1292" s="386">
        <f t="shared" si="80"/>
        <v>101207814.7</v>
      </c>
      <c r="AC1292" s="384">
        <v>42261</v>
      </c>
      <c r="AD1292" s="395">
        <v>101207814.7</v>
      </c>
      <c r="AE1292" s="371" t="s">
        <v>157</v>
      </c>
      <c r="AF1292" s="1044"/>
      <c r="AG1292" s="358"/>
      <c r="AH1292" s="358"/>
      <c r="AI1292" s="1044"/>
      <c r="AJ1292" s="386"/>
      <c r="AK1292" s="1063"/>
      <c r="AL1292" s="1063"/>
      <c r="AM1292" s="1063"/>
      <c r="AN1292" s="1109"/>
      <c r="AO1292" s="1104"/>
      <c r="AP1292" s="1104"/>
      <c r="AQ1292" s="1104"/>
    </row>
    <row r="1293" spans="1:43" ht="15" customHeight="1">
      <c r="A1293" s="1012"/>
      <c r="B1293" s="1070"/>
      <c r="C1293" s="1012"/>
      <c r="D1293" s="1012"/>
      <c r="E1293" s="1073"/>
      <c r="F1293" s="1073"/>
      <c r="G1293" s="1012"/>
      <c r="H1293" s="1012"/>
      <c r="I1293" s="1012"/>
      <c r="J1293" s="1012"/>
      <c r="K1293" s="1012"/>
      <c r="L1293" s="1012"/>
      <c r="M1293" s="1010"/>
      <c r="N1293" s="1067"/>
      <c r="O1293" s="1064"/>
      <c r="P1293" s="1064"/>
      <c r="Q1293" s="1064"/>
      <c r="R1293" s="1070"/>
      <c r="S1293" s="1094"/>
      <c r="T1293" s="1094"/>
      <c r="U1293" s="1094"/>
      <c r="V1293" s="1045"/>
      <c r="W1293" s="1064"/>
      <c r="X1293" s="1012"/>
      <c r="Y1293" s="372"/>
      <c r="Z1293" s="386"/>
      <c r="AA1293" s="386"/>
      <c r="AB1293" s="386">
        <f t="shared" si="80"/>
        <v>0</v>
      </c>
      <c r="AC1293" s="384"/>
      <c r="AD1293" s="395"/>
      <c r="AE1293" s="371"/>
      <c r="AF1293" s="1045"/>
      <c r="AG1293" s="358"/>
      <c r="AH1293" s="358"/>
      <c r="AI1293" s="1045"/>
      <c r="AJ1293" s="386"/>
      <c r="AK1293" s="1064"/>
      <c r="AL1293" s="1064"/>
      <c r="AM1293" s="1064"/>
      <c r="AN1293" s="1110"/>
      <c r="AO1293" s="1105"/>
      <c r="AP1293" s="1105"/>
      <c r="AQ1293" s="1105"/>
    </row>
    <row r="1294" spans="1:43" ht="15" customHeight="1">
      <c r="A1294" s="1011" t="s">
        <v>2017</v>
      </c>
      <c r="B1294" s="1068">
        <v>42031</v>
      </c>
      <c r="C1294" s="1011" t="s">
        <v>39</v>
      </c>
      <c r="D1294" s="1011" t="s">
        <v>1533</v>
      </c>
      <c r="E1294" s="1071">
        <v>10482754</v>
      </c>
      <c r="F1294" s="1071"/>
      <c r="G1294" s="1011" t="s">
        <v>2018</v>
      </c>
      <c r="H1294" s="1011" t="s">
        <v>71</v>
      </c>
      <c r="I1294" s="1011" t="s">
        <v>1235</v>
      </c>
      <c r="J1294" s="1011" t="s">
        <v>66</v>
      </c>
      <c r="K1294" s="1011" t="s">
        <v>183</v>
      </c>
      <c r="L1294" s="1011" t="s">
        <v>2020</v>
      </c>
      <c r="M1294" s="1065"/>
      <c r="N1294" s="1065"/>
      <c r="O1294" s="1062"/>
      <c r="P1294" s="1062"/>
      <c r="Q1294" s="1062"/>
      <c r="R1294" s="1068"/>
      <c r="S1294" s="1092"/>
      <c r="T1294" s="1062"/>
      <c r="U1294" s="1062"/>
      <c r="V1294" s="1043">
        <v>32741520</v>
      </c>
      <c r="W1294" s="1043">
        <v>32741520</v>
      </c>
      <c r="X1294" s="1011" t="s">
        <v>2019</v>
      </c>
      <c r="Y1294" s="372" t="s">
        <v>2021</v>
      </c>
      <c r="Z1294" s="386">
        <v>29431881</v>
      </c>
      <c r="AA1294" s="386">
        <v>0</v>
      </c>
      <c r="AB1294" s="386">
        <f>AA1294+Z1294</f>
        <v>29431881</v>
      </c>
      <c r="AC1294" s="384"/>
      <c r="AD1294" s="395"/>
      <c r="AE1294" s="371"/>
      <c r="AF1294" s="358"/>
      <c r="AG1294" s="358"/>
      <c r="AH1294" s="358"/>
      <c r="AI1294" s="358"/>
      <c r="AJ1294" s="1062">
        <v>0</v>
      </c>
      <c r="AK1294" s="1062">
        <v>0</v>
      </c>
      <c r="AL1294" s="1062">
        <v>0</v>
      </c>
      <c r="AM1294" s="1062">
        <v>0</v>
      </c>
      <c r="AN1294" s="1108"/>
      <c r="AO1294" s="1103" t="s">
        <v>2023</v>
      </c>
      <c r="AP1294" s="1103" t="s">
        <v>194</v>
      </c>
      <c r="AQ1294" s="1103" t="s">
        <v>1911</v>
      </c>
    </row>
    <row r="1295" spans="1:43" ht="15" customHeight="1">
      <c r="A1295" s="1012"/>
      <c r="B1295" s="1070"/>
      <c r="C1295" s="1012"/>
      <c r="D1295" s="1012"/>
      <c r="E1295" s="1073"/>
      <c r="F1295" s="1073"/>
      <c r="G1295" s="1012"/>
      <c r="H1295" s="1012"/>
      <c r="I1295" s="1012"/>
      <c r="J1295" s="1012"/>
      <c r="K1295" s="1012"/>
      <c r="L1295" s="1012"/>
      <c r="M1295" s="1067"/>
      <c r="N1295" s="1067"/>
      <c r="O1295" s="1064"/>
      <c r="P1295" s="1064"/>
      <c r="Q1295" s="1064"/>
      <c r="R1295" s="1070"/>
      <c r="S1295" s="1094"/>
      <c r="T1295" s="1064"/>
      <c r="U1295" s="1064"/>
      <c r="V1295" s="1045"/>
      <c r="W1295" s="1045"/>
      <c r="X1295" s="1012"/>
      <c r="Y1295" s="372" t="s">
        <v>2022</v>
      </c>
      <c r="Z1295" s="386">
        <v>3309638</v>
      </c>
      <c r="AA1295" s="386">
        <v>0</v>
      </c>
      <c r="AB1295" s="386">
        <f>AA1295+Z1295</f>
        <v>3309638</v>
      </c>
      <c r="AC1295" s="384"/>
      <c r="AD1295" s="395"/>
      <c r="AE1295" s="371"/>
      <c r="AF1295" s="358"/>
      <c r="AG1295" s="358"/>
      <c r="AH1295" s="358"/>
      <c r="AI1295" s="358"/>
      <c r="AJ1295" s="1064"/>
      <c r="AK1295" s="1064"/>
      <c r="AL1295" s="1064"/>
      <c r="AM1295" s="1064"/>
      <c r="AN1295" s="1110"/>
      <c r="AO1295" s="1105"/>
      <c r="AP1295" s="1105"/>
      <c r="AQ1295" s="1105"/>
    </row>
    <row r="1296" spans="1:43" s="4" customFormat="1" ht="15" customHeight="1">
      <c r="A1296" s="1228" t="s">
        <v>1878</v>
      </c>
      <c r="B1296" s="1171">
        <v>42041</v>
      </c>
      <c r="C1296" s="1228" t="s">
        <v>41</v>
      </c>
      <c r="D1296" s="1228" t="s">
        <v>1877</v>
      </c>
      <c r="E1296" s="1229">
        <v>900815336</v>
      </c>
      <c r="F1296" s="1232"/>
      <c r="G1296" s="1228" t="s">
        <v>1876</v>
      </c>
      <c r="H1296" s="1228" t="s">
        <v>71</v>
      </c>
      <c r="I1296" s="1228" t="s">
        <v>1221</v>
      </c>
      <c r="J1296" s="1228" t="s">
        <v>66</v>
      </c>
      <c r="K1296" s="1149" t="s">
        <v>48</v>
      </c>
      <c r="L1296" s="1149" t="s">
        <v>1880</v>
      </c>
      <c r="M1296" s="1209">
        <v>308</v>
      </c>
      <c r="N1296" s="1122" t="s">
        <v>137</v>
      </c>
      <c r="O1296" s="1149">
        <v>100486125</v>
      </c>
      <c r="P1296" s="1149">
        <f>SUM(O1296:O1299)</f>
        <v>495503165</v>
      </c>
      <c r="Q1296" s="1149">
        <f>SUM(P1296:P1305)</f>
        <v>1092744712</v>
      </c>
      <c r="R1296" s="1068">
        <v>41879</v>
      </c>
      <c r="S1296" s="1234"/>
      <c r="T1296" s="1100"/>
      <c r="U1296" s="1100"/>
      <c r="V1296" s="1149">
        <f>756702320+O1305</f>
        <v>1092267713</v>
      </c>
      <c r="W1296" s="1149">
        <f>756702320+P1305</f>
        <v>1092267713</v>
      </c>
      <c r="X1296" s="1023"/>
      <c r="Y1296" s="372" t="s">
        <v>1875</v>
      </c>
      <c r="Z1296" s="397">
        <v>0</v>
      </c>
      <c r="AA1296" s="397">
        <v>302680928</v>
      </c>
      <c r="AB1296" s="397">
        <f t="shared" ref="AB1296:AB1304" si="81">SUM(Z1296:AA1296)</f>
        <v>302680928</v>
      </c>
      <c r="AC1296" s="384">
        <v>42209</v>
      </c>
      <c r="AD1296" s="371">
        <v>40169128.770000003</v>
      </c>
      <c r="AE1296" s="1122" t="s">
        <v>137</v>
      </c>
      <c r="AF1296" s="1249">
        <f>SUM(AD1296:AD1301)</f>
        <v>426021024.82999992</v>
      </c>
      <c r="AG1296" s="1149">
        <f>SUM(AD1296:AD1304)</f>
        <v>634721085.99999988</v>
      </c>
      <c r="AH1296" s="1149">
        <v>0</v>
      </c>
      <c r="AI1296" s="1149">
        <v>0</v>
      </c>
      <c r="AJ1296" s="1149">
        <v>0</v>
      </c>
      <c r="AK1296" s="1149">
        <f>Q1296-W1296</f>
        <v>476999</v>
      </c>
      <c r="AL1296" s="1149"/>
      <c r="AM1296" s="1149"/>
      <c r="AN1296" s="1149"/>
      <c r="AO1296" s="1149" t="s">
        <v>1881</v>
      </c>
      <c r="AP1296" s="1103" t="s">
        <v>195</v>
      </c>
      <c r="AQ1296" s="1103" t="s">
        <v>1619</v>
      </c>
    </row>
    <row r="1297" spans="1:43" s="4" customFormat="1" ht="15" customHeight="1">
      <c r="A1297" s="1228"/>
      <c r="B1297" s="1171"/>
      <c r="C1297" s="1228"/>
      <c r="D1297" s="1228"/>
      <c r="E1297" s="1230"/>
      <c r="F1297" s="1232"/>
      <c r="G1297" s="1228"/>
      <c r="H1297" s="1228"/>
      <c r="I1297" s="1228"/>
      <c r="J1297" s="1228"/>
      <c r="K1297" s="1149"/>
      <c r="L1297" s="1149"/>
      <c r="M1297" s="1209"/>
      <c r="N1297" s="1122"/>
      <c r="O1297" s="1149"/>
      <c r="P1297" s="1149"/>
      <c r="Q1297" s="1149"/>
      <c r="R1297" s="1069"/>
      <c r="S1297" s="1235"/>
      <c r="T1297" s="1101"/>
      <c r="U1297" s="1101"/>
      <c r="V1297" s="1149"/>
      <c r="W1297" s="1149"/>
      <c r="X1297" s="1124"/>
      <c r="Y1297" s="372" t="s">
        <v>1874</v>
      </c>
      <c r="Z1297" s="397">
        <v>366188713</v>
      </c>
      <c r="AA1297" s="397">
        <v>-146475485</v>
      </c>
      <c r="AB1297" s="397">
        <f t="shared" si="81"/>
        <v>219713228</v>
      </c>
      <c r="AC1297" s="384">
        <v>42366</v>
      </c>
      <c r="AD1297" s="371">
        <v>29158391.329999998</v>
      </c>
      <c r="AE1297" s="1122"/>
      <c r="AF1297" s="1249"/>
      <c r="AG1297" s="1149"/>
      <c r="AH1297" s="1149"/>
      <c r="AI1297" s="1149"/>
      <c r="AJ1297" s="1149"/>
      <c r="AK1297" s="1149"/>
      <c r="AL1297" s="1149"/>
      <c r="AM1297" s="1149"/>
      <c r="AN1297" s="1149"/>
      <c r="AO1297" s="1149"/>
      <c r="AP1297" s="1104"/>
      <c r="AQ1297" s="1104"/>
    </row>
    <row r="1298" spans="1:43" s="4" customFormat="1" ht="15" customHeight="1">
      <c r="A1298" s="1228"/>
      <c r="B1298" s="1171"/>
      <c r="C1298" s="1228"/>
      <c r="D1298" s="1228"/>
      <c r="E1298" s="1230"/>
      <c r="F1298" s="1232"/>
      <c r="G1298" s="1228"/>
      <c r="H1298" s="1228"/>
      <c r="I1298" s="1228"/>
      <c r="J1298" s="1228"/>
      <c r="K1298" s="1149"/>
      <c r="L1298" s="1149"/>
      <c r="M1298" s="1209"/>
      <c r="N1298" s="1122"/>
      <c r="O1298" s="1149"/>
      <c r="P1298" s="1149"/>
      <c r="Q1298" s="1149"/>
      <c r="R1298" s="1069"/>
      <c r="S1298" s="1235"/>
      <c r="T1298" s="1102"/>
      <c r="U1298" s="1102"/>
      <c r="V1298" s="1149"/>
      <c r="W1298" s="1149"/>
      <c r="X1298" s="1124"/>
      <c r="Y1298" s="372" t="s">
        <v>1873</v>
      </c>
      <c r="Z1298" s="397">
        <v>187211555</v>
      </c>
      <c r="AA1298" s="397">
        <v>-74884622</v>
      </c>
      <c r="AB1298" s="397">
        <f t="shared" si="81"/>
        <v>112326933</v>
      </c>
      <c r="AC1298" s="384">
        <v>42612</v>
      </c>
      <c r="AD1298" s="371">
        <v>24835484.890000001</v>
      </c>
      <c r="AE1298" s="1122"/>
      <c r="AF1298" s="1249"/>
      <c r="AG1298" s="1149"/>
      <c r="AH1298" s="1149"/>
      <c r="AI1298" s="1149"/>
      <c r="AJ1298" s="1149"/>
      <c r="AK1298" s="1149"/>
      <c r="AL1298" s="1149"/>
      <c r="AM1298" s="1149"/>
      <c r="AN1298" s="1149"/>
      <c r="AO1298" s="1149"/>
      <c r="AP1298" s="1104"/>
      <c r="AQ1298" s="1104"/>
    </row>
    <row r="1299" spans="1:43" s="4" customFormat="1" ht="15" customHeight="1">
      <c r="A1299" s="1228"/>
      <c r="B1299" s="1171"/>
      <c r="C1299" s="1228"/>
      <c r="D1299" s="1228"/>
      <c r="E1299" s="1230"/>
      <c r="F1299" s="1232"/>
      <c r="G1299" s="1228"/>
      <c r="H1299" s="1228"/>
      <c r="I1299" s="1228"/>
      <c r="J1299" s="1228"/>
      <c r="K1299" s="1149"/>
      <c r="L1299" s="1149"/>
      <c r="M1299" s="1209"/>
      <c r="N1299" s="1122" t="s">
        <v>7</v>
      </c>
      <c r="O1299" s="1149">
        <v>395017040</v>
      </c>
      <c r="P1299" s="1149"/>
      <c r="Q1299" s="1149"/>
      <c r="R1299" s="1069"/>
      <c r="S1299" s="1235"/>
      <c r="T1299" s="1100"/>
      <c r="U1299" s="1100"/>
      <c r="V1299" s="1149"/>
      <c r="W1299" s="1149"/>
      <c r="X1299" s="1124"/>
      <c r="Y1299" s="372" t="s">
        <v>1872</v>
      </c>
      <c r="Z1299" s="397"/>
      <c r="AA1299" s="397"/>
      <c r="AB1299" s="397">
        <f t="shared" si="81"/>
        <v>0</v>
      </c>
      <c r="AC1299" s="384">
        <v>42209</v>
      </c>
      <c r="AD1299" s="371">
        <v>157907276.71000001</v>
      </c>
      <c r="AE1299" s="1122" t="s">
        <v>7</v>
      </c>
      <c r="AF1299" s="1249"/>
      <c r="AG1299" s="1149"/>
      <c r="AH1299" s="1149"/>
      <c r="AI1299" s="1149"/>
      <c r="AJ1299" s="1149"/>
      <c r="AK1299" s="1149"/>
      <c r="AL1299" s="1149"/>
      <c r="AM1299" s="1149"/>
      <c r="AN1299" s="1149"/>
      <c r="AO1299" s="1149"/>
      <c r="AP1299" s="1104"/>
      <c r="AQ1299" s="1104"/>
    </row>
    <row r="1300" spans="1:43" s="4" customFormat="1" ht="15" customHeight="1">
      <c r="A1300" s="1228"/>
      <c r="B1300" s="1171"/>
      <c r="C1300" s="1228"/>
      <c r="D1300" s="1228"/>
      <c r="E1300" s="1230"/>
      <c r="F1300" s="1232"/>
      <c r="G1300" s="1228"/>
      <c r="H1300" s="1228"/>
      <c r="I1300" s="1228"/>
      <c r="J1300" s="1228"/>
      <c r="K1300" s="1149"/>
      <c r="L1300" s="1149"/>
      <c r="M1300" s="1209"/>
      <c r="N1300" s="1122"/>
      <c r="O1300" s="1149"/>
      <c r="P1300" s="1149"/>
      <c r="Q1300" s="1149"/>
      <c r="R1300" s="1069"/>
      <c r="S1300" s="1235"/>
      <c r="T1300" s="1101"/>
      <c r="U1300" s="1101"/>
      <c r="V1300" s="1149"/>
      <c r="W1300" s="1149"/>
      <c r="X1300" s="1124"/>
      <c r="Y1300" s="372" t="s">
        <v>1871</v>
      </c>
      <c r="Z1300" s="397"/>
      <c r="AA1300" s="397"/>
      <c r="AB1300" s="397">
        <f t="shared" si="81"/>
        <v>0</v>
      </c>
      <c r="AC1300" s="384">
        <v>42366</v>
      </c>
      <c r="AD1300" s="371">
        <v>114623401.34999999</v>
      </c>
      <c r="AE1300" s="1122"/>
      <c r="AF1300" s="1249"/>
      <c r="AG1300" s="1149"/>
      <c r="AH1300" s="1149"/>
      <c r="AI1300" s="1149"/>
      <c r="AJ1300" s="1149"/>
      <c r="AK1300" s="1149"/>
      <c r="AL1300" s="1149"/>
      <c r="AM1300" s="1149"/>
      <c r="AN1300" s="1149"/>
      <c r="AO1300" s="1149"/>
      <c r="AP1300" s="1104"/>
      <c r="AQ1300" s="1104"/>
    </row>
    <row r="1301" spans="1:43" s="4" customFormat="1" ht="15" customHeight="1">
      <c r="A1301" s="1228"/>
      <c r="B1301" s="1171"/>
      <c r="C1301" s="1228"/>
      <c r="D1301" s="1228"/>
      <c r="E1301" s="1230"/>
      <c r="F1301" s="1232"/>
      <c r="G1301" s="1228"/>
      <c r="H1301" s="1228"/>
      <c r="I1301" s="1228"/>
      <c r="J1301" s="1228"/>
      <c r="K1301" s="1149"/>
      <c r="L1301" s="1149"/>
      <c r="M1301" s="1209"/>
      <c r="N1301" s="1122"/>
      <c r="O1301" s="1149"/>
      <c r="P1301" s="1149"/>
      <c r="Q1301" s="1149"/>
      <c r="R1301" s="1070"/>
      <c r="S1301" s="1236"/>
      <c r="T1301" s="1102"/>
      <c r="U1301" s="1102"/>
      <c r="V1301" s="1149"/>
      <c r="W1301" s="1149"/>
      <c r="X1301" s="1124"/>
      <c r="Y1301" s="372" t="s">
        <v>1870</v>
      </c>
      <c r="Z1301" s="397"/>
      <c r="AA1301" s="397"/>
      <c r="AB1301" s="397">
        <f t="shared" si="81"/>
        <v>0</v>
      </c>
      <c r="AC1301" s="384">
        <v>42612</v>
      </c>
      <c r="AD1301" s="371">
        <v>59327341.780000001</v>
      </c>
      <c r="AE1301" s="1122"/>
      <c r="AF1301" s="1249"/>
      <c r="AG1301" s="1149"/>
      <c r="AH1301" s="1149"/>
      <c r="AI1301" s="1149"/>
      <c r="AJ1301" s="1149"/>
      <c r="AK1301" s="1149"/>
      <c r="AL1301" s="1149"/>
      <c r="AM1301" s="1149"/>
      <c r="AN1301" s="1149"/>
      <c r="AO1301" s="1149"/>
      <c r="AP1301" s="1104"/>
      <c r="AQ1301" s="1104"/>
    </row>
    <row r="1302" spans="1:43" s="4" customFormat="1" ht="15" customHeight="1">
      <c r="A1302" s="1228"/>
      <c r="B1302" s="1171"/>
      <c r="C1302" s="1228"/>
      <c r="D1302" s="1228"/>
      <c r="E1302" s="1230"/>
      <c r="F1302" s="1232"/>
      <c r="G1302" s="1228"/>
      <c r="H1302" s="1228"/>
      <c r="I1302" s="1228"/>
      <c r="J1302" s="1228"/>
      <c r="K1302" s="1149"/>
      <c r="L1302" s="1149"/>
      <c r="M1302" s="1209">
        <v>7</v>
      </c>
      <c r="N1302" s="1122" t="s">
        <v>166</v>
      </c>
      <c r="O1302" s="1149">
        <v>261676154</v>
      </c>
      <c r="P1302" s="1023">
        <f>O1302</f>
        <v>261676154</v>
      </c>
      <c r="Q1302" s="1149"/>
      <c r="R1302" s="1068">
        <v>41879</v>
      </c>
      <c r="S1302" s="1234"/>
      <c r="T1302" s="1234"/>
      <c r="U1302" s="1234"/>
      <c r="V1302" s="1149"/>
      <c r="W1302" s="1149"/>
      <c r="X1302" s="1124"/>
      <c r="Y1302" s="372" t="s">
        <v>1869</v>
      </c>
      <c r="Z1302" s="397"/>
      <c r="AA1302" s="397"/>
      <c r="AB1302" s="397">
        <f t="shared" si="81"/>
        <v>0</v>
      </c>
      <c r="AC1302" s="384">
        <v>42209</v>
      </c>
      <c r="AD1302" s="371">
        <v>104604522.52</v>
      </c>
      <c r="AE1302" s="1122" t="s">
        <v>166</v>
      </c>
      <c r="AF1302" s="1249">
        <f>SUM(AD1302:AE1304)</f>
        <v>208700061.16999996</v>
      </c>
      <c r="AG1302" s="1149"/>
      <c r="AH1302" s="1149"/>
      <c r="AI1302" s="1149"/>
      <c r="AJ1302" s="1149"/>
      <c r="AK1302" s="1149"/>
      <c r="AL1302" s="1149"/>
      <c r="AM1302" s="1149"/>
      <c r="AN1302" s="1149"/>
      <c r="AO1302" s="1149"/>
      <c r="AP1302" s="1104"/>
      <c r="AQ1302" s="1104"/>
    </row>
    <row r="1303" spans="1:43" s="4" customFormat="1" ht="15" customHeight="1">
      <c r="A1303" s="1228"/>
      <c r="B1303" s="1171"/>
      <c r="C1303" s="1228"/>
      <c r="D1303" s="1228"/>
      <c r="E1303" s="1230"/>
      <c r="F1303" s="1232"/>
      <c r="G1303" s="1228"/>
      <c r="H1303" s="1228"/>
      <c r="I1303" s="1228"/>
      <c r="J1303" s="1228"/>
      <c r="K1303" s="1149"/>
      <c r="L1303" s="1149"/>
      <c r="M1303" s="1209"/>
      <c r="N1303" s="1122"/>
      <c r="O1303" s="1149"/>
      <c r="P1303" s="1124"/>
      <c r="Q1303" s="1149"/>
      <c r="R1303" s="1069"/>
      <c r="S1303" s="1235"/>
      <c r="T1303" s="1235"/>
      <c r="U1303" s="1235"/>
      <c r="V1303" s="1149"/>
      <c r="W1303" s="1149"/>
      <c r="X1303" s="1124"/>
      <c r="Y1303" s="372" t="s">
        <v>1868</v>
      </c>
      <c r="Z1303" s="397"/>
      <c r="AA1303" s="397"/>
      <c r="AB1303" s="397">
        <f t="shared" si="81"/>
        <v>0</v>
      </c>
      <c r="AC1303" s="384">
        <v>42366</v>
      </c>
      <c r="AD1303" s="371">
        <v>75931435.319999993</v>
      </c>
      <c r="AE1303" s="1122"/>
      <c r="AF1303" s="1249"/>
      <c r="AG1303" s="1149"/>
      <c r="AH1303" s="1149"/>
      <c r="AI1303" s="1149"/>
      <c r="AJ1303" s="1149"/>
      <c r="AK1303" s="1149"/>
      <c r="AL1303" s="1149"/>
      <c r="AM1303" s="1149"/>
      <c r="AN1303" s="1149"/>
      <c r="AO1303" s="1149"/>
      <c r="AP1303" s="1104"/>
      <c r="AQ1303" s="1104"/>
    </row>
    <row r="1304" spans="1:43" s="4" customFormat="1" ht="15" customHeight="1">
      <c r="A1304" s="1228"/>
      <c r="B1304" s="1171"/>
      <c r="C1304" s="1228"/>
      <c r="D1304" s="1228"/>
      <c r="E1304" s="1230"/>
      <c r="F1304" s="1232"/>
      <c r="G1304" s="1228"/>
      <c r="H1304" s="1228"/>
      <c r="I1304" s="1228"/>
      <c r="J1304" s="1228"/>
      <c r="K1304" s="1149"/>
      <c r="L1304" s="1149"/>
      <c r="M1304" s="1209"/>
      <c r="N1304" s="1122"/>
      <c r="O1304" s="1149"/>
      <c r="P1304" s="1024"/>
      <c r="Q1304" s="1149"/>
      <c r="R1304" s="1070"/>
      <c r="S1304" s="1236"/>
      <c r="T1304" s="1236"/>
      <c r="U1304" s="1236"/>
      <c r="V1304" s="1149"/>
      <c r="W1304" s="1149"/>
      <c r="X1304" s="1124"/>
      <c r="Y1304" s="372" t="s">
        <v>1867</v>
      </c>
      <c r="Z1304" s="397"/>
      <c r="AA1304" s="397"/>
      <c r="AB1304" s="397">
        <f t="shared" si="81"/>
        <v>0</v>
      </c>
      <c r="AC1304" s="384">
        <v>42612</v>
      </c>
      <c r="AD1304" s="371">
        <v>28164103.329999998</v>
      </c>
      <c r="AE1304" s="1122"/>
      <c r="AF1304" s="1249"/>
      <c r="AG1304" s="1149"/>
      <c r="AH1304" s="1149"/>
      <c r="AI1304" s="1149"/>
      <c r="AJ1304" s="1149"/>
      <c r="AK1304" s="1149"/>
      <c r="AL1304" s="1149"/>
      <c r="AM1304" s="1149"/>
      <c r="AN1304" s="1149"/>
      <c r="AO1304" s="1149"/>
      <c r="AP1304" s="1104"/>
      <c r="AQ1304" s="1104"/>
    </row>
    <row r="1305" spans="1:43" s="4" customFormat="1" ht="15" customHeight="1">
      <c r="A1305" s="1228"/>
      <c r="B1305" s="1171"/>
      <c r="C1305" s="1228"/>
      <c r="D1305" s="1228"/>
      <c r="E1305" s="1231"/>
      <c r="F1305" s="1232"/>
      <c r="G1305" s="1228"/>
      <c r="H1305" s="1228"/>
      <c r="I1305" s="1228"/>
      <c r="J1305" s="1228"/>
      <c r="K1305" s="1149"/>
      <c r="L1305" s="1149"/>
      <c r="M1305" s="389">
        <v>3562</v>
      </c>
      <c r="N1305" s="371" t="s">
        <v>166</v>
      </c>
      <c r="O1305" s="382">
        <v>335565393</v>
      </c>
      <c r="P1305" s="382">
        <f>O1305</f>
        <v>335565393</v>
      </c>
      <c r="Q1305" s="1149"/>
      <c r="R1305" s="384">
        <v>42971</v>
      </c>
      <c r="S1305" s="402"/>
      <c r="T1305" s="403"/>
      <c r="U1305" s="403"/>
      <c r="V1305" s="1149"/>
      <c r="W1305" s="1149"/>
      <c r="X1305" s="1024"/>
      <c r="Y1305" s="372"/>
      <c r="Z1305" s="397"/>
      <c r="AA1305" s="397"/>
      <c r="AB1305" s="397"/>
      <c r="AC1305" s="384"/>
      <c r="AD1305" s="371"/>
      <c r="AE1305" s="371"/>
      <c r="AF1305" s="1249"/>
      <c r="AG1305" s="1149"/>
      <c r="AH1305" s="1149"/>
      <c r="AI1305" s="1149"/>
      <c r="AJ1305" s="1149"/>
      <c r="AK1305" s="1149"/>
      <c r="AL1305" s="1149"/>
      <c r="AM1305" s="1149"/>
      <c r="AN1305" s="1149"/>
      <c r="AO1305" s="1149"/>
      <c r="AP1305" s="1105"/>
      <c r="AQ1305" s="1105"/>
    </row>
    <row r="1306" spans="1:43" ht="15" customHeight="1">
      <c r="A1306" s="1011" t="s">
        <v>1823</v>
      </c>
      <c r="B1306" s="1068">
        <v>42041</v>
      </c>
      <c r="C1306" s="1011" t="s">
        <v>23</v>
      </c>
      <c r="D1306" s="1011" t="s">
        <v>1824</v>
      </c>
      <c r="E1306" s="1071">
        <v>900816645</v>
      </c>
      <c r="F1306" s="1071">
        <v>8</v>
      </c>
      <c r="G1306" s="1011" t="s">
        <v>1825</v>
      </c>
      <c r="H1306" s="1011" t="s">
        <v>72</v>
      </c>
      <c r="I1306" s="1011" t="s">
        <v>206</v>
      </c>
      <c r="J1306" s="1011" t="s">
        <v>66</v>
      </c>
      <c r="K1306" s="1011" t="s">
        <v>50</v>
      </c>
      <c r="L1306" s="1011" t="s">
        <v>1827</v>
      </c>
      <c r="M1306" s="1009">
        <v>4</v>
      </c>
      <c r="N1306" s="1065" t="s">
        <v>146</v>
      </c>
      <c r="O1306" s="1062">
        <v>270307840</v>
      </c>
      <c r="P1306" s="1062">
        <f>O1306</f>
        <v>270307840</v>
      </c>
      <c r="Q1306" s="1062">
        <f>270307840+P1310</f>
        <v>338554524</v>
      </c>
      <c r="R1306" s="1068">
        <v>41936</v>
      </c>
      <c r="S1306" s="1092">
        <f>T1306</f>
        <v>270307840</v>
      </c>
      <c r="T1306" s="1092">
        <v>270307840</v>
      </c>
      <c r="U1306" s="1092">
        <f>O1306-T1306</f>
        <v>0</v>
      </c>
      <c r="V1306" s="1043">
        <v>270270270</v>
      </c>
      <c r="W1306" s="1062">
        <f>V1306+V1310</f>
        <v>338516954</v>
      </c>
      <c r="X1306" s="1011" t="s">
        <v>1826</v>
      </c>
      <c r="Y1306" s="372" t="s">
        <v>1828</v>
      </c>
      <c r="Z1306" s="386">
        <v>0</v>
      </c>
      <c r="AA1306" s="386">
        <v>27027027</v>
      </c>
      <c r="AB1306" s="386">
        <f t="shared" ref="AB1306:AB1312" si="82">Z1306+AA1306</f>
        <v>27027027</v>
      </c>
      <c r="AC1306" s="384">
        <v>42230</v>
      </c>
      <c r="AD1306" s="395">
        <v>27027027</v>
      </c>
      <c r="AE1306" s="371" t="s">
        <v>146</v>
      </c>
      <c r="AF1306" s="1043">
        <f>SUM(AD1306:AD1309)</f>
        <v>227235328.53999999</v>
      </c>
      <c r="AG1306" s="1043">
        <f>AF1306+AF1310</f>
        <v>227235328.53999999</v>
      </c>
      <c r="AH1306" s="358">
        <f t="shared" ref="AH1306:AH1316" si="83">AB1306-AD1306</f>
        <v>0</v>
      </c>
      <c r="AI1306" s="1043">
        <f>P1306-SUM(AD1306:AD1309)</f>
        <v>43072511.460000008</v>
      </c>
      <c r="AJ1306" s="1062">
        <f>SUM(Z1306:Z1310)-SUM(AD1306:AD1310)</f>
        <v>108828200.46000001</v>
      </c>
      <c r="AK1306" s="1062">
        <f>P1306-V1306</f>
        <v>37570</v>
      </c>
      <c r="AL1306" s="1062">
        <f>V1306-SUM(Z1306:Z1309)</f>
        <v>2453425</v>
      </c>
      <c r="AM1306" s="1062"/>
      <c r="AN1306" s="1108"/>
      <c r="AO1306" s="1103" t="s">
        <v>1831</v>
      </c>
      <c r="AP1306" s="1103" t="s">
        <v>194</v>
      </c>
      <c r="AQ1306" s="1103" t="s">
        <v>1619</v>
      </c>
    </row>
    <row r="1307" spans="1:43" ht="15" customHeight="1">
      <c r="A1307" s="1033"/>
      <c r="B1307" s="1069"/>
      <c r="C1307" s="1033"/>
      <c r="D1307" s="1033"/>
      <c r="E1307" s="1072"/>
      <c r="F1307" s="1072"/>
      <c r="G1307" s="1033"/>
      <c r="H1307" s="1033"/>
      <c r="I1307" s="1033"/>
      <c r="J1307" s="1033"/>
      <c r="K1307" s="1033"/>
      <c r="L1307" s="1033"/>
      <c r="M1307" s="1039"/>
      <c r="N1307" s="1066"/>
      <c r="O1307" s="1063"/>
      <c r="P1307" s="1063"/>
      <c r="Q1307" s="1063"/>
      <c r="R1307" s="1069"/>
      <c r="S1307" s="1093"/>
      <c r="T1307" s="1093"/>
      <c r="U1307" s="1093"/>
      <c r="V1307" s="1044"/>
      <c r="W1307" s="1063"/>
      <c r="X1307" s="1033"/>
      <c r="Y1307" s="372" t="s">
        <v>1829</v>
      </c>
      <c r="Z1307" s="386">
        <v>170270270.09999999</v>
      </c>
      <c r="AA1307" s="386">
        <v>-17027027</v>
      </c>
      <c r="AB1307" s="386">
        <f t="shared" si="82"/>
        <v>153243243.09999999</v>
      </c>
      <c r="AC1307" s="384">
        <v>42619</v>
      </c>
      <c r="AD1307" s="395">
        <v>153243243.09999999</v>
      </c>
      <c r="AE1307" s="371" t="s">
        <v>146</v>
      </c>
      <c r="AF1307" s="1044"/>
      <c r="AG1307" s="1044"/>
      <c r="AH1307" s="358">
        <f t="shared" si="83"/>
        <v>0</v>
      </c>
      <c r="AI1307" s="1044"/>
      <c r="AJ1307" s="1063"/>
      <c r="AK1307" s="1063"/>
      <c r="AL1307" s="1063"/>
      <c r="AM1307" s="1063"/>
      <c r="AN1307" s="1109"/>
      <c r="AO1307" s="1104"/>
      <c r="AP1307" s="1104"/>
      <c r="AQ1307" s="1104"/>
    </row>
    <row r="1308" spans="1:43" ht="15" customHeight="1">
      <c r="A1308" s="1033"/>
      <c r="B1308" s="1069"/>
      <c r="C1308" s="1033"/>
      <c r="D1308" s="1033"/>
      <c r="E1308" s="1072"/>
      <c r="F1308" s="1072"/>
      <c r="G1308" s="1033"/>
      <c r="H1308" s="1033"/>
      <c r="I1308" s="1033"/>
      <c r="J1308" s="1033"/>
      <c r="K1308" s="1033"/>
      <c r="L1308" s="1033"/>
      <c r="M1308" s="1039"/>
      <c r="N1308" s="1066"/>
      <c r="O1308" s="1063"/>
      <c r="P1308" s="1063"/>
      <c r="Q1308" s="1063"/>
      <c r="R1308" s="1069"/>
      <c r="S1308" s="1093"/>
      <c r="T1308" s="1093"/>
      <c r="U1308" s="1093"/>
      <c r="V1308" s="1044"/>
      <c r="W1308" s="1063"/>
      <c r="X1308" s="1033"/>
      <c r="Y1308" s="372" t="s">
        <v>1830</v>
      </c>
      <c r="Z1308" s="386">
        <v>56965058.439999998</v>
      </c>
      <c r="AA1308" s="386">
        <v>-10000000</v>
      </c>
      <c r="AB1308" s="386">
        <f t="shared" si="82"/>
        <v>46965058.439999998</v>
      </c>
      <c r="AC1308" s="384">
        <v>42909</v>
      </c>
      <c r="AD1308" s="395">
        <v>46965058.439999998</v>
      </c>
      <c r="AE1308" s="371" t="s">
        <v>146</v>
      </c>
      <c r="AF1308" s="1044"/>
      <c r="AG1308" s="1044"/>
      <c r="AH1308" s="358">
        <f t="shared" si="83"/>
        <v>0</v>
      </c>
      <c r="AI1308" s="1044"/>
      <c r="AJ1308" s="1063"/>
      <c r="AK1308" s="1063"/>
      <c r="AL1308" s="1063"/>
      <c r="AM1308" s="1063"/>
      <c r="AN1308" s="1109"/>
      <c r="AO1308" s="1104"/>
      <c r="AP1308" s="1104"/>
      <c r="AQ1308" s="1104"/>
    </row>
    <row r="1309" spans="1:43" ht="15" customHeight="1">
      <c r="A1309" s="1033"/>
      <c r="B1309" s="1069"/>
      <c r="C1309" s="1033"/>
      <c r="D1309" s="1033"/>
      <c r="E1309" s="1072"/>
      <c r="F1309" s="1072"/>
      <c r="G1309" s="1033"/>
      <c r="H1309" s="1033"/>
      <c r="I1309" s="1033"/>
      <c r="J1309" s="1012"/>
      <c r="K1309" s="1033"/>
      <c r="L1309" s="1033"/>
      <c r="M1309" s="1010"/>
      <c r="N1309" s="1067"/>
      <c r="O1309" s="1064"/>
      <c r="P1309" s="1064"/>
      <c r="Q1309" s="1063"/>
      <c r="R1309" s="1070"/>
      <c r="S1309" s="1094"/>
      <c r="T1309" s="1094"/>
      <c r="U1309" s="1094"/>
      <c r="V1309" s="1045"/>
      <c r="W1309" s="1063"/>
      <c r="X1309" s="1033"/>
      <c r="Y1309" s="372" t="s">
        <v>809</v>
      </c>
      <c r="Z1309" s="386">
        <f>V1306-Z1307-Z1308-2453425</f>
        <v>40581516.460000008</v>
      </c>
      <c r="AA1309" s="386">
        <v>0</v>
      </c>
      <c r="AB1309" s="386">
        <f t="shared" si="82"/>
        <v>40581516.460000008</v>
      </c>
      <c r="AC1309" s="384"/>
      <c r="AD1309" s="395">
        <v>0</v>
      </c>
      <c r="AE1309" s="371"/>
      <c r="AF1309" s="1045"/>
      <c r="AG1309" s="1044"/>
      <c r="AH1309" s="358">
        <f t="shared" si="83"/>
        <v>40581516.460000008</v>
      </c>
      <c r="AI1309" s="1045"/>
      <c r="AJ1309" s="1063"/>
      <c r="AK1309" s="1064"/>
      <c r="AL1309" s="1064"/>
      <c r="AM1309" s="1064"/>
      <c r="AN1309" s="1109"/>
      <c r="AO1309" s="1104"/>
      <c r="AP1309" s="1104"/>
      <c r="AQ1309" s="1104"/>
    </row>
    <row r="1310" spans="1:43" ht="15" customHeight="1">
      <c r="A1310" s="1012"/>
      <c r="B1310" s="1070"/>
      <c r="C1310" s="1012"/>
      <c r="D1310" s="1012"/>
      <c r="E1310" s="1073"/>
      <c r="F1310" s="1073"/>
      <c r="G1310" s="1012"/>
      <c r="H1310" s="1012"/>
      <c r="I1310" s="1012"/>
      <c r="J1310" s="354" t="s">
        <v>67</v>
      </c>
      <c r="K1310" s="1012"/>
      <c r="L1310" s="1012"/>
      <c r="M1310" s="389">
        <v>174</v>
      </c>
      <c r="N1310" s="372" t="s">
        <v>7</v>
      </c>
      <c r="O1310" s="386">
        <v>68246684</v>
      </c>
      <c r="P1310" s="386">
        <v>68246684</v>
      </c>
      <c r="Q1310" s="1064"/>
      <c r="R1310" s="384">
        <v>40745</v>
      </c>
      <c r="S1310" s="390"/>
      <c r="T1310" s="386"/>
      <c r="U1310" s="386"/>
      <c r="V1310" s="358">
        <v>68246684</v>
      </c>
      <c r="W1310" s="1064"/>
      <c r="X1310" s="1012"/>
      <c r="Y1310" s="372" t="s">
        <v>809</v>
      </c>
      <c r="Z1310" s="386">
        <v>68246684</v>
      </c>
      <c r="AA1310" s="386">
        <v>0</v>
      </c>
      <c r="AB1310" s="386">
        <f t="shared" si="82"/>
        <v>68246684</v>
      </c>
      <c r="AC1310" s="384"/>
      <c r="AD1310" s="395">
        <v>0</v>
      </c>
      <c r="AE1310" s="371"/>
      <c r="AF1310" s="358">
        <f>AD1310</f>
        <v>0</v>
      </c>
      <c r="AG1310" s="1045"/>
      <c r="AH1310" s="358">
        <f t="shared" si="83"/>
        <v>68246684</v>
      </c>
      <c r="AI1310" s="358">
        <f>P1310-AD1310</f>
        <v>68246684</v>
      </c>
      <c r="AJ1310" s="1064"/>
      <c r="AK1310" s="386">
        <f>P1310-V1310</f>
        <v>0</v>
      </c>
      <c r="AL1310" s="386">
        <f>V1310-Z1310</f>
        <v>0</v>
      </c>
      <c r="AM1310" s="386"/>
      <c r="AN1310" s="1110"/>
      <c r="AO1310" s="1105"/>
      <c r="AP1310" s="1105"/>
      <c r="AQ1310" s="1105"/>
    </row>
    <row r="1311" spans="1:43" ht="15" customHeight="1">
      <c r="A1311" s="1011" t="s">
        <v>1832</v>
      </c>
      <c r="B1311" s="1068">
        <v>42094</v>
      </c>
      <c r="C1311" s="1011" t="s">
        <v>44</v>
      </c>
      <c r="D1311" s="1011" t="s">
        <v>1833</v>
      </c>
      <c r="E1311" s="1071">
        <v>890329571</v>
      </c>
      <c r="F1311" s="1071">
        <v>7</v>
      </c>
      <c r="G1311" s="1011" t="s">
        <v>1834</v>
      </c>
      <c r="H1311" s="1011" t="s">
        <v>72</v>
      </c>
      <c r="I1311" s="1011" t="s">
        <v>206</v>
      </c>
      <c r="J1311" s="1011" t="s">
        <v>66</v>
      </c>
      <c r="K1311" s="1011" t="s">
        <v>1844</v>
      </c>
      <c r="L1311" s="1011" t="s">
        <v>1836</v>
      </c>
      <c r="M1311" s="1009">
        <v>5</v>
      </c>
      <c r="N1311" s="1065" t="s">
        <v>141</v>
      </c>
      <c r="O1311" s="1062">
        <v>457820970</v>
      </c>
      <c r="P1311" s="1062">
        <v>457820970</v>
      </c>
      <c r="Q1311" s="1062">
        <f>P1311+P1315</f>
        <v>686270210</v>
      </c>
      <c r="R1311" s="1068">
        <v>41914</v>
      </c>
      <c r="S1311" s="1092">
        <f>T1311</f>
        <v>457820970</v>
      </c>
      <c r="T1311" s="1092">
        <v>457820970</v>
      </c>
      <c r="U1311" s="1092">
        <f>O1311-T1311</f>
        <v>0</v>
      </c>
      <c r="V1311" s="1043">
        <v>457816392</v>
      </c>
      <c r="W1311" s="1062">
        <f>457816392+V1315</f>
        <v>686265632</v>
      </c>
      <c r="X1311" s="1011" t="s">
        <v>1835</v>
      </c>
      <c r="Y1311" s="372" t="s">
        <v>1837</v>
      </c>
      <c r="Z1311" s="386">
        <v>0</v>
      </c>
      <c r="AA1311" s="386">
        <v>45781639.200000003</v>
      </c>
      <c r="AB1311" s="386">
        <f t="shared" si="82"/>
        <v>45781639.200000003</v>
      </c>
      <c r="AC1311" s="384">
        <v>42366</v>
      </c>
      <c r="AD1311" s="395">
        <v>45781639.200000003</v>
      </c>
      <c r="AE1311" s="371" t="s">
        <v>141</v>
      </c>
      <c r="AF1311" s="1043">
        <f>SUM(AD1311:AD1314)</f>
        <v>116443605.60000001</v>
      </c>
      <c r="AG1311" s="1043">
        <f>AF1311+AF1315</f>
        <v>116443605.60000001</v>
      </c>
      <c r="AH1311" s="358">
        <f t="shared" si="83"/>
        <v>0</v>
      </c>
      <c r="AI1311" s="1043">
        <f>P1311-SUM(AD1311:AD1314)</f>
        <v>341377364.39999998</v>
      </c>
      <c r="AJ1311" s="1062">
        <f>SUM(Z1311:Z1316)-SUM(AD1311:AD1316)</f>
        <v>-37930309.600000009</v>
      </c>
      <c r="AK1311" s="1062">
        <f>P1311-V1311</f>
        <v>4578</v>
      </c>
      <c r="AL1311" s="1062">
        <f>V1311-SUM(Z1311:Z1314)+AJ1311</f>
        <v>341372786.39999998</v>
      </c>
      <c r="AM1311" s="1062"/>
      <c r="AN1311" s="1108"/>
      <c r="AO1311" s="1195" t="s">
        <v>1839</v>
      </c>
      <c r="AP1311" s="1103" t="s">
        <v>194</v>
      </c>
      <c r="AQ1311" s="1103" t="s">
        <v>1619</v>
      </c>
    </row>
    <row r="1312" spans="1:43" ht="15" customHeight="1">
      <c r="A1312" s="1033"/>
      <c r="B1312" s="1069"/>
      <c r="C1312" s="1033"/>
      <c r="D1312" s="1033"/>
      <c r="E1312" s="1072"/>
      <c r="F1312" s="1072"/>
      <c r="G1312" s="1033"/>
      <c r="H1312" s="1033"/>
      <c r="I1312" s="1033"/>
      <c r="J1312" s="1033"/>
      <c r="K1312" s="1033"/>
      <c r="L1312" s="1033"/>
      <c r="M1312" s="1039"/>
      <c r="N1312" s="1066"/>
      <c r="O1312" s="1063"/>
      <c r="P1312" s="1063"/>
      <c r="Q1312" s="1063"/>
      <c r="R1312" s="1069"/>
      <c r="S1312" s="1093"/>
      <c r="T1312" s="1093"/>
      <c r="U1312" s="1093"/>
      <c r="V1312" s="1044"/>
      <c r="W1312" s="1063"/>
      <c r="X1312" s="1033"/>
      <c r="Y1312" s="372" t="s">
        <v>1838</v>
      </c>
      <c r="Z1312" s="386">
        <v>78513296</v>
      </c>
      <c r="AA1312" s="386">
        <v>-7851329.5999999996</v>
      </c>
      <c r="AB1312" s="386">
        <f t="shared" si="82"/>
        <v>70661966.400000006</v>
      </c>
      <c r="AC1312" s="384">
        <v>42859</v>
      </c>
      <c r="AD1312" s="395">
        <v>70661966.400000006</v>
      </c>
      <c r="AE1312" s="371" t="s">
        <v>141</v>
      </c>
      <c r="AF1312" s="1044"/>
      <c r="AG1312" s="1044"/>
      <c r="AH1312" s="358">
        <f t="shared" si="83"/>
        <v>0</v>
      </c>
      <c r="AI1312" s="1044"/>
      <c r="AJ1312" s="1063"/>
      <c r="AK1312" s="1063"/>
      <c r="AL1312" s="1063"/>
      <c r="AM1312" s="1063"/>
      <c r="AN1312" s="1109"/>
      <c r="AO1312" s="1104"/>
      <c r="AP1312" s="1104"/>
      <c r="AQ1312" s="1104"/>
    </row>
    <row r="1313" spans="1:43" ht="15" customHeight="1">
      <c r="A1313" s="1033"/>
      <c r="B1313" s="1069"/>
      <c r="C1313" s="1033"/>
      <c r="D1313" s="1033"/>
      <c r="E1313" s="1072"/>
      <c r="F1313" s="1072"/>
      <c r="G1313" s="1033"/>
      <c r="H1313" s="1033"/>
      <c r="I1313" s="1033"/>
      <c r="J1313" s="1033"/>
      <c r="K1313" s="1033"/>
      <c r="L1313" s="1033"/>
      <c r="M1313" s="1039"/>
      <c r="N1313" s="1066"/>
      <c r="O1313" s="1063"/>
      <c r="P1313" s="1063"/>
      <c r="Q1313" s="1063"/>
      <c r="R1313" s="1069"/>
      <c r="S1313" s="1093"/>
      <c r="T1313" s="1093"/>
      <c r="U1313" s="1093"/>
      <c r="V1313" s="1044"/>
      <c r="W1313" s="1063"/>
      <c r="X1313" s="1033"/>
      <c r="Y1313" s="372"/>
      <c r="Z1313" s="386"/>
      <c r="AA1313" s="386"/>
      <c r="AB1313" s="386"/>
      <c r="AC1313" s="384"/>
      <c r="AD1313" s="395"/>
      <c r="AE1313" s="371"/>
      <c r="AF1313" s="1044"/>
      <c r="AG1313" s="1044"/>
      <c r="AH1313" s="358">
        <f t="shared" si="83"/>
        <v>0</v>
      </c>
      <c r="AI1313" s="1044"/>
      <c r="AJ1313" s="1063"/>
      <c r="AK1313" s="1063"/>
      <c r="AL1313" s="1063"/>
      <c r="AM1313" s="1063"/>
      <c r="AN1313" s="1109"/>
      <c r="AO1313" s="1104"/>
      <c r="AP1313" s="1104"/>
      <c r="AQ1313" s="1104"/>
    </row>
    <row r="1314" spans="1:43" ht="15" customHeight="1">
      <c r="A1314" s="1033"/>
      <c r="B1314" s="1069"/>
      <c r="C1314" s="1033"/>
      <c r="D1314" s="1033"/>
      <c r="E1314" s="1072"/>
      <c r="F1314" s="1072"/>
      <c r="G1314" s="1033"/>
      <c r="H1314" s="1033"/>
      <c r="I1314" s="1033"/>
      <c r="J1314" s="1012"/>
      <c r="K1314" s="1033"/>
      <c r="L1314" s="1033"/>
      <c r="M1314" s="1010"/>
      <c r="N1314" s="1067"/>
      <c r="O1314" s="1064"/>
      <c r="P1314" s="1064"/>
      <c r="Q1314" s="1063"/>
      <c r="R1314" s="1070"/>
      <c r="S1314" s="1094"/>
      <c r="T1314" s="1094"/>
      <c r="U1314" s="1094"/>
      <c r="V1314" s="1045"/>
      <c r="W1314" s="1063"/>
      <c r="X1314" s="1033"/>
      <c r="Y1314" s="372"/>
      <c r="Z1314" s="386"/>
      <c r="AA1314" s="386"/>
      <c r="AB1314" s="386"/>
      <c r="AC1314" s="384"/>
      <c r="AD1314" s="395"/>
      <c r="AE1314" s="371"/>
      <c r="AF1314" s="1045"/>
      <c r="AG1314" s="1044"/>
      <c r="AH1314" s="358">
        <f t="shared" si="83"/>
        <v>0</v>
      </c>
      <c r="AI1314" s="1045"/>
      <c r="AJ1314" s="1063"/>
      <c r="AK1314" s="1064"/>
      <c r="AL1314" s="1064"/>
      <c r="AM1314" s="1064"/>
      <c r="AN1314" s="1109"/>
      <c r="AO1314" s="1104"/>
      <c r="AP1314" s="1104"/>
      <c r="AQ1314" s="1104"/>
    </row>
    <row r="1315" spans="1:43" ht="15" customHeight="1">
      <c r="A1315" s="1033"/>
      <c r="B1315" s="1069"/>
      <c r="C1315" s="1033"/>
      <c r="D1315" s="1033"/>
      <c r="E1315" s="1072"/>
      <c r="F1315" s="1072"/>
      <c r="G1315" s="1033"/>
      <c r="H1315" s="1033"/>
      <c r="I1315" s="1033"/>
      <c r="J1315" s="1011" t="s">
        <v>67</v>
      </c>
      <c r="K1315" s="1033"/>
      <c r="L1315" s="1033"/>
      <c r="M1315" s="1009">
        <v>2295</v>
      </c>
      <c r="N1315" s="1065" t="s">
        <v>141</v>
      </c>
      <c r="O1315" s="1062">
        <v>228449240</v>
      </c>
      <c r="P1315" s="1062">
        <v>228449240</v>
      </c>
      <c r="Q1315" s="1063"/>
      <c r="R1315" s="1068">
        <v>42779</v>
      </c>
      <c r="S1315" s="1092">
        <f>T1315</f>
        <v>228449240</v>
      </c>
      <c r="T1315" s="1092">
        <v>228449240</v>
      </c>
      <c r="U1315" s="1092">
        <f>O1315-T1315</f>
        <v>0</v>
      </c>
      <c r="V1315" s="1043">
        <v>228449240</v>
      </c>
      <c r="W1315" s="1063"/>
      <c r="X1315" s="1033"/>
      <c r="Y1315" s="372"/>
      <c r="Z1315" s="386"/>
      <c r="AA1315" s="386"/>
      <c r="AB1315" s="386"/>
      <c r="AC1315" s="384"/>
      <c r="AD1315" s="395"/>
      <c r="AE1315" s="371"/>
      <c r="AF1315" s="1043">
        <f>SUM(AD1315:AD1316)</f>
        <v>0</v>
      </c>
      <c r="AG1315" s="1044"/>
      <c r="AH1315" s="358">
        <f t="shared" si="83"/>
        <v>0</v>
      </c>
      <c r="AI1315" s="1043"/>
      <c r="AJ1315" s="1063"/>
      <c r="AK1315" s="1062">
        <f>P1315-V1315</f>
        <v>0</v>
      </c>
      <c r="AL1315" s="1062">
        <f>V1315-SUM(Z1315:Z1316)</f>
        <v>228449240</v>
      </c>
      <c r="AM1315" s="1062"/>
      <c r="AN1315" s="1109"/>
      <c r="AO1315" s="1104"/>
      <c r="AP1315" s="1104"/>
      <c r="AQ1315" s="1104"/>
    </row>
    <row r="1316" spans="1:43" ht="15" customHeight="1">
      <c r="A1316" s="1012"/>
      <c r="B1316" s="1070"/>
      <c r="C1316" s="1012"/>
      <c r="D1316" s="1012"/>
      <c r="E1316" s="1073"/>
      <c r="F1316" s="1073"/>
      <c r="G1316" s="1012"/>
      <c r="H1316" s="1012"/>
      <c r="I1316" s="1012"/>
      <c r="J1316" s="1012"/>
      <c r="K1316" s="1012"/>
      <c r="L1316" s="1012"/>
      <c r="M1316" s="1010"/>
      <c r="N1316" s="1067"/>
      <c r="O1316" s="1064"/>
      <c r="P1316" s="1064"/>
      <c r="Q1316" s="1064"/>
      <c r="R1316" s="1070"/>
      <c r="S1316" s="1094"/>
      <c r="T1316" s="1094"/>
      <c r="U1316" s="1094"/>
      <c r="V1316" s="1045"/>
      <c r="W1316" s="1064"/>
      <c r="X1316" s="1012"/>
      <c r="Y1316" s="372"/>
      <c r="Z1316" s="386"/>
      <c r="AA1316" s="386"/>
      <c r="AB1316" s="386"/>
      <c r="AC1316" s="384"/>
      <c r="AD1316" s="395"/>
      <c r="AE1316" s="371"/>
      <c r="AF1316" s="1045"/>
      <c r="AG1316" s="1045"/>
      <c r="AH1316" s="358">
        <f t="shared" si="83"/>
        <v>0</v>
      </c>
      <c r="AI1316" s="1045"/>
      <c r="AJ1316" s="1064"/>
      <c r="AK1316" s="1064"/>
      <c r="AL1316" s="1064"/>
      <c r="AM1316" s="1064"/>
      <c r="AN1316" s="1110"/>
      <c r="AO1316" s="1105"/>
      <c r="AP1316" s="1105"/>
      <c r="AQ1316" s="1105"/>
    </row>
    <row r="1317" spans="1:43" s="4" customFormat="1" ht="15" customHeight="1">
      <c r="A1317" s="382" t="s">
        <v>1879</v>
      </c>
      <c r="B1317" s="384">
        <v>42131</v>
      </c>
      <c r="C1317" s="398" t="s">
        <v>41</v>
      </c>
      <c r="D1317" s="382" t="s">
        <v>1866</v>
      </c>
      <c r="E1317" s="382" t="s">
        <v>1865</v>
      </c>
      <c r="F1317" s="382"/>
      <c r="G1317" s="382" t="s">
        <v>1864</v>
      </c>
      <c r="H1317" s="382" t="s">
        <v>70</v>
      </c>
      <c r="I1317" s="382" t="s">
        <v>206</v>
      </c>
      <c r="J1317" s="382" t="s">
        <v>66</v>
      </c>
      <c r="K1317" s="382" t="s">
        <v>48</v>
      </c>
      <c r="L1317" s="382" t="s">
        <v>1863</v>
      </c>
      <c r="M1317" s="389">
        <v>309</v>
      </c>
      <c r="N1317" s="371" t="s">
        <v>137</v>
      </c>
      <c r="O1317" s="382">
        <v>60574346</v>
      </c>
      <c r="P1317" s="382">
        <v>60574346</v>
      </c>
      <c r="Q1317" s="382"/>
      <c r="R1317" s="384"/>
      <c r="S1317" s="402"/>
      <c r="T1317" s="403"/>
      <c r="U1317" s="403"/>
      <c r="V1317" s="382">
        <v>60473700</v>
      </c>
      <c r="W1317" s="382">
        <v>60473700</v>
      </c>
      <c r="X1317" s="382"/>
      <c r="Y1317" s="419" t="s">
        <v>1862</v>
      </c>
      <c r="Z1317" s="397">
        <v>43195500</v>
      </c>
      <c r="AA1317" s="397">
        <v>0</v>
      </c>
      <c r="AB1317" s="397">
        <f>SUM(Z1317:AA1317)</f>
        <v>43195500</v>
      </c>
      <c r="AC1317" s="384">
        <v>42685</v>
      </c>
      <c r="AD1317" s="371">
        <v>43195500</v>
      </c>
      <c r="AE1317" s="371" t="s">
        <v>137</v>
      </c>
      <c r="AF1317" s="382">
        <f>SUM(AD1317)</f>
        <v>43195500</v>
      </c>
      <c r="AG1317" s="382">
        <f>SUM(AF1317)</f>
        <v>43195500</v>
      </c>
      <c r="AH1317" s="382">
        <v>0</v>
      </c>
      <c r="AI1317" s="382">
        <v>0</v>
      </c>
      <c r="AJ1317" s="382"/>
      <c r="AK1317" s="382">
        <f>O1317-V1317</f>
        <v>100646</v>
      </c>
      <c r="AL1317" s="382"/>
      <c r="AM1317" s="382"/>
      <c r="AN1317" s="382"/>
      <c r="AO1317" s="382" t="s">
        <v>1882</v>
      </c>
      <c r="AP1317" s="392" t="s">
        <v>195</v>
      </c>
      <c r="AQ1317" s="392" t="s">
        <v>1619</v>
      </c>
    </row>
    <row r="1318" spans="1:43" s="4" customFormat="1" ht="15" customHeight="1">
      <c r="A1318" s="1100" t="s">
        <v>2051</v>
      </c>
      <c r="B1318" s="1069">
        <v>42138</v>
      </c>
      <c r="C1318" s="1100" t="s">
        <v>5</v>
      </c>
      <c r="D1318" s="1100" t="s">
        <v>2034</v>
      </c>
      <c r="E1318" s="1097">
        <v>900845940</v>
      </c>
      <c r="F1318" s="1193">
        <v>1</v>
      </c>
      <c r="G1318" s="1100" t="s">
        <v>2052</v>
      </c>
      <c r="H1318" s="1124" t="s">
        <v>70</v>
      </c>
      <c r="I1318" s="1124" t="s">
        <v>206</v>
      </c>
      <c r="J1318" s="1124" t="s">
        <v>66</v>
      </c>
      <c r="K1318" s="1124" t="s">
        <v>49</v>
      </c>
      <c r="L1318" s="1100" t="s">
        <v>2054</v>
      </c>
      <c r="M1318" s="1145">
        <v>313</v>
      </c>
      <c r="N1318" s="1124" t="s">
        <v>137</v>
      </c>
      <c r="O1318" s="1062">
        <v>417660037</v>
      </c>
      <c r="P1318" s="1062">
        <v>417660037</v>
      </c>
      <c r="Q1318" s="1062">
        <v>417660037</v>
      </c>
      <c r="R1318" s="1068"/>
      <c r="S1318" s="1089">
        <f>T1318</f>
        <v>417660037</v>
      </c>
      <c r="T1318" s="1089">
        <v>417660037</v>
      </c>
      <c r="U1318" s="1089">
        <f>P1318-T1318</f>
        <v>0</v>
      </c>
      <c r="V1318" s="1062">
        <f>W1318</f>
        <v>417600000</v>
      </c>
      <c r="W1318" s="1062">
        <v>417600000</v>
      </c>
      <c r="X1318" s="1011" t="s">
        <v>1843</v>
      </c>
      <c r="Y1318" s="372" t="s">
        <v>2055</v>
      </c>
      <c r="Z1318" s="386">
        <v>0</v>
      </c>
      <c r="AA1318" s="386">
        <v>41760000</v>
      </c>
      <c r="AB1318" s="386">
        <f>AA1318+Z1318</f>
        <v>41760000</v>
      </c>
      <c r="AC1318" s="384">
        <v>42261</v>
      </c>
      <c r="AD1318" s="395">
        <v>41760000</v>
      </c>
      <c r="AE1318" s="371" t="s">
        <v>137</v>
      </c>
      <c r="AF1318" s="1043">
        <f>SUM(AD1318:AD1322)</f>
        <v>372499200</v>
      </c>
      <c r="AG1318" s="1043">
        <f>AF1318</f>
        <v>372499200</v>
      </c>
      <c r="AH1318" s="358">
        <f t="shared" ref="AH1318:AH1333" si="84">AB1318-AD1318</f>
        <v>0</v>
      </c>
      <c r="AI1318" s="1043">
        <f>P1318-AF1318</f>
        <v>45160837</v>
      </c>
      <c r="AJ1318" s="1043">
        <f>SUM(Z1318:Z1322)-SUM(AD1318:AD1322)</f>
        <v>-5011200</v>
      </c>
      <c r="AK1318" s="1043">
        <f>P1318-V1318</f>
        <v>60037</v>
      </c>
      <c r="AL1318" s="1043">
        <f>V1318-SUM(Z1318:Z1322)+AJ1318</f>
        <v>45100800</v>
      </c>
      <c r="AM1318" s="1043"/>
      <c r="AN1318" s="1108" t="s">
        <v>2033</v>
      </c>
      <c r="AO1318" s="1108" t="s">
        <v>2053</v>
      </c>
      <c r="AP1318" s="1103" t="s">
        <v>195</v>
      </c>
      <c r="AQ1318" s="1103" t="s">
        <v>1911</v>
      </c>
    </row>
    <row r="1319" spans="1:43" s="4" customFormat="1" ht="15" customHeight="1">
      <c r="A1319" s="1101"/>
      <c r="B1319" s="1069"/>
      <c r="C1319" s="1101"/>
      <c r="D1319" s="1101"/>
      <c r="E1319" s="1098"/>
      <c r="F1319" s="1193"/>
      <c r="G1319" s="1101"/>
      <c r="H1319" s="1124"/>
      <c r="I1319" s="1124"/>
      <c r="J1319" s="1124"/>
      <c r="K1319" s="1124"/>
      <c r="L1319" s="1101"/>
      <c r="M1319" s="1146"/>
      <c r="N1319" s="1124"/>
      <c r="O1319" s="1063"/>
      <c r="P1319" s="1063"/>
      <c r="Q1319" s="1063"/>
      <c r="R1319" s="1069"/>
      <c r="S1319" s="1090"/>
      <c r="T1319" s="1090"/>
      <c r="U1319" s="1090"/>
      <c r="V1319" s="1063"/>
      <c r="W1319" s="1063"/>
      <c r="X1319" s="1033"/>
      <c r="Y1319" s="372" t="s">
        <v>2056</v>
      </c>
      <c r="Z1319" s="386">
        <v>100224000</v>
      </c>
      <c r="AA1319" s="386">
        <v>-10022400</v>
      </c>
      <c r="AB1319" s="386">
        <f>AA1319+Z1319</f>
        <v>90201600</v>
      </c>
      <c r="AC1319" s="384">
        <v>42342</v>
      </c>
      <c r="AD1319" s="395">
        <v>90201600</v>
      </c>
      <c r="AE1319" s="371" t="s">
        <v>137</v>
      </c>
      <c r="AF1319" s="1044"/>
      <c r="AG1319" s="1044"/>
      <c r="AH1319" s="358">
        <f t="shared" si="84"/>
        <v>0</v>
      </c>
      <c r="AI1319" s="1044"/>
      <c r="AJ1319" s="1044"/>
      <c r="AK1319" s="1044"/>
      <c r="AL1319" s="1044"/>
      <c r="AM1319" s="1044"/>
      <c r="AN1319" s="1109"/>
      <c r="AO1319" s="1109"/>
      <c r="AP1319" s="1104"/>
      <c r="AQ1319" s="1104"/>
    </row>
    <row r="1320" spans="1:43" s="4" customFormat="1" ht="15" customHeight="1">
      <c r="A1320" s="1101"/>
      <c r="B1320" s="1069"/>
      <c r="C1320" s="1101"/>
      <c r="D1320" s="1101"/>
      <c r="E1320" s="1098"/>
      <c r="F1320" s="1193"/>
      <c r="G1320" s="1101"/>
      <c r="H1320" s="1124"/>
      <c r="I1320" s="1124"/>
      <c r="J1320" s="1124"/>
      <c r="K1320" s="1124"/>
      <c r="L1320" s="1101"/>
      <c r="M1320" s="1146"/>
      <c r="N1320" s="1124"/>
      <c r="O1320" s="1063"/>
      <c r="P1320" s="1063"/>
      <c r="Q1320" s="1063"/>
      <c r="R1320" s="1069"/>
      <c r="S1320" s="1090"/>
      <c r="T1320" s="1090"/>
      <c r="U1320" s="1090"/>
      <c r="V1320" s="1063"/>
      <c r="W1320" s="1063"/>
      <c r="X1320" s="1033"/>
      <c r="Y1320" s="372" t="s">
        <v>2057</v>
      </c>
      <c r="Z1320" s="386">
        <v>108576000</v>
      </c>
      <c r="AA1320" s="386">
        <f>-Z1320*0.1</f>
        <v>-10857600</v>
      </c>
      <c r="AB1320" s="386">
        <f>AA1320+Z1320</f>
        <v>97718400</v>
      </c>
      <c r="AC1320" s="384">
        <v>42366</v>
      </c>
      <c r="AD1320" s="395">
        <v>97718400</v>
      </c>
      <c r="AE1320" s="371" t="s">
        <v>137</v>
      </c>
      <c r="AF1320" s="1044"/>
      <c r="AG1320" s="1044"/>
      <c r="AH1320" s="358">
        <f t="shared" si="84"/>
        <v>0</v>
      </c>
      <c r="AI1320" s="1044"/>
      <c r="AJ1320" s="1044"/>
      <c r="AK1320" s="1044"/>
      <c r="AL1320" s="1044"/>
      <c r="AM1320" s="1044"/>
      <c r="AN1320" s="1109"/>
      <c r="AO1320" s="1109"/>
      <c r="AP1320" s="1104"/>
      <c r="AQ1320" s="1104"/>
    </row>
    <row r="1321" spans="1:43" s="4" customFormat="1" ht="15" customHeight="1">
      <c r="A1321" s="1101"/>
      <c r="B1321" s="1069"/>
      <c r="C1321" s="1101"/>
      <c r="D1321" s="1101"/>
      <c r="E1321" s="1098"/>
      <c r="F1321" s="1193"/>
      <c r="G1321" s="1101"/>
      <c r="H1321" s="1124"/>
      <c r="I1321" s="1124"/>
      <c r="J1321" s="1124"/>
      <c r="K1321" s="1124"/>
      <c r="L1321" s="1101"/>
      <c r="M1321" s="1146"/>
      <c r="N1321" s="1124"/>
      <c r="O1321" s="1063"/>
      <c r="P1321" s="1063"/>
      <c r="Q1321" s="1063"/>
      <c r="R1321" s="1069"/>
      <c r="S1321" s="1090"/>
      <c r="T1321" s="1090"/>
      <c r="U1321" s="1090"/>
      <c r="V1321" s="1063"/>
      <c r="W1321" s="1063"/>
      <c r="X1321" s="1033"/>
      <c r="Y1321" s="372" t="s">
        <v>2058</v>
      </c>
      <c r="Z1321" s="386">
        <v>91872000</v>
      </c>
      <c r="AA1321" s="386">
        <f>-Z1321*0.1</f>
        <v>-9187200</v>
      </c>
      <c r="AB1321" s="386">
        <f>AA1321+Z1321</f>
        <v>82684800</v>
      </c>
      <c r="AC1321" s="384">
        <v>42650</v>
      </c>
      <c r="AD1321" s="395">
        <v>82684800</v>
      </c>
      <c r="AE1321" s="371" t="s">
        <v>137</v>
      </c>
      <c r="AF1321" s="1044"/>
      <c r="AG1321" s="1044"/>
      <c r="AH1321" s="358">
        <f t="shared" si="84"/>
        <v>0</v>
      </c>
      <c r="AI1321" s="1044"/>
      <c r="AJ1321" s="1044"/>
      <c r="AK1321" s="1044"/>
      <c r="AL1321" s="1044"/>
      <c r="AM1321" s="1044"/>
      <c r="AN1321" s="1109"/>
      <c r="AO1321" s="1109"/>
      <c r="AP1321" s="1104"/>
      <c r="AQ1321" s="1104"/>
    </row>
    <row r="1322" spans="1:43" s="4" customFormat="1" ht="15" customHeight="1">
      <c r="A1322" s="1102"/>
      <c r="B1322" s="1070"/>
      <c r="C1322" s="1102"/>
      <c r="D1322" s="1102"/>
      <c r="E1322" s="1099"/>
      <c r="F1322" s="1194"/>
      <c r="G1322" s="1102"/>
      <c r="H1322" s="1024"/>
      <c r="I1322" s="1024"/>
      <c r="J1322" s="1024"/>
      <c r="K1322" s="1024"/>
      <c r="L1322" s="1102"/>
      <c r="M1322" s="1147"/>
      <c r="N1322" s="1024"/>
      <c r="O1322" s="1064"/>
      <c r="P1322" s="1064"/>
      <c r="Q1322" s="1064"/>
      <c r="R1322" s="1070"/>
      <c r="S1322" s="1091"/>
      <c r="T1322" s="1091"/>
      <c r="U1322" s="1091"/>
      <c r="V1322" s="1064"/>
      <c r="W1322" s="1064"/>
      <c r="X1322" s="1012"/>
      <c r="Y1322" s="372" t="s">
        <v>2059</v>
      </c>
      <c r="Z1322" s="386">
        <v>66816000</v>
      </c>
      <c r="AA1322" s="386">
        <f>-Z1322*0.1</f>
        <v>-6681600</v>
      </c>
      <c r="AB1322" s="386">
        <f>AA1322+Z1322</f>
        <v>60134400</v>
      </c>
      <c r="AC1322" s="384">
        <v>42731</v>
      </c>
      <c r="AD1322" s="395">
        <v>60134400</v>
      </c>
      <c r="AE1322" s="371" t="s">
        <v>137</v>
      </c>
      <c r="AF1322" s="1045"/>
      <c r="AG1322" s="1045"/>
      <c r="AH1322" s="358">
        <f t="shared" si="84"/>
        <v>0</v>
      </c>
      <c r="AI1322" s="1045"/>
      <c r="AJ1322" s="1045"/>
      <c r="AK1322" s="1045"/>
      <c r="AL1322" s="1045"/>
      <c r="AM1322" s="1045"/>
      <c r="AN1322" s="1110"/>
      <c r="AO1322" s="1110"/>
      <c r="AP1322" s="1105"/>
      <c r="AQ1322" s="1105"/>
    </row>
    <row r="1323" spans="1:43" ht="15" customHeight="1">
      <c r="A1323" s="1011" t="s">
        <v>1840</v>
      </c>
      <c r="B1323" s="1068">
        <v>42149</v>
      </c>
      <c r="C1323" s="1011" t="s">
        <v>23</v>
      </c>
      <c r="D1323" s="1011" t="s">
        <v>1841</v>
      </c>
      <c r="E1323" s="1071">
        <v>10291216</v>
      </c>
      <c r="F1323" s="1071"/>
      <c r="G1323" s="1011" t="s">
        <v>1842</v>
      </c>
      <c r="H1323" s="1011" t="s">
        <v>70</v>
      </c>
      <c r="I1323" s="1011" t="s">
        <v>206</v>
      </c>
      <c r="J1323" s="1011" t="s">
        <v>66</v>
      </c>
      <c r="K1323" s="1011" t="s">
        <v>49</v>
      </c>
      <c r="L1323" s="1011" t="s">
        <v>1845</v>
      </c>
      <c r="M1323" s="1009">
        <v>5</v>
      </c>
      <c r="N1323" s="1065" t="s">
        <v>146</v>
      </c>
      <c r="O1323" s="1062">
        <v>27030784</v>
      </c>
      <c r="P1323" s="1062">
        <v>27030784</v>
      </c>
      <c r="Q1323" s="1062">
        <f>P1323+P1325</f>
        <v>32490519</v>
      </c>
      <c r="R1323" s="1068">
        <v>41936</v>
      </c>
      <c r="S1323" s="1092">
        <f>T1323</f>
        <v>27030784</v>
      </c>
      <c r="T1323" s="1092">
        <v>27030784</v>
      </c>
      <c r="U1323" s="1092">
        <f>O1323-T1323</f>
        <v>0</v>
      </c>
      <c r="V1323" s="1043">
        <v>27000000</v>
      </c>
      <c r="W1323" s="1062">
        <f>27000000+V1325</f>
        <v>32459735</v>
      </c>
      <c r="X1323" s="1011" t="s">
        <v>1843</v>
      </c>
      <c r="Y1323" s="372" t="s">
        <v>1846</v>
      </c>
      <c r="Z1323" s="386">
        <v>17010000</v>
      </c>
      <c r="AA1323" s="386">
        <v>0</v>
      </c>
      <c r="AB1323" s="386">
        <f t="shared" ref="AB1323:AB1333" si="85">Z1323+AA1323</f>
        <v>17010000</v>
      </c>
      <c r="AC1323" s="384">
        <v>42692</v>
      </c>
      <c r="AD1323" s="395">
        <v>17010000</v>
      </c>
      <c r="AE1323" s="371" t="s">
        <v>146</v>
      </c>
      <c r="AF1323" s="1043">
        <f>AD1323+AD1324</f>
        <v>17010000</v>
      </c>
      <c r="AG1323" s="1043">
        <f>AF1323+AF1325</f>
        <v>17010000</v>
      </c>
      <c r="AH1323" s="358">
        <f t="shared" si="84"/>
        <v>0</v>
      </c>
      <c r="AI1323" s="1043">
        <f>P1323-SUM(AD1323:AD1324)</f>
        <v>10020784</v>
      </c>
      <c r="AJ1323" s="1062">
        <f>SUM(Z1323:Z1325)-SUM(AD1323:AD1325)</f>
        <v>0</v>
      </c>
      <c r="AK1323" s="1062">
        <f>P1323-V1323</f>
        <v>30784</v>
      </c>
      <c r="AL1323" s="1062">
        <f>V1323-SUM(Z1323:Z1324)</f>
        <v>9990000</v>
      </c>
      <c r="AM1323" s="1062"/>
      <c r="AN1323" s="1108"/>
      <c r="AO1323" s="1103" t="s">
        <v>1767</v>
      </c>
      <c r="AP1323" s="1103" t="s">
        <v>194</v>
      </c>
      <c r="AQ1323" s="1103" t="s">
        <v>1619</v>
      </c>
    </row>
    <row r="1324" spans="1:43" ht="15" customHeight="1">
      <c r="A1324" s="1033"/>
      <c r="B1324" s="1069"/>
      <c r="C1324" s="1033"/>
      <c r="D1324" s="1033"/>
      <c r="E1324" s="1072"/>
      <c r="F1324" s="1072"/>
      <c r="G1324" s="1033"/>
      <c r="H1324" s="1033"/>
      <c r="I1324" s="1033"/>
      <c r="J1324" s="1033"/>
      <c r="K1324" s="1033"/>
      <c r="L1324" s="1033"/>
      <c r="M1324" s="1010"/>
      <c r="N1324" s="1067"/>
      <c r="O1324" s="1064"/>
      <c r="P1324" s="1064"/>
      <c r="Q1324" s="1063"/>
      <c r="R1324" s="1070"/>
      <c r="S1324" s="1094"/>
      <c r="T1324" s="1094"/>
      <c r="U1324" s="1094"/>
      <c r="V1324" s="1045"/>
      <c r="W1324" s="1063"/>
      <c r="X1324" s="1033"/>
      <c r="Y1324" s="372"/>
      <c r="Z1324" s="386"/>
      <c r="AA1324" s="386"/>
      <c r="AB1324" s="386">
        <f t="shared" si="85"/>
        <v>0</v>
      </c>
      <c r="AC1324" s="384"/>
      <c r="AD1324" s="395"/>
      <c r="AE1324" s="371"/>
      <c r="AF1324" s="1045"/>
      <c r="AG1324" s="1044"/>
      <c r="AH1324" s="358">
        <f t="shared" si="84"/>
        <v>0</v>
      </c>
      <c r="AI1324" s="1045"/>
      <c r="AJ1324" s="1063"/>
      <c r="AK1324" s="1064"/>
      <c r="AL1324" s="1064"/>
      <c r="AM1324" s="1064"/>
      <c r="AN1324" s="1109"/>
      <c r="AO1324" s="1104"/>
      <c r="AP1324" s="1104"/>
      <c r="AQ1324" s="1104"/>
    </row>
    <row r="1325" spans="1:43" ht="15" customHeight="1">
      <c r="A1325" s="1012"/>
      <c r="B1325" s="1070"/>
      <c r="C1325" s="1012"/>
      <c r="D1325" s="1012"/>
      <c r="E1325" s="1073"/>
      <c r="F1325" s="1073"/>
      <c r="G1325" s="1012"/>
      <c r="H1325" s="1012"/>
      <c r="I1325" s="1012"/>
      <c r="J1325" s="354" t="s">
        <v>67</v>
      </c>
      <c r="K1325" s="1012"/>
      <c r="L1325" s="1012"/>
      <c r="M1325" s="389">
        <v>174</v>
      </c>
      <c r="N1325" s="372" t="s">
        <v>7</v>
      </c>
      <c r="O1325" s="386">
        <v>5459735</v>
      </c>
      <c r="P1325" s="386">
        <v>5459735</v>
      </c>
      <c r="Q1325" s="1064"/>
      <c r="R1325" s="384">
        <v>40745</v>
      </c>
      <c r="S1325" s="390"/>
      <c r="T1325" s="386"/>
      <c r="U1325" s="386"/>
      <c r="V1325" s="358">
        <v>5459735</v>
      </c>
      <c r="W1325" s="1064"/>
      <c r="X1325" s="1012"/>
      <c r="Y1325" s="372"/>
      <c r="Z1325" s="386"/>
      <c r="AA1325" s="386"/>
      <c r="AB1325" s="386">
        <f t="shared" si="85"/>
        <v>0</v>
      </c>
      <c r="AC1325" s="384"/>
      <c r="AD1325" s="395"/>
      <c r="AE1325" s="371"/>
      <c r="AF1325" s="358"/>
      <c r="AG1325" s="1045"/>
      <c r="AH1325" s="358">
        <f t="shared" si="84"/>
        <v>0</v>
      </c>
      <c r="AI1325" s="358"/>
      <c r="AJ1325" s="1064"/>
      <c r="AK1325" s="386">
        <f>P1325-V1325</f>
        <v>0</v>
      </c>
      <c r="AL1325" s="386">
        <f>V1325-Z1325</f>
        <v>5459735</v>
      </c>
      <c r="AM1325" s="386"/>
      <c r="AN1325" s="1110"/>
      <c r="AO1325" s="1105"/>
      <c r="AP1325" s="1105"/>
      <c r="AQ1325" s="1105"/>
    </row>
    <row r="1326" spans="1:43" ht="15" customHeight="1">
      <c r="A1326" s="1011" t="s">
        <v>1995</v>
      </c>
      <c r="B1326" s="1068">
        <v>42179</v>
      </c>
      <c r="C1326" s="1011" t="s">
        <v>26</v>
      </c>
      <c r="D1326" s="1011" t="s">
        <v>1996</v>
      </c>
      <c r="E1326" s="1071">
        <v>817006978</v>
      </c>
      <c r="F1326" s="1071">
        <v>9</v>
      </c>
      <c r="G1326" s="1011" t="s">
        <v>1997</v>
      </c>
      <c r="H1326" s="1011" t="s">
        <v>72</v>
      </c>
      <c r="I1326" s="1011" t="s">
        <v>206</v>
      </c>
      <c r="J1326" s="1011" t="s">
        <v>66</v>
      </c>
      <c r="K1326" s="1011" t="s">
        <v>48</v>
      </c>
      <c r="L1326" s="1011" t="s">
        <v>2002</v>
      </c>
      <c r="M1326" s="1145">
        <v>6</v>
      </c>
      <c r="N1326" s="1065" t="s">
        <v>149</v>
      </c>
      <c r="O1326" s="1062">
        <v>879570000</v>
      </c>
      <c r="P1326" s="1062">
        <v>879570000</v>
      </c>
      <c r="Q1326" s="1062">
        <f>P1326+P1329+P1331</f>
        <v>1249940371</v>
      </c>
      <c r="R1326" s="1171">
        <v>42178</v>
      </c>
      <c r="S1326" s="1092">
        <f>T1326</f>
        <v>879570000</v>
      </c>
      <c r="T1326" s="1092">
        <v>879570000</v>
      </c>
      <c r="U1326" s="1092">
        <f>O1326-T1326</f>
        <v>0</v>
      </c>
      <c r="V1326" s="1043">
        <v>821157870</v>
      </c>
      <c r="W1326" s="1043">
        <f>V1326+V1329+V1331</f>
        <v>1191528241</v>
      </c>
      <c r="X1326" s="1011" t="s">
        <v>1998</v>
      </c>
      <c r="Y1326" s="372" t="s">
        <v>1999</v>
      </c>
      <c r="Z1326" s="386">
        <v>0</v>
      </c>
      <c r="AA1326" s="386">
        <v>410578935</v>
      </c>
      <c r="AB1326" s="386">
        <f t="shared" si="85"/>
        <v>410578935</v>
      </c>
      <c r="AC1326" s="384">
        <v>42599</v>
      </c>
      <c r="AD1326" s="395">
        <v>410578935</v>
      </c>
      <c r="AE1326" s="371" t="s">
        <v>149</v>
      </c>
      <c r="AF1326" s="1043">
        <f>SUM(AD1326:AD1328)</f>
        <v>691660043</v>
      </c>
      <c r="AG1326" s="1043">
        <f>AF1326+AF1329+AF1331</f>
        <v>876845228</v>
      </c>
      <c r="AH1326" s="358">
        <f t="shared" si="84"/>
        <v>0</v>
      </c>
      <c r="AI1326" s="1043">
        <f>P1326-AF1326</f>
        <v>187909957</v>
      </c>
      <c r="AJ1326" s="1062">
        <f>SUM(Z1326:Z1328)-SUM(AD1326:AD1328)</f>
        <v>-129497827</v>
      </c>
      <c r="AK1326" s="1062">
        <f>P1326-V1326</f>
        <v>58412130</v>
      </c>
      <c r="AL1326" s="1062">
        <f>V1326-SUM(Z1326:Z1328)+AJ1326</f>
        <v>129497827</v>
      </c>
      <c r="AM1326" s="1062"/>
      <c r="AN1326" s="1108"/>
      <c r="AO1326" s="1103" t="s">
        <v>2003</v>
      </c>
      <c r="AP1326" s="1103" t="s">
        <v>194</v>
      </c>
      <c r="AQ1326" s="1103" t="s">
        <v>1911</v>
      </c>
    </row>
    <row r="1327" spans="1:43" ht="15" customHeight="1">
      <c r="A1327" s="1033"/>
      <c r="B1327" s="1069"/>
      <c r="C1327" s="1033"/>
      <c r="D1327" s="1033"/>
      <c r="E1327" s="1072"/>
      <c r="F1327" s="1072"/>
      <c r="G1327" s="1033"/>
      <c r="H1327" s="1033"/>
      <c r="I1327" s="1033"/>
      <c r="J1327" s="1033"/>
      <c r="K1327" s="1033"/>
      <c r="L1327" s="1033"/>
      <c r="M1327" s="1146"/>
      <c r="N1327" s="1066"/>
      <c r="O1327" s="1063"/>
      <c r="P1327" s="1063"/>
      <c r="Q1327" s="1063"/>
      <c r="R1327" s="1171"/>
      <c r="S1327" s="1093"/>
      <c r="T1327" s="1093"/>
      <c r="U1327" s="1093"/>
      <c r="V1327" s="1044"/>
      <c r="W1327" s="1044"/>
      <c r="X1327" s="1033"/>
      <c r="Y1327" s="372" t="s">
        <v>2001</v>
      </c>
      <c r="Z1327" s="386">
        <v>562162216</v>
      </c>
      <c r="AA1327" s="386">
        <v>-281081108</v>
      </c>
      <c r="AB1327" s="386">
        <f t="shared" si="85"/>
        <v>281081108</v>
      </c>
      <c r="AC1327" s="384">
        <v>43053</v>
      </c>
      <c r="AD1327" s="395">
        <v>281081108</v>
      </c>
      <c r="AE1327" s="371" t="s">
        <v>149</v>
      </c>
      <c r="AF1327" s="1044"/>
      <c r="AG1327" s="1044"/>
      <c r="AH1327" s="358">
        <f t="shared" si="84"/>
        <v>0</v>
      </c>
      <c r="AI1327" s="1044"/>
      <c r="AJ1327" s="1063"/>
      <c r="AK1327" s="1063"/>
      <c r="AL1327" s="1063"/>
      <c r="AM1327" s="1063"/>
      <c r="AN1327" s="1109"/>
      <c r="AO1327" s="1104"/>
      <c r="AP1327" s="1104"/>
      <c r="AQ1327" s="1104"/>
    </row>
    <row r="1328" spans="1:43" ht="15" customHeight="1">
      <c r="A1328" s="1033"/>
      <c r="B1328" s="1069"/>
      <c r="C1328" s="1012"/>
      <c r="D1328" s="1033"/>
      <c r="E1328" s="1072"/>
      <c r="F1328" s="1072"/>
      <c r="G1328" s="1033"/>
      <c r="H1328" s="1033"/>
      <c r="I1328" s="1033"/>
      <c r="J1328" s="1012"/>
      <c r="K1328" s="1033"/>
      <c r="L1328" s="1033"/>
      <c r="M1328" s="1147"/>
      <c r="N1328" s="1067"/>
      <c r="O1328" s="1064"/>
      <c r="P1328" s="1064"/>
      <c r="Q1328" s="1063"/>
      <c r="R1328" s="1171"/>
      <c r="S1328" s="1094"/>
      <c r="T1328" s="1094"/>
      <c r="U1328" s="1094"/>
      <c r="V1328" s="1045"/>
      <c r="W1328" s="1044"/>
      <c r="X1328" s="1033"/>
      <c r="Y1328" s="372"/>
      <c r="Z1328" s="386"/>
      <c r="AA1328" s="386"/>
      <c r="AB1328" s="386">
        <f t="shared" si="85"/>
        <v>0</v>
      </c>
      <c r="AC1328" s="384"/>
      <c r="AD1328" s="395"/>
      <c r="AE1328" s="371"/>
      <c r="AF1328" s="1045"/>
      <c r="AG1328" s="1044"/>
      <c r="AH1328" s="358">
        <f t="shared" si="84"/>
        <v>0</v>
      </c>
      <c r="AI1328" s="1045"/>
      <c r="AJ1328" s="1064"/>
      <c r="AK1328" s="1064"/>
      <c r="AL1328" s="1064"/>
      <c r="AM1328" s="1064"/>
      <c r="AN1328" s="1109"/>
      <c r="AO1328" s="1104"/>
      <c r="AP1328" s="1104"/>
      <c r="AQ1328" s="1104"/>
    </row>
    <row r="1329" spans="1:43" ht="15" customHeight="1">
      <c r="A1329" s="1033"/>
      <c r="B1329" s="1069"/>
      <c r="C1329" s="1011" t="s">
        <v>29</v>
      </c>
      <c r="D1329" s="1033"/>
      <c r="E1329" s="1072"/>
      <c r="F1329" s="1072"/>
      <c r="G1329" s="1033"/>
      <c r="H1329" s="1033"/>
      <c r="I1329" s="1033"/>
      <c r="J1329" s="1011" t="s">
        <v>67</v>
      </c>
      <c r="K1329" s="1033"/>
      <c r="L1329" s="1033"/>
      <c r="M1329" s="1145">
        <v>8</v>
      </c>
      <c r="N1329" s="1065" t="s">
        <v>154</v>
      </c>
      <c r="O1329" s="1062">
        <v>240740741</v>
      </c>
      <c r="P1329" s="1062">
        <v>240740741</v>
      </c>
      <c r="Q1329" s="1063"/>
      <c r="R1329" s="1068">
        <v>42702</v>
      </c>
      <c r="S1329" s="1092">
        <f>T1329</f>
        <v>240740741</v>
      </c>
      <c r="T1329" s="1092">
        <v>240740741</v>
      </c>
      <c r="U1329" s="1092">
        <f>O1329-T1329</f>
        <v>0</v>
      </c>
      <c r="V1329" s="1043">
        <v>240740741</v>
      </c>
      <c r="W1329" s="1044"/>
      <c r="X1329" s="1033"/>
      <c r="Y1329" s="372" t="s">
        <v>2000</v>
      </c>
      <c r="Z1329" s="386">
        <v>0</v>
      </c>
      <c r="AA1329" s="386">
        <v>120370370</v>
      </c>
      <c r="AB1329" s="386">
        <f t="shared" si="85"/>
        <v>120370370</v>
      </c>
      <c r="AC1329" s="384">
        <v>43049</v>
      </c>
      <c r="AD1329" s="395">
        <v>120370370</v>
      </c>
      <c r="AE1329" s="371" t="s">
        <v>154</v>
      </c>
      <c r="AF1329" s="1043">
        <f>AD1329+AD1330</f>
        <v>120370370</v>
      </c>
      <c r="AG1329" s="1044"/>
      <c r="AH1329" s="358">
        <f t="shared" si="84"/>
        <v>0</v>
      </c>
      <c r="AI1329" s="1043">
        <f>P1329-AF1329</f>
        <v>120370371</v>
      </c>
      <c r="AJ1329" s="1062">
        <f>SUM(Z1329:Z1330)-SUM(AD1329:AD1330)</f>
        <v>-120370370</v>
      </c>
      <c r="AK1329" s="1062">
        <f>P1329-V1329</f>
        <v>0</v>
      </c>
      <c r="AL1329" s="1062">
        <f>V1329-Z1329-Z1330+AJ1329</f>
        <v>120370371</v>
      </c>
      <c r="AM1329" s="1062"/>
      <c r="AN1329" s="1109"/>
      <c r="AO1329" s="1104"/>
      <c r="AP1329" s="1104"/>
      <c r="AQ1329" s="1104"/>
    </row>
    <row r="1330" spans="1:43" ht="15" customHeight="1">
      <c r="A1330" s="1033"/>
      <c r="B1330" s="1069"/>
      <c r="C1330" s="1012"/>
      <c r="D1330" s="1033"/>
      <c r="E1330" s="1072"/>
      <c r="F1330" s="1072"/>
      <c r="G1330" s="1033"/>
      <c r="H1330" s="1033"/>
      <c r="I1330" s="1033"/>
      <c r="J1330" s="1033"/>
      <c r="K1330" s="1033"/>
      <c r="L1330" s="1033"/>
      <c r="M1330" s="1147"/>
      <c r="N1330" s="1067"/>
      <c r="O1330" s="1064"/>
      <c r="P1330" s="1064"/>
      <c r="Q1330" s="1063"/>
      <c r="R1330" s="1070"/>
      <c r="S1330" s="1094"/>
      <c r="T1330" s="1094"/>
      <c r="U1330" s="1094"/>
      <c r="V1330" s="1045"/>
      <c r="W1330" s="1044"/>
      <c r="X1330" s="1033"/>
      <c r="Y1330" s="372"/>
      <c r="Z1330" s="386"/>
      <c r="AA1330" s="386"/>
      <c r="AB1330" s="386">
        <f t="shared" si="85"/>
        <v>0</v>
      </c>
      <c r="AC1330" s="384"/>
      <c r="AD1330" s="395"/>
      <c r="AE1330" s="371"/>
      <c r="AF1330" s="1045"/>
      <c r="AG1330" s="1044"/>
      <c r="AH1330" s="358">
        <f t="shared" si="84"/>
        <v>0</v>
      </c>
      <c r="AI1330" s="1045"/>
      <c r="AJ1330" s="1064"/>
      <c r="AK1330" s="1064"/>
      <c r="AL1330" s="1064"/>
      <c r="AM1330" s="1064"/>
      <c r="AN1330" s="1109"/>
      <c r="AO1330" s="1104"/>
      <c r="AP1330" s="1104"/>
      <c r="AQ1330" s="1104"/>
    </row>
    <row r="1331" spans="1:43" ht="15" customHeight="1">
      <c r="A1331" s="1033"/>
      <c r="B1331" s="1069"/>
      <c r="C1331" s="1011" t="s">
        <v>39</v>
      </c>
      <c r="D1331" s="1033"/>
      <c r="E1331" s="1072"/>
      <c r="F1331" s="1072"/>
      <c r="G1331" s="1033"/>
      <c r="H1331" s="1033"/>
      <c r="I1331" s="1033"/>
      <c r="J1331" s="1033"/>
      <c r="K1331" s="1033"/>
      <c r="L1331" s="1033"/>
      <c r="M1331" s="1145">
        <v>13</v>
      </c>
      <c r="N1331" s="1065" t="s">
        <v>164</v>
      </c>
      <c r="O1331" s="1062">
        <v>129629630</v>
      </c>
      <c r="P1331" s="1062">
        <v>129629630</v>
      </c>
      <c r="Q1331" s="1063"/>
      <c r="R1331" s="1068">
        <v>42692</v>
      </c>
      <c r="S1331" s="1092">
        <f>T1331</f>
        <v>129629630</v>
      </c>
      <c r="T1331" s="1092">
        <v>129629630</v>
      </c>
      <c r="U1331" s="1092">
        <f>O1331-T1331</f>
        <v>0</v>
      </c>
      <c r="V1331" s="1043">
        <v>129629630</v>
      </c>
      <c r="W1331" s="1044"/>
      <c r="X1331" s="1033"/>
      <c r="Y1331" s="372" t="s">
        <v>2000</v>
      </c>
      <c r="Z1331" s="386">
        <v>0</v>
      </c>
      <c r="AA1331" s="386">
        <v>64814815</v>
      </c>
      <c r="AB1331" s="386">
        <f t="shared" si="85"/>
        <v>64814815</v>
      </c>
      <c r="AC1331" s="384">
        <v>43049</v>
      </c>
      <c r="AD1331" s="395">
        <v>64814815</v>
      </c>
      <c r="AE1331" s="371" t="s">
        <v>164</v>
      </c>
      <c r="AF1331" s="1043">
        <f>AD1331+AD1332</f>
        <v>64814815</v>
      </c>
      <c r="AG1331" s="1044"/>
      <c r="AH1331" s="358">
        <f t="shared" si="84"/>
        <v>0</v>
      </c>
      <c r="AI1331" s="1043">
        <f>P1331-AF1331</f>
        <v>64814815</v>
      </c>
      <c r="AJ1331" s="1062">
        <f>SUM(Z1331:Z1332)-SUM(AD1331:AD1332)</f>
        <v>-64814815</v>
      </c>
      <c r="AK1331" s="1062">
        <f>P1331-V1331</f>
        <v>0</v>
      </c>
      <c r="AL1331" s="1062">
        <f>V1331-Z1331-Z1332+AJ1331</f>
        <v>64814815</v>
      </c>
      <c r="AM1331" s="1062"/>
      <c r="AN1331" s="1109"/>
      <c r="AO1331" s="1104"/>
      <c r="AP1331" s="1104"/>
      <c r="AQ1331" s="1104"/>
    </row>
    <row r="1332" spans="1:43" ht="15" customHeight="1">
      <c r="A1332" s="1012"/>
      <c r="B1332" s="1070"/>
      <c r="C1332" s="1012"/>
      <c r="D1332" s="1012"/>
      <c r="E1332" s="1073"/>
      <c r="F1332" s="1073"/>
      <c r="G1332" s="1012"/>
      <c r="H1332" s="1012"/>
      <c r="I1332" s="1012"/>
      <c r="J1332" s="1012"/>
      <c r="K1332" s="1012"/>
      <c r="L1332" s="1012"/>
      <c r="M1332" s="1147"/>
      <c r="N1332" s="1067"/>
      <c r="O1332" s="1064"/>
      <c r="P1332" s="1064"/>
      <c r="Q1332" s="1064"/>
      <c r="R1332" s="1070"/>
      <c r="S1332" s="1094"/>
      <c r="T1332" s="1094"/>
      <c r="U1332" s="1094"/>
      <c r="V1332" s="1045"/>
      <c r="W1332" s="1045"/>
      <c r="X1332" s="1012"/>
      <c r="Y1332" s="372"/>
      <c r="Z1332" s="386"/>
      <c r="AA1332" s="386"/>
      <c r="AB1332" s="386">
        <f t="shared" si="85"/>
        <v>0</v>
      </c>
      <c r="AC1332" s="384"/>
      <c r="AD1332" s="395"/>
      <c r="AE1332" s="371"/>
      <c r="AF1332" s="1045"/>
      <c r="AG1332" s="1045"/>
      <c r="AH1332" s="358">
        <f t="shared" si="84"/>
        <v>0</v>
      </c>
      <c r="AI1332" s="1045"/>
      <c r="AJ1332" s="1064"/>
      <c r="AK1332" s="1064"/>
      <c r="AL1332" s="1064"/>
      <c r="AM1332" s="1064"/>
      <c r="AN1332" s="1110"/>
      <c r="AO1332" s="1105"/>
      <c r="AP1332" s="1105"/>
      <c r="AQ1332" s="1105"/>
    </row>
    <row r="1333" spans="1:43" ht="15" customHeight="1">
      <c r="A1333" s="1011" t="s">
        <v>1847</v>
      </c>
      <c r="B1333" s="1068">
        <v>42179</v>
      </c>
      <c r="C1333" s="1011" t="s">
        <v>36</v>
      </c>
      <c r="D1333" s="1011" t="s">
        <v>1848</v>
      </c>
      <c r="E1333" s="1071">
        <v>800019993</v>
      </c>
      <c r="F1333" s="1071">
        <v>4</v>
      </c>
      <c r="G1333" s="1011" t="s">
        <v>1849</v>
      </c>
      <c r="H1333" s="1011" t="s">
        <v>71</v>
      </c>
      <c r="I1333" s="1011" t="s">
        <v>1221</v>
      </c>
      <c r="J1333" s="1011" t="s">
        <v>66</v>
      </c>
      <c r="K1333" s="1011" t="s">
        <v>48</v>
      </c>
      <c r="L1333" s="1011" t="s">
        <v>1852</v>
      </c>
      <c r="M1333" s="1009">
        <v>9</v>
      </c>
      <c r="N1333" s="1065" t="s">
        <v>161</v>
      </c>
      <c r="O1333" s="1062">
        <v>1563158721</v>
      </c>
      <c r="P1333" s="1062">
        <v>1563158721</v>
      </c>
      <c r="Q1333" s="1062">
        <f>P1333</f>
        <v>1563158721</v>
      </c>
      <c r="R1333" s="1068">
        <v>41948</v>
      </c>
      <c r="S1333" s="1092">
        <f>T1333</f>
        <v>1563158721</v>
      </c>
      <c r="T1333" s="1092">
        <v>1563158721</v>
      </c>
      <c r="U1333" s="1092">
        <f>O1333-T1333</f>
        <v>0</v>
      </c>
      <c r="V1333" s="1043">
        <v>1563158721</v>
      </c>
      <c r="W1333" s="1062">
        <v>1563158721</v>
      </c>
      <c r="X1333" s="1011" t="s">
        <v>1850</v>
      </c>
      <c r="Y1333" s="372" t="s">
        <v>1851</v>
      </c>
      <c r="Z1333" s="386">
        <v>0</v>
      </c>
      <c r="AA1333" s="386">
        <v>780727451.5</v>
      </c>
      <c r="AB1333" s="386">
        <f t="shared" si="85"/>
        <v>780727451.5</v>
      </c>
      <c r="AC1333" s="384">
        <v>42451</v>
      </c>
      <c r="AD1333" s="395">
        <v>780727451.5</v>
      </c>
      <c r="AE1333" s="371" t="s">
        <v>161</v>
      </c>
      <c r="AF1333" s="1043">
        <f>SUM(AD1333:AD1336)</f>
        <v>1369864276.5</v>
      </c>
      <c r="AG1333" s="1043">
        <f>AF1333</f>
        <v>1369864276.5</v>
      </c>
      <c r="AH1333" s="358">
        <f t="shared" si="84"/>
        <v>0</v>
      </c>
      <c r="AI1333" s="1043">
        <f>O1333-SUM(AD1333:AD1336)</f>
        <v>193294444.5</v>
      </c>
      <c r="AJ1333" s="1062"/>
      <c r="AK1333" s="1062"/>
      <c r="AL1333" s="1062"/>
      <c r="AM1333" s="1062"/>
      <c r="AN1333" s="1108" t="s">
        <v>1853</v>
      </c>
      <c r="AO1333" s="1103" t="s">
        <v>1854</v>
      </c>
      <c r="AP1333" s="1103" t="s">
        <v>194</v>
      </c>
      <c r="AQ1333" s="1103" t="s">
        <v>1619</v>
      </c>
    </row>
    <row r="1334" spans="1:43" ht="15" customHeight="1">
      <c r="A1334" s="1033"/>
      <c r="B1334" s="1069"/>
      <c r="C1334" s="1033"/>
      <c r="D1334" s="1033"/>
      <c r="E1334" s="1072"/>
      <c r="F1334" s="1072"/>
      <c r="G1334" s="1033"/>
      <c r="H1334" s="1033"/>
      <c r="I1334" s="1033"/>
      <c r="J1334" s="1033"/>
      <c r="K1334" s="1033"/>
      <c r="L1334" s="1033"/>
      <c r="M1334" s="1039"/>
      <c r="N1334" s="1066"/>
      <c r="O1334" s="1063"/>
      <c r="P1334" s="1063"/>
      <c r="Q1334" s="1063"/>
      <c r="R1334" s="1069"/>
      <c r="S1334" s="1093"/>
      <c r="T1334" s="1093"/>
      <c r="U1334" s="1093"/>
      <c r="V1334" s="1044"/>
      <c r="W1334" s="1063"/>
      <c r="X1334" s="1033"/>
      <c r="Y1334" s="372"/>
      <c r="Z1334" s="386"/>
      <c r="AA1334" s="386"/>
      <c r="AB1334" s="386">
        <f>Z1334+AA1334</f>
        <v>0</v>
      </c>
      <c r="AC1334" s="384">
        <v>42886</v>
      </c>
      <c r="AD1334" s="395">
        <v>223521371.5</v>
      </c>
      <c r="AE1334" s="371" t="s">
        <v>161</v>
      </c>
      <c r="AF1334" s="1044"/>
      <c r="AG1334" s="1044"/>
      <c r="AH1334" s="358">
        <f>AB1334-AD1334</f>
        <v>-223521371.5</v>
      </c>
      <c r="AI1334" s="1044"/>
      <c r="AJ1334" s="1063"/>
      <c r="AK1334" s="1063"/>
      <c r="AL1334" s="1063"/>
      <c r="AM1334" s="1063"/>
      <c r="AN1334" s="1109"/>
      <c r="AO1334" s="1104"/>
      <c r="AP1334" s="1104"/>
      <c r="AQ1334" s="1104"/>
    </row>
    <row r="1335" spans="1:43" ht="15" customHeight="1">
      <c r="A1335" s="1033"/>
      <c r="B1335" s="1069"/>
      <c r="C1335" s="1033"/>
      <c r="D1335" s="1033"/>
      <c r="E1335" s="1072"/>
      <c r="F1335" s="1072"/>
      <c r="G1335" s="1033"/>
      <c r="H1335" s="1033"/>
      <c r="I1335" s="1033"/>
      <c r="J1335" s="1033"/>
      <c r="K1335" s="1033"/>
      <c r="L1335" s="1033"/>
      <c r="M1335" s="1039"/>
      <c r="N1335" s="1066"/>
      <c r="O1335" s="1063"/>
      <c r="P1335" s="1063"/>
      <c r="Q1335" s="1063"/>
      <c r="R1335" s="1069"/>
      <c r="S1335" s="1093"/>
      <c r="T1335" s="1093"/>
      <c r="U1335" s="1093"/>
      <c r="V1335" s="1044"/>
      <c r="W1335" s="1063"/>
      <c r="X1335" s="1033"/>
      <c r="Y1335" s="372"/>
      <c r="Z1335" s="386"/>
      <c r="AA1335" s="386"/>
      <c r="AB1335" s="386">
        <f>Z1335+AA1335</f>
        <v>0</v>
      </c>
      <c r="AC1335" s="384">
        <v>42989</v>
      </c>
      <c r="AD1335" s="395">
        <v>365615453.5</v>
      </c>
      <c r="AE1335" s="371" t="s">
        <v>161</v>
      </c>
      <c r="AF1335" s="1044"/>
      <c r="AG1335" s="1044"/>
      <c r="AH1335" s="358">
        <f>AB1335-AD1335</f>
        <v>-365615453.5</v>
      </c>
      <c r="AI1335" s="1044"/>
      <c r="AJ1335" s="1063"/>
      <c r="AK1335" s="1063"/>
      <c r="AL1335" s="1063"/>
      <c r="AM1335" s="1063"/>
      <c r="AN1335" s="1109"/>
      <c r="AO1335" s="1104"/>
      <c r="AP1335" s="1104"/>
      <c r="AQ1335" s="1104"/>
    </row>
    <row r="1336" spans="1:43" ht="15" customHeight="1">
      <c r="A1336" s="1012"/>
      <c r="B1336" s="1070"/>
      <c r="C1336" s="1012"/>
      <c r="D1336" s="1012"/>
      <c r="E1336" s="1073"/>
      <c r="F1336" s="1073"/>
      <c r="G1336" s="1012"/>
      <c r="H1336" s="1012"/>
      <c r="I1336" s="1012"/>
      <c r="J1336" s="1012"/>
      <c r="K1336" s="1012"/>
      <c r="L1336" s="1012"/>
      <c r="M1336" s="1010"/>
      <c r="N1336" s="1067"/>
      <c r="O1336" s="1064"/>
      <c r="P1336" s="1064"/>
      <c r="Q1336" s="1064"/>
      <c r="R1336" s="1070"/>
      <c r="S1336" s="1094"/>
      <c r="T1336" s="1094"/>
      <c r="U1336" s="1094"/>
      <c r="V1336" s="1045"/>
      <c r="W1336" s="1064"/>
      <c r="X1336" s="1012"/>
      <c r="Y1336" s="372"/>
      <c r="Z1336" s="386"/>
      <c r="AA1336" s="386"/>
      <c r="AB1336" s="386">
        <f>Z1336+AA1336</f>
        <v>0</v>
      </c>
      <c r="AC1336" s="384"/>
      <c r="AD1336" s="395"/>
      <c r="AE1336" s="371"/>
      <c r="AF1336" s="1045"/>
      <c r="AG1336" s="1045"/>
      <c r="AH1336" s="358">
        <f>AB1336-AD1336</f>
        <v>0</v>
      </c>
      <c r="AI1336" s="1045"/>
      <c r="AJ1336" s="1064"/>
      <c r="AK1336" s="1064"/>
      <c r="AL1336" s="1064"/>
      <c r="AM1336" s="1064"/>
      <c r="AN1336" s="1110"/>
      <c r="AO1336" s="1105"/>
      <c r="AP1336" s="1105"/>
      <c r="AQ1336" s="1105"/>
    </row>
    <row r="1337" spans="1:43" s="4" customFormat="1" ht="15" customHeight="1">
      <c r="A1337" s="1149" t="s">
        <v>1980</v>
      </c>
      <c r="B1337" s="1171">
        <v>42219</v>
      </c>
      <c r="C1337" s="1122" t="s">
        <v>1979</v>
      </c>
      <c r="D1337" s="1149" t="s">
        <v>1982</v>
      </c>
      <c r="E1337" s="1148">
        <v>900873446</v>
      </c>
      <c r="F1337" s="1148">
        <v>1</v>
      </c>
      <c r="G1337" s="1149" t="s">
        <v>1978</v>
      </c>
      <c r="H1337" s="1023" t="s">
        <v>72</v>
      </c>
      <c r="I1337" s="1023" t="s">
        <v>206</v>
      </c>
      <c r="J1337" s="1186" t="s">
        <v>66</v>
      </c>
      <c r="K1337" s="1149" t="s">
        <v>49</v>
      </c>
      <c r="L1337" s="1149" t="s">
        <v>1904</v>
      </c>
      <c r="M1337" s="1156">
        <v>16</v>
      </c>
      <c r="N1337" s="1122" t="s">
        <v>129</v>
      </c>
      <c r="O1337" s="1084">
        <v>51220000</v>
      </c>
      <c r="P1337" s="1084">
        <v>51220000</v>
      </c>
      <c r="Q1337" s="1084">
        <f>P1337+P1339+P1341+P1343+P1345+P1347+P1349+P1351+P1353+P1355+P1357</f>
        <v>511485000</v>
      </c>
      <c r="R1337" s="1171">
        <v>42150</v>
      </c>
      <c r="S1337" s="1089"/>
      <c r="T1337" s="1089"/>
      <c r="U1337" s="1089"/>
      <c r="V1337" s="1084">
        <v>51124427.460000001</v>
      </c>
      <c r="W1337" s="1189">
        <v>493417600</v>
      </c>
      <c r="X1337" s="1023"/>
      <c r="Y1337" s="372" t="s">
        <v>1983</v>
      </c>
      <c r="Z1337" s="386">
        <v>0</v>
      </c>
      <c r="AA1337" s="386">
        <v>5112442.74</v>
      </c>
      <c r="AB1337" s="386">
        <f t="shared" ref="AB1337:AB1358" si="86">AA1337+Z1337</f>
        <v>5112442.74</v>
      </c>
      <c r="AC1337" s="384">
        <v>42320</v>
      </c>
      <c r="AD1337" s="395">
        <v>5112442.74</v>
      </c>
      <c r="AE1337" s="1122" t="s">
        <v>129</v>
      </c>
      <c r="AF1337" s="1084">
        <f>SUM(AD1337:AD1338)</f>
        <v>25817835.859999999</v>
      </c>
      <c r="AG1337" s="1084">
        <f>SUM(AF1337:AF1358)</f>
        <v>249175888.00000003</v>
      </c>
      <c r="AH1337" s="1084">
        <v>0</v>
      </c>
      <c r="AI1337" s="1084">
        <v>0</v>
      </c>
      <c r="AJ1337" s="1084">
        <v>0</v>
      </c>
      <c r="AK1337" s="1084">
        <f>O1337-V1337</f>
        <v>95572.539999999106</v>
      </c>
      <c r="AL1337" s="1084"/>
      <c r="AM1337" s="1084"/>
      <c r="AN1337" s="1149"/>
      <c r="AO1337" s="1149" t="s">
        <v>1981</v>
      </c>
      <c r="AP1337" s="1103" t="s">
        <v>195</v>
      </c>
      <c r="AQ1337" s="1103" t="s">
        <v>1911</v>
      </c>
    </row>
    <row r="1338" spans="1:43" s="4" customFormat="1" ht="15" customHeight="1">
      <c r="A1338" s="1149"/>
      <c r="B1338" s="1171"/>
      <c r="C1338" s="1122"/>
      <c r="D1338" s="1149"/>
      <c r="E1338" s="1148"/>
      <c r="F1338" s="1148"/>
      <c r="G1338" s="1149"/>
      <c r="H1338" s="1124"/>
      <c r="I1338" s="1124"/>
      <c r="J1338" s="1187"/>
      <c r="K1338" s="1149"/>
      <c r="L1338" s="1149"/>
      <c r="M1338" s="1156"/>
      <c r="N1338" s="1122"/>
      <c r="O1338" s="1084"/>
      <c r="P1338" s="1084"/>
      <c r="Q1338" s="1084"/>
      <c r="R1338" s="1171"/>
      <c r="S1338" s="1091"/>
      <c r="T1338" s="1091"/>
      <c r="U1338" s="1091"/>
      <c r="V1338" s="1084"/>
      <c r="W1338" s="1189"/>
      <c r="X1338" s="1124"/>
      <c r="Y1338" s="372" t="s">
        <v>1984</v>
      </c>
      <c r="Z1338" s="386">
        <v>23005992.359999999</v>
      </c>
      <c r="AA1338" s="386">
        <v>-2300599.2400000002</v>
      </c>
      <c r="AB1338" s="386">
        <f t="shared" si="86"/>
        <v>20705393.119999997</v>
      </c>
      <c r="AC1338" s="384">
        <v>42436</v>
      </c>
      <c r="AD1338" s="395">
        <v>20705393.120000001</v>
      </c>
      <c r="AE1338" s="1122"/>
      <c r="AF1338" s="1084"/>
      <c r="AG1338" s="1084"/>
      <c r="AH1338" s="1084"/>
      <c r="AI1338" s="1084"/>
      <c r="AJ1338" s="1084"/>
      <c r="AK1338" s="1084"/>
      <c r="AL1338" s="1084"/>
      <c r="AM1338" s="1084"/>
      <c r="AN1338" s="1149"/>
      <c r="AO1338" s="1149"/>
      <c r="AP1338" s="1104"/>
      <c r="AQ1338" s="1104"/>
    </row>
    <row r="1339" spans="1:43" s="4" customFormat="1" ht="15" customHeight="1">
      <c r="A1339" s="1149"/>
      <c r="B1339" s="1171"/>
      <c r="C1339" s="1122" t="s">
        <v>1977</v>
      </c>
      <c r="D1339" s="1149"/>
      <c r="E1339" s="1148"/>
      <c r="F1339" s="1148"/>
      <c r="G1339" s="1149"/>
      <c r="H1339" s="1124"/>
      <c r="I1339" s="1124"/>
      <c r="J1339" s="1187"/>
      <c r="K1339" s="1149"/>
      <c r="L1339" s="1149"/>
      <c r="M1339" s="1156">
        <v>5</v>
      </c>
      <c r="N1339" s="1122" t="s">
        <v>143</v>
      </c>
      <c r="O1339" s="1084">
        <v>51220000</v>
      </c>
      <c r="P1339" s="1084">
        <v>51220000</v>
      </c>
      <c r="Q1339" s="1084"/>
      <c r="R1339" s="1171">
        <v>42150</v>
      </c>
      <c r="S1339" s="1089"/>
      <c r="T1339" s="1089"/>
      <c r="U1339" s="1089"/>
      <c r="V1339" s="1084">
        <v>51124427.460000001</v>
      </c>
      <c r="W1339" s="1189"/>
      <c r="X1339" s="1124"/>
      <c r="Y1339" s="372" t="s">
        <v>1983</v>
      </c>
      <c r="Z1339" s="386">
        <v>0</v>
      </c>
      <c r="AA1339" s="386">
        <v>5112442.75</v>
      </c>
      <c r="AB1339" s="386">
        <f t="shared" si="86"/>
        <v>5112442.75</v>
      </c>
      <c r="AC1339" s="384">
        <v>42320</v>
      </c>
      <c r="AD1339" s="395">
        <v>5112442.75</v>
      </c>
      <c r="AE1339" s="1122" t="s">
        <v>143</v>
      </c>
      <c r="AF1339" s="1084">
        <f>SUM(AD1339:AD1340)</f>
        <v>25817835.870000001</v>
      </c>
      <c r="AG1339" s="1084"/>
      <c r="AH1339" s="1084"/>
      <c r="AI1339" s="1084"/>
      <c r="AJ1339" s="1084"/>
      <c r="AK1339" s="1084">
        <f>O1339-V1339</f>
        <v>95572.539999999106</v>
      </c>
      <c r="AL1339" s="1084"/>
      <c r="AM1339" s="1084"/>
      <c r="AN1339" s="1149"/>
      <c r="AO1339" s="1149"/>
      <c r="AP1339" s="1104"/>
      <c r="AQ1339" s="1104"/>
    </row>
    <row r="1340" spans="1:43" s="4" customFormat="1" ht="15" customHeight="1">
      <c r="A1340" s="1149"/>
      <c r="B1340" s="1171"/>
      <c r="C1340" s="1122"/>
      <c r="D1340" s="1149"/>
      <c r="E1340" s="1148"/>
      <c r="F1340" s="1148"/>
      <c r="G1340" s="1149"/>
      <c r="H1340" s="1124"/>
      <c r="I1340" s="1124"/>
      <c r="J1340" s="1187"/>
      <c r="K1340" s="1149"/>
      <c r="L1340" s="1149"/>
      <c r="M1340" s="1156"/>
      <c r="N1340" s="1122"/>
      <c r="O1340" s="1084"/>
      <c r="P1340" s="1084"/>
      <c r="Q1340" s="1084"/>
      <c r="R1340" s="1171"/>
      <c r="S1340" s="1091"/>
      <c r="T1340" s="1091"/>
      <c r="U1340" s="1091"/>
      <c r="V1340" s="1084"/>
      <c r="W1340" s="1189"/>
      <c r="X1340" s="1124"/>
      <c r="Y1340" s="372" t="s">
        <v>1985</v>
      </c>
      <c r="Z1340" s="386">
        <v>23005992.359999999</v>
      </c>
      <c r="AA1340" s="386">
        <v>-2300599.2400000002</v>
      </c>
      <c r="AB1340" s="386">
        <f t="shared" si="86"/>
        <v>20705393.119999997</v>
      </c>
      <c r="AC1340" s="384">
        <v>42436</v>
      </c>
      <c r="AD1340" s="395">
        <v>20705393.120000001</v>
      </c>
      <c r="AE1340" s="1122"/>
      <c r="AF1340" s="1084"/>
      <c r="AG1340" s="1084"/>
      <c r="AH1340" s="1084"/>
      <c r="AI1340" s="1084"/>
      <c r="AJ1340" s="1084"/>
      <c r="AK1340" s="1084"/>
      <c r="AL1340" s="1084"/>
      <c r="AM1340" s="1084"/>
      <c r="AN1340" s="1149"/>
      <c r="AO1340" s="1149"/>
      <c r="AP1340" s="1104"/>
      <c r="AQ1340" s="1104"/>
    </row>
    <row r="1341" spans="1:43" s="4" customFormat="1" ht="15" customHeight="1">
      <c r="A1341" s="1149"/>
      <c r="B1341" s="1171"/>
      <c r="C1341" s="1122" t="s">
        <v>1976</v>
      </c>
      <c r="D1341" s="1149"/>
      <c r="E1341" s="1148"/>
      <c r="F1341" s="1148"/>
      <c r="G1341" s="1149"/>
      <c r="H1341" s="1124"/>
      <c r="I1341" s="1124"/>
      <c r="J1341" s="1187"/>
      <c r="K1341" s="1149"/>
      <c r="L1341" s="1149"/>
      <c r="M1341" s="1156">
        <v>14</v>
      </c>
      <c r="N1341" s="1122" t="s">
        <v>147</v>
      </c>
      <c r="O1341" s="1084">
        <v>51220000</v>
      </c>
      <c r="P1341" s="1084">
        <v>51220000</v>
      </c>
      <c r="Q1341" s="1084"/>
      <c r="R1341" s="1171">
        <v>42150</v>
      </c>
      <c r="S1341" s="1089"/>
      <c r="T1341" s="1089"/>
      <c r="U1341" s="1089"/>
      <c r="V1341" s="1084">
        <v>51124427.460000001</v>
      </c>
      <c r="W1341" s="1189"/>
      <c r="X1341" s="1124"/>
      <c r="Y1341" s="372" t="s">
        <v>1983</v>
      </c>
      <c r="Z1341" s="386">
        <v>0</v>
      </c>
      <c r="AA1341" s="386">
        <v>5112442.75</v>
      </c>
      <c r="AB1341" s="386">
        <f t="shared" si="86"/>
        <v>5112442.75</v>
      </c>
      <c r="AC1341" s="384">
        <v>42320</v>
      </c>
      <c r="AD1341" s="395">
        <v>5112442.75</v>
      </c>
      <c r="AE1341" s="1122" t="s">
        <v>147</v>
      </c>
      <c r="AF1341" s="1084">
        <f>SUM(AD1341:AD1342)</f>
        <v>25817835.870000001</v>
      </c>
      <c r="AG1341" s="1084"/>
      <c r="AH1341" s="1084"/>
      <c r="AI1341" s="1084"/>
      <c r="AJ1341" s="1084"/>
      <c r="AK1341" s="1084">
        <f>O1341-V1341</f>
        <v>95572.539999999106</v>
      </c>
      <c r="AL1341" s="1084"/>
      <c r="AM1341" s="1084"/>
      <c r="AN1341" s="1149"/>
      <c r="AO1341" s="1149"/>
      <c r="AP1341" s="1104"/>
      <c r="AQ1341" s="1104"/>
    </row>
    <row r="1342" spans="1:43" s="4" customFormat="1" ht="15" customHeight="1">
      <c r="A1342" s="1149"/>
      <c r="B1342" s="1171"/>
      <c r="C1342" s="1122"/>
      <c r="D1342" s="1149"/>
      <c r="E1342" s="1148"/>
      <c r="F1342" s="1148"/>
      <c r="G1342" s="1149"/>
      <c r="H1342" s="1124"/>
      <c r="I1342" s="1124"/>
      <c r="J1342" s="1187"/>
      <c r="K1342" s="1149"/>
      <c r="L1342" s="1149"/>
      <c r="M1342" s="1156"/>
      <c r="N1342" s="1122"/>
      <c r="O1342" s="1084"/>
      <c r="P1342" s="1084"/>
      <c r="Q1342" s="1084"/>
      <c r="R1342" s="1171"/>
      <c r="S1342" s="1091"/>
      <c r="T1342" s="1091"/>
      <c r="U1342" s="1091"/>
      <c r="V1342" s="1084"/>
      <c r="W1342" s="1189"/>
      <c r="X1342" s="1124"/>
      <c r="Y1342" s="372" t="s">
        <v>1986</v>
      </c>
      <c r="Z1342" s="386">
        <v>23005992.359999999</v>
      </c>
      <c r="AA1342" s="386">
        <v>-2300599.2400000002</v>
      </c>
      <c r="AB1342" s="386">
        <f t="shared" si="86"/>
        <v>20705393.119999997</v>
      </c>
      <c r="AC1342" s="384">
        <v>42436</v>
      </c>
      <c r="AD1342" s="395">
        <v>20705393.120000001</v>
      </c>
      <c r="AE1342" s="1122"/>
      <c r="AF1342" s="1084"/>
      <c r="AG1342" s="1084"/>
      <c r="AH1342" s="1084"/>
      <c r="AI1342" s="1084"/>
      <c r="AJ1342" s="1084"/>
      <c r="AK1342" s="1084"/>
      <c r="AL1342" s="1084"/>
      <c r="AM1342" s="1084"/>
      <c r="AN1342" s="1149"/>
      <c r="AO1342" s="1149"/>
      <c r="AP1342" s="1104"/>
      <c r="AQ1342" s="1104"/>
    </row>
    <row r="1343" spans="1:43" s="4" customFormat="1" ht="15" customHeight="1">
      <c r="A1343" s="1149"/>
      <c r="B1343" s="1171"/>
      <c r="C1343" s="1122" t="s">
        <v>1976</v>
      </c>
      <c r="D1343" s="1149"/>
      <c r="E1343" s="1148"/>
      <c r="F1343" s="1148"/>
      <c r="G1343" s="1149"/>
      <c r="H1343" s="1124"/>
      <c r="I1343" s="1124"/>
      <c r="J1343" s="1187"/>
      <c r="K1343" s="1149"/>
      <c r="L1343" s="1149"/>
      <c r="M1343" s="1156">
        <v>12</v>
      </c>
      <c r="N1343" s="1122" t="s">
        <v>147</v>
      </c>
      <c r="O1343" s="1084">
        <v>33825000</v>
      </c>
      <c r="P1343" s="1084">
        <v>33825000</v>
      </c>
      <c r="Q1343" s="1084"/>
      <c r="R1343" s="1171">
        <v>42150</v>
      </c>
      <c r="S1343" s="1089"/>
      <c r="T1343" s="1089"/>
      <c r="U1343" s="1089"/>
      <c r="V1343" s="1084">
        <v>33761885.18</v>
      </c>
      <c r="W1343" s="1189"/>
      <c r="X1343" s="1124"/>
      <c r="Y1343" s="372" t="s">
        <v>1983</v>
      </c>
      <c r="Z1343" s="386">
        <v>0</v>
      </c>
      <c r="AA1343" s="386">
        <v>3376188.51</v>
      </c>
      <c r="AB1343" s="386">
        <f t="shared" si="86"/>
        <v>3376188.51</v>
      </c>
      <c r="AC1343" s="384">
        <v>42320</v>
      </c>
      <c r="AD1343" s="395">
        <v>3376188.51</v>
      </c>
      <c r="AE1343" s="1122" t="s">
        <v>147</v>
      </c>
      <c r="AF1343" s="1084">
        <f>SUM(AD1343:AD1344)</f>
        <v>17049751.990000002</v>
      </c>
      <c r="AG1343" s="1084"/>
      <c r="AH1343" s="1084"/>
      <c r="AI1343" s="1084"/>
      <c r="AJ1343" s="1084"/>
      <c r="AK1343" s="1084">
        <f>O1343-V1343</f>
        <v>63114.820000000298</v>
      </c>
      <c r="AL1343" s="1084"/>
      <c r="AM1343" s="1084"/>
      <c r="AN1343" s="1149"/>
      <c r="AO1343" s="1149"/>
      <c r="AP1343" s="1104"/>
      <c r="AQ1343" s="1104"/>
    </row>
    <row r="1344" spans="1:43" s="4" customFormat="1" ht="15" customHeight="1">
      <c r="A1344" s="1149"/>
      <c r="B1344" s="1171"/>
      <c r="C1344" s="1122"/>
      <c r="D1344" s="1149"/>
      <c r="E1344" s="1148"/>
      <c r="F1344" s="1148"/>
      <c r="G1344" s="1149"/>
      <c r="H1344" s="1124"/>
      <c r="I1344" s="1124"/>
      <c r="J1344" s="1187"/>
      <c r="K1344" s="1149"/>
      <c r="L1344" s="1149"/>
      <c r="M1344" s="1156"/>
      <c r="N1344" s="1122"/>
      <c r="O1344" s="1084"/>
      <c r="P1344" s="1084"/>
      <c r="Q1344" s="1084"/>
      <c r="R1344" s="1171"/>
      <c r="S1344" s="1091"/>
      <c r="T1344" s="1091"/>
      <c r="U1344" s="1091"/>
      <c r="V1344" s="1084"/>
      <c r="W1344" s="1189"/>
      <c r="X1344" s="1124"/>
      <c r="Y1344" s="372" t="s">
        <v>1987</v>
      </c>
      <c r="Z1344" s="386">
        <v>15192848.310000001</v>
      </c>
      <c r="AA1344" s="386">
        <v>-1519284.83</v>
      </c>
      <c r="AB1344" s="386">
        <f t="shared" si="86"/>
        <v>13673563.48</v>
      </c>
      <c r="AC1344" s="384">
        <v>42436</v>
      </c>
      <c r="AD1344" s="395">
        <v>13673563.48</v>
      </c>
      <c r="AE1344" s="1122"/>
      <c r="AF1344" s="1084"/>
      <c r="AG1344" s="1084"/>
      <c r="AH1344" s="1084"/>
      <c r="AI1344" s="1084"/>
      <c r="AJ1344" s="1084"/>
      <c r="AK1344" s="1084"/>
      <c r="AL1344" s="1084"/>
      <c r="AM1344" s="1084"/>
      <c r="AN1344" s="1149"/>
      <c r="AO1344" s="1149"/>
      <c r="AP1344" s="1104"/>
      <c r="AQ1344" s="1104"/>
    </row>
    <row r="1345" spans="1:43" s="4" customFormat="1" ht="15" customHeight="1">
      <c r="A1345" s="1149"/>
      <c r="B1345" s="1171"/>
      <c r="C1345" s="1122" t="s">
        <v>1975</v>
      </c>
      <c r="D1345" s="1149"/>
      <c r="E1345" s="1148"/>
      <c r="F1345" s="1148"/>
      <c r="G1345" s="1149"/>
      <c r="H1345" s="1124"/>
      <c r="I1345" s="1124"/>
      <c r="J1345" s="1187"/>
      <c r="K1345" s="1149"/>
      <c r="L1345" s="1149"/>
      <c r="M1345" s="1156">
        <v>15</v>
      </c>
      <c r="N1345" s="1122" t="s">
        <v>157</v>
      </c>
      <c r="O1345" s="1084">
        <v>34075000</v>
      </c>
      <c r="P1345" s="1084">
        <v>34075000</v>
      </c>
      <c r="Q1345" s="1084"/>
      <c r="R1345" s="1171">
        <v>42150</v>
      </c>
      <c r="S1345" s="1089"/>
      <c r="T1345" s="1089"/>
      <c r="U1345" s="1089"/>
      <c r="V1345" s="1084">
        <v>34011418.700000003</v>
      </c>
      <c r="W1345" s="1189"/>
      <c r="X1345" s="1124"/>
      <c r="Y1345" s="372" t="s">
        <v>1983</v>
      </c>
      <c r="Z1345" s="386">
        <v>0</v>
      </c>
      <c r="AA1345" s="386">
        <v>3401141.87</v>
      </c>
      <c r="AB1345" s="386">
        <f t="shared" si="86"/>
        <v>3401141.87</v>
      </c>
      <c r="AC1345" s="384">
        <v>42320</v>
      </c>
      <c r="AD1345" s="395">
        <v>3401141.87</v>
      </c>
      <c r="AE1345" s="1122" t="s">
        <v>157</v>
      </c>
      <c r="AF1345" s="1084">
        <f>SUM(AD1345:AD1346)</f>
        <v>17175766.469999999</v>
      </c>
      <c r="AG1345" s="1084"/>
      <c r="AH1345" s="1084"/>
      <c r="AI1345" s="1084"/>
      <c r="AJ1345" s="1084"/>
      <c r="AK1345" s="1084">
        <f>O1345-V1345</f>
        <v>63581.29999999702</v>
      </c>
      <c r="AL1345" s="1084"/>
      <c r="AM1345" s="1084"/>
      <c r="AN1345" s="1149"/>
      <c r="AO1345" s="1149"/>
      <c r="AP1345" s="1104"/>
      <c r="AQ1345" s="1104"/>
    </row>
    <row r="1346" spans="1:43" s="4" customFormat="1" ht="15" customHeight="1">
      <c r="A1346" s="1149"/>
      <c r="B1346" s="1171"/>
      <c r="C1346" s="1122"/>
      <c r="D1346" s="1149"/>
      <c r="E1346" s="1148"/>
      <c r="F1346" s="1148"/>
      <c r="G1346" s="1149"/>
      <c r="H1346" s="1124"/>
      <c r="I1346" s="1124"/>
      <c r="J1346" s="1187"/>
      <c r="K1346" s="1149"/>
      <c r="L1346" s="1149"/>
      <c r="M1346" s="1156"/>
      <c r="N1346" s="1122"/>
      <c r="O1346" s="1084"/>
      <c r="P1346" s="1084"/>
      <c r="Q1346" s="1084"/>
      <c r="R1346" s="1171"/>
      <c r="S1346" s="1091"/>
      <c r="T1346" s="1091"/>
      <c r="U1346" s="1091"/>
      <c r="V1346" s="1084"/>
      <c r="W1346" s="1189"/>
      <c r="X1346" s="1124"/>
      <c r="Y1346" s="372" t="s">
        <v>1988</v>
      </c>
      <c r="Z1346" s="386">
        <v>15305138.439999999</v>
      </c>
      <c r="AA1346" s="386">
        <v>-1530513.84</v>
      </c>
      <c r="AB1346" s="386">
        <f t="shared" si="86"/>
        <v>13774624.6</v>
      </c>
      <c r="AC1346" s="384">
        <v>42436</v>
      </c>
      <c r="AD1346" s="395">
        <v>13774624.6</v>
      </c>
      <c r="AE1346" s="1122"/>
      <c r="AF1346" s="1084"/>
      <c r="AG1346" s="1084"/>
      <c r="AH1346" s="1084"/>
      <c r="AI1346" s="1084"/>
      <c r="AJ1346" s="1084"/>
      <c r="AK1346" s="1084"/>
      <c r="AL1346" s="1084"/>
      <c r="AM1346" s="1084"/>
      <c r="AN1346" s="1149"/>
      <c r="AO1346" s="1149"/>
      <c r="AP1346" s="1104"/>
      <c r="AQ1346" s="1104"/>
    </row>
    <row r="1347" spans="1:43" s="4" customFormat="1" ht="15" customHeight="1">
      <c r="A1347" s="1149"/>
      <c r="B1347" s="1171"/>
      <c r="C1347" s="1122" t="s">
        <v>1974</v>
      </c>
      <c r="D1347" s="1149"/>
      <c r="E1347" s="1148"/>
      <c r="F1347" s="1148"/>
      <c r="G1347" s="1149"/>
      <c r="H1347" s="1124"/>
      <c r="I1347" s="1124"/>
      <c r="J1347" s="1187"/>
      <c r="K1347" s="1149"/>
      <c r="L1347" s="1149"/>
      <c r="M1347" s="1156">
        <v>5</v>
      </c>
      <c r="N1347" s="1122" t="s">
        <v>163</v>
      </c>
      <c r="O1347" s="1084">
        <v>33825000</v>
      </c>
      <c r="P1347" s="1084">
        <v>33825000</v>
      </c>
      <c r="Q1347" s="1084"/>
      <c r="R1347" s="1171">
        <v>42150</v>
      </c>
      <c r="S1347" s="1089"/>
      <c r="T1347" s="1089"/>
      <c r="U1347" s="1089"/>
      <c r="V1347" s="1084">
        <v>33761885.18</v>
      </c>
      <c r="W1347" s="1189"/>
      <c r="X1347" s="1124"/>
      <c r="Y1347" s="372" t="s">
        <v>1983</v>
      </c>
      <c r="Z1347" s="386">
        <v>0</v>
      </c>
      <c r="AA1347" s="386">
        <v>3376188.51</v>
      </c>
      <c r="AB1347" s="386">
        <f t="shared" si="86"/>
        <v>3376188.51</v>
      </c>
      <c r="AC1347" s="384">
        <v>42320</v>
      </c>
      <c r="AD1347" s="395">
        <v>3376188.51</v>
      </c>
      <c r="AE1347" s="1122" t="s">
        <v>163</v>
      </c>
      <c r="AF1347" s="1084">
        <f>SUM(AD1347:AD1348)</f>
        <v>17049751.990000002</v>
      </c>
      <c r="AG1347" s="1084"/>
      <c r="AH1347" s="1084"/>
      <c r="AI1347" s="1084"/>
      <c r="AJ1347" s="1084"/>
      <c r="AK1347" s="1084">
        <f>O1347-V1347</f>
        <v>63114.820000000298</v>
      </c>
      <c r="AL1347" s="1084"/>
      <c r="AM1347" s="1084"/>
      <c r="AN1347" s="1149"/>
      <c r="AO1347" s="1149"/>
      <c r="AP1347" s="1104"/>
      <c r="AQ1347" s="1104"/>
    </row>
    <row r="1348" spans="1:43" s="4" customFormat="1" ht="15" customHeight="1">
      <c r="A1348" s="1149"/>
      <c r="B1348" s="1171"/>
      <c r="C1348" s="1122"/>
      <c r="D1348" s="1149"/>
      <c r="E1348" s="1148"/>
      <c r="F1348" s="1148"/>
      <c r="G1348" s="1149"/>
      <c r="H1348" s="1124"/>
      <c r="I1348" s="1124"/>
      <c r="J1348" s="1187"/>
      <c r="K1348" s="1149"/>
      <c r="L1348" s="1149"/>
      <c r="M1348" s="1156"/>
      <c r="N1348" s="1122"/>
      <c r="O1348" s="1084"/>
      <c r="P1348" s="1084"/>
      <c r="Q1348" s="1084"/>
      <c r="R1348" s="1171"/>
      <c r="S1348" s="1091"/>
      <c r="T1348" s="1091"/>
      <c r="U1348" s="1091"/>
      <c r="V1348" s="1084"/>
      <c r="W1348" s="1189"/>
      <c r="X1348" s="1124"/>
      <c r="Y1348" s="372" t="s">
        <v>1989</v>
      </c>
      <c r="Z1348" s="386">
        <v>15192848.310000001</v>
      </c>
      <c r="AA1348" s="386">
        <v>-1519284.83</v>
      </c>
      <c r="AB1348" s="386">
        <f t="shared" si="86"/>
        <v>13673563.48</v>
      </c>
      <c r="AC1348" s="384">
        <v>42436</v>
      </c>
      <c r="AD1348" s="395">
        <v>13673563.48</v>
      </c>
      <c r="AE1348" s="1122"/>
      <c r="AF1348" s="1084"/>
      <c r="AG1348" s="1084"/>
      <c r="AH1348" s="1084"/>
      <c r="AI1348" s="1084"/>
      <c r="AJ1348" s="1084"/>
      <c r="AK1348" s="1084"/>
      <c r="AL1348" s="1084"/>
      <c r="AM1348" s="1084"/>
      <c r="AN1348" s="1149"/>
      <c r="AO1348" s="1149"/>
      <c r="AP1348" s="1104"/>
      <c r="AQ1348" s="1104"/>
    </row>
    <row r="1349" spans="1:43" s="4" customFormat="1" ht="15" customHeight="1">
      <c r="A1349" s="1149"/>
      <c r="B1349" s="1171"/>
      <c r="C1349" s="1122" t="s">
        <v>1973</v>
      </c>
      <c r="D1349" s="1149"/>
      <c r="E1349" s="1148"/>
      <c r="F1349" s="1148"/>
      <c r="G1349" s="1149"/>
      <c r="H1349" s="1124"/>
      <c r="I1349" s="1124"/>
      <c r="J1349" s="1187"/>
      <c r="K1349" s="1149"/>
      <c r="L1349" s="1149"/>
      <c r="M1349" s="1156">
        <v>6</v>
      </c>
      <c r="N1349" s="1122" t="s">
        <v>142</v>
      </c>
      <c r="O1349" s="1084">
        <v>51220000</v>
      </c>
      <c r="P1349" s="1084">
        <v>51220000</v>
      </c>
      <c r="Q1349" s="1084"/>
      <c r="R1349" s="1171">
        <v>42150</v>
      </c>
      <c r="S1349" s="1089"/>
      <c r="T1349" s="1089"/>
      <c r="U1349" s="1089"/>
      <c r="V1349" s="1084">
        <v>34011418.75</v>
      </c>
      <c r="W1349" s="1189"/>
      <c r="X1349" s="1124"/>
      <c r="Y1349" s="372" t="s">
        <v>1983</v>
      </c>
      <c r="Z1349" s="386">
        <v>0</v>
      </c>
      <c r="AA1349" s="386">
        <v>3401141.87</v>
      </c>
      <c r="AB1349" s="386">
        <f t="shared" si="86"/>
        <v>3401141.87</v>
      </c>
      <c r="AC1349" s="384">
        <v>42320</v>
      </c>
      <c r="AD1349" s="395">
        <v>3401141.87</v>
      </c>
      <c r="AE1349" s="1122" t="s">
        <v>142</v>
      </c>
      <c r="AF1349" s="1084">
        <f>SUM(AD1349:AD1350)</f>
        <v>17175766.469999999</v>
      </c>
      <c r="AG1349" s="1084"/>
      <c r="AH1349" s="1084"/>
      <c r="AI1349" s="1084"/>
      <c r="AJ1349" s="1084"/>
      <c r="AK1349" s="1084">
        <f>O1349-V1349</f>
        <v>17208581.25</v>
      </c>
      <c r="AL1349" s="1084"/>
      <c r="AM1349" s="1084"/>
      <c r="AN1349" s="1149"/>
      <c r="AO1349" s="1149"/>
      <c r="AP1349" s="1104"/>
      <c r="AQ1349" s="1104"/>
    </row>
    <row r="1350" spans="1:43" s="4" customFormat="1" ht="15" customHeight="1">
      <c r="A1350" s="1149"/>
      <c r="B1350" s="1171"/>
      <c r="C1350" s="1122"/>
      <c r="D1350" s="1149"/>
      <c r="E1350" s="1148"/>
      <c r="F1350" s="1148"/>
      <c r="G1350" s="1149"/>
      <c r="H1350" s="1124"/>
      <c r="I1350" s="1124"/>
      <c r="J1350" s="1187"/>
      <c r="K1350" s="1149"/>
      <c r="L1350" s="1149"/>
      <c r="M1350" s="1156"/>
      <c r="N1350" s="1122"/>
      <c r="O1350" s="1084"/>
      <c r="P1350" s="1084"/>
      <c r="Q1350" s="1084"/>
      <c r="R1350" s="1171"/>
      <c r="S1350" s="1091"/>
      <c r="T1350" s="1091"/>
      <c r="U1350" s="1091"/>
      <c r="V1350" s="1084"/>
      <c r="W1350" s="1189"/>
      <c r="X1350" s="1124"/>
      <c r="Y1350" s="372" t="s">
        <v>1990</v>
      </c>
      <c r="Z1350" s="386">
        <v>15305138.439999999</v>
      </c>
      <c r="AA1350" s="386">
        <v>-1530513.84</v>
      </c>
      <c r="AB1350" s="386">
        <f t="shared" si="86"/>
        <v>13774624.6</v>
      </c>
      <c r="AC1350" s="384">
        <v>42436</v>
      </c>
      <c r="AD1350" s="395">
        <v>13774624.6</v>
      </c>
      <c r="AE1350" s="1122"/>
      <c r="AF1350" s="1084"/>
      <c r="AG1350" s="1084"/>
      <c r="AH1350" s="1084"/>
      <c r="AI1350" s="1084"/>
      <c r="AJ1350" s="1084"/>
      <c r="AK1350" s="1084"/>
      <c r="AL1350" s="1084"/>
      <c r="AM1350" s="1084"/>
      <c r="AN1350" s="1149"/>
      <c r="AO1350" s="1149"/>
      <c r="AP1350" s="1104"/>
      <c r="AQ1350" s="1104"/>
    </row>
    <row r="1351" spans="1:43" s="4" customFormat="1" ht="15" customHeight="1">
      <c r="A1351" s="1149"/>
      <c r="B1351" s="1171"/>
      <c r="C1351" s="1122" t="s">
        <v>1972</v>
      </c>
      <c r="D1351" s="1149"/>
      <c r="E1351" s="1148"/>
      <c r="F1351" s="1148"/>
      <c r="G1351" s="1149"/>
      <c r="H1351" s="1124"/>
      <c r="I1351" s="1124"/>
      <c r="J1351" s="1187"/>
      <c r="K1351" s="1149"/>
      <c r="L1351" s="1149"/>
      <c r="M1351" s="1156">
        <v>4</v>
      </c>
      <c r="N1351" s="1122" t="s">
        <v>135</v>
      </c>
      <c r="O1351" s="1084">
        <v>51220000</v>
      </c>
      <c r="P1351" s="1084">
        <v>51220000</v>
      </c>
      <c r="Q1351" s="1084"/>
      <c r="R1351" s="1171">
        <v>42150</v>
      </c>
      <c r="S1351" s="1089"/>
      <c r="T1351" s="1089"/>
      <c r="U1351" s="1089"/>
      <c r="V1351" s="1084">
        <v>51124427.460000001</v>
      </c>
      <c r="W1351" s="1189"/>
      <c r="X1351" s="1124"/>
      <c r="Y1351" s="372" t="s">
        <v>1983</v>
      </c>
      <c r="Z1351" s="386">
        <v>0</v>
      </c>
      <c r="AA1351" s="386">
        <v>5112442.75</v>
      </c>
      <c r="AB1351" s="386">
        <f t="shared" si="86"/>
        <v>5112442.75</v>
      </c>
      <c r="AC1351" s="384">
        <v>42320</v>
      </c>
      <c r="AD1351" s="395">
        <v>5112442.75</v>
      </c>
      <c r="AE1351" s="1122" t="s">
        <v>135</v>
      </c>
      <c r="AF1351" s="1084">
        <f>SUM(AD1351:AD1352)</f>
        <v>25817835.870000001</v>
      </c>
      <c r="AG1351" s="1084"/>
      <c r="AH1351" s="1084"/>
      <c r="AI1351" s="1084"/>
      <c r="AJ1351" s="1084"/>
      <c r="AK1351" s="1084">
        <f>O1351-V1351</f>
        <v>95572.539999999106</v>
      </c>
      <c r="AL1351" s="1084"/>
      <c r="AM1351" s="1084"/>
      <c r="AN1351" s="1149"/>
      <c r="AO1351" s="1149"/>
      <c r="AP1351" s="1104"/>
      <c r="AQ1351" s="1104"/>
    </row>
    <row r="1352" spans="1:43" s="4" customFormat="1" ht="15" customHeight="1">
      <c r="A1352" s="1149"/>
      <c r="B1352" s="1171"/>
      <c r="C1352" s="1122"/>
      <c r="D1352" s="1149"/>
      <c r="E1352" s="1148"/>
      <c r="F1352" s="1148"/>
      <c r="G1352" s="1149"/>
      <c r="H1352" s="1124"/>
      <c r="I1352" s="1124"/>
      <c r="J1352" s="1187"/>
      <c r="K1352" s="1149"/>
      <c r="L1352" s="1149"/>
      <c r="M1352" s="1156"/>
      <c r="N1352" s="1122"/>
      <c r="O1352" s="1084"/>
      <c r="P1352" s="1084"/>
      <c r="Q1352" s="1084"/>
      <c r="R1352" s="1171"/>
      <c r="S1352" s="1091"/>
      <c r="T1352" s="1091"/>
      <c r="U1352" s="1091"/>
      <c r="V1352" s="1084"/>
      <c r="W1352" s="1189"/>
      <c r="X1352" s="1124"/>
      <c r="Y1352" s="372" t="s">
        <v>1991</v>
      </c>
      <c r="Z1352" s="386">
        <v>23005992.359999999</v>
      </c>
      <c r="AA1352" s="386">
        <v>-2300599.2400000002</v>
      </c>
      <c r="AB1352" s="386">
        <f t="shared" si="86"/>
        <v>20705393.119999997</v>
      </c>
      <c r="AC1352" s="384">
        <v>42436</v>
      </c>
      <c r="AD1352" s="395">
        <v>20705393.120000001</v>
      </c>
      <c r="AE1352" s="1122"/>
      <c r="AF1352" s="1084"/>
      <c r="AG1352" s="1084"/>
      <c r="AH1352" s="1084"/>
      <c r="AI1352" s="1084"/>
      <c r="AJ1352" s="1084"/>
      <c r="AK1352" s="1084"/>
      <c r="AL1352" s="1084"/>
      <c r="AM1352" s="1084"/>
      <c r="AN1352" s="1149"/>
      <c r="AO1352" s="1149"/>
      <c r="AP1352" s="1104"/>
      <c r="AQ1352" s="1104"/>
    </row>
    <row r="1353" spans="1:43" s="4" customFormat="1" ht="15" customHeight="1">
      <c r="A1353" s="1149"/>
      <c r="B1353" s="1171"/>
      <c r="C1353" s="1122" t="s">
        <v>1971</v>
      </c>
      <c r="D1353" s="1149"/>
      <c r="E1353" s="1148"/>
      <c r="F1353" s="1148"/>
      <c r="G1353" s="1149"/>
      <c r="H1353" s="1124"/>
      <c r="I1353" s="1124"/>
      <c r="J1353" s="1187"/>
      <c r="K1353" s="1149"/>
      <c r="L1353" s="1149"/>
      <c r="M1353" s="1156">
        <v>14</v>
      </c>
      <c r="N1353" s="1122" t="s">
        <v>152</v>
      </c>
      <c r="O1353" s="1084">
        <v>51220000</v>
      </c>
      <c r="P1353" s="1084">
        <v>51220000</v>
      </c>
      <c r="Q1353" s="1084"/>
      <c r="R1353" s="1171">
        <v>42150</v>
      </c>
      <c r="S1353" s="1089"/>
      <c r="T1353" s="1089"/>
      <c r="U1353" s="1089"/>
      <c r="V1353" s="1084">
        <v>51124427.460000001</v>
      </c>
      <c r="W1353" s="1189"/>
      <c r="X1353" s="1124"/>
      <c r="Y1353" s="372" t="s">
        <v>1983</v>
      </c>
      <c r="Z1353" s="386">
        <v>0</v>
      </c>
      <c r="AA1353" s="386">
        <v>5112442.75</v>
      </c>
      <c r="AB1353" s="386">
        <f t="shared" si="86"/>
        <v>5112442.75</v>
      </c>
      <c r="AC1353" s="384">
        <v>42320</v>
      </c>
      <c r="AD1353" s="395">
        <v>5112442.75</v>
      </c>
      <c r="AE1353" s="1122" t="s">
        <v>152</v>
      </c>
      <c r="AF1353" s="1084">
        <f>SUM(AD1353:AD1354)</f>
        <v>25817835.870000001</v>
      </c>
      <c r="AG1353" s="1084"/>
      <c r="AH1353" s="1084"/>
      <c r="AI1353" s="1084"/>
      <c r="AJ1353" s="1084"/>
      <c r="AK1353" s="1084">
        <f>O1353-V1353</f>
        <v>95572.539999999106</v>
      </c>
      <c r="AL1353" s="1084"/>
      <c r="AM1353" s="1084"/>
      <c r="AN1353" s="1149"/>
      <c r="AO1353" s="1149"/>
      <c r="AP1353" s="1104"/>
      <c r="AQ1353" s="1104"/>
    </row>
    <row r="1354" spans="1:43" s="4" customFormat="1" ht="15" customHeight="1">
      <c r="A1354" s="1149"/>
      <c r="B1354" s="1171"/>
      <c r="C1354" s="1122"/>
      <c r="D1354" s="1149"/>
      <c r="E1354" s="1148"/>
      <c r="F1354" s="1148"/>
      <c r="G1354" s="1149"/>
      <c r="H1354" s="1124"/>
      <c r="I1354" s="1124"/>
      <c r="J1354" s="1187"/>
      <c r="K1354" s="1149"/>
      <c r="L1354" s="1149"/>
      <c r="M1354" s="1156"/>
      <c r="N1354" s="1122"/>
      <c r="O1354" s="1084"/>
      <c r="P1354" s="1084"/>
      <c r="Q1354" s="1084"/>
      <c r="R1354" s="1171"/>
      <c r="S1354" s="1091"/>
      <c r="T1354" s="1091"/>
      <c r="U1354" s="1091"/>
      <c r="V1354" s="1084"/>
      <c r="W1354" s="1189"/>
      <c r="X1354" s="1124"/>
      <c r="Y1354" s="372" t="s">
        <v>1992</v>
      </c>
      <c r="Z1354" s="386">
        <v>23005992.359999999</v>
      </c>
      <c r="AA1354" s="386">
        <v>-2300599.2400000002</v>
      </c>
      <c r="AB1354" s="386">
        <f t="shared" si="86"/>
        <v>20705393.119999997</v>
      </c>
      <c r="AC1354" s="384">
        <v>42436</v>
      </c>
      <c r="AD1354" s="395">
        <v>20705393.120000001</v>
      </c>
      <c r="AE1354" s="1122"/>
      <c r="AF1354" s="1084"/>
      <c r="AG1354" s="1084"/>
      <c r="AH1354" s="1084"/>
      <c r="AI1354" s="1084"/>
      <c r="AJ1354" s="1084"/>
      <c r="AK1354" s="1084"/>
      <c r="AL1354" s="1084"/>
      <c r="AM1354" s="1084"/>
      <c r="AN1354" s="1149"/>
      <c r="AO1354" s="1149"/>
      <c r="AP1354" s="1104"/>
      <c r="AQ1354" s="1104"/>
    </row>
    <row r="1355" spans="1:43" s="4" customFormat="1" ht="15" customHeight="1">
      <c r="A1355" s="1149"/>
      <c r="B1355" s="1171"/>
      <c r="C1355" s="1122" t="s">
        <v>1970</v>
      </c>
      <c r="D1355" s="1149"/>
      <c r="E1355" s="1148"/>
      <c r="F1355" s="1148"/>
      <c r="G1355" s="1149"/>
      <c r="H1355" s="1124"/>
      <c r="I1355" s="1124"/>
      <c r="J1355" s="1187"/>
      <c r="K1355" s="1149"/>
      <c r="L1355" s="1149"/>
      <c r="M1355" s="1156">
        <v>4</v>
      </c>
      <c r="N1355" s="1122" t="s">
        <v>156</v>
      </c>
      <c r="O1355" s="1084">
        <v>51220000</v>
      </c>
      <c r="P1355" s="1084">
        <v>51220000</v>
      </c>
      <c r="Q1355" s="1084"/>
      <c r="R1355" s="1171">
        <v>42150</v>
      </c>
      <c r="S1355" s="1089"/>
      <c r="T1355" s="1089"/>
      <c r="U1355" s="1089"/>
      <c r="V1355" s="1084">
        <v>51124427.460000001</v>
      </c>
      <c r="W1355" s="1189"/>
      <c r="X1355" s="1124"/>
      <c r="Y1355" s="372" t="s">
        <v>1983</v>
      </c>
      <c r="Z1355" s="386">
        <v>0</v>
      </c>
      <c r="AA1355" s="386">
        <v>5112442.75</v>
      </c>
      <c r="AB1355" s="386">
        <f t="shared" si="86"/>
        <v>5112442.75</v>
      </c>
      <c r="AC1355" s="384">
        <v>42320</v>
      </c>
      <c r="AD1355" s="395">
        <v>5112442.75</v>
      </c>
      <c r="AE1355" s="1122" t="s">
        <v>156</v>
      </c>
      <c r="AF1355" s="1084">
        <f>SUM(AD1355:AD1356)</f>
        <v>25817835.870000001</v>
      </c>
      <c r="AG1355" s="1084"/>
      <c r="AH1355" s="1084"/>
      <c r="AI1355" s="1084"/>
      <c r="AJ1355" s="1084"/>
      <c r="AK1355" s="1084">
        <f>O1355-V1355</f>
        <v>95572.539999999106</v>
      </c>
      <c r="AL1355" s="1084"/>
      <c r="AM1355" s="1084"/>
      <c r="AN1355" s="1149"/>
      <c r="AO1355" s="1149"/>
      <c r="AP1355" s="1104"/>
      <c r="AQ1355" s="1104"/>
    </row>
    <row r="1356" spans="1:43" s="4" customFormat="1" ht="15" customHeight="1">
      <c r="A1356" s="1149"/>
      <c r="B1356" s="1171"/>
      <c r="C1356" s="1122"/>
      <c r="D1356" s="1149"/>
      <c r="E1356" s="1148"/>
      <c r="F1356" s="1148"/>
      <c r="G1356" s="1149"/>
      <c r="H1356" s="1124"/>
      <c r="I1356" s="1124"/>
      <c r="J1356" s="1187"/>
      <c r="K1356" s="1149"/>
      <c r="L1356" s="1149"/>
      <c r="M1356" s="1156"/>
      <c r="N1356" s="1122"/>
      <c r="O1356" s="1084"/>
      <c r="P1356" s="1084"/>
      <c r="Q1356" s="1084"/>
      <c r="R1356" s="1171"/>
      <c r="S1356" s="1091"/>
      <c r="T1356" s="1091"/>
      <c r="U1356" s="1091"/>
      <c r="V1356" s="1084"/>
      <c r="W1356" s="1189"/>
      <c r="X1356" s="1124"/>
      <c r="Y1356" s="372" t="s">
        <v>1993</v>
      </c>
      <c r="Z1356" s="386">
        <v>23005992.359999999</v>
      </c>
      <c r="AA1356" s="386">
        <v>-2300599.2400000002</v>
      </c>
      <c r="AB1356" s="386">
        <f t="shared" si="86"/>
        <v>20705393.119999997</v>
      </c>
      <c r="AC1356" s="384">
        <v>42436</v>
      </c>
      <c r="AD1356" s="395">
        <v>20705393.120000001</v>
      </c>
      <c r="AE1356" s="1122"/>
      <c r="AF1356" s="1084"/>
      <c r="AG1356" s="1084"/>
      <c r="AH1356" s="1084"/>
      <c r="AI1356" s="1084"/>
      <c r="AJ1356" s="1084"/>
      <c r="AK1356" s="1084"/>
      <c r="AL1356" s="1084"/>
      <c r="AM1356" s="1084"/>
      <c r="AN1356" s="1149"/>
      <c r="AO1356" s="1149"/>
      <c r="AP1356" s="1104"/>
      <c r="AQ1356" s="1104"/>
    </row>
    <row r="1357" spans="1:43" s="4" customFormat="1" ht="15" customHeight="1">
      <c r="A1357" s="1149"/>
      <c r="B1357" s="1171"/>
      <c r="C1357" s="1122" t="s">
        <v>1969</v>
      </c>
      <c r="D1357" s="1149"/>
      <c r="E1357" s="1148"/>
      <c r="F1357" s="1148"/>
      <c r="G1357" s="1149"/>
      <c r="H1357" s="1124"/>
      <c r="I1357" s="1124"/>
      <c r="J1357" s="1187"/>
      <c r="K1357" s="1149"/>
      <c r="L1357" s="1149"/>
      <c r="M1357" s="1156">
        <v>7</v>
      </c>
      <c r="N1357" s="1122" t="s">
        <v>145</v>
      </c>
      <c r="O1357" s="1084">
        <v>51220000</v>
      </c>
      <c r="P1357" s="1084">
        <v>51220000</v>
      </c>
      <c r="Q1357" s="1084"/>
      <c r="R1357" s="1171">
        <v>42150</v>
      </c>
      <c r="S1357" s="1089"/>
      <c r="T1357" s="1089"/>
      <c r="U1357" s="1089"/>
      <c r="V1357" s="1084">
        <v>51124427.460000001</v>
      </c>
      <c r="W1357" s="1189"/>
      <c r="X1357" s="1124"/>
      <c r="Y1357" s="372" t="s">
        <v>1983</v>
      </c>
      <c r="Z1357" s="386">
        <v>0</v>
      </c>
      <c r="AA1357" s="386">
        <v>5112442.75</v>
      </c>
      <c r="AB1357" s="386">
        <f t="shared" si="86"/>
        <v>5112442.75</v>
      </c>
      <c r="AC1357" s="384">
        <v>42320</v>
      </c>
      <c r="AD1357" s="395">
        <v>5112442.75</v>
      </c>
      <c r="AE1357" s="1122" t="s">
        <v>145</v>
      </c>
      <c r="AF1357" s="1084">
        <f>SUM(AD1357:AD1358)</f>
        <v>25817835.870000001</v>
      </c>
      <c r="AG1357" s="1084"/>
      <c r="AH1357" s="1084"/>
      <c r="AI1357" s="1084"/>
      <c r="AJ1357" s="1084"/>
      <c r="AK1357" s="1084">
        <f>O1357-V1357</f>
        <v>95572.539999999106</v>
      </c>
      <c r="AL1357" s="1084"/>
      <c r="AM1357" s="1084"/>
      <c r="AN1357" s="1149"/>
      <c r="AO1357" s="1149"/>
      <c r="AP1357" s="1104"/>
      <c r="AQ1357" s="1104"/>
    </row>
    <row r="1358" spans="1:43" s="4" customFormat="1" ht="15" customHeight="1">
      <c r="A1358" s="1149"/>
      <c r="B1358" s="1171"/>
      <c r="C1358" s="1122"/>
      <c r="D1358" s="1149"/>
      <c r="E1358" s="1148"/>
      <c r="F1358" s="1148"/>
      <c r="G1358" s="1149"/>
      <c r="H1358" s="1024"/>
      <c r="I1358" s="1024"/>
      <c r="J1358" s="1188"/>
      <c r="K1358" s="1149"/>
      <c r="L1358" s="1149"/>
      <c r="M1358" s="1156"/>
      <c r="N1358" s="1122"/>
      <c r="O1358" s="1084"/>
      <c r="P1358" s="1084"/>
      <c r="Q1358" s="1084"/>
      <c r="R1358" s="1171"/>
      <c r="S1358" s="1091"/>
      <c r="T1358" s="1091"/>
      <c r="U1358" s="1091"/>
      <c r="V1358" s="1084"/>
      <c r="W1358" s="1189"/>
      <c r="X1358" s="1024"/>
      <c r="Y1358" s="372" t="s">
        <v>1994</v>
      </c>
      <c r="Z1358" s="386">
        <v>23005992.359999999</v>
      </c>
      <c r="AA1358" s="386">
        <v>-2300599.2400000002</v>
      </c>
      <c r="AB1358" s="386">
        <f t="shared" si="86"/>
        <v>20705393.119999997</v>
      </c>
      <c r="AC1358" s="384">
        <v>42436</v>
      </c>
      <c r="AD1358" s="395">
        <v>20705393.120000001</v>
      </c>
      <c r="AE1358" s="1122"/>
      <c r="AF1358" s="1084"/>
      <c r="AG1358" s="1084"/>
      <c r="AH1358" s="1084"/>
      <c r="AI1358" s="1084"/>
      <c r="AJ1358" s="1084"/>
      <c r="AK1358" s="1084"/>
      <c r="AL1358" s="1084"/>
      <c r="AM1358" s="1084"/>
      <c r="AN1358" s="1149"/>
      <c r="AO1358" s="1149"/>
      <c r="AP1358" s="1105"/>
      <c r="AQ1358" s="1105"/>
    </row>
    <row r="1359" spans="1:43" s="4" customFormat="1" ht="15" customHeight="1">
      <c r="A1359" s="1149" t="s">
        <v>1908</v>
      </c>
      <c r="B1359" s="1171">
        <v>42237</v>
      </c>
      <c r="C1359" s="1149" t="s">
        <v>9</v>
      </c>
      <c r="D1359" s="1149" t="s">
        <v>1907</v>
      </c>
      <c r="E1359" s="1149" t="s">
        <v>1906</v>
      </c>
      <c r="F1359" s="1149"/>
      <c r="G1359" s="1149" t="s">
        <v>1905</v>
      </c>
      <c r="H1359" s="1149" t="s">
        <v>70</v>
      </c>
      <c r="I1359" s="1149" t="s">
        <v>206</v>
      </c>
      <c r="J1359" s="1149" t="s">
        <v>66</v>
      </c>
      <c r="K1359" s="1149" t="s">
        <v>49</v>
      </c>
      <c r="L1359" s="1149" t="s">
        <v>1904</v>
      </c>
      <c r="M1359" s="1009">
        <v>17</v>
      </c>
      <c r="N1359" s="1021" t="s">
        <v>129</v>
      </c>
      <c r="O1359" s="1023">
        <v>3585400</v>
      </c>
      <c r="P1359" s="1023">
        <v>3585400</v>
      </c>
      <c r="Q1359" s="1149">
        <f>SUM(O1359:O1379)</f>
        <v>35803950</v>
      </c>
      <c r="R1359" s="1068">
        <v>42150</v>
      </c>
      <c r="S1359" s="402"/>
      <c r="T1359" s="403"/>
      <c r="U1359" s="403"/>
      <c r="V1359" s="1184">
        <v>3575264.17</v>
      </c>
      <c r="W1359" s="1122">
        <f>SUM(V1359:V1380)</f>
        <v>34505975.99000001</v>
      </c>
      <c r="X1359" s="1122"/>
      <c r="Y1359" s="64" t="s">
        <v>1903</v>
      </c>
      <c r="Z1359" s="397"/>
      <c r="AA1359" s="397">
        <v>3540598</v>
      </c>
      <c r="AB1359" s="397"/>
      <c r="AC1359" s="384">
        <v>42327</v>
      </c>
      <c r="AD1359" s="371" t="s">
        <v>1885</v>
      </c>
      <c r="AE1359" s="371" t="s">
        <v>129</v>
      </c>
      <c r="AF1359" s="382"/>
      <c r="AG1359" s="382"/>
      <c r="AH1359" s="382"/>
      <c r="AI1359" s="382"/>
      <c r="AJ1359" s="382"/>
      <c r="AK1359" s="382">
        <f>O1359-V1359</f>
        <v>10135.830000000075</v>
      </c>
      <c r="AL1359" s="382"/>
      <c r="AM1359" s="382"/>
      <c r="AN1359" s="382"/>
      <c r="AO1359" s="1149" t="s">
        <v>1909</v>
      </c>
      <c r="AP1359" s="1149" t="s">
        <v>195</v>
      </c>
      <c r="AQ1359" s="1149" t="s">
        <v>1619</v>
      </c>
    </row>
    <row r="1360" spans="1:43" s="4" customFormat="1" ht="15" customHeight="1">
      <c r="A1360" s="1149"/>
      <c r="B1360" s="1171"/>
      <c r="C1360" s="1149"/>
      <c r="D1360" s="1149"/>
      <c r="E1360" s="1149"/>
      <c r="F1360" s="1149"/>
      <c r="G1360" s="1149"/>
      <c r="H1360" s="1149"/>
      <c r="I1360" s="1149"/>
      <c r="J1360" s="1149"/>
      <c r="K1360" s="1149"/>
      <c r="L1360" s="1149"/>
      <c r="M1360" s="1010"/>
      <c r="N1360" s="1038"/>
      <c r="O1360" s="1024"/>
      <c r="P1360" s="1024"/>
      <c r="Q1360" s="1149"/>
      <c r="R1360" s="1069"/>
      <c r="S1360" s="402"/>
      <c r="T1360" s="403"/>
      <c r="U1360" s="403"/>
      <c r="V1360" s="1185"/>
      <c r="W1360" s="1122"/>
      <c r="X1360" s="1122"/>
      <c r="Y1360" s="64" t="s">
        <v>1902</v>
      </c>
      <c r="Z1360" s="397">
        <v>15527689</v>
      </c>
      <c r="AA1360" s="397">
        <v>-1552769</v>
      </c>
      <c r="AB1360" s="397">
        <f>SUM(Z1360:AA1360)</f>
        <v>13974920</v>
      </c>
      <c r="AC1360" s="384">
        <v>42732</v>
      </c>
      <c r="AD1360" s="371" t="s">
        <v>1901</v>
      </c>
      <c r="AE1360" s="371"/>
      <c r="AF1360" s="382"/>
      <c r="AG1360" s="382"/>
      <c r="AH1360" s="382"/>
      <c r="AI1360" s="382"/>
      <c r="AJ1360" s="382"/>
      <c r="AK1360" s="382"/>
      <c r="AL1360" s="382"/>
      <c r="AM1360" s="382"/>
      <c r="AN1360" s="382"/>
      <c r="AO1360" s="1149"/>
      <c r="AP1360" s="1149"/>
      <c r="AQ1360" s="1149"/>
    </row>
    <row r="1361" spans="1:43" s="4" customFormat="1" ht="15" customHeight="1">
      <c r="A1361" s="1149"/>
      <c r="B1361" s="1171"/>
      <c r="C1361" s="1149"/>
      <c r="D1361" s="1149"/>
      <c r="E1361" s="1149"/>
      <c r="F1361" s="1149"/>
      <c r="G1361" s="1149"/>
      <c r="H1361" s="1149"/>
      <c r="I1361" s="1149"/>
      <c r="J1361" s="1149"/>
      <c r="K1361" s="1149"/>
      <c r="L1361" s="1149"/>
      <c r="M1361" s="1009">
        <v>7</v>
      </c>
      <c r="N1361" s="1021" t="s">
        <v>142</v>
      </c>
      <c r="O1361" s="1023">
        <v>3585400</v>
      </c>
      <c r="P1361" s="1023">
        <v>3585400</v>
      </c>
      <c r="Q1361" s="1149"/>
      <c r="R1361" s="1069"/>
      <c r="S1361" s="402"/>
      <c r="T1361" s="403"/>
      <c r="U1361" s="403"/>
      <c r="V1361" s="1184">
        <v>2378506.96</v>
      </c>
      <c r="W1361" s="1122"/>
      <c r="X1361" s="1122"/>
      <c r="Y1361" s="372" t="s">
        <v>1886</v>
      </c>
      <c r="Z1361" s="397"/>
      <c r="AA1361" s="397"/>
      <c r="AB1361" s="397"/>
      <c r="AC1361" s="384">
        <v>42327</v>
      </c>
      <c r="AD1361" s="371" t="s">
        <v>1896</v>
      </c>
      <c r="AE1361" s="371" t="s">
        <v>142</v>
      </c>
      <c r="AF1361" s="382"/>
      <c r="AG1361" s="382"/>
      <c r="AH1361" s="382"/>
      <c r="AI1361" s="382"/>
      <c r="AJ1361" s="382"/>
      <c r="AK1361" s="382">
        <f>O1361-V1361</f>
        <v>1206893.04</v>
      </c>
      <c r="AL1361" s="382"/>
      <c r="AM1361" s="382"/>
      <c r="AN1361" s="382"/>
      <c r="AO1361" s="1149"/>
      <c r="AP1361" s="1149"/>
      <c r="AQ1361" s="1149"/>
    </row>
    <row r="1362" spans="1:43" s="4" customFormat="1" ht="15" customHeight="1">
      <c r="A1362" s="1149"/>
      <c r="B1362" s="1171"/>
      <c r="C1362" s="1149"/>
      <c r="D1362" s="1149"/>
      <c r="E1362" s="1149"/>
      <c r="F1362" s="1149"/>
      <c r="G1362" s="1149"/>
      <c r="H1362" s="1149"/>
      <c r="I1362" s="1149"/>
      <c r="J1362" s="1149"/>
      <c r="K1362" s="1149"/>
      <c r="L1362" s="1149"/>
      <c r="M1362" s="1010"/>
      <c r="N1362" s="1038"/>
      <c r="O1362" s="1024"/>
      <c r="P1362" s="1024"/>
      <c r="Q1362" s="1149"/>
      <c r="R1362" s="1069"/>
      <c r="S1362" s="402"/>
      <c r="T1362" s="403"/>
      <c r="U1362" s="403"/>
      <c r="V1362" s="1185"/>
      <c r="W1362" s="1122"/>
      <c r="X1362" s="1122"/>
      <c r="Y1362" s="372" t="s">
        <v>1900</v>
      </c>
      <c r="Z1362" s="397"/>
      <c r="AA1362" s="397"/>
      <c r="AB1362" s="397"/>
      <c r="AC1362" s="384">
        <v>42732</v>
      </c>
      <c r="AD1362" s="371" t="s">
        <v>1899</v>
      </c>
      <c r="AE1362" s="371"/>
      <c r="AF1362" s="382"/>
      <c r="AG1362" s="382"/>
      <c r="AH1362" s="382"/>
      <c r="AI1362" s="382"/>
      <c r="AJ1362" s="382"/>
      <c r="AK1362" s="382"/>
      <c r="AL1362" s="382"/>
      <c r="AM1362" s="382"/>
      <c r="AN1362" s="382"/>
      <c r="AO1362" s="1149"/>
      <c r="AP1362" s="1149"/>
      <c r="AQ1362" s="1149"/>
    </row>
    <row r="1363" spans="1:43" s="4" customFormat="1" ht="15" customHeight="1">
      <c r="A1363" s="1149"/>
      <c r="B1363" s="1171"/>
      <c r="C1363" s="1149"/>
      <c r="D1363" s="1149"/>
      <c r="E1363" s="1149"/>
      <c r="F1363" s="1149"/>
      <c r="G1363" s="1149"/>
      <c r="H1363" s="1149"/>
      <c r="I1363" s="1149"/>
      <c r="J1363" s="1149"/>
      <c r="K1363" s="1149"/>
      <c r="L1363" s="1149"/>
      <c r="M1363" s="1009">
        <v>6</v>
      </c>
      <c r="N1363" s="1021" t="s">
        <v>163</v>
      </c>
      <c r="O1363" s="1023">
        <v>2367750</v>
      </c>
      <c r="P1363" s="1023">
        <v>2367750</v>
      </c>
      <c r="Q1363" s="1149"/>
      <c r="R1363" s="1069"/>
      <c r="S1363" s="402"/>
      <c r="T1363" s="403"/>
      <c r="U1363" s="403"/>
      <c r="V1363" s="1184">
        <v>2361056.44</v>
      </c>
      <c r="W1363" s="1122"/>
      <c r="X1363" s="1122"/>
      <c r="Y1363" s="64" t="s">
        <v>1886</v>
      </c>
      <c r="Z1363" s="397"/>
      <c r="AA1363" s="397"/>
      <c r="AB1363" s="397"/>
      <c r="AC1363" s="384">
        <v>42327</v>
      </c>
      <c r="AD1363" s="371" t="s">
        <v>1895</v>
      </c>
      <c r="AE1363" s="371" t="s">
        <v>163</v>
      </c>
      <c r="AF1363" s="382"/>
      <c r="AG1363" s="382"/>
      <c r="AH1363" s="382"/>
      <c r="AI1363" s="382"/>
      <c r="AJ1363" s="382"/>
      <c r="AK1363" s="382">
        <f>O1363-V1363</f>
        <v>6693.5600000000559</v>
      </c>
      <c r="AL1363" s="382"/>
      <c r="AM1363" s="382"/>
      <c r="AN1363" s="382"/>
      <c r="AO1363" s="1149"/>
      <c r="AP1363" s="1149"/>
      <c r="AQ1363" s="1149"/>
    </row>
    <row r="1364" spans="1:43" s="4" customFormat="1" ht="15" customHeight="1">
      <c r="A1364" s="1149"/>
      <c r="B1364" s="1171"/>
      <c r="C1364" s="1149"/>
      <c r="D1364" s="1149"/>
      <c r="E1364" s="1149"/>
      <c r="F1364" s="1149"/>
      <c r="G1364" s="1149"/>
      <c r="H1364" s="1149"/>
      <c r="I1364" s="1149"/>
      <c r="J1364" s="1149"/>
      <c r="K1364" s="1149"/>
      <c r="L1364" s="1149"/>
      <c r="M1364" s="1010"/>
      <c r="N1364" s="1038"/>
      <c r="O1364" s="1024"/>
      <c r="P1364" s="1024"/>
      <c r="Q1364" s="1149"/>
      <c r="R1364" s="1069"/>
      <c r="S1364" s="402"/>
      <c r="T1364" s="403"/>
      <c r="U1364" s="403"/>
      <c r="V1364" s="1185"/>
      <c r="W1364" s="1122"/>
      <c r="X1364" s="1122"/>
      <c r="Y1364" s="64" t="s">
        <v>1898</v>
      </c>
      <c r="Z1364" s="397"/>
      <c r="AA1364" s="397"/>
      <c r="AB1364" s="397"/>
      <c r="AC1364" s="384">
        <v>42732</v>
      </c>
      <c r="AD1364" s="371" t="s">
        <v>1897</v>
      </c>
      <c r="AE1364" s="371"/>
      <c r="AF1364" s="382"/>
      <c r="AG1364" s="382"/>
      <c r="AH1364" s="382"/>
      <c r="AI1364" s="382"/>
      <c r="AJ1364" s="382"/>
      <c r="AK1364" s="382"/>
      <c r="AL1364" s="382"/>
      <c r="AM1364" s="382"/>
      <c r="AN1364" s="382"/>
      <c r="AO1364" s="1149"/>
      <c r="AP1364" s="1149"/>
      <c r="AQ1364" s="1149"/>
    </row>
    <row r="1365" spans="1:43" s="4" customFormat="1" ht="15" customHeight="1">
      <c r="A1365" s="1149"/>
      <c r="B1365" s="1171"/>
      <c r="C1365" s="1149"/>
      <c r="D1365" s="1149"/>
      <c r="E1365" s="1149"/>
      <c r="F1365" s="1149"/>
      <c r="G1365" s="1149"/>
      <c r="H1365" s="1149"/>
      <c r="I1365" s="1149"/>
      <c r="J1365" s="1149"/>
      <c r="K1365" s="1149"/>
      <c r="L1365" s="1149"/>
      <c r="M1365" s="1009">
        <v>16</v>
      </c>
      <c r="N1365" s="1021" t="s">
        <v>157</v>
      </c>
      <c r="O1365" s="1023">
        <v>2385250</v>
      </c>
      <c r="P1365" s="1023">
        <v>2385250</v>
      </c>
      <c r="Q1365" s="1149"/>
      <c r="R1365" s="1069"/>
      <c r="S1365" s="402"/>
      <c r="T1365" s="403"/>
      <c r="U1365" s="403"/>
      <c r="V1365" s="1184">
        <v>2378506.96</v>
      </c>
      <c r="W1365" s="1122"/>
      <c r="X1365" s="1122"/>
      <c r="Y1365" s="372" t="s">
        <v>1886</v>
      </c>
      <c r="Z1365" s="397"/>
      <c r="AA1365" s="397"/>
      <c r="AB1365" s="397"/>
      <c r="AC1365" s="384">
        <v>42327</v>
      </c>
      <c r="AD1365" s="371" t="s">
        <v>1896</v>
      </c>
      <c r="AE1365" s="371" t="s">
        <v>157</v>
      </c>
      <c r="AF1365" s="382"/>
      <c r="AG1365" s="382"/>
      <c r="AH1365" s="382"/>
      <c r="AI1365" s="382"/>
      <c r="AJ1365" s="382"/>
      <c r="AK1365" s="382">
        <f>O1365-V1365</f>
        <v>6743.0400000000373</v>
      </c>
      <c r="AL1365" s="382"/>
      <c r="AM1365" s="382"/>
      <c r="AN1365" s="382"/>
      <c r="AO1365" s="1149"/>
      <c r="AP1365" s="1149"/>
      <c r="AQ1365" s="1149"/>
    </row>
    <row r="1366" spans="1:43" s="4" customFormat="1" ht="15" customHeight="1">
      <c r="A1366" s="1149"/>
      <c r="B1366" s="1171"/>
      <c r="C1366" s="1149"/>
      <c r="D1366" s="1149"/>
      <c r="E1366" s="1149"/>
      <c r="F1366" s="1149"/>
      <c r="G1366" s="1149"/>
      <c r="H1366" s="1149"/>
      <c r="I1366" s="1149"/>
      <c r="J1366" s="1149"/>
      <c r="K1366" s="1149"/>
      <c r="L1366" s="1149"/>
      <c r="M1366" s="1010"/>
      <c r="N1366" s="1038"/>
      <c r="O1366" s="1024"/>
      <c r="P1366" s="1024"/>
      <c r="Q1366" s="1149"/>
      <c r="R1366" s="1069"/>
      <c r="S1366" s="402"/>
      <c r="T1366" s="403"/>
      <c r="U1366" s="403"/>
      <c r="V1366" s="1185"/>
      <c r="W1366" s="1122"/>
      <c r="X1366" s="1122"/>
      <c r="Y1366" s="372"/>
      <c r="Z1366" s="397"/>
      <c r="AA1366" s="397"/>
      <c r="AB1366" s="397"/>
      <c r="AC1366" s="384"/>
      <c r="AD1366" s="371"/>
      <c r="AE1366" s="371"/>
      <c r="AF1366" s="382"/>
      <c r="AG1366" s="382"/>
      <c r="AH1366" s="382"/>
      <c r="AI1366" s="382"/>
      <c r="AJ1366" s="382"/>
      <c r="AK1366" s="382"/>
      <c r="AL1366" s="382"/>
      <c r="AM1366" s="382"/>
      <c r="AN1366" s="382"/>
      <c r="AO1366" s="1149"/>
      <c r="AP1366" s="1149"/>
      <c r="AQ1366" s="1149"/>
    </row>
    <row r="1367" spans="1:43" s="4" customFormat="1" ht="15" customHeight="1">
      <c r="A1367" s="1149"/>
      <c r="B1367" s="1171"/>
      <c r="C1367" s="1149"/>
      <c r="D1367" s="1149"/>
      <c r="E1367" s="1149"/>
      <c r="F1367" s="1149"/>
      <c r="G1367" s="1149"/>
      <c r="H1367" s="1149"/>
      <c r="I1367" s="1149"/>
      <c r="J1367" s="1149"/>
      <c r="K1367" s="1149"/>
      <c r="L1367" s="1149"/>
      <c r="M1367" s="1009">
        <v>13</v>
      </c>
      <c r="N1367" s="1021" t="s">
        <v>147</v>
      </c>
      <c r="O1367" s="1023">
        <v>2367750</v>
      </c>
      <c r="P1367" s="1023">
        <v>2367750</v>
      </c>
      <c r="Q1367" s="1149"/>
      <c r="R1367" s="1069"/>
      <c r="S1367" s="402"/>
      <c r="T1367" s="403"/>
      <c r="U1367" s="403"/>
      <c r="V1367" s="1184">
        <v>2361056.44</v>
      </c>
      <c r="W1367" s="1122"/>
      <c r="X1367" s="1122"/>
      <c r="Y1367" s="372" t="s">
        <v>1886</v>
      </c>
      <c r="Z1367" s="397"/>
      <c r="AA1367" s="397"/>
      <c r="AB1367" s="397"/>
      <c r="AC1367" s="384">
        <v>42327</v>
      </c>
      <c r="AD1367" s="371" t="s">
        <v>1895</v>
      </c>
      <c r="AE1367" s="371" t="s">
        <v>147</v>
      </c>
      <c r="AF1367" s="382"/>
      <c r="AG1367" s="382"/>
      <c r="AH1367" s="382"/>
      <c r="AI1367" s="382"/>
      <c r="AJ1367" s="382"/>
      <c r="AK1367" s="382">
        <f>O1367-V1367</f>
        <v>6693.5600000000559</v>
      </c>
      <c r="AL1367" s="382"/>
      <c r="AM1367" s="382"/>
      <c r="AN1367" s="382"/>
      <c r="AO1367" s="1149"/>
      <c r="AP1367" s="1149"/>
      <c r="AQ1367" s="1149"/>
    </row>
    <row r="1368" spans="1:43" s="4" customFormat="1" ht="15" customHeight="1">
      <c r="A1368" s="1149"/>
      <c r="B1368" s="1171"/>
      <c r="C1368" s="1149"/>
      <c r="D1368" s="1149"/>
      <c r="E1368" s="1149"/>
      <c r="F1368" s="1149"/>
      <c r="G1368" s="1149"/>
      <c r="H1368" s="1149"/>
      <c r="I1368" s="1149"/>
      <c r="J1368" s="1149"/>
      <c r="K1368" s="1149"/>
      <c r="L1368" s="1149"/>
      <c r="M1368" s="1010"/>
      <c r="N1368" s="1038"/>
      <c r="O1368" s="1024"/>
      <c r="P1368" s="1024"/>
      <c r="Q1368" s="1149"/>
      <c r="R1368" s="1069"/>
      <c r="S1368" s="402"/>
      <c r="T1368" s="403"/>
      <c r="U1368" s="403"/>
      <c r="V1368" s="1185"/>
      <c r="W1368" s="1122"/>
      <c r="X1368" s="1122"/>
      <c r="Y1368" s="372"/>
      <c r="Z1368" s="397"/>
      <c r="AA1368" s="397"/>
      <c r="AB1368" s="397"/>
      <c r="AC1368" s="384"/>
      <c r="AD1368" s="371"/>
      <c r="AE1368" s="371"/>
      <c r="AF1368" s="382"/>
      <c r="AG1368" s="382"/>
      <c r="AH1368" s="382"/>
      <c r="AI1368" s="382"/>
      <c r="AJ1368" s="382"/>
      <c r="AK1368" s="382"/>
      <c r="AL1368" s="382"/>
      <c r="AM1368" s="382"/>
      <c r="AN1368" s="382"/>
      <c r="AO1368" s="1149"/>
      <c r="AP1368" s="1149"/>
      <c r="AQ1368" s="1149"/>
    </row>
    <row r="1369" spans="1:43" s="4" customFormat="1" ht="15" customHeight="1">
      <c r="A1369" s="1149"/>
      <c r="B1369" s="1171"/>
      <c r="C1369" s="1149"/>
      <c r="D1369" s="1149"/>
      <c r="E1369" s="1149"/>
      <c r="F1369" s="1149"/>
      <c r="G1369" s="1149"/>
      <c r="H1369" s="1149"/>
      <c r="I1369" s="1149"/>
      <c r="J1369" s="1149"/>
      <c r="K1369" s="1149"/>
      <c r="L1369" s="1149"/>
      <c r="M1369" s="1009">
        <v>8</v>
      </c>
      <c r="N1369" s="1021" t="s">
        <v>145</v>
      </c>
      <c r="O1369" s="1023">
        <v>3585400</v>
      </c>
      <c r="P1369" s="1023">
        <v>3585400</v>
      </c>
      <c r="Q1369" s="1149"/>
      <c r="R1369" s="1069"/>
      <c r="S1369" s="402"/>
      <c r="T1369" s="403"/>
      <c r="U1369" s="403"/>
      <c r="V1369" s="1184">
        <v>3575264.17</v>
      </c>
      <c r="W1369" s="1122"/>
      <c r="X1369" s="1122"/>
      <c r="Y1369" s="372" t="s">
        <v>1886</v>
      </c>
      <c r="Z1369" s="397"/>
      <c r="AA1369" s="397"/>
      <c r="AB1369" s="397"/>
      <c r="AC1369" s="384">
        <v>42327</v>
      </c>
      <c r="AD1369" s="371" t="s">
        <v>1885</v>
      </c>
      <c r="AE1369" s="371" t="s">
        <v>145</v>
      </c>
      <c r="AF1369" s="382"/>
      <c r="AG1369" s="382"/>
      <c r="AH1369" s="382"/>
      <c r="AI1369" s="382"/>
      <c r="AJ1369" s="382"/>
      <c r="AK1369" s="382">
        <f>O1369-V1369</f>
        <v>10135.830000000075</v>
      </c>
      <c r="AL1369" s="382"/>
      <c r="AM1369" s="382"/>
      <c r="AN1369" s="382"/>
      <c r="AO1369" s="1149"/>
      <c r="AP1369" s="1149"/>
      <c r="AQ1369" s="1149"/>
    </row>
    <row r="1370" spans="1:43" s="4" customFormat="1" ht="15" customHeight="1">
      <c r="A1370" s="1149"/>
      <c r="B1370" s="1171"/>
      <c r="C1370" s="1149"/>
      <c r="D1370" s="1149"/>
      <c r="E1370" s="1149"/>
      <c r="F1370" s="1149"/>
      <c r="G1370" s="1149"/>
      <c r="H1370" s="1149"/>
      <c r="I1370" s="1149"/>
      <c r="J1370" s="1149"/>
      <c r="K1370" s="1149"/>
      <c r="L1370" s="1149"/>
      <c r="M1370" s="1010"/>
      <c r="N1370" s="1038"/>
      <c r="O1370" s="1024"/>
      <c r="P1370" s="1024"/>
      <c r="Q1370" s="1149"/>
      <c r="R1370" s="1069"/>
      <c r="S1370" s="402"/>
      <c r="T1370" s="403"/>
      <c r="U1370" s="403"/>
      <c r="V1370" s="1185"/>
      <c r="W1370" s="1122"/>
      <c r="X1370" s="1122"/>
      <c r="Y1370" s="372" t="s">
        <v>1894</v>
      </c>
      <c r="Z1370" s="397"/>
      <c r="AA1370" s="397"/>
      <c r="AB1370" s="397"/>
      <c r="AC1370" s="384">
        <v>42732</v>
      </c>
      <c r="AD1370" s="371" t="s">
        <v>1893</v>
      </c>
      <c r="AE1370" s="371"/>
      <c r="AF1370" s="382"/>
      <c r="AG1370" s="382"/>
      <c r="AH1370" s="382"/>
      <c r="AI1370" s="382"/>
      <c r="AJ1370" s="382"/>
      <c r="AK1370" s="382"/>
      <c r="AL1370" s="382"/>
      <c r="AM1370" s="382"/>
      <c r="AN1370" s="382"/>
      <c r="AO1370" s="1149"/>
      <c r="AP1370" s="1149"/>
      <c r="AQ1370" s="1149"/>
    </row>
    <row r="1371" spans="1:43" s="4" customFormat="1" ht="15" customHeight="1">
      <c r="A1371" s="1149"/>
      <c r="B1371" s="1171"/>
      <c r="C1371" s="1149"/>
      <c r="D1371" s="1149"/>
      <c r="E1371" s="1149"/>
      <c r="F1371" s="1149"/>
      <c r="G1371" s="1149"/>
      <c r="H1371" s="1149"/>
      <c r="I1371" s="1149"/>
      <c r="J1371" s="1149"/>
      <c r="K1371" s="1149"/>
      <c r="L1371" s="1149"/>
      <c r="M1371" s="1009">
        <v>5</v>
      </c>
      <c r="N1371" s="1021" t="s">
        <v>135</v>
      </c>
      <c r="O1371" s="1023">
        <v>3585400</v>
      </c>
      <c r="P1371" s="1023">
        <v>3585400</v>
      </c>
      <c r="Q1371" s="1149"/>
      <c r="R1371" s="1069"/>
      <c r="S1371" s="402"/>
      <c r="T1371" s="403"/>
      <c r="U1371" s="403"/>
      <c r="V1371" s="1184">
        <v>3575264.17</v>
      </c>
      <c r="W1371" s="1122"/>
      <c r="X1371" s="1122"/>
      <c r="Y1371" s="64" t="s">
        <v>1886</v>
      </c>
      <c r="Z1371" s="397"/>
      <c r="AA1371" s="397"/>
      <c r="AB1371" s="397"/>
      <c r="AC1371" s="384">
        <v>42327</v>
      </c>
      <c r="AD1371" s="371" t="s">
        <v>1885</v>
      </c>
      <c r="AE1371" s="371" t="s">
        <v>135</v>
      </c>
      <c r="AF1371" s="382"/>
      <c r="AG1371" s="382"/>
      <c r="AH1371" s="382"/>
      <c r="AI1371" s="382"/>
      <c r="AJ1371" s="382"/>
      <c r="AK1371" s="382">
        <f>O1371-V1371</f>
        <v>10135.830000000075</v>
      </c>
      <c r="AL1371" s="382"/>
      <c r="AM1371" s="382"/>
      <c r="AN1371" s="382"/>
      <c r="AO1371" s="1149"/>
      <c r="AP1371" s="1149"/>
      <c r="AQ1371" s="1149"/>
    </row>
    <row r="1372" spans="1:43" s="4" customFormat="1" ht="15" customHeight="1">
      <c r="A1372" s="1149"/>
      <c r="B1372" s="1171"/>
      <c r="C1372" s="1149"/>
      <c r="D1372" s="1149"/>
      <c r="E1372" s="1149"/>
      <c r="F1372" s="1149"/>
      <c r="G1372" s="1149"/>
      <c r="H1372" s="1149"/>
      <c r="I1372" s="1149"/>
      <c r="J1372" s="1149"/>
      <c r="K1372" s="1149"/>
      <c r="L1372" s="1149"/>
      <c r="M1372" s="1010"/>
      <c r="N1372" s="1038"/>
      <c r="O1372" s="1024"/>
      <c r="P1372" s="1024"/>
      <c r="Q1372" s="1149"/>
      <c r="R1372" s="1069"/>
      <c r="S1372" s="402"/>
      <c r="T1372" s="403"/>
      <c r="U1372" s="403"/>
      <c r="V1372" s="1185"/>
      <c r="W1372" s="1122"/>
      <c r="X1372" s="1122"/>
      <c r="Y1372" s="64" t="s">
        <v>1892</v>
      </c>
      <c r="Z1372" s="397"/>
      <c r="AA1372" s="397"/>
      <c r="AB1372" s="397"/>
      <c r="AC1372" s="384">
        <v>42732</v>
      </c>
      <c r="AD1372" s="371" t="s">
        <v>1891</v>
      </c>
      <c r="AE1372" s="371"/>
      <c r="AF1372" s="382"/>
      <c r="AG1372" s="382"/>
      <c r="AH1372" s="382"/>
      <c r="AI1372" s="382"/>
      <c r="AJ1372" s="382"/>
      <c r="AK1372" s="382"/>
      <c r="AL1372" s="382"/>
      <c r="AM1372" s="382"/>
      <c r="AN1372" s="382"/>
      <c r="AO1372" s="1149"/>
      <c r="AP1372" s="1149"/>
      <c r="AQ1372" s="1149"/>
    </row>
    <row r="1373" spans="1:43" s="4" customFormat="1" ht="15" customHeight="1">
      <c r="A1373" s="1149"/>
      <c r="B1373" s="1171"/>
      <c r="C1373" s="1149"/>
      <c r="D1373" s="1149"/>
      <c r="E1373" s="1149"/>
      <c r="F1373" s="1149"/>
      <c r="G1373" s="1149"/>
      <c r="H1373" s="1149"/>
      <c r="I1373" s="1149"/>
      <c r="J1373" s="1149"/>
      <c r="K1373" s="1149"/>
      <c r="L1373" s="1149"/>
      <c r="M1373" s="1009">
        <v>5</v>
      </c>
      <c r="N1373" s="1021" t="s">
        <v>156</v>
      </c>
      <c r="O1373" s="1023">
        <v>3585400</v>
      </c>
      <c r="P1373" s="1023">
        <v>3585400</v>
      </c>
      <c r="Q1373" s="1149"/>
      <c r="R1373" s="1069"/>
      <c r="S1373" s="402"/>
      <c r="T1373" s="403"/>
      <c r="U1373" s="403"/>
      <c r="V1373" s="1184">
        <v>3575264.17</v>
      </c>
      <c r="W1373" s="1122"/>
      <c r="X1373" s="1122"/>
      <c r="Y1373" s="372" t="s">
        <v>1886</v>
      </c>
      <c r="Z1373" s="397"/>
      <c r="AA1373" s="397"/>
      <c r="AB1373" s="397"/>
      <c r="AC1373" s="384">
        <v>42327</v>
      </c>
      <c r="AD1373" s="371" t="s">
        <v>1885</v>
      </c>
      <c r="AE1373" s="371" t="s">
        <v>156</v>
      </c>
      <c r="AF1373" s="382"/>
      <c r="AG1373" s="382"/>
      <c r="AH1373" s="382"/>
      <c r="AI1373" s="382"/>
      <c r="AJ1373" s="382"/>
      <c r="AK1373" s="382">
        <f>O1373-V1373</f>
        <v>10135.830000000075</v>
      </c>
      <c r="AL1373" s="382"/>
      <c r="AM1373" s="382"/>
      <c r="AN1373" s="382"/>
      <c r="AO1373" s="1149"/>
      <c r="AP1373" s="1149"/>
      <c r="AQ1373" s="1149"/>
    </row>
    <row r="1374" spans="1:43" s="4" customFormat="1" ht="15" customHeight="1">
      <c r="A1374" s="1149"/>
      <c r="B1374" s="1171"/>
      <c r="C1374" s="1149"/>
      <c r="D1374" s="1149"/>
      <c r="E1374" s="1149"/>
      <c r="F1374" s="1149"/>
      <c r="G1374" s="1149"/>
      <c r="H1374" s="1149"/>
      <c r="I1374" s="1149"/>
      <c r="J1374" s="1149"/>
      <c r="K1374" s="1149"/>
      <c r="L1374" s="1149"/>
      <c r="M1374" s="1010"/>
      <c r="N1374" s="1038"/>
      <c r="O1374" s="1024"/>
      <c r="P1374" s="1024"/>
      <c r="Q1374" s="1149"/>
      <c r="R1374" s="1069"/>
      <c r="S1374" s="402"/>
      <c r="T1374" s="403"/>
      <c r="U1374" s="403"/>
      <c r="V1374" s="1185"/>
      <c r="W1374" s="1122"/>
      <c r="X1374" s="1122"/>
      <c r="Y1374" s="372" t="s">
        <v>1890</v>
      </c>
      <c r="Z1374" s="397"/>
      <c r="AA1374" s="397"/>
      <c r="AB1374" s="397"/>
      <c r="AC1374" s="384">
        <v>42732</v>
      </c>
      <c r="AD1374" s="371" t="s">
        <v>1889</v>
      </c>
      <c r="AE1374" s="371"/>
      <c r="AF1374" s="382"/>
      <c r="AG1374" s="382"/>
      <c r="AH1374" s="382"/>
      <c r="AI1374" s="382"/>
      <c r="AJ1374" s="382"/>
      <c r="AK1374" s="382"/>
      <c r="AL1374" s="382"/>
      <c r="AM1374" s="382"/>
      <c r="AN1374" s="382"/>
      <c r="AO1374" s="1149"/>
      <c r="AP1374" s="1149"/>
      <c r="AQ1374" s="1149"/>
    </row>
    <row r="1375" spans="1:43" s="4" customFormat="1" ht="15" customHeight="1">
      <c r="A1375" s="1149"/>
      <c r="B1375" s="1171"/>
      <c r="C1375" s="1149"/>
      <c r="D1375" s="1149"/>
      <c r="E1375" s="1149"/>
      <c r="F1375" s="1149"/>
      <c r="G1375" s="1149"/>
      <c r="H1375" s="1149"/>
      <c r="I1375" s="1149"/>
      <c r="J1375" s="1149"/>
      <c r="K1375" s="1149"/>
      <c r="L1375" s="1149"/>
      <c r="M1375" s="1009">
        <v>6</v>
      </c>
      <c r="N1375" s="1021" t="s">
        <v>143</v>
      </c>
      <c r="O1375" s="1023">
        <v>3585400</v>
      </c>
      <c r="P1375" s="1023">
        <v>3585400</v>
      </c>
      <c r="Q1375" s="1149"/>
      <c r="R1375" s="1069"/>
      <c r="S1375" s="402"/>
      <c r="T1375" s="403"/>
      <c r="U1375" s="403"/>
      <c r="V1375" s="1184">
        <v>3575264.17</v>
      </c>
      <c r="W1375" s="1122"/>
      <c r="X1375" s="1122"/>
      <c r="Y1375" s="372" t="s">
        <v>1886</v>
      </c>
      <c r="Z1375" s="397"/>
      <c r="AA1375" s="397"/>
      <c r="AB1375" s="397"/>
      <c r="AC1375" s="65">
        <v>42327</v>
      </c>
      <c r="AD1375" s="371" t="s">
        <v>1885</v>
      </c>
      <c r="AE1375" s="371" t="s">
        <v>143</v>
      </c>
      <c r="AF1375" s="382"/>
      <c r="AG1375" s="382"/>
      <c r="AH1375" s="382"/>
      <c r="AI1375" s="382"/>
      <c r="AJ1375" s="382"/>
      <c r="AK1375" s="382">
        <f>O1375-V1375</f>
        <v>10135.830000000075</v>
      </c>
      <c r="AL1375" s="382"/>
      <c r="AM1375" s="382"/>
      <c r="AN1375" s="382"/>
      <c r="AO1375" s="1149"/>
      <c r="AP1375" s="1149"/>
      <c r="AQ1375" s="1149"/>
    </row>
    <row r="1376" spans="1:43" s="4" customFormat="1" ht="15" customHeight="1">
      <c r="A1376" s="1149"/>
      <c r="B1376" s="1171"/>
      <c r="C1376" s="1149"/>
      <c r="D1376" s="1149"/>
      <c r="E1376" s="1149"/>
      <c r="F1376" s="1149"/>
      <c r="G1376" s="1149"/>
      <c r="H1376" s="1149"/>
      <c r="I1376" s="1149"/>
      <c r="J1376" s="1149"/>
      <c r="K1376" s="1149"/>
      <c r="L1376" s="1149"/>
      <c r="M1376" s="1010"/>
      <c r="N1376" s="1038"/>
      <c r="O1376" s="1024"/>
      <c r="P1376" s="1024"/>
      <c r="Q1376" s="1149"/>
      <c r="R1376" s="1069"/>
      <c r="S1376" s="402"/>
      <c r="T1376" s="403"/>
      <c r="U1376" s="403"/>
      <c r="V1376" s="1185"/>
      <c r="W1376" s="1122"/>
      <c r="X1376" s="1122"/>
      <c r="Y1376" s="372"/>
      <c r="Z1376" s="397"/>
      <c r="AA1376" s="397"/>
      <c r="AB1376" s="397"/>
      <c r="AC1376" s="384"/>
      <c r="AD1376" s="371"/>
      <c r="AE1376" s="371"/>
      <c r="AF1376" s="382"/>
      <c r="AG1376" s="382"/>
      <c r="AH1376" s="382"/>
      <c r="AI1376" s="382"/>
      <c r="AJ1376" s="382"/>
      <c r="AK1376" s="382"/>
      <c r="AL1376" s="382"/>
      <c r="AM1376" s="382"/>
      <c r="AN1376" s="382"/>
      <c r="AO1376" s="1149"/>
      <c r="AP1376" s="1149"/>
      <c r="AQ1376" s="1149"/>
    </row>
    <row r="1377" spans="1:43" s="4" customFormat="1" ht="15" customHeight="1">
      <c r="A1377" s="1149"/>
      <c r="B1377" s="1171"/>
      <c r="C1377" s="1149"/>
      <c r="D1377" s="1149"/>
      <c r="E1377" s="1149"/>
      <c r="F1377" s="1149"/>
      <c r="G1377" s="1149"/>
      <c r="H1377" s="1149"/>
      <c r="I1377" s="1149"/>
      <c r="J1377" s="1149"/>
      <c r="K1377" s="1149"/>
      <c r="L1377" s="1149"/>
      <c r="M1377" s="1009">
        <v>15</v>
      </c>
      <c r="N1377" s="1021" t="s">
        <v>152</v>
      </c>
      <c r="O1377" s="1023">
        <v>3585400</v>
      </c>
      <c r="P1377" s="1023">
        <v>3585400</v>
      </c>
      <c r="Q1377" s="1149"/>
      <c r="R1377" s="1069"/>
      <c r="S1377" s="402"/>
      <c r="T1377" s="403"/>
      <c r="U1377" s="403"/>
      <c r="V1377" s="1184">
        <v>3575264.17</v>
      </c>
      <c r="W1377" s="1122"/>
      <c r="X1377" s="1122"/>
      <c r="Y1377" s="372" t="s">
        <v>1886</v>
      </c>
      <c r="Z1377" s="397"/>
      <c r="AA1377" s="397"/>
      <c r="AB1377" s="397"/>
      <c r="AC1377" s="384">
        <v>42327</v>
      </c>
      <c r="AD1377" s="66" t="s">
        <v>1885</v>
      </c>
      <c r="AE1377" s="371" t="s">
        <v>152</v>
      </c>
      <c r="AF1377" s="382"/>
      <c r="AG1377" s="382"/>
      <c r="AH1377" s="382"/>
      <c r="AI1377" s="382"/>
      <c r="AJ1377" s="382"/>
      <c r="AK1377" s="382">
        <f>O1377-V1377</f>
        <v>10135.830000000075</v>
      </c>
      <c r="AL1377" s="382"/>
      <c r="AM1377" s="382"/>
      <c r="AN1377" s="382"/>
      <c r="AO1377" s="1149"/>
      <c r="AP1377" s="1149"/>
      <c r="AQ1377" s="1149"/>
    </row>
    <row r="1378" spans="1:43" s="4" customFormat="1" ht="15" customHeight="1">
      <c r="A1378" s="1149"/>
      <c r="B1378" s="1171"/>
      <c r="C1378" s="1149"/>
      <c r="D1378" s="1149"/>
      <c r="E1378" s="1149"/>
      <c r="F1378" s="1149"/>
      <c r="G1378" s="1149"/>
      <c r="H1378" s="1149"/>
      <c r="I1378" s="1149"/>
      <c r="J1378" s="1149"/>
      <c r="K1378" s="1149"/>
      <c r="L1378" s="1149"/>
      <c r="M1378" s="1010"/>
      <c r="N1378" s="1038"/>
      <c r="O1378" s="1024"/>
      <c r="P1378" s="1024"/>
      <c r="Q1378" s="1149"/>
      <c r="R1378" s="1069"/>
      <c r="S1378" s="402"/>
      <c r="T1378" s="403"/>
      <c r="U1378" s="403"/>
      <c r="V1378" s="1185"/>
      <c r="W1378" s="1122"/>
      <c r="X1378" s="1122"/>
      <c r="Y1378" s="372" t="s">
        <v>1888</v>
      </c>
      <c r="Z1378" s="397"/>
      <c r="AA1378" s="397"/>
      <c r="AB1378" s="397"/>
      <c r="AC1378" s="384">
        <v>42732</v>
      </c>
      <c r="AD1378" s="66" t="s">
        <v>1887</v>
      </c>
      <c r="AE1378" s="371"/>
      <c r="AF1378" s="382"/>
      <c r="AG1378" s="382"/>
      <c r="AH1378" s="382"/>
      <c r="AI1378" s="382"/>
      <c r="AJ1378" s="382"/>
      <c r="AK1378" s="382"/>
      <c r="AL1378" s="382"/>
      <c r="AM1378" s="382"/>
      <c r="AN1378" s="382"/>
      <c r="AO1378" s="1149"/>
      <c r="AP1378" s="1149"/>
      <c r="AQ1378" s="1149"/>
    </row>
    <row r="1379" spans="1:43" s="4" customFormat="1" ht="15" customHeight="1">
      <c r="A1379" s="1149"/>
      <c r="B1379" s="1171"/>
      <c r="C1379" s="1149"/>
      <c r="D1379" s="1149"/>
      <c r="E1379" s="1149"/>
      <c r="F1379" s="1149"/>
      <c r="G1379" s="1149"/>
      <c r="H1379" s="1149"/>
      <c r="I1379" s="1149"/>
      <c r="J1379" s="1149"/>
      <c r="K1379" s="1149"/>
      <c r="L1379" s="1149"/>
      <c r="M1379" s="1009">
        <v>15</v>
      </c>
      <c r="N1379" s="1021" t="s">
        <v>147</v>
      </c>
      <c r="O1379" s="1023">
        <v>3585400</v>
      </c>
      <c r="P1379" s="1023">
        <v>3585400</v>
      </c>
      <c r="Q1379" s="1149"/>
      <c r="R1379" s="1069"/>
      <c r="S1379" s="402"/>
      <c r="T1379" s="403"/>
      <c r="U1379" s="403"/>
      <c r="V1379" s="1184">
        <v>3575264.17</v>
      </c>
      <c r="W1379" s="1122"/>
      <c r="X1379" s="1122"/>
      <c r="Y1379" s="64" t="s">
        <v>1886</v>
      </c>
      <c r="Z1379" s="397"/>
      <c r="AA1379" s="397"/>
      <c r="AB1379" s="397"/>
      <c r="AC1379" s="65">
        <v>42327</v>
      </c>
      <c r="AD1379" s="371" t="s">
        <v>1885</v>
      </c>
      <c r="AE1379" s="371" t="s">
        <v>147</v>
      </c>
      <c r="AF1379" s="382"/>
      <c r="AG1379" s="382"/>
      <c r="AH1379" s="382"/>
      <c r="AI1379" s="382"/>
      <c r="AJ1379" s="382"/>
      <c r="AK1379" s="382">
        <f>O1379-V1379</f>
        <v>10135.830000000075</v>
      </c>
      <c r="AL1379" s="382"/>
      <c r="AM1379" s="382"/>
      <c r="AN1379" s="382"/>
      <c r="AO1379" s="1149"/>
      <c r="AP1379" s="1149"/>
      <c r="AQ1379" s="1149"/>
    </row>
    <row r="1380" spans="1:43" s="4" customFormat="1" ht="15" customHeight="1">
      <c r="A1380" s="1149"/>
      <c r="B1380" s="1171"/>
      <c r="C1380" s="1149"/>
      <c r="D1380" s="1149"/>
      <c r="E1380" s="1149"/>
      <c r="F1380" s="1149"/>
      <c r="G1380" s="1149"/>
      <c r="H1380" s="1149"/>
      <c r="I1380" s="1149"/>
      <c r="J1380" s="1149"/>
      <c r="K1380" s="1149"/>
      <c r="L1380" s="1149"/>
      <c r="M1380" s="1010"/>
      <c r="N1380" s="1038"/>
      <c r="O1380" s="1024"/>
      <c r="P1380" s="1024"/>
      <c r="Q1380" s="1149"/>
      <c r="R1380" s="1070"/>
      <c r="S1380" s="402"/>
      <c r="T1380" s="403"/>
      <c r="U1380" s="403"/>
      <c r="V1380" s="1185"/>
      <c r="W1380" s="1122"/>
      <c r="X1380" s="1122"/>
      <c r="Y1380" s="64" t="s">
        <v>1884</v>
      </c>
      <c r="Z1380" s="397"/>
      <c r="AA1380" s="397"/>
      <c r="AB1380" s="397"/>
      <c r="AC1380" s="65">
        <v>42732</v>
      </c>
      <c r="AD1380" s="371" t="s">
        <v>1883</v>
      </c>
      <c r="AE1380" s="371"/>
      <c r="AF1380" s="382"/>
      <c r="AG1380" s="382"/>
      <c r="AH1380" s="382"/>
      <c r="AI1380" s="382"/>
      <c r="AJ1380" s="382"/>
      <c r="AK1380" s="382"/>
      <c r="AL1380" s="382"/>
      <c r="AM1380" s="382"/>
      <c r="AN1380" s="382"/>
      <c r="AO1380" s="1149"/>
      <c r="AP1380" s="1149"/>
      <c r="AQ1380" s="1149"/>
    </row>
    <row r="1381" spans="1:43" ht="15" customHeight="1">
      <c r="A1381" s="354" t="s">
        <v>2024</v>
      </c>
      <c r="B1381" s="384">
        <v>42241</v>
      </c>
      <c r="C1381" s="354" t="s">
        <v>12</v>
      </c>
      <c r="D1381" s="354" t="s">
        <v>854</v>
      </c>
      <c r="E1381" s="394">
        <v>76308120</v>
      </c>
      <c r="F1381" s="394"/>
      <c r="G1381" s="354" t="s">
        <v>2025</v>
      </c>
      <c r="H1381" s="354" t="s">
        <v>72</v>
      </c>
      <c r="I1381" s="354" t="s">
        <v>206</v>
      </c>
      <c r="J1381" s="354" t="s">
        <v>66</v>
      </c>
      <c r="K1381" s="354" t="s">
        <v>183</v>
      </c>
      <c r="L1381" s="354" t="s">
        <v>2030</v>
      </c>
      <c r="M1381" s="372">
        <v>174</v>
      </c>
      <c r="N1381" s="372" t="s">
        <v>7</v>
      </c>
      <c r="O1381" s="386">
        <v>28790000</v>
      </c>
      <c r="P1381" s="386">
        <v>28790000</v>
      </c>
      <c r="Q1381" s="386">
        <v>28790000</v>
      </c>
      <c r="R1381" s="384">
        <v>40745</v>
      </c>
      <c r="S1381" s="390"/>
      <c r="T1381" s="386"/>
      <c r="U1381" s="386"/>
      <c r="V1381" s="358">
        <v>28790000</v>
      </c>
      <c r="W1381" s="358">
        <v>28790000</v>
      </c>
      <c r="X1381" s="354"/>
      <c r="Y1381" s="372" t="s">
        <v>2032</v>
      </c>
      <c r="Z1381" s="386">
        <v>28790000</v>
      </c>
      <c r="AA1381" s="386">
        <v>0</v>
      </c>
      <c r="AB1381" s="386">
        <f>AA1381+Z1381</f>
        <v>28790000</v>
      </c>
      <c r="AC1381" s="384">
        <v>43007</v>
      </c>
      <c r="AD1381" s="395">
        <v>28790000</v>
      </c>
      <c r="AE1381" s="371" t="s">
        <v>7</v>
      </c>
      <c r="AF1381" s="358">
        <f>AD1381</f>
        <v>28790000</v>
      </c>
      <c r="AG1381" s="358">
        <f>AF1381</f>
        <v>28790000</v>
      </c>
      <c r="AH1381" s="358">
        <f t="shared" ref="AH1381:AH1444" si="87">AB1381-AD1381</f>
        <v>0</v>
      </c>
      <c r="AI1381" s="358">
        <v>0</v>
      </c>
      <c r="AJ1381" s="386">
        <v>0</v>
      </c>
      <c r="AK1381" s="386">
        <v>0</v>
      </c>
      <c r="AL1381" s="386">
        <v>0</v>
      </c>
      <c r="AM1381" s="386">
        <v>0</v>
      </c>
      <c r="AN1381" s="391"/>
      <c r="AO1381" s="392" t="s">
        <v>2031</v>
      </c>
      <c r="AP1381" s="392" t="s">
        <v>194</v>
      </c>
      <c r="AQ1381" s="392" t="s">
        <v>1911</v>
      </c>
    </row>
    <row r="1382" spans="1:43" ht="15" customHeight="1">
      <c r="A1382" s="1011" t="s">
        <v>1945</v>
      </c>
      <c r="B1382" s="1068">
        <v>42262</v>
      </c>
      <c r="C1382" s="1011" t="s">
        <v>39</v>
      </c>
      <c r="D1382" s="1011" t="s">
        <v>1946</v>
      </c>
      <c r="E1382" s="1071">
        <v>900884430</v>
      </c>
      <c r="F1382" s="1071">
        <v>1</v>
      </c>
      <c r="G1382" s="1011" t="s">
        <v>1947</v>
      </c>
      <c r="H1382" s="1011" t="s">
        <v>72</v>
      </c>
      <c r="I1382" s="1011" t="s">
        <v>206</v>
      </c>
      <c r="J1382" s="1011" t="s">
        <v>66</v>
      </c>
      <c r="K1382" s="1011" t="s">
        <v>49</v>
      </c>
      <c r="L1382" s="1011" t="s">
        <v>1948</v>
      </c>
      <c r="M1382" s="1145">
        <v>9</v>
      </c>
      <c r="N1382" s="1065" t="s">
        <v>164</v>
      </c>
      <c r="O1382" s="1062">
        <v>53000000</v>
      </c>
      <c r="P1382" s="1062">
        <v>53000000</v>
      </c>
      <c r="Q1382" s="1062">
        <f>P1382+P1386+P1390+P1394+P1398+P1402+P1406+P1410+P1414</f>
        <v>459000000</v>
      </c>
      <c r="R1382" s="1068">
        <v>42164</v>
      </c>
      <c r="S1382" s="1092">
        <f>T1382</f>
        <v>53000000</v>
      </c>
      <c r="T1382" s="1092">
        <v>53000000</v>
      </c>
      <c r="U1382" s="1092">
        <f>O1382-T1382</f>
        <v>0</v>
      </c>
      <c r="V1382" s="1043">
        <v>52920836.25</v>
      </c>
      <c r="W1382" s="1062">
        <v>458314412</v>
      </c>
      <c r="X1382" s="1011" t="s">
        <v>1934</v>
      </c>
      <c r="Y1382" s="372" t="s">
        <v>1949</v>
      </c>
      <c r="Z1382" s="386">
        <v>0</v>
      </c>
      <c r="AA1382" s="386">
        <v>5292083.5999999996</v>
      </c>
      <c r="AB1382" s="386">
        <f t="shared" ref="AB1382:AB1425" si="88">Z1382+AA1382</f>
        <v>5292083.5999999996</v>
      </c>
      <c r="AC1382" s="384">
        <v>42366</v>
      </c>
      <c r="AD1382" s="395">
        <v>5292083.5999999996</v>
      </c>
      <c r="AE1382" s="371" t="s">
        <v>164</v>
      </c>
      <c r="AF1382" s="1043">
        <f>SUM(AD1382:AD1385)</f>
        <v>44370544.800000004</v>
      </c>
      <c r="AG1382" s="1043">
        <f>AF1382+AF1386+AF1390+AF1394+AF1398+AF1402+AF1406+AF1410+AF1414</f>
        <v>398504382.01000005</v>
      </c>
      <c r="AH1382" s="358">
        <f t="shared" si="87"/>
        <v>0</v>
      </c>
      <c r="AI1382" s="1043">
        <f>O1382-AF1382</f>
        <v>8629455.1999999955</v>
      </c>
      <c r="AJ1382" s="1062">
        <f>SUM(Z1382:Z1417)-SUM(AD1382:AD1417)</f>
        <v>-6645559.0099999905</v>
      </c>
      <c r="AK1382" s="1062">
        <f>P1382-V1382</f>
        <v>79163.75</v>
      </c>
      <c r="AL1382" s="1062">
        <f>V1382-SUM(Z1382:Z1385)</f>
        <v>9879403.25</v>
      </c>
      <c r="AM1382" s="1062"/>
      <c r="AN1382" s="1108"/>
      <c r="AO1382" s="1103" t="s">
        <v>1968</v>
      </c>
      <c r="AP1382" s="1103" t="s">
        <v>194</v>
      </c>
      <c r="AQ1382" s="1103" t="s">
        <v>1911</v>
      </c>
    </row>
    <row r="1383" spans="1:43" ht="15" customHeight="1">
      <c r="A1383" s="1033"/>
      <c r="B1383" s="1069"/>
      <c r="C1383" s="1033"/>
      <c r="D1383" s="1033"/>
      <c r="E1383" s="1072"/>
      <c r="F1383" s="1072"/>
      <c r="G1383" s="1033"/>
      <c r="H1383" s="1033"/>
      <c r="I1383" s="1033"/>
      <c r="J1383" s="1033"/>
      <c r="K1383" s="1033"/>
      <c r="L1383" s="1033"/>
      <c r="M1383" s="1146"/>
      <c r="N1383" s="1066"/>
      <c r="O1383" s="1063"/>
      <c r="P1383" s="1063"/>
      <c r="Q1383" s="1063"/>
      <c r="R1383" s="1069"/>
      <c r="S1383" s="1093"/>
      <c r="T1383" s="1093"/>
      <c r="U1383" s="1093"/>
      <c r="V1383" s="1044"/>
      <c r="W1383" s="1063"/>
      <c r="X1383" s="1033"/>
      <c r="Y1383" s="372" t="s">
        <v>1950</v>
      </c>
      <c r="Z1383" s="386">
        <v>3809734</v>
      </c>
      <c r="AA1383" s="386">
        <v>-2332311.11</v>
      </c>
      <c r="AB1383" s="386">
        <f t="shared" si="88"/>
        <v>1477422.8900000001</v>
      </c>
      <c r="AC1383" s="384">
        <v>42726</v>
      </c>
      <c r="AD1383" s="395">
        <v>1477422.89</v>
      </c>
      <c r="AE1383" s="371" t="s">
        <v>164</v>
      </c>
      <c r="AF1383" s="1044"/>
      <c r="AG1383" s="1044"/>
      <c r="AH1383" s="358">
        <f t="shared" si="87"/>
        <v>0</v>
      </c>
      <c r="AI1383" s="1044"/>
      <c r="AJ1383" s="1063"/>
      <c r="AK1383" s="1063"/>
      <c r="AL1383" s="1063"/>
      <c r="AM1383" s="1063"/>
      <c r="AN1383" s="1109"/>
      <c r="AO1383" s="1104"/>
      <c r="AP1383" s="1104"/>
      <c r="AQ1383" s="1104"/>
    </row>
    <row r="1384" spans="1:43" ht="15" customHeight="1">
      <c r="A1384" s="1033"/>
      <c r="B1384" s="1069"/>
      <c r="C1384" s="1033"/>
      <c r="D1384" s="1033"/>
      <c r="E1384" s="1072"/>
      <c r="F1384" s="1072"/>
      <c r="G1384" s="1033"/>
      <c r="H1384" s="1033"/>
      <c r="I1384" s="1033"/>
      <c r="J1384" s="1033"/>
      <c r="K1384" s="1033"/>
      <c r="L1384" s="1033"/>
      <c r="M1384" s="1146"/>
      <c r="N1384" s="1066"/>
      <c r="O1384" s="1063"/>
      <c r="P1384" s="1063"/>
      <c r="Q1384" s="1063"/>
      <c r="R1384" s="1069"/>
      <c r="S1384" s="1093"/>
      <c r="T1384" s="1093"/>
      <c r="U1384" s="1093"/>
      <c r="V1384" s="1044"/>
      <c r="W1384" s="1063"/>
      <c r="X1384" s="1033"/>
      <c r="Y1384" s="372" t="s">
        <v>1959</v>
      </c>
      <c r="Z1384" s="386">
        <v>39231699</v>
      </c>
      <c r="AA1384" s="386">
        <v>-1630660.69</v>
      </c>
      <c r="AB1384" s="386">
        <f t="shared" si="88"/>
        <v>37601038.310000002</v>
      </c>
      <c r="AC1384" s="384">
        <v>42730</v>
      </c>
      <c r="AD1384" s="395">
        <v>37601038.310000002</v>
      </c>
      <c r="AE1384" s="371" t="s">
        <v>164</v>
      </c>
      <c r="AF1384" s="1044"/>
      <c r="AG1384" s="1044"/>
      <c r="AH1384" s="358">
        <f t="shared" si="87"/>
        <v>0</v>
      </c>
      <c r="AI1384" s="1044"/>
      <c r="AJ1384" s="1063"/>
      <c r="AK1384" s="1063"/>
      <c r="AL1384" s="1063"/>
      <c r="AM1384" s="1063"/>
      <c r="AN1384" s="1109"/>
      <c r="AO1384" s="1104"/>
      <c r="AP1384" s="1104"/>
      <c r="AQ1384" s="1104"/>
    </row>
    <row r="1385" spans="1:43" ht="15" customHeight="1">
      <c r="A1385" s="1033"/>
      <c r="B1385" s="1069"/>
      <c r="C1385" s="1012"/>
      <c r="D1385" s="1033"/>
      <c r="E1385" s="1072"/>
      <c r="F1385" s="1072"/>
      <c r="G1385" s="1033"/>
      <c r="H1385" s="1033"/>
      <c r="I1385" s="1033"/>
      <c r="J1385" s="1033"/>
      <c r="K1385" s="1033"/>
      <c r="L1385" s="1033"/>
      <c r="M1385" s="1147"/>
      <c r="N1385" s="1067"/>
      <c r="O1385" s="1064"/>
      <c r="P1385" s="1064"/>
      <c r="Q1385" s="1063"/>
      <c r="R1385" s="1070"/>
      <c r="S1385" s="1094"/>
      <c r="T1385" s="1094"/>
      <c r="U1385" s="1094"/>
      <c r="V1385" s="1045"/>
      <c r="W1385" s="1063"/>
      <c r="X1385" s="1033"/>
      <c r="Y1385" s="372"/>
      <c r="Z1385" s="386"/>
      <c r="AA1385" s="386"/>
      <c r="AB1385" s="386">
        <f t="shared" si="88"/>
        <v>0</v>
      </c>
      <c r="AC1385" s="384"/>
      <c r="AD1385" s="395"/>
      <c r="AE1385" s="371"/>
      <c r="AF1385" s="1045"/>
      <c r="AG1385" s="1044"/>
      <c r="AH1385" s="358">
        <f t="shared" si="87"/>
        <v>0</v>
      </c>
      <c r="AI1385" s="1045"/>
      <c r="AJ1385" s="1063"/>
      <c r="AK1385" s="1064"/>
      <c r="AL1385" s="1064"/>
      <c r="AM1385" s="1064"/>
      <c r="AN1385" s="1109"/>
      <c r="AO1385" s="1104"/>
      <c r="AP1385" s="1104"/>
      <c r="AQ1385" s="1104"/>
    </row>
    <row r="1386" spans="1:43" ht="15" customHeight="1">
      <c r="A1386" s="1033"/>
      <c r="B1386" s="1069"/>
      <c r="C1386" s="1011" t="s">
        <v>23</v>
      </c>
      <c r="D1386" s="1033"/>
      <c r="E1386" s="1072"/>
      <c r="F1386" s="1072"/>
      <c r="G1386" s="1033"/>
      <c r="H1386" s="1033"/>
      <c r="I1386" s="1033"/>
      <c r="J1386" s="1033"/>
      <c r="K1386" s="1033"/>
      <c r="L1386" s="1033"/>
      <c r="M1386" s="1145">
        <v>8</v>
      </c>
      <c r="N1386" s="1065" t="s">
        <v>146</v>
      </c>
      <c r="O1386" s="1062">
        <v>53000000</v>
      </c>
      <c r="P1386" s="1062">
        <v>53000000</v>
      </c>
      <c r="Q1386" s="1063"/>
      <c r="R1386" s="1068">
        <v>42164</v>
      </c>
      <c r="S1386" s="1092">
        <f>T1386</f>
        <v>53000000</v>
      </c>
      <c r="T1386" s="1092">
        <v>53000000</v>
      </c>
      <c r="U1386" s="1092">
        <f>O1386-T1386</f>
        <v>0</v>
      </c>
      <c r="V1386" s="1043">
        <v>52920836.25</v>
      </c>
      <c r="W1386" s="1063"/>
      <c r="X1386" s="1033"/>
      <c r="Y1386" s="372" t="s">
        <v>1949</v>
      </c>
      <c r="Z1386" s="386">
        <v>0</v>
      </c>
      <c r="AA1386" s="386">
        <v>5292083.5999999996</v>
      </c>
      <c r="AB1386" s="386">
        <f t="shared" si="88"/>
        <v>5292083.5999999996</v>
      </c>
      <c r="AC1386" s="384">
        <v>42366</v>
      </c>
      <c r="AD1386" s="395">
        <v>5292083.5999999996</v>
      </c>
      <c r="AE1386" s="371" t="s">
        <v>146</v>
      </c>
      <c r="AF1386" s="1043">
        <f>SUM(AD1386:AD1389)</f>
        <v>46050679.799999997</v>
      </c>
      <c r="AG1386" s="1044"/>
      <c r="AH1386" s="358">
        <f t="shared" si="87"/>
        <v>0</v>
      </c>
      <c r="AI1386" s="1043">
        <f>O1386-AF1386</f>
        <v>6949320.200000003</v>
      </c>
      <c r="AJ1386" s="1063"/>
      <c r="AK1386" s="1062">
        <f>P1386-V1386</f>
        <v>79163.75</v>
      </c>
      <c r="AL1386" s="1062">
        <f>V1386-SUM(Z1386:Z1389)</f>
        <v>8199268.25</v>
      </c>
      <c r="AM1386" s="1062"/>
      <c r="AN1386" s="1109"/>
      <c r="AO1386" s="1104"/>
      <c r="AP1386" s="1104"/>
      <c r="AQ1386" s="1104"/>
    </row>
    <row r="1387" spans="1:43" ht="15" customHeight="1">
      <c r="A1387" s="1033"/>
      <c r="B1387" s="1069"/>
      <c r="C1387" s="1033"/>
      <c r="D1387" s="1033"/>
      <c r="E1387" s="1072"/>
      <c r="F1387" s="1072"/>
      <c r="G1387" s="1033"/>
      <c r="H1387" s="1033"/>
      <c r="I1387" s="1033"/>
      <c r="J1387" s="1033"/>
      <c r="K1387" s="1033"/>
      <c r="L1387" s="1033"/>
      <c r="M1387" s="1146"/>
      <c r="N1387" s="1066"/>
      <c r="O1387" s="1063"/>
      <c r="P1387" s="1063"/>
      <c r="Q1387" s="1063"/>
      <c r="R1387" s="1069"/>
      <c r="S1387" s="1093"/>
      <c r="T1387" s="1093"/>
      <c r="U1387" s="1093"/>
      <c r="V1387" s="1044"/>
      <c r="W1387" s="1063"/>
      <c r="X1387" s="1033"/>
      <c r="Y1387" s="372" t="s">
        <v>1951</v>
      </c>
      <c r="Z1387" s="386">
        <v>22601568</v>
      </c>
      <c r="AA1387" s="386">
        <v>-2332311.11</v>
      </c>
      <c r="AB1387" s="386">
        <f t="shared" si="88"/>
        <v>20269256.890000001</v>
      </c>
      <c r="AC1387" s="384">
        <v>42726</v>
      </c>
      <c r="AD1387" s="395">
        <v>20269256.890000001</v>
      </c>
      <c r="AE1387" s="371" t="s">
        <v>146</v>
      </c>
      <c r="AF1387" s="1044"/>
      <c r="AG1387" s="1044"/>
      <c r="AH1387" s="358">
        <f t="shared" si="87"/>
        <v>0</v>
      </c>
      <c r="AI1387" s="1044"/>
      <c r="AJ1387" s="1063"/>
      <c r="AK1387" s="1063"/>
      <c r="AL1387" s="1063"/>
      <c r="AM1387" s="1063"/>
      <c r="AN1387" s="1109"/>
      <c r="AO1387" s="1104"/>
      <c r="AP1387" s="1104"/>
      <c r="AQ1387" s="1104"/>
    </row>
    <row r="1388" spans="1:43" ht="15" customHeight="1">
      <c r="A1388" s="1033"/>
      <c r="B1388" s="1069"/>
      <c r="C1388" s="1033"/>
      <c r="D1388" s="1033"/>
      <c r="E1388" s="1072"/>
      <c r="F1388" s="1072"/>
      <c r="G1388" s="1033"/>
      <c r="H1388" s="1033"/>
      <c r="I1388" s="1033"/>
      <c r="J1388" s="1033"/>
      <c r="K1388" s="1033"/>
      <c r="L1388" s="1033"/>
      <c r="M1388" s="1146"/>
      <c r="N1388" s="1066"/>
      <c r="O1388" s="1063"/>
      <c r="P1388" s="1063"/>
      <c r="Q1388" s="1063"/>
      <c r="R1388" s="1069"/>
      <c r="S1388" s="1093"/>
      <c r="T1388" s="1093"/>
      <c r="U1388" s="1093"/>
      <c r="V1388" s="1044"/>
      <c r="W1388" s="1063"/>
      <c r="X1388" s="1033"/>
      <c r="Y1388" s="372" t="s">
        <v>1960</v>
      </c>
      <c r="Z1388" s="386">
        <v>22120000</v>
      </c>
      <c r="AA1388" s="386">
        <v>-1630660.69</v>
      </c>
      <c r="AB1388" s="386">
        <f t="shared" si="88"/>
        <v>20489339.309999999</v>
      </c>
      <c r="AC1388" s="384">
        <v>42730</v>
      </c>
      <c r="AD1388" s="395">
        <v>20489339.309999999</v>
      </c>
      <c r="AE1388" s="371" t="s">
        <v>146</v>
      </c>
      <c r="AF1388" s="1044"/>
      <c r="AG1388" s="1044"/>
      <c r="AH1388" s="358">
        <f t="shared" si="87"/>
        <v>0</v>
      </c>
      <c r="AI1388" s="1044"/>
      <c r="AJ1388" s="1063"/>
      <c r="AK1388" s="1063"/>
      <c r="AL1388" s="1063"/>
      <c r="AM1388" s="1063"/>
      <c r="AN1388" s="1109"/>
      <c r="AO1388" s="1104"/>
      <c r="AP1388" s="1104"/>
      <c r="AQ1388" s="1104"/>
    </row>
    <row r="1389" spans="1:43" ht="15" customHeight="1">
      <c r="A1389" s="1033"/>
      <c r="B1389" s="1069"/>
      <c r="C1389" s="1012"/>
      <c r="D1389" s="1033"/>
      <c r="E1389" s="1072"/>
      <c r="F1389" s="1072"/>
      <c r="G1389" s="1033"/>
      <c r="H1389" s="1033"/>
      <c r="I1389" s="1033"/>
      <c r="J1389" s="1033"/>
      <c r="K1389" s="1033"/>
      <c r="L1389" s="1033"/>
      <c r="M1389" s="1147"/>
      <c r="N1389" s="1067"/>
      <c r="O1389" s="1064"/>
      <c r="P1389" s="1064"/>
      <c r="Q1389" s="1063"/>
      <c r="R1389" s="1070"/>
      <c r="S1389" s="1094"/>
      <c r="T1389" s="1094"/>
      <c r="U1389" s="1094"/>
      <c r="V1389" s="1045"/>
      <c r="W1389" s="1063"/>
      <c r="X1389" s="1033"/>
      <c r="Y1389" s="372"/>
      <c r="Z1389" s="386"/>
      <c r="AA1389" s="386"/>
      <c r="AB1389" s="386">
        <f t="shared" si="88"/>
        <v>0</v>
      </c>
      <c r="AC1389" s="384"/>
      <c r="AD1389" s="395"/>
      <c r="AE1389" s="371"/>
      <c r="AF1389" s="1045"/>
      <c r="AG1389" s="1044"/>
      <c r="AH1389" s="358">
        <f t="shared" si="87"/>
        <v>0</v>
      </c>
      <c r="AI1389" s="1045"/>
      <c r="AJ1389" s="1063"/>
      <c r="AK1389" s="1064"/>
      <c r="AL1389" s="1064"/>
      <c r="AM1389" s="1064"/>
      <c r="AN1389" s="1109"/>
      <c r="AO1389" s="1104"/>
      <c r="AP1389" s="1104"/>
      <c r="AQ1389" s="1104"/>
    </row>
    <row r="1390" spans="1:43" ht="15" customHeight="1">
      <c r="A1390" s="1033"/>
      <c r="B1390" s="1069"/>
      <c r="C1390" s="1011" t="s">
        <v>12</v>
      </c>
      <c r="D1390" s="1033"/>
      <c r="E1390" s="1072"/>
      <c r="F1390" s="1072"/>
      <c r="G1390" s="1033"/>
      <c r="H1390" s="1033"/>
      <c r="I1390" s="1033"/>
      <c r="J1390" s="1033"/>
      <c r="K1390" s="1033"/>
      <c r="L1390" s="1033"/>
      <c r="M1390" s="1145">
        <v>10</v>
      </c>
      <c r="N1390" s="1065" t="s">
        <v>132</v>
      </c>
      <c r="O1390" s="1062">
        <v>53000000</v>
      </c>
      <c r="P1390" s="1062">
        <v>53000000</v>
      </c>
      <c r="Q1390" s="1063"/>
      <c r="R1390" s="1068">
        <v>42164</v>
      </c>
      <c r="S1390" s="1092">
        <f>T1390</f>
        <v>53000000</v>
      </c>
      <c r="T1390" s="1092">
        <v>53000000</v>
      </c>
      <c r="U1390" s="1092">
        <f>O1390-T1390</f>
        <v>0</v>
      </c>
      <c r="V1390" s="1043">
        <v>52920836.240000002</v>
      </c>
      <c r="W1390" s="1063"/>
      <c r="X1390" s="1033"/>
      <c r="Y1390" s="372" t="s">
        <v>1949</v>
      </c>
      <c r="Z1390" s="386">
        <v>0</v>
      </c>
      <c r="AA1390" s="386">
        <v>5292083.5999999996</v>
      </c>
      <c r="AB1390" s="386">
        <f t="shared" si="88"/>
        <v>5292083.5999999996</v>
      </c>
      <c r="AC1390" s="384">
        <v>42366</v>
      </c>
      <c r="AD1390" s="395">
        <v>5292083.5999999996</v>
      </c>
      <c r="AE1390" s="371" t="s">
        <v>132</v>
      </c>
      <c r="AF1390" s="1043">
        <f>SUM(AD1390:AD1393)</f>
        <v>47628752.640000001</v>
      </c>
      <c r="AG1390" s="1044"/>
      <c r="AH1390" s="358">
        <f t="shared" si="87"/>
        <v>0</v>
      </c>
      <c r="AI1390" s="1043">
        <f>O1390-AF1390</f>
        <v>5371247.3599999994</v>
      </c>
      <c r="AJ1390" s="1063"/>
      <c r="AK1390" s="1062">
        <f>P1390-V1390</f>
        <v>79163.759999997914</v>
      </c>
      <c r="AL1390" s="1062">
        <f>V1390-SUM(Z1390:Z1393)</f>
        <v>5292083.6000000015</v>
      </c>
      <c r="AM1390" s="1062"/>
      <c r="AN1390" s="1109"/>
      <c r="AO1390" s="1104"/>
      <c r="AP1390" s="1104"/>
      <c r="AQ1390" s="1104"/>
    </row>
    <row r="1391" spans="1:43" ht="15" customHeight="1">
      <c r="A1391" s="1033"/>
      <c r="B1391" s="1069"/>
      <c r="C1391" s="1033"/>
      <c r="D1391" s="1033"/>
      <c r="E1391" s="1072"/>
      <c r="F1391" s="1072"/>
      <c r="G1391" s="1033"/>
      <c r="H1391" s="1033"/>
      <c r="I1391" s="1033"/>
      <c r="J1391" s="1033"/>
      <c r="K1391" s="1033"/>
      <c r="L1391" s="1033"/>
      <c r="M1391" s="1146"/>
      <c r="N1391" s="1066"/>
      <c r="O1391" s="1063"/>
      <c r="P1391" s="1063"/>
      <c r="Q1391" s="1063"/>
      <c r="R1391" s="1069"/>
      <c r="S1391" s="1093"/>
      <c r="T1391" s="1093"/>
      <c r="U1391" s="1093"/>
      <c r="V1391" s="1044"/>
      <c r="W1391" s="1063"/>
      <c r="X1391" s="1033"/>
      <c r="Y1391" s="372" t="s">
        <v>1952</v>
      </c>
      <c r="Z1391" s="386">
        <v>34715666</v>
      </c>
      <c r="AA1391" s="386">
        <v>-2332311.11</v>
      </c>
      <c r="AB1391" s="386">
        <f t="shared" si="88"/>
        <v>32383354.890000001</v>
      </c>
      <c r="AC1391" s="384">
        <v>42726</v>
      </c>
      <c r="AD1391" s="395">
        <v>32383354.890000001</v>
      </c>
      <c r="AE1391" s="371" t="s">
        <v>132</v>
      </c>
      <c r="AF1391" s="1044"/>
      <c r="AG1391" s="1044"/>
      <c r="AH1391" s="358">
        <f t="shared" si="87"/>
        <v>0</v>
      </c>
      <c r="AI1391" s="1044"/>
      <c r="AJ1391" s="1063"/>
      <c r="AK1391" s="1063"/>
      <c r="AL1391" s="1063"/>
      <c r="AM1391" s="1063"/>
      <c r="AN1391" s="1109"/>
      <c r="AO1391" s="1104"/>
      <c r="AP1391" s="1104"/>
      <c r="AQ1391" s="1104"/>
    </row>
    <row r="1392" spans="1:43" ht="15" customHeight="1">
      <c r="A1392" s="1033"/>
      <c r="B1392" s="1069"/>
      <c r="C1392" s="1033"/>
      <c r="D1392" s="1033"/>
      <c r="E1392" s="1072"/>
      <c r="F1392" s="1072"/>
      <c r="G1392" s="1033"/>
      <c r="H1392" s="1033"/>
      <c r="I1392" s="1033"/>
      <c r="J1392" s="1033"/>
      <c r="K1392" s="1033"/>
      <c r="L1392" s="1033"/>
      <c r="M1392" s="1146"/>
      <c r="N1392" s="1066"/>
      <c r="O1392" s="1063"/>
      <c r="P1392" s="1063"/>
      <c r="Q1392" s="1063"/>
      <c r="R1392" s="1069"/>
      <c r="S1392" s="1093"/>
      <c r="T1392" s="1093"/>
      <c r="U1392" s="1093"/>
      <c r="V1392" s="1044"/>
      <c r="W1392" s="1063"/>
      <c r="X1392" s="1033"/>
      <c r="Y1392" s="372" t="s">
        <v>1961</v>
      </c>
      <c r="Z1392" s="386">
        <v>12913086.640000001</v>
      </c>
      <c r="AA1392" s="386">
        <v>-2959772.49</v>
      </c>
      <c r="AB1392" s="386">
        <f t="shared" si="88"/>
        <v>9953314.1500000004</v>
      </c>
      <c r="AC1392" s="384">
        <v>42730</v>
      </c>
      <c r="AD1392" s="395">
        <v>9953314.1500000004</v>
      </c>
      <c r="AE1392" s="371" t="s">
        <v>132</v>
      </c>
      <c r="AF1392" s="1044"/>
      <c r="AG1392" s="1044"/>
      <c r="AH1392" s="358">
        <f t="shared" si="87"/>
        <v>0</v>
      </c>
      <c r="AI1392" s="1044"/>
      <c r="AJ1392" s="1063"/>
      <c r="AK1392" s="1063"/>
      <c r="AL1392" s="1063"/>
      <c r="AM1392" s="1063"/>
      <c r="AN1392" s="1109"/>
      <c r="AO1392" s="1104"/>
      <c r="AP1392" s="1104"/>
      <c r="AQ1392" s="1104"/>
    </row>
    <row r="1393" spans="1:43" ht="15" customHeight="1">
      <c r="A1393" s="1033"/>
      <c r="B1393" s="1069"/>
      <c r="C1393" s="1012"/>
      <c r="D1393" s="1033"/>
      <c r="E1393" s="1072"/>
      <c r="F1393" s="1072"/>
      <c r="G1393" s="1033"/>
      <c r="H1393" s="1033"/>
      <c r="I1393" s="1033"/>
      <c r="J1393" s="1033"/>
      <c r="K1393" s="1033"/>
      <c r="L1393" s="1033"/>
      <c r="M1393" s="1147"/>
      <c r="N1393" s="1067"/>
      <c r="O1393" s="1064"/>
      <c r="P1393" s="1064"/>
      <c r="Q1393" s="1063"/>
      <c r="R1393" s="1070"/>
      <c r="S1393" s="1094"/>
      <c r="T1393" s="1094"/>
      <c r="U1393" s="1094"/>
      <c r="V1393" s="1045"/>
      <c r="W1393" s="1063"/>
      <c r="X1393" s="1033"/>
      <c r="Y1393" s="372"/>
      <c r="Z1393" s="386"/>
      <c r="AA1393" s="386"/>
      <c r="AB1393" s="386">
        <f t="shared" si="88"/>
        <v>0</v>
      </c>
      <c r="AC1393" s="384"/>
      <c r="AD1393" s="395"/>
      <c r="AE1393" s="371"/>
      <c r="AF1393" s="1045"/>
      <c r="AG1393" s="1044"/>
      <c r="AH1393" s="358">
        <f t="shared" si="87"/>
        <v>0</v>
      </c>
      <c r="AI1393" s="1045"/>
      <c r="AJ1393" s="1063"/>
      <c r="AK1393" s="1064"/>
      <c r="AL1393" s="1064"/>
      <c r="AM1393" s="1064"/>
      <c r="AN1393" s="1109"/>
      <c r="AO1393" s="1104"/>
      <c r="AP1393" s="1104"/>
      <c r="AQ1393" s="1104"/>
    </row>
    <row r="1394" spans="1:43" ht="15" customHeight="1">
      <c r="A1394" s="1033"/>
      <c r="B1394" s="1069"/>
      <c r="C1394" s="1011" t="s">
        <v>13</v>
      </c>
      <c r="D1394" s="1033"/>
      <c r="E1394" s="1072"/>
      <c r="F1394" s="1072"/>
      <c r="G1394" s="1033"/>
      <c r="H1394" s="1033"/>
      <c r="I1394" s="1033"/>
      <c r="J1394" s="1033"/>
      <c r="K1394" s="1033"/>
      <c r="L1394" s="1033"/>
      <c r="M1394" s="1145">
        <v>7</v>
      </c>
      <c r="N1394" s="1065" t="s">
        <v>133</v>
      </c>
      <c r="O1394" s="1062">
        <v>53000000</v>
      </c>
      <c r="P1394" s="1062">
        <v>53000000</v>
      </c>
      <c r="Q1394" s="1063"/>
      <c r="R1394" s="1068">
        <v>42164</v>
      </c>
      <c r="S1394" s="1092">
        <f>T1394</f>
        <v>53000000</v>
      </c>
      <c r="T1394" s="1092">
        <v>53000000</v>
      </c>
      <c r="U1394" s="1092">
        <f>O1394-T1394</f>
        <v>0</v>
      </c>
      <c r="V1394" s="1043">
        <v>52920836.240000002</v>
      </c>
      <c r="W1394" s="1063"/>
      <c r="X1394" s="1033"/>
      <c r="Y1394" s="372" t="s">
        <v>1949</v>
      </c>
      <c r="Z1394" s="386">
        <v>0</v>
      </c>
      <c r="AA1394" s="386">
        <v>5292083.5999999996</v>
      </c>
      <c r="AB1394" s="386">
        <f t="shared" si="88"/>
        <v>5292083.5999999996</v>
      </c>
      <c r="AC1394" s="384">
        <v>42366</v>
      </c>
      <c r="AD1394" s="395">
        <v>5292083.5999999996</v>
      </c>
      <c r="AE1394" s="371" t="s">
        <v>133</v>
      </c>
      <c r="AF1394" s="1043">
        <f>SUM(AD1394:AD1397)</f>
        <v>49426064.040000007</v>
      </c>
      <c r="AG1394" s="1044"/>
      <c r="AH1394" s="358">
        <f t="shared" si="87"/>
        <v>0</v>
      </c>
      <c r="AI1394" s="1043">
        <f>O1394-AF1394</f>
        <v>3573935.9599999934</v>
      </c>
      <c r="AJ1394" s="1063"/>
      <c r="AK1394" s="1062">
        <f>P1394-V1394</f>
        <v>79163.759999997914</v>
      </c>
      <c r="AL1394" s="1062">
        <f>V1394-SUM(Z1394:Z1397)</f>
        <v>5292083.6000000015</v>
      </c>
      <c r="AM1394" s="1062"/>
      <c r="AN1394" s="1109"/>
      <c r="AO1394" s="1104"/>
      <c r="AP1394" s="1104"/>
      <c r="AQ1394" s="1104"/>
    </row>
    <row r="1395" spans="1:43" ht="15" customHeight="1">
      <c r="A1395" s="1033"/>
      <c r="B1395" s="1069"/>
      <c r="C1395" s="1033"/>
      <c r="D1395" s="1033"/>
      <c r="E1395" s="1072"/>
      <c r="F1395" s="1072"/>
      <c r="G1395" s="1033"/>
      <c r="H1395" s="1033"/>
      <c r="I1395" s="1033"/>
      <c r="J1395" s="1033"/>
      <c r="K1395" s="1033"/>
      <c r="L1395" s="1033"/>
      <c r="M1395" s="1146"/>
      <c r="N1395" s="1066"/>
      <c r="O1395" s="1063"/>
      <c r="P1395" s="1063"/>
      <c r="Q1395" s="1063"/>
      <c r="R1395" s="1069"/>
      <c r="S1395" s="1093"/>
      <c r="T1395" s="1093"/>
      <c r="U1395" s="1093"/>
      <c r="V1395" s="1044"/>
      <c r="W1395" s="1063"/>
      <c r="X1395" s="1033"/>
      <c r="Y1395" s="372" t="s">
        <v>1953</v>
      </c>
      <c r="Z1395" s="386">
        <v>37521084</v>
      </c>
      <c r="AA1395" s="386">
        <v>-2332311.11</v>
      </c>
      <c r="AB1395" s="386">
        <f t="shared" si="88"/>
        <v>35188772.890000001</v>
      </c>
      <c r="AC1395" s="384">
        <v>42726</v>
      </c>
      <c r="AD1395" s="395">
        <v>35188772.890000001</v>
      </c>
      <c r="AE1395" s="371" t="s">
        <v>133</v>
      </c>
      <c r="AF1395" s="1044"/>
      <c r="AG1395" s="1044"/>
      <c r="AH1395" s="358">
        <f t="shared" si="87"/>
        <v>0</v>
      </c>
      <c r="AI1395" s="1044"/>
      <c r="AJ1395" s="1063"/>
      <c r="AK1395" s="1063"/>
      <c r="AL1395" s="1063"/>
      <c r="AM1395" s="1063"/>
      <c r="AN1395" s="1109"/>
      <c r="AO1395" s="1104"/>
      <c r="AP1395" s="1104"/>
      <c r="AQ1395" s="1104"/>
    </row>
    <row r="1396" spans="1:43" ht="15" customHeight="1">
      <c r="A1396" s="1033"/>
      <c r="B1396" s="1069"/>
      <c r="C1396" s="1033"/>
      <c r="D1396" s="1033"/>
      <c r="E1396" s="1072"/>
      <c r="F1396" s="1072"/>
      <c r="G1396" s="1033"/>
      <c r="H1396" s="1033"/>
      <c r="I1396" s="1033"/>
      <c r="J1396" s="1033"/>
      <c r="K1396" s="1033"/>
      <c r="L1396" s="1033"/>
      <c r="M1396" s="1146"/>
      <c r="N1396" s="1066"/>
      <c r="O1396" s="1063"/>
      <c r="P1396" s="1063"/>
      <c r="Q1396" s="1063"/>
      <c r="R1396" s="1069"/>
      <c r="S1396" s="1093"/>
      <c r="T1396" s="1093"/>
      <c r="U1396" s="1093"/>
      <c r="V1396" s="1044"/>
      <c r="W1396" s="1063"/>
      <c r="X1396" s="1033"/>
      <c r="Y1396" s="372" t="s">
        <v>1962</v>
      </c>
      <c r="Z1396" s="386">
        <v>10107668.640000001</v>
      </c>
      <c r="AA1396" s="386">
        <v>-2959772.49</v>
      </c>
      <c r="AB1396" s="386">
        <f t="shared" si="88"/>
        <v>7147896.1500000004</v>
      </c>
      <c r="AC1396" s="384">
        <v>42730</v>
      </c>
      <c r="AD1396" s="395">
        <v>8945207.5500000007</v>
      </c>
      <c r="AE1396" s="371" t="s">
        <v>133</v>
      </c>
      <c r="AF1396" s="1044"/>
      <c r="AG1396" s="1044"/>
      <c r="AH1396" s="358">
        <f t="shared" si="87"/>
        <v>-1797311.4000000004</v>
      </c>
      <c r="AI1396" s="1044"/>
      <c r="AJ1396" s="1063"/>
      <c r="AK1396" s="1063"/>
      <c r="AL1396" s="1063"/>
      <c r="AM1396" s="1063"/>
      <c r="AN1396" s="1109"/>
      <c r="AO1396" s="1104"/>
      <c r="AP1396" s="1104"/>
      <c r="AQ1396" s="1104"/>
    </row>
    <row r="1397" spans="1:43" ht="15" customHeight="1">
      <c r="A1397" s="1033"/>
      <c r="B1397" s="1069"/>
      <c r="C1397" s="1012"/>
      <c r="D1397" s="1033"/>
      <c r="E1397" s="1072"/>
      <c r="F1397" s="1072"/>
      <c r="G1397" s="1033"/>
      <c r="H1397" s="1033"/>
      <c r="I1397" s="1033"/>
      <c r="J1397" s="1033"/>
      <c r="K1397" s="1033"/>
      <c r="L1397" s="1033"/>
      <c r="M1397" s="1147"/>
      <c r="N1397" s="1067"/>
      <c r="O1397" s="1064"/>
      <c r="P1397" s="1064"/>
      <c r="Q1397" s="1063"/>
      <c r="R1397" s="1070"/>
      <c r="S1397" s="1094"/>
      <c r="T1397" s="1094"/>
      <c r="U1397" s="1094"/>
      <c r="V1397" s="1045"/>
      <c r="W1397" s="1063"/>
      <c r="X1397" s="1033"/>
      <c r="Y1397" s="372"/>
      <c r="Z1397" s="386"/>
      <c r="AA1397" s="386"/>
      <c r="AB1397" s="386">
        <f t="shared" si="88"/>
        <v>0</v>
      </c>
      <c r="AC1397" s="384"/>
      <c r="AD1397" s="395"/>
      <c r="AE1397" s="371"/>
      <c r="AF1397" s="1045"/>
      <c r="AG1397" s="1044"/>
      <c r="AH1397" s="358">
        <f t="shared" si="87"/>
        <v>0</v>
      </c>
      <c r="AI1397" s="1045"/>
      <c r="AJ1397" s="1063"/>
      <c r="AK1397" s="1064"/>
      <c r="AL1397" s="1064"/>
      <c r="AM1397" s="1064"/>
      <c r="AN1397" s="1109"/>
      <c r="AO1397" s="1104"/>
      <c r="AP1397" s="1104"/>
      <c r="AQ1397" s="1104"/>
    </row>
    <row r="1398" spans="1:43" ht="15" customHeight="1">
      <c r="A1398" s="1033"/>
      <c r="B1398" s="1069"/>
      <c r="C1398" s="1011" t="s">
        <v>29</v>
      </c>
      <c r="D1398" s="1033"/>
      <c r="E1398" s="1072"/>
      <c r="F1398" s="1072"/>
      <c r="G1398" s="1033"/>
      <c r="H1398" s="1033"/>
      <c r="I1398" s="1033"/>
      <c r="J1398" s="1033"/>
      <c r="K1398" s="1033"/>
      <c r="L1398" s="1033"/>
      <c r="M1398" s="1145">
        <v>2</v>
      </c>
      <c r="N1398" s="1065" t="s">
        <v>154</v>
      </c>
      <c r="O1398" s="1062">
        <v>53000000</v>
      </c>
      <c r="P1398" s="1062">
        <v>53000000</v>
      </c>
      <c r="Q1398" s="1063"/>
      <c r="R1398" s="1068">
        <v>42164</v>
      </c>
      <c r="S1398" s="1092">
        <f>T1398</f>
        <v>53000000</v>
      </c>
      <c r="T1398" s="1092">
        <v>53000000</v>
      </c>
      <c r="U1398" s="1092">
        <f>O1398-T1398</f>
        <v>0</v>
      </c>
      <c r="V1398" s="1043">
        <v>52920836.25</v>
      </c>
      <c r="W1398" s="1063"/>
      <c r="X1398" s="1033"/>
      <c r="Y1398" s="372" t="s">
        <v>1949</v>
      </c>
      <c r="Z1398" s="386">
        <v>0</v>
      </c>
      <c r="AA1398" s="386">
        <v>5292083.5999999996</v>
      </c>
      <c r="AB1398" s="386">
        <f t="shared" si="88"/>
        <v>5292083.5999999996</v>
      </c>
      <c r="AC1398" s="384">
        <v>42366</v>
      </c>
      <c r="AD1398" s="395">
        <v>5292083.5999999996</v>
      </c>
      <c r="AE1398" s="371" t="s">
        <v>154</v>
      </c>
      <c r="AF1398" s="1043">
        <f>SUM(AD1398:AD1401)</f>
        <v>43865847.170000002</v>
      </c>
      <c r="AG1398" s="1044"/>
      <c r="AH1398" s="358">
        <f t="shared" si="87"/>
        <v>0</v>
      </c>
      <c r="AI1398" s="1043">
        <f>O1398-AF1398</f>
        <v>9134152.8299999982</v>
      </c>
      <c r="AJ1398" s="1063"/>
      <c r="AK1398" s="1062">
        <f>P1398-V1398</f>
        <v>79163.75</v>
      </c>
      <c r="AL1398" s="1062">
        <f>V1398-SUM(Z1398:Z1401)</f>
        <v>10384100.890000001</v>
      </c>
      <c r="AM1398" s="1062"/>
      <c r="AN1398" s="1109"/>
      <c r="AO1398" s="1104"/>
      <c r="AP1398" s="1104"/>
      <c r="AQ1398" s="1104"/>
    </row>
    <row r="1399" spans="1:43" ht="15" customHeight="1">
      <c r="A1399" s="1033"/>
      <c r="B1399" s="1069"/>
      <c r="C1399" s="1033"/>
      <c r="D1399" s="1033"/>
      <c r="E1399" s="1072"/>
      <c r="F1399" s="1072"/>
      <c r="G1399" s="1033"/>
      <c r="H1399" s="1033"/>
      <c r="I1399" s="1033"/>
      <c r="J1399" s="1033"/>
      <c r="K1399" s="1033"/>
      <c r="L1399" s="1033"/>
      <c r="M1399" s="1146"/>
      <c r="N1399" s="1066"/>
      <c r="O1399" s="1063"/>
      <c r="P1399" s="1063"/>
      <c r="Q1399" s="1063"/>
      <c r="R1399" s="1069"/>
      <c r="S1399" s="1093"/>
      <c r="T1399" s="1093"/>
      <c r="U1399" s="1093"/>
      <c r="V1399" s="1044"/>
      <c r="W1399" s="1063"/>
      <c r="X1399" s="1033"/>
      <c r="Y1399" s="372" t="s">
        <v>1954</v>
      </c>
      <c r="Z1399" s="386">
        <v>7876304</v>
      </c>
      <c r="AA1399" s="386">
        <v>-2332311.11</v>
      </c>
      <c r="AB1399" s="386">
        <f t="shared" si="88"/>
        <v>5543992.8900000006</v>
      </c>
      <c r="AC1399" s="384">
        <v>42726</v>
      </c>
      <c r="AD1399" s="395">
        <v>5543992.8899999997</v>
      </c>
      <c r="AE1399" s="371" t="s">
        <v>154</v>
      </c>
      <c r="AF1399" s="1044"/>
      <c r="AG1399" s="1044"/>
      <c r="AH1399" s="358">
        <f t="shared" si="87"/>
        <v>0</v>
      </c>
      <c r="AI1399" s="1044"/>
      <c r="AJ1399" s="1063"/>
      <c r="AK1399" s="1063"/>
      <c r="AL1399" s="1063"/>
      <c r="AM1399" s="1063"/>
      <c r="AN1399" s="1109"/>
      <c r="AO1399" s="1104"/>
      <c r="AP1399" s="1104"/>
      <c r="AQ1399" s="1104"/>
    </row>
    <row r="1400" spans="1:43" ht="15" customHeight="1">
      <c r="A1400" s="1033"/>
      <c r="B1400" s="1069"/>
      <c r="C1400" s="1033"/>
      <c r="D1400" s="1033"/>
      <c r="E1400" s="1072"/>
      <c r="F1400" s="1072"/>
      <c r="G1400" s="1033"/>
      <c r="H1400" s="1033"/>
      <c r="I1400" s="1033"/>
      <c r="J1400" s="1033"/>
      <c r="K1400" s="1033"/>
      <c r="L1400" s="1033"/>
      <c r="M1400" s="1146"/>
      <c r="N1400" s="1066"/>
      <c r="O1400" s="1063"/>
      <c r="P1400" s="1063"/>
      <c r="Q1400" s="1063"/>
      <c r="R1400" s="1069"/>
      <c r="S1400" s="1093"/>
      <c r="T1400" s="1093"/>
      <c r="U1400" s="1093"/>
      <c r="V1400" s="1044"/>
      <c r="W1400" s="1063"/>
      <c r="X1400" s="1033"/>
      <c r="Y1400" s="372" t="s">
        <v>1963</v>
      </c>
      <c r="Z1400" s="386">
        <v>34660431.359999999</v>
      </c>
      <c r="AA1400" s="386">
        <v>-1630660.69</v>
      </c>
      <c r="AB1400" s="386">
        <f t="shared" si="88"/>
        <v>33029770.669999998</v>
      </c>
      <c r="AC1400" s="384">
        <v>42730</v>
      </c>
      <c r="AD1400" s="395">
        <v>33029770.68</v>
      </c>
      <c r="AE1400" s="371" t="s">
        <v>154</v>
      </c>
      <c r="AF1400" s="1044"/>
      <c r="AG1400" s="1044"/>
      <c r="AH1400" s="358">
        <f t="shared" si="87"/>
        <v>-1.0000001639127731E-2</v>
      </c>
      <c r="AI1400" s="1044"/>
      <c r="AJ1400" s="1063"/>
      <c r="AK1400" s="1063"/>
      <c r="AL1400" s="1063"/>
      <c r="AM1400" s="1063"/>
      <c r="AN1400" s="1109"/>
      <c r="AO1400" s="1104"/>
      <c r="AP1400" s="1104"/>
      <c r="AQ1400" s="1104"/>
    </row>
    <row r="1401" spans="1:43" ht="15" customHeight="1">
      <c r="A1401" s="1033"/>
      <c r="B1401" s="1069"/>
      <c r="C1401" s="1012"/>
      <c r="D1401" s="1033"/>
      <c r="E1401" s="1072"/>
      <c r="F1401" s="1072"/>
      <c r="G1401" s="1033"/>
      <c r="H1401" s="1033"/>
      <c r="I1401" s="1033"/>
      <c r="J1401" s="1033"/>
      <c r="K1401" s="1033"/>
      <c r="L1401" s="1033"/>
      <c r="M1401" s="1147"/>
      <c r="N1401" s="1067"/>
      <c r="O1401" s="1064"/>
      <c r="P1401" s="1064"/>
      <c r="Q1401" s="1063"/>
      <c r="R1401" s="1070"/>
      <c r="S1401" s="1094"/>
      <c r="T1401" s="1094"/>
      <c r="U1401" s="1094"/>
      <c r="V1401" s="1045"/>
      <c r="W1401" s="1063"/>
      <c r="X1401" s="1033"/>
      <c r="Y1401" s="372"/>
      <c r="Z1401" s="386"/>
      <c r="AA1401" s="386"/>
      <c r="AB1401" s="386">
        <f t="shared" si="88"/>
        <v>0</v>
      </c>
      <c r="AC1401" s="384"/>
      <c r="AD1401" s="395"/>
      <c r="AE1401" s="371"/>
      <c r="AF1401" s="1045"/>
      <c r="AG1401" s="1044"/>
      <c r="AH1401" s="358">
        <f t="shared" si="87"/>
        <v>0</v>
      </c>
      <c r="AI1401" s="1045"/>
      <c r="AJ1401" s="1063"/>
      <c r="AK1401" s="1064"/>
      <c r="AL1401" s="1064"/>
      <c r="AM1401" s="1064"/>
      <c r="AN1401" s="1109"/>
      <c r="AO1401" s="1104"/>
      <c r="AP1401" s="1104"/>
      <c r="AQ1401" s="1104"/>
    </row>
    <row r="1402" spans="1:43" ht="15" customHeight="1">
      <c r="A1402" s="1033"/>
      <c r="B1402" s="1069"/>
      <c r="C1402" s="1011" t="s">
        <v>19</v>
      </c>
      <c r="D1402" s="1033"/>
      <c r="E1402" s="1072"/>
      <c r="F1402" s="1072"/>
      <c r="G1402" s="1033"/>
      <c r="H1402" s="1033"/>
      <c r="I1402" s="1033"/>
      <c r="J1402" s="1033"/>
      <c r="K1402" s="1033"/>
      <c r="L1402" s="1033"/>
      <c r="M1402" s="1145">
        <v>10</v>
      </c>
      <c r="N1402" s="1065" t="s">
        <v>142</v>
      </c>
      <c r="O1402" s="1062">
        <v>53000000</v>
      </c>
      <c r="P1402" s="1062">
        <v>53000000</v>
      </c>
      <c r="Q1402" s="1063"/>
      <c r="R1402" s="1068">
        <v>42164</v>
      </c>
      <c r="S1402" s="1062">
        <f>T1402</f>
        <v>53000000</v>
      </c>
      <c r="T1402" s="1062">
        <v>53000000</v>
      </c>
      <c r="U1402" s="1062">
        <f>O1402-T1402</f>
        <v>0</v>
      </c>
      <c r="V1402" s="1043">
        <v>52920836.240000002</v>
      </c>
      <c r="W1402" s="1063"/>
      <c r="X1402" s="1033"/>
      <c r="Y1402" s="372" t="s">
        <v>1949</v>
      </c>
      <c r="Z1402" s="386">
        <v>0</v>
      </c>
      <c r="AA1402" s="386">
        <v>5292083.5999999996</v>
      </c>
      <c r="AB1402" s="386">
        <f t="shared" si="88"/>
        <v>5292083.5999999996</v>
      </c>
      <c r="AC1402" s="384">
        <v>42366</v>
      </c>
      <c r="AD1402" s="395">
        <v>5292083.5999999996</v>
      </c>
      <c r="AE1402" s="371" t="s">
        <v>142</v>
      </c>
      <c r="AF1402" s="1043">
        <f>SUM(AD1402:AD1405)</f>
        <v>48528077.800000004</v>
      </c>
      <c r="AG1402" s="1044"/>
      <c r="AH1402" s="358">
        <f t="shared" si="87"/>
        <v>0</v>
      </c>
      <c r="AI1402" s="1043">
        <f>O1402-AF1402</f>
        <v>4471922.1999999955</v>
      </c>
      <c r="AJ1402" s="1063"/>
      <c r="AK1402" s="1062">
        <f>P1402-V1402</f>
        <v>79163.759999997914</v>
      </c>
      <c r="AL1402" s="1062">
        <f>V1402-SUM(Z1402:Z1405)</f>
        <v>5721870.2400000021</v>
      </c>
      <c r="AM1402" s="1062"/>
      <c r="AN1402" s="1109"/>
      <c r="AO1402" s="1104"/>
      <c r="AP1402" s="1104"/>
      <c r="AQ1402" s="1104"/>
    </row>
    <row r="1403" spans="1:43" ht="15" customHeight="1">
      <c r="A1403" s="1033"/>
      <c r="B1403" s="1069"/>
      <c r="C1403" s="1033"/>
      <c r="D1403" s="1033"/>
      <c r="E1403" s="1072"/>
      <c r="F1403" s="1072"/>
      <c r="G1403" s="1033"/>
      <c r="H1403" s="1033"/>
      <c r="I1403" s="1033"/>
      <c r="J1403" s="1033"/>
      <c r="K1403" s="1033"/>
      <c r="L1403" s="1033"/>
      <c r="M1403" s="1146"/>
      <c r="N1403" s="1066"/>
      <c r="O1403" s="1063"/>
      <c r="P1403" s="1063"/>
      <c r="Q1403" s="1063"/>
      <c r="R1403" s="1069"/>
      <c r="S1403" s="1063"/>
      <c r="T1403" s="1063"/>
      <c r="U1403" s="1063"/>
      <c r="V1403" s="1044"/>
      <c r="W1403" s="1063"/>
      <c r="X1403" s="1033"/>
      <c r="Y1403" s="372" t="s">
        <v>1955</v>
      </c>
      <c r="Z1403" s="386">
        <v>38867848</v>
      </c>
      <c r="AA1403" s="386">
        <v>-2332311.11</v>
      </c>
      <c r="AB1403" s="386">
        <f t="shared" si="88"/>
        <v>36535536.890000001</v>
      </c>
      <c r="AC1403" s="384">
        <v>42726</v>
      </c>
      <c r="AD1403" s="395">
        <v>36535536.890000001</v>
      </c>
      <c r="AE1403" s="371" t="s">
        <v>142</v>
      </c>
      <c r="AF1403" s="1044"/>
      <c r="AG1403" s="1044"/>
      <c r="AH1403" s="358">
        <f t="shared" si="87"/>
        <v>0</v>
      </c>
      <c r="AI1403" s="1044"/>
      <c r="AJ1403" s="1063"/>
      <c r="AK1403" s="1063"/>
      <c r="AL1403" s="1063"/>
      <c r="AM1403" s="1063"/>
      <c r="AN1403" s="1109"/>
      <c r="AO1403" s="1104"/>
      <c r="AP1403" s="1104"/>
      <c r="AQ1403" s="1104"/>
    </row>
    <row r="1404" spans="1:43" ht="15" customHeight="1">
      <c r="A1404" s="1033"/>
      <c r="B1404" s="1069"/>
      <c r="C1404" s="1033"/>
      <c r="D1404" s="1033"/>
      <c r="E1404" s="1072"/>
      <c r="F1404" s="1072"/>
      <c r="G1404" s="1033"/>
      <c r="H1404" s="1033"/>
      <c r="I1404" s="1033"/>
      <c r="J1404" s="1033"/>
      <c r="K1404" s="1033"/>
      <c r="L1404" s="1033"/>
      <c r="M1404" s="1146"/>
      <c r="N1404" s="1066"/>
      <c r="O1404" s="1063"/>
      <c r="P1404" s="1063"/>
      <c r="Q1404" s="1063"/>
      <c r="R1404" s="1069"/>
      <c r="S1404" s="1063"/>
      <c r="T1404" s="1063"/>
      <c r="U1404" s="1063"/>
      <c r="V1404" s="1044"/>
      <c r="W1404" s="1063"/>
      <c r="X1404" s="1033"/>
      <c r="Y1404" s="372" t="s">
        <v>1964</v>
      </c>
      <c r="Z1404" s="386">
        <v>8331118</v>
      </c>
      <c r="AA1404" s="386">
        <v>-1630660.69</v>
      </c>
      <c r="AB1404" s="386">
        <f t="shared" si="88"/>
        <v>6700457.3100000005</v>
      </c>
      <c r="AC1404" s="384">
        <v>42730</v>
      </c>
      <c r="AD1404" s="395">
        <v>6700457.3099999996</v>
      </c>
      <c r="AE1404" s="371" t="s">
        <v>142</v>
      </c>
      <c r="AF1404" s="1044"/>
      <c r="AG1404" s="1044"/>
      <c r="AH1404" s="358">
        <f t="shared" si="87"/>
        <v>0</v>
      </c>
      <c r="AI1404" s="1044"/>
      <c r="AJ1404" s="1063"/>
      <c r="AK1404" s="1063"/>
      <c r="AL1404" s="1063"/>
      <c r="AM1404" s="1063"/>
      <c r="AN1404" s="1109"/>
      <c r="AO1404" s="1104"/>
      <c r="AP1404" s="1104"/>
      <c r="AQ1404" s="1104"/>
    </row>
    <row r="1405" spans="1:43" ht="15" customHeight="1">
      <c r="A1405" s="1033"/>
      <c r="B1405" s="1069"/>
      <c r="C1405" s="1012"/>
      <c r="D1405" s="1033"/>
      <c r="E1405" s="1072"/>
      <c r="F1405" s="1072"/>
      <c r="G1405" s="1033"/>
      <c r="H1405" s="1033"/>
      <c r="I1405" s="1033"/>
      <c r="J1405" s="1033"/>
      <c r="K1405" s="1033"/>
      <c r="L1405" s="1033"/>
      <c r="M1405" s="1147"/>
      <c r="N1405" s="1067"/>
      <c r="O1405" s="1064"/>
      <c r="P1405" s="1064"/>
      <c r="Q1405" s="1063"/>
      <c r="R1405" s="1070"/>
      <c r="S1405" s="1064"/>
      <c r="T1405" s="1064"/>
      <c r="U1405" s="1064"/>
      <c r="V1405" s="1045"/>
      <c r="W1405" s="1063"/>
      <c r="X1405" s="1033"/>
      <c r="Y1405" s="372"/>
      <c r="Z1405" s="386"/>
      <c r="AA1405" s="386"/>
      <c r="AB1405" s="386">
        <f t="shared" si="88"/>
        <v>0</v>
      </c>
      <c r="AC1405" s="384"/>
      <c r="AD1405" s="395"/>
      <c r="AE1405" s="371"/>
      <c r="AF1405" s="1045"/>
      <c r="AG1405" s="1044"/>
      <c r="AH1405" s="358">
        <f t="shared" si="87"/>
        <v>0</v>
      </c>
      <c r="AI1405" s="1045"/>
      <c r="AJ1405" s="1063"/>
      <c r="AK1405" s="1064"/>
      <c r="AL1405" s="1064"/>
      <c r="AM1405" s="1064"/>
      <c r="AN1405" s="1109"/>
      <c r="AO1405" s="1104"/>
      <c r="AP1405" s="1104"/>
      <c r="AQ1405" s="1104"/>
    </row>
    <row r="1406" spans="1:43" ht="15" customHeight="1">
      <c r="A1406" s="1033"/>
      <c r="B1406" s="1069"/>
      <c r="C1406" s="1011" t="s">
        <v>28</v>
      </c>
      <c r="D1406" s="1033"/>
      <c r="E1406" s="1072"/>
      <c r="F1406" s="1072"/>
      <c r="G1406" s="1033"/>
      <c r="H1406" s="1033"/>
      <c r="I1406" s="1033"/>
      <c r="J1406" s="1033"/>
      <c r="K1406" s="1033"/>
      <c r="L1406" s="1033"/>
      <c r="M1406" s="1145">
        <v>6</v>
      </c>
      <c r="N1406" s="1065" t="s">
        <v>153</v>
      </c>
      <c r="O1406" s="1062">
        <v>53000000</v>
      </c>
      <c r="P1406" s="1062">
        <v>53000000</v>
      </c>
      <c r="Q1406" s="1063"/>
      <c r="R1406" s="1068">
        <v>42164</v>
      </c>
      <c r="S1406" s="1092">
        <f>T1406</f>
        <v>53000000</v>
      </c>
      <c r="T1406" s="1092">
        <v>53000000</v>
      </c>
      <c r="U1406" s="1092">
        <f>O1406-T1406</f>
        <v>0</v>
      </c>
      <c r="V1406" s="1043">
        <v>52920836.240000002</v>
      </c>
      <c r="W1406" s="1063"/>
      <c r="X1406" s="1033"/>
      <c r="Y1406" s="372" t="s">
        <v>1949</v>
      </c>
      <c r="Z1406" s="386">
        <v>0</v>
      </c>
      <c r="AA1406" s="386">
        <v>5292083.5999999996</v>
      </c>
      <c r="AB1406" s="386">
        <f t="shared" si="88"/>
        <v>5292083.5999999996</v>
      </c>
      <c r="AC1406" s="384">
        <v>42366</v>
      </c>
      <c r="AD1406" s="395">
        <v>5292083.5999999996</v>
      </c>
      <c r="AE1406" s="371" t="s">
        <v>153</v>
      </c>
      <c r="AF1406" s="1043">
        <f>SUM(AD1406:AD1409)</f>
        <v>47628752.640000001</v>
      </c>
      <c r="AG1406" s="1044"/>
      <c r="AH1406" s="358">
        <f t="shared" si="87"/>
        <v>0</v>
      </c>
      <c r="AI1406" s="1043">
        <f>O1406-AF1406</f>
        <v>5371247.3599999994</v>
      </c>
      <c r="AJ1406" s="1063"/>
      <c r="AK1406" s="1062">
        <f>P1406-V1406</f>
        <v>79163.759999997914</v>
      </c>
      <c r="AL1406" s="1062">
        <f>V1406-SUM(Z1406:Z1409)</f>
        <v>5292083.6000000015</v>
      </c>
      <c r="AM1406" s="1062"/>
      <c r="AN1406" s="1109"/>
      <c r="AO1406" s="1104"/>
      <c r="AP1406" s="1104"/>
      <c r="AQ1406" s="1104"/>
    </row>
    <row r="1407" spans="1:43" ht="15" customHeight="1">
      <c r="A1407" s="1033"/>
      <c r="B1407" s="1069"/>
      <c r="C1407" s="1033"/>
      <c r="D1407" s="1033"/>
      <c r="E1407" s="1072"/>
      <c r="F1407" s="1072"/>
      <c r="G1407" s="1033"/>
      <c r="H1407" s="1033"/>
      <c r="I1407" s="1033"/>
      <c r="J1407" s="1033"/>
      <c r="K1407" s="1033"/>
      <c r="L1407" s="1033"/>
      <c r="M1407" s="1146"/>
      <c r="N1407" s="1066"/>
      <c r="O1407" s="1063"/>
      <c r="P1407" s="1063"/>
      <c r="Q1407" s="1063"/>
      <c r="R1407" s="1069"/>
      <c r="S1407" s="1093"/>
      <c r="T1407" s="1093"/>
      <c r="U1407" s="1093"/>
      <c r="V1407" s="1044"/>
      <c r="W1407" s="1063"/>
      <c r="X1407" s="1033"/>
      <c r="Y1407" s="372" t="s">
        <v>1956</v>
      </c>
      <c r="Z1407" s="386">
        <v>21188970</v>
      </c>
      <c r="AA1407" s="386">
        <v>-2332311.11</v>
      </c>
      <c r="AB1407" s="386">
        <f t="shared" si="88"/>
        <v>18856658.890000001</v>
      </c>
      <c r="AC1407" s="384">
        <v>42726</v>
      </c>
      <c r="AD1407" s="395">
        <v>18856658.890000001</v>
      </c>
      <c r="AE1407" s="371" t="s">
        <v>153</v>
      </c>
      <c r="AF1407" s="1044"/>
      <c r="AG1407" s="1044"/>
      <c r="AH1407" s="358">
        <f t="shared" si="87"/>
        <v>0</v>
      </c>
      <c r="AI1407" s="1044"/>
      <c r="AJ1407" s="1063"/>
      <c r="AK1407" s="1063"/>
      <c r="AL1407" s="1063"/>
      <c r="AM1407" s="1063"/>
      <c r="AN1407" s="1109"/>
      <c r="AO1407" s="1104"/>
      <c r="AP1407" s="1104"/>
      <c r="AQ1407" s="1104"/>
    </row>
    <row r="1408" spans="1:43" ht="15" customHeight="1">
      <c r="A1408" s="1033"/>
      <c r="B1408" s="1069"/>
      <c r="C1408" s="1033"/>
      <c r="D1408" s="1033"/>
      <c r="E1408" s="1072"/>
      <c r="F1408" s="1072"/>
      <c r="G1408" s="1033"/>
      <c r="H1408" s="1033"/>
      <c r="I1408" s="1033"/>
      <c r="J1408" s="1033"/>
      <c r="K1408" s="1033"/>
      <c r="L1408" s="1033"/>
      <c r="M1408" s="1146"/>
      <c r="N1408" s="1066"/>
      <c r="O1408" s="1063"/>
      <c r="P1408" s="1063"/>
      <c r="Q1408" s="1063"/>
      <c r="R1408" s="1069"/>
      <c r="S1408" s="1093"/>
      <c r="T1408" s="1093"/>
      <c r="U1408" s="1093"/>
      <c r="V1408" s="1044"/>
      <c r="W1408" s="1063"/>
      <c r="X1408" s="1033"/>
      <c r="Y1408" s="372" t="s">
        <v>1965</v>
      </c>
      <c r="Z1408" s="386">
        <v>26439782.640000001</v>
      </c>
      <c r="AA1408" s="386">
        <v>-2959772.49</v>
      </c>
      <c r="AB1408" s="386">
        <f t="shared" si="88"/>
        <v>23480010.149999999</v>
      </c>
      <c r="AC1408" s="384">
        <v>42730</v>
      </c>
      <c r="AD1408" s="395">
        <v>23480010.149999999</v>
      </c>
      <c r="AE1408" s="371" t="s">
        <v>153</v>
      </c>
      <c r="AF1408" s="1044"/>
      <c r="AG1408" s="1044"/>
      <c r="AH1408" s="358">
        <f t="shared" si="87"/>
        <v>0</v>
      </c>
      <c r="AI1408" s="1044"/>
      <c r="AJ1408" s="1063"/>
      <c r="AK1408" s="1063"/>
      <c r="AL1408" s="1063"/>
      <c r="AM1408" s="1063"/>
      <c r="AN1408" s="1109"/>
      <c r="AO1408" s="1104"/>
      <c r="AP1408" s="1104"/>
      <c r="AQ1408" s="1104"/>
    </row>
    <row r="1409" spans="1:43" ht="15" customHeight="1">
      <c r="A1409" s="1033"/>
      <c r="B1409" s="1069"/>
      <c r="C1409" s="1012"/>
      <c r="D1409" s="1033"/>
      <c r="E1409" s="1072"/>
      <c r="F1409" s="1072"/>
      <c r="G1409" s="1033"/>
      <c r="H1409" s="1033"/>
      <c r="I1409" s="1033"/>
      <c r="J1409" s="1033"/>
      <c r="K1409" s="1033"/>
      <c r="L1409" s="1033"/>
      <c r="M1409" s="1147"/>
      <c r="N1409" s="1067"/>
      <c r="O1409" s="1064"/>
      <c r="P1409" s="1064"/>
      <c r="Q1409" s="1063"/>
      <c r="R1409" s="1070"/>
      <c r="S1409" s="1094"/>
      <c r="T1409" s="1094"/>
      <c r="U1409" s="1094"/>
      <c r="V1409" s="1045"/>
      <c r="W1409" s="1063"/>
      <c r="X1409" s="1033"/>
      <c r="Y1409" s="372"/>
      <c r="Z1409" s="386"/>
      <c r="AA1409" s="386"/>
      <c r="AB1409" s="386">
        <f t="shared" si="88"/>
        <v>0</v>
      </c>
      <c r="AC1409" s="384"/>
      <c r="AD1409" s="395"/>
      <c r="AE1409" s="371"/>
      <c r="AF1409" s="1045"/>
      <c r="AG1409" s="1044"/>
      <c r="AH1409" s="358">
        <f t="shared" si="87"/>
        <v>0</v>
      </c>
      <c r="AI1409" s="1045"/>
      <c r="AJ1409" s="1063"/>
      <c r="AK1409" s="1064"/>
      <c r="AL1409" s="1064"/>
      <c r="AM1409" s="1064"/>
      <c r="AN1409" s="1109"/>
      <c r="AO1409" s="1104"/>
      <c r="AP1409" s="1104"/>
      <c r="AQ1409" s="1104"/>
    </row>
    <row r="1410" spans="1:43" ht="15" customHeight="1">
      <c r="A1410" s="1033"/>
      <c r="B1410" s="1069"/>
      <c r="C1410" s="1011" t="s">
        <v>13</v>
      </c>
      <c r="D1410" s="1033"/>
      <c r="E1410" s="1072"/>
      <c r="F1410" s="1072"/>
      <c r="G1410" s="1033"/>
      <c r="H1410" s="1033"/>
      <c r="I1410" s="1033"/>
      <c r="J1410" s="1033"/>
      <c r="K1410" s="1033"/>
      <c r="L1410" s="1033"/>
      <c r="M1410" s="1145">
        <v>9</v>
      </c>
      <c r="N1410" s="1065" t="s">
        <v>133</v>
      </c>
      <c r="O1410" s="1062">
        <v>35000000</v>
      </c>
      <c r="P1410" s="1062">
        <v>35000000</v>
      </c>
      <c r="Q1410" s="1063"/>
      <c r="R1410" s="1068">
        <v>42164</v>
      </c>
      <c r="S1410" s="1062">
        <f>T1410</f>
        <v>35000000</v>
      </c>
      <c r="T1410" s="1062">
        <v>35000000</v>
      </c>
      <c r="U1410" s="1062">
        <f>O1410-T1410</f>
        <v>0</v>
      </c>
      <c r="V1410" s="1043">
        <v>34947722.049999997</v>
      </c>
      <c r="W1410" s="1063"/>
      <c r="X1410" s="1033"/>
      <c r="Y1410" s="372" t="s">
        <v>1949</v>
      </c>
      <c r="Z1410" s="386">
        <v>0</v>
      </c>
      <c r="AA1410" s="386">
        <v>3494772.2</v>
      </c>
      <c r="AB1410" s="386">
        <f t="shared" si="88"/>
        <v>3494772.2</v>
      </c>
      <c r="AC1410" s="384">
        <v>42366</v>
      </c>
      <c r="AD1410" s="395">
        <v>3494772.2</v>
      </c>
      <c r="AE1410" s="371" t="s">
        <v>133</v>
      </c>
      <c r="AF1410" s="1043">
        <f>SUM(AD1410:AD1413)</f>
        <v>29655638.449999999</v>
      </c>
      <c r="AG1410" s="1044"/>
      <c r="AH1410" s="358">
        <f t="shared" si="87"/>
        <v>0</v>
      </c>
      <c r="AI1410" s="1043">
        <f>O1410-AF1410</f>
        <v>5344361.5500000007</v>
      </c>
      <c r="AJ1410" s="1063"/>
      <c r="AK1410" s="1062">
        <f>P1410-V1410</f>
        <v>52277.95000000298</v>
      </c>
      <c r="AL1410" s="1062">
        <f>V1410-SUM(Z1410:Z1413)</f>
        <v>3494772.1999999955</v>
      </c>
      <c r="AM1410" s="1062"/>
      <c r="AN1410" s="1109"/>
      <c r="AO1410" s="1104"/>
      <c r="AP1410" s="1104"/>
      <c r="AQ1410" s="1104"/>
    </row>
    <row r="1411" spans="1:43" ht="15" customHeight="1">
      <c r="A1411" s="1033"/>
      <c r="B1411" s="1069"/>
      <c r="C1411" s="1033"/>
      <c r="D1411" s="1033"/>
      <c r="E1411" s="1072"/>
      <c r="F1411" s="1072"/>
      <c r="G1411" s="1033"/>
      <c r="H1411" s="1033"/>
      <c r="I1411" s="1033"/>
      <c r="J1411" s="1033"/>
      <c r="K1411" s="1033"/>
      <c r="L1411" s="1033"/>
      <c r="M1411" s="1146"/>
      <c r="N1411" s="1066"/>
      <c r="O1411" s="1063"/>
      <c r="P1411" s="1063"/>
      <c r="Q1411" s="1063"/>
      <c r="R1411" s="1069"/>
      <c r="S1411" s="1063"/>
      <c r="T1411" s="1063"/>
      <c r="U1411" s="1063"/>
      <c r="V1411" s="1044"/>
      <c r="W1411" s="1063"/>
      <c r="X1411" s="1033"/>
      <c r="Y1411" s="372" t="s">
        <v>1957</v>
      </c>
      <c r="Z1411" s="386">
        <v>5999995</v>
      </c>
      <c r="AA1411" s="386">
        <v>-2332311.11</v>
      </c>
      <c r="AB1411" s="386">
        <f t="shared" si="88"/>
        <v>3667683.89</v>
      </c>
      <c r="AC1411" s="384">
        <v>42726</v>
      </c>
      <c r="AD1411" s="395">
        <v>3667683.89</v>
      </c>
      <c r="AE1411" s="371" t="s">
        <v>133</v>
      </c>
      <c r="AF1411" s="1044"/>
      <c r="AG1411" s="1044"/>
      <c r="AH1411" s="358">
        <f t="shared" si="87"/>
        <v>0</v>
      </c>
      <c r="AI1411" s="1044"/>
      <c r="AJ1411" s="1063"/>
      <c r="AK1411" s="1063"/>
      <c r="AL1411" s="1063"/>
      <c r="AM1411" s="1063"/>
      <c r="AN1411" s="1109"/>
      <c r="AO1411" s="1104"/>
      <c r="AP1411" s="1104"/>
      <c r="AQ1411" s="1104"/>
    </row>
    <row r="1412" spans="1:43" ht="15" customHeight="1">
      <c r="A1412" s="1033"/>
      <c r="B1412" s="1069"/>
      <c r="C1412" s="1033"/>
      <c r="D1412" s="1033"/>
      <c r="E1412" s="1072"/>
      <c r="F1412" s="1072"/>
      <c r="G1412" s="1033"/>
      <c r="H1412" s="1033"/>
      <c r="I1412" s="1033"/>
      <c r="J1412" s="1033"/>
      <c r="K1412" s="1033"/>
      <c r="L1412" s="1033"/>
      <c r="M1412" s="1146"/>
      <c r="N1412" s="1066"/>
      <c r="O1412" s="1063"/>
      <c r="P1412" s="1063"/>
      <c r="Q1412" s="1063"/>
      <c r="R1412" s="1069"/>
      <c r="S1412" s="1063"/>
      <c r="T1412" s="1063"/>
      <c r="U1412" s="1063"/>
      <c r="V1412" s="1044"/>
      <c r="W1412" s="1063"/>
      <c r="X1412" s="1033"/>
      <c r="Y1412" s="372" t="s">
        <v>1966</v>
      </c>
      <c r="Z1412" s="386">
        <v>25452954.850000001</v>
      </c>
      <c r="AA1412" s="386">
        <v>-1162461.0900000001</v>
      </c>
      <c r="AB1412" s="386">
        <f t="shared" si="88"/>
        <v>24290493.760000002</v>
      </c>
      <c r="AC1412" s="384">
        <v>42730</v>
      </c>
      <c r="AD1412" s="395">
        <v>22493182.359999999</v>
      </c>
      <c r="AE1412" s="371" t="s">
        <v>133</v>
      </c>
      <c r="AF1412" s="1044"/>
      <c r="AG1412" s="1044"/>
      <c r="AH1412" s="358">
        <f t="shared" si="87"/>
        <v>1797311.4000000022</v>
      </c>
      <c r="AI1412" s="1044"/>
      <c r="AJ1412" s="1063"/>
      <c r="AK1412" s="1063"/>
      <c r="AL1412" s="1063"/>
      <c r="AM1412" s="1063"/>
      <c r="AN1412" s="1109"/>
      <c r="AO1412" s="1104"/>
      <c r="AP1412" s="1104"/>
      <c r="AQ1412" s="1104"/>
    </row>
    <row r="1413" spans="1:43" ht="15" customHeight="1">
      <c r="A1413" s="1033"/>
      <c r="B1413" s="1069"/>
      <c r="C1413" s="1012"/>
      <c r="D1413" s="1033"/>
      <c r="E1413" s="1072"/>
      <c r="F1413" s="1072"/>
      <c r="G1413" s="1033"/>
      <c r="H1413" s="1033"/>
      <c r="I1413" s="1033"/>
      <c r="J1413" s="1033"/>
      <c r="K1413" s="1033"/>
      <c r="L1413" s="1033"/>
      <c r="M1413" s="1147"/>
      <c r="N1413" s="1067"/>
      <c r="O1413" s="1064"/>
      <c r="P1413" s="1064"/>
      <c r="Q1413" s="1063"/>
      <c r="R1413" s="1070"/>
      <c r="S1413" s="1064"/>
      <c r="T1413" s="1064"/>
      <c r="U1413" s="1064"/>
      <c r="V1413" s="1045"/>
      <c r="W1413" s="1063"/>
      <c r="X1413" s="1033"/>
      <c r="Y1413" s="372"/>
      <c r="Z1413" s="386"/>
      <c r="AA1413" s="386"/>
      <c r="AB1413" s="386">
        <f t="shared" si="88"/>
        <v>0</v>
      </c>
      <c r="AC1413" s="384"/>
      <c r="AD1413" s="395"/>
      <c r="AE1413" s="371"/>
      <c r="AF1413" s="1045"/>
      <c r="AG1413" s="1044"/>
      <c r="AH1413" s="358">
        <f t="shared" si="87"/>
        <v>0</v>
      </c>
      <c r="AI1413" s="1045"/>
      <c r="AJ1413" s="1063"/>
      <c r="AK1413" s="1064"/>
      <c r="AL1413" s="1064"/>
      <c r="AM1413" s="1064"/>
      <c r="AN1413" s="1109"/>
      <c r="AO1413" s="1104"/>
      <c r="AP1413" s="1104"/>
      <c r="AQ1413" s="1104"/>
    </row>
    <row r="1414" spans="1:43" ht="15" customHeight="1">
      <c r="A1414" s="1033"/>
      <c r="B1414" s="1069"/>
      <c r="C1414" s="1011" t="s">
        <v>44</v>
      </c>
      <c r="D1414" s="1033"/>
      <c r="E1414" s="1072"/>
      <c r="F1414" s="1072"/>
      <c r="G1414" s="1033"/>
      <c r="H1414" s="1033"/>
      <c r="I1414" s="1033"/>
      <c r="J1414" s="1033"/>
      <c r="K1414" s="1033"/>
      <c r="L1414" s="1033"/>
      <c r="M1414" s="1145">
        <v>9</v>
      </c>
      <c r="N1414" s="1065" t="s">
        <v>141</v>
      </c>
      <c r="O1414" s="1062">
        <v>53000000</v>
      </c>
      <c r="P1414" s="1062">
        <v>53000000</v>
      </c>
      <c r="Q1414" s="1063"/>
      <c r="R1414" s="1068">
        <v>42171</v>
      </c>
      <c r="S1414" s="1092">
        <f>T1414</f>
        <v>53000000</v>
      </c>
      <c r="T1414" s="1092">
        <v>53000000</v>
      </c>
      <c r="U1414" s="1092">
        <f>O1414-T1414</f>
        <v>0</v>
      </c>
      <c r="V1414" s="1043">
        <v>52920836.240000002</v>
      </c>
      <c r="W1414" s="1063"/>
      <c r="X1414" s="1033"/>
      <c r="Y1414" s="372" t="s">
        <v>1949</v>
      </c>
      <c r="Z1414" s="386">
        <v>0</v>
      </c>
      <c r="AA1414" s="386">
        <v>5292083.5999999996</v>
      </c>
      <c r="AB1414" s="386">
        <f t="shared" si="88"/>
        <v>5292083.5999999996</v>
      </c>
      <c r="AC1414" s="384">
        <v>42366</v>
      </c>
      <c r="AD1414" s="395">
        <v>5292083.5999999996</v>
      </c>
      <c r="AE1414" s="371" t="s">
        <v>141</v>
      </c>
      <c r="AF1414" s="1043">
        <f>SUM(AD1414:AD1417)</f>
        <v>41350024.670000002</v>
      </c>
      <c r="AG1414" s="1044"/>
      <c r="AH1414" s="358">
        <f t="shared" si="87"/>
        <v>0</v>
      </c>
      <c r="AI1414" s="1043">
        <f>O1414-AF1414</f>
        <v>11649975.329999998</v>
      </c>
      <c r="AJ1414" s="1063"/>
      <c r="AK1414" s="1062">
        <f>P1414-V1414</f>
        <v>79163.759999997914</v>
      </c>
      <c r="AL1414" s="1062">
        <f>V1414-SUM(Z1414:Z1417)</f>
        <v>12899923.370000005</v>
      </c>
      <c r="AM1414" s="1062"/>
      <c r="AN1414" s="1109"/>
      <c r="AO1414" s="1104"/>
      <c r="AP1414" s="1104"/>
      <c r="AQ1414" s="1104"/>
    </row>
    <row r="1415" spans="1:43" ht="15" customHeight="1">
      <c r="A1415" s="1033"/>
      <c r="B1415" s="1069"/>
      <c r="C1415" s="1033"/>
      <c r="D1415" s="1033"/>
      <c r="E1415" s="1072"/>
      <c r="F1415" s="1072"/>
      <c r="G1415" s="1033"/>
      <c r="H1415" s="1033"/>
      <c r="I1415" s="1033"/>
      <c r="J1415" s="1033"/>
      <c r="K1415" s="1033"/>
      <c r="L1415" s="1033"/>
      <c r="M1415" s="1146"/>
      <c r="N1415" s="1066"/>
      <c r="O1415" s="1063"/>
      <c r="P1415" s="1063"/>
      <c r="Q1415" s="1063"/>
      <c r="R1415" s="1069"/>
      <c r="S1415" s="1093"/>
      <c r="T1415" s="1093"/>
      <c r="U1415" s="1093"/>
      <c r="V1415" s="1044"/>
      <c r="W1415" s="1063"/>
      <c r="X1415" s="1033"/>
      <c r="Y1415" s="372" t="s">
        <v>1958</v>
      </c>
      <c r="Z1415" s="386">
        <v>37326832</v>
      </c>
      <c r="AA1415" s="386">
        <v>-2332311.11</v>
      </c>
      <c r="AB1415" s="386">
        <f t="shared" si="88"/>
        <v>34994520.890000001</v>
      </c>
      <c r="AC1415" s="384">
        <v>42726</v>
      </c>
      <c r="AD1415" s="395">
        <v>34994520.890000001</v>
      </c>
      <c r="AE1415" s="371" t="s">
        <v>141</v>
      </c>
      <c r="AF1415" s="1044"/>
      <c r="AG1415" s="1044"/>
      <c r="AH1415" s="358">
        <f t="shared" si="87"/>
        <v>0</v>
      </c>
      <c r="AI1415" s="1044"/>
      <c r="AJ1415" s="1063"/>
      <c r="AK1415" s="1063"/>
      <c r="AL1415" s="1063"/>
      <c r="AM1415" s="1063"/>
      <c r="AN1415" s="1109"/>
      <c r="AO1415" s="1104"/>
      <c r="AP1415" s="1104"/>
      <c r="AQ1415" s="1104"/>
    </row>
    <row r="1416" spans="1:43" ht="15" customHeight="1">
      <c r="A1416" s="1033"/>
      <c r="B1416" s="1069"/>
      <c r="C1416" s="1033"/>
      <c r="D1416" s="1033"/>
      <c r="E1416" s="1072"/>
      <c r="F1416" s="1072"/>
      <c r="G1416" s="1033"/>
      <c r="H1416" s="1033"/>
      <c r="I1416" s="1033"/>
      <c r="J1416" s="1033"/>
      <c r="K1416" s="1033"/>
      <c r="L1416" s="1033"/>
      <c r="M1416" s="1146"/>
      <c r="N1416" s="1066"/>
      <c r="O1416" s="1063"/>
      <c r="P1416" s="1063"/>
      <c r="Q1416" s="1063"/>
      <c r="R1416" s="1069"/>
      <c r="S1416" s="1093"/>
      <c r="T1416" s="1093"/>
      <c r="U1416" s="1093"/>
      <c r="V1416" s="1044"/>
      <c r="W1416" s="1063"/>
      <c r="X1416" s="1033"/>
      <c r="Y1416" s="372" t="s">
        <v>1967</v>
      </c>
      <c r="Z1416" s="386">
        <v>2694080.87</v>
      </c>
      <c r="AA1416" s="386">
        <v>-1630660.69</v>
      </c>
      <c r="AB1416" s="386">
        <f t="shared" si="88"/>
        <v>1063420.1800000002</v>
      </c>
      <c r="AC1416" s="384">
        <v>42730</v>
      </c>
      <c r="AD1416" s="395">
        <v>1063420.18</v>
      </c>
      <c r="AE1416" s="371" t="s">
        <v>141</v>
      </c>
      <c r="AF1416" s="1044"/>
      <c r="AG1416" s="1044"/>
      <c r="AH1416" s="358">
        <f t="shared" si="87"/>
        <v>0</v>
      </c>
      <c r="AI1416" s="1044"/>
      <c r="AJ1416" s="1063"/>
      <c r="AK1416" s="1063"/>
      <c r="AL1416" s="1063"/>
      <c r="AM1416" s="1063"/>
      <c r="AN1416" s="1109"/>
      <c r="AO1416" s="1104"/>
      <c r="AP1416" s="1104"/>
      <c r="AQ1416" s="1104"/>
    </row>
    <row r="1417" spans="1:43" ht="15" customHeight="1">
      <c r="A1417" s="1012"/>
      <c r="B1417" s="1070"/>
      <c r="C1417" s="1012"/>
      <c r="D1417" s="1012"/>
      <c r="E1417" s="1073"/>
      <c r="F1417" s="1073"/>
      <c r="G1417" s="1012"/>
      <c r="H1417" s="1012"/>
      <c r="I1417" s="1012"/>
      <c r="J1417" s="1012"/>
      <c r="K1417" s="1012"/>
      <c r="L1417" s="1012"/>
      <c r="M1417" s="1147"/>
      <c r="N1417" s="1067"/>
      <c r="O1417" s="1064"/>
      <c r="P1417" s="1064"/>
      <c r="Q1417" s="1064"/>
      <c r="R1417" s="1070"/>
      <c r="S1417" s="1094"/>
      <c r="T1417" s="1094"/>
      <c r="U1417" s="1094"/>
      <c r="V1417" s="1045"/>
      <c r="W1417" s="1064"/>
      <c r="X1417" s="1012"/>
      <c r="Y1417" s="372"/>
      <c r="Z1417" s="386"/>
      <c r="AA1417" s="386"/>
      <c r="AB1417" s="386">
        <f t="shared" si="88"/>
        <v>0</v>
      </c>
      <c r="AC1417" s="384"/>
      <c r="AD1417" s="395"/>
      <c r="AE1417" s="371"/>
      <c r="AF1417" s="1045"/>
      <c r="AG1417" s="1045"/>
      <c r="AH1417" s="358">
        <f t="shared" si="87"/>
        <v>0</v>
      </c>
      <c r="AI1417" s="1045"/>
      <c r="AJ1417" s="1064"/>
      <c r="AK1417" s="1064"/>
      <c r="AL1417" s="1064"/>
      <c r="AM1417" s="1064"/>
      <c r="AN1417" s="1110"/>
      <c r="AO1417" s="1105"/>
      <c r="AP1417" s="1105"/>
      <c r="AQ1417" s="1105"/>
    </row>
    <row r="1418" spans="1:43" ht="15" customHeight="1">
      <c r="A1418" s="1011" t="s">
        <v>1931</v>
      </c>
      <c r="B1418" s="1068">
        <v>42270</v>
      </c>
      <c r="C1418" s="1011" t="s">
        <v>42</v>
      </c>
      <c r="D1418" s="1011" t="s">
        <v>1932</v>
      </c>
      <c r="E1418" s="1071">
        <v>890312697</v>
      </c>
      <c r="F1418" s="1071">
        <v>1</v>
      </c>
      <c r="G1418" s="1011" t="s">
        <v>1933</v>
      </c>
      <c r="H1418" s="1011" t="s">
        <v>70</v>
      </c>
      <c r="I1418" s="1011" t="s">
        <v>206</v>
      </c>
      <c r="J1418" s="1011" t="s">
        <v>66</v>
      </c>
      <c r="K1418" s="1011" t="s">
        <v>49</v>
      </c>
      <c r="L1418" s="1011" t="s">
        <v>1935</v>
      </c>
      <c r="M1418" s="1145">
        <v>6</v>
      </c>
      <c r="N1418" s="1065" t="s">
        <v>168</v>
      </c>
      <c r="O1418" s="1062">
        <v>418389780</v>
      </c>
      <c r="P1418" s="1062">
        <v>418389780</v>
      </c>
      <c r="Q1418" s="1062">
        <v>418389780</v>
      </c>
      <c r="R1418" s="1068">
        <v>42130</v>
      </c>
      <c r="S1418" s="1092">
        <f>T1418</f>
        <v>418389780</v>
      </c>
      <c r="T1418" s="1092">
        <v>418389780</v>
      </c>
      <c r="U1418" s="1092">
        <f>O1418-T1418</f>
        <v>0</v>
      </c>
      <c r="V1418" s="1092">
        <v>418000000</v>
      </c>
      <c r="W1418" s="1092">
        <v>418000000</v>
      </c>
      <c r="X1418" s="1011" t="s">
        <v>1934</v>
      </c>
      <c r="Y1418" s="372" t="s">
        <v>1937</v>
      </c>
      <c r="Z1418" s="386">
        <v>0</v>
      </c>
      <c r="AA1418" s="386">
        <v>41800000</v>
      </c>
      <c r="AB1418" s="386">
        <f t="shared" si="88"/>
        <v>41800000</v>
      </c>
      <c r="AC1418" s="384">
        <v>42430</v>
      </c>
      <c r="AD1418" s="395">
        <v>41800000</v>
      </c>
      <c r="AE1418" s="371" t="s">
        <v>168</v>
      </c>
      <c r="AF1418" s="1043">
        <f>SUM(AD1418:AD1421)</f>
        <v>247455999.40000001</v>
      </c>
      <c r="AG1418" s="1043">
        <f>AF1418</f>
        <v>247455999.40000001</v>
      </c>
      <c r="AH1418" s="358">
        <f t="shared" si="87"/>
        <v>0</v>
      </c>
      <c r="AI1418" s="1043">
        <f>O1418-SUM(AD1418:AD1421)</f>
        <v>170933780.59999999</v>
      </c>
      <c r="AJ1418" s="1062">
        <f>SUM(Z1418:Z1421)-SUM(AD1418:AD1421)</f>
        <v>-18949333.400000006</v>
      </c>
      <c r="AK1418" s="1062">
        <f>P1418-V1418</f>
        <v>389780</v>
      </c>
      <c r="AL1418" s="1062">
        <f>V1418-SUM(Z1418:Z1421)</f>
        <v>189493334</v>
      </c>
      <c r="AM1418" s="1062"/>
      <c r="AN1418" s="1108" t="s">
        <v>1696</v>
      </c>
      <c r="AO1418" s="1103" t="s">
        <v>1936</v>
      </c>
      <c r="AP1418" s="1103" t="s">
        <v>194</v>
      </c>
      <c r="AQ1418" s="1103" t="s">
        <v>1911</v>
      </c>
    </row>
    <row r="1419" spans="1:43" ht="15" customHeight="1">
      <c r="A1419" s="1033"/>
      <c r="B1419" s="1069"/>
      <c r="C1419" s="1033"/>
      <c r="D1419" s="1033"/>
      <c r="E1419" s="1072"/>
      <c r="F1419" s="1072"/>
      <c r="G1419" s="1033"/>
      <c r="H1419" s="1033"/>
      <c r="I1419" s="1033"/>
      <c r="J1419" s="1033"/>
      <c r="K1419" s="1033"/>
      <c r="L1419" s="1033"/>
      <c r="M1419" s="1146"/>
      <c r="N1419" s="1066"/>
      <c r="O1419" s="1063"/>
      <c r="P1419" s="1063"/>
      <c r="Q1419" s="1063"/>
      <c r="R1419" s="1069"/>
      <c r="S1419" s="1093"/>
      <c r="T1419" s="1093"/>
      <c r="U1419" s="1093"/>
      <c r="V1419" s="1093"/>
      <c r="W1419" s="1093"/>
      <c r="X1419" s="1033"/>
      <c r="Y1419" s="372" t="s">
        <v>1938</v>
      </c>
      <c r="Z1419" s="386">
        <v>83600000</v>
      </c>
      <c r="AA1419" s="386">
        <v>-8360000</v>
      </c>
      <c r="AB1419" s="386">
        <f t="shared" si="88"/>
        <v>75240000</v>
      </c>
      <c r="AC1419" s="384">
        <v>42650</v>
      </c>
      <c r="AD1419" s="395">
        <v>75240000</v>
      </c>
      <c r="AE1419" s="371" t="s">
        <v>168</v>
      </c>
      <c r="AF1419" s="1044"/>
      <c r="AG1419" s="1044"/>
      <c r="AH1419" s="358">
        <f t="shared" si="87"/>
        <v>0</v>
      </c>
      <c r="AI1419" s="1044"/>
      <c r="AJ1419" s="1063"/>
      <c r="AK1419" s="1063"/>
      <c r="AL1419" s="1063"/>
      <c r="AM1419" s="1063"/>
      <c r="AN1419" s="1109"/>
      <c r="AO1419" s="1104"/>
      <c r="AP1419" s="1104"/>
      <c r="AQ1419" s="1104"/>
    </row>
    <row r="1420" spans="1:43" ht="15" customHeight="1">
      <c r="A1420" s="1033"/>
      <c r="B1420" s="1069"/>
      <c r="C1420" s="1033"/>
      <c r="D1420" s="1033"/>
      <c r="E1420" s="1072"/>
      <c r="F1420" s="1072"/>
      <c r="G1420" s="1033"/>
      <c r="H1420" s="1033"/>
      <c r="I1420" s="1033"/>
      <c r="J1420" s="1033"/>
      <c r="K1420" s="1033"/>
      <c r="L1420" s="1033"/>
      <c r="M1420" s="1146"/>
      <c r="N1420" s="1066"/>
      <c r="O1420" s="1063"/>
      <c r="P1420" s="1063"/>
      <c r="Q1420" s="1063"/>
      <c r="R1420" s="1069"/>
      <c r="S1420" s="1093"/>
      <c r="T1420" s="1093"/>
      <c r="U1420" s="1093"/>
      <c r="V1420" s="1093"/>
      <c r="W1420" s="1093"/>
      <c r="X1420" s="1033"/>
      <c r="Y1420" s="372" t="s">
        <v>1939</v>
      </c>
      <c r="Z1420" s="386">
        <v>144906666</v>
      </c>
      <c r="AA1420" s="386">
        <v>-14490666.6</v>
      </c>
      <c r="AB1420" s="386">
        <f t="shared" si="88"/>
        <v>130415999.40000001</v>
      </c>
      <c r="AC1420" s="384">
        <v>42732</v>
      </c>
      <c r="AD1420" s="395">
        <v>130415999.40000001</v>
      </c>
      <c r="AE1420" s="371" t="s">
        <v>168</v>
      </c>
      <c r="AF1420" s="1044"/>
      <c r="AG1420" s="1044"/>
      <c r="AH1420" s="358">
        <f t="shared" si="87"/>
        <v>0</v>
      </c>
      <c r="AI1420" s="1044"/>
      <c r="AJ1420" s="1063"/>
      <c r="AK1420" s="1063"/>
      <c r="AL1420" s="1063"/>
      <c r="AM1420" s="1063"/>
      <c r="AN1420" s="1109"/>
      <c r="AO1420" s="1104"/>
      <c r="AP1420" s="1104"/>
      <c r="AQ1420" s="1104"/>
    </row>
    <row r="1421" spans="1:43" ht="15" customHeight="1">
      <c r="A1421" s="1012"/>
      <c r="B1421" s="1070"/>
      <c r="C1421" s="1012"/>
      <c r="D1421" s="1012"/>
      <c r="E1421" s="1073"/>
      <c r="F1421" s="1073"/>
      <c r="G1421" s="1012"/>
      <c r="H1421" s="1012"/>
      <c r="I1421" s="1012"/>
      <c r="J1421" s="1012"/>
      <c r="K1421" s="1012"/>
      <c r="L1421" s="1012"/>
      <c r="M1421" s="1147"/>
      <c r="N1421" s="1067"/>
      <c r="O1421" s="1064"/>
      <c r="P1421" s="1064"/>
      <c r="Q1421" s="1064"/>
      <c r="R1421" s="1070"/>
      <c r="S1421" s="1094"/>
      <c r="T1421" s="1094"/>
      <c r="U1421" s="1094"/>
      <c r="V1421" s="1094"/>
      <c r="W1421" s="1094"/>
      <c r="X1421" s="1012"/>
      <c r="Y1421" s="372"/>
      <c r="Z1421" s="386"/>
      <c r="AA1421" s="386"/>
      <c r="AB1421" s="386">
        <f t="shared" si="88"/>
        <v>0</v>
      </c>
      <c r="AC1421" s="384"/>
      <c r="AD1421" s="395"/>
      <c r="AE1421" s="371"/>
      <c r="AF1421" s="1045"/>
      <c r="AG1421" s="1045"/>
      <c r="AH1421" s="358">
        <f t="shared" si="87"/>
        <v>0</v>
      </c>
      <c r="AI1421" s="1045"/>
      <c r="AJ1421" s="1064"/>
      <c r="AK1421" s="1064"/>
      <c r="AL1421" s="1064"/>
      <c r="AM1421" s="1064"/>
      <c r="AN1421" s="1110"/>
      <c r="AO1421" s="1105"/>
      <c r="AP1421" s="1105"/>
      <c r="AQ1421" s="1105"/>
    </row>
    <row r="1422" spans="1:43" s="4" customFormat="1" ht="15" customHeight="1">
      <c r="A1422" s="1011" t="s">
        <v>2046</v>
      </c>
      <c r="B1422" s="1068">
        <v>42272</v>
      </c>
      <c r="C1422" s="1011" t="s">
        <v>20</v>
      </c>
      <c r="D1422" s="1011" t="s">
        <v>2045</v>
      </c>
      <c r="E1422" s="1011">
        <v>900888349</v>
      </c>
      <c r="F1422" s="1011">
        <v>0</v>
      </c>
      <c r="G1422" s="1011" t="s">
        <v>2044</v>
      </c>
      <c r="H1422" s="1011" t="s">
        <v>71</v>
      </c>
      <c r="I1422" s="1011" t="s">
        <v>70</v>
      </c>
      <c r="J1422" s="1011" t="s">
        <v>66</v>
      </c>
      <c r="K1422" s="1011"/>
      <c r="L1422" s="1011"/>
      <c r="M1422" s="1145">
        <v>325</v>
      </c>
      <c r="N1422" s="1100" t="s">
        <v>7</v>
      </c>
      <c r="O1422" s="1062">
        <v>32116311</v>
      </c>
      <c r="P1422" s="1062">
        <v>32116311</v>
      </c>
      <c r="Q1422" s="1062">
        <f>P1422+P1424</f>
        <v>187629652</v>
      </c>
      <c r="R1422" s="1068">
        <v>42153</v>
      </c>
      <c r="S1422" s="1089">
        <f>T1422</f>
        <v>32116311</v>
      </c>
      <c r="T1422" s="1089">
        <v>32116311</v>
      </c>
      <c r="U1422" s="1089">
        <f>P1422-T1422</f>
        <v>0</v>
      </c>
      <c r="V1422" s="1062">
        <v>32108924.700000003</v>
      </c>
      <c r="W1422" s="1181">
        <v>187586500</v>
      </c>
      <c r="X1422" s="1011" t="s">
        <v>2067</v>
      </c>
      <c r="Y1422" s="372"/>
      <c r="Z1422" s="386">
        <v>0</v>
      </c>
      <c r="AA1422" s="386">
        <v>3210892.47</v>
      </c>
      <c r="AB1422" s="386">
        <f t="shared" si="88"/>
        <v>3210892.47</v>
      </c>
      <c r="AC1422" s="384">
        <v>42366</v>
      </c>
      <c r="AD1422" s="395">
        <v>3210892.47</v>
      </c>
      <c r="AE1422" s="403" t="s">
        <v>7</v>
      </c>
      <c r="AF1422" s="1062">
        <f>SUM(AD1422:AD1423)</f>
        <v>15944852.5</v>
      </c>
      <c r="AG1422" s="1043">
        <f>AF1422+AF1424</f>
        <v>93793250</v>
      </c>
      <c r="AH1422" s="386">
        <f t="shared" si="87"/>
        <v>0</v>
      </c>
      <c r="AI1422" s="1062">
        <f>P1422-AF1422</f>
        <v>16171458.5</v>
      </c>
      <c r="AJ1422" s="1062">
        <f>SUM(Z1422:Z1425)-SUM(AD1422:AD1425)</f>
        <v>-10421472.222222224</v>
      </c>
      <c r="AK1422" s="1062">
        <f>P1422-V1422</f>
        <v>7386.2999999970198</v>
      </c>
      <c r="AL1422" s="1062">
        <f>V1422-Z1422-Z1423</f>
        <v>17960080.222222224</v>
      </c>
      <c r="AM1422" s="1062"/>
      <c r="AN1422" s="1108" t="s">
        <v>2043</v>
      </c>
      <c r="AO1422" s="1103" t="s">
        <v>2068</v>
      </c>
      <c r="AP1422" s="1103" t="s">
        <v>195</v>
      </c>
      <c r="AQ1422" s="1103" t="s">
        <v>1911</v>
      </c>
    </row>
    <row r="1423" spans="1:43" s="4" customFormat="1" ht="15" customHeight="1">
      <c r="A1423" s="1033"/>
      <c r="B1423" s="1069"/>
      <c r="C1423" s="1033"/>
      <c r="D1423" s="1033"/>
      <c r="E1423" s="1033"/>
      <c r="F1423" s="1033"/>
      <c r="G1423" s="1033"/>
      <c r="H1423" s="1033"/>
      <c r="I1423" s="1033"/>
      <c r="J1423" s="1033"/>
      <c r="K1423" s="1033"/>
      <c r="L1423" s="1033"/>
      <c r="M1423" s="1147"/>
      <c r="N1423" s="1102"/>
      <c r="O1423" s="1064"/>
      <c r="P1423" s="1064"/>
      <c r="Q1423" s="1063"/>
      <c r="R1423" s="1070"/>
      <c r="S1423" s="1091"/>
      <c r="T1423" s="1091"/>
      <c r="U1423" s="1091"/>
      <c r="V1423" s="1064"/>
      <c r="W1423" s="1182"/>
      <c r="X1423" s="1033"/>
      <c r="Y1423" s="372"/>
      <c r="Z1423" s="386">
        <v>14148844.477777777</v>
      </c>
      <c r="AA1423" s="386">
        <v>-1414884.44777778</v>
      </c>
      <c r="AB1423" s="386">
        <f t="shared" si="88"/>
        <v>12733960.029999997</v>
      </c>
      <c r="AC1423" s="384">
        <v>42881</v>
      </c>
      <c r="AD1423" s="395">
        <v>12733960.029999999</v>
      </c>
      <c r="AE1423" s="403" t="s">
        <v>7</v>
      </c>
      <c r="AF1423" s="1064"/>
      <c r="AG1423" s="1044"/>
      <c r="AH1423" s="386">
        <f t="shared" si="87"/>
        <v>0</v>
      </c>
      <c r="AI1423" s="1064"/>
      <c r="AJ1423" s="1063"/>
      <c r="AK1423" s="1064"/>
      <c r="AL1423" s="1064"/>
      <c r="AM1423" s="1064"/>
      <c r="AN1423" s="1109"/>
      <c r="AO1423" s="1104"/>
      <c r="AP1423" s="1104"/>
      <c r="AQ1423" s="1104"/>
    </row>
    <row r="1424" spans="1:43" s="4" customFormat="1" ht="15" customHeight="1">
      <c r="A1424" s="1033"/>
      <c r="B1424" s="1069"/>
      <c r="C1424" s="1033"/>
      <c r="D1424" s="1033"/>
      <c r="E1424" s="1033"/>
      <c r="F1424" s="1033"/>
      <c r="G1424" s="1033"/>
      <c r="H1424" s="1033"/>
      <c r="I1424" s="1033"/>
      <c r="J1424" s="1033"/>
      <c r="K1424" s="1033"/>
      <c r="L1424" s="1033"/>
      <c r="M1424" s="1145">
        <v>8</v>
      </c>
      <c r="N1424" s="1100" t="s">
        <v>143</v>
      </c>
      <c r="O1424" s="1062">
        <v>155513341</v>
      </c>
      <c r="P1424" s="1062">
        <v>155513341</v>
      </c>
      <c r="Q1424" s="1063"/>
      <c r="R1424" s="1068">
        <v>42153</v>
      </c>
      <c r="S1424" s="1089">
        <f>T1424</f>
        <v>155513341</v>
      </c>
      <c r="T1424" s="1089">
        <v>155513341</v>
      </c>
      <c r="U1424" s="1089">
        <f>P1424-T1424</f>
        <v>0</v>
      </c>
      <c r="V1424" s="1062">
        <v>155477575.29999998</v>
      </c>
      <c r="W1424" s="1182"/>
      <c r="X1424" s="1033"/>
      <c r="Y1424" s="372"/>
      <c r="Z1424" s="386">
        <v>0</v>
      </c>
      <c r="AA1424" s="386">
        <v>15547757.529999999</v>
      </c>
      <c r="AB1424" s="386">
        <f t="shared" si="88"/>
        <v>15547757.529999999</v>
      </c>
      <c r="AC1424" s="384">
        <v>42366</v>
      </c>
      <c r="AD1424" s="395">
        <v>15547757.529999999</v>
      </c>
      <c r="AE1424" s="403" t="s">
        <v>143</v>
      </c>
      <c r="AF1424" s="1062">
        <f>SUM(AD1424:AD1425)</f>
        <v>77848397.5</v>
      </c>
      <c r="AG1424" s="1044"/>
      <c r="AH1424" s="386">
        <f t="shared" si="87"/>
        <v>0</v>
      </c>
      <c r="AI1424" s="1062">
        <f>P1424-AF1424</f>
        <v>77664943.5</v>
      </c>
      <c r="AJ1424" s="1063"/>
      <c r="AK1424" s="1062">
        <f>P1424-V1424</f>
        <v>35765.700000017881</v>
      </c>
      <c r="AL1424" s="1062">
        <f>V1424-Z1424-Z1425</f>
        <v>86254641.999999985</v>
      </c>
      <c r="AM1424" s="1062"/>
      <c r="AN1424" s="1109"/>
      <c r="AO1424" s="1104"/>
      <c r="AP1424" s="1104"/>
      <c r="AQ1424" s="1104"/>
    </row>
    <row r="1425" spans="1:43" s="4" customFormat="1" ht="15" customHeight="1">
      <c r="A1425" s="1012"/>
      <c r="B1425" s="1070"/>
      <c r="C1425" s="1012"/>
      <c r="D1425" s="1012"/>
      <c r="E1425" s="1012"/>
      <c r="F1425" s="1012"/>
      <c r="G1425" s="1012"/>
      <c r="H1425" s="1012"/>
      <c r="I1425" s="1012"/>
      <c r="J1425" s="1012"/>
      <c r="K1425" s="1012"/>
      <c r="L1425" s="1012"/>
      <c r="M1425" s="1147"/>
      <c r="N1425" s="1102"/>
      <c r="O1425" s="1064"/>
      <c r="P1425" s="1064"/>
      <c r="Q1425" s="1064"/>
      <c r="R1425" s="1070"/>
      <c r="S1425" s="1091"/>
      <c r="T1425" s="1091"/>
      <c r="U1425" s="1091"/>
      <c r="V1425" s="1064"/>
      <c r="W1425" s="1183"/>
      <c r="X1425" s="1012"/>
      <c r="Y1425" s="372"/>
      <c r="Z1425" s="386">
        <v>69222933.299999997</v>
      </c>
      <c r="AA1425" s="386">
        <v>-6922293.3300000001</v>
      </c>
      <c r="AB1425" s="386">
        <f t="shared" si="88"/>
        <v>62300639.969999999</v>
      </c>
      <c r="AC1425" s="384">
        <v>42881</v>
      </c>
      <c r="AD1425" s="395">
        <v>62300639.969999999</v>
      </c>
      <c r="AE1425" s="403" t="s">
        <v>143</v>
      </c>
      <c r="AF1425" s="1064"/>
      <c r="AG1425" s="1045"/>
      <c r="AH1425" s="386">
        <f t="shared" si="87"/>
        <v>0</v>
      </c>
      <c r="AI1425" s="1064"/>
      <c r="AJ1425" s="1064"/>
      <c r="AK1425" s="1064"/>
      <c r="AL1425" s="1064"/>
      <c r="AM1425" s="1064"/>
      <c r="AN1425" s="1110"/>
      <c r="AO1425" s="1105"/>
      <c r="AP1425" s="1105"/>
      <c r="AQ1425" s="1105"/>
    </row>
    <row r="1426" spans="1:43" s="4" customFormat="1" ht="15" customHeight="1">
      <c r="A1426" s="1011" t="s">
        <v>2042</v>
      </c>
      <c r="B1426" s="1068">
        <v>42277</v>
      </c>
      <c r="C1426" s="1011" t="s">
        <v>44</v>
      </c>
      <c r="D1426" s="1011" t="s">
        <v>2041</v>
      </c>
      <c r="E1426" s="1011">
        <v>10291216</v>
      </c>
      <c r="F1426" s="1011"/>
      <c r="G1426" s="1011" t="s">
        <v>2040</v>
      </c>
      <c r="H1426" s="1011" t="s">
        <v>71</v>
      </c>
      <c r="I1426" s="1011" t="s">
        <v>70</v>
      </c>
      <c r="J1426" s="1011" t="s">
        <v>66</v>
      </c>
      <c r="K1426" s="1011" t="s">
        <v>49</v>
      </c>
      <c r="L1426" s="1011" t="s">
        <v>2047</v>
      </c>
      <c r="M1426" s="1164">
        <v>13</v>
      </c>
      <c r="N1426" s="1100" t="s">
        <v>141</v>
      </c>
      <c r="O1426" s="1062">
        <v>45782097</v>
      </c>
      <c r="P1426" s="1062">
        <v>45782097</v>
      </c>
      <c r="Q1426" s="1062">
        <f>P1426+P1428</f>
        <v>64058037</v>
      </c>
      <c r="R1426" s="1068">
        <v>42173</v>
      </c>
      <c r="S1426" s="1089">
        <f>T1426</f>
        <v>45782097</v>
      </c>
      <c r="T1426" s="1089">
        <v>45782097</v>
      </c>
      <c r="U1426" s="1089">
        <f>P1426-T1426</f>
        <v>0</v>
      </c>
      <c r="V1426" s="1062">
        <v>45642800</v>
      </c>
      <c r="W1426" s="1062">
        <f>SUM(V1426:V1428)</f>
        <v>63918740</v>
      </c>
      <c r="X1426" s="1011"/>
      <c r="Y1426" s="372" t="s">
        <v>2049</v>
      </c>
      <c r="Z1426" s="386">
        <v>0</v>
      </c>
      <c r="AA1426" s="386">
        <f>AD1426</f>
        <v>4564280</v>
      </c>
      <c r="AB1426" s="386">
        <f>SUM(Z1426:AA1426)</f>
        <v>4564280</v>
      </c>
      <c r="AC1426" s="384">
        <v>42327</v>
      </c>
      <c r="AD1426" s="395">
        <v>4564280</v>
      </c>
      <c r="AE1426" s="1100" t="s">
        <v>141</v>
      </c>
      <c r="AF1426" s="1043">
        <f>SUM(AD1426:AD1427)</f>
        <v>11609047.41</v>
      </c>
      <c r="AG1426" s="1043">
        <f>SUM(AD1426:AD1428)</f>
        <v>11609047.41</v>
      </c>
      <c r="AH1426" s="358">
        <f t="shared" si="87"/>
        <v>0</v>
      </c>
      <c r="AI1426" s="1043">
        <f>P1426-AF1426</f>
        <v>34173049.590000004</v>
      </c>
      <c r="AJ1426" s="1043">
        <f>SUM(Z1426:Z1428)-SUM(AD1426:AD1428)</f>
        <v>-3781528.0600000005</v>
      </c>
      <c r="AK1426" s="1043">
        <f>P1426-V1426</f>
        <v>139297</v>
      </c>
      <c r="AL1426" s="1043">
        <f>V1426-Z1426-Z1427+AJ1426</f>
        <v>34033752.589999996</v>
      </c>
      <c r="AM1426" s="1062"/>
      <c r="AN1426" s="1108"/>
      <c r="AO1426" s="1103" t="s">
        <v>2048</v>
      </c>
      <c r="AP1426" s="1103" t="s">
        <v>195</v>
      </c>
      <c r="AQ1426" s="1103" t="s">
        <v>1911</v>
      </c>
    </row>
    <row r="1427" spans="1:43" s="4" customFormat="1" ht="15" customHeight="1">
      <c r="A1427" s="1033"/>
      <c r="B1427" s="1069"/>
      <c r="C1427" s="1033"/>
      <c r="D1427" s="1033"/>
      <c r="E1427" s="1033"/>
      <c r="F1427" s="1033"/>
      <c r="G1427" s="1033"/>
      <c r="H1427" s="1033"/>
      <c r="I1427" s="1033"/>
      <c r="J1427" s="1033"/>
      <c r="K1427" s="1033"/>
      <c r="L1427" s="1033"/>
      <c r="M1427" s="1166"/>
      <c r="N1427" s="1102"/>
      <c r="O1427" s="1064"/>
      <c r="P1427" s="1064"/>
      <c r="Q1427" s="1063"/>
      <c r="R1427" s="1070"/>
      <c r="S1427" s="1091"/>
      <c r="T1427" s="1091"/>
      <c r="U1427" s="1091"/>
      <c r="V1427" s="1064"/>
      <c r="W1427" s="1063"/>
      <c r="X1427" s="1033"/>
      <c r="Y1427" s="372" t="s">
        <v>2050</v>
      </c>
      <c r="Z1427" s="386">
        <v>7827519.3499999996</v>
      </c>
      <c r="AA1427" s="386">
        <v>-782751.94</v>
      </c>
      <c r="AB1427" s="386">
        <f>SUM(Z1427:AA1427)</f>
        <v>7044767.4100000001</v>
      </c>
      <c r="AC1427" s="384">
        <v>42991</v>
      </c>
      <c r="AD1427" s="395">
        <v>7044767.4100000001</v>
      </c>
      <c r="AE1427" s="1102"/>
      <c r="AF1427" s="1045"/>
      <c r="AG1427" s="1044"/>
      <c r="AH1427" s="358">
        <f t="shared" si="87"/>
        <v>0</v>
      </c>
      <c r="AI1427" s="1045"/>
      <c r="AJ1427" s="1044"/>
      <c r="AK1427" s="1045"/>
      <c r="AL1427" s="1045"/>
      <c r="AM1427" s="1064"/>
      <c r="AN1427" s="1109"/>
      <c r="AO1427" s="1104"/>
      <c r="AP1427" s="1104"/>
      <c r="AQ1427" s="1104"/>
    </row>
    <row r="1428" spans="1:43" s="4" customFormat="1" ht="15" customHeight="1">
      <c r="A1428" s="1012"/>
      <c r="B1428" s="1070"/>
      <c r="C1428" s="1012"/>
      <c r="D1428" s="1012"/>
      <c r="E1428" s="1012"/>
      <c r="F1428" s="1012"/>
      <c r="G1428" s="1012"/>
      <c r="H1428" s="1012"/>
      <c r="I1428" s="1012"/>
      <c r="J1428" s="362" t="s">
        <v>67</v>
      </c>
      <c r="K1428" s="1012"/>
      <c r="L1428" s="1012"/>
      <c r="M1428" s="383">
        <v>2296</v>
      </c>
      <c r="N1428" s="377" t="s">
        <v>141</v>
      </c>
      <c r="O1428" s="386">
        <v>18275940</v>
      </c>
      <c r="P1428" s="386">
        <v>18275940</v>
      </c>
      <c r="Q1428" s="1064"/>
      <c r="R1428" s="384">
        <v>42779</v>
      </c>
      <c r="S1428" s="435">
        <f>T1428</f>
        <v>18275940</v>
      </c>
      <c r="T1428" s="386">
        <v>18275940</v>
      </c>
      <c r="U1428" s="386">
        <f>P1428-T1428</f>
        <v>0</v>
      </c>
      <c r="V1428" s="386">
        <f>O1428</f>
        <v>18275940</v>
      </c>
      <c r="W1428" s="1064"/>
      <c r="X1428" s="1012"/>
      <c r="Y1428" s="372"/>
      <c r="Z1428" s="386"/>
      <c r="AA1428" s="386"/>
      <c r="AB1428" s="386"/>
      <c r="AC1428" s="384"/>
      <c r="AD1428" s="395">
        <v>0</v>
      </c>
      <c r="AE1428" s="377" t="s">
        <v>141</v>
      </c>
      <c r="AF1428" s="358">
        <f>SUM(AD1428)</f>
        <v>0</v>
      </c>
      <c r="AG1428" s="1044"/>
      <c r="AH1428" s="358">
        <f t="shared" si="87"/>
        <v>0</v>
      </c>
      <c r="AI1428" s="358">
        <f>P1428-AD1428</f>
        <v>18275940</v>
      </c>
      <c r="AJ1428" s="1044"/>
      <c r="AK1428" s="373">
        <f>P1428-V1428</f>
        <v>0</v>
      </c>
      <c r="AL1428" s="358">
        <f>V1428-Z1428</f>
        <v>18275940</v>
      </c>
      <c r="AM1428" s="386"/>
      <c r="AN1428" s="1110"/>
      <c r="AO1428" s="1104"/>
      <c r="AP1428" s="1105"/>
      <c r="AQ1428" s="1105"/>
    </row>
    <row r="1429" spans="1:43" s="4" customFormat="1" ht="15" customHeight="1">
      <c r="A1429" s="1011" t="s">
        <v>2039</v>
      </c>
      <c r="B1429" s="1068">
        <v>42292</v>
      </c>
      <c r="C1429" s="1100" t="s">
        <v>42</v>
      </c>
      <c r="D1429" s="1100" t="s">
        <v>2038</v>
      </c>
      <c r="E1429" s="1071">
        <v>900895887</v>
      </c>
      <c r="F1429" s="1071">
        <v>0</v>
      </c>
      <c r="G1429" s="1100" t="s">
        <v>2037</v>
      </c>
      <c r="H1429" s="1100" t="s">
        <v>71</v>
      </c>
      <c r="I1429" s="1100" t="s">
        <v>2036</v>
      </c>
      <c r="J1429" s="1100" t="s">
        <v>66</v>
      </c>
      <c r="K1429" s="1023" t="s">
        <v>49</v>
      </c>
      <c r="L1429" s="1100" t="s">
        <v>2060</v>
      </c>
      <c r="M1429" s="1145">
        <v>5</v>
      </c>
      <c r="N1429" s="1124" t="s">
        <v>168</v>
      </c>
      <c r="O1429" s="1062">
        <v>657834859</v>
      </c>
      <c r="P1429" s="1062">
        <f>O1429</f>
        <v>657834859</v>
      </c>
      <c r="Q1429" s="1062">
        <f>P1429+P1432</f>
        <v>5558789684</v>
      </c>
      <c r="R1429" s="1132">
        <v>42130</v>
      </c>
      <c r="S1429" s="1089">
        <f>T1429</f>
        <v>657834859</v>
      </c>
      <c r="T1429" s="1089">
        <v>657834859</v>
      </c>
      <c r="U1429" s="1089">
        <f>O1429-T1429</f>
        <v>0</v>
      </c>
      <c r="V1429" s="1062">
        <v>657360067.34000003</v>
      </c>
      <c r="W1429" s="1062">
        <v>5554777633</v>
      </c>
      <c r="X1429" s="1011" t="s">
        <v>2035</v>
      </c>
      <c r="Y1429" s="372" t="s">
        <v>2061</v>
      </c>
      <c r="Z1429" s="386">
        <v>0</v>
      </c>
      <c r="AA1429" s="386">
        <v>262944026.91</v>
      </c>
      <c r="AB1429" s="386">
        <f t="shared" ref="AB1429:AB1437" si="89">AA1429+Z1429</f>
        <v>262944026.91</v>
      </c>
      <c r="AC1429" s="384">
        <v>42367</v>
      </c>
      <c r="AD1429" s="395">
        <v>262944026.91</v>
      </c>
      <c r="AE1429" s="382" t="s">
        <v>168</v>
      </c>
      <c r="AF1429" s="1043">
        <f>SUM(AD1429:AD1431)</f>
        <v>551958868.14999998</v>
      </c>
      <c r="AG1429" s="1043">
        <f>SUM(AF1429:AF1437)</f>
        <v>4045351111.0699997</v>
      </c>
      <c r="AH1429" s="358">
        <f t="shared" si="87"/>
        <v>0</v>
      </c>
      <c r="AI1429" s="1043">
        <f>P1429-SUM(AD1429:AD1431)</f>
        <v>105875990.85000002</v>
      </c>
      <c r="AJ1429" s="1043">
        <f>SUM(Z1429:Z1431)-SUM(AD1429:AD1431)</f>
        <v>39311928.99000001</v>
      </c>
      <c r="AK1429" s="1043">
        <f>P1429-V1429</f>
        <v>474791.65999996662</v>
      </c>
      <c r="AL1429" s="1043">
        <f>V1429-SUM(Z1429:Z1431)+AJ1429</f>
        <v>105401199.19000006</v>
      </c>
      <c r="AM1429" s="1043"/>
      <c r="AN1429" s="1023" t="s">
        <v>2065</v>
      </c>
      <c r="AO1429" s="1023" t="s">
        <v>2064</v>
      </c>
      <c r="AP1429" s="1023" t="s">
        <v>195</v>
      </c>
      <c r="AQ1429" s="1023" t="s">
        <v>1911</v>
      </c>
    </row>
    <row r="1430" spans="1:43" s="4" customFormat="1" ht="15" customHeight="1">
      <c r="A1430" s="1033"/>
      <c r="B1430" s="1069"/>
      <c r="C1430" s="1101"/>
      <c r="D1430" s="1101"/>
      <c r="E1430" s="1072"/>
      <c r="F1430" s="1072"/>
      <c r="G1430" s="1101"/>
      <c r="H1430" s="1101"/>
      <c r="I1430" s="1101"/>
      <c r="J1430" s="1101"/>
      <c r="K1430" s="1124"/>
      <c r="L1430" s="1101"/>
      <c r="M1430" s="1146"/>
      <c r="N1430" s="1124"/>
      <c r="O1430" s="1063"/>
      <c r="P1430" s="1063"/>
      <c r="Q1430" s="1063"/>
      <c r="R1430" s="1063"/>
      <c r="S1430" s="1090"/>
      <c r="T1430" s="1090"/>
      <c r="U1430" s="1090"/>
      <c r="V1430" s="1063"/>
      <c r="W1430" s="1063"/>
      <c r="X1430" s="1033"/>
      <c r="Y1430" s="372" t="s">
        <v>2062</v>
      </c>
      <c r="Z1430" s="386">
        <v>98735776.140000001</v>
      </c>
      <c r="AA1430" s="386">
        <v>-39570611.899999999</v>
      </c>
      <c r="AB1430" s="386">
        <f t="shared" si="89"/>
        <v>59165164.240000002</v>
      </c>
      <c r="AC1430" s="384">
        <v>42634</v>
      </c>
      <c r="AD1430" s="395">
        <v>59165164.240000002</v>
      </c>
      <c r="AE1430" s="382" t="s">
        <v>168</v>
      </c>
      <c r="AF1430" s="1044"/>
      <c r="AG1430" s="1044"/>
      <c r="AH1430" s="358">
        <f t="shared" si="87"/>
        <v>0</v>
      </c>
      <c r="AI1430" s="1044"/>
      <c r="AJ1430" s="1044"/>
      <c r="AK1430" s="1044"/>
      <c r="AL1430" s="1044"/>
      <c r="AM1430" s="1044"/>
      <c r="AN1430" s="1124"/>
      <c r="AO1430" s="1124"/>
      <c r="AP1430" s="1124"/>
      <c r="AQ1430" s="1124"/>
    </row>
    <row r="1431" spans="1:43" s="4" customFormat="1" ht="15" customHeight="1">
      <c r="A1431" s="1033"/>
      <c r="B1431" s="1069"/>
      <c r="C1431" s="1101"/>
      <c r="D1431" s="1101"/>
      <c r="E1431" s="1072"/>
      <c r="F1431" s="1072"/>
      <c r="G1431" s="1101"/>
      <c r="H1431" s="1101"/>
      <c r="I1431" s="1101"/>
      <c r="J1431" s="1101"/>
      <c r="K1431" s="1124"/>
      <c r="L1431" s="1101"/>
      <c r="M1431" s="1146"/>
      <c r="N1431" s="1124"/>
      <c r="O1431" s="1064"/>
      <c r="P1431" s="1064"/>
      <c r="Q1431" s="1063"/>
      <c r="R1431" s="1064"/>
      <c r="S1431" s="1091"/>
      <c r="T1431" s="1091"/>
      <c r="U1431" s="1091"/>
      <c r="V1431" s="1064"/>
      <c r="W1431" s="1063"/>
      <c r="X1431" s="1033"/>
      <c r="Y1431" s="372" t="s">
        <v>2063</v>
      </c>
      <c r="Z1431" s="386">
        <v>492535021</v>
      </c>
      <c r="AA1431" s="386">
        <v>-262685344</v>
      </c>
      <c r="AB1431" s="386">
        <f t="shared" si="89"/>
        <v>229849677</v>
      </c>
      <c r="AC1431" s="384">
        <v>42691</v>
      </c>
      <c r="AD1431" s="395">
        <v>229849677</v>
      </c>
      <c r="AE1431" s="382" t="s">
        <v>168</v>
      </c>
      <c r="AF1431" s="1045"/>
      <c r="AG1431" s="1044"/>
      <c r="AH1431" s="358">
        <f t="shared" si="87"/>
        <v>0</v>
      </c>
      <c r="AI1431" s="1045"/>
      <c r="AJ1431" s="1045"/>
      <c r="AK1431" s="1045"/>
      <c r="AL1431" s="1045"/>
      <c r="AM1431" s="1045"/>
      <c r="AN1431" s="1124"/>
      <c r="AO1431" s="1124"/>
      <c r="AP1431" s="1124"/>
      <c r="AQ1431" s="1124"/>
    </row>
    <row r="1432" spans="1:43" s="4" customFormat="1" ht="15" customHeight="1">
      <c r="A1432" s="1033"/>
      <c r="B1432" s="1069"/>
      <c r="C1432" s="1101"/>
      <c r="D1432" s="1101"/>
      <c r="E1432" s="1072"/>
      <c r="F1432" s="1072"/>
      <c r="G1432" s="1101"/>
      <c r="H1432" s="1101"/>
      <c r="I1432" s="1101"/>
      <c r="J1432" s="1101"/>
      <c r="K1432" s="1124"/>
      <c r="L1432" s="1101"/>
      <c r="M1432" s="1145">
        <v>316</v>
      </c>
      <c r="N1432" s="1149" t="s">
        <v>7</v>
      </c>
      <c r="O1432" s="1062">
        <v>1971055973</v>
      </c>
      <c r="P1432" s="1062">
        <f>O1432+O1435</f>
        <v>4900954825</v>
      </c>
      <c r="Q1432" s="1063"/>
      <c r="R1432" s="1068">
        <v>42130</v>
      </c>
      <c r="S1432" s="1089">
        <f>T1432+T1435</f>
        <v>4900954825</v>
      </c>
      <c r="T1432" s="1062">
        <v>1971055973</v>
      </c>
      <c r="U1432" s="1062">
        <f>O1432-T1432</f>
        <v>0</v>
      </c>
      <c r="V1432" s="1062">
        <v>1969633365.29</v>
      </c>
      <c r="W1432" s="1063"/>
      <c r="X1432" s="1033"/>
      <c r="Y1432" s="1065" t="s">
        <v>2061</v>
      </c>
      <c r="Z1432" s="386">
        <v>0</v>
      </c>
      <c r="AA1432" s="386">
        <v>787853346.03999996</v>
      </c>
      <c r="AB1432" s="386">
        <f t="shared" si="89"/>
        <v>787853346.03999996</v>
      </c>
      <c r="AC1432" s="384">
        <v>42367</v>
      </c>
      <c r="AD1432" s="395">
        <v>787853346.03999996</v>
      </c>
      <c r="AE1432" s="382" t="s">
        <v>7</v>
      </c>
      <c r="AF1432" s="1043">
        <f>SUM(AD1432:AD1437)</f>
        <v>3493392242.9199996</v>
      </c>
      <c r="AG1432" s="1044"/>
      <c r="AH1432" s="358">
        <f t="shared" si="87"/>
        <v>0</v>
      </c>
      <c r="AI1432" s="1043">
        <f>O1432-AD1432-AD1435-AD1436</f>
        <v>605265169.86000001</v>
      </c>
      <c r="AJ1432" s="1043">
        <f>SUM(Z1432:Z1437)-SUM(AD1432:AD1437)</f>
        <v>-1045596277.0599999</v>
      </c>
      <c r="AK1432" s="1043">
        <f>O1432-V1432</f>
        <v>1422607.7100000381</v>
      </c>
      <c r="AL1432" s="1043">
        <f>(V1432+V1435)-SUM(Z1432:Z1437)+AJ1432</f>
        <v>1404025322.7400002</v>
      </c>
      <c r="AM1432" s="1062"/>
      <c r="AN1432" s="1124"/>
      <c r="AO1432" s="1124"/>
      <c r="AP1432" s="1124"/>
      <c r="AQ1432" s="1124"/>
    </row>
    <row r="1433" spans="1:43" s="4" customFormat="1" ht="15" customHeight="1">
      <c r="A1433" s="1033"/>
      <c r="B1433" s="1069"/>
      <c r="C1433" s="1101"/>
      <c r="D1433" s="1101"/>
      <c r="E1433" s="1072"/>
      <c r="F1433" s="1072"/>
      <c r="G1433" s="1101"/>
      <c r="H1433" s="1101"/>
      <c r="I1433" s="1101"/>
      <c r="J1433" s="1101"/>
      <c r="K1433" s="1124"/>
      <c r="L1433" s="1101"/>
      <c r="M1433" s="1146"/>
      <c r="N1433" s="1149"/>
      <c r="O1433" s="1063"/>
      <c r="P1433" s="1063"/>
      <c r="Q1433" s="1063"/>
      <c r="R1433" s="1069"/>
      <c r="S1433" s="1090"/>
      <c r="T1433" s="1063"/>
      <c r="U1433" s="1063"/>
      <c r="V1433" s="1063"/>
      <c r="W1433" s="1063"/>
      <c r="X1433" s="1033"/>
      <c r="Y1433" s="1067"/>
      <c r="Z1433" s="386">
        <v>0</v>
      </c>
      <c r="AA1433" s="386">
        <v>1171113680.05</v>
      </c>
      <c r="AB1433" s="386">
        <f t="shared" si="89"/>
        <v>1171113680.05</v>
      </c>
      <c r="AC1433" s="384">
        <v>42634</v>
      </c>
      <c r="AD1433" s="395">
        <v>1171113680.05</v>
      </c>
      <c r="AE1433" s="382" t="s">
        <v>137</v>
      </c>
      <c r="AF1433" s="1044"/>
      <c r="AG1433" s="1044"/>
      <c r="AH1433" s="358">
        <f t="shared" si="87"/>
        <v>0</v>
      </c>
      <c r="AI1433" s="1044"/>
      <c r="AJ1433" s="1044"/>
      <c r="AK1433" s="1044"/>
      <c r="AL1433" s="1044"/>
      <c r="AM1433" s="1063"/>
      <c r="AN1433" s="1124"/>
      <c r="AO1433" s="1124"/>
      <c r="AP1433" s="1124"/>
      <c r="AQ1433" s="1124"/>
    </row>
    <row r="1434" spans="1:43" s="4" customFormat="1" ht="15" customHeight="1">
      <c r="A1434" s="1033"/>
      <c r="B1434" s="1069"/>
      <c r="C1434" s="1101"/>
      <c r="D1434" s="1101"/>
      <c r="E1434" s="1072"/>
      <c r="F1434" s="1072"/>
      <c r="G1434" s="1101"/>
      <c r="H1434" s="1101"/>
      <c r="I1434" s="1101"/>
      <c r="J1434" s="1101"/>
      <c r="K1434" s="1124"/>
      <c r="L1434" s="1101"/>
      <c r="M1434" s="1146"/>
      <c r="N1434" s="1149"/>
      <c r="O1434" s="1064"/>
      <c r="P1434" s="1063"/>
      <c r="Q1434" s="1063"/>
      <c r="R1434" s="1069"/>
      <c r="S1434" s="1090"/>
      <c r="T1434" s="1064"/>
      <c r="U1434" s="1064"/>
      <c r="V1434" s="1064"/>
      <c r="W1434" s="1063"/>
      <c r="X1434" s="1033"/>
      <c r="Y1434" s="1065" t="s">
        <v>2062</v>
      </c>
      <c r="Z1434" s="386">
        <v>390080784.06</v>
      </c>
      <c r="AA1434" s="386">
        <v>-155977720.33000001</v>
      </c>
      <c r="AB1434" s="386">
        <f t="shared" si="89"/>
        <v>234103063.72999999</v>
      </c>
      <c r="AC1434" s="384">
        <v>42691</v>
      </c>
      <c r="AD1434" s="395">
        <v>234103063.72999999</v>
      </c>
      <c r="AE1434" s="382" t="s">
        <v>137</v>
      </c>
      <c r="AF1434" s="1044"/>
      <c r="AG1434" s="1044"/>
      <c r="AH1434" s="358">
        <f t="shared" si="87"/>
        <v>0</v>
      </c>
      <c r="AI1434" s="1045"/>
      <c r="AJ1434" s="1044"/>
      <c r="AK1434" s="1045"/>
      <c r="AL1434" s="1044"/>
      <c r="AM1434" s="1063"/>
      <c r="AN1434" s="1124"/>
      <c r="AO1434" s="1124"/>
      <c r="AP1434" s="1124"/>
      <c r="AQ1434" s="1124"/>
    </row>
    <row r="1435" spans="1:43" s="4" customFormat="1" ht="15" customHeight="1">
      <c r="A1435" s="1033"/>
      <c r="B1435" s="1069"/>
      <c r="C1435" s="1101"/>
      <c r="D1435" s="1101"/>
      <c r="E1435" s="1072"/>
      <c r="F1435" s="1072"/>
      <c r="G1435" s="1101"/>
      <c r="H1435" s="1101"/>
      <c r="I1435" s="1101"/>
      <c r="J1435" s="1101"/>
      <c r="K1435" s="1124"/>
      <c r="L1435" s="1101"/>
      <c r="M1435" s="1146"/>
      <c r="N1435" s="1149" t="s">
        <v>137</v>
      </c>
      <c r="O1435" s="1062">
        <v>2929898852</v>
      </c>
      <c r="P1435" s="1063"/>
      <c r="Q1435" s="1063"/>
      <c r="R1435" s="1069"/>
      <c r="S1435" s="1090"/>
      <c r="T1435" s="1062">
        <v>2929898852</v>
      </c>
      <c r="U1435" s="1062">
        <f>O1435-T1435</f>
        <v>0</v>
      </c>
      <c r="V1435" s="1062">
        <v>2927784200.3699999</v>
      </c>
      <c r="W1435" s="1063"/>
      <c r="X1435" s="1033"/>
      <c r="Y1435" s="1067"/>
      <c r="Z1435" s="386">
        <v>580110121.79999995</v>
      </c>
      <c r="AA1435" s="386">
        <v>-232022340.77000001</v>
      </c>
      <c r="AB1435" s="386">
        <f t="shared" si="89"/>
        <v>348087781.02999997</v>
      </c>
      <c r="AC1435" s="384">
        <v>42367</v>
      </c>
      <c r="AD1435" s="395">
        <v>348087781.10000002</v>
      </c>
      <c r="AE1435" s="382" t="s">
        <v>7</v>
      </c>
      <c r="AF1435" s="1044"/>
      <c r="AG1435" s="1044"/>
      <c r="AH1435" s="358">
        <f t="shared" si="87"/>
        <v>-7.0000052452087402E-2</v>
      </c>
      <c r="AI1435" s="1043">
        <f>O1435-AD1433-AD1434-AD1437</f>
        <v>802297412.22000003</v>
      </c>
      <c r="AJ1435" s="1044"/>
      <c r="AK1435" s="1043">
        <f>O1435-V1435</f>
        <v>2114651.6300001144</v>
      </c>
      <c r="AL1435" s="1044"/>
      <c r="AM1435" s="1063"/>
      <c r="AN1435" s="1124"/>
      <c r="AO1435" s="1124"/>
      <c r="AP1435" s="1124"/>
      <c r="AQ1435" s="1124"/>
    </row>
    <row r="1436" spans="1:43" s="4" customFormat="1" ht="15" customHeight="1">
      <c r="A1436" s="1033"/>
      <c r="B1436" s="1069"/>
      <c r="C1436" s="1101"/>
      <c r="D1436" s="1101"/>
      <c r="E1436" s="1072"/>
      <c r="F1436" s="1072"/>
      <c r="G1436" s="1101"/>
      <c r="H1436" s="1101"/>
      <c r="I1436" s="1101"/>
      <c r="J1436" s="1101"/>
      <c r="K1436" s="1124"/>
      <c r="L1436" s="1101"/>
      <c r="M1436" s="1146"/>
      <c r="N1436" s="1149"/>
      <c r="O1436" s="1063"/>
      <c r="P1436" s="1063"/>
      <c r="Q1436" s="1063"/>
      <c r="R1436" s="1069"/>
      <c r="S1436" s="1090"/>
      <c r="T1436" s="1063"/>
      <c r="U1436" s="1063"/>
      <c r="V1436" s="1063"/>
      <c r="W1436" s="1063"/>
      <c r="X1436" s="1033"/>
      <c r="Y1436" s="1065" t="s">
        <v>2063</v>
      </c>
      <c r="Z1436" s="386">
        <v>492535020</v>
      </c>
      <c r="AA1436" s="386">
        <v>-262685344</v>
      </c>
      <c r="AB1436" s="386">
        <f t="shared" si="89"/>
        <v>229849676</v>
      </c>
      <c r="AC1436" s="384">
        <v>42634</v>
      </c>
      <c r="AD1436" s="395">
        <v>229849676</v>
      </c>
      <c r="AE1436" s="382" t="s">
        <v>7</v>
      </c>
      <c r="AF1436" s="1044"/>
      <c r="AG1436" s="1044"/>
      <c r="AH1436" s="358">
        <f t="shared" si="87"/>
        <v>0</v>
      </c>
      <c r="AI1436" s="1044"/>
      <c r="AJ1436" s="1044"/>
      <c r="AK1436" s="1044"/>
      <c r="AL1436" s="1044"/>
      <c r="AM1436" s="1063"/>
      <c r="AN1436" s="1124"/>
      <c r="AO1436" s="1124"/>
      <c r="AP1436" s="1124"/>
      <c r="AQ1436" s="1124"/>
    </row>
    <row r="1437" spans="1:43" s="4" customFormat="1" ht="15" customHeight="1">
      <c r="A1437" s="1012"/>
      <c r="B1437" s="1070"/>
      <c r="C1437" s="1102"/>
      <c r="D1437" s="1102"/>
      <c r="E1437" s="1073"/>
      <c r="F1437" s="1073"/>
      <c r="G1437" s="1102"/>
      <c r="H1437" s="1102"/>
      <c r="I1437" s="1102"/>
      <c r="J1437" s="1102"/>
      <c r="K1437" s="1024"/>
      <c r="L1437" s="1102"/>
      <c r="M1437" s="1147"/>
      <c r="N1437" s="1149"/>
      <c r="O1437" s="1064"/>
      <c r="P1437" s="1064"/>
      <c r="Q1437" s="1064"/>
      <c r="R1437" s="1070"/>
      <c r="S1437" s="1091"/>
      <c r="T1437" s="1064"/>
      <c r="U1437" s="1064"/>
      <c r="V1437" s="1064"/>
      <c r="W1437" s="1064"/>
      <c r="X1437" s="1012"/>
      <c r="Y1437" s="1067"/>
      <c r="Z1437" s="386">
        <v>985070040</v>
      </c>
      <c r="AA1437" s="386">
        <v>-262685344</v>
      </c>
      <c r="AB1437" s="386">
        <f t="shared" si="89"/>
        <v>722384696</v>
      </c>
      <c r="AC1437" s="384">
        <v>42691</v>
      </c>
      <c r="AD1437" s="395">
        <v>722384696</v>
      </c>
      <c r="AE1437" s="382" t="s">
        <v>137</v>
      </c>
      <c r="AF1437" s="1045"/>
      <c r="AG1437" s="1045"/>
      <c r="AH1437" s="358">
        <f t="shared" si="87"/>
        <v>0</v>
      </c>
      <c r="AI1437" s="1045"/>
      <c r="AJ1437" s="1045"/>
      <c r="AK1437" s="1045"/>
      <c r="AL1437" s="1045"/>
      <c r="AM1437" s="1064"/>
      <c r="AN1437" s="1024"/>
      <c r="AO1437" s="1024"/>
      <c r="AP1437" s="1024"/>
      <c r="AQ1437" s="1024"/>
    </row>
    <row r="1438" spans="1:43" ht="15" customHeight="1">
      <c r="A1438" s="1011" t="s">
        <v>2004</v>
      </c>
      <c r="B1438" s="1068">
        <v>42294</v>
      </c>
      <c r="C1438" s="1011" t="s">
        <v>44</v>
      </c>
      <c r="D1438" s="1011" t="s">
        <v>2006</v>
      </c>
      <c r="E1438" s="1071">
        <v>10546991</v>
      </c>
      <c r="F1438" s="1071"/>
      <c r="G1438" s="1011" t="s">
        <v>2005</v>
      </c>
      <c r="H1438" s="1011" t="s">
        <v>70</v>
      </c>
      <c r="I1438" s="1011" t="s">
        <v>206</v>
      </c>
      <c r="J1438" s="1011" t="s">
        <v>66</v>
      </c>
      <c r="K1438" s="1011" t="s">
        <v>48</v>
      </c>
      <c r="L1438" s="1011" t="s">
        <v>2009</v>
      </c>
      <c r="M1438" s="1145">
        <v>12</v>
      </c>
      <c r="N1438" s="1065" t="s">
        <v>141</v>
      </c>
      <c r="O1438" s="1062">
        <v>15272725</v>
      </c>
      <c r="P1438" s="1062">
        <v>15272725</v>
      </c>
      <c r="Q1438" s="1062">
        <f>15272725+P1440</f>
        <v>21448725</v>
      </c>
      <c r="R1438" s="1068">
        <v>42173</v>
      </c>
      <c r="S1438" s="1092">
        <f>T1438</f>
        <v>15272725</v>
      </c>
      <c r="T1438" s="1092">
        <v>15272725</v>
      </c>
      <c r="U1438" s="1092">
        <f>P1438-T1438</f>
        <v>0</v>
      </c>
      <c r="V1438" s="1043">
        <v>15200000</v>
      </c>
      <c r="W1438" s="1043">
        <f>15200000+V1440</f>
        <v>21376000</v>
      </c>
      <c r="X1438" s="1011" t="s">
        <v>2007</v>
      </c>
      <c r="Y1438" s="372" t="s">
        <v>2008</v>
      </c>
      <c r="Z1438" s="386">
        <v>11856000</v>
      </c>
      <c r="AA1438" s="386">
        <v>0</v>
      </c>
      <c r="AB1438" s="386">
        <f t="shared" ref="AB1438:AB1460" si="90">Z1438+AA1438</f>
        <v>11856000</v>
      </c>
      <c r="AC1438" s="384">
        <v>42902</v>
      </c>
      <c r="AD1438" s="395">
        <v>11856000</v>
      </c>
      <c r="AE1438" s="371" t="s">
        <v>141</v>
      </c>
      <c r="AF1438" s="1043">
        <f>AD1438+AD1439</f>
        <v>11856000</v>
      </c>
      <c r="AG1438" s="1043">
        <f>AF1438+AF1440</f>
        <v>11856000</v>
      </c>
      <c r="AH1438" s="358">
        <f t="shared" si="87"/>
        <v>0</v>
      </c>
      <c r="AI1438" s="1043">
        <f>P1438-AF1438</f>
        <v>3416725</v>
      </c>
      <c r="AJ1438" s="1062">
        <f>SUM(Z1438:Z1440)-SUM(AD1438:AD1440)</f>
        <v>0</v>
      </c>
      <c r="AK1438" s="1062">
        <f>P1438-V1438</f>
        <v>72725</v>
      </c>
      <c r="AL1438" s="1062">
        <f>V1438-Z1438-Z1439</f>
        <v>3344000</v>
      </c>
      <c r="AM1438" s="1062"/>
      <c r="AN1438" s="1108"/>
      <c r="AO1438" s="1103" t="s">
        <v>2010</v>
      </c>
      <c r="AP1438" s="1103" t="s">
        <v>194</v>
      </c>
      <c r="AQ1438" s="1103" t="s">
        <v>1911</v>
      </c>
    </row>
    <row r="1439" spans="1:43" ht="15" customHeight="1">
      <c r="A1439" s="1033"/>
      <c r="B1439" s="1069"/>
      <c r="C1439" s="1033"/>
      <c r="D1439" s="1033"/>
      <c r="E1439" s="1072"/>
      <c r="F1439" s="1072"/>
      <c r="G1439" s="1033"/>
      <c r="H1439" s="1033"/>
      <c r="I1439" s="1033"/>
      <c r="J1439" s="1012"/>
      <c r="K1439" s="1033"/>
      <c r="L1439" s="1033"/>
      <c r="M1439" s="1147"/>
      <c r="N1439" s="1067"/>
      <c r="O1439" s="1064"/>
      <c r="P1439" s="1064"/>
      <c r="Q1439" s="1063"/>
      <c r="R1439" s="1070"/>
      <c r="S1439" s="1094"/>
      <c r="T1439" s="1094"/>
      <c r="U1439" s="1094"/>
      <c r="V1439" s="1045"/>
      <c r="W1439" s="1044"/>
      <c r="X1439" s="1033"/>
      <c r="Y1439" s="372"/>
      <c r="Z1439" s="386"/>
      <c r="AA1439" s="386"/>
      <c r="AB1439" s="386">
        <f t="shared" si="90"/>
        <v>0</v>
      </c>
      <c r="AC1439" s="384"/>
      <c r="AD1439" s="395"/>
      <c r="AE1439" s="371"/>
      <c r="AF1439" s="1045"/>
      <c r="AG1439" s="1044"/>
      <c r="AH1439" s="358">
        <f t="shared" si="87"/>
        <v>0</v>
      </c>
      <c r="AI1439" s="1045"/>
      <c r="AJ1439" s="1063"/>
      <c r="AK1439" s="1064"/>
      <c r="AL1439" s="1064"/>
      <c r="AM1439" s="1064"/>
      <c r="AN1439" s="1109"/>
      <c r="AO1439" s="1104"/>
      <c r="AP1439" s="1104"/>
      <c r="AQ1439" s="1104"/>
    </row>
    <row r="1440" spans="1:43" ht="15" customHeight="1">
      <c r="A1440" s="1012"/>
      <c r="B1440" s="1070"/>
      <c r="C1440" s="1012"/>
      <c r="D1440" s="1012"/>
      <c r="E1440" s="1073"/>
      <c r="F1440" s="1073"/>
      <c r="G1440" s="1012"/>
      <c r="H1440" s="1012"/>
      <c r="I1440" s="1012"/>
      <c r="J1440" s="354" t="s">
        <v>67</v>
      </c>
      <c r="K1440" s="1012"/>
      <c r="L1440" s="1012"/>
      <c r="M1440" s="383">
        <v>15</v>
      </c>
      <c r="N1440" s="372" t="s">
        <v>141</v>
      </c>
      <c r="O1440" s="386">
        <v>6176000</v>
      </c>
      <c r="P1440" s="386">
        <v>6176000</v>
      </c>
      <c r="Q1440" s="1064"/>
      <c r="R1440" s="384">
        <v>42689</v>
      </c>
      <c r="S1440" s="390">
        <f>T1440</f>
        <v>6176000</v>
      </c>
      <c r="T1440" s="386">
        <v>6176000</v>
      </c>
      <c r="U1440" s="386">
        <f>P1440-T1440</f>
        <v>0</v>
      </c>
      <c r="V1440" s="358">
        <v>6176000</v>
      </c>
      <c r="W1440" s="1045"/>
      <c r="X1440" s="1012"/>
      <c r="Y1440" s="372"/>
      <c r="Z1440" s="386"/>
      <c r="AA1440" s="386"/>
      <c r="AB1440" s="386">
        <f t="shared" si="90"/>
        <v>0</v>
      </c>
      <c r="AC1440" s="384"/>
      <c r="AD1440" s="395">
        <v>0</v>
      </c>
      <c r="AE1440" s="371"/>
      <c r="AF1440" s="358">
        <f>AD1440</f>
        <v>0</v>
      </c>
      <c r="AG1440" s="1045"/>
      <c r="AH1440" s="358">
        <f t="shared" si="87"/>
        <v>0</v>
      </c>
      <c r="AI1440" s="358">
        <f>P1440-AD1440</f>
        <v>6176000</v>
      </c>
      <c r="AJ1440" s="1064"/>
      <c r="AK1440" s="386">
        <f>P1440-V1440</f>
        <v>0</v>
      </c>
      <c r="AL1440" s="386">
        <f>V1440-Z1440</f>
        <v>6176000</v>
      </c>
      <c r="AM1440" s="386"/>
      <c r="AN1440" s="1110"/>
      <c r="AO1440" s="1105"/>
      <c r="AP1440" s="1105"/>
      <c r="AQ1440" s="1105"/>
    </row>
    <row r="1441" spans="1:43" s="29" customFormat="1" ht="15" customHeight="1">
      <c r="A1441" s="1142" t="s">
        <v>2200</v>
      </c>
      <c r="B1441" s="1120">
        <v>42304</v>
      </c>
      <c r="C1441" s="1142" t="s">
        <v>11</v>
      </c>
      <c r="D1441" s="1142" t="s">
        <v>2199</v>
      </c>
      <c r="E1441" s="1178">
        <v>900901296</v>
      </c>
      <c r="F1441" s="1178">
        <v>4</v>
      </c>
      <c r="G1441" s="1142" t="s">
        <v>2198</v>
      </c>
      <c r="H1441" s="1142" t="s">
        <v>71</v>
      </c>
      <c r="I1441" s="1142" t="s">
        <v>1235</v>
      </c>
      <c r="J1441" s="1142" t="s">
        <v>66</v>
      </c>
      <c r="K1441" s="1142" t="s">
        <v>49</v>
      </c>
      <c r="L1441" s="1142" t="s">
        <v>1859</v>
      </c>
      <c r="M1441" s="1167">
        <v>322</v>
      </c>
      <c r="N1441" s="1157" t="s">
        <v>7</v>
      </c>
      <c r="O1441" s="1043">
        <v>934907364</v>
      </c>
      <c r="P1441" s="1043">
        <f>O1441+O1446</f>
        <v>2365868067</v>
      </c>
      <c r="Q1441" s="1043">
        <f>P1441+P1451</f>
        <v>2572981347</v>
      </c>
      <c r="R1441" s="1120">
        <v>42150</v>
      </c>
      <c r="S1441" s="1150">
        <f>T1441+T1446</f>
        <v>2365868067</v>
      </c>
      <c r="T1441" s="1043">
        <v>934907364</v>
      </c>
      <c r="U1441" s="1043">
        <f>O1441-T1441</f>
        <v>0</v>
      </c>
      <c r="V1441" s="1043">
        <v>932500678.44000006</v>
      </c>
      <c r="W1441" s="1043">
        <f>V1441+V1446+V1451</f>
        <v>2566357849</v>
      </c>
      <c r="X1441" s="1142" t="s">
        <v>2197</v>
      </c>
      <c r="Y1441" s="1157" t="s">
        <v>2194</v>
      </c>
      <c r="Z1441" s="358">
        <v>0</v>
      </c>
      <c r="AA1441" s="358">
        <v>279750203.52999997</v>
      </c>
      <c r="AB1441" s="358">
        <f t="shared" si="90"/>
        <v>279750203.52999997</v>
      </c>
      <c r="AC1441" s="1120">
        <v>42342</v>
      </c>
      <c r="AD1441" s="395">
        <v>279750203.52999997</v>
      </c>
      <c r="AE1441" s="371" t="s">
        <v>7</v>
      </c>
      <c r="AF1441" s="1043">
        <f>SUM(AD1441:AD1450)</f>
        <v>2237031269.2700005</v>
      </c>
      <c r="AG1441" s="1043">
        <f>AF1441+AF1451</f>
        <v>2433042373.9100003</v>
      </c>
      <c r="AH1441" s="358">
        <f t="shared" si="87"/>
        <v>0</v>
      </c>
      <c r="AI1441" s="1043">
        <f>O1441-AD1441-AD1444-AD1445-AD1447</f>
        <v>2406685.5600000322</v>
      </c>
      <c r="AJ1441" s="1043">
        <f>SUM(Z1441:Z1455)-SUM(AD1441:AD1455)</f>
        <v>-57135180.970000267</v>
      </c>
      <c r="AK1441" s="1043">
        <f>O1441-V1441</f>
        <v>2406685.5599999428</v>
      </c>
      <c r="AL1441" s="1043">
        <f>(V1441+V1446)-SUM(Z1441:Z1450)+AJ1441</f>
        <v>122746461.13999939</v>
      </c>
      <c r="AM1441" s="1043"/>
      <c r="AN1441" s="1172" t="s">
        <v>2196</v>
      </c>
      <c r="AO1441" s="1175" t="s">
        <v>2195</v>
      </c>
      <c r="AP1441" s="1175" t="s">
        <v>194</v>
      </c>
      <c r="AQ1441" s="1175" t="s">
        <v>1911</v>
      </c>
    </row>
    <row r="1442" spans="1:43" s="29" customFormat="1" ht="15" customHeight="1">
      <c r="A1442" s="1143"/>
      <c r="B1442" s="1121"/>
      <c r="C1442" s="1143"/>
      <c r="D1442" s="1143"/>
      <c r="E1442" s="1179"/>
      <c r="F1442" s="1179"/>
      <c r="G1442" s="1143"/>
      <c r="H1442" s="1143"/>
      <c r="I1442" s="1143"/>
      <c r="J1442" s="1143"/>
      <c r="K1442" s="1143"/>
      <c r="L1442" s="1143"/>
      <c r="M1442" s="1168"/>
      <c r="N1442" s="1158"/>
      <c r="O1442" s="1044"/>
      <c r="P1442" s="1044"/>
      <c r="Q1442" s="1044"/>
      <c r="R1442" s="1121"/>
      <c r="S1442" s="1151"/>
      <c r="T1442" s="1044"/>
      <c r="U1442" s="1044"/>
      <c r="V1442" s="1044"/>
      <c r="W1442" s="1044"/>
      <c r="X1442" s="1143"/>
      <c r="Y1442" s="1159"/>
      <c r="Z1442" s="358">
        <v>0</v>
      </c>
      <c r="AA1442" s="358">
        <v>428183115.60000002</v>
      </c>
      <c r="AB1442" s="358">
        <f t="shared" si="90"/>
        <v>428183115.60000002</v>
      </c>
      <c r="AC1442" s="1160"/>
      <c r="AD1442" s="395">
        <v>428183115.60000002</v>
      </c>
      <c r="AE1442" s="371" t="s">
        <v>137</v>
      </c>
      <c r="AF1442" s="1044"/>
      <c r="AG1442" s="1044"/>
      <c r="AH1442" s="358">
        <f t="shared" si="87"/>
        <v>0</v>
      </c>
      <c r="AI1442" s="1044"/>
      <c r="AJ1442" s="1044"/>
      <c r="AK1442" s="1044"/>
      <c r="AL1442" s="1044"/>
      <c r="AM1442" s="1044"/>
      <c r="AN1442" s="1173"/>
      <c r="AO1442" s="1176"/>
      <c r="AP1442" s="1176"/>
      <c r="AQ1442" s="1176"/>
    </row>
    <row r="1443" spans="1:43" s="29" customFormat="1" ht="15" customHeight="1">
      <c r="A1443" s="1143"/>
      <c r="B1443" s="1121"/>
      <c r="C1443" s="1143"/>
      <c r="D1443" s="1143"/>
      <c r="E1443" s="1179"/>
      <c r="F1443" s="1179"/>
      <c r="G1443" s="1143"/>
      <c r="H1443" s="1143"/>
      <c r="I1443" s="1143"/>
      <c r="J1443" s="1143"/>
      <c r="K1443" s="1143"/>
      <c r="L1443" s="1143"/>
      <c r="M1443" s="1168"/>
      <c r="N1443" s="1158"/>
      <c r="O1443" s="1044"/>
      <c r="P1443" s="1044"/>
      <c r="Q1443" s="1044"/>
      <c r="R1443" s="1121"/>
      <c r="S1443" s="1151"/>
      <c r="T1443" s="1044"/>
      <c r="U1443" s="1044"/>
      <c r="V1443" s="1044"/>
      <c r="W1443" s="1044"/>
      <c r="X1443" s="1143"/>
      <c r="Y1443" s="1157" t="s">
        <v>2193</v>
      </c>
      <c r="Z1443" s="358">
        <v>512953361</v>
      </c>
      <c r="AA1443" s="358">
        <v>-148824769.5</v>
      </c>
      <c r="AB1443" s="358">
        <f t="shared" si="90"/>
        <v>364128591.5</v>
      </c>
      <c r="AC1443" s="1120">
        <v>42706</v>
      </c>
      <c r="AD1443" s="395">
        <v>364128591.5</v>
      </c>
      <c r="AE1443" s="371" t="s">
        <v>137</v>
      </c>
      <c r="AF1443" s="1044"/>
      <c r="AG1443" s="1044"/>
      <c r="AH1443" s="358">
        <f t="shared" si="87"/>
        <v>0</v>
      </c>
      <c r="AI1443" s="1044"/>
      <c r="AJ1443" s="1044"/>
      <c r="AK1443" s="1044"/>
      <c r="AL1443" s="1044"/>
      <c r="AM1443" s="1044"/>
      <c r="AN1443" s="1173"/>
      <c r="AO1443" s="1176"/>
      <c r="AP1443" s="1176"/>
      <c r="AQ1443" s="1176"/>
    </row>
    <row r="1444" spans="1:43" s="29" customFormat="1" ht="15" customHeight="1">
      <c r="A1444" s="1143"/>
      <c r="B1444" s="1121"/>
      <c r="C1444" s="1143"/>
      <c r="D1444" s="1143"/>
      <c r="E1444" s="1179"/>
      <c r="F1444" s="1179"/>
      <c r="G1444" s="1143"/>
      <c r="H1444" s="1143"/>
      <c r="I1444" s="1143"/>
      <c r="J1444" s="1143"/>
      <c r="K1444" s="1143"/>
      <c r="L1444" s="1143"/>
      <c r="M1444" s="1168"/>
      <c r="N1444" s="1158"/>
      <c r="O1444" s="1044"/>
      <c r="P1444" s="1044"/>
      <c r="Q1444" s="1044"/>
      <c r="R1444" s="1121"/>
      <c r="S1444" s="1151"/>
      <c r="T1444" s="1044"/>
      <c r="U1444" s="1044"/>
      <c r="V1444" s="1044"/>
      <c r="W1444" s="1044"/>
      <c r="X1444" s="1143"/>
      <c r="Y1444" s="1159"/>
      <c r="Z1444" s="358">
        <v>512953361</v>
      </c>
      <c r="AA1444" s="358">
        <v>-148824769.5</v>
      </c>
      <c r="AB1444" s="358">
        <f t="shared" si="90"/>
        <v>364128591.5</v>
      </c>
      <c r="AC1444" s="1160"/>
      <c r="AD1444" s="395">
        <v>364128591.5</v>
      </c>
      <c r="AE1444" s="371" t="s">
        <v>7</v>
      </c>
      <c r="AF1444" s="1044"/>
      <c r="AG1444" s="1044"/>
      <c r="AH1444" s="358">
        <f t="shared" si="87"/>
        <v>0</v>
      </c>
      <c r="AI1444" s="1044"/>
      <c r="AJ1444" s="1044"/>
      <c r="AK1444" s="1044"/>
      <c r="AL1444" s="1044"/>
      <c r="AM1444" s="1044"/>
      <c r="AN1444" s="1173"/>
      <c r="AO1444" s="1176"/>
      <c r="AP1444" s="1176"/>
      <c r="AQ1444" s="1176"/>
    </row>
    <row r="1445" spans="1:43" s="29" customFormat="1" ht="15" customHeight="1">
      <c r="A1445" s="1143"/>
      <c r="B1445" s="1121"/>
      <c r="C1445" s="1143"/>
      <c r="D1445" s="1143"/>
      <c r="E1445" s="1179"/>
      <c r="F1445" s="1179"/>
      <c r="G1445" s="1143"/>
      <c r="H1445" s="1143"/>
      <c r="I1445" s="1143"/>
      <c r="J1445" s="1143"/>
      <c r="K1445" s="1143"/>
      <c r="L1445" s="1143"/>
      <c r="M1445" s="1168"/>
      <c r="N1445" s="1159"/>
      <c r="O1445" s="1045"/>
      <c r="P1445" s="1044"/>
      <c r="Q1445" s="1044"/>
      <c r="R1445" s="1121"/>
      <c r="S1445" s="1151"/>
      <c r="T1445" s="1045"/>
      <c r="U1445" s="1045"/>
      <c r="V1445" s="1045"/>
      <c r="W1445" s="1044"/>
      <c r="X1445" s="1143"/>
      <c r="Y1445" s="1157" t="s">
        <v>2192</v>
      </c>
      <c r="Z1445" s="358">
        <v>298743888.50999999</v>
      </c>
      <c r="AA1445" s="358">
        <v>-130925434.03</v>
      </c>
      <c r="AB1445" s="358">
        <f t="shared" si="90"/>
        <v>167818454.47999999</v>
      </c>
      <c r="AC1445" s="1120">
        <v>42751</v>
      </c>
      <c r="AD1445" s="395">
        <v>167818432.53999999</v>
      </c>
      <c r="AE1445" s="371" t="s">
        <v>7</v>
      </c>
      <c r="AF1445" s="1044"/>
      <c r="AG1445" s="1044"/>
      <c r="AH1445" s="358">
        <f t="shared" ref="AH1445:AH1460" si="91">AB1445-AD1445</f>
        <v>21.939999997615814</v>
      </c>
      <c r="AI1445" s="1045"/>
      <c r="AJ1445" s="1044"/>
      <c r="AK1445" s="1045"/>
      <c r="AL1445" s="1044"/>
      <c r="AM1445" s="1044"/>
      <c r="AN1445" s="1173"/>
      <c r="AO1445" s="1176"/>
      <c r="AP1445" s="1176"/>
      <c r="AQ1445" s="1176"/>
    </row>
    <row r="1446" spans="1:43" s="29" customFormat="1" ht="15" customHeight="1">
      <c r="A1446" s="1143"/>
      <c r="B1446" s="1121"/>
      <c r="C1446" s="1143"/>
      <c r="D1446" s="1143"/>
      <c r="E1446" s="1179"/>
      <c r="F1446" s="1179"/>
      <c r="G1446" s="1143"/>
      <c r="H1446" s="1143"/>
      <c r="I1446" s="1143"/>
      <c r="J1446" s="1143"/>
      <c r="K1446" s="1143"/>
      <c r="L1446" s="1143"/>
      <c r="M1446" s="1168"/>
      <c r="N1446" s="1157" t="s">
        <v>137</v>
      </c>
      <c r="O1446" s="1043">
        <v>1430960703</v>
      </c>
      <c r="P1446" s="1044"/>
      <c r="Q1446" s="1044"/>
      <c r="R1446" s="1121"/>
      <c r="S1446" s="1151"/>
      <c r="T1446" s="1043">
        <v>1430960703</v>
      </c>
      <c r="U1446" s="1043">
        <f>O1446-T1446</f>
        <v>0</v>
      </c>
      <c r="V1446" s="1043">
        <v>1427277051.98</v>
      </c>
      <c r="W1446" s="1044"/>
      <c r="X1446" s="1143"/>
      <c r="Y1446" s="1159"/>
      <c r="Z1446" s="358">
        <v>433227966.42000002</v>
      </c>
      <c r="AA1446" s="358">
        <v>-84534588.200000003</v>
      </c>
      <c r="AB1446" s="358">
        <f t="shared" si="90"/>
        <v>348693378.22000003</v>
      </c>
      <c r="AC1446" s="1160"/>
      <c r="AD1446" s="395">
        <v>348693378.22000003</v>
      </c>
      <c r="AE1446" s="371" t="s">
        <v>137</v>
      </c>
      <c r="AF1446" s="1044"/>
      <c r="AG1446" s="1044"/>
      <c r="AH1446" s="358">
        <f t="shared" si="91"/>
        <v>0</v>
      </c>
      <c r="AI1446" s="1043">
        <f>O1446-AD1442-AD1443-AD1446-AD1448</f>
        <v>126430112.16999996</v>
      </c>
      <c r="AJ1446" s="1044"/>
      <c r="AK1446" s="1043">
        <f>O1446-V1446</f>
        <v>3683651.0199999809</v>
      </c>
      <c r="AL1446" s="1044"/>
      <c r="AM1446" s="1044"/>
      <c r="AN1446" s="1173"/>
      <c r="AO1446" s="1176"/>
      <c r="AP1446" s="1176"/>
      <c r="AQ1446" s="1176"/>
    </row>
    <row r="1447" spans="1:43" s="29" customFormat="1" ht="15" customHeight="1">
      <c r="A1447" s="1143"/>
      <c r="B1447" s="1121"/>
      <c r="C1447" s="1143"/>
      <c r="D1447" s="1143"/>
      <c r="E1447" s="1179"/>
      <c r="F1447" s="1179"/>
      <c r="G1447" s="1143"/>
      <c r="H1447" s="1143"/>
      <c r="I1447" s="1143"/>
      <c r="J1447" s="1143"/>
      <c r="K1447" s="1143"/>
      <c r="L1447" s="1143"/>
      <c r="M1447" s="1168"/>
      <c r="N1447" s="1158"/>
      <c r="O1447" s="1044"/>
      <c r="P1447" s="1044"/>
      <c r="Q1447" s="1044"/>
      <c r="R1447" s="1121"/>
      <c r="S1447" s="1151"/>
      <c r="T1447" s="1044"/>
      <c r="U1447" s="1044"/>
      <c r="V1447" s="1044"/>
      <c r="W1447" s="1044"/>
      <c r="X1447" s="1143"/>
      <c r="Y1447" s="1157" t="s">
        <v>2191</v>
      </c>
      <c r="Z1447" s="358">
        <v>120803450.87</v>
      </c>
      <c r="AA1447" s="358">
        <v>0</v>
      </c>
      <c r="AB1447" s="358">
        <f t="shared" si="90"/>
        <v>120803450.87</v>
      </c>
      <c r="AC1447" s="1120">
        <v>42881</v>
      </c>
      <c r="AD1447" s="395">
        <v>120803450.87</v>
      </c>
      <c r="AE1447" s="371" t="s">
        <v>7</v>
      </c>
      <c r="AF1447" s="1044"/>
      <c r="AG1447" s="1044"/>
      <c r="AH1447" s="358">
        <f t="shared" si="91"/>
        <v>0</v>
      </c>
      <c r="AI1447" s="1044"/>
      <c r="AJ1447" s="1044"/>
      <c r="AK1447" s="1044"/>
      <c r="AL1447" s="1044"/>
      <c r="AM1447" s="1044"/>
      <c r="AN1447" s="1173"/>
      <c r="AO1447" s="1176"/>
      <c r="AP1447" s="1176"/>
      <c r="AQ1447" s="1176"/>
    </row>
    <row r="1448" spans="1:43" s="29" customFormat="1" ht="15" customHeight="1">
      <c r="A1448" s="1143"/>
      <c r="B1448" s="1121"/>
      <c r="C1448" s="1143"/>
      <c r="D1448" s="1143"/>
      <c r="E1448" s="1179"/>
      <c r="F1448" s="1179"/>
      <c r="G1448" s="1143"/>
      <c r="H1448" s="1143"/>
      <c r="I1448" s="1143"/>
      <c r="J1448" s="1143"/>
      <c r="K1448" s="1143"/>
      <c r="L1448" s="1143"/>
      <c r="M1448" s="1168"/>
      <c r="N1448" s="1158"/>
      <c r="O1448" s="1044"/>
      <c r="P1448" s="1044"/>
      <c r="Q1448" s="1044"/>
      <c r="R1448" s="1121"/>
      <c r="S1448" s="1151"/>
      <c r="T1448" s="1044"/>
      <c r="U1448" s="1044"/>
      <c r="V1448" s="1044"/>
      <c r="W1448" s="1044"/>
      <c r="X1448" s="1143"/>
      <c r="Y1448" s="1159"/>
      <c r="Z1448" s="358">
        <v>301214060.50999999</v>
      </c>
      <c r="AA1448" s="358">
        <v>-137688575</v>
      </c>
      <c r="AB1448" s="358">
        <f t="shared" si="90"/>
        <v>163525485.50999999</v>
      </c>
      <c r="AC1448" s="1160"/>
      <c r="AD1448" s="395">
        <v>163525505.50999999</v>
      </c>
      <c r="AE1448" s="371" t="s">
        <v>137</v>
      </c>
      <c r="AF1448" s="1044"/>
      <c r="AG1448" s="1044"/>
      <c r="AH1448" s="358">
        <f t="shared" si="91"/>
        <v>-20</v>
      </c>
      <c r="AI1448" s="1044"/>
      <c r="AJ1448" s="1044"/>
      <c r="AK1448" s="1044"/>
      <c r="AL1448" s="1044"/>
      <c r="AM1448" s="1044"/>
      <c r="AN1448" s="1173"/>
      <c r="AO1448" s="1176"/>
      <c r="AP1448" s="1176"/>
      <c r="AQ1448" s="1176"/>
    </row>
    <row r="1449" spans="1:43" s="29" customFormat="1" ht="15" customHeight="1">
      <c r="A1449" s="1143"/>
      <c r="B1449" s="1121"/>
      <c r="C1449" s="1143"/>
      <c r="D1449" s="1143"/>
      <c r="E1449" s="1179"/>
      <c r="F1449" s="1179"/>
      <c r="G1449" s="1143"/>
      <c r="H1449" s="1143"/>
      <c r="I1449" s="1143"/>
      <c r="J1449" s="1143"/>
      <c r="K1449" s="1143"/>
      <c r="L1449" s="1143"/>
      <c r="M1449" s="1168"/>
      <c r="N1449" s="1158"/>
      <c r="O1449" s="1044"/>
      <c r="P1449" s="1044"/>
      <c r="Q1449" s="1044"/>
      <c r="R1449" s="1121"/>
      <c r="S1449" s="1151"/>
      <c r="T1449" s="1044"/>
      <c r="U1449" s="1044"/>
      <c r="V1449" s="1044"/>
      <c r="W1449" s="1044"/>
      <c r="X1449" s="1143"/>
      <c r="Y1449" s="1157"/>
      <c r="Z1449" s="358"/>
      <c r="AA1449" s="358"/>
      <c r="AB1449" s="358">
        <f t="shared" si="90"/>
        <v>0</v>
      </c>
      <c r="AC1449" s="1120"/>
      <c r="AD1449" s="395"/>
      <c r="AE1449" s="371"/>
      <c r="AF1449" s="1044"/>
      <c r="AG1449" s="1044"/>
      <c r="AH1449" s="358">
        <f t="shared" si="91"/>
        <v>0</v>
      </c>
      <c r="AI1449" s="1044"/>
      <c r="AJ1449" s="1044"/>
      <c r="AK1449" s="1044"/>
      <c r="AL1449" s="1044"/>
      <c r="AM1449" s="1044"/>
      <c r="AN1449" s="1173"/>
      <c r="AO1449" s="1176"/>
      <c r="AP1449" s="1176"/>
      <c r="AQ1449" s="1176"/>
    </row>
    <row r="1450" spans="1:43" s="29" customFormat="1" ht="15" customHeight="1">
      <c r="A1450" s="1143"/>
      <c r="B1450" s="1121"/>
      <c r="C1450" s="1143"/>
      <c r="D1450" s="1143"/>
      <c r="E1450" s="1179"/>
      <c r="F1450" s="1179"/>
      <c r="G1450" s="1143"/>
      <c r="H1450" s="1143"/>
      <c r="I1450" s="1143"/>
      <c r="J1450" s="1143"/>
      <c r="K1450" s="1143"/>
      <c r="L1450" s="1143"/>
      <c r="M1450" s="1169"/>
      <c r="N1450" s="1159"/>
      <c r="O1450" s="1045"/>
      <c r="P1450" s="1045"/>
      <c r="Q1450" s="1044"/>
      <c r="R1450" s="1160"/>
      <c r="S1450" s="1152"/>
      <c r="T1450" s="1045"/>
      <c r="U1450" s="1045"/>
      <c r="V1450" s="1045"/>
      <c r="W1450" s="1044"/>
      <c r="X1450" s="1143"/>
      <c r="Y1450" s="1159"/>
      <c r="Z1450" s="358"/>
      <c r="AA1450" s="358"/>
      <c r="AB1450" s="358">
        <f t="shared" si="90"/>
        <v>0</v>
      </c>
      <c r="AC1450" s="1160"/>
      <c r="AD1450" s="395"/>
      <c r="AE1450" s="371"/>
      <c r="AF1450" s="1045"/>
      <c r="AG1450" s="1044"/>
      <c r="AH1450" s="358">
        <f t="shared" si="91"/>
        <v>0</v>
      </c>
      <c r="AI1450" s="1045"/>
      <c r="AJ1450" s="1044"/>
      <c r="AK1450" s="1045"/>
      <c r="AL1450" s="1045"/>
      <c r="AM1450" s="1045"/>
      <c r="AN1450" s="1173"/>
      <c r="AO1450" s="1176"/>
      <c r="AP1450" s="1176"/>
      <c r="AQ1450" s="1176"/>
    </row>
    <row r="1451" spans="1:43" ht="15" customHeight="1">
      <c r="A1451" s="1143"/>
      <c r="B1451" s="1121"/>
      <c r="C1451" s="1143"/>
      <c r="D1451" s="1143"/>
      <c r="E1451" s="1179"/>
      <c r="F1451" s="1179"/>
      <c r="G1451" s="1143"/>
      <c r="H1451" s="1143"/>
      <c r="I1451" s="1143"/>
      <c r="J1451" s="1143"/>
      <c r="K1451" s="1143"/>
      <c r="L1451" s="1143"/>
      <c r="M1451" s="1009">
        <v>6</v>
      </c>
      <c r="N1451" s="1065" t="s">
        <v>131</v>
      </c>
      <c r="O1451" s="1062">
        <v>207113280</v>
      </c>
      <c r="P1451" s="1062">
        <v>207113280</v>
      </c>
      <c r="Q1451" s="1044"/>
      <c r="R1451" s="1068">
        <v>42150</v>
      </c>
      <c r="S1451" s="1092">
        <f>T1451</f>
        <v>207113280</v>
      </c>
      <c r="T1451" s="1092">
        <v>207113280</v>
      </c>
      <c r="U1451" s="1092">
        <f>P1451-T1451</f>
        <v>0</v>
      </c>
      <c r="V1451" s="1092">
        <v>206580118.58000001</v>
      </c>
      <c r="W1451" s="1044"/>
      <c r="X1451" s="1143"/>
      <c r="Y1451" s="372" t="s">
        <v>2194</v>
      </c>
      <c r="Z1451" s="386">
        <v>0</v>
      </c>
      <c r="AA1451" s="386">
        <v>61974035.57</v>
      </c>
      <c r="AB1451" s="386">
        <f t="shared" si="90"/>
        <v>61974035.57</v>
      </c>
      <c r="AC1451" s="384">
        <v>42342</v>
      </c>
      <c r="AD1451" s="395">
        <v>61974035.57</v>
      </c>
      <c r="AE1451" s="371" t="s">
        <v>131</v>
      </c>
      <c r="AF1451" s="1043">
        <f>SUM(AD1451:AD1455)</f>
        <v>196011104.63999999</v>
      </c>
      <c r="AG1451" s="1044"/>
      <c r="AH1451" s="358">
        <f t="shared" si="91"/>
        <v>0</v>
      </c>
      <c r="AI1451" s="1043">
        <f>P1451-AF1451</f>
        <v>11102175.360000014</v>
      </c>
      <c r="AJ1451" s="1044"/>
      <c r="AK1451" s="1062">
        <f>O1451-V1451</f>
        <v>533161.41999998689</v>
      </c>
      <c r="AL1451" s="1062">
        <f>V1451-SUM(Z1451:Z1455)</f>
        <v>10569013.950000018</v>
      </c>
      <c r="AM1451" s="1062"/>
      <c r="AN1451" s="1173"/>
      <c r="AO1451" s="1176"/>
      <c r="AP1451" s="1176"/>
      <c r="AQ1451" s="1176"/>
    </row>
    <row r="1452" spans="1:43" ht="15" customHeight="1">
      <c r="A1452" s="1143"/>
      <c r="B1452" s="1121"/>
      <c r="C1452" s="1143"/>
      <c r="D1452" s="1143"/>
      <c r="E1452" s="1179"/>
      <c r="F1452" s="1179"/>
      <c r="G1452" s="1143"/>
      <c r="H1452" s="1143"/>
      <c r="I1452" s="1143"/>
      <c r="J1452" s="1143"/>
      <c r="K1452" s="1143"/>
      <c r="L1452" s="1143"/>
      <c r="M1452" s="1039"/>
      <c r="N1452" s="1066"/>
      <c r="O1452" s="1063"/>
      <c r="P1452" s="1063"/>
      <c r="Q1452" s="1044"/>
      <c r="R1452" s="1069"/>
      <c r="S1452" s="1093"/>
      <c r="T1452" s="1093"/>
      <c r="U1452" s="1093"/>
      <c r="V1452" s="1093"/>
      <c r="W1452" s="1044"/>
      <c r="X1452" s="1143"/>
      <c r="Y1452" s="372" t="s">
        <v>2193</v>
      </c>
      <c r="Z1452" s="386">
        <v>14460683</v>
      </c>
      <c r="AA1452" s="386">
        <v>-14460683</v>
      </c>
      <c r="AB1452" s="386">
        <f t="shared" si="90"/>
        <v>0</v>
      </c>
      <c r="AC1452" s="384">
        <v>42718</v>
      </c>
      <c r="AD1452" s="395">
        <v>0.01</v>
      </c>
      <c r="AE1452" s="371" t="s">
        <v>131</v>
      </c>
      <c r="AF1452" s="1044"/>
      <c r="AG1452" s="1044"/>
      <c r="AH1452" s="358">
        <f t="shared" si="91"/>
        <v>-0.01</v>
      </c>
      <c r="AI1452" s="1044"/>
      <c r="AJ1452" s="1044"/>
      <c r="AK1452" s="1063"/>
      <c r="AL1452" s="1063"/>
      <c r="AM1452" s="1063"/>
      <c r="AN1452" s="1173"/>
      <c r="AO1452" s="1176"/>
      <c r="AP1452" s="1176"/>
      <c r="AQ1452" s="1176"/>
    </row>
    <row r="1453" spans="1:43" ht="15" customHeight="1">
      <c r="A1453" s="1143"/>
      <c r="B1453" s="1121"/>
      <c r="C1453" s="1143"/>
      <c r="D1453" s="1143"/>
      <c r="E1453" s="1179"/>
      <c r="F1453" s="1179"/>
      <c r="G1453" s="1143"/>
      <c r="H1453" s="1143"/>
      <c r="I1453" s="1143"/>
      <c r="J1453" s="1143"/>
      <c r="K1453" s="1143"/>
      <c r="L1453" s="1143"/>
      <c r="M1453" s="1039"/>
      <c r="N1453" s="1066"/>
      <c r="O1453" s="1063"/>
      <c r="P1453" s="1063"/>
      <c r="Q1453" s="1044"/>
      <c r="R1453" s="1069"/>
      <c r="S1453" s="1093"/>
      <c r="T1453" s="1093"/>
      <c r="U1453" s="1093"/>
      <c r="V1453" s="1093"/>
      <c r="W1453" s="1044"/>
      <c r="X1453" s="1143"/>
      <c r="Y1453" s="372" t="s">
        <v>2192</v>
      </c>
      <c r="Z1453" s="386">
        <v>144606083.00999999</v>
      </c>
      <c r="AA1453" s="386">
        <v>-47513352.57</v>
      </c>
      <c r="AB1453" s="386">
        <f t="shared" si="90"/>
        <v>97092730.439999998</v>
      </c>
      <c r="AC1453" s="384">
        <v>42751</v>
      </c>
      <c r="AD1453" s="395">
        <v>97092730.439999998</v>
      </c>
      <c r="AE1453" s="371" t="s">
        <v>131</v>
      </c>
      <c r="AF1453" s="1044"/>
      <c r="AG1453" s="1044"/>
      <c r="AH1453" s="358">
        <f t="shared" si="91"/>
        <v>0</v>
      </c>
      <c r="AI1453" s="1044"/>
      <c r="AJ1453" s="1044"/>
      <c r="AK1453" s="1063"/>
      <c r="AL1453" s="1063"/>
      <c r="AM1453" s="1063"/>
      <c r="AN1453" s="1173"/>
      <c r="AO1453" s="1176"/>
      <c r="AP1453" s="1176"/>
      <c r="AQ1453" s="1176"/>
    </row>
    <row r="1454" spans="1:43" ht="15" customHeight="1">
      <c r="A1454" s="1143"/>
      <c r="B1454" s="1121"/>
      <c r="C1454" s="1143"/>
      <c r="D1454" s="1143"/>
      <c r="E1454" s="1179"/>
      <c r="F1454" s="1179"/>
      <c r="G1454" s="1143"/>
      <c r="H1454" s="1143"/>
      <c r="I1454" s="1143"/>
      <c r="J1454" s="1143"/>
      <c r="K1454" s="1143"/>
      <c r="L1454" s="1143"/>
      <c r="M1454" s="1039"/>
      <c r="N1454" s="1066"/>
      <c r="O1454" s="1063"/>
      <c r="P1454" s="1063"/>
      <c r="Q1454" s="1044"/>
      <c r="R1454" s="1069"/>
      <c r="S1454" s="1093"/>
      <c r="T1454" s="1093"/>
      <c r="U1454" s="1093"/>
      <c r="V1454" s="1093"/>
      <c r="W1454" s="1044"/>
      <c r="X1454" s="1143"/>
      <c r="Y1454" s="372" t="s">
        <v>2191</v>
      </c>
      <c r="Z1454" s="386">
        <v>36944338.619999997</v>
      </c>
      <c r="AA1454" s="386">
        <v>0</v>
      </c>
      <c r="AB1454" s="386">
        <f t="shared" si="90"/>
        <v>36944338.619999997</v>
      </c>
      <c r="AC1454" s="384">
        <v>42881</v>
      </c>
      <c r="AD1454" s="395">
        <v>36944338.619999997</v>
      </c>
      <c r="AE1454" s="371" t="s">
        <v>131</v>
      </c>
      <c r="AF1454" s="1044"/>
      <c r="AG1454" s="1044"/>
      <c r="AH1454" s="358">
        <f t="shared" si="91"/>
        <v>0</v>
      </c>
      <c r="AI1454" s="1044"/>
      <c r="AJ1454" s="1044"/>
      <c r="AK1454" s="1063"/>
      <c r="AL1454" s="1063"/>
      <c r="AM1454" s="1063"/>
      <c r="AN1454" s="1173"/>
      <c r="AO1454" s="1176"/>
      <c r="AP1454" s="1176"/>
      <c r="AQ1454" s="1176"/>
    </row>
    <row r="1455" spans="1:43" ht="15" customHeight="1">
      <c r="A1455" s="1144"/>
      <c r="B1455" s="1160"/>
      <c r="C1455" s="1144"/>
      <c r="D1455" s="1144"/>
      <c r="E1455" s="1180"/>
      <c r="F1455" s="1180"/>
      <c r="G1455" s="1144"/>
      <c r="H1455" s="1144"/>
      <c r="I1455" s="1144"/>
      <c r="J1455" s="1144"/>
      <c r="K1455" s="1144"/>
      <c r="L1455" s="1144"/>
      <c r="M1455" s="1010"/>
      <c r="N1455" s="1067"/>
      <c r="O1455" s="1064"/>
      <c r="P1455" s="1064"/>
      <c r="Q1455" s="1045"/>
      <c r="R1455" s="1070"/>
      <c r="S1455" s="1094"/>
      <c r="T1455" s="1094"/>
      <c r="U1455" s="1094"/>
      <c r="V1455" s="1094"/>
      <c r="W1455" s="1045"/>
      <c r="X1455" s="1144"/>
      <c r="Y1455" s="372"/>
      <c r="Z1455" s="386"/>
      <c r="AA1455" s="386"/>
      <c r="AB1455" s="386">
        <f t="shared" si="90"/>
        <v>0</v>
      </c>
      <c r="AC1455" s="384"/>
      <c r="AD1455" s="395"/>
      <c r="AE1455" s="371"/>
      <c r="AF1455" s="1045"/>
      <c r="AG1455" s="1045"/>
      <c r="AH1455" s="358">
        <f t="shared" si="91"/>
        <v>0</v>
      </c>
      <c r="AI1455" s="1045"/>
      <c r="AJ1455" s="1045"/>
      <c r="AK1455" s="1064"/>
      <c r="AL1455" s="1064"/>
      <c r="AM1455" s="1064"/>
      <c r="AN1455" s="1174"/>
      <c r="AO1455" s="1177"/>
      <c r="AP1455" s="1177"/>
      <c r="AQ1455" s="1177"/>
    </row>
    <row r="1456" spans="1:43" ht="15" customHeight="1">
      <c r="A1456" s="1011" t="s">
        <v>2205</v>
      </c>
      <c r="B1456" s="1068">
        <v>42306</v>
      </c>
      <c r="C1456" s="1011" t="s">
        <v>44</v>
      </c>
      <c r="D1456" s="1011" t="s">
        <v>1812</v>
      </c>
      <c r="E1456" s="1071">
        <v>19244039</v>
      </c>
      <c r="F1456" s="1071"/>
      <c r="G1456" s="1011" t="s">
        <v>2204</v>
      </c>
      <c r="H1456" s="1011" t="s">
        <v>72</v>
      </c>
      <c r="I1456" s="1011" t="s">
        <v>206</v>
      </c>
      <c r="J1456" s="1011" t="s">
        <v>489</v>
      </c>
      <c r="K1456" s="1011" t="s">
        <v>48</v>
      </c>
      <c r="L1456" s="1011"/>
      <c r="M1456" s="1009">
        <v>11</v>
      </c>
      <c r="N1456" s="1065" t="s">
        <v>141</v>
      </c>
      <c r="O1456" s="1062">
        <v>152727250</v>
      </c>
      <c r="P1456" s="1062">
        <v>152727250</v>
      </c>
      <c r="Q1456" s="1062">
        <f>P1456+P1459</f>
        <v>214490731</v>
      </c>
      <c r="R1456" s="1068">
        <v>42173</v>
      </c>
      <c r="S1456" s="1092">
        <f>T1456</f>
        <v>152727250</v>
      </c>
      <c r="T1456" s="1062">
        <v>152727250</v>
      </c>
      <c r="U1456" s="1092">
        <f>P1456-T1456</f>
        <v>0</v>
      </c>
      <c r="V1456" s="1043">
        <v>150846850</v>
      </c>
      <c r="W1456" s="1043">
        <f>V1456+V1459</f>
        <v>212610331</v>
      </c>
      <c r="X1456" s="1011" t="s">
        <v>2203</v>
      </c>
      <c r="Y1456" s="372" t="s">
        <v>2202</v>
      </c>
      <c r="Z1456" s="386">
        <v>0</v>
      </c>
      <c r="AA1456" s="386">
        <v>15084685</v>
      </c>
      <c r="AB1456" s="386">
        <f t="shared" si="90"/>
        <v>15084685</v>
      </c>
      <c r="AC1456" s="384">
        <v>42366</v>
      </c>
      <c r="AD1456" s="395">
        <v>15084685</v>
      </c>
      <c r="AE1456" s="371" t="s">
        <v>141</v>
      </c>
      <c r="AF1456" s="1043">
        <f>SUM(AD1456:AD1458)</f>
        <v>122246235.56</v>
      </c>
      <c r="AG1456" s="1043">
        <f>AF1456+AF1459</f>
        <v>122246235.56</v>
      </c>
      <c r="AH1456" s="358">
        <f t="shared" si="91"/>
        <v>0</v>
      </c>
      <c r="AI1456" s="1043">
        <f>P1456-AF1456</f>
        <v>30481014.439999998</v>
      </c>
      <c r="AJ1456" s="1062">
        <f>SUM(Z1456:Z1459)-SUM(AD1456:AD1459)</f>
        <v>-3177846.049999997</v>
      </c>
      <c r="AK1456" s="1062">
        <f>P1456-V1456</f>
        <v>1880400</v>
      </c>
      <c r="AL1456" s="1062">
        <f>V1456-SUM(Z1456:Z1458)+AJ1456</f>
        <v>28600614.439999998</v>
      </c>
      <c r="AM1456" s="1062"/>
      <c r="AN1456" s="1108"/>
      <c r="AO1456" s="1103" t="s">
        <v>2315</v>
      </c>
      <c r="AP1456" s="1103" t="s">
        <v>194</v>
      </c>
      <c r="AQ1456" s="1103" t="s">
        <v>1911</v>
      </c>
    </row>
    <row r="1457" spans="1:43" ht="15" customHeight="1">
      <c r="A1457" s="1033"/>
      <c r="B1457" s="1069"/>
      <c r="C1457" s="1033"/>
      <c r="D1457" s="1033"/>
      <c r="E1457" s="1072"/>
      <c r="F1457" s="1072"/>
      <c r="G1457" s="1033"/>
      <c r="H1457" s="1033"/>
      <c r="I1457" s="1033"/>
      <c r="J1457" s="1033"/>
      <c r="K1457" s="1033"/>
      <c r="L1457" s="1033"/>
      <c r="M1457" s="1039"/>
      <c r="N1457" s="1066"/>
      <c r="O1457" s="1063"/>
      <c r="P1457" s="1063"/>
      <c r="Q1457" s="1063"/>
      <c r="R1457" s="1069"/>
      <c r="S1457" s="1093"/>
      <c r="T1457" s="1063"/>
      <c r="U1457" s="1093"/>
      <c r="V1457" s="1044"/>
      <c r="W1457" s="1044"/>
      <c r="X1457" s="1033"/>
      <c r="Y1457" s="372" t="s">
        <v>2201</v>
      </c>
      <c r="Z1457" s="386">
        <v>119068389.51000001</v>
      </c>
      <c r="AA1457" s="386">
        <v>-11906838.949999999</v>
      </c>
      <c r="AB1457" s="386">
        <f t="shared" si="90"/>
        <v>107161550.56</v>
      </c>
      <c r="AC1457" s="384">
        <v>42731</v>
      </c>
      <c r="AD1457" s="395">
        <v>107161550.56</v>
      </c>
      <c r="AE1457" s="371" t="s">
        <v>141</v>
      </c>
      <c r="AF1457" s="1044"/>
      <c r="AG1457" s="1044"/>
      <c r="AH1457" s="358">
        <f t="shared" si="91"/>
        <v>0</v>
      </c>
      <c r="AI1457" s="1044"/>
      <c r="AJ1457" s="1063"/>
      <c r="AK1457" s="1063"/>
      <c r="AL1457" s="1063"/>
      <c r="AM1457" s="1063"/>
      <c r="AN1457" s="1109"/>
      <c r="AO1457" s="1104"/>
      <c r="AP1457" s="1104"/>
      <c r="AQ1457" s="1104"/>
    </row>
    <row r="1458" spans="1:43" ht="15" customHeight="1">
      <c r="A1458" s="1033"/>
      <c r="B1458" s="1069"/>
      <c r="C1458" s="1033"/>
      <c r="D1458" s="1033"/>
      <c r="E1458" s="1072"/>
      <c r="F1458" s="1072"/>
      <c r="G1458" s="1033"/>
      <c r="H1458" s="1033"/>
      <c r="I1458" s="1033"/>
      <c r="J1458" s="1012"/>
      <c r="K1458" s="1033"/>
      <c r="L1458" s="1033"/>
      <c r="M1458" s="1010"/>
      <c r="N1458" s="1067"/>
      <c r="O1458" s="1064"/>
      <c r="P1458" s="1064"/>
      <c r="Q1458" s="1063"/>
      <c r="R1458" s="1070"/>
      <c r="S1458" s="1094"/>
      <c r="T1458" s="1064"/>
      <c r="U1458" s="1094"/>
      <c r="V1458" s="1045"/>
      <c r="W1458" s="1044"/>
      <c r="X1458" s="1033"/>
      <c r="Y1458" s="372"/>
      <c r="Z1458" s="386"/>
      <c r="AA1458" s="386"/>
      <c r="AB1458" s="386">
        <f t="shared" si="90"/>
        <v>0</v>
      </c>
      <c r="AC1458" s="384"/>
      <c r="AD1458" s="395"/>
      <c r="AE1458" s="371"/>
      <c r="AF1458" s="1045"/>
      <c r="AG1458" s="1044"/>
      <c r="AH1458" s="358">
        <f t="shared" si="91"/>
        <v>0</v>
      </c>
      <c r="AI1458" s="1045"/>
      <c r="AJ1458" s="1063"/>
      <c r="AK1458" s="1064"/>
      <c r="AL1458" s="1064"/>
      <c r="AM1458" s="1064"/>
      <c r="AN1458" s="1109"/>
      <c r="AO1458" s="1104"/>
      <c r="AP1458" s="1104"/>
      <c r="AQ1458" s="1104"/>
    </row>
    <row r="1459" spans="1:43" ht="15" customHeight="1">
      <c r="A1459" s="1012"/>
      <c r="B1459" s="1070"/>
      <c r="C1459" s="1012"/>
      <c r="D1459" s="1012"/>
      <c r="E1459" s="1073"/>
      <c r="F1459" s="1073"/>
      <c r="G1459" s="1012"/>
      <c r="H1459" s="1012"/>
      <c r="I1459" s="1012"/>
      <c r="J1459" s="354" t="s">
        <v>67</v>
      </c>
      <c r="K1459" s="1012"/>
      <c r="L1459" s="1012"/>
      <c r="M1459" s="389">
        <v>14</v>
      </c>
      <c r="N1459" s="372" t="s">
        <v>141</v>
      </c>
      <c r="O1459" s="386">
        <v>61763481</v>
      </c>
      <c r="P1459" s="386">
        <v>61763481</v>
      </c>
      <c r="Q1459" s="1064"/>
      <c r="R1459" s="384">
        <v>42689</v>
      </c>
      <c r="S1459" s="390">
        <f>T1459</f>
        <v>61763481</v>
      </c>
      <c r="T1459" s="386">
        <v>61763481</v>
      </c>
      <c r="U1459" s="386">
        <f>P1459-T1459</f>
        <v>0</v>
      </c>
      <c r="V1459" s="358">
        <v>61763481</v>
      </c>
      <c r="W1459" s="1045"/>
      <c r="X1459" s="1012"/>
      <c r="Y1459" s="372"/>
      <c r="Z1459" s="386"/>
      <c r="AA1459" s="386"/>
      <c r="AB1459" s="386">
        <f t="shared" si="90"/>
        <v>0</v>
      </c>
      <c r="AC1459" s="384"/>
      <c r="AD1459" s="395"/>
      <c r="AE1459" s="371"/>
      <c r="AF1459" s="358">
        <f>AD1459</f>
        <v>0</v>
      </c>
      <c r="AG1459" s="1045"/>
      <c r="AH1459" s="358">
        <f t="shared" si="91"/>
        <v>0</v>
      </c>
      <c r="AI1459" s="358">
        <f>P1459-AF1459</f>
        <v>61763481</v>
      </c>
      <c r="AJ1459" s="1064"/>
      <c r="AK1459" s="386">
        <f>P1459-V1459</f>
        <v>0</v>
      </c>
      <c r="AL1459" s="386">
        <f>V1459-Z1459</f>
        <v>61763481</v>
      </c>
      <c r="AM1459" s="386"/>
      <c r="AN1459" s="1110"/>
      <c r="AO1459" s="1105"/>
      <c r="AP1459" s="1105"/>
      <c r="AQ1459" s="1105"/>
    </row>
    <row r="1460" spans="1:43" ht="15" customHeight="1">
      <c r="A1460" s="1011" t="s">
        <v>1857</v>
      </c>
      <c r="B1460" s="1068">
        <v>42306</v>
      </c>
      <c r="C1460" s="1011" t="s">
        <v>11</v>
      </c>
      <c r="D1460" s="1011" t="s">
        <v>1855</v>
      </c>
      <c r="E1460" s="1071">
        <v>900902598</v>
      </c>
      <c r="F1460" s="1071">
        <v>8</v>
      </c>
      <c r="G1460" s="1011" t="s">
        <v>1856</v>
      </c>
      <c r="H1460" s="1011" t="s">
        <v>70</v>
      </c>
      <c r="I1460" s="1011" t="s">
        <v>206</v>
      </c>
      <c r="J1460" s="1011" t="s">
        <v>66</v>
      </c>
      <c r="K1460" s="1011" t="s">
        <v>49</v>
      </c>
      <c r="L1460" s="1011" t="s">
        <v>1859</v>
      </c>
      <c r="M1460" s="1167">
        <v>9</v>
      </c>
      <c r="N1460" s="1065" t="s">
        <v>131</v>
      </c>
      <c r="O1460" s="1062">
        <v>161453051</v>
      </c>
      <c r="P1460" s="1062">
        <v>161453051</v>
      </c>
      <c r="Q1460" s="1062">
        <v>161453051</v>
      </c>
      <c r="R1460" s="1068">
        <v>42219</v>
      </c>
      <c r="S1460" s="1092">
        <f>T1460</f>
        <v>161453051</v>
      </c>
      <c r="T1460" s="1062">
        <v>161453051</v>
      </c>
      <c r="U1460" s="1062">
        <f>O1460-T1460</f>
        <v>0</v>
      </c>
      <c r="V1460" s="1043">
        <v>161430240</v>
      </c>
      <c r="W1460" s="1062">
        <v>161430240</v>
      </c>
      <c r="X1460" s="1011" t="s">
        <v>1858</v>
      </c>
      <c r="Y1460" s="372" t="s">
        <v>1860</v>
      </c>
      <c r="Z1460" s="386">
        <v>0</v>
      </c>
      <c r="AA1460" s="386">
        <v>16143024</v>
      </c>
      <c r="AB1460" s="386">
        <f t="shared" si="90"/>
        <v>16143024</v>
      </c>
      <c r="AC1460" s="384">
        <v>42366</v>
      </c>
      <c r="AD1460" s="395">
        <v>16143024</v>
      </c>
      <c r="AE1460" s="371" t="s">
        <v>131</v>
      </c>
      <c r="AF1460" s="1043">
        <f>SUM(AD1460:AD1462)</f>
        <v>113001168</v>
      </c>
      <c r="AG1460" s="1043">
        <f>AF1460</f>
        <v>113001168</v>
      </c>
      <c r="AH1460" s="358">
        <f t="shared" si="91"/>
        <v>0</v>
      </c>
      <c r="AI1460" s="1043">
        <f>P1460-SUM(AD1460:AD1462)</f>
        <v>48451883</v>
      </c>
      <c r="AJ1460" s="1062">
        <f>SUM(Z1460:Z1462)-SUM(AD1460:AD1462)</f>
        <v>0</v>
      </c>
      <c r="AK1460" s="1062">
        <f>P1460-V1460</f>
        <v>22811</v>
      </c>
      <c r="AL1460" s="1062">
        <f>V1460-SUM(Z1460:Z1462)</f>
        <v>48429072</v>
      </c>
      <c r="AM1460" s="1062"/>
      <c r="AN1460" s="1108"/>
      <c r="AO1460" s="1103" t="s">
        <v>1767</v>
      </c>
      <c r="AP1460" s="1103" t="s">
        <v>194</v>
      </c>
      <c r="AQ1460" s="1103" t="s">
        <v>1619</v>
      </c>
    </row>
    <row r="1461" spans="1:43" ht="15" customHeight="1">
      <c r="A1461" s="1033"/>
      <c r="B1461" s="1069"/>
      <c r="C1461" s="1033"/>
      <c r="D1461" s="1033"/>
      <c r="E1461" s="1072"/>
      <c r="F1461" s="1072"/>
      <c r="G1461" s="1033"/>
      <c r="H1461" s="1033"/>
      <c r="I1461" s="1033"/>
      <c r="J1461" s="1033"/>
      <c r="K1461" s="1033"/>
      <c r="L1461" s="1033"/>
      <c r="M1461" s="1168"/>
      <c r="N1461" s="1066"/>
      <c r="O1461" s="1063"/>
      <c r="P1461" s="1063"/>
      <c r="Q1461" s="1063"/>
      <c r="R1461" s="1069"/>
      <c r="S1461" s="1093"/>
      <c r="T1461" s="1063"/>
      <c r="U1461" s="1063"/>
      <c r="V1461" s="1044"/>
      <c r="W1461" s="1063"/>
      <c r="X1461" s="1033"/>
      <c r="Y1461" s="372" t="s">
        <v>1861</v>
      </c>
      <c r="Z1461" s="386">
        <v>113001168</v>
      </c>
      <c r="AA1461" s="386">
        <v>-16143024</v>
      </c>
      <c r="AB1461" s="386">
        <f>Z1461+AA1461</f>
        <v>96858144</v>
      </c>
      <c r="AC1461" s="384">
        <v>42895</v>
      </c>
      <c r="AD1461" s="395">
        <v>96858144</v>
      </c>
      <c r="AE1461" s="371" t="s">
        <v>131</v>
      </c>
      <c r="AF1461" s="1044"/>
      <c r="AG1461" s="1044"/>
      <c r="AH1461" s="358">
        <f>AB1461-AD1461</f>
        <v>0</v>
      </c>
      <c r="AI1461" s="1044"/>
      <c r="AJ1461" s="1063"/>
      <c r="AK1461" s="1063"/>
      <c r="AL1461" s="1063"/>
      <c r="AM1461" s="1063"/>
      <c r="AN1461" s="1109"/>
      <c r="AO1461" s="1104"/>
      <c r="AP1461" s="1104"/>
      <c r="AQ1461" s="1104"/>
    </row>
    <row r="1462" spans="1:43" ht="15" customHeight="1">
      <c r="A1462" s="1012"/>
      <c r="B1462" s="1070"/>
      <c r="C1462" s="1012"/>
      <c r="D1462" s="1012"/>
      <c r="E1462" s="1073"/>
      <c r="F1462" s="1073"/>
      <c r="G1462" s="1012"/>
      <c r="H1462" s="1012"/>
      <c r="I1462" s="1012"/>
      <c r="J1462" s="1012"/>
      <c r="K1462" s="1012"/>
      <c r="L1462" s="1012"/>
      <c r="M1462" s="1169"/>
      <c r="N1462" s="1067"/>
      <c r="O1462" s="1064"/>
      <c r="P1462" s="1064"/>
      <c r="Q1462" s="1064"/>
      <c r="R1462" s="1070"/>
      <c r="S1462" s="1094"/>
      <c r="T1462" s="1064"/>
      <c r="U1462" s="1064"/>
      <c r="V1462" s="1045"/>
      <c r="W1462" s="1064"/>
      <c r="X1462" s="1012"/>
      <c r="Y1462" s="372"/>
      <c r="Z1462" s="386"/>
      <c r="AA1462" s="386"/>
      <c r="AB1462" s="386">
        <f>Z1462+AA1462</f>
        <v>0</v>
      </c>
      <c r="AC1462" s="384"/>
      <c r="AD1462" s="395"/>
      <c r="AE1462" s="371"/>
      <c r="AF1462" s="1045"/>
      <c r="AG1462" s="1045"/>
      <c r="AH1462" s="358">
        <f>AB1462-AD1462</f>
        <v>0</v>
      </c>
      <c r="AI1462" s="1045"/>
      <c r="AJ1462" s="1064"/>
      <c r="AK1462" s="1064"/>
      <c r="AL1462" s="1064"/>
      <c r="AM1462" s="1064"/>
      <c r="AN1462" s="1110"/>
      <c r="AO1462" s="1105"/>
      <c r="AP1462" s="1105"/>
      <c r="AQ1462" s="1105"/>
    </row>
    <row r="1463" spans="1:43" ht="15" customHeight="1">
      <c r="A1463" s="1011" t="s">
        <v>2011</v>
      </c>
      <c r="B1463" s="1068">
        <v>42317</v>
      </c>
      <c r="C1463" s="1011" t="s">
        <v>36</v>
      </c>
      <c r="D1463" s="1011" t="s">
        <v>2013</v>
      </c>
      <c r="E1463" s="1071">
        <v>900905890</v>
      </c>
      <c r="F1463" s="1071">
        <v>8</v>
      </c>
      <c r="G1463" s="1011" t="s">
        <v>2012</v>
      </c>
      <c r="H1463" s="1011" t="s">
        <v>70</v>
      </c>
      <c r="I1463" s="1011" t="s">
        <v>206</v>
      </c>
      <c r="J1463" s="1011" t="s">
        <v>66</v>
      </c>
      <c r="K1463" s="1011" t="s">
        <v>49</v>
      </c>
      <c r="L1463" s="1011" t="s">
        <v>2014</v>
      </c>
      <c r="M1463" s="1145">
        <v>11</v>
      </c>
      <c r="N1463" s="1065" t="s">
        <v>161</v>
      </c>
      <c r="O1463" s="1062">
        <v>118192388</v>
      </c>
      <c r="P1463" s="1062">
        <v>118192388</v>
      </c>
      <c r="Q1463" s="1062">
        <v>118192388</v>
      </c>
      <c r="R1463" s="1068">
        <v>42208</v>
      </c>
      <c r="S1463" s="1092">
        <f>T1463</f>
        <v>118192388</v>
      </c>
      <c r="T1463" s="1092">
        <v>118192388</v>
      </c>
      <c r="U1463" s="1092">
        <f>O1463-T1463</f>
        <v>0</v>
      </c>
      <c r="V1463" s="1043">
        <v>118192388</v>
      </c>
      <c r="W1463" s="1043">
        <v>118192388</v>
      </c>
      <c r="X1463" s="1011" t="s">
        <v>1934</v>
      </c>
      <c r="Y1463" s="372" t="s">
        <v>2015</v>
      </c>
      <c r="Z1463" s="386">
        <v>88644291</v>
      </c>
      <c r="AA1463" s="386">
        <v>0</v>
      </c>
      <c r="AB1463" s="386">
        <f t="shared" ref="AB1463:AB1500" si="92">Z1463+AA1463</f>
        <v>88644291</v>
      </c>
      <c r="AC1463" s="384">
        <v>43055</v>
      </c>
      <c r="AD1463" s="395">
        <v>88644291</v>
      </c>
      <c r="AE1463" s="371" t="s">
        <v>161</v>
      </c>
      <c r="AF1463" s="1043">
        <f>AD1463+AD1464</f>
        <v>88644291</v>
      </c>
      <c r="AG1463" s="1043">
        <f>AF1463</f>
        <v>88644291</v>
      </c>
      <c r="AH1463" s="358">
        <f>AB1463-AD1463</f>
        <v>0</v>
      </c>
      <c r="AI1463" s="1043">
        <f>P1463-AF1463</f>
        <v>29548097</v>
      </c>
      <c r="AJ1463" s="1062">
        <f>SUM(Z1463:Z1464)-SUM(AD1463:AD1464)</f>
        <v>0</v>
      </c>
      <c r="AK1463" s="1062">
        <f>P1463-V1463</f>
        <v>0</v>
      </c>
      <c r="AL1463" s="1062">
        <f>V1463-Z1463-Z1464</f>
        <v>29548097</v>
      </c>
      <c r="AM1463" s="1062"/>
      <c r="AN1463" s="1103"/>
      <c r="AO1463" s="1103" t="s">
        <v>2016</v>
      </c>
      <c r="AP1463" s="1103" t="s">
        <v>194</v>
      </c>
      <c r="AQ1463" s="1103" t="s">
        <v>1911</v>
      </c>
    </row>
    <row r="1464" spans="1:43" ht="15" customHeight="1">
      <c r="A1464" s="1012"/>
      <c r="B1464" s="1070"/>
      <c r="C1464" s="1012"/>
      <c r="D1464" s="1012"/>
      <c r="E1464" s="1073"/>
      <c r="F1464" s="1073"/>
      <c r="G1464" s="1012"/>
      <c r="H1464" s="1012"/>
      <c r="I1464" s="1012"/>
      <c r="J1464" s="1012"/>
      <c r="K1464" s="1012"/>
      <c r="L1464" s="1012"/>
      <c r="M1464" s="1147"/>
      <c r="N1464" s="1067"/>
      <c r="O1464" s="1064"/>
      <c r="P1464" s="1064"/>
      <c r="Q1464" s="1064"/>
      <c r="R1464" s="1070"/>
      <c r="S1464" s="1094"/>
      <c r="T1464" s="1094"/>
      <c r="U1464" s="1094"/>
      <c r="V1464" s="1045"/>
      <c r="W1464" s="1045"/>
      <c r="X1464" s="1012"/>
      <c r="Y1464" s="372"/>
      <c r="Z1464" s="386"/>
      <c r="AA1464" s="386"/>
      <c r="AB1464" s="386">
        <f t="shared" si="92"/>
        <v>0</v>
      </c>
      <c r="AC1464" s="384"/>
      <c r="AD1464" s="395"/>
      <c r="AE1464" s="371"/>
      <c r="AF1464" s="1045"/>
      <c r="AG1464" s="1045"/>
      <c r="AH1464" s="358">
        <f>AB1464-AD1464</f>
        <v>0</v>
      </c>
      <c r="AI1464" s="1045"/>
      <c r="AJ1464" s="1064"/>
      <c r="AK1464" s="1064"/>
      <c r="AL1464" s="1064"/>
      <c r="AM1464" s="1064"/>
      <c r="AN1464" s="1105"/>
      <c r="AO1464" s="1105"/>
      <c r="AP1464" s="1105"/>
      <c r="AQ1464" s="1105"/>
    </row>
    <row r="1465" spans="1:43" ht="15" customHeight="1">
      <c r="A1465" s="1011" t="s">
        <v>1910</v>
      </c>
      <c r="B1465" s="1068">
        <v>43066</v>
      </c>
      <c r="C1465" s="1011" t="s">
        <v>39</v>
      </c>
      <c r="D1465" s="1011" t="s">
        <v>1913</v>
      </c>
      <c r="E1465" s="1071">
        <v>10301085</v>
      </c>
      <c r="F1465" s="1071"/>
      <c r="G1465" s="1011" t="s">
        <v>1912</v>
      </c>
      <c r="H1465" s="1011" t="s">
        <v>70</v>
      </c>
      <c r="I1465" s="1011" t="s">
        <v>206</v>
      </c>
      <c r="J1465" s="1011" t="s">
        <v>66</v>
      </c>
      <c r="K1465" s="1011" t="s">
        <v>49</v>
      </c>
      <c r="L1465" s="1011" t="s">
        <v>1915</v>
      </c>
      <c r="M1465" s="1145">
        <v>10</v>
      </c>
      <c r="N1465" s="1065" t="s">
        <v>164</v>
      </c>
      <c r="O1465" s="1062">
        <v>4240000</v>
      </c>
      <c r="P1465" s="1062">
        <v>4240000</v>
      </c>
      <c r="Q1465" s="1062">
        <f>P1465+P1469+P1473+P1477+P1481+P1485+P1489+P1493+P1497</f>
        <v>36720000</v>
      </c>
      <c r="R1465" s="1068">
        <v>42164</v>
      </c>
      <c r="S1465" s="1092">
        <f>T1465</f>
        <v>4240000</v>
      </c>
      <c r="T1465" s="1092">
        <v>4240000</v>
      </c>
      <c r="U1465" s="1092">
        <f>O1465-T1465</f>
        <v>0</v>
      </c>
      <c r="V1465" s="1043">
        <v>4238626</v>
      </c>
      <c r="W1465" s="1043">
        <v>36708100</v>
      </c>
      <c r="X1465" s="1011" t="s">
        <v>1914</v>
      </c>
      <c r="Y1465" s="372" t="s">
        <v>1917</v>
      </c>
      <c r="Z1465" s="386">
        <v>0</v>
      </c>
      <c r="AA1465" s="386">
        <v>423862.6</v>
      </c>
      <c r="AB1465" s="386">
        <f t="shared" si="92"/>
        <v>423862.6</v>
      </c>
      <c r="AC1465" s="384">
        <v>42366</v>
      </c>
      <c r="AD1465" s="395">
        <v>423862.6</v>
      </c>
      <c r="AE1465" s="371" t="s">
        <v>164</v>
      </c>
      <c r="AF1465" s="1043">
        <f>SUM(AD1465:AD1468)</f>
        <v>3509182.58</v>
      </c>
      <c r="AG1465" s="1043">
        <f>AF1465+AF1469+AF1473+AF1477+AF1481+AF1485+AF1489+AF1493+AF1497</f>
        <v>31917693.060000002</v>
      </c>
      <c r="AH1465" s="358"/>
      <c r="AI1465" s="1043">
        <f>O1465-SUM(AD1465:AD1468)</f>
        <v>730817.41999999993</v>
      </c>
      <c r="AJ1465" s="1062"/>
      <c r="AK1465" s="1062">
        <f>P1465-V1465</f>
        <v>1374</v>
      </c>
      <c r="AL1465" s="1062"/>
      <c r="AM1465" s="1062"/>
      <c r="AN1465" s="1108"/>
      <c r="AO1465" s="1103" t="s">
        <v>1916</v>
      </c>
      <c r="AP1465" s="1103" t="s">
        <v>194</v>
      </c>
      <c r="AQ1465" s="1103" t="s">
        <v>1911</v>
      </c>
    </row>
    <row r="1466" spans="1:43" ht="15" customHeight="1">
      <c r="A1466" s="1033"/>
      <c r="B1466" s="1069"/>
      <c r="C1466" s="1033"/>
      <c r="D1466" s="1033"/>
      <c r="E1466" s="1072"/>
      <c r="F1466" s="1072"/>
      <c r="G1466" s="1033"/>
      <c r="H1466" s="1033"/>
      <c r="I1466" s="1033"/>
      <c r="J1466" s="1033"/>
      <c r="K1466" s="1033"/>
      <c r="L1466" s="1033"/>
      <c r="M1466" s="1146"/>
      <c r="N1466" s="1066"/>
      <c r="O1466" s="1063"/>
      <c r="P1466" s="1063"/>
      <c r="Q1466" s="1063"/>
      <c r="R1466" s="1069"/>
      <c r="S1466" s="1093"/>
      <c r="T1466" s="1093"/>
      <c r="U1466" s="1093"/>
      <c r="V1466" s="1044"/>
      <c r="W1466" s="1044"/>
      <c r="X1466" s="1033"/>
      <c r="Y1466" s="372" t="s">
        <v>1918</v>
      </c>
      <c r="Z1466" s="386">
        <v>305136</v>
      </c>
      <c r="AA1466" s="386">
        <v>-186803.44</v>
      </c>
      <c r="AB1466" s="386">
        <f t="shared" si="92"/>
        <v>118332.56</v>
      </c>
      <c r="AC1466" s="1068">
        <v>42822</v>
      </c>
      <c r="AD1466" s="395">
        <v>118332.56</v>
      </c>
      <c r="AE1466" s="371" t="s">
        <v>164</v>
      </c>
      <c r="AF1466" s="1044"/>
      <c r="AG1466" s="1044"/>
      <c r="AH1466" s="358"/>
      <c r="AI1466" s="1044"/>
      <c r="AJ1466" s="1063"/>
      <c r="AK1466" s="1063"/>
      <c r="AL1466" s="1063"/>
      <c r="AM1466" s="1063"/>
      <c r="AN1466" s="1109"/>
      <c r="AO1466" s="1104"/>
      <c r="AP1466" s="1104"/>
      <c r="AQ1466" s="1104"/>
    </row>
    <row r="1467" spans="1:43" ht="15" customHeight="1">
      <c r="A1467" s="1033"/>
      <c r="B1467" s="1069"/>
      <c r="C1467" s="1033"/>
      <c r="D1467" s="1033"/>
      <c r="E1467" s="1072"/>
      <c r="F1467" s="1072"/>
      <c r="G1467" s="1033"/>
      <c r="H1467" s="1033"/>
      <c r="I1467" s="1033"/>
      <c r="J1467" s="1033"/>
      <c r="K1467" s="1033"/>
      <c r="L1467" s="1033"/>
      <c r="M1467" s="1146"/>
      <c r="N1467" s="1066"/>
      <c r="O1467" s="1063"/>
      <c r="P1467" s="1063"/>
      <c r="Q1467" s="1063"/>
      <c r="R1467" s="1069"/>
      <c r="S1467" s="1093"/>
      <c r="T1467" s="1093"/>
      <c r="U1467" s="1093"/>
      <c r="V1467" s="1044"/>
      <c r="W1467" s="1044"/>
      <c r="X1467" s="1033"/>
      <c r="Y1467" s="372" t="s">
        <v>1919</v>
      </c>
      <c r="Z1467" s="386">
        <v>3142212</v>
      </c>
      <c r="AA1467" s="386">
        <v>-175224.58</v>
      </c>
      <c r="AB1467" s="386">
        <f t="shared" si="92"/>
        <v>2966987.42</v>
      </c>
      <c r="AC1467" s="1070"/>
      <c r="AD1467" s="395">
        <v>2966987.42</v>
      </c>
      <c r="AE1467" s="371" t="s">
        <v>164</v>
      </c>
      <c r="AF1467" s="1044"/>
      <c r="AG1467" s="1044"/>
      <c r="AH1467" s="358"/>
      <c r="AI1467" s="1044"/>
      <c r="AJ1467" s="1063"/>
      <c r="AK1467" s="1063"/>
      <c r="AL1467" s="1063"/>
      <c r="AM1467" s="1063"/>
      <c r="AN1467" s="1109"/>
      <c r="AO1467" s="1104"/>
      <c r="AP1467" s="1104"/>
      <c r="AQ1467" s="1104"/>
    </row>
    <row r="1468" spans="1:43" ht="15" customHeight="1">
      <c r="A1468" s="1033"/>
      <c r="B1468" s="1069"/>
      <c r="C1468" s="1012"/>
      <c r="D1468" s="1033"/>
      <c r="E1468" s="1072"/>
      <c r="F1468" s="1072"/>
      <c r="G1468" s="1033"/>
      <c r="H1468" s="1033"/>
      <c r="I1468" s="1033"/>
      <c r="J1468" s="1033"/>
      <c r="K1468" s="1033"/>
      <c r="L1468" s="1033"/>
      <c r="M1468" s="1147"/>
      <c r="N1468" s="1067"/>
      <c r="O1468" s="1064"/>
      <c r="P1468" s="1064"/>
      <c r="Q1468" s="1063"/>
      <c r="R1468" s="1070"/>
      <c r="S1468" s="1094"/>
      <c r="T1468" s="1094"/>
      <c r="U1468" s="1094"/>
      <c r="V1468" s="1045"/>
      <c r="W1468" s="1044"/>
      <c r="X1468" s="1033"/>
      <c r="Y1468" s="372"/>
      <c r="Z1468" s="386"/>
      <c r="AA1468" s="386"/>
      <c r="AB1468" s="386">
        <f t="shared" si="92"/>
        <v>0</v>
      </c>
      <c r="AC1468" s="384"/>
      <c r="AD1468" s="395"/>
      <c r="AE1468" s="371"/>
      <c r="AF1468" s="1045"/>
      <c r="AG1468" s="1044"/>
      <c r="AH1468" s="358"/>
      <c r="AI1468" s="1045"/>
      <c r="AJ1468" s="1063"/>
      <c r="AK1468" s="1064"/>
      <c r="AL1468" s="1064"/>
      <c r="AM1468" s="1064"/>
      <c r="AN1468" s="1109"/>
      <c r="AO1468" s="1104"/>
      <c r="AP1468" s="1104"/>
      <c r="AQ1468" s="1104"/>
    </row>
    <row r="1469" spans="1:43" s="29" customFormat="1" ht="15" customHeight="1">
      <c r="A1469" s="1033"/>
      <c r="B1469" s="1069"/>
      <c r="C1469" s="1142" t="s">
        <v>23</v>
      </c>
      <c r="D1469" s="1033"/>
      <c r="E1469" s="1072"/>
      <c r="F1469" s="1072"/>
      <c r="G1469" s="1033"/>
      <c r="H1469" s="1033"/>
      <c r="I1469" s="1033"/>
      <c r="J1469" s="1033"/>
      <c r="K1469" s="1033"/>
      <c r="L1469" s="1033"/>
      <c r="M1469" s="1161">
        <v>9</v>
      </c>
      <c r="N1469" s="1157" t="s">
        <v>146</v>
      </c>
      <c r="O1469" s="1043">
        <v>4240000</v>
      </c>
      <c r="P1469" s="1043">
        <v>4240000</v>
      </c>
      <c r="Q1469" s="1063"/>
      <c r="R1469" s="1120">
        <v>42164</v>
      </c>
      <c r="S1469" s="1150">
        <f>T1469</f>
        <v>4240000</v>
      </c>
      <c r="T1469" s="1150">
        <v>4240000</v>
      </c>
      <c r="U1469" s="1150">
        <f>O1469-T1469</f>
        <v>0</v>
      </c>
      <c r="V1469" s="1043">
        <v>4238626</v>
      </c>
      <c r="W1469" s="1044"/>
      <c r="X1469" s="1033"/>
      <c r="Y1469" s="407" t="s">
        <v>1917</v>
      </c>
      <c r="Z1469" s="358">
        <v>0</v>
      </c>
      <c r="AA1469" s="358">
        <v>423862.6</v>
      </c>
      <c r="AB1469" s="386">
        <f t="shared" si="92"/>
        <v>423862.6</v>
      </c>
      <c r="AC1469" s="384">
        <v>42366</v>
      </c>
      <c r="AD1469" s="395">
        <v>423862.6</v>
      </c>
      <c r="AE1469" s="371" t="s">
        <v>146</v>
      </c>
      <c r="AF1469" s="1043">
        <f>SUM(AD1469:AD1472)</f>
        <v>3643750.54</v>
      </c>
      <c r="AG1469" s="1044"/>
      <c r="AH1469" s="358"/>
      <c r="AI1469" s="1043">
        <f>O1469-SUM(AD1469:AD1472)</f>
        <v>596249.46</v>
      </c>
      <c r="AJ1469" s="1063"/>
      <c r="AK1469" s="1043">
        <f>P1469-V1469</f>
        <v>1374</v>
      </c>
      <c r="AL1469" s="1043"/>
      <c r="AM1469" s="1043"/>
      <c r="AN1469" s="1109"/>
      <c r="AO1469" s="1104"/>
      <c r="AP1469" s="1104"/>
      <c r="AQ1469" s="1104"/>
    </row>
    <row r="1470" spans="1:43" s="29" customFormat="1" ht="15" customHeight="1">
      <c r="A1470" s="1033"/>
      <c r="B1470" s="1069"/>
      <c r="C1470" s="1143"/>
      <c r="D1470" s="1033"/>
      <c r="E1470" s="1072"/>
      <c r="F1470" s="1072"/>
      <c r="G1470" s="1033"/>
      <c r="H1470" s="1033"/>
      <c r="I1470" s="1033"/>
      <c r="J1470" s="1033"/>
      <c r="K1470" s="1033"/>
      <c r="L1470" s="1033"/>
      <c r="M1470" s="1162"/>
      <c r="N1470" s="1158"/>
      <c r="O1470" s="1044"/>
      <c r="P1470" s="1044"/>
      <c r="Q1470" s="1063"/>
      <c r="R1470" s="1121"/>
      <c r="S1470" s="1151"/>
      <c r="T1470" s="1151"/>
      <c r="U1470" s="1151"/>
      <c r="V1470" s="1044"/>
      <c r="W1470" s="1044"/>
      <c r="X1470" s="1033"/>
      <c r="Y1470" s="372" t="s">
        <v>1918</v>
      </c>
      <c r="Z1470" s="358">
        <v>1810243</v>
      </c>
      <c r="AA1470" s="358">
        <v>-186803.48</v>
      </c>
      <c r="AB1470" s="386">
        <f t="shared" si="92"/>
        <v>1623439.52</v>
      </c>
      <c r="AC1470" s="1068">
        <v>42822</v>
      </c>
      <c r="AD1470" s="395">
        <v>1623439.52</v>
      </c>
      <c r="AE1470" s="371" t="s">
        <v>146</v>
      </c>
      <c r="AF1470" s="1044"/>
      <c r="AG1470" s="1044"/>
      <c r="AH1470" s="358"/>
      <c r="AI1470" s="1044"/>
      <c r="AJ1470" s="1063"/>
      <c r="AK1470" s="1044"/>
      <c r="AL1470" s="1044"/>
      <c r="AM1470" s="1044"/>
      <c r="AN1470" s="1109"/>
      <c r="AO1470" s="1104"/>
      <c r="AP1470" s="1104"/>
      <c r="AQ1470" s="1104"/>
    </row>
    <row r="1471" spans="1:43" s="29" customFormat="1" ht="15" customHeight="1">
      <c r="A1471" s="1033"/>
      <c r="B1471" s="1069"/>
      <c r="C1471" s="1143"/>
      <c r="D1471" s="1033"/>
      <c r="E1471" s="1072"/>
      <c r="F1471" s="1072"/>
      <c r="G1471" s="1033"/>
      <c r="H1471" s="1033"/>
      <c r="I1471" s="1033"/>
      <c r="J1471" s="1033"/>
      <c r="K1471" s="1033"/>
      <c r="L1471" s="1033"/>
      <c r="M1471" s="1162"/>
      <c r="N1471" s="1158"/>
      <c r="O1471" s="1044"/>
      <c r="P1471" s="1044"/>
      <c r="Q1471" s="1063"/>
      <c r="R1471" s="1121"/>
      <c r="S1471" s="1151"/>
      <c r="T1471" s="1151"/>
      <c r="U1471" s="1151"/>
      <c r="V1471" s="1044"/>
      <c r="W1471" s="1044"/>
      <c r="X1471" s="1033"/>
      <c r="Y1471" s="372" t="s">
        <v>1919</v>
      </c>
      <c r="Z1471" s="358">
        <v>1771673</v>
      </c>
      <c r="AA1471" s="358">
        <v>-175224.58</v>
      </c>
      <c r="AB1471" s="386">
        <f t="shared" si="92"/>
        <v>1596448.42</v>
      </c>
      <c r="AC1471" s="1070"/>
      <c r="AD1471" s="395">
        <v>1596448.42</v>
      </c>
      <c r="AE1471" s="371" t="s">
        <v>146</v>
      </c>
      <c r="AF1471" s="1044"/>
      <c r="AG1471" s="1044"/>
      <c r="AH1471" s="358"/>
      <c r="AI1471" s="1044"/>
      <c r="AJ1471" s="1063"/>
      <c r="AK1471" s="1044"/>
      <c r="AL1471" s="1044"/>
      <c r="AM1471" s="1044"/>
      <c r="AN1471" s="1109"/>
      <c r="AO1471" s="1104"/>
      <c r="AP1471" s="1104"/>
      <c r="AQ1471" s="1104"/>
    </row>
    <row r="1472" spans="1:43" s="29" customFormat="1" ht="15" customHeight="1">
      <c r="A1472" s="1033"/>
      <c r="B1472" s="1069"/>
      <c r="C1472" s="1144"/>
      <c r="D1472" s="1033"/>
      <c r="E1472" s="1072"/>
      <c r="F1472" s="1072"/>
      <c r="G1472" s="1033"/>
      <c r="H1472" s="1033"/>
      <c r="I1472" s="1033"/>
      <c r="J1472" s="1033"/>
      <c r="K1472" s="1033"/>
      <c r="L1472" s="1033"/>
      <c r="M1472" s="1163"/>
      <c r="N1472" s="1159"/>
      <c r="O1472" s="1045"/>
      <c r="P1472" s="1045"/>
      <c r="Q1472" s="1063"/>
      <c r="R1472" s="1160"/>
      <c r="S1472" s="1152"/>
      <c r="T1472" s="1152"/>
      <c r="U1472" s="1152"/>
      <c r="V1472" s="1045"/>
      <c r="W1472" s="1044"/>
      <c r="X1472" s="1033"/>
      <c r="Y1472" s="407"/>
      <c r="Z1472" s="358"/>
      <c r="AA1472" s="358"/>
      <c r="AB1472" s="386">
        <f t="shared" si="92"/>
        <v>0</v>
      </c>
      <c r="AC1472" s="410"/>
      <c r="AD1472" s="395"/>
      <c r="AE1472" s="371"/>
      <c r="AF1472" s="1045"/>
      <c r="AG1472" s="1044"/>
      <c r="AH1472" s="358"/>
      <c r="AI1472" s="1045"/>
      <c r="AJ1472" s="1063"/>
      <c r="AK1472" s="1045"/>
      <c r="AL1472" s="1045"/>
      <c r="AM1472" s="1045"/>
      <c r="AN1472" s="1109"/>
      <c r="AO1472" s="1104"/>
      <c r="AP1472" s="1104"/>
      <c r="AQ1472" s="1104"/>
    </row>
    <row r="1473" spans="1:43" ht="15" customHeight="1">
      <c r="A1473" s="1033"/>
      <c r="B1473" s="1069"/>
      <c r="C1473" s="1011" t="s">
        <v>12</v>
      </c>
      <c r="D1473" s="1033"/>
      <c r="E1473" s="1072"/>
      <c r="F1473" s="1072"/>
      <c r="G1473" s="1033"/>
      <c r="H1473" s="1033"/>
      <c r="I1473" s="1033"/>
      <c r="J1473" s="1033"/>
      <c r="K1473" s="1033"/>
      <c r="L1473" s="1033"/>
      <c r="M1473" s="1145">
        <v>11</v>
      </c>
      <c r="N1473" s="1065" t="s">
        <v>132</v>
      </c>
      <c r="O1473" s="1062">
        <v>4240000</v>
      </c>
      <c r="P1473" s="1062">
        <v>4240000</v>
      </c>
      <c r="Q1473" s="1063"/>
      <c r="R1473" s="1068">
        <v>42164</v>
      </c>
      <c r="S1473" s="1092">
        <f>T1473</f>
        <v>4240000</v>
      </c>
      <c r="T1473" s="1092">
        <v>4240000</v>
      </c>
      <c r="U1473" s="1092">
        <f>O1473-T1473</f>
        <v>0</v>
      </c>
      <c r="V1473" s="1043">
        <v>4238626</v>
      </c>
      <c r="W1473" s="1044"/>
      <c r="X1473" s="1033"/>
      <c r="Y1473" s="372" t="s">
        <v>1917</v>
      </c>
      <c r="Z1473" s="386">
        <v>0</v>
      </c>
      <c r="AA1473" s="386">
        <v>423862.6</v>
      </c>
      <c r="AB1473" s="386">
        <f t="shared" si="92"/>
        <v>423862.6</v>
      </c>
      <c r="AC1473" s="384">
        <v>42366</v>
      </c>
      <c r="AD1473" s="395">
        <v>423862.6</v>
      </c>
      <c r="AE1473" s="371" t="s">
        <v>132</v>
      </c>
      <c r="AF1473" s="1043">
        <f>SUM(AD1473:AD1476)</f>
        <v>3918887.18</v>
      </c>
      <c r="AG1473" s="1044"/>
      <c r="AH1473" s="358"/>
      <c r="AI1473" s="1043">
        <f>O1473-SUM(AD1473:AD1476)</f>
        <v>321112.81999999983</v>
      </c>
      <c r="AJ1473" s="1063"/>
      <c r="AK1473" s="1062">
        <f>P1473-V1473</f>
        <v>1374</v>
      </c>
      <c r="AL1473" s="1062"/>
      <c r="AM1473" s="1062"/>
      <c r="AN1473" s="1109"/>
      <c r="AO1473" s="1104"/>
      <c r="AP1473" s="1104"/>
      <c r="AQ1473" s="1104"/>
    </row>
    <row r="1474" spans="1:43" ht="15" customHeight="1">
      <c r="A1474" s="1033"/>
      <c r="B1474" s="1069"/>
      <c r="C1474" s="1033"/>
      <c r="D1474" s="1033"/>
      <c r="E1474" s="1072"/>
      <c r="F1474" s="1072"/>
      <c r="G1474" s="1033"/>
      <c r="H1474" s="1033"/>
      <c r="I1474" s="1033"/>
      <c r="J1474" s="1033"/>
      <c r="K1474" s="1033"/>
      <c r="L1474" s="1033"/>
      <c r="M1474" s="1146"/>
      <c r="N1474" s="1066"/>
      <c r="O1474" s="1063"/>
      <c r="P1474" s="1063"/>
      <c r="Q1474" s="1063"/>
      <c r="R1474" s="1069"/>
      <c r="S1474" s="1093"/>
      <c r="T1474" s="1093"/>
      <c r="U1474" s="1093"/>
      <c r="V1474" s="1044"/>
      <c r="W1474" s="1044"/>
      <c r="X1474" s="1033"/>
      <c r="Y1474" s="372" t="s">
        <v>1918</v>
      </c>
      <c r="Z1474" s="386">
        <v>2780506</v>
      </c>
      <c r="AA1474" s="386">
        <v>-186803.44</v>
      </c>
      <c r="AB1474" s="386">
        <f t="shared" si="92"/>
        <v>2593702.56</v>
      </c>
      <c r="AC1474" s="1068">
        <v>42822</v>
      </c>
      <c r="AD1474" s="395">
        <v>2593702.56</v>
      </c>
      <c r="AE1474" s="371" t="s">
        <v>132</v>
      </c>
      <c r="AF1474" s="1044"/>
      <c r="AG1474" s="1044"/>
      <c r="AH1474" s="358"/>
      <c r="AI1474" s="1044"/>
      <c r="AJ1474" s="1063"/>
      <c r="AK1474" s="1063"/>
      <c r="AL1474" s="1063"/>
      <c r="AM1474" s="1063"/>
      <c r="AN1474" s="1109"/>
      <c r="AO1474" s="1104"/>
      <c r="AP1474" s="1104"/>
      <c r="AQ1474" s="1104"/>
    </row>
    <row r="1475" spans="1:43" ht="15" customHeight="1">
      <c r="A1475" s="1033"/>
      <c r="B1475" s="1069"/>
      <c r="C1475" s="1033"/>
      <c r="D1475" s="1033"/>
      <c r="E1475" s="1072"/>
      <c r="F1475" s="1072"/>
      <c r="G1475" s="1033"/>
      <c r="H1475" s="1033"/>
      <c r="I1475" s="1033"/>
      <c r="J1475" s="1033"/>
      <c r="K1475" s="1033"/>
      <c r="L1475" s="1033"/>
      <c r="M1475" s="1146"/>
      <c r="N1475" s="1066"/>
      <c r="O1475" s="1063"/>
      <c r="P1475" s="1063"/>
      <c r="Q1475" s="1063"/>
      <c r="R1475" s="1069"/>
      <c r="S1475" s="1093"/>
      <c r="T1475" s="1093"/>
      <c r="U1475" s="1093"/>
      <c r="V1475" s="1044"/>
      <c r="W1475" s="1044"/>
      <c r="X1475" s="1033"/>
      <c r="Y1475" s="372" t="s">
        <v>1919</v>
      </c>
      <c r="Z1475" s="386">
        <v>1076546.6000000001</v>
      </c>
      <c r="AA1475" s="386">
        <v>-175224.58</v>
      </c>
      <c r="AB1475" s="386">
        <f t="shared" si="92"/>
        <v>901322.02000000014</v>
      </c>
      <c r="AC1475" s="1070"/>
      <c r="AD1475" s="395">
        <v>901322.02</v>
      </c>
      <c r="AE1475" s="371" t="s">
        <v>132</v>
      </c>
      <c r="AF1475" s="1044"/>
      <c r="AG1475" s="1044"/>
      <c r="AH1475" s="358"/>
      <c r="AI1475" s="1044"/>
      <c r="AJ1475" s="1063"/>
      <c r="AK1475" s="1063"/>
      <c r="AL1475" s="1063"/>
      <c r="AM1475" s="1063"/>
      <c r="AN1475" s="1109"/>
      <c r="AO1475" s="1104"/>
      <c r="AP1475" s="1104"/>
      <c r="AQ1475" s="1104"/>
    </row>
    <row r="1476" spans="1:43" ht="15" customHeight="1">
      <c r="A1476" s="1033"/>
      <c r="B1476" s="1069"/>
      <c r="C1476" s="1012"/>
      <c r="D1476" s="1033"/>
      <c r="E1476" s="1072"/>
      <c r="F1476" s="1072"/>
      <c r="G1476" s="1033"/>
      <c r="H1476" s="1033"/>
      <c r="I1476" s="1033"/>
      <c r="J1476" s="1033"/>
      <c r="K1476" s="1033"/>
      <c r="L1476" s="1033"/>
      <c r="M1476" s="1147"/>
      <c r="N1476" s="1067"/>
      <c r="O1476" s="1064"/>
      <c r="P1476" s="1064"/>
      <c r="Q1476" s="1063"/>
      <c r="R1476" s="1070"/>
      <c r="S1476" s="1094"/>
      <c r="T1476" s="1094"/>
      <c r="U1476" s="1094"/>
      <c r="V1476" s="1045"/>
      <c r="W1476" s="1044"/>
      <c r="X1476" s="1033"/>
      <c r="Y1476" s="372"/>
      <c r="Z1476" s="386"/>
      <c r="AA1476" s="386"/>
      <c r="AB1476" s="386">
        <f t="shared" si="92"/>
        <v>0</v>
      </c>
      <c r="AC1476" s="384"/>
      <c r="AD1476" s="395"/>
      <c r="AE1476" s="371"/>
      <c r="AF1476" s="1045"/>
      <c r="AG1476" s="1044"/>
      <c r="AH1476" s="358"/>
      <c r="AI1476" s="1045"/>
      <c r="AJ1476" s="1063"/>
      <c r="AK1476" s="1064"/>
      <c r="AL1476" s="1064"/>
      <c r="AM1476" s="1064"/>
      <c r="AN1476" s="1109"/>
      <c r="AO1476" s="1104"/>
      <c r="AP1476" s="1104"/>
      <c r="AQ1476" s="1104"/>
    </row>
    <row r="1477" spans="1:43" ht="15" customHeight="1">
      <c r="A1477" s="1033"/>
      <c r="B1477" s="1069"/>
      <c r="C1477" s="1011" t="s">
        <v>13</v>
      </c>
      <c r="D1477" s="1033"/>
      <c r="E1477" s="1072"/>
      <c r="F1477" s="1072"/>
      <c r="G1477" s="1033"/>
      <c r="H1477" s="1033"/>
      <c r="I1477" s="1033"/>
      <c r="J1477" s="1033"/>
      <c r="K1477" s="1033"/>
      <c r="L1477" s="1033"/>
      <c r="M1477" s="1145">
        <v>8</v>
      </c>
      <c r="N1477" s="1065" t="s">
        <v>133</v>
      </c>
      <c r="O1477" s="1062">
        <v>4240000</v>
      </c>
      <c r="P1477" s="1062">
        <v>4240000</v>
      </c>
      <c r="Q1477" s="1063"/>
      <c r="R1477" s="1068">
        <v>42164</v>
      </c>
      <c r="S1477" s="1092">
        <f>T1477</f>
        <v>4240000</v>
      </c>
      <c r="T1477" s="1092">
        <v>4240000</v>
      </c>
      <c r="U1477" s="1092">
        <f>O1477-T1477</f>
        <v>0</v>
      </c>
      <c r="V1477" s="1043">
        <v>4238626</v>
      </c>
      <c r="W1477" s="1044"/>
      <c r="X1477" s="1033"/>
      <c r="Y1477" s="372" t="s">
        <v>1917</v>
      </c>
      <c r="Z1477" s="386">
        <v>0</v>
      </c>
      <c r="AA1477" s="386">
        <v>423862.6</v>
      </c>
      <c r="AB1477" s="386">
        <f t="shared" si="92"/>
        <v>423862.6</v>
      </c>
      <c r="AC1477" s="384">
        <v>42366</v>
      </c>
      <c r="AD1477" s="395">
        <v>423862.6</v>
      </c>
      <c r="AE1477" s="371" t="s">
        <v>133</v>
      </c>
      <c r="AF1477" s="1043">
        <f>SUM(AD1477:AD1480)</f>
        <v>3918888.18</v>
      </c>
      <c r="AG1477" s="1044"/>
      <c r="AH1477" s="358"/>
      <c r="AI1477" s="1043">
        <f>O1477-SUM(AD1477:AD1480)</f>
        <v>321111.81999999983</v>
      </c>
      <c r="AJ1477" s="1063"/>
      <c r="AK1477" s="1062">
        <f>P1477-V1477</f>
        <v>1374</v>
      </c>
      <c r="AL1477" s="1062"/>
      <c r="AM1477" s="1062"/>
      <c r="AN1477" s="1109"/>
      <c r="AO1477" s="1104"/>
      <c r="AP1477" s="1104"/>
      <c r="AQ1477" s="1104"/>
    </row>
    <row r="1478" spans="1:43" ht="15" customHeight="1">
      <c r="A1478" s="1033"/>
      <c r="B1478" s="1069"/>
      <c r="C1478" s="1033"/>
      <c r="D1478" s="1033"/>
      <c r="E1478" s="1072"/>
      <c r="F1478" s="1072"/>
      <c r="G1478" s="1033"/>
      <c r="H1478" s="1033"/>
      <c r="I1478" s="1033"/>
      <c r="J1478" s="1033"/>
      <c r="K1478" s="1033"/>
      <c r="L1478" s="1033"/>
      <c r="M1478" s="1146"/>
      <c r="N1478" s="1066"/>
      <c r="O1478" s="1063"/>
      <c r="P1478" s="1063"/>
      <c r="Q1478" s="1063"/>
      <c r="R1478" s="1069"/>
      <c r="S1478" s="1093"/>
      <c r="T1478" s="1093"/>
      <c r="U1478" s="1093"/>
      <c r="V1478" s="1044"/>
      <c r="W1478" s="1044"/>
      <c r="X1478" s="1033"/>
      <c r="Y1478" s="372" t="s">
        <v>1918</v>
      </c>
      <c r="Z1478" s="386">
        <v>3005204</v>
      </c>
      <c r="AA1478" s="386">
        <v>-186803.44</v>
      </c>
      <c r="AB1478" s="386">
        <f t="shared" si="92"/>
        <v>2818400.56</v>
      </c>
      <c r="AC1478" s="1068">
        <v>42822</v>
      </c>
      <c r="AD1478" s="395">
        <v>2818400.56</v>
      </c>
      <c r="AE1478" s="371" t="s">
        <v>133</v>
      </c>
      <c r="AF1478" s="1044"/>
      <c r="AG1478" s="1044"/>
      <c r="AH1478" s="358"/>
      <c r="AI1478" s="1044"/>
      <c r="AJ1478" s="1063"/>
      <c r="AK1478" s="1063"/>
      <c r="AL1478" s="1063"/>
      <c r="AM1478" s="1063"/>
      <c r="AN1478" s="1109"/>
      <c r="AO1478" s="1104"/>
      <c r="AP1478" s="1104"/>
      <c r="AQ1478" s="1104"/>
    </row>
    <row r="1479" spans="1:43" ht="15" customHeight="1">
      <c r="A1479" s="1033"/>
      <c r="B1479" s="1069"/>
      <c r="C1479" s="1033"/>
      <c r="D1479" s="1033"/>
      <c r="E1479" s="1072"/>
      <c r="F1479" s="1072"/>
      <c r="G1479" s="1033"/>
      <c r="H1479" s="1033"/>
      <c r="I1479" s="1033"/>
      <c r="J1479" s="1033"/>
      <c r="K1479" s="1033"/>
      <c r="L1479" s="1033"/>
      <c r="M1479" s="1146"/>
      <c r="N1479" s="1066"/>
      <c r="O1479" s="1063"/>
      <c r="P1479" s="1063"/>
      <c r="Q1479" s="1063"/>
      <c r="R1479" s="1069"/>
      <c r="S1479" s="1093"/>
      <c r="T1479" s="1093"/>
      <c r="U1479" s="1093"/>
      <c r="V1479" s="1044"/>
      <c r="W1479" s="1044"/>
      <c r="X1479" s="1033"/>
      <c r="Y1479" s="372" t="s">
        <v>1919</v>
      </c>
      <c r="Z1479" s="386">
        <v>851849.6</v>
      </c>
      <c r="AA1479" s="386">
        <v>-175224.58</v>
      </c>
      <c r="AB1479" s="386">
        <f t="shared" si="92"/>
        <v>676625.02</v>
      </c>
      <c r="AC1479" s="1070"/>
      <c r="AD1479" s="395">
        <v>676625.02</v>
      </c>
      <c r="AE1479" s="371" t="s">
        <v>133</v>
      </c>
      <c r="AF1479" s="1044"/>
      <c r="AG1479" s="1044"/>
      <c r="AH1479" s="358"/>
      <c r="AI1479" s="1044"/>
      <c r="AJ1479" s="1063"/>
      <c r="AK1479" s="1063"/>
      <c r="AL1479" s="1063"/>
      <c r="AM1479" s="1063"/>
      <c r="AN1479" s="1109"/>
      <c r="AO1479" s="1104"/>
      <c r="AP1479" s="1104"/>
      <c r="AQ1479" s="1104"/>
    </row>
    <row r="1480" spans="1:43" ht="15" customHeight="1">
      <c r="A1480" s="1033"/>
      <c r="B1480" s="1069"/>
      <c r="C1480" s="1012"/>
      <c r="D1480" s="1033"/>
      <c r="E1480" s="1072"/>
      <c r="F1480" s="1072"/>
      <c r="G1480" s="1033"/>
      <c r="H1480" s="1033"/>
      <c r="I1480" s="1033"/>
      <c r="J1480" s="1033"/>
      <c r="K1480" s="1033"/>
      <c r="L1480" s="1033"/>
      <c r="M1480" s="1147"/>
      <c r="N1480" s="1067"/>
      <c r="O1480" s="1064"/>
      <c r="P1480" s="1064"/>
      <c r="Q1480" s="1063"/>
      <c r="R1480" s="1070"/>
      <c r="S1480" s="1094"/>
      <c r="T1480" s="1094"/>
      <c r="U1480" s="1094"/>
      <c r="V1480" s="1045"/>
      <c r="W1480" s="1044"/>
      <c r="X1480" s="1033"/>
      <c r="Y1480" s="372"/>
      <c r="Z1480" s="386"/>
      <c r="AA1480" s="386"/>
      <c r="AB1480" s="386">
        <f t="shared" si="92"/>
        <v>0</v>
      </c>
      <c r="AC1480" s="384"/>
      <c r="AD1480" s="395"/>
      <c r="AE1480" s="371"/>
      <c r="AF1480" s="1045"/>
      <c r="AG1480" s="1044"/>
      <c r="AH1480" s="358"/>
      <c r="AI1480" s="1045"/>
      <c r="AJ1480" s="1063"/>
      <c r="AK1480" s="1064"/>
      <c r="AL1480" s="1064"/>
      <c r="AM1480" s="1064"/>
      <c r="AN1480" s="1109"/>
      <c r="AO1480" s="1104"/>
      <c r="AP1480" s="1104"/>
      <c r="AQ1480" s="1104"/>
    </row>
    <row r="1481" spans="1:43" ht="15" customHeight="1">
      <c r="A1481" s="1033"/>
      <c r="B1481" s="1069"/>
      <c r="C1481" s="1011" t="s">
        <v>29</v>
      </c>
      <c r="D1481" s="1033"/>
      <c r="E1481" s="1072"/>
      <c r="F1481" s="1072"/>
      <c r="G1481" s="1033"/>
      <c r="H1481" s="1033"/>
      <c r="I1481" s="1033"/>
      <c r="J1481" s="1033"/>
      <c r="K1481" s="1033"/>
      <c r="L1481" s="1033"/>
      <c r="M1481" s="1145">
        <v>3</v>
      </c>
      <c r="N1481" s="1065" t="s">
        <v>154</v>
      </c>
      <c r="O1481" s="1062">
        <v>4240000</v>
      </c>
      <c r="P1481" s="1062">
        <v>4240000</v>
      </c>
      <c r="Q1481" s="1063"/>
      <c r="R1481" s="1068">
        <v>42164</v>
      </c>
      <c r="S1481" s="1092">
        <f>T1481</f>
        <v>4240000</v>
      </c>
      <c r="T1481" s="1092">
        <v>4240000</v>
      </c>
      <c r="U1481" s="1092">
        <f>O1481-T1481</f>
        <v>0</v>
      </c>
      <c r="V1481" s="1043">
        <v>4238626</v>
      </c>
      <c r="W1481" s="1044"/>
      <c r="X1481" s="1033"/>
      <c r="Y1481" s="372" t="s">
        <v>1917</v>
      </c>
      <c r="Z1481" s="386">
        <v>0</v>
      </c>
      <c r="AA1481" s="386">
        <v>423862.6</v>
      </c>
      <c r="AB1481" s="386">
        <f t="shared" si="92"/>
        <v>423862.6</v>
      </c>
      <c r="AC1481" s="384">
        <v>42366</v>
      </c>
      <c r="AD1481" s="395">
        <v>423862.6</v>
      </c>
      <c r="AE1481" s="371" t="s">
        <v>154</v>
      </c>
      <c r="AF1481" s="1043">
        <f>SUM(AD1481:AD1484)</f>
        <v>3326614.58</v>
      </c>
      <c r="AG1481" s="1044"/>
      <c r="AH1481" s="358"/>
      <c r="AI1481" s="1043">
        <f>O1481-SUM(AD1481:AD1484)</f>
        <v>913385.41999999993</v>
      </c>
      <c r="AJ1481" s="1063"/>
      <c r="AK1481" s="1062">
        <f>P1481-V1481</f>
        <v>1374</v>
      </c>
      <c r="AL1481" s="1062"/>
      <c r="AM1481" s="1062"/>
      <c r="AN1481" s="1109"/>
      <c r="AO1481" s="1104"/>
      <c r="AP1481" s="1104"/>
      <c r="AQ1481" s="1104"/>
    </row>
    <row r="1482" spans="1:43" ht="15" customHeight="1">
      <c r="A1482" s="1033"/>
      <c r="B1482" s="1069"/>
      <c r="C1482" s="1033"/>
      <c r="D1482" s="1033"/>
      <c r="E1482" s="1072"/>
      <c r="F1482" s="1072"/>
      <c r="G1482" s="1033"/>
      <c r="H1482" s="1033"/>
      <c r="I1482" s="1033"/>
      <c r="J1482" s="1033"/>
      <c r="K1482" s="1033"/>
      <c r="L1482" s="1033"/>
      <c r="M1482" s="1146"/>
      <c r="N1482" s="1066"/>
      <c r="O1482" s="1063"/>
      <c r="P1482" s="1063"/>
      <c r="Q1482" s="1063"/>
      <c r="R1482" s="1069"/>
      <c r="S1482" s="1093"/>
      <c r="T1482" s="1093"/>
      <c r="U1482" s="1093"/>
      <c r="V1482" s="1044"/>
      <c r="W1482" s="1044"/>
      <c r="X1482" s="1033"/>
      <c r="Y1482" s="372" t="s">
        <v>1918</v>
      </c>
      <c r="Z1482" s="386">
        <v>630842</v>
      </c>
      <c r="AA1482" s="386">
        <v>-186803.44</v>
      </c>
      <c r="AB1482" s="386">
        <f t="shared" si="92"/>
        <v>444038.56</v>
      </c>
      <c r="AC1482" s="1068">
        <v>42822</v>
      </c>
      <c r="AD1482" s="395">
        <v>444038.56</v>
      </c>
      <c r="AE1482" s="371" t="s">
        <v>154</v>
      </c>
      <c r="AF1482" s="1044"/>
      <c r="AG1482" s="1044"/>
      <c r="AH1482" s="358"/>
      <c r="AI1482" s="1044"/>
      <c r="AJ1482" s="1063"/>
      <c r="AK1482" s="1063"/>
      <c r="AL1482" s="1063"/>
      <c r="AM1482" s="1063"/>
      <c r="AN1482" s="1109"/>
      <c r="AO1482" s="1104"/>
      <c r="AP1482" s="1104"/>
      <c r="AQ1482" s="1104"/>
    </row>
    <row r="1483" spans="1:43" ht="15" customHeight="1">
      <c r="A1483" s="1033"/>
      <c r="B1483" s="1069"/>
      <c r="C1483" s="1033"/>
      <c r="D1483" s="1033"/>
      <c r="E1483" s="1072"/>
      <c r="F1483" s="1072"/>
      <c r="G1483" s="1033"/>
      <c r="H1483" s="1033"/>
      <c r="I1483" s="1033"/>
      <c r="J1483" s="1033"/>
      <c r="K1483" s="1033"/>
      <c r="L1483" s="1033"/>
      <c r="M1483" s="1146"/>
      <c r="N1483" s="1066"/>
      <c r="O1483" s="1063"/>
      <c r="P1483" s="1063"/>
      <c r="Q1483" s="1063"/>
      <c r="R1483" s="1069"/>
      <c r="S1483" s="1093"/>
      <c r="T1483" s="1093"/>
      <c r="U1483" s="1093"/>
      <c r="V1483" s="1044"/>
      <c r="W1483" s="1044"/>
      <c r="X1483" s="1033"/>
      <c r="Y1483" s="372" t="s">
        <v>1919</v>
      </c>
      <c r="Z1483" s="386">
        <v>2633938</v>
      </c>
      <c r="AA1483" s="386">
        <v>-175224.58</v>
      </c>
      <c r="AB1483" s="386">
        <f t="shared" si="92"/>
        <v>2458713.42</v>
      </c>
      <c r="AC1483" s="1070"/>
      <c r="AD1483" s="395">
        <v>2458713.42</v>
      </c>
      <c r="AE1483" s="371" t="s">
        <v>154</v>
      </c>
      <c r="AF1483" s="1044"/>
      <c r="AG1483" s="1044"/>
      <c r="AH1483" s="358"/>
      <c r="AI1483" s="1044"/>
      <c r="AJ1483" s="1063"/>
      <c r="AK1483" s="1063"/>
      <c r="AL1483" s="1063"/>
      <c r="AM1483" s="1063"/>
      <c r="AN1483" s="1109"/>
      <c r="AO1483" s="1104"/>
      <c r="AP1483" s="1104"/>
      <c r="AQ1483" s="1104"/>
    </row>
    <row r="1484" spans="1:43" ht="15" customHeight="1">
      <c r="A1484" s="1033"/>
      <c r="B1484" s="1069"/>
      <c r="C1484" s="1012"/>
      <c r="D1484" s="1033"/>
      <c r="E1484" s="1072"/>
      <c r="F1484" s="1072"/>
      <c r="G1484" s="1033"/>
      <c r="H1484" s="1033"/>
      <c r="I1484" s="1033"/>
      <c r="J1484" s="1033"/>
      <c r="K1484" s="1033"/>
      <c r="L1484" s="1033"/>
      <c r="M1484" s="1147"/>
      <c r="N1484" s="1067"/>
      <c r="O1484" s="1064"/>
      <c r="P1484" s="1064"/>
      <c r="Q1484" s="1063"/>
      <c r="R1484" s="1070"/>
      <c r="S1484" s="1094"/>
      <c r="T1484" s="1094"/>
      <c r="U1484" s="1094"/>
      <c r="V1484" s="1045"/>
      <c r="W1484" s="1044"/>
      <c r="X1484" s="1033"/>
      <c r="Y1484" s="372"/>
      <c r="Z1484" s="386"/>
      <c r="AA1484" s="386"/>
      <c r="AB1484" s="386">
        <f t="shared" si="92"/>
        <v>0</v>
      </c>
      <c r="AC1484" s="384"/>
      <c r="AD1484" s="395"/>
      <c r="AE1484" s="371"/>
      <c r="AF1484" s="1045"/>
      <c r="AG1484" s="1044"/>
      <c r="AH1484" s="358"/>
      <c r="AI1484" s="1045"/>
      <c r="AJ1484" s="1063"/>
      <c r="AK1484" s="1064"/>
      <c r="AL1484" s="1064"/>
      <c r="AM1484" s="1064"/>
      <c r="AN1484" s="1109"/>
      <c r="AO1484" s="1104"/>
      <c r="AP1484" s="1104"/>
      <c r="AQ1484" s="1104"/>
    </row>
    <row r="1485" spans="1:43" ht="15" customHeight="1">
      <c r="A1485" s="1033"/>
      <c r="B1485" s="1069"/>
      <c r="C1485" s="1011" t="s">
        <v>19</v>
      </c>
      <c r="D1485" s="1033"/>
      <c r="E1485" s="1072"/>
      <c r="F1485" s="1072"/>
      <c r="G1485" s="1033"/>
      <c r="H1485" s="1033"/>
      <c r="I1485" s="1033"/>
      <c r="J1485" s="1033"/>
      <c r="K1485" s="1033"/>
      <c r="L1485" s="1033"/>
      <c r="M1485" s="1164">
        <v>11</v>
      </c>
      <c r="N1485" s="1065" t="s">
        <v>142</v>
      </c>
      <c r="O1485" s="1062">
        <v>4240000</v>
      </c>
      <c r="P1485" s="1062">
        <v>4240000</v>
      </c>
      <c r="Q1485" s="1063"/>
      <c r="R1485" s="1068">
        <v>42164</v>
      </c>
      <c r="S1485" s="1092">
        <f>T1485</f>
        <v>4240000</v>
      </c>
      <c r="T1485" s="1092">
        <v>4240000</v>
      </c>
      <c r="U1485" s="1092">
        <f>O1485-T1485</f>
        <v>0</v>
      </c>
      <c r="V1485" s="1043">
        <v>4238626</v>
      </c>
      <c r="W1485" s="1044"/>
      <c r="X1485" s="1033"/>
      <c r="Y1485" s="372" t="s">
        <v>1917</v>
      </c>
      <c r="Z1485" s="386">
        <v>0</v>
      </c>
      <c r="AA1485" s="386">
        <v>423862.6</v>
      </c>
      <c r="AB1485" s="386">
        <f t="shared" si="92"/>
        <v>423862.6</v>
      </c>
      <c r="AC1485" s="384">
        <v>42366</v>
      </c>
      <c r="AD1485" s="395">
        <v>423862.6</v>
      </c>
      <c r="AE1485" s="371" t="s">
        <v>142</v>
      </c>
      <c r="AF1485" s="1043">
        <f>SUM(AD1485:AD1488)</f>
        <v>3842174.58</v>
      </c>
      <c r="AG1485" s="1044"/>
      <c r="AH1485" s="358"/>
      <c r="AI1485" s="1043">
        <f>O1485-SUM(AD1485:AD1488)</f>
        <v>397825.41999999993</v>
      </c>
      <c r="AJ1485" s="1063"/>
      <c r="AK1485" s="1062">
        <f>P1485-V1485</f>
        <v>1374</v>
      </c>
      <c r="AL1485" s="1062"/>
      <c r="AM1485" s="1062"/>
      <c r="AN1485" s="1109"/>
      <c r="AO1485" s="1104"/>
      <c r="AP1485" s="1104"/>
      <c r="AQ1485" s="1104"/>
    </row>
    <row r="1486" spans="1:43" ht="15" customHeight="1">
      <c r="A1486" s="1033"/>
      <c r="B1486" s="1069"/>
      <c r="C1486" s="1033"/>
      <c r="D1486" s="1033"/>
      <c r="E1486" s="1072"/>
      <c r="F1486" s="1072"/>
      <c r="G1486" s="1033"/>
      <c r="H1486" s="1033"/>
      <c r="I1486" s="1033"/>
      <c r="J1486" s="1033"/>
      <c r="K1486" s="1033"/>
      <c r="L1486" s="1033"/>
      <c r="M1486" s="1165"/>
      <c r="N1486" s="1066"/>
      <c r="O1486" s="1063"/>
      <c r="P1486" s="1063"/>
      <c r="Q1486" s="1063"/>
      <c r="R1486" s="1069"/>
      <c r="S1486" s="1093"/>
      <c r="T1486" s="1093"/>
      <c r="U1486" s="1093"/>
      <c r="V1486" s="1044"/>
      <c r="W1486" s="1044"/>
      <c r="X1486" s="1033"/>
      <c r="Y1486" s="372" t="s">
        <v>1918</v>
      </c>
      <c r="Z1486" s="386">
        <v>3113070</v>
      </c>
      <c r="AA1486" s="386">
        <v>-186803.44</v>
      </c>
      <c r="AB1486" s="386">
        <f t="shared" si="92"/>
        <v>2926266.56</v>
      </c>
      <c r="AC1486" s="1068">
        <v>42822</v>
      </c>
      <c r="AD1486" s="395">
        <v>2926266.56</v>
      </c>
      <c r="AE1486" s="371" t="s">
        <v>142</v>
      </c>
      <c r="AF1486" s="1044"/>
      <c r="AG1486" s="1044"/>
      <c r="AH1486" s="358"/>
      <c r="AI1486" s="1044"/>
      <c r="AJ1486" s="1063"/>
      <c r="AK1486" s="1063"/>
      <c r="AL1486" s="1063"/>
      <c r="AM1486" s="1063"/>
      <c r="AN1486" s="1109"/>
      <c r="AO1486" s="1104"/>
      <c r="AP1486" s="1104"/>
      <c r="AQ1486" s="1104"/>
    </row>
    <row r="1487" spans="1:43" ht="15" customHeight="1">
      <c r="A1487" s="1033"/>
      <c r="B1487" s="1069"/>
      <c r="C1487" s="1033"/>
      <c r="D1487" s="1033"/>
      <c r="E1487" s="1072"/>
      <c r="F1487" s="1072"/>
      <c r="G1487" s="1033"/>
      <c r="H1487" s="1033"/>
      <c r="I1487" s="1033"/>
      <c r="J1487" s="1033"/>
      <c r="K1487" s="1033"/>
      <c r="L1487" s="1033"/>
      <c r="M1487" s="1165"/>
      <c r="N1487" s="1066"/>
      <c r="O1487" s="1063"/>
      <c r="P1487" s="1063"/>
      <c r="Q1487" s="1063"/>
      <c r="R1487" s="1069"/>
      <c r="S1487" s="1093"/>
      <c r="T1487" s="1093"/>
      <c r="U1487" s="1093"/>
      <c r="V1487" s="1044"/>
      <c r="W1487" s="1044"/>
      <c r="X1487" s="1033"/>
      <c r="Y1487" s="372" t="s">
        <v>1919</v>
      </c>
      <c r="Z1487" s="386">
        <v>667270</v>
      </c>
      <c r="AA1487" s="386">
        <v>-175224.58</v>
      </c>
      <c r="AB1487" s="386">
        <f t="shared" si="92"/>
        <v>492045.42000000004</v>
      </c>
      <c r="AC1487" s="1070"/>
      <c r="AD1487" s="395">
        <v>492045.42</v>
      </c>
      <c r="AE1487" s="371" t="s">
        <v>142</v>
      </c>
      <c r="AF1487" s="1044"/>
      <c r="AG1487" s="1044"/>
      <c r="AH1487" s="358"/>
      <c r="AI1487" s="1044"/>
      <c r="AJ1487" s="1063"/>
      <c r="AK1487" s="1063"/>
      <c r="AL1487" s="1063"/>
      <c r="AM1487" s="1063"/>
      <c r="AN1487" s="1109"/>
      <c r="AO1487" s="1104"/>
      <c r="AP1487" s="1104"/>
      <c r="AQ1487" s="1104"/>
    </row>
    <row r="1488" spans="1:43" ht="15" customHeight="1">
      <c r="A1488" s="1033"/>
      <c r="B1488" s="1069"/>
      <c r="C1488" s="1012"/>
      <c r="D1488" s="1033"/>
      <c r="E1488" s="1072"/>
      <c r="F1488" s="1072"/>
      <c r="G1488" s="1033"/>
      <c r="H1488" s="1033"/>
      <c r="I1488" s="1033"/>
      <c r="J1488" s="1033"/>
      <c r="K1488" s="1033"/>
      <c r="L1488" s="1033"/>
      <c r="M1488" s="1166"/>
      <c r="N1488" s="1067"/>
      <c r="O1488" s="1064"/>
      <c r="P1488" s="1064"/>
      <c r="Q1488" s="1063"/>
      <c r="R1488" s="1070"/>
      <c r="S1488" s="1094"/>
      <c r="T1488" s="1094"/>
      <c r="U1488" s="1094"/>
      <c r="V1488" s="1045"/>
      <c r="W1488" s="1044"/>
      <c r="X1488" s="1033"/>
      <c r="Y1488" s="372"/>
      <c r="Z1488" s="386"/>
      <c r="AA1488" s="386"/>
      <c r="AB1488" s="386">
        <f t="shared" si="92"/>
        <v>0</v>
      </c>
      <c r="AC1488" s="384"/>
      <c r="AD1488" s="395"/>
      <c r="AE1488" s="371"/>
      <c r="AF1488" s="1045"/>
      <c r="AG1488" s="1044"/>
      <c r="AH1488" s="358"/>
      <c r="AI1488" s="1045"/>
      <c r="AJ1488" s="1063"/>
      <c r="AK1488" s="1064"/>
      <c r="AL1488" s="1064"/>
      <c r="AM1488" s="1064"/>
      <c r="AN1488" s="1109"/>
      <c r="AO1488" s="1104"/>
      <c r="AP1488" s="1104"/>
      <c r="AQ1488" s="1104"/>
    </row>
    <row r="1489" spans="1:43" ht="15" customHeight="1">
      <c r="A1489" s="1033"/>
      <c r="B1489" s="1069"/>
      <c r="C1489" s="1011" t="s">
        <v>28</v>
      </c>
      <c r="D1489" s="1033"/>
      <c r="E1489" s="1072"/>
      <c r="F1489" s="1072"/>
      <c r="G1489" s="1033"/>
      <c r="H1489" s="1033"/>
      <c r="I1489" s="1033"/>
      <c r="J1489" s="1033"/>
      <c r="K1489" s="1033"/>
      <c r="L1489" s="1033"/>
      <c r="M1489" s="1145">
        <v>7</v>
      </c>
      <c r="N1489" s="1065" t="s">
        <v>153</v>
      </c>
      <c r="O1489" s="1062">
        <v>4240000</v>
      </c>
      <c r="P1489" s="1062">
        <v>4240000</v>
      </c>
      <c r="Q1489" s="1063"/>
      <c r="R1489" s="1068">
        <v>42164</v>
      </c>
      <c r="S1489" s="1092">
        <f>T1489</f>
        <v>4240000</v>
      </c>
      <c r="T1489" s="1092">
        <v>4240000</v>
      </c>
      <c r="U1489" s="1092">
        <f>O1489-T1489</f>
        <v>0</v>
      </c>
      <c r="V1489" s="1043">
        <v>4238626</v>
      </c>
      <c r="W1489" s="1044"/>
      <c r="X1489" s="1033"/>
      <c r="Y1489" s="372" t="s">
        <v>1917</v>
      </c>
      <c r="Z1489" s="386">
        <v>0</v>
      </c>
      <c r="AA1489" s="386">
        <v>423862.6</v>
      </c>
      <c r="AB1489" s="386">
        <f t="shared" si="92"/>
        <v>423862.6</v>
      </c>
      <c r="AC1489" s="384">
        <v>42366</v>
      </c>
      <c r="AD1489" s="395">
        <v>423862.6</v>
      </c>
      <c r="AE1489" s="371" t="s">
        <v>153</v>
      </c>
      <c r="AF1489" s="1043">
        <f>SUM(AD1489:AD1492)</f>
        <v>3918887.18</v>
      </c>
      <c r="AG1489" s="1044"/>
      <c r="AH1489" s="358"/>
      <c r="AI1489" s="1043">
        <f>O1489-SUM(AD1489:AD1492)</f>
        <v>321112.81999999983</v>
      </c>
      <c r="AJ1489" s="1063"/>
      <c r="AK1489" s="1062">
        <f>P1489-V1489</f>
        <v>1374</v>
      </c>
      <c r="AL1489" s="1062"/>
      <c r="AM1489" s="1062"/>
      <c r="AN1489" s="1109"/>
      <c r="AO1489" s="1104"/>
      <c r="AP1489" s="1104"/>
      <c r="AQ1489" s="1104"/>
    </row>
    <row r="1490" spans="1:43" ht="15" customHeight="1">
      <c r="A1490" s="1033"/>
      <c r="B1490" s="1069"/>
      <c r="C1490" s="1033"/>
      <c r="D1490" s="1033"/>
      <c r="E1490" s="1072"/>
      <c r="F1490" s="1072"/>
      <c r="G1490" s="1033"/>
      <c r="H1490" s="1033"/>
      <c r="I1490" s="1033"/>
      <c r="J1490" s="1033"/>
      <c r="K1490" s="1033"/>
      <c r="L1490" s="1033"/>
      <c r="M1490" s="1146"/>
      <c r="N1490" s="1066"/>
      <c r="O1490" s="1063"/>
      <c r="P1490" s="1063"/>
      <c r="Q1490" s="1063"/>
      <c r="R1490" s="1069"/>
      <c r="S1490" s="1093"/>
      <c r="T1490" s="1093"/>
      <c r="U1490" s="1093"/>
      <c r="V1490" s="1044"/>
      <c r="W1490" s="1044"/>
      <c r="X1490" s="1033"/>
      <c r="Y1490" s="372" t="s">
        <v>1918</v>
      </c>
      <c r="Z1490" s="386">
        <v>1697103</v>
      </c>
      <c r="AA1490" s="386">
        <v>-186803.44</v>
      </c>
      <c r="AB1490" s="386">
        <f t="shared" si="92"/>
        <v>1510299.56</v>
      </c>
      <c r="AC1490" s="1068">
        <v>42822</v>
      </c>
      <c r="AD1490" s="395">
        <v>1510299.56</v>
      </c>
      <c r="AE1490" s="371" t="s">
        <v>153</v>
      </c>
      <c r="AF1490" s="1044"/>
      <c r="AG1490" s="1044"/>
      <c r="AH1490" s="358"/>
      <c r="AI1490" s="1044"/>
      <c r="AJ1490" s="1063"/>
      <c r="AK1490" s="1063"/>
      <c r="AL1490" s="1063"/>
      <c r="AM1490" s="1063"/>
      <c r="AN1490" s="1109"/>
      <c r="AO1490" s="1104"/>
      <c r="AP1490" s="1104"/>
      <c r="AQ1490" s="1104"/>
    </row>
    <row r="1491" spans="1:43" ht="15" customHeight="1">
      <c r="A1491" s="1033"/>
      <c r="B1491" s="1069"/>
      <c r="C1491" s="1033"/>
      <c r="D1491" s="1033"/>
      <c r="E1491" s="1072"/>
      <c r="F1491" s="1072"/>
      <c r="G1491" s="1033"/>
      <c r="H1491" s="1033"/>
      <c r="I1491" s="1033"/>
      <c r="J1491" s="1033"/>
      <c r="K1491" s="1033"/>
      <c r="L1491" s="1033"/>
      <c r="M1491" s="1146"/>
      <c r="N1491" s="1066"/>
      <c r="O1491" s="1063"/>
      <c r="P1491" s="1063"/>
      <c r="Q1491" s="1063"/>
      <c r="R1491" s="1069"/>
      <c r="S1491" s="1093"/>
      <c r="T1491" s="1093"/>
      <c r="U1491" s="1093"/>
      <c r="V1491" s="1044"/>
      <c r="W1491" s="1044"/>
      <c r="X1491" s="1033"/>
      <c r="Y1491" s="372" t="s">
        <v>1919</v>
      </c>
      <c r="Z1491" s="386">
        <v>2159949.6</v>
      </c>
      <c r="AA1491" s="386">
        <v>-175224.58</v>
      </c>
      <c r="AB1491" s="386">
        <f t="shared" si="92"/>
        <v>1984725.02</v>
      </c>
      <c r="AC1491" s="1070"/>
      <c r="AD1491" s="395">
        <v>1984725.02</v>
      </c>
      <c r="AE1491" s="371" t="s">
        <v>153</v>
      </c>
      <c r="AF1491" s="1044"/>
      <c r="AG1491" s="1044"/>
      <c r="AH1491" s="358"/>
      <c r="AI1491" s="1044"/>
      <c r="AJ1491" s="1063"/>
      <c r="AK1491" s="1063"/>
      <c r="AL1491" s="1063"/>
      <c r="AM1491" s="1063"/>
      <c r="AN1491" s="1109"/>
      <c r="AO1491" s="1104"/>
      <c r="AP1491" s="1104"/>
      <c r="AQ1491" s="1104"/>
    </row>
    <row r="1492" spans="1:43" ht="15" customHeight="1">
      <c r="A1492" s="1033"/>
      <c r="B1492" s="1069"/>
      <c r="C1492" s="1012"/>
      <c r="D1492" s="1033"/>
      <c r="E1492" s="1072"/>
      <c r="F1492" s="1072"/>
      <c r="G1492" s="1033"/>
      <c r="H1492" s="1033"/>
      <c r="I1492" s="1033"/>
      <c r="J1492" s="1033"/>
      <c r="K1492" s="1033"/>
      <c r="L1492" s="1033"/>
      <c r="M1492" s="1147"/>
      <c r="N1492" s="1067"/>
      <c r="O1492" s="1064"/>
      <c r="P1492" s="1064"/>
      <c r="Q1492" s="1063"/>
      <c r="R1492" s="1070"/>
      <c r="S1492" s="1094"/>
      <c r="T1492" s="1094"/>
      <c r="U1492" s="1094"/>
      <c r="V1492" s="1045"/>
      <c r="W1492" s="1044"/>
      <c r="X1492" s="1033"/>
      <c r="Y1492" s="372"/>
      <c r="Z1492" s="386"/>
      <c r="AA1492" s="386"/>
      <c r="AB1492" s="386">
        <f t="shared" si="92"/>
        <v>0</v>
      </c>
      <c r="AC1492" s="384"/>
      <c r="AD1492" s="395"/>
      <c r="AE1492" s="371"/>
      <c r="AF1492" s="1045"/>
      <c r="AG1492" s="1044"/>
      <c r="AH1492" s="358"/>
      <c r="AI1492" s="1045"/>
      <c r="AJ1492" s="1063"/>
      <c r="AK1492" s="1064"/>
      <c r="AL1492" s="1064"/>
      <c r="AM1492" s="1064"/>
      <c r="AN1492" s="1109"/>
      <c r="AO1492" s="1104"/>
      <c r="AP1492" s="1104"/>
      <c r="AQ1492" s="1104"/>
    </row>
    <row r="1493" spans="1:43" ht="15" customHeight="1">
      <c r="A1493" s="1033"/>
      <c r="B1493" s="1069"/>
      <c r="C1493" s="1011" t="s">
        <v>13</v>
      </c>
      <c r="D1493" s="1033"/>
      <c r="E1493" s="1072"/>
      <c r="F1493" s="1072"/>
      <c r="G1493" s="1033"/>
      <c r="H1493" s="1033"/>
      <c r="I1493" s="1033"/>
      <c r="J1493" s="1033"/>
      <c r="K1493" s="1033"/>
      <c r="L1493" s="1033"/>
      <c r="M1493" s="1145">
        <v>10</v>
      </c>
      <c r="N1493" s="1065" t="s">
        <v>133</v>
      </c>
      <c r="O1493" s="1062">
        <v>2800000</v>
      </c>
      <c r="P1493" s="1062">
        <v>2800000</v>
      </c>
      <c r="Q1493" s="1063"/>
      <c r="R1493" s="1068">
        <v>42164</v>
      </c>
      <c r="S1493" s="1092">
        <f>T1493</f>
        <v>2800000</v>
      </c>
      <c r="T1493" s="1092">
        <v>2800000</v>
      </c>
      <c r="U1493" s="1092">
        <f>O1493-T1493</f>
        <v>0</v>
      </c>
      <c r="V1493" s="1043">
        <v>2799092</v>
      </c>
      <c r="W1493" s="1044"/>
      <c r="X1493" s="1033"/>
      <c r="Y1493" s="372" t="s">
        <v>1917</v>
      </c>
      <c r="Z1493" s="386">
        <v>0</v>
      </c>
      <c r="AA1493" s="386">
        <v>279909.2</v>
      </c>
      <c r="AB1493" s="386">
        <f t="shared" si="92"/>
        <v>279909.2</v>
      </c>
      <c r="AC1493" s="384">
        <v>42366</v>
      </c>
      <c r="AD1493" s="395">
        <v>279909.2</v>
      </c>
      <c r="AE1493" s="371" t="s">
        <v>133</v>
      </c>
      <c r="AF1493" s="1043">
        <f>SUM(AD1493:AD1496)</f>
        <v>2218459.66</v>
      </c>
      <c r="AG1493" s="1044"/>
      <c r="AH1493" s="358"/>
      <c r="AI1493" s="1043">
        <f>O1493-SUM(AD1493:AD1496)</f>
        <v>581540.33999999985</v>
      </c>
      <c r="AJ1493" s="1063"/>
      <c r="AK1493" s="1062">
        <f>P1493-V1493</f>
        <v>908</v>
      </c>
      <c r="AL1493" s="1062"/>
      <c r="AM1493" s="1062"/>
      <c r="AN1493" s="1109"/>
      <c r="AO1493" s="1104"/>
      <c r="AP1493" s="1104"/>
      <c r="AQ1493" s="1104"/>
    </row>
    <row r="1494" spans="1:43" ht="15" customHeight="1">
      <c r="A1494" s="1033"/>
      <c r="B1494" s="1069"/>
      <c r="C1494" s="1033"/>
      <c r="D1494" s="1033"/>
      <c r="E1494" s="1072"/>
      <c r="F1494" s="1072"/>
      <c r="G1494" s="1033"/>
      <c r="H1494" s="1033"/>
      <c r="I1494" s="1033"/>
      <c r="J1494" s="1033"/>
      <c r="K1494" s="1033"/>
      <c r="L1494" s="1033"/>
      <c r="M1494" s="1146"/>
      <c r="N1494" s="1066"/>
      <c r="O1494" s="1063"/>
      <c r="P1494" s="1063"/>
      <c r="Q1494" s="1063"/>
      <c r="R1494" s="1069"/>
      <c r="S1494" s="1093"/>
      <c r="T1494" s="1093"/>
      <c r="U1494" s="1093"/>
      <c r="V1494" s="1044"/>
      <c r="W1494" s="1044"/>
      <c r="X1494" s="1033"/>
      <c r="Y1494" s="372" t="s">
        <v>1918</v>
      </c>
      <c r="Z1494" s="386">
        <v>480562</v>
      </c>
      <c r="AA1494" s="386">
        <v>-186803.44</v>
      </c>
      <c r="AB1494" s="386">
        <f t="shared" si="92"/>
        <v>293758.56</v>
      </c>
      <c r="AC1494" s="1068">
        <v>42822</v>
      </c>
      <c r="AD1494" s="395">
        <v>293758.56</v>
      </c>
      <c r="AE1494" s="371" t="s">
        <v>133</v>
      </c>
      <c r="AF1494" s="1044"/>
      <c r="AG1494" s="1044"/>
      <c r="AH1494" s="358"/>
      <c r="AI1494" s="1044"/>
      <c r="AJ1494" s="1063"/>
      <c r="AK1494" s="1063"/>
      <c r="AL1494" s="1063"/>
      <c r="AM1494" s="1063"/>
      <c r="AN1494" s="1109"/>
      <c r="AO1494" s="1104"/>
      <c r="AP1494" s="1104"/>
      <c r="AQ1494" s="1104"/>
    </row>
    <row r="1495" spans="1:43" ht="15" customHeight="1">
      <c r="A1495" s="1033"/>
      <c r="B1495" s="1069"/>
      <c r="C1495" s="1033"/>
      <c r="D1495" s="1033"/>
      <c r="E1495" s="1072"/>
      <c r="F1495" s="1072"/>
      <c r="G1495" s="1033"/>
      <c r="H1495" s="1033"/>
      <c r="I1495" s="1033"/>
      <c r="J1495" s="1033"/>
      <c r="K1495" s="1033"/>
      <c r="L1495" s="1033"/>
      <c r="M1495" s="1146"/>
      <c r="N1495" s="1066"/>
      <c r="O1495" s="1063"/>
      <c r="P1495" s="1063"/>
      <c r="Q1495" s="1063"/>
      <c r="R1495" s="1069"/>
      <c r="S1495" s="1093"/>
      <c r="T1495" s="1093"/>
      <c r="U1495" s="1093"/>
      <c r="V1495" s="1044"/>
      <c r="W1495" s="1044"/>
      <c r="X1495" s="1033"/>
      <c r="Y1495" s="372" t="s">
        <v>1919</v>
      </c>
      <c r="Z1495" s="386">
        <v>1700307.2</v>
      </c>
      <c r="AA1495" s="386">
        <v>-55515.3</v>
      </c>
      <c r="AB1495" s="386">
        <f t="shared" si="92"/>
        <v>1644791.9</v>
      </c>
      <c r="AC1495" s="1070"/>
      <c r="AD1495" s="395">
        <v>1644791.9</v>
      </c>
      <c r="AE1495" s="371" t="s">
        <v>133</v>
      </c>
      <c r="AF1495" s="1044"/>
      <c r="AG1495" s="1044"/>
      <c r="AH1495" s="358"/>
      <c r="AI1495" s="1044"/>
      <c r="AJ1495" s="1063"/>
      <c r="AK1495" s="1063"/>
      <c r="AL1495" s="1063"/>
      <c r="AM1495" s="1063"/>
      <c r="AN1495" s="1109"/>
      <c r="AO1495" s="1104"/>
      <c r="AP1495" s="1104"/>
      <c r="AQ1495" s="1104"/>
    </row>
    <row r="1496" spans="1:43" ht="15" customHeight="1">
      <c r="A1496" s="1033"/>
      <c r="B1496" s="1069"/>
      <c r="C1496" s="1012"/>
      <c r="D1496" s="1033"/>
      <c r="E1496" s="1072"/>
      <c r="F1496" s="1072"/>
      <c r="G1496" s="1033"/>
      <c r="H1496" s="1033"/>
      <c r="I1496" s="1033"/>
      <c r="J1496" s="1033"/>
      <c r="K1496" s="1033"/>
      <c r="L1496" s="1033"/>
      <c r="M1496" s="1147"/>
      <c r="N1496" s="1067"/>
      <c r="O1496" s="1064"/>
      <c r="P1496" s="1064"/>
      <c r="Q1496" s="1063"/>
      <c r="R1496" s="1070"/>
      <c r="S1496" s="1094"/>
      <c r="T1496" s="1094"/>
      <c r="U1496" s="1094"/>
      <c r="V1496" s="1045"/>
      <c r="W1496" s="1044"/>
      <c r="X1496" s="1033"/>
      <c r="Y1496" s="372"/>
      <c r="Z1496" s="386"/>
      <c r="AA1496" s="386"/>
      <c r="AB1496" s="386">
        <f t="shared" si="92"/>
        <v>0</v>
      </c>
      <c r="AC1496" s="384"/>
      <c r="AD1496" s="395"/>
      <c r="AE1496" s="371"/>
      <c r="AF1496" s="1045"/>
      <c r="AG1496" s="1044"/>
      <c r="AH1496" s="358"/>
      <c r="AI1496" s="1045"/>
      <c r="AJ1496" s="1063"/>
      <c r="AK1496" s="1064"/>
      <c r="AL1496" s="1064"/>
      <c r="AM1496" s="1064"/>
      <c r="AN1496" s="1109"/>
      <c r="AO1496" s="1104"/>
      <c r="AP1496" s="1104"/>
      <c r="AQ1496" s="1104"/>
    </row>
    <row r="1497" spans="1:43" ht="15" customHeight="1">
      <c r="A1497" s="1033"/>
      <c r="B1497" s="1069"/>
      <c r="C1497" s="1011" t="s">
        <v>44</v>
      </c>
      <c r="D1497" s="1033"/>
      <c r="E1497" s="1072"/>
      <c r="F1497" s="1072"/>
      <c r="G1497" s="1033"/>
      <c r="H1497" s="1033"/>
      <c r="I1497" s="1033"/>
      <c r="J1497" s="1033"/>
      <c r="K1497" s="1033"/>
      <c r="L1497" s="1033"/>
      <c r="M1497" s="1145">
        <v>10</v>
      </c>
      <c r="N1497" s="1065" t="s">
        <v>141</v>
      </c>
      <c r="O1497" s="1062">
        <v>4240000</v>
      </c>
      <c r="P1497" s="1062">
        <v>4240000</v>
      </c>
      <c r="Q1497" s="1063"/>
      <c r="R1497" s="1068">
        <v>42171</v>
      </c>
      <c r="S1497" s="1092">
        <f>T1497</f>
        <v>4240000</v>
      </c>
      <c r="T1497" s="1092">
        <v>4240000</v>
      </c>
      <c r="U1497" s="1092">
        <f>O1497-T1497</f>
        <v>0</v>
      </c>
      <c r="V1497" s="1043">
        <v>4238626</v>
      </c>
      <c r="W1497" s="1044"/>
      <c r="X1497" s="1033"/>
      <c r="Y1497" s="372" t="s">
        <v>1917</v>
      </c>
      <c r="Z1497" s="386">
        <v>0</v>
      </c>
      <c r="AA1497" s="386">
        <v>423862.6</v>
      </c>
      <c r="AB1497" s="386">
        <f t="shared" si="92"/>
        <v>423862.6</v>
      </c>
      <c r="AC1497" s="384">
        <v>42366</v>
      </c>
      <c r="AD1497" s="395">
        <v>423862.6</v>
      </c>
      <c r="AE1497" s="371" t="s">
        <v>141</v>
      </c>
      <c r="AF1497" s="1043">
        <f>SUM(AD1497:AD1500)</f>
        <v>3620848.58</v>
      </c>
      <c r="AG1497" s="1044"/>
      <c r="AH1497" s="358"/>
      <c r="AI1497" s="1043">
        <f>O1497-SUM(AD1497:AD1500)</f>
        <v>619151.41999999993</v>
      </c>
      <c r="AJ1497" s="1063"/>
      <c r="AK1497" s="1062">
        <f>P1497-V1497</f>
        <v>1374</v>
      </c>
      <c r="AL1497" s="1062"/>
      <c r="AM1497" s="1062"/>
      <c r="AN1497" s="1109"/>
      <c r="AO1497" s="1104"/>
      <c r="AP1497" s="1104"/>
      <c r="AQ1497" s="1104"/>
    </row>
    <row r="1498" spans="1:43" ht="15" customHeight="1">
      <c r="A1498" s="1033"/>
      <c r="B1498" s="1069"/>
      <c r="C1498" s="1033"/>
      <c r="D1498" s="1033"/>
      <c r="E1498" s="1072"/>
      <c r="F1498" s="1072"/>
      <c r="G1498" s="1033"/>
      <c r="H1498" s="1033"/>
      <c r="I1498" s="1033"/>
      <c r="J1498" s="1033"/>
      <c r="K1498" s="1033"/>
      <c r="L1498" s="1033"/>
      <c r="M1498" s="1146"/>
      <c r="N1498" s="1066"/>
      <c r="O1498" s="1063"/>
      <c r="P1498" s="1063"/>
      <c r="Q1498" s="1063"/>
      <c r="R1498" s="1069"/>
      <c r="S1498" s="1093"/>
      <c r="T1498" s="1093"/>
      <c r="U1498" s="1093"/>
      <c r="V1498" s="1044"/>
      <c r="W1498" s="1044"/>
      <c r="X1498" s="1033"/>
      <c r="Y1498" s="372" t="s">
        <v>1918</v>
      </c>
      <c r="Z1498" s="386">
        <v>2989644</v>
      </c>
      <c r="AA1498" s="386">
        <v>-186803.44</v>
      </c>
      <c r="AB1498" s="386">
        <f t="shared" si="92"/>
        <v>2802840.56</v>
      </c>
      <c r="AC1498" s="1068">
        <v>42822</v>
      </c>
      <c r="AD1498" s="395">
        <v>2802840.56</v>
      </c>
      <c r="AE1498" s="371" t="s">
        <v>141</v>
      </c>
      <c r="AF1498" s="1044"/>
      <c r="AG1498" s="1044"/>
      <c r="AH1498" s="358"/>
      <c r="AI1498" s="1044"/>
      <c r="AJ1498" s="1063"/>
      <c r="AK1498" s="1063"/>
      <c r="AL1498" s="1063"/>
      <c r="AM1498" s="1063"/>
      <c r="AN1498" s="1109"/>
      <c r="AO1498" s="1104"/>
      <c r="AP1498" s="1104"/>
      <c r="AQ1498" s="1104"/>
    </row>
    <row r="1499" spans="1:43" ht="15" customHeight="1">
      <c r="A1499" s="1033"/>
      <c r="B1499" s="1069"/>
      <c r="C1499" s="1033"/>
      <c r="D1499" s="1033"/>
      <c r="E1499" s="1072"/>
      <c r="F1499" s="1072"/>
      <c r="G1499" s="1033"/>
      <c r="H1499" s="1033"/>
      <c r="I1499" s="1033"/>
      <c r="J1499" s="1033"/>
      <c r="K1499" s="1033"/>
      <c r="L1499" s="1033"/>
      <c r="M1499" s="1146"/>
      <c r="N1499" s="1066"/>
      <c r="O1499" s="1063"/>
      <c r="P1499" s="1063"/>
      <c r="Q1499" s="1063"/>
      <c r="R1499" s="1069"/>
      <c r="S1499" s="1093"/>
      <c r="T1499" s="1093"/>
      <c r="U1499" s="1093"/>
      <c r="V1499" s="1044"/>
      <c r="W1499" s="1044"/>
      <c r="X1499" s="1033"/>
      <c r="Y1499" s="372" t="s">
        <v>1919</v>
      </c>
      <c r="Z1499" s="386">
        <v>569370</v>
      </c>
      <c r="AA1499" s="386">
        <v>-175224.58</v>
      </c>
      <c r="AB1499" s="386">
        <f t="shared" si="92"/>
        <v>394145.42000000004</v>
      </c>
      <c r="AC1499" s="1070"/>
      <c r="AD1499" s="395">
        <v>394145.42</v>
      </c>
      <c r="AE1499" s="371" t="s">
        <v>141</v>
      </c>
      <c r="AF1499" s="1044"/>
      <c r="AG1499" s="1044"/>
      <c r="AH1499" s="358"/>
      <c r="AI1499" s="1044"/>
      <c r="AJ1499" s="1063"/>
      <c r="AK1499" s="1063"/>
      <c r="AL1499" s="1063"/>
      <c r="AM1499" s="1063"/>
      <c r="AN1499" s="1109"/>
      <c r="AO1499" s="1104"/>
      <c r="AP1499" s="1104"/>
      <c r="AQ1499" s="1104"/>
    </row>
    <row r="1500" spans="1:43" ht="15" customHeight="1">
      <c r="A1500" s="1012"/>
      <c r="B1500" s="1070"/>
      <c r="C1500" s="1012"/>
      <c r="D1500" s="1012"/>
      <c r="E1500" s="1073"/>
      <c r="F1500" s="1073"/>
      <c r="G1500" s="1012"/>
      <c r="H1500" s="1012"/>
      <c r="I1500" s="1012"/>
      <c r="J1500" s="1012"/>
      <c r="K1500" s="1012"/>
      <c r="L1500" s="1012"/>
      <c r="M1500" s="1147"/>
      <c r="N1500" s="1067"/>
      <c r="O1500" s="1064"/>
      <c r="P1500" s="1064"/>
      <c r="Q1500" s="1064"/>
      <c r="R1500" s="1070"/>
      <c r="S1500" s="1094"/>
      <c r="T1500" s="1094"/>
      <c r="U1500" s="1094"/>
      <c r="V1500" s="1045"/>
      <c r="W1500" s="1045"/>
      <c r="X1500" s="1012"/>
      <c r="Y1500" s="372"/>
      <c r="Z1500" s="386"/>
      <c r="AA1500" s="386"/>
      <c r="AB1500" s="386">
        <f t="shared" si="92"/>
        <v>0</v>
      </c>
      <c r="AC1500" s="384"/>
      <c r="AD1500" s="395"/>
      <c r="AE1500" s="371"/>
      <c r="AF1500" s="1045"/>
      <c r="AG1500" s="1045"/>
      <c r="AH1500" s="358"/>
      <c r="AI1500" s="1045"/>
      <c r="AJ1500" s="1064"/>
      <c r="AK1500" s="1064"/>
      <c r="AL1500" s="1064"/>
      <c r="AM1500" s="1064"/>
      <c r="AN1500" s="1110"/>
      <c r="AO1500" s="1105"/>
      <c r="AP1500" s="1105"/>
      <c r="AQ1500" s="1105"/>
    </row>
    <row r="1501" spans="1:43" s="4" customFormat="1" ht="15" customHeight="1">
      <c r="A1501" s="1149" t="s">
        <v>1920</v>
      </c>
      <c r="B1501" s="1171">
        <v>42368</v>
      </c>
      <c r="C1501" s="1149" t="s">
        <v>35</v>
      </c>
      <c r="D1501" s="1149" t="s">
        <v>1713</v>
      </c>
      <c r="E1501" s="1148">
        <v>10534582</v>
      </c>
      <c r="F1501" s="1148"/>
      <c r="G1501" s="1149" t="s">
        <v>1921</v>
      </c>
      <c r="H1501" s="1149" t="s">
        <v>71</v>
      </c>
      <c r="I1501" s="1149" t="s">
        <v>1235</v>
      </c>
      <c r="J1501" s="1149" t="s">
        <v>66</v>
      </c>
      <c r="K1501" s="1149" t="s">
        <v>183</v>
      </c>
      <c r="L1501" s="1149" t="s">
        <v>1930</v>
      </c>
      <c r="M1501" s="1156">
        <v>4</v>
      </c>
      <c r="N1501" s="1122" t="s">
        <v>160</v>
      </c>
      <c r="O1501" s="1084">
        <v>191866160</v>
      </c>
      <c r="P1501" s="1084">
        <v>191866160</v>
      </c>
      <c r="Q1501" s="1084">
        <v>191866160</v>
      </c>
      <c r="R1501" s="1068">
        <v>42151</v>
      </c>
      <c r="S1501" s="1089">
        <f>T1501</f>
        <v>191866160</v>
      </c>
      <c r="T1501" s="1089">
        <v>191866160</v>
      </c>
      <c r="U1501" s="1089">
        <f>O1501-T1501</f>
        <v>0</v>
      </c>
      <c r="V1501" s="1084">
        <f>W1501</f>
        <v>189575641</v>
      </c>
      <c r="W1501" s="1084">
        <v>189575641</v>
      </c>
      <c r="X1501" s="1149" t="s">
        <v>1922</v>
      </c>
      <c r="Y1501" s="397" t="s">
        <v>1928</v>
      </c>
      <c r="Z1501" s="386">
        <v>0</v>
      </c>
      <c r="AA1501" s="386">
        <v>94787820.5</v>
      </c>
      <c r="AB1501" s="386">
        <f t="shared" ref="AB1501:AB1514" si="93">AA1501+Z1501</f>
        <v>94787820.5</v>
      </c>
      <c r="AC1501" s="384">
        <v>42599</v>
      </c>
      <c r="AD1501" s="423">
        <v>94787820.5</v>
      </c>
      <c r="AE1501" s="371" t="s">
        <v>160</v>
      </c>
      <c r="AF1501" s="1043">
        <f>AD1501+AD1502</f>
        <v>181456081</v>
      </c>
      <c r="AG1501" s="1084">
        <f>AF1501</f>
        <v>181456081</v>
      </c>
      <c r="AH1501" s="358">
        <f t="shared" ref="AH1501:AH1514" si="94">AB1501-AD1501</f>
        <v>0</v>
      </c>
      <c r="AI1501" s="1084">
        <f>O1501-AD1501-AD1502</f>
        <v>10410079</v>
      </c>
      <c r="AJ1501" s="1084">
        <f>Z1502-AD1501-AD1502</f>
        <v>0</v>
      </c>
      <c r="AK1501" s="1084">
        <f>P1501-V1501</f>
        <v>2290519</v>
      </c>
      <c r="AL1501" s="1084">
        <f>V1501-Z1502</f>
        <v>8119560</v>
      </c>
      <c r="AM1501" s="1084">
        <f>AK1501+AL1501</f>
        <v>10410079</v>
      </c>
      <c r="AN1501" s="1149"/>
      <c r="AO1501" s="1149" t="s">
        <v>1927</v>
      </c>
      <c r="AP1501" s="1103" t="s">
        <v>195</v>
      </c>
      <c r="AQ1501" s="1103" t="s">
        <v>1911</v>
      </c>
    </row>
    <row r="1502" spans="1:43" s="4" customFormat="1" ht="15" customHeight="1">
      <c r="A1502" s="1149"/>
      <c r="B1502" s="1171"/>
      <c r="C1502" s="1149"/>
      <c r="D1502" s="1149"/>
      <c r="E1502" s="1148"/>
      <c r="F1502" s="1148"/>
      <c r="G1502" s="1149"/>
      <c r="H1502" s="1149"/>
      <c r="I1502" s="1149"/>
      <c r="J1502" s="1149"/>
      <c r="K1502" s="1149"/>
      <c r="L1502" s="1149"/>
      <c r="M1502" s="1156"/>
      <c r="N1502" s="1122"/>
      <c r="O1502" s="1084"/>
      <c r="P1502" s="1084"/>
      <c r="Q1502" s="1084"/>
      <c r="R1502" s="1070"/>
      <c r="S1502" s="1091"/>
      <c r="T1502" s="1091"/>
      <c r="U1502" s="1091"/>
      <c r="V1502" s="1084"/>
      <c r="W1502" s="1084"/>
      <c r="X1502" s="1149"/>
      <c r="Y1502" s="397" t="s">
        <v>1929</v>
      </c>
      <c r="Z1502" s="386">
        <v>181456081</v>
      </c>
      <c r="AA1502" s="386">
        <v>-94787820.5</v>
      </c>
      <c r="AB1502" s="386">
        <f t="shared" si="93"/>
        <v>86668260.5</v>
      </c>
      <c r="AC1502" s="384">
        <v>42976</v>
      </c>
      <c r="AD1502" s="395">
        <v>86668260.5</v>
      </c>
      <c r="AE1502" s="371" t="s">
        <v>160</v>
      </c>
      <c r="AF1502" s="1045"/>
      <c r="AG1502" s="1084"/>
      <c r="AH1502" s="358">
        <f t="shared" si="94"/>
        <v>0</v>
      </c>
      <c r="AI1502" s="1084"/>
      <c r="AJ1502" s="1084"/>
      <c r="AK1502" s="1084"/>
      <c r="AL1502" s="1084"/>
      <c r="AM1502" s="1084"/>
      <c r="AN1502" s="1149"/>
      <c r="AO1502" s="1149"/>
      <c r="AP1502" s="1105"/>
      <c r="AQ1502" s="1105"/>
    </row>
    <row r="1503" spans="1:43" s="4" customFormat="1" ht="15" customHeight="1">
      <c r="A1503" s="1023" t="s">
        <v>1923</v>
      </c>
      <c r="B1503" s="1068">
        <v>42353</v>
      </c>
      <c r="C1503" s="1023" t="s">
        <v>20</v>
      </c>
      <c r="D1503" s="1023" t="s">
        <v>1924</v>
      </c>
      <c r="E1503" s="1153">
        <v>900917990</v>
      </c>
      <c r="F1503" s="1153">
        <v>8</v>
      </c>
      <c r="G1503" s="1023" t="s">
        <v>1925</v>
      </c>
      <c r="H1503" s="1023" t="s">
        <v>71</v>
      </c>
      <c r="I1503" s="1023" t="s">
        <v>1235</v>
      </c>
      <c r="J1503" s="1023" t="s">
        <v>66</v>
      </c>
      <c r="K1503" s="1023" t="s">
        <v>48</v>
      </c>
      <c r="L1503" s="1023"/>
      <c r="M1503" s="1145">
        <v>7</v>
      </c>
      <c r="N1503" s="1021" t="s">
        <v>143</v>
      </c>
      <c r="O1503" s="1043">
        <v>486507732</v>
      </c>
      <c r="P1503" s="1043">
        <v>486507732</v>
      </c>
      <c r="Q1503" s="1043">
        <f>P1503+P1507</f>
        <v>2746824526</v>
      </c>
      <c r="R1503" s="1068">
        <v>42153</v>
      </c>
      <c r="S1503" s="1089">
        <f>T1503</f>
        <v>486507732</v>
      </c>
      <c r="T1503" s="1089">
        <v>486507732</v>
      </c>
      <c r="U1503" s="1089">
        <f>O1503-T1503</f>
        <v>0</v>
      </c>
      <c r="V1503" s="1084">
        <v>475092213.74000001</v>
      </c>
      <c r="W1503" s="1043">
        <v>2682372466</v>
      </c>
      <c r="X1503" s="1023" t="s">
        <v>1926</v>
      </c>
      <c r="Y1503" s="372" t="s">
        <v>1940</v>
      </c>
      <c r="Z1503" s="386">
        <v>0</v>
      </c>
      <c r="AA1503" s="386">
        <f>AD1503</f>
        <v>95018442.709999993</v>
      </c>
      <c r="AB1503" s="386">
        <f t="shared" si="93"/>
        <v>95018442.709999993</v>
      </c>
      <c r="AC1503" s="384">
        <v>42473</v>
      </c>
      <c r="AD1503" s="395">
        <v>95018442.709999993</v>
      </c>
      <c r="AE1503" s="371" t="s">
        <v>143</v>
      </c>
      <c r="AF1503" s="1043">
        <f>SUM(AD1503:AD1506)</f>
        <v>471124573.37</v>
      </c>
      <c r="AG1503" s="1043">
        <f>AF1503+AF1507</f>
        <v>2290256098.9900002</v>
      </c>
      <c r="AH1503" s="358">
        <f t="shared" si="94"/>
        <v>0</v>
      </c>
      <c r="AI1503" s="1043">
        <f>O1503-SUM(AD1503:AD1506)</f>
        <v>15383158.629999995</v>
      </c>
      <c r="AJ1503" s="1043">
        <f>SUM(Z1503:Z1514)-SUM(AD1503:AD1514)</f>
        <v>122763825.00999975</v>
      </c>
      <c r="AK1503" s="1043">
        <f>P1503-V1503</f>
        <v>11415518.25999999</v>
      </c>
      <c r="AL1503" s="1043">
        <f>V1503-SUM(Z1503:Z1506)</f>
        <v>10260648.069999993</v>
      </c>
      <c r="AM1503" s="1043"/>
      <c r="AN1503" s="1023"/>
      <c r="AO1503" s="1023" t="s">
        <v>1944</v>
      </c>
      <c r="AP1503" s="1103" t="s">
        <v>195</v>
      </c>
      <c r="AQ1503" s="1103" t="s">
        <v>1911</v>
      </c>
    </row>
    <row r="1504" spans="1:43" s="4" customFormat="1" ht="15" customHeight="1">
      <c r="A1504" s="1124"/>
      <c r="B1504" s="1069"/>
      <c r="C1504" s="1124"/>
      <c r="D1504" s="1124"/>
      <c r="E1504" s="1154"/>
      <c r="F1504" s="1154"/>
      <c r="G1504" s="1124"/>
      <c r="H1504" s="1124"/>
      <c r="I1504" s="1124"/>
      <c r="J1504" s="1124"/>
      <c r="K1504" s="1124"/>
      <c r="L1504" s="1124"/>
      <c r="M1504" s="1146"/>
      <c r="N1504" s="1022"/>
      <c r="O1504" s="1044"/>
      <c r="P1504" s="1044"/>
      <c r="Q1504" s="1044"/>
      <c r="R1504" s="1069"/>
      <c r="S1504" s="1090"/>
      <c r="T1504" s="1090"/>
      <c r="U1504" s="1090"/>
      <c r="V1504" s="1084"/>
      <c r="W1504" s="1044"/>
      <c r="X1504" s="1124"/>
      <c r="Y1504" s="372" t="s">
        <v>1941</v>
      </c>
      <c r="Z1504" s="386">
        <v>354533160.67000002</v>
      </c>
      <c r="AA1504" s="386">
        <v>-70906632.010000005</v>
      </c>
      <c r="AB1504" s="386">
        <f t="shared" si="93"/>
        <v>283626528.66000003</v>
      </c>
      <c r="AC1504" s="384">
        <v>42790</v>
      </c>
      <c r="AD1504" s="395">
        <v>283626528.66000003</v>
      </c>
      <c r="AE1504" s="371" t="s">
        <v>143</v>
      </c>
      <c r="AF1504" s="1044"/>
      <c r="AG1504" s="1044"/>
      <c r="AH1504" s="358">
        <f t="shared" si="94"/>
        <v>0</v>
      </c>
      <c r="AI1504" s="1044"/>
      <c r="AJ1504" s="1044"/>
      <c r="AK1504" s="1044"/>
      <c r="AL1504" s="1044"/>
      <c r="AM1504" s="1044"/>
      <c r="AN1504" s="1124"/>
      <c r="AO1504" s="1124"/>
      <c r="AP1504" s="1104"/>
      <c r="AQ1504" s="1104"/>
    </row>
    <row r="1505" spans="1:43" s="4" customFormat="1" ht="15" customHeight="1">
      <c r="A1505" s="1124"/>
      <c r="B1505" s="1069"/>
      <c r="C1505" s="1124"/>
      <c r="D1505" s="1124"/>
      <c r="E1505" s="1154"/>
      <c r="F1505" s="1154"/>
      <c r="G1505" s="1124"/>
      <c r="H1505" s="1124"/>
      <c r="I1505" s="1124"/>
      <c r="J1505" s="1124"/>
      <c r="K1505" s="1124"/>
      <c r="L1505" s="1124"/>
      <c r="M1505" s="1146"/>
      <c r="N1505" s="1022"/>
      <c r="O1505" s="1044"/>
      <c r="P1505" s="1044"/>
      <c r="Q1505" s="1044"/>
      <c r="R1505" s="1069"/>
      <c r="S1505" s="1090"/>
      <c r="T1505" s="1090"/>
      <c r="U1505" s="1090"/>
      <c r="V1505" s="1084"/>
      <c r="W1505" s="1044"/>
      <c r="X1505" s="1124"/>
      <c r="Y1505" s="372" t="s">
        <v>1942</v>
      </c>
      <c r="Z1505" s="386">
        <v>89094014</v>
      </c>
      <c r="AA1505" s="386">
        <v>-17818803</v>
      </c>
      <c r="AB1505" s="386">
        <f t="shared" si="93"/>
        <v>71275211</v>
      </c>
      <c r="AC1505" s="384">
        <v>42873</v>
      </c>
      <c r="AD1505" s="395">
        <v>71275211</v>
      </c>
      <c r="AE1505" s="371" t="s">
        <v>143</v>
      </c>
      <c r="AF1505" s="1044"/>
      <c r="AG1505" s="1044"/>
      <c r="AH1505" s="358">
        <f t="shared" si="94"/>
        <v>0</v>
      </c>
      <c r="AI1505" s="1044"/>
      <c r="AJ1505" s="1044"/>
      <c r="AK1505" s="1044"/>
      <c r="AL1505" s="1044"/>
      <c r="AM1505" s="1044"/>
      <c r="AN1505" s="1124"/>
      <c r="AO1505" s="1124"/>
      <c r="AP1505" s="1104"/>
      <c r="AQ1505" s="1104"/>
    </row>
    <row r="1506" spans="1:43" s="4" customFormat="1" ht="15" customHeight="1">
      <c r="A1506" s="1124"/>
      <c r="B1506" s="1069"/>
      <c r="C1506" s="1124"/>
      <c r="D1506" s="1124"/>
      <c r="E1506" s="1154"/>
      <c r="F1506" s="1154"/>
      <c r="G1506" s="1124"/>
      <c r="H1506" s="1124"/>
      <c r="I1506" s="1124"/>
      <c r="J1506" s="1124"/>
      <c r="K1506" s="1124"/>
      <c r="L1506" s="1124"/>
      <c r="M1506" s="1146"/>
      <c r="N1506" s="1022"/>
      <c r="O1506" s="1044"/>
      <c r="P1506" s="1044"/>
      <c r="Q1506" s="1044"/>
      <c r="R1506" s="1069"/>
      <c r="S1506" s="1091"/>
      <c r="T1506" s="1091"/>
      <c r="U1506" s="1091"/>
      <c r="V1506" s="1084"/>
      <c r="W1506" s="1044"/>
      <c r="X1506" s="1124"/>
      <c r="Y1506" s="372" t="s">
        <v>1943</v>
      </c>
      <c r="Z1506" s="386">
        <v>21204391</v>
      </c>
      <c r="AA1506" s="386">
        <v>0</v>
      </c>
      <c r="AB1506" s="386">
        <f t="shared" si="93"/>
        <v>21204391</v>
      </c>
      <c r="AC1506" s="384">
        <v>42955</v>
      </c>
      <c r="AD1506" s="395">
        <v>21204391</v>
      </c>
      <c r="AE1506" s="371" t="s">
        <v>143</v>
      </c>
      <c r="AF1506" s="1045"/>
      <c r="AG1506" s="1044"/>
      <c r="AH1506" s="358">
        <f t="shared" si="94"/>
        <v>0</v>
      </c>
      <c r="AI1506" s="1045"/>
      <c r="AJ1506" s="1044"/>
      <c r="AK1506" s="1044"/>
      <c r="AL1506" s="1044"/>
      <c r="AM1506" s="1044"/>
      <c r="AN1506" s="1124"/>
      <c r="AO1506" s="1124"/>
      <c r="AP1506" s="1104"/>
      <c r="AQ1506" s="1104"/>
    </row>
    <row r="1507" spans="1:43" s="4" customFormat="1" ht="15" customHeight="1">
      <c r="A1507" s="1124"/>
      <c r="B1507" s="1069"/>
      <c r="C1507" s="1124"/>
      <c r="D1507" s="1124"/>
      <c r="E1507" s="1154"/>
      <c r="F1507" s="1154"/>
      <c r="G1507" s="1124"/>
      <c r="H1507" s="1124"/>
      <c r="I1507" s="1124"/>
      <c r="J1507" s="1124"/>
      <c r="K1507" s="1124"/>
      <c r="L1507" s="1124"/>
      <c r="M1507" s="1145">
        <v>324</v>
      </c>
      <c r="N1507" s="1122" t="s">
        <v>137</v>
      </c>
      <c r="O1507" s="1084">
        <v>1108241990</v>
      </c>
      <c r="P1507" s="1043">
        <f>O1507+O1511</f>
        <v>2260316794</v>
      </c>
      <c r="Q1507" s="1044"/>
      <c r="R1507" s="1068">
        <v>42153</v>
      </c>
      <c r="S1507" s="1089">
        <f>T1507+T1511</f>
        <v>2260316794</v>
      </c>
      <c r="T1507" s="1062">
        <v>1108241990</v>
      </c>
      <c r="U1507" s="1062">
        <f>O1507-T1507</f>
        <v>0</v>
      </c>
      <c r="V1507" s="1084">
        <v>1082237970.25</v>
      </c>
      <c r="W1507" s="1044"/>
      <c r="X1507" s="1124"/>
      <c r="Y1507" s="1065" t="s">
        <v>1940</v>
      </c>
      <c r="Z1507" s="386">
        <v>0</v>
      </c>
      <c r="AA1507" s="386">
        <v>216447593.97</v>
      </c>
      <c r="AB1507" s="386">
        <f t="shared" si="93"/>
        <v>216447593.97</v>
      </c>
      <c r="AC1507" s="1068">
        <v>42473</v>
      </c>
      <c r="AD1507" s="395">
        <v>216447593.97</v>
      </c>
      <c r="AE1507" s="371" t="s">
        <v>137</v>
      </c>
      <c r="AF1507" s="1043">
        <f>SUM(AD1507:AD1513)</f>
        <v>1819131525.6200001</v>
      </c>
      <c r="AG1507" s="1044"/>
      <c r="AH1507" s="358">
        <f t="shared" si="94"/>
        <v>0</v>
      </c>
      <c r="AI1507" s="1043">
        <f>O1507-AD1507-AD1509-AD1511-AD1513</f>
        <v>154121504.36999989</v>
      </c>
      <c r="AJ1507" s="1044"/>
      <c r="AK1507" s="1043">
        <f>O1507-V1507</f>
        <v>26004019.75</v>
      </c>
      <c r="AL1507" s="1043">
        <f>(V1507+V1511)-SUM(Z1507:Z1514)</f>
        <v>259091893.93000031</v>
      </c>
      <c r="AM1507" s="1043"/>
      <c r="AN1507" s="1124"/>
      <c r="AO1507" s="1124"/>
      <c r="AP1507" s="1104"/>
      <c r="AQ1507" s="1104"/>
    </row>
    <row r="1508" spans="1:43" s="4" customFormat="1" ht="15" customHeight="1">
      <c r="A1508" s="1124"/>
      <c r="B1508" s="1069"/>
      <c r="C1508" s="1124"/>
      <c r="D1508" s="1124"/>
      <c r="E1508" s="1154"/>
      <c r="F1508" s="1154"/>
      <c r="G1508" s="1124"/>
      <c r="H1508" s="1124"/>
      <c r="I1508" s="1124"/>
      <c r="J1508" s="1124"/>
      <c r="K1508" s="1124"/>
      <c r="L1508" s="1124"/>
      <c r="M1508" s="1146"/>
      <c r="N1508" s="1122"/>
      <c r="O1508" s="1084"/>
      <c r="P1508" s="1044"/>
      <c r="Q1508" s="1044"/>
      <c r="R1508" s="1069"/>
      <c r="S1508" s="1090"/>
      <c r="T1508" s="1063"/>
      <c r="U1508" s="1063"/>
      <c r="V1508" s="1084"/>
      <c r="W1508" s="1044"/>
      <c r="X1508" s="1124"/>
      <c r="Y1508" s="1067"/>
      <c r="Z1508" s="386">
        <v>0</v>
      </c>
      <c r="AA1508" s="386">
        <v>225008456.31999999</v>
      </c>
      <c r="AB1508" s="386">
        <f t="shared" si="93"/>
        <v>225008456.31999999</v>
      </c>
      <c r="AC1508" s="1070"/>
      <c r="AD1508" s="395">
        <v>225008456.31999999</v>
      </c>
      <c r="AE1508" s="371" t="s">
        <v>7</v>
      </c>
      <c r="AF1508" s="1044"/>
      <c r="AG1508" s="1044"/>
      <c r="AH1508" s="358">
        <f t="shared" si="94"/>
        <v>0</v>
      </c>
      <c r="AI1508" s="1044"/>
      <c r="AJ1508" s="1044"/>
      <c r="AK1508" s="1044"/>
      <c r="AL1508" s="1044"/>
      <c r="AM1508" s="1044"/>
      <c r="AN1508" s="1124"/>
      <c r="AO1508" s="1124"/>
      <c r="AP1508" s="1104"/>
      <c r="AQ1508" s="1104"/>
    </row>
    <row r="1509" spans="1:43" s="4" customFormat="1" ht="15" customHeight="1">
      <c r="A1509" s="1124"/>
      <c r="B1509" s="1069"/>
      <c r="C1509" s="1124"/>
      <c r="D1509" s="1124"/>
      <c r="E1509" s="1154"/>
      <c r="F1509" s="1154"/>
      <c r="G1509" s="1124"/>
      <c r="H1509" s="1124"/>
      <c r="I1509" s="1124"/>
      <c r="J1509" s="1124"/>
      <c r="K1509" s="1124"/>
      <c r="L1509" s="1124"/>
      <c r="M1509" s="1146"/>
      <c r="N1509" s="1122"/>
      <c r="O1509" s="1084"/>
      <c r="P1509" s="1044"/>
      <c r="Q1509" s="1044"/>
      <c r="R1509" s="1069"/>
      <c r="S1509" s="1090"/>
      <c r="T1509" s="1063"/>
      <c r="U1509" s="1063"/>
      <c r="V1509" s="1084"/>
      <c r="W1509" s="1044"/>
      <c r="X1509" s="1124"/>
      <c r="Y1509" s="1065" t="s">
        <v>1941</v>
      </c>
      <c r="Z1509" s="386">
        <v>354533160.66000003</v>
      </c>
      <c r="AA1509" s="386">
        <v>-70906632</v>
      </c>
      <c r="AB1509" s="386">
        <f t="shared" si="93"/>
        <v>283626528.66000003</v>
      </c>
      <c r="AC1509" s="1068">
        <v>42790</v>
      </c>
      <c r="AD1509" s="395">
        <v>283626528.66000003</v>
      </c>
      <c r="AE1509" s="371" t="s">
        <v>137</v>
      </c>
      <c r="AF1509" s="1044"/>
      <c r="AG1509" s="1044"/>
      <c r="AH1509" s="358">
        <f t="shared" si="94"/>
        <v>0</v>
      </c>
      <c r="AI1509" s="1044"/>
      <c r="AJ1509" s="1044"/>
      <c r="AK1509" s="1044"/>
      <c r="AL1509" s="1044"/>
      <c r="AM1509" s="1044"/>
      <c r="AN1509" s="1124"/>
      <c r="AO1509" s="1124"/>
      <c r="AP1509" s="1104"/>
      <c r="AQ1509" s="1104"/>
    </row>
    <row r="1510" spans="1:43" s="4" customFormat="1" ht="15" customHeight="1">
      <c r="A1510" s="1124"/>
      <c r="B1510" s="1069"/>
      <c r="C1510" s="1124"/>
      <c r="D1510" s="1124"/>
      <c r="E1510" s="1154"/>
      <c r="F1510" s="1154"/>
      <c r="G1510" s="1124"/>
      <c r="H1510" s="1124"/>
      <c r="I1510" s="1124"/>
      <c r="J1510" s="1124"/>
      <c r="K1510" s="1124"/>
      <c r="L1510" s="1124"/>
      <c r="M1510" s="1146"/>
      <c r="N1510" s="1122"/>
      <c r="O1510" s="1084"/>
      <c r="P1510" s="1044"/>
      <c r="Q1510" s="1044"/>
      <c r="R1510" s="1069"/>
      <c r="S1510" s="1090"/>
      <c r="T1510" s="1064"/>
      <c r="U1510" s="1064"/>
      <c r="V1510" s="1084"/>
      <c r="W1510" s="1044"/>
      <c r="X1510" s="1124"/>
      <c r="Y1510" s="1067"/>
      <c r="Z1510" s="386">
        <v>354533160.67000002</v>
      </c>
      <c r="AA1510" s="386">
        <v>-70906632</v>
      </c>
      <c r="AB1510" s="386">
        <f t="shared" si="93"/>
        <v>283626528.67000002</v>
      </c>
      <c r="AC1510" s="1070"/>
      <c r="AD1510" s="395">
        <v>283626528.67000002</v>
      </c>
      <c r="AE1510" s="371" t="s">
        <v>7</v>
      </c>
      <c r="AF1510" s="1044"/>
      <c r="AG1510" s="1044"/>
      <c r="AH1510" s="358">
        <f t="shared" si="94"/>
        <v>0</v>
      </c>
      <c r="AI1510" s="1045"/>
      <c r="AJ1510" s="1044"/>
      <c r="AK1510" s="1045"/>
      <c r="AL1510" s="1044"/>
      <c r="AM1510" s="1044"/>
      <c r="AN1510" s="1124"/>
      <c r="AO1510" s="1124"/>
      <c r="AP1510" s="1104"/>
      <c r="AQ1510" s="1104"/>
    </row>
    <row r="1511" spans="1:43" s="4" customFormat="1" ht="15" customHeight="1">
      <c r="A1511" s="1124"/>
      <c r="B1511" s="1069"/>
      <c r="C1511" s="1124"/>
      <c r="D1511" s="1124"/>
      <c r="E1511" s="1154"/>
      <c r="F1511" s="1154"/>
      <c r="G1511" s="1124"/>
      <c r="H1511" s="1124"/>
      <c r="I1511" s="1124"/>
      <c r="J1511" s="1124"/>
      <c r="K1511" s="1124"/>
      <c r="L1511" s="1124"/>
      <c r="M1511" s="1146"/>
      <c r="N1511" s="1021" t="s">
        <v>7</v>
      </c>
      <c r="O1511" s="1043">
        <v>1152074804</v>
      </c>
      <c r="P1511" s="1044"/>
      <c r="Q1511" s="1044"/>
      <c r="R1511" s="1069"/>
      <c r="S1511" s="1090"/>
      <c r="T1511" s="1062">
        <v>1152074804</v>
      </c>
      <c r="U1511" s="1062">
        <f>O1511-T1511</f>
        <v>0</v>
      </c>
      <c r="V1511" s="1043">
        <v>1125042282.01</v>
      </c>
      <c r="W1511" s="1044"/>
      <c r="X1511" s="1124"/>
      <c r="Y1511" s="1065" t="s">
        <v>1942</v>
      </c>
      <c r="Z1511" s="386">
        <v>356376055</v>
      </c>
      <c r="AA1511" s="386">
        <v>-71275211</v>
      </c>
      <c r="AB1511" s="386">
        <f t="shared" si="93"/>
        <v>285100844</v>
      </c>
      <c r="AC1511" s="1068">
        <v>42873</v>
      </c>
      <c r="AD1511" s="395">
        <v>285100844</v>
      </c>
      <c r="AE1511" s="371" t="s">
        <v>137</v>
      </c>
      <c r="AF1511" s="1044"/>
      <c r="AG1511" s="1044"/>
      <c r="AH1511" s="358">
        <f t="shared" si="94"/>
        <v>0</v>
      </c>
      <c r="AI1511" s="1043">
        <f>O1511-AD1508-AD1510-AD1512</f>
        <v>287063764.00999999</v>
      </c>
      <c r="AJ1511" s="1044"/>
      <c r="AK1511" s="1043">
        <f>O1511-V1511</f>
        <v>27032521.99000001</v>
      </c>
      <c r="AL1511" s="1044"/>
      <c r="AM1511" s="1044"/>
      <c r="AN1511" s="1124"/>
      <c r="AO1511" s="1124"/>
      <c r="AP1511" s="1104"/>
      <c r="AQ1511" s="1104"/>
    </row>
    <row r="1512" spans="1:43" s="4" customFormat="1" ht="15" customHeight="1">
      <c r="A1512" s="1124"/>
      <c r="B1512" s="1069"/>
      <c r="C1512" s="1124"/>
      <c r="D1512" s="1124"/>
      <c r="E1512" s="1154"/>
      <c r="F1512" s="1154"/>
      <c r="G1512" s="1124"/>
      <c r="H1512" s="1124"/>
      <c r="I1512" s="1124"/>
      <c r="J1512" s="1124"/>
      <c r="K1512" s="1124"/>
      <c r="L1512" s="1124"/>
      <c r="M1512" s="1146"/>
      <c r="N1512" s="1022"/>
      <c r="O1512" s="1044"/>
      <c r="P1512" s="1044"/>
      <c r="Q1512" s="1044"/>
      <c r="R1512" s="1069"/>
      <c r="S1512" s="1090"/>
      <c r="T1512" s="1063"/>
      <c r="U1512" s="1063"/>
      <c r="V1512" s="1044"/>
      <c r="W1512" s="1044"/>
      <c r="X1512" s="1124"/>
      <c r="Y1512" s="1067"/>
      <c r="Z1512" s="386">
        <v>445470069</v>
      </c>
      <c r="AA1512" s="386">
        <v>-89094014</v>
      </c>
      <c r="AB1512" s="386">
        <f t="shared" si="93"/>
        <v>356376055</v>
      </c>
      <c r="AC1512" s="1070"/>
      <c r="AD1512" s="395">
        <v>356376055</v>
      </c>
      <c r="AE1512" s="371" t="s">
        <v>7</v>
      </c>
      <c r="AF1512" s="1044"/>
      <c r="AG1512" s="1044"/>
      <c r="AH1512" s="358">
        <f t="shared" si="94"/>
        <v>0</v>
      </c>
      <c r="AI1512" s="1044"/>
      <c r="AJ1512" s="1044"/>
      <c r="AK1512" s="1044"/>
      <c r="AL1512" s="1044"/>
      <c r="AM1512" s="1044"/>
      <c r="AN1512" s="1124"/>
      <c r="AO1512" s="1124"/>
      <c r="AP1512" s="1104"/>
      <c r="AQ1512" s="1104"/>
    </row>
    <row r="1513" spans="1:43" s="4" customFormat="1" ht="15" customHeight="1">
      <c r="A1513" s="1124"/>
      <c r="B1513" s="1069"/>
      <c r="C1513" s="1124"/>
      <c r="D1513" s="1124"/>
      <c r="E1513" s="1154"/>
      <c r="F1513" s="1154"/>
      <c r="G1513" s="1124"/>
      <c r="H1513" s="1124"/>
      <c r="I1513" s="1124"/>
      <c r="J1513" s="1124"/>
      <c r="K1513" s="1124"/>
      <c r="L1513" s="1124"/>
      <c r="M1513" s="1146"/>
      <c r="N1513" s="1022"/>
      <c r="O1513" s="1044"/>
      <c r="P1513" s="1044"/>
      <c r="Q1513" s="1044"/>
      <c r="R1513" s="1069"/>
      <c r="S1513" s="1090"/>
      <c r="T1513" s="1063"/>
      <c r="U1513" s="1063"/>
      <c r="V1513" s="1044"/>
      <c r="W1513" s="1044"/>
      <c r="X1513" s="1124"/>
      <c r="Y1513" s="1065" t="s">
        <v>1943</v>
      </c>
      <c r="Z1513" s="386">
        <v>214979827</v>
      </c>
      <c r="AA1513" s="386">
        <v>-46034308</v>
      </c>
      <c r="AB1513" s="386">
        <f t="shared" si="93"/>
        <v>168945519</v>
      </c>
      <c r="AC1513" s="1068">
        <v>42955</v>
      </c>
      <c r="AD1513" s="395">
        <v>168945519</v>
      </c>
      <c r="AE1513" s="371" t="s">
        <v>137</v>
      </c>
      <c r="AF1513" s="1044"/>
      <c r="AG1513" s="1044"/>
      <c r="AH1513" s="358">
        <f t="shared" si="94"/>
        <v>0</v>
      </c>
      <c r="AI1513" s="1044"/>
      <c r="AJ1513" s="1044"/>
      <c r="AK1513" s="1044"/>
      <c r="AL1513" s="1044"/>
      <c r="AM1513" s="1044"/>
      <c r="AN1513" s="1124"/>
      <c r="AO1513" s="1124"/>
      <c r="AP1513" s="1104"/>
      <c r="AQ1513" s="1104"/>
    </row>
    <row r="1514" spans="1:43" ht="15" customHeight="1">
      <c r="A1514" s="1024"/>
      <c r="B1514" s="1070"/>
      <c r="C1514" s="1024"/>
      <c r="D1514" s="1024"/>
      <c r="E1514" s="1155"/>
      <c r="F1514" s="1155"/>
      <c r="G1514" s="1024"/>
      <c r="H1514" s="1024"/>
      <c r="I1514" s="1024"/>
      <c r="J1514" s="1024"/>
      <c r="K1514" s="1024"/>
      <c r="L1514" s="1024"/>
      <c r="M1514" s="1147"/>
      <c r="N1514" s="1038"/>
      <c r="O1514" s="1045"/>
      <c r="P1514" s="1045"/>
      <c r="Q1514" s="1045"/>
      <c r="R1514" s="1070"/>
      <c r="S1514" s="1091"/>
      <c r="T1514" s="1064"/>
      <c r="U1514" s="1064"/>
      <c r="V1514" s="1045"/>
      <c r="W1514" s="1045"/>
      <c r="X1514" s="1024"/>
      <c r="Y1514" s="1067"/>
      <c r="Z1514" s="386">
        <v>222296086</v>
      </c>
      <c r="AA1514" s="386">
        <v>-45661753</v>
      </c>
      <c r="AB1514" s="386">
        <f t="shared" si="93"/>
        <v>176634333</v>
      </c>
      <c r="AC1514" s="1070"/>
      <c r="AD1514" s="395">
        <v>0</v>
      </c>
      <c r="AE1514" s="371" t="s">
        <v>7</v>
      </c>
      <c r="AF1514" s="1045"/>
      <c r="AG1514" s="1045"/>
      <c r="AH1514" s="358">
        <f t="shared" si="94"/>
        <v>176634333</v>
      </c>
      <c r="AI1514" s="1045"/>
      <c r="AJ1514" s="1045"/>
      <c r="AK1514" s="1045"/>
      <c r="AL1514" s="1045"/>
      <c r="AM1514" s="1045"/>
      <c r="AN1514" s="1024"/>
      <c r="AO1514" s="1024"/>
      <c r="AP1514" s="1105"/>
      <c r="AQ1514" s="1105"/>
    </row>
    <row r="1515" spans="1:43" s="4" customFormat="1" ht="15" customHeight="1">
      <c r="A1515" s="1011" t="s">
        <v>2103</v>
      </c>
      <c r="B1515" s="1068">
        <v>42387</v>
      </c>
      <c r="C1515" s="1011" t="s">
        <v>21</v>
      </c>
      <c r="D1515" s="1011" t="s">
        <v>2096</v>
      </c>
      <c r="E1515" s="1011">
        <v>900924281</v>
      </c>
      <c r="F1515" s="1011">
        <v>3</v>
      </c>
      <c r="G1515" s="1011" t="s">
        <v>2095</v>
      </c>
      <c r="H1515" s="1011" t="s">
        <v>71</v>
      </c>
      <c r="I1515" s="1011" t="s">
        <v>2036</v>
      </c>
      <c r="J1515" s="1011" t="s">
        <v>66</v>
      </c>
      <c r="K1515" s="1011" t="s">
        <v>48</v>
      </c>
      <c r="L1515" s="354"/>
      <c r="M1515" s="1009">
        <v>333</v>
      </c>
      <c r="N1515" s="1021" t="s">
        <v>137</v>
      </c>
      <c r="O1515" s="1100">
        <v>136554982</v>
      </c>
      <c r="P1515" s="1100">
        <f>SUM(O1515:O1520)</f>
        <v>1089646832</v>
      </c>
      <c r="Q1515" s="1100">
        <f>SUM(P1515:P1521)</f>
        <v>1239026039</v>
      </c>
      <c r="R1515" s="1068">
        <v>42278</v>
      </c>
      <c r="S1515" s="402"/>
      <c r="T1515" s="403"/>
      <c r="U1515" s="403"/>
      <c r="V1515" s="403">
        <v>136554892</v>
      </c>
      <c r="W1515" s="1100">
        <f>SUM(V1515:V1521)</f>
        <v>1232829319</v>
      </c>
      <c r="X1515" s="354"/>
      <c r="Y1515" s="372" t="s">
        <v>2094</v>
      </c>
      <c r="Z1515" s="397"/>
      <c r="AA1515" s="411">
        <v>493131727.60000002</v>
      </c>
      <c r="AB1515" s="411">
        <f t="shared" ref="AB1515:AB1523" si="95">SUM(Z1515:AA1515)</f>
        <v>493131727.60000002</v>
      </c>
      <c r="AC1515" s="384">
        <v>42615</v>
      </c>
      <c r="AD1515" s="83">
        <v>28450415.100000001</v>
      </c>
      <c r="AE1515" s="1021" t="s">
        <v>137</v>
      </c>
      <c r="AF1515" s="1023">
        <f>SUM(AD1515:AD1517)</f>
        <v>104987475.21000001</v>
      </c>
      <c r="AG1515" s="1023">
        <f>SUM(AF1515:AF1523)</f>
        <v>1064282456.2</v>
      </c>
      <c r="AH1515" s="1023">
        <v>0</v>
      </c>
      <c r="AI1515" s="1023">
        <f>SUM(AH1515:AH1523)</f>
        <v>0</v>
      </c>
      <c r="AJ1515" s="1023">
        <f>SUM(AI1515:AI1523)</f>
        <v>0</v>
      </c>
      <c r="AK1515" s="1023">
        <f>O1515-V1515</f>
        <v>90</v>
      </c>
      <c r="AL1515" s="397"/>
      <c r="AM1515" s="397"/>
      <c r="AN1515" s="391"/>
      <c r="AO1515" s="1103" t="s">
        <v>2093</v>
      </c>
      <c r="AP1515" s="1103" t="s">
        <v>195</v>
      </c>
      <c r="AQ1515" s="1103" t="s">
        <v>1911</v>
      </c>
    </row>
    <row r="1516" spans="1:43" s="4" customFormat="1" ht="15" customHeight="1">
      <c r="A1516" s="1033"/>
      <c r="B1516" s="1069"/>
      <c r="C1516" s="1033"/>
      <c r="D1516" s="1033"/>
      <c r="E1516" s="1033"/>
      <c r="F1516" s="1033"/>
      <c r="G1516" s="1033"/>
      <c r="H1516" s="1033"/>
      <c r="I1516" s="1033"/>
      <c r="J1516" s="1033"/>
      <c r="K1516" s="1033"/>
      <c r="L1516" s="354"/>
      <c r="M1516" s="1039"/>
      <c r="N1516" s="1022"/>
      <c r="O1516" s="1101"/>
      <c r="P1516" s="1101"/>
      <c r="Q1516" s="1101"/>
      <c r="R1516" s="1069"/>
      <c r="S1516" s="402"/>
      <c r="T1516" s="403"/>
      <c r="U1516" s="403"/>
      <c r="V1516" s="403"/>
      <c r="W1516" s="1101"/>
      <c r="X1516" s="354"/>
      <c r="Y1516" s="372" t="s">
        <v>2092</v>
      </c>
      <c r="Z1516" s="397">
        <v>592749980</v>
      </c>
      <c r="AA1516" s="397">
        <v>-237099992</v>
      </c>
      <c r="AB1516" s="411">
        <f t="shared" si="95"/>
        <v>355649988</v>
      </c>
      <c r="AC1516" s="384">
        <v>42823</v>
      </c>
      <c r="AD1516" s="83">
        <v>39121498.799999997</v>
      </c>
      <c r="AE1516" s="1022"/>
      <c r="AF1516" s="1124"/>
      <c r="AG1516" s="1124"/>
      <c r="AH1516" s="1124"/>
      <c r="AI1516" s="1124"/>
      <c r="AJ1516" s="1124"/>
      <c r="AK1516" s="1124"/>
      <c r="AL1516" s="397"/>
      <c r="AM1516" s="397"/>
      <c r="AN1516" s="391"/>
      <c r="AO1516" s="1104"/>
      <c r="AP1516" s="1104"/>
      <c r="AQ1516" s="1104"/>
    </row>
    <row r="1517" spans="1:43" s="4" customFormat="1" ht="15" customHeight="1">
      <c r="A1517" s="1033"/>
      <c r="B1517" s="1069"/>
      <c r="C1517" s="1033"/>
      <c r="D1517" s="1033"/>
      <c r="E1517" s="1033"/>
      <c r="F1517" s="1033"/>
      <c r="G1517" s="1033"/>
      <c r="H1517" s="1033"/>
      <c r="I1517" s="1033"/>
      <c r="J1517" s="1033"/>
      <c r="K1517" s="1033"/>
      <c r="L1517" s="354"/>
      <c r="M1517" s="1039"/>
      <c r="N1517" s="1038"/>
      <c r="O1517" s="1102"/>
      <c r="P1517" s="1101"/>
      <c r="Q1517" s="1101"/>
      <c r="R1517" s="1069"/>
      <c r="S1517" s="402"/>
      <c r="T1517" s="403"/>
      <c r="U1517" s="403"/>
      <c r="V1517" s="403"/>
      <c r="W1517" s="1101"/>
      <c r="X1517" s="354"/>
      <c r="Y1517" s="372" t="s">
        <v>2091</v>
      </c>
      <c r="Z1517" s="397">
        <v>359167901</v>
      </c>
      <c r="AA1517" s="397">
        <v>-143667160.40000001</v>
      </c>
      <c r="AB1517" s="411">
        <f t="shared" si="95"/>
        <v>215500740.59999999</v>
      </c>
      <c r="AC1517" s="384">
        <v>43039</v>
      </c>
      <c r="AD1517" s="83">
        <v>37415561.310000002</v>
      </c>
      <c r="AE1517" s="1038"/>
      <c r="AF1517" s="1024"/>
      <c r="AG1517" s="1124"/>
      <c r="AH1517" s="1124"/>
      <c r="AI1517" s="1124"/>
      <c r="AJ1517" s="1124"/>
      <c r="AK1517" s="1024"/>
      <c r="AL1517" s="397"/>
      <c r="AM1517" s="397"/>
      <c r="AN1517" s="391"/>
      <c r="AO1517" s="1104"/>
      <c r="AP1517" s="1104"/>
      <c r="AQ1517" s="1104"/>
    </row>
    <row r="1518" spans="1:43" s="4" customFormat="1" ht="15" customHeight="1">
      <c r="A1518" s="1033"/>
      <c r="B1518" s="1069"/>
      <c r="C1518" s="1033"/>
      <c r="D1518" s="1033"/>
      <c r="E1518" s="1033"/>
      <c r="F1518" s="1033"/>
      <c r="G1518" s="1033"/>
      <c r="H1518" s="1033"/>
      <c r="I1518" s="1033"/>
      <c r="J1518" s="1033"/>
      <c r="K1518" s="1033"/>
      <c r="L1518" s="354"/>
      <c r="M1518" s="1039"/>
      <c r="N1518" s="1021" t="s">
        <v>7</v>
      </c>
      <c r="O1518" s="1100">
        <v>953091850</v>
      </c>
      <c r="P1518" s="1101"/>
      <c r="Q1518" s="1101"/>
      <c r="R1518" s="1069"/>
      <c r="S1518" s="402"/>
      <c r="T1518" s="403"/>
      <c r="U1518" s="403"/>
      <c r="V1518" s="403">
        <v>946895220</v>
      </c>
      <c r="W1518" s="1101"/>
      <c r="X1518" s="354"/>
      <c r="Y1518" s="372" t="s">
        <v>2090</v>
      </c>
      <c r="Z1518" s="397"/>
      <c r="AA1518" s="397"/>
      <c r="AB1518" s="411">
        <f t="shared" si="95"/>
        <v>0</v>
      </c>
      <c r="AC1518" s="384">
        <v>42615</v>
      </c>
      <c r="AD1518" s="83">
        <v>436230897.39999998</v>
      </c>
      <c r="AE1518" s="1021" t="s">
        <v>7</v>
      </c>
      <c r="AF1518" s="1023">
        <f>SUM(AD1518:AD1520)</f>
        <v>844646986.01999998</v>
      </c>
      <c r="AG1518" s="1124"/>
      <c r="AH1518" s="1124"/>
      <c r="AI1518" s="1124"/>
      <c r="AJ1518" s="1124"/>
      <c r="AK1518" s="1023">
        <f>O1518-V1518</f>
        <v>6196630</v>
      </c>
      <c r="AL1518" s="397"/>
      <c r="AM1518" s="397"/>
      <c r="AN1518" s="391"/>
      <c r="AO1518" s="1104"/>
      <c r="AP1518" s="1104"/>
      <c r="AQ1518" s="1104"/>
    </row>
    <row r="1519" spans="1:43" s="4" customFormat="1" ht="15" customHeight="1">
      <c r="A1519" s="1033"/>
      <c r="B1519" s="1069"/>
      <c r="C1519" s="1033"/>
      <c r="D1519" s="1033"/>
      <c r="E1519" s="1033"/>
      <c r="F1519" s="1033"/>
      <c r="G1519" s="1033"/>
      <c r="H1519" s="1033"/>
      <c r="I1519" s="1033"/>
      <c r="J1519" s="1033"/>
      <c r="K1519" s="1033"/>
      <c r="L1519" s="354"/>
      <c r="M1519" s="1039"/>
      <c r="N1519" s="1022"/>
      <c r="O1519" s="1101"/>
      <c r="P1519" s="1101"/>
      <c r="Q1519" s="1101"/>
      <c r="R1519" s="1069"/>
      <c r="S1519" s="402"/>
      <c r="T1519" s="403"/>
      <c r="U1519" s="403"/>
      <c r="V1519" s="403"/>
      <c r="W1519" s="1101"/>
      <c r="X1519" s="354"/>
      <c r="Y1519" s="372" t="s">
        <v>2089</v>
      </c>
      <c r="Z1519" s="397"/>
      <c r="AA1519" s="397"/>
      <c r="AB1519" s="411">
        <f t="shared" si="95"/>
        <v>0</v>
      </c>
      <c r="AC1519" s="384">
        <v>42823</v>
      </c>
      <c r="AD1519" s="83">
        <v>273850491</v>
      </c>
      <c r="AE1519" s="1022"/>
      <c r="AF1519" s="1124"/>
      <c r="AG1519" s="1124"/>
      <c r="AH1519" s="1124"/>
      <c r="AI1519" s="1124"/>
      <c r="AJ1519" s="1124"/>
      <c r="AK1519" s="1124"/>
      <c r="AL1519" s="397"/>
      <c r="AM1519" s="397"/>
      <c r="AN1519" s="391"/>
      <c r="AO1519" s="1104"/>
      <c r="AP1519" s="1104"/>
      <c r="AQ1519" s="1104"/>
    </row>
    <row r="1520" spans="1:43" s="4" customFormat="1" ht="15" customHeight="1">
      <c r="A1520" s="1033"/>
      <c r="B1520" s="1069"/>
      <c r="C1520" s="1033"/>
      <c r="D1520" s="1033"/>
      <c r="E1520" s="1033"/>
      <c r="F1520" s="1033"/>
      <c r="G1520" s="1033"/>
      <c r="H1520" s="1033"/>
      <c r="I1520" s="1033"/>
      <c r="J1520" s="1033"/>
      <c r="K1520" s="1033"/>
      <c r="L1520" s="354"/>
      <c r="M1520" s="1010"/>
      <c r="N1520" s="1038"/>
      <c r="O1520" s="1102"/>
      <c r="P1520" s="1102"/>
      <c r="Q1520" s="1101"/>
      <c r="R1520" s="1070"/>
      <c r="S1520" s="402"/>
      <c r="T1520" s="403"/>
      <c r="U1520" s="403"/>
      <c r="V1520" s="403"/>
      <c r="W1520" s="1101"/>
      <c r="X1520" s="354"/>
      <c r="Y1520" s="372" t="s">
        <v>2088</v>
      </c>
      <c r="Z1520" s="397"/>
      <c r="AA1520" s="397"/>
      <c r="AB1520" s="411">
        <f t="shared" si="95"/>
        <v>0</v>
      </c>
      <c r="AC1520" s="384">
        <v>43039</v>
      </c>
      <c r="AD1520" s="83">
        <v>134565597.62</v>
      </c>
      <c r="AE1520" s="1038"/>
      <c r="AF1520" s="1024"/>
      <c r="AG1520" s="1124"/>
      <c r="AH1520" s="1124"/>
      <c r="AI1520" s="1124"/>
      <c r="AJ1520" s="1124"/>
      <c r="AK1520" s="1024"/>
      <c r="AL1520" s="397"/>
      <c r="AM1520" s="397"/>
      <c r="AN1520" s="391"/>
      <c r="AO1520" s="1104"/>
      <c r="AP1520" s="1104"/>
      <c r="AQ1520" s="1104"/>
    </row>
    <row r="1521" spans="1:46" s="4" customFormat="1" ht="15" customHeight="1">
      <c r="A1521" s="1033"/>
      <c r="B1521" s="1069"/>
      <c r="C1521" s="1033"/>
      <c r="D1521" s="1033"/>
      <c r="E1521" s="1033"/>
      <c r="F1521" s="1033"/>
      <c r="G1521" s="1033"/>
      <c r="H1521" s="1033"/>
      <c r="I1521" s="1033"/>
      <c r="J1521" s="1033"/>
      <c r="K1521" s="1033"/>
      <c r="L1521" s="354"/>
      <c r="M1521" s="1009">
        <v>9</v>
      </c>
      <c r="N1521" s="1021" t="s">
        <v>2086</v>
      </c>
      <c r="O1521" s="1100">
        <v>149379207</v>
      </c>
      <c r="P1521" s="1100">
        <f>O1521</f>
        <v>149379207</v>
      </c>
      <c r="Q1521" s="1101"/>
      <c r="R1521" s="1068">
        <v>42278</v>
      </c>
      <c r="S1521" s="402"/>
      <c r="T1521" s="403"/>
      <c r="U1521" s="403"/>
      <c r="V1521" s="403">
        <f>P1521</f>
        <v>149379207</v>
      </c>
      <c r="W1521" s="1101"/>
      <c r="X1521" s="354"/>
      <c r="Y1521" s="372" t="s">
        <v>2087</v>
      </c>
      <c r="Z1521" s="397"/>
      <c r="AA1521" s="397"/>
      <c r="AB1521" s="411">
        <f t="shared" si="95"/>
        <v>0</v>
      </c>
      <c r="AC1521" s="384">
        <v>42615</v>
      </c>
      <c r="AD1521" s="83">
        <v>28450415.100000001</v>
      </c>
      <c r="AE1521" s="1021" t="s">
        <v>2086</v>
      </c>
      <c r="AF1521" s="1023">
        <f>SUM(AD1521:AD1523)</f>
        <v>114647994.97000001</v>
      </c>
      <c r="AG1521" s="1124"/>
      <c r="AH1521" s="1124"/>
      <c r="AI1521" s="1124"/>
      <c r="AJ1521" s="1124"/>
      <c r="AK1521" s="1023">
        <f>O1521-V1521</f>
        <v>0</v>
      </c>
      <c r="AL1521" s="397"/>
      <c r="AM1521" s="397"/>
      <c r="AN1521" s="391"/>
      <c r="AO1521" s="1104"/>
      <c r="AP1521" s="1104"/>
      <c r="AQ1521" s="1104"/>
    </row>
    <row r="1522" spans="1:46" s="4" customFormat="1" ht="15" customHeight="1">
      <c r="A1522" s="1033"/>
      <c r="B1522" s="1069"/>
      <c r="C1522" s="1033"/>
      <c r="D1522" s="1033"/>
      <c r="E1522" s="1033"/>
      <c r="F1522" s="1033"/>
      <c r="G1522" s="1033"/>
      <c r="H1522" s="1033"/>
      <c r="I1522" s="1033"/>
      <c r="J1522" s="1033"/>
      <c r="K1522" s="1033"/>
      <c r="L1522" s="354"/>
      <c r="M1522" s="1039"/>
      <c r="N1522" s="1022"/>
      <c r="O1522" s="1102"/>
      <c r="P1522" s="1102"/>
      <c r="Q1522" s="1102"/>
      <c r="R1522" s="1069"/>
      <c r="S1522" s="402"/>
      <c r="T1522" s="403"/>
      <c r="U1522" s="403"/>
      <c r="V1522" s="403"/>
      <c r="W1522" s="1101"/>
      <c r="X1522" s="354"/>
      <c r="Y1522" s="372" t="s">
        <v>2085</v>
      </c>
      <c r="Z1522" s="397"/>
      <c r="AA1522" s="397"/>
      <c r="AB1522" s="411">
        <f t="shared" si="95"/>
        <v>0</v>
      </c>
      <c r="AC1522" s="384">
        <v>42823</v>
      </c>
      <c r="AD1522" s="83">
        <v>42677998.200000003</v>
      </c>
      <c r="AE1522" s="1022"/>
      <c r="AF1522" s="1124"/>
      <c r="AG1522" s="1124"/>
      <c r="AH1522" s="1124"/>
      <c r="AI1522" s="1124"/>
      <c r="AJ1522" s="1124"/>
      <c r="AK1522" s="1124"/>
      <c r="AL1522" s="397"/>
      <c r="AM1522" s="397"/>
      <c r="AN1522" s="391"/>
      <c r="AO1522" s="1104"/>
      <c r="AP1522" s="1104"/>
      <c r="AQ1522" s="1104"/>
    </row>
    <row r="1523" spans="1:46" s="4" customFormat="1" ht="15" customHeight="1">
      <c r="A1523" s="1012"/>
      <c r="B1523" s="1070"/>
      <c r="C1523" s="1012"/>
      <c r="D1523" s="1012"/>
      <c r="E1523" s="1012"/>
      <c r="F1523" s="1012"/>
      <c r="G1523" s="1012"/>
      <c r="H1523" s="1012"/>
      <c r="I1523" s="1012"/>
      <c r="J1523" s="1012"/>
      <c r="K1523" s="1012"/>
      <c r="L1523" s="354"/>
      <c r="M1523" s="1010"/>
      <c r="N1523" s="1038"/>
      <c r="O1523" s="403"/>
      <c r="P1523" s="403"/>
      <c r="Q1523" s="403"/>
      <c r="R1523" s="1070"/>
      <c r="S1523" s="402"/>
      <c r="T1523" s="403"/>
      <c r="U1523" s="403"/>
      <c r="V1523" s="403"/>
      <c r="W1523" s="1102"/>
      <c r="X1523" s="354"/>
      <c r="Y1523" s="372" t="s">
        <v>2084</v>
      </c>
      <c r="Z1523" s="397"/>
      <c r="AA1523" s="397"/>
      <c r="AB1523" s="411">
        <f t="shared" si="95"/>
        <v>0</v>
      </c>
      <c r="AC1523" s="384">
        <v>43039</v>
      </c>
      <c r="AD1523" s="83">
        <v>43519581.670000002</v>
      </c>
      <c r="AE1523" s="1038"/>
      <c r="AF1523" s="1024"/>
      <c r="AG1523" s="1024"/>
      <c r="AH1523" s="1024"/>
      <c r="AI1523" s="1024"/>
      <c r="AJ1523" s="1024"/>
      <c r="AK1523" s="1024"/>
      <c r="AL1523" s="397"/>
      <c r="AM1523" s="397"/>
      <c r="AN1523" s="391"/>
      <c r="AO1523" s="1105"/>
      <c r="AP1523" s="1105"/>
      <c r="AQ1523" s="1105"/>
    </row>
    <row r="1524" spans="1:46" s="203" customFormat="1" ht="15" customHeight="1">
      <c r="A1524" s="1015" t="s">
        <v>2228</v>
      </c>
      <c r="B1524" s="1136">
        <v>42387</v>
      </c>
      <c r="C1524" s="1015" t="s">
        <v>35</v>
      </c>
      <c r="D1524" s="1015" t="s">
        <v>2227</v>
      </c>
      <c r="E1524" s="1140">
        <v>900922061</v>
      </c>
      <c r="F1524" s="1140">
        <v>0</v>
      </c>
      <c r="G1524" s="1015" t="s">
        <v>2226</v>
      </c>
      <c r="H1524" s="1015" t="s">
        <v>72</v>
      </c>
      <c r="I1524" s="1015" t="s">
        <v>206</v>
      </c>
      <c r="J1524" s="1015" t="s">
        <v>66</v>
      </c>
      <c r="K1524" s="1015" t="s">
        <v>183</v>
      </c>
      <c r="L1524" s="1015" t="s">
        <v>2225</v>
      </c>
      <c r="M1524" s="1138">
        <v>6</v>
      </c>
      <c r="N1524" s="1056" t="s">
        <v>160</v>
      </c>
      <c r="O1524" s="1087">
        <v>60000000</v>
      </c>
      <c r="P1524" s="1087">
        <v>60000000</v>
      </c>
      <c r="Q1524" s="1087">
        <f>P1524+P1527+P1529+P1532+P1535+P1538+P1541+P1543+P1545+P1548+P1551+P1554+P1557+P1560+P1563+P1566+P1569+P1572</f>
        <v>1080000000</v>
      </c>
      <c r="R1524" s="1136">
        <v>42164</v>
      </c>
      <c r="S1524" s="1106">
        <f>T1524</f>
        <v>60000000</v>
      </c>
      <c r="T1524" s="1106">
        <v>60000000</v>
      </c>
      <c r="U1524" s="1106">
        <f>P1524-T1524</f>
        <v>0</v>
      </c>
      <c r="V1524" s="1106">
        <v>59979733.329999998</v>
      </c>
      <c r="W1524" s="1106">
        <v>1079635200</v>
      </c>
      <c r="X1524" s="1015" t="s">
        <v>2224</v>
      </c>
      <c r="Y1524" s="400" t="s">
        <v>2208</v>
      </c>
      <c r="Z1524" s="388">
        <v>0</v>
      </c>
      <c r="AA1524" s="388">
        <v>5997973.3300000001</v>
      </c>
      <c r="AB1524" s="388">
        <f t="shared" ref="AB1524:AB1574" si="96">Z1524+AA1524</f>
        <v>5997973.3300000001</v>
      </c>
      <c r="AC1524" s="401">
        <v>42557</v>
      </c>
      <c r="AD1524" s="200">
        <v>5997973.3300000001</v>
      </c>
      <c r="AE1524" s="201" t="s">
        <v>160</v>
      </c>
      <c r="AF1524" s="1059">
        <f>SUM(AD1524:AD1526)</f>
        <v>59979733.329999998</v>
      </c>
      <c r="AG1524" s="1059">
        <f>AF1524+AF1527+AF1529+AF1532+AF1535+AF1538+AF1541+AF1543+AF1545+AF1548+AF1551+AF1554+AF1557+AF1560+AF1563+AF1566+AF1569+AF1572</f>
        <v>1051348757.7600002</v>
      </c>
      <c r="AH1524" s="387">
        <f t="shared" ref="AH1524:AH1574" si="97">AB1524-AD1524</f>
        <v>0</v>
      </c>
      <c r="AI1524" s="1059">
        <f>P1524-AF1524</f>
        <v>20266.670000001788</v>
      </c>
      <c r="AJ1524" s="1087">
        <f>SUM(Z1524:Z1574)-SUM(AD1524:AD1574)</f>
        <v>159999.99999976158</v>
      </c>
      <c r="AK1524" s="1087">
        <f>P1524-V1524</f>
        <v>20266.670000001788</v>
      </c>
      <c r="AL1524" s="1087">
        <f>V1524-SUM(Z1524:Z1526)</f>
        <v>0</v>
      </c>
      <c r="AM1524" s="1087">
        <f>AK1524+AL1524</f>
        <v>20266.670000001788</v>
      </c>
      <c r="AN1524" s="1112"/>
      <c r="AO1524" s="1112" t="s">
        <v>2223</v>
      </c>
      <c r="AP1524" s="1112" t="s">
        <v>194</v>
      </c>
      <c r="AQ1524" s="1112" t="s">
        <v>1911</v>
      </c>
      <c r="AR1524" s="204">
        <v>20266.669999999998</v>
      </c>
      <c r="AS1524" s="204"/>
      <c r="AT1524" s="207">
        <f>AR1524-AM1524</f>
        <v>-1.7898855730891228E-9</v>
      </c>
    </row>
    <row r="1525" spans="1:46" s="203" customFormat="1" ht="15" customHeight="1">
      <c r="A1525" s="1050"/>
      <c r="B1525" s="1137"/>
      <c r="C1525" s="1050"/>
      <c r="D1525" s="1050"/>
      <c r="E1525" s="1141"/>
      <c r="F1525" s="1141"/>
      <c r="G1525" s="1050"/>
      <c r="H1525" s="1050"/>
      <c r="I1525" s="1050"/>
      <c r="J1525" s="1050"/>
      <c r="K1525" s="1050"/>
      <c r="L1525" s="1050"/>
      <c r="M1525" s="1139"/>
      <c r="N1525" s="1057"/>
      <c r="O1525" s="1088"/>
      <c r="P1525" s="1088"/>
      <c r="Q1525" s="1088"/>
      <c r="R1525" s="1137"/>
      <c r="S1525" s="1107"/>
      <c r="T1525" s="1107"/>
      <c r="U1525" s="1107"/>
      <c r="V1525" s="1107"/>
      <c r="W1525" s="1107"/>
      <c r="X1525" s="1050"/>
      <c r="Y1525" s="400" t="s">
        <v>2222</v>
      </c>
      <c r="Z1525" s="388">
        <v>39514648.32</v>
      </c>
      <c r="AA1525" s="388">
        <v>-3723199</v>
      </c>
      <c r="AB1525" s="388">
        <f t="shared" si="96"/>
        <v>35791449.32</v>
      </c>
      <c r="AC1525" s="401">
        <v>42787</v>
      </c>
      <c r="AD1525" s="200">
        <v>35791449.32</v>
      </c>
      <c r="AE1525" s="201" t="s">
        <v>160</v>
      </c>
      <c r="AF1525" s="1060"/>
      <c r="AG1525" s="1060"/>
      <c r="AH1525" s="387">
        <f t="shared" si="97"/>
        <v>0</v>
      </c>
      <c r="AI1525" s="1060"/>
      <c r="AJ1525" s="1088"/>
      <c r="AK1525" s="1088"/>
      <c r="AL1525" s="1088"/>
      <c r="AM1525" s="1088"/>
      <c r="AN1525" s="1135"/>
      <c r="AO1525" s="1135"/>
      <c r="AP1525" s="1135"/>
      <c r="AQ1525" s="1135"/>
      <c r="AR1525" s="61"/>
      <c r="AS1525" s="61"/>
    </row>
    <row r="1526" spans="1:46" s="203" customFormat="1" ht="15" customHeight="1">
      <c r="A1526" s="1050"/>
      <c r="B1526" s="1137"/>
      <c r="C1526" s="1050"/>
      <c r="D1526" s="1050"/>
      <c r="E1526" s="1141"/>
      <c r="F1526" s="1141"/>
      <c r="G1526" s="1050"/>
      <c r="H1526" s="1050"/>
      <c r="I1526" s="1050"/>
      <c r="J1526" s="1050"/>
      <c r="K1526" s="1050"/>
      <c r="L1526" s="1050"/>
      <c r="M1526" s="1139"/>
      <c r="N1526" s="1057"/>
      <c r="O1526" s="1088"/>
      <c r="P1526" s="1088"/>
      <c r="Q1526" s="1088"/>
      <c r="R1526" s="1137"/>
      <c r="S1526" s="1107"/>
      <c r="T1526" s="1107"/>
      <c r="U1526" s="1107"/>
      <c r="V1526" s="1107"/>
      <c r="W1526" s="1107"/>
      <c r="X1526" s="1050"/>
      <c r="Y1526" s="400" t="s">
        <v>2206</v>
      </c>
      <c r="Z1526" s="388">
        <v>20465085.010000002</v>
      </c>
      <c r="AA1526" s="388">
        <v>-2274774.33</v>
      </c>
      <c r="AB1526" s="388">
        <f t="shared" si="96"/>
        <v>18190310.68</v>
      </c>
      <c r="AC1526" s="401">
        <v>42998</v>
      </c>
      <c r="AD1526" s="200">
        <v>18190310.68</v>
      </c>
      <c r="AE1526" s="201" t="s">
        <v>160</v>
      </c>
      <c r="AF1526" s="1060"/>
      <c r="AG1526" s="1060"/>
      <c r="AH1526" s="387">
        <f t="shared" si="97"/>
        <v>0</v>
      </c>
      <c r="AI1526" s="1060"/>
      <c r="AJ1526" s="1088"/>
      <c r="AK1526" s="1088"/>
      <c r="AL1526" s="1088"/>
      <c r="AM1526" s="1088"/>
      <c r="AN1526" s="1135"/>
      <c r="AO1526" s="1135"/>
      <c r="AP1526" s="1135"/>
      <c r="AQ1526" s="1135"/>
      <c r="AR1526" s="61"/>
      <c r="AS1526" s="61"/>
    </row>
    <row r="1527" spans="1:46" s="203" customFormat="1" ht="15" customHeight="1">
      <c r="A1527" s="1050"/>
      <c r="B1527" s="1137"/>
      <c r="C1527" s="1015" t="s">
        <v>13</v>
      </c>
      <c r="D1527" s="1050"/>
      <c r="E1527" s="1141"/>
      <c r="F1527" s="1141"/>
      <c r="G1527" s="1050"/>
      <c r="H1527" s="1050"/>
      <c r="I1527" s="1050"/>
      <c r="J1527" s="1050"/>
      <c r="K1527" s="1050"/>
      <c r="L1527" s="1050"/>
      <c r="M1527" s="1138">
        <v>5</v>
      </c>
      <c r="N1527" s="1056" t="s">
        <v>133</v>
      </c>
      <c r="O1527" s="1087">
        <v>60000000</v>
      </c>
      <c r="P1527" s="1087">
        <v>60000000</v>
      </c>
      <c r="Q1527" s="1088"/>
      <c r="R1527" s="1136">
        <v>42164</v>
      </c>
      <c r="S1527" s="1106">
        <f>T1527</f>
        <v>60000000</v>
      </c>
      <c r="T1527" s="1106">
        <v>60000000</v>
      </c>
      <c r="U1527" s="1106">
        <f>P1527-T1527</f>
        <v>0</v>
      </c>
      <c r="V1527" s="1059">
        <v>59979733.329999998</v>
      </c>
      <c r="W1527" s="1107"/>
      <c r="X1527" s="1050"/>
      <c r="Y1527" s="400" t="s">
        <v>2208</v>
      </c>
      <c r="Z1527" s="388">
        <v>0</v>
      </c>
      <c r="AA1527" s="388">
        <v>5997973.3300000001</v>
      </c>
      <c r="AB1527" s="388">
        <f t="shared" si="96"/>
        <v>5997973.3300000001</v>
      </c>
      <c r="AC1527" s="401">
        <v>42557</v>
      </c>
      <c r="AD1527" s="200">
        <v>5997973.3300000001</v>
      </c>
      <c r="AE1527" s="201" t="s">
        <v>133</v>
      </c>
      <c r="AF1527" s="1059">
        <f>SUM(AD1527:AD1528)</f>
        <v>32017181.710000001</v>
      </c>
      <c r="AG1527" s="1060"/>
      <c r="AH1527" s="387">
        <f t="shared" si="97"/>
        <v>0</v>
      </c>
      <c r="AI1527" s="1059">
        <f>P1527-AF1527</f>
        <v>27982818.289999999</v>
      </c>
      <c r="AJ1527" s="1088"/>
      <c r="AK1527" s="1087">
        <f>P1527-V1527</f>
        <v>20266.670000001788</v>
      </c>
      <c r="AL1527" s="1087">
        <f>V1527-SUM(Z1527:Z1528)</f>
        <v>27962551.619999997</v>
      </c>
      <c r="AM1527" s="1087">
        <f>AK1527+AL1527</f>
        <v>27982818.289999999</v>
      </c>
      <c r="AN1527" s="1135"/>
      <c r="AO1527" s="1135"/>
      <c r="AP1527" s="1135"/>
      <c r="AQ1527" s="1135"/>
      <c r="AR1527" s="1087">
        <v>27982818.289999999</v>
      </c>
      <c r="AS1527" s="206">
        <f>AR1527-AK1527</f>
        <v>27962551.619999997</v>
      </c>
    </row>
    <row r="1528" spans="1:46" s="203" customFormat="1" ht="15" customHeight="1">
      <c r="A1528" s="1050"/>
      <c r="B1528" s="1137"/>
      <c r="C1528" s="1050"/>
      <c r="D1528" s="1050"/>
      <c r="E1528" s="1141"/>
      <c r="F1528" s="1141"/>
      <c r="G1528" s="1050"/>
      <c r="H1528" s="1050"/>
      <c r="I1528" s="1050"/>
      <c r="J1528" s="1050"/>
      <c r="K1528" s="1050"/>
      <c r="L1528" s="1050"/>
      <c r="M1528" s="1139"/>
      <c r="N1528" s="1057"/>
      <c r="O1528" s="1088"/>
      <c r="P1528" s="1088"/>
      <c r="Q1528" s="1088"/>
      <c r="R1528" s="1137"/>
      <c r="S1528" s="1107"/>
      <c r="T1528" s="1107"/>
      <c r="U1528" s="1107"/>
      <c r="V1528" s="1060"/>
      <c r="W1528" s="1107"/>
      <c r="X1528" s="1050"/>
      <c r="Y1528" s="400" t="s">
        <v>2206</v>
      </c>
      <c r="Z1528" s="388">
        <v>32017181.710000001</v>
      </c>
      <c r="AA1528" s="388">
        <v>-5997973.3300000001</v>
      </c>
      <c r="AB1528" s="388">
        <f t="shared" si="96"/>
        <v>26019208.380000003</v>
      </c>
      <c r="AC1528" s="401">
        <v>42998</v>
      </c>
      <c r="AD1528" s="200">
        <v>26019208.379999999</v>
      </c>
      <c r="AE1528" s="201" t="s">
        <v>133</v>
      </c>
      <c r="AF1528" s="1060"/>
      <c r="AG1528" s="1060"/>
      <c r="AH1528" s="387">
        <f t="shared" si="97"/>
        <v>0</v>
      </c>
      <c r="AI1528" s="1060"/>
      <c r="AJ1528" s="1088"/>
      <c r="AK1528" s="1088"/>
      <c r="AL1528" s="1088"/>
      <c r="AM1528" s="1088"/>
      <c r="AN1528" s="1135"/>
      <c r="AO1528" s="1135"/>
      <c r="AP1528" s="1135"/>
      <c r="AQ1528" s="1135"/>
      <c r="AR1528" s="1088"/>
      <c r="AS1528" s="206"/>
    </row>
    <row r="1529" spans="1:46" s="203" customFormat="1" ht="15" customHeight="1">
      <c r="A1529" s="1050"/>
      <c r="B1529" s="1137"/>
      <c r="C1529" s="1015" t="s">
        <v>23</v>
      </c>
      <c r="D1529" s="1050"/>
      <c r="E1529" s="1141"/>
      <c r="F1529" s="1141"/>
      <c r="G1529" s="1050"/>
      <c r="H1529" s="1050"/>
      <c r="I1529" s="1050"/>
      <c r="J1529" s="1050"/>
      <c r="K1529" s="1050"/>
      <c r="L1529" s="1050"/>
      <c r="M1529" s="1138">
        <v>6</v>
      </c>
      <c r="N1529" s="1056" t="s">
        <v>146</v>
      </c>
      <c r="O1529" s="1087">
        <v>60000000</v>
      </c>
      <c r="P1529" s="1087">
        <v>60000000</v>
      </c>
      <c r="Q1529" s="1088"/>
      <c r="R1529" s="1136">
        <v>42164</v>
      </c>
      <c r="S1529" s="1106">
        <f>T1529</f>
        <v>60000000</v>
      </c>
      <c r="T1529" s="1106">
        <v>60000000</v>
      </c>
      <c r="U1529" s="1106">
        <f>P1529-T1529</f>
        <v>0</v>
      </c>
      <c r="V1529" s="1059">
        <v>59979733.329999998</v>
      </c>
      <c r="W1529" s="1107"/>
      <c r="X1529" s="1050"/>
      <c r="Y1529" s="400" t="s">
        <v>2208</v>
      </c>
      <c r="Z1529" s="388">
        <v>0</v>
      </c>
      <c r="AA1529" s="388">
        <v>5997973.3300000001</v>
      </c>
      <c r="AB1529" s="388">
        <f t="shared" si="96"/>
        <v>5997973.3300000001</v>
      </c>
      <c r="AC1529" s="401">
        <v>42557</v>
      </c>
      <c r="AD1529" s="200">
        <v>5997973.3300000001</v>
      </c>
      <c r="AE1529" s="201" t="s">
        <v>146</v>
      </c>
      <c r="AF1529" s="1059">
        <f>SUM(AD1529:AD1531)</f>
        <v>59979733.329999998</v>
      </c>
      <c r="AG1529" s="1060"/>
      <c r="AH1529" s="387">
        <f t="shared" si="97"/>
        <v>0</v>
      </c>
      <c r="AI1529" s="1059">
        <f>P1529-AF1529</f>
        <v>20266.670000001788</v>
      </c>
      <c r="AJ1529" s="1088"/>
      <c r="AK1529" s="1087">
        <f>P1529-V1529</f>
        <v>20266.670000001788</v>
      </c>
      <c r="AL1529" s="1087">
        <f>V1529-SUM(Z1529:Z1531)</f>
        <v>0</v>
      </c>
      <c r="AM1529" s="1087">
        <f>AK1529+AL1529</f>
        <v>20266.670000001788</v>
      </c>
      <c r="AN1529" s="1135"/>
      <c r="AO1529" s="1135"/>
      <c r="AP1529" s="1135"/>
      <c r="AQ1529" s="1135"/>
      <c r="AR1529" s="204">
        <v>20266.669999999998</v>
      </c>
      <c r="AS1529" s="204"/>
    </row>
    <row r="1530" spans="1:46" s="203" customFormat="1" ht="15" customHeight="1">
      <c r="A1530" s="1050"/>
      <c r="B1530" s="1137"/>
      <c r="C1530" s="1050"/>
      <c r="D1530" s="1050"/>
      <c r="E1530" s="1141"/>
      <c r="F1530" s="1141"/>
      <c r="G1530" s="1050"/>
      <c r="H1530" s="1050"/>
      <c r="I1530" s="1050"/>
      <c r="J1530" s="1050"/>
      <c r="K1530" s="1050"/>
      <c r="L1530" s="1050"/>
      <c r="M1530" s="1139"/>
      <c r="N1530" s="1057"/>
      <c r="O1530" s="1088"/>
      <c r="P1530" s="1088"/>
      <c r="Q1530" s="1088"/>
      <c r="R1530" s="1137"/>
      <c r="S1530" s="1107"/>
      <c r="T1530" s="1107"/>
      <c r="U1530" s="1107"/>
      <c r="V1530" s="1060"/>
      <c r="W1530" s="1107"/>
      <c r="X1530" s="1050"/>
      <c r="Y1530" s="400" t="s">
        <v>2221</v>
      </c>
      <c r="Z1530" s="388">
        <v>39514648.32</v>
      </c>
      <c r="AA1530" s="388">
        <v>-3723199</v>
      </c>
      <c r="AB1530" s="388">
        <f t="shared" si="96"/>
        <v>35791449.32</v>
      </c>
      <c r="AC1530" s="401">
        <v>42787</v>
      </c>
      <c r="AD1530" s="200">
        <v>35791449.32</v>
      </c>
      <c r="AE1530" s="201" t="s">
        <v>146</v>
      </c>
      <c r="AF1530" s="1060"/>
      <c r="AG1530" s="1060"/>
      <c r="AH1530" s="387">
        <f t="shared" si="97"/>
        <v>0</v>
      </c>
      <c r="AI1530" s="1060"/>
      <c r="AJ1530" s="1088"/>
      <c r="AK1530" s="1088"/>
      <c r="AL1530" s="1088"/>
      <c r="AM1530" s="1088"/>
      <c r="AN1530" s="1135"/>
      <c r="AO1530" s="1135"/>
      <c r="AP1530" s="1135"/>
      <c r="AQ1530" s="1135"/>
      <c r="AR1530" s="61"/>
      <c r="AS1530" s="61"/>
    </row>
    <row r="1531" spans="1:46" s="203" customFormat="1" ht="15" customHeight="1">
      <c r="A1531" s="1050"/>
      <c r="B1531" s="1137"/>
      <c r="C1531" s="1050"/>
      <c r="D1531" s="1050"/>
      <c r="E1531" s="1141"/>
      <c r="F1531" s="1141"/>
      <c r="G1531" s="1050"/>
      <c r="H1531" s="1050"/>
      <c r="I1531" s="1050"/>
      <c r="J1531" s="1050"/>
      <c r="K1531" s="1050"/>
      <c r="L1531" s="1050"/>
      <c r="M1531" s="1139"/>
      <c r="N1531" s="1057"/>
      <c r="O1531" s="1088"/>
      <c r="P1531" s="1088"/>
      <c r="Q1531" s="1088"/>
      <c r="R1531" s="1137"/>
      <c r="S1531" s="1107"/>
      <c r="T1531" s="1107"/>
      <c r="U1531" s="1107"/>
      <c r="V1531" s="1060"/>
      <c r="W1531" s="1107"/>
      <c r="X1531" s="1050"/>
      <c r="Y1531" s="400" t="s">
        <v>2206</v>
      </c>
      <c r="Z1531" s="388">
        <v>20465085.010000002</v>
      </c>
      <c r="AA1531" s="388">
        <v>-2274774.33</v>
      </c>
      <c r="AB1531" s="388">
        <f t="shared" si="96"/>
        <v>18190310.68</v>
      </c>
      <c r="AC1531" s="401">
        <v>42998</v>
      </c>
      <c r="AD1531" s="200">
        <v>18190310.68</v>
      </c>
      <c r="AE1531" s="201" t="s">
        <v>146</v>
      </c>
      <c r="AF1531" s="1060"/>
      <c r="AG1531" s="1060"/>
      <c r="AH1531" s="387">
        <f t="shared" si="97"/>
        <v>0</v>
      </c>
      <c r="AI1531" s="1060"/>
      <c r="AJ1531" s="1088"/>
      <c r="AK1531" s="1088"/>
      <c r="AL1531" s="1088"/>
      <c r="AM1531" s="1088"/>
      <c r="AN1531" s="1135"/>
      <c r="AO1531" s="1135"/>
      <c r="AP1531" s="1135"/>
      <c r="AQ1531" s="1135"/>
      <c r="AR1531" s="61"/>
      <c r="AS1531" s="61"/>
    </row>
    <row r="1532" spans="1:46" s="203" customFormat="1" ht="15" customHeight="1">
      <c r="A1532" s="1050"/>
      <c r="B1532" s="1137"/>
      <c r="C1532" s="1015" t="s">
        <v>39</v>
      </c>
      <c r="D1532" s="1050"/>
      <c r="E1532" s="1141"/>
      <c r="F1532" s="1141"/>
      <c r="G1532" s="1050"/>
      <c r="H1532" s="1050"/>
      <c r="I1532" s="1050"/>
      <c r="J1532" s="1050"/>
      <c r="K1532" s="1050"/>
      <c r="L1532" s="1050"/>
      <c r="M1532" s="1138">
        <v>7</v>
      </c>
      <c r="N1532" s="1056" t="s">
        <v>164</v>
      </c>
      <c r="O1532" s="1087">
        <v>60000000</v>
      </c>
      <c r="P1532" s="1087">
        <v>60000000</v>
      </c>
      <c r="Q1532" s="1088"/>
      <c r="R1532" s="1136">
        <v>42164</v>
      </c>
      <c r="S1532" s="1106">
        <f>T1532</f>
        <v>60000000</v>
      </c>
      <c r="T1532" s="1106">
        <v>60000000</v>
      </c>
      <c r="U1532" s="1106">
        <f>P1532-T1532</f>
        <v>0</v>
      </c>
      <c r="V1532" s="1059">
        <v>59979733.329999998</v>
      </c>
      <c r="W1532" s="1107"/>
      <c r="X1532" s="1050"/>
      <c r="Y1532" s="400" t="s">
        <v>2208</v>
      </c>
      <c r="Z1532" s="388">
        <v>0</v>
      </c>
      <c r="AA1532" s="388">
        <v>5997973.3300000001</v>
      </c>
      <c r="AB1532" s="388">
        <f t="shared" si="96"/>
        <v>5997973.3300000001</v>
      </c>
      <c r="AC1532" s="401">
        <v>42557</v>
      </c>
      <c r="AD1532" s="200">
        <v>5997973.3300000001</v>
      </c>
      <c r="AE1532" s="201" t="s">
        <v>164</v>
      </c>
      <c r="AF1532" s="1059">
        <f>SUM(AD1532:AD1534)</f>
        <v>59979733.329999998</v>
      </c>
      <c r="AG1532" s="1060"/>
      <c r="AH1532" s="387">
        <f t="shared" si="97"/>
        <v>0</v>
      </c>
      <c r="AI1532" s="1059">
        <f>P1532-AF1532</f>
        <v>20266.670000001788</v>
      </c>
      <c r="AJ1532" s="1088"/>
      <c r="AK1532" s="1087">
        <f>P1532-V1532</f>
        <v>20266.670000001788</v>
      </c>
      <c r="AL1532" s="1087">
        <f>V1532-SUM(Z1532:Z1534)</f>
        <v>0</v>
      </c>
      <c r="AM1532" s="1087">
        <f>AK1532+AL1532</f>
        <v>20266.670000001788</v>
      </c>
      <c r="AN1532" s="1135"/>
      <c r="AO1532" s="1135"/>
      <c r="AP1532" s="1135"/>
      <c r="AQ1532" s="1135"/>
      <c r="AR1532" s="204">
        <v>20266.669999999998</v>
      </c>
      <c r="AS1532" s="204"/>
    </row>
    <row r="1533" spans="1:46" s="203" customFormat="1" ht="15" customHeight="1">
      <c r="A1533" s="1050"/>
      <c r="B1533" s="1137"/>
      <c r="C1533" s="1050"/>
      <c r="D1533" s="1050"/>
      <c r="E1533" s="1141"/>
      <c r="F1533" s="1141"/>
      <c r="G1533" s="1050"/>
      <c r="H1533" s="1050"/>
      <c r="I1533" s="1050"/>
      <c r="J1533" s="1050"/>
      <c r="K1533" s="1050"/>
      <c r="L1533" s="1050"/>
      <c r="M1533" s="1139"/>
      <c r="N1533" s="1057"/>
      <c r="O1533" s="1088"/>
      <c r="P1533" s="1088"/>
      <c r="Q1533" s="1088"/>
      <c r="R1533" s="1137"/>
      <c r="S1533" s="1107"/>
      <c r="T1533" s="1107"/>
      <c r="U1533" s="1107"/>
      <c r="V1533" s="1060"/>
      <c r="W1533" s="1107"/>
      <c r="X1533" s="1050"/>
      <c r="Y1533" s="400" t="s">
        <v>2220</v>
      </c>
      <c r="Z1533" s="388">
        <v>53441942.399999999</v>
      </c>
      <c r="AA1533" s="388">
        <v>-3723200.46</v>
      </c>
      <c r="AB1533" s="388">
        <f t="shared" si="96"/>
        <v>49718741.939999998</v>
      </c>
      <c r="AC1533" s="401">
        <v>42787</v>
      </c>
      <c r="AD1533" s="200">
        <v>49718741.939999998</v>
      </c>
      <c r="AE1533" s="201" t="s">
        <v>164</v>
      </c>
      <c r="AF1533" s="1060"/>
      <c r="AG1533" s="1060"/>
      <c r="AH1533" s="387">
        <f t="shared" si="97"/>
        <v>0</v>
      </c>
      <c r="AI1533" s="1060"/>
      <c r="AJ1533" s="1088"/>
      <c r="AK1533" s="1088"/>
      <c r="AL1533" s="1088"/>
      <c r="AM1533" s="1088"/>
      <c r="AN1533" s="1135"/>
      <c r="AO1533" s="1135"/>
      <c r="AP1533" s="1135"/>
      <c r="AQ1533" s="1135"/>
      <c r="AR1533" s="61"/>
      <c r="AS1533" s="61"/>
    </row>
    <row r="1534" spans="1:46" s="203" customFormat="1" ht="15" customHeight="1">
      <c r="A1534" s="1050"/>
      <c r="B1534" s="1137"/>
      <c r="C1534" s="1050"/>
      <c r="D1534" s="1050"/>
      <c r="E1534" s="1141"/>
      <c r="F1534" s="1141"/>
      <c r="G1534" s="1050"/>
      <c r="H1534" s="1050"/>
      <c r="I1534" s="1050"/>
      <c r="J1534" s="1050"/>
      <c r="K1534" s="1050"/>
      <c r="L1534" s="1050"/>
      <c r="M1534" s="1139"/>
      <c r="N1534" s="1057"/>
      <c r="O1534" s="1088"/>
      <c r="P1534" s="1088"/>
      <c r="Q1534" s="1088"/>
      <c r="R1534" s="1137"/>
      <c r="S1534" s="1107"/>
      <c r="T1534" s="1107"/>
      <c r="U1534" s="1107"/>
      <c r="V1534" s="1060"/>
      <c r="W1534" s="1107"/>
      <c r="X1534" s="1050"/>
      <c r="Y1534" s="400" t="s">
        <v>2206</v>
      </c>
      <c r="Z1534" s="388">
        <v>6537790.9299999997</v>
      </c>
      <c r="AA1534" s="388">
        <v>-2274772.87</v>
      </c>
      <c r="AB1534" s="388">
        <f t="shared" si="96"/>
        <v>4263018.0599999996</v>
      </c>
      <c r="AC1534" s="401">
        <v>42998</v>
      </c>
      <c r="AD1534" s="200">
        <v>4263018.0599999996</v>
      </c>
      <c r="AE1534" s="201" t="s">
        <v>164</v>
      </c>
      <c r="AF1534" s="1060"/>
      <c r="AG1534" s="1060"/>
      <c r="AH1534" s="387">
        <f t="shared" si="97"/>
        <v>0</v>
      </c>
      <c r="AI1534" s="1060"/>
      <c r="AJ1534" s="1088"/>
      <c r="AK1534" s="1088"/>
      <c r="AL1534" s="1088"/>
      <c r="AM1534" s="1088"/>
      <c r="AN1534" s="1135"/>
      <c r="AO1534" s="1135"/>
      <c r="AP1534" s="1135"/>
      <c r="AQ1534" s="1135"/>
      <c r="AR1534" s="61"/>
      <c r="AS1534" s="61"/>
    </row>
    <row r="1535" spans="1:46" s="203" customFormat="1" ht="15" customHeight="1">
      <c r="A1535" s="1050"/>
      <c r="B1535" s="1137"/>
      <c r="C1535" s="1015" t="s">
        <v>41</v>
      </c>
      <c r="D1535" s="1050"/>
      <c r="E1535" s="1141"/>
      <c r="F1535" s="1141"/>
      <c r="G1535" s="1050"/>
      <c r="H1535" s="1050"/>
      <c r="I1535" s="1050"/>
      <c r="J1535" s="1050"/>
      <c r="K1535" s="1050"/>
      <c r="L1535" s="1050"/>
      <c r="M1535" s="1138">
        <v>8</v>
      </c>
      <c r="N1535" s="1056" t="s">
        <v>166</v>
      </c>
      <c r="O1535" s="1087">
        <v>60000000</v>
      </c>
      <c r="P1535" s="1087">
        <v>60000000</v>
      </c>
      <c r="Q1535" s="1088"/>
      <c r="R1535" s="1136">
        <v>42164</v>
      </c>
      <c r="S1535" s="1106">
        <f>T1535</f>
        <v>60000000</v>
      </c>
      <c r="T1535" s="1106">
        <v>60000000</v>
      </c>
      <c r="U1535" s="1106">
        <f>P1535-T1535</f>
        <v>0</v>
      </c>
      <c r="V1535" s="1059">
        <v>59979733.329999998</v>
      </c>
      <c r="W1535" s="1107"/>
      <c r="X1535" s="1050"/>
      <c r="Y1535" s="400" t="s">
        <v>2208</v>
      </c>
      <c r="Z1535" s="388">
        <v>0</v>
      </c>
      <c r="AA1535" s="388">
        <f>AD1535</f>
        <v>5997973.3300000001</v>
      </c>
      <c r="AB1535" s="388">
        <f t="shared" si="96"/>
        <v>5997973.3300000001</v>
      </c>
      <c r="AC1535" s="401">
        <v>42557</v>
      </c>
      <c r="AD1535" s="200">
        <v>5997973.3300000001</v>
      </c>
      <c r="AE1535" s="201" t="s">
        <v>166</v>
      </c>
      <c r="AF1535" s="1059">
        <f>SUM(AD1535:AD1537)</f>
        <v>59979733.329999998</v>
      </c>
      <c r="AG1535" s="1060"/>
      <c r="AH1535" s="387">
        <f t="shared" si="97"/>
        <v>0</v>
      </c>
      <c r="AI1535" s="1059">
        <f>P1535-AF1535</f>
        <v>20266.670000001788</v>
      </c>
      <c r="AJ1535" s="1088"/>
      <c r="AK1535" s="1087">
        <f>P1535-V1535</f>
        <v>20266.670000001788</v>
      </c>
      <c r="AL1535" s="1087">
        <f>V1535-SUM(Z1535:Z1537)</f>
        <v>100000</v>
      </c>
      <c r="AM1535" s="1087">
        <f>AK1535+AL1535</f>
        <v>120266.67000000179</v>
      </c>
      <c r="AN1535" s="1135"/>
      <c r="AO1535" s="1135"/>
      <c r="AP1535" s="1135"/>
      <c r="AQ1535" s="1135"/>
      <c r="AR1535" s="204">
        <v>20266.669999999998</v>
      </c>
      <c r="AS1535" s="206"/>
    </row>
    <row r="1536" spans="1:46" s="203" customFormat="1" ht="15" customHeight="1">
      <c r="A1536" s="1050"/>
      <c r="B1536" s="1137"/>
      <c r="C1536" s="1050"/>
      <c r="D1536" s="1050"/>
      <c r="E1536" s="1141"/>
      <c r="F1536" s="1141"/>
      <c r="G1536" s="1050"/>
      <c r="H1536" s="1050"/>
      <c r="I1536" s="1050"/>
      <c r="J1536" s="1050"/>
      <c r="K1536" s="1050"/>
      <c r="L1536" s="1050"/>
      <c r="M1536" s="1139"/>
      <c r="N1536" s="1057"/>
      <c r="O1536" s="1088"/>
      <c r="P1536" s="1088"/>
      <c r="Q1536" s="1088"/>
      <c r="R1536" s="1137"/>
      <c r="S1536" s="1107"/>
      <c r="T1536" s="1107"/>
      <c r="U1536" s="1107"/>
      <c r="V1536" s="1060"/>
      <c r="W1536" s="1107"/>
      <c r="X1536" s="1050"/>
      <c r="Y1536" s="400" t="s">
        <v>2219</v>
      </c>
      <c r="Z1536" s="388">
        <v>27862551.68</v>
      </c>
      <c r="AA1536" s="388">
        <v>-3623199</v>
      </c>
      <c r="AB1536" s="388">
        <f t="shared" si="96"/>
        <v>24239352.68</v>
      </c>
      <c r="AC1536" s="401">
        <v>42787</v>
      </c>
      <c r="AD1536" s="200">
        <v>24239352.68</v>
      </c>
      <c r="AE1536" s="201" t="s">
        <v>166</v>
      </c>
      <c r="AF1536" s="1060"/>
      <c r="AG1536" s="1060"/>
      <c r="AH1536" s="387">
        <f t="shared" si="97"/>
        <v>0</v>
      </c>
      <c r="AI1536" s="1060"/>
      <c r="AJ1536" s="1088"/>
      <c r="AK1536" s="1088"/>
      <c r="AL1536" s="1088"/>
      <c r="AM1536" s="1088"/>
      <c r="AN1536" s="1135"/>
      <c r="AO1536" s="1135"/>
      <c r="AP1536" s="1135"/>
      <c r="AQ1536" s="1135"/>
      <c r="AR1536" s="61"/>
      <c r="AS1536" s="61"/>
    </row>
    <row r="1537" spans="1:46" s="203" customFormat="1" ht="15" customHeight="1">
      <c r="A1537" s="1050"/>
      <c r="B1537" s="1137"/>
      <c r="C1537" s="1050"/>
      <c r="D1537" s="1050"/>
      <c r="E1537" s="1141"/>
      <c r="F1537" s="1141"/>
      <c r="G1537" s="1050"/>
      <c r="H1537" s="1050"/>
      <c r="I1537" s="1050"/>
      <c r="J1537" s="1050"/>
      <c r="K1537" s="1050"/>
      <c r="L1537" s="1050"/>
      <c r="M1537" s="1139"/>
      <c r="N1537" s="1057"/>
      <c r="O1537" s="1088"/>
      <c r="P1537" s="1088"/>
      <c r="Q1537" s="1088"/>
      <c r="R1537" s="1137"/>
      <c r="S1537" s="1107"/>
      <c r="T1537" s="1107"/>
      <c r="U1537" s="1107"/>
      <c r="V1537" s="1060"/>
      <c r="W1537" s="1107"/>
      <c r="X1537" s="1050"/>
      <c r="Y1537" s="400" t="s">
        <v>2206</v>
      </c>
      <c r="Z1537" s="388">
        <v>32017181.649999999</v>
      </c>
      <c r="AA1537" s="388">
        <v>-2274774.33</v>
      </c>
      <c r="AB1537" s="388">
        <f t="shared" si="96"/>
        <v>29742407.32</v>
      </c>
      <c r="AC1537" s="401">
        <v>42998</v>
      </c>
      <c r="AD1537" s="200">
        <v>29742407.32</v>
      </c>
      <c r="AE1537" s="201" t="s">
        <v>166</v>
      </c>
      <c r="AF1537" s="1060"/>
      <c r="AG1537" s="1060"/>
      <c r="AH1537" s="387">
        <f t="shared" si="97"/>
        <v>0</v>
      </c>
      <c r="AI1537" s="1060"/>
      <c r="AJ1537" s="1088"/>
      <c r="AK1537" s="1088"/>
      <c r="AL1537" s="1088"/>
      <c r="AM1537" s="1088"/>
      <c r="AN1537" s="1135"/>
      <c r="AO1537" s="1135"/>
      <c r="AP1537" s="1135"/>
      <c r="AQ1537" s="1135"/>
      <c r="AR1537" s="61"/>
      <c r="AS1537" s="61"/>
    </row>
    <row r="1538" spans="1:46" s="203" customFormat="1" ht="15" customHeight="1">
      <c r="A1538" s="1050"/>
      <c r="B1538" s="1137"/>
      <c r="C1538" s="1015" t="s">
        <v>12</v>
      </c>
      <c r="D1538" s="1050"/>
      <c r="E1538" s="1141"/>
      <c r="F1538" s="1141"/>
      <c r="G1538" s="1050"/>
      <c r="H1538" s="1050"/>
      <c r="I1538" s="1050"/>
      <c r="J1538" s="1050"/>
      <c r="K1538" s="1050"/>
      <c r="L1538" s="1050"/>
      <c r="M1538" s="1138">
        <v>8</v>
      </c>
      <c r="N1538" s="1056" t="s">
        <v>132</v>
      </c>
      <c r="O1538" s="1087">
        <v>60000000</v>
      </c>
      <c r="P1538" s="1087">
        <v>60000000</v>
      </c>
      <c r="Q1538" s="1088"/>
      <c r="R1538" s="1136">
        <v>42164</v>
      </c>
      <c r="S1538" s="1106">
        <f>T1538</f>
        <v>60000000</v>
      </c>
      <c r="T1538" s="1106">
        <v>60000000</v>
      </c>
      <c r="U1538" s="1106">
        <f>P1538-T1538</f>
        <v>0</v>
      </c>
      <c r="V1538" s="1106">
        <v>59979733.329999998</v>
      </c>
      <c r="W1538" s="1107"/>
      <c r="X1538" s="1050"/>
      <c r="Y1538" s="400" t="s">
        <v>2208</v>
      </c>
      <c r="Z1538" s="388">
        <v>0</v>
      </c>
      <c r="AA1538" s="388">
        <v>5997973.3300000001</v>
      </c>
      <c r="AB1538" s="388">
        <f t="shared" si="96"/>
        <v>5997973.3300000001</v>
      </c>
      <c r="AC1538" s="401">
        <v>42557</v>
      </c>
      <c r="AD1538" s="200">
        <v>5997973.3300000001</v>
      </c>
      <c r="AE1538" s="201" t="s">
        <v>132</v>
      </c>
      <c r="AF1538" s="1059">
        <f>SUM(AD1538:AD1540)</f>
        <v>59979733.329999998</v>
      </c>
      <c r="AG1538" s="1060"/>
      <c r="AH1538" s="387">
        <f t="shared" si="97"/>
        <v>0</v>
      </c>
      <c r="AI1538" s="1059">
        <f>P1538-AF1538</f>
        <v>20266.670000001788</v>
      </c>
      <c r="AJ1538" s="1088"/>
      <c r="AK1538" s="1087">
        <f>P1538-V1538</f>
        <v>20266.670000001788</v>
      </c>
      <c r="AL1538" s="1087">
        <f>V1538-SUM(Z1538:Z1540)</f>
        <v>100000</v>
      </c>
      <c r="AM1538" s="1087">
        <f>AK1538+AL1538</f>
        <v>120266.67000000179</v>
      </c>
      <c r="AN1538" s="1135"/>
      <c r="AO1538" s="1135"/>
      <c r="AP1538" s="1135"/>
      <c r="AQ1538" s="1135"/>
      <c r="AR1538" s="204">
        <v>20266.669999999998</v>
      </c>
      <c r="AS1538" s="204"/>
    </row>
    <row r="1539" spans="1:46" s="203" customFormat="1" ht="15" customHeight="1">
      <c r="A1539" s="1050"/>
      <c r="B1539" s="1137"/>
      <c r="C1539" s="1050"/>
      <c r="D1539" s="1050"/>
      <c r="E1539" s="1141"/>
      <c r="F1539" s="1141"/>
      <c r="G1539" s="1050"/>
      <c r="H1539" s="1050"/>
      <c r="I1539" s="1050"/>
      <c r="J1539" s="1050"/>
      <c r="K1539" s="1050"/>
      <c r="L1539" s="1050"/>
      <c r="M1539" s="1139"/>
      <c r="N1539" s="1057"/>
      <c r="O1539" s="1088"/>
      <c r="P1539" s="1088"/>
      <c r="Q1539" s="1088"/>
      <c r="R1539" s="1137"/>
      <c r="S1539" s="1107"/>
      <c r="T1539" s="1107"/>
      <c r="U1539" s="1107"/>
      <c r="V1539" s="1107"/>
      <c r="W1539" s="1107"/>
      <c r="X1539" s="1050"/>
      <c r="Y1539" s="400" t="s">
        <v>2218</v>
      </c>
      <c r="Z1539" s="388">
        <v>27862551.68</v>
      </c>
      <c r="AA1539" s="388">
        <v>-3623199</v>
      </c>
      <c r="AB1539" s="388">
        <f t="shared" si="96"/>
        <v>24239352.68</v>
      </c>
      <c r="AC1539" s="401">
        <v>42787</v>
      </c>
      <c r="AD1539" s="200">
        <v>24239352.68</v>
      </c>
      <c r="AE1539" s="201" t="s">
        <v>132</v>
      </c>
      <c r="AF1539" s="1060"/>
      <c r="AG1539" s="1060"/>
      <c r="AH1539" s="387">
        <f t="shared" si="97"/>
        <v>0</v>
      </c>
      <c r="AI1539" s="1060"/>
      <c r="AJ1539" s="1088"/>
      <c r="AK1539" s="1088"/>
      <c r="AL1539" s="1088"/>
      <c r="AM1539" s="1088"/>
      <c r="AN1539" s="1135"/>
      <c r="AO1539" s="1135"/>
      <c r="AP1539" s="1135"/>
      <c r="AQ1539" s="1135"/>
      <c r="AR1539" s="61"/>
      <c r="AS1539" s="61"/>
      <c r="AT1539" s="206">
        <f>AT1541-AL1543</f>
        <v>364800.06000000611</v>
      </c>
    </row>
    <row r="1540" spans="1:46" s="203" customFormat="1" ht="15" customHeight="1">
      <c r="A1540" s="1050"/>
      <c r="B1540" s="1137"/>
      <c r="C1540" s="1050"/>
      <c r="D1540" s="1050"/>
      <c r="E1540" s="1141"/>
      <c r="F1540" s="1141"/>
      <c r="G1540" s="1050"/>
      <c r="H1540" s="1050"/>
      <c r="I1540" s="1050"/>
      <c r="J1540" s="1050"/>
      <c r="K1540" s="1050"/>
      <c r="L1540" s="1050"/>
      <c r="M1540" s="1139"/>
      <c r="N1540" s="1057"/>
      <c r="O1540" s="1088"/>
      <c r="P1540" s="1088"/>
      <c r="Q1540" s="1088"/>
      <c r="R1540" s="1137"/>
      <c r="S1540" s="1107"/>
      <c r="T1540" s="1107"/>
      <c r="U1540" s="1107"/>
      <c r="V1540" s="1107"/>
      <c r="W1540" s="1107"/>
      <c r="X1540" s="1050"/>
      <c r="Y1540" s="400" t="s">
        <v>2206</v>
      </c>
      <c r="Z1540" s="388">
        <v>32017181.649999999</v>
      </c>
      <c r="AA1540" s="388">
        <v>-2274774.33</v>
      </c>
      <c r="AB1540" s="388">
        <f t="shared" si="96"/>
        <v>29742407.32</v>
      </c>
      <c r="AC1540" s="401">
        <v>42998</v>
      </c>
      <c r="AD1540" s="200">
        <v>29742407.32</v>
      </c>
      <c r="AE1540" s="201" t="s">
        <v>132</v>
      </c>
      <c r="AF1540" s="1060"/>
      <c r="AG1540" s="1060"/>
      <c r="AH1540" s="387">
        <f t="shared" si="97"/>
        <v>0</v>
      </c>
      <c r="AI1540" s="1060"/>
      <c r="AJ1540" s="1088"/>
      <c r="AK1540" s="1088"/>
      <c r="AL1540" s="1088"/>
      <c r="AM1540" s="1088"/>
      <c r="AN1540" s="1135"/>
      <c r="AO1540" s="1135"/>
      <c r="AP1540" s="1135"/>
      <c r="AQ1540" s="1135"/>
      <c r="AR1540" s="61"/>
      <c r="AS1540" s="61"/>
    </row>
    <row r="1541" spans="1:46" s="203" customFormat="1" ht="15" customHeight="1">
      <c r="A1541" s="1050"/>
      <c r="B1541" s="1137"/>
      <c r="C1541" s="1015" t="s">
        <v>33</v>
      </c>
      <c r="D1541" s="1050"/>
      <c r="E1541" s="1141"/>
      <c r="F1541" s="1141"/>
      <c r="G1541" s="1050"/>
      <c r="H1541" s="1050"/>
      <c r="I1541" s="1050"/>
      <c r="J1541" s="1050"/>
      <c r="K1541" s="1050"/>
      <c r="L1541" s="1050"/>
      <c r="M1541" s="1138">
        <v>3</v>
      </c>
      <c r="N1541" s="1056" t="s">
        <v>158</v>
      </c>
      <c r="O1541" s="1087">
        <v>60000000</v>
      </c>
      <c r="P1541" s="1087">
        <v>60000000</v>
      </c>
      <c r="Q1541" s="1088"/>
      <c r="R1541" s="1136">
        <v>42164</v>
      </c>
      <c r="S1541" s="1106">
        <f>T1541</f>
        <v>60000000</v>
      </c>
      <c r="T1541" s="1106">
        <v>60000000</v>
      </c>
      <c r="U1541" s="1106">
        <f>P1541-T1541</f>
        <v>0</v>
      </c>
      <c r="V1541" s="1106">
        <v>59979733.329999998</v>
      </c>
      <c r="W1541" s="1107"/>
      <c r="X1541" s="1050"/>
      <c r="Y1541" s="400" t="s">
        <v>2208</v>
      </c>
      <c r="Z1541" s="388">
        <v>0</v>
      </c>
      <c r="AA1541" s="388">
        <v>5997973.3300000001</v>
      </c>
      <c r="AB1541" s="388">
        <f t="shared" si="96"/>
        <v>5997973.3300000001</v>
      </c>
      <c r="AC1541" s="401">
        <v>42557</v>
      </c>
      <c r="AD1541" s="200">
        <v>5997973.3300000001</v>
      </c>
      <c r="AE1541" s="201" t="s">
        <v>158</v>
      </c>
      <c r="AF1541" s="1059">
        <f>SUM(AD1541:AD1542)</f>
        <v>59979733.329999998</v>
      </c>
      <c r="AG1541" s="1060"/>
      <c r="AH1541" s="387">
        <f t="shared" si="97"/>
        <v>0</v>
      </c>
      <c r="AI1541" s="1059">
        <f>P1541-AF1541</f>
        <v>20266.670000001788</v>
      </c>
      <c r="AJ1541" s="1088"/>
      <c r="AK1541" s="1087">
        <f>P1541-V1541</f>
        <v>20266.670000001788</v>
      </c>
      <c r="AL1541" s="1087">
        <f>V1541-SUM(Z1541:Z1542)</f>
        <v>0</v>
      </c>
      <c r="AM1541" s="1087">
        <f>AK1541+AL1541</f>
        <v>20266.670000001788</v>
      </c>
      <c r="AN1541" s="1135"/>
      <c r="AO1541" s="1135"/>
      <c r="AP1541" s="1135"/>
      <c r="AQ1541" s="1135"/>
      <c r="AR1541" s="204">
        <v>20266.669999999998</v>
      </c>
      <c r="AS1541" s="204"/>
      <c r="AT1541" s="206">
        <f>AT1545-AL1527</f>
        <v>688690.62000000104</v>
      </c>
    </row>
    <row r="1542" spans="1:46" s="203" customFormat="1" ht="15" customHeight="1">
      <c r="A1542" s="1050"/>
      <c r="B1542" s="1137"/>
      <c r="C1542" s="1050"/>
      <c r="D1542" s="1050"/>
      <c r="E1542" s="1141"/>
      <c r="F1542" s="1141"/>
      <c r="G1542" s="1050"/>
      <c r="H1542" s="1050"/>
      <c r="I1542" s="1050"/>
      <c r="J1542" s="1050"/>
      <c r="K1542" s="1050"/>
      <c r="L1542" s="1050"/>
      <c r="M1542" s="1139"/>
      <c r="N1542" s="1057"/>
      <c r="O1542" s="1088"/>
      <c r="P1542" s="1088"/>
      <c r="Q1542" s="1088"/>
      <c r="R1542" s="1137"/>
      <c r="S1542" s="1107"/>
      <c r="T1542" s="1107"/>
      <c r="U1542" s="1107"/>
      <c r="V1542" s="1107"/>
      <c r="W1542" s="1107"/>
      <c r="X1542" s="1050"/>
      <c r="Y1542" s="400" t="s">
        <v>2206</v>
      </c>
      <c r="Z1542" s="388">
        <v>59979733.329999998</v>
      </c>
      <c r="AA1542" s="388">
        <v>-5997973.3300000001</v>
      </c>
      <c r="AB1542" s="388">
        <f t="shared" si="96"/>
        <v>53981760</v>
      </c>
      <c r="AC1542" s="401">
        <v>42998</v>
      </c>
      <c r="AD1542" s="200">
        <v>53981760</v>
      </c>
      <c r="AE1542" s="201" t="s">
        <v>158</v>
      </c>
      <c r="AF1542" s="1060"/>
      <c r="AG1542" s="1060"/>
      <c r="AH1542" s="387">
        <f t="shared" si="97"/>
        <v>0</v>
      </c>
      <c r="AI1542" s="1060"/>
      <c r="AJ1542" s="1088"/>
      <c r="AK1542" s="1088"/>
      <c r="AL1542" s="1088"/>
      <c r="AM1542" s="1088"/>
      <c r="AN1542" s="1135"/>
      <c r="AO1542" s="1135"/>
      <c r="AP1542" s="1135"/>
      <c r="AQ1542" s="1135"/>
      <c r="AR1542" s="61"/>
      <c r="AS1542" s="61"/>
    </row>
    <row r="1543" spans="1:46" s="203" customFormat="1" ht="15" customHeight="1">
      <c r="A1543" s="1050"/>
      <c r="B1543" s="1137"/>
      <c r="C1543" s="1015" t="s">
        <v>37</v>
      </c>
      <c r="D1543" s="1050"/>
      <c r="E1543" s="1141"/>
      <c r="F1543" s="1141"/>
      <c r="G1543" s="1050"/>
      <c r="H1543" s="1050"/>
      <c r="I1543" s="1050"/>
      <c r="J1543" s="1050"/>
      <c r="K1543" s="1050"/>
      <c r="L1543" s="1050"/>
      <c r="M1543" s="1138">
        <v>8</v>
      </c>
      <c r="N1543" s="1056" t="s">
        <v>162</v>
      </c>
      <c r="O1543" s="1087">
        <v>60000000</v>
      </c>
      <c r="P1543" s="1087">
        <v>60000000</v>
      </c>
      <c r="Q1543" s="1088"/>
      <c r="R1543" s="1136">
        <v>42164</v>
      </c>
      <c r="S1543" s="1106">
        <f>T1543</f>
        <v>60000000</v>
      </c>
      <c r="T1543" s="1106">
        <v>60000000</v>
      </c>
      <c r="U1543" s="1106">
        <f>P1543-T1543</f>
        <v>0</v>
      </c>
      <c r="V1543" s="1106">
        <v>59979733.329999998</v>
      </c>
      <c r="W1543" s="1107"/>
      <c r="X1543" s="1050"/>
      <c r="Y1543" s="400" t="s">
        <v>2208</v>
      </c>
      <c r="Z1543" s="388">
        <v>0</v>
      </c>
      <c r="AA1543" s="388">
        <f>AD1543</f>
        <v>5997973.3300000001</v>
      </c>
      <c r="AB1543" s="388">
        <f t="shared" si="96"/>
        <v>5997973.3300000001</v>
      </c>
      <c r="AC1543" s="401">
        <v>42557</v>
      </c>
      <c r="AD1543" s="200">
        <v>5997973.3300000001</v>
      </c>
      <c r="AE1543" s="201" t="s">
        <v>162</v>
      </c>
      <c r="AF1543" s="1059">
        <f>SUM(AD1543:AD1544)</f>
        <v>59655842.769999996</v>
      </c>
      <c r="AG1543" s="1060"/>
      <c r="AH1543" s="387">
        <f t="shared" si="97"/>
        <v>0</v>
      </c>
      <c r="AI1543" s="1059">
        <f>P1543-AF1543</f>
        <v>344157.23000000417</v>
      </c>
      <c r="AJ1543" s="1088"/>
      <c r="AK1543" s="1087">
        <f>P1543-V1543</f>
        <v>20266.670000001788</v>
      </c>
      <c r="AL1543" s="1087">
        <f>V1543-SUM(Z1543:Z1544)</f>
        <v>323890.55999999493</v>
      </c>
      <c r="AM1543" s="1087">
        <f>AK1543+AL1543</f>
        <v>344157.22999999672</v>
      </c>
      <c r="AN1543" s="1135"/>
      <c r="AO1543" s="1135"/>
      <c r="AP1543" s="1135"/>
      <c r="AQ1543" s="1135"/>
      <c r="AR1543" s="1087">
        <v>344157.22999999672</v>
      </c>
      <c r="AS1543" s="206">
        <f>AR1543-AK1543</f>
        <v>323890.55999999493</v>
      </c>
      <c r="AT1543" s="357">
        <f>Q1524-W1524</f>
        <v>364800</v>
      </c>
    </row>
    <row r="1544" spans="1:46" s="203" customFormat="1" ht="15" customHeight="1">
      <c r="A1544" s="1050"/>
      <c r="B1544" s="1137"/>
      <c r="C1544" s="1050"/>
      <c r="D1544" s="1050"/>
      <c r="E1544" s="1141"/>
      <c r="F1544" s="1141"/>
      <c r="G1544" s="1050"/>
      <c r="H1544" s="1050"/>
      <c r="I1544" s="1050"/>
      <c r="J1544" s="1050"/>
      <c r="K1544" s="1050"/>
      <c r="L1544" s="1050"/>
      <c r="M1544" s="1139"/>
      <c r="N1544" s="1057"/>
      <c r="O1544" s="1088"/>
      <c r="P1544" s="1088"/>
      <c r="Q1544" s="1088"/>
      <c r="R1544" s="1137"/>
      <c r="S1544" s="1107"/>
      <c r="T1544" s="1107"/>
      <c r="U1544" s="1107"/>
      <c r="V1544" s="1107"/>
      <c r="W1544" s="1107"/>
      <c r="X1544" s="1050"/>
      <c r="Y1544" s="400" t="s">
        <v>2206</v>
      </c>
      <c r="Z1544" s="388">
        <v>59655842.770000003</v>
      </c>
      <c r="AA1544" s="388">
        <v>-5997973.3300000103</v>
      </c>
      <c r="AB1544" s="388">
        <f t="shared" si="96"/>
        <v>53657869.43999999</v>
      </c>
      <c r="AC1544" s="401">
        <v>42998</v>
      </c>
      <c r="AD1544" s="200">
        <v>53657869.439999998</v>
      </c>
      <c r="AE1544" s="201" t="s">
        <v>162</v>
      </c>
      <c r="AF1544" s="1060"/>
      <c r="AG1544" s="1060"/>
      <c r="AH1544" s="387">
        <f t="shared" si="97"/>
        <v>0</v>
      </c>
      <c r="AI1544" s="1060"/>
      <c r="AJ1544" s="1088"/>
      <c r="AK1544" s="1088"/>
      <c r="AL1544" s="1088"/>
      <c r="AM1544" s="1088"/>
      <c r="AN1544" s="1135"/>
      <c r="AO1544" s="1135"/>
      <c r="AP1544" s="1135"/>
      <c r="AQ1544" s="1135"/>
      <c r="AR1544" s="1088"/>
      <c r="AS1544" s="206"/>
      <c r="AT1544" s="357">
        <v>28286442.239999998</v>
      </c>
    </row>
    <row r="1545" spans="1:46" s="203" customFormat="1" ht="15" customHeight="1">
      <c r="A1545" s="1050"/>
      <c r="B1545" s="1137"/>
      <c r="C1545" s="1015" t="s">
        <v>45</v>
      </c>
      <c r="D1545" s="1050"/>
      <c r="E1545" s="1141"/>
      <c r="F1545" s="1141"/>
      <c r="G1545" s="1050"/>
      <c r="H1545" s="1050"/>
      <c r="I1545" s="1050"/>
      <c r="J1545" s="1050"/>
      <c r="K1545" s="1050"/>
      <c r="L1545" s="1050"/>
      <c r="M1545" s="1138">
        <v>16</v>
      </c>
      <c r="N1545" s="1056" t="s">
        <v>152</v>
      </c>
      <c r="O1545" s="1087">
        <v>60000000</v>
      </c>
      <c r="P1545" s="1087">
        <v>60000000</v>
      </c>
      <c r="Q1545" s="1088"/>
      <c r="R1545" s="1136">
        <v>42164</v>
      </c>
      <c r="S1545" s="1106">
        <f>T1545</f>
        <v>60000000</v>
      </c>
      <c r="T1545" s="1106">
        <v>60000000</v>
      </c>
      <c r="U1545" s="1106">
        <f>P1545-T1545</f>
        <v>0</v>
      </c>
      <c r="V1545" s="1059">
        <v>59979733.329999998</v>
      </c>
      <c r="W1545" s="1107"/>
      <c r="X1545" s="1050"/>
      <c r="Y1545" s="400" t="s">
        <v>2208</v>
      </c>
      <c r="Z1545" s="388">
        <v>0</v>
      </c>
      <c r="AA1545" s="388">
        <f>AD1545</f>
        <v>5997973.3300000001</v>
      </c>
      <c r="AB1545" s="388">
        <f t="shared" si="96"/>
        <v>5997973.3300000001</v>
      </c>
      <c r="AC1545" s="401">
        <v>42557</v>
      </c>
      <c r="AD1545" s="200">
        <v>5997973.3300000001</v>
      </c>
      <c r="AE1545" s="201" t="s">
        <v>152</v>
      </c>
      <c r="AF1545" s="1059">
        <f>SUM(AD1545:AD1547)</f>
        <v>59979733.329999998</v>
      </c>
      <c r="AG1545" s="1060"/>
      <c r="AH1545" s="387">
        <f t="shared" si="97"/>
        <v>0</v>
      </c>
      <c r="AI1545" s="1059">
        <f>P1545-AF1545</f>
        <v>20266.670000001788</v>
      </c>
      <c r="AJ1545" s="1088"/>
      <c r="AK1545" s="1087">
        <f>P1545-V1545</f>
        <v>20266.670000001788</v>
      </c>
      <c r="AL1545" s="1087">
        <f>V1545-SUM(Z1545:Z1547)</f>
        <v>-180000</v>
      </c>
      <c r="AM1545" s="1087">
        <f>AK1545+AL1545</f>
        <v>-159733.32999999821</v>
      </c>
      <c r="AN1545" s="1135"/>
      <c r="AO1545" s="1135"/>
      <c r="AP1545" s="1135"/>
      <c r="AQ1545" s="1135"/>
      <c r="AR1545" s="204">
        <v>20266.669999999998</v>
      </c>
      <c r="AS1545" s="204"/>
      <c r="AT1545" s="357">
        <f>SUM(AT1543:AT1544)</f>
        <v>28651242.239999998</v>
      </c>
    </row>
    <row r="1546" spans="1:46" s="203" customFormat="1" ht="15" customHeight="1">
      <c r="A1546" s="1050"/>
      <c r="B1546" s="1137"/>
      <c r="C1546" s="1050"/>
      <c r="D1546" s="1050"/>
      <c r="E1546" s="1141"/>
      <c r="F1546" s="1141"/>
      <c r="G1546" s="1050"/>
      <c r="H1546" s="1050"/>
      <c r="I1546" s="1050"/>
      <c r="J1546" s="1050"/>
      <c r="K1546" s="1050"/>
      <c r="L1546" s="1050"/>
      <c r="M1546" s="1139"/>
      <c r="N1546" s="1057"/>
      <c r="O1546" s="1088"/>
      <c r="P1546" s="1088"/>
      <c r="Q1546" s="1088"/>
      <c r="R1546" s="1137"/>
      <c r="S1546" s="1107"/>
      <c r="T1546" s="1107"/>
      <c r="U1546" s="1107"/>
      <c r="V1546" s="1060"/>
      <c r="W1546" s="1107"/>
      <c r="X1546" s="1050"/>
      <c r="Y1546" s="400" t="s">
        <v>2217</v>
      </c>
      <c r="Z1546" s="388">
        <v>39514648.32</v>
      </c>
      <c r="AA1546" s="388">
        <v>-3723199</v>
      </c>
      <c r="AB1546" s="388">
        <f t="shared" si="96"/>
        <v>35791449.32</v>
      </c>
      <c r="AC1546" s="401">
        <v>42787</v>
      </c>
      <c r="AD1546" s="200">
        <v>35791449.32</v>
      </c>
      <c r="AE1546" s="201" t="s">
        <v>152</v>
      </c>
      <c r="AF1546" s="1060"/>
      <c r="AG1546" s="1060"/>
      <c r="AH1546" s="387">
        <f t="shared" si="97"/>
        <v>0</v>
      </c>
      <c r="AI1546" s="1060"/>
      <c r="AJ1546" s="1088"/>
      <c r="AK1546" s="1088"/>
      <c r="AL1546" s="1088"/>
      <c r="AM1546" s="1088"/>
      <c r="AN1546" s="1135"/>
      <c r="AO1546" s="1135"/>
      <c r="AP1546" s="1135"/>
      <c r="AQ1546" s="1135"/>
      <c r="AR1546" s="61"/>
      <c r="AS1546" s="61"/>
      <c r="AT1546" s="206">
        <f>AT1545-AR1575</f>
        <v>0</v>
      </c>
    </row>
    <row r="1547" spans="1:46" s="203" customFormat="1" ht="15" customHeight="1">
      <c r="A1547" s="1050"/>
      <c r="B1547" s="1137"/>
      <c r="C1547" s="1050"/>
      <c r="D1547" s="1050"/>
      <c r="E1547" s="1141"/>
      <c r="F1547" s="1141"/>
      <c r="G1547" s="1050"/>
      <c r="H1547" s="1050"/>
      <c r="I1547" s="1050"/>
      <c r="J1547" s="1050"/>
      <c r="K1547" s="1050"/>
      <c r="L1547" s="1050"/>
      <c r="M1547" s="1139"/>
      <c r="N1547" s="1057"/>
      <c r="O1547" s="1088"/>
      <c r="P1547" s="1088"/>
      <c r="Q1547" s="1088"/>
      <c r="R1547" s="1137"/>
      <c r="S1547" s="1107"/>
      <c r="T1547" s="1107"/>
      <c r="U1547" s="1107"/>
      <c r="V1547" s="1060"/>
      <c r="W1547" s="1107"/>
      <c r="X1547" s="1050"/>
      <c r="Y1547" s="400" t="s">
        <v>2206</v>
      </c>
      <c r="Z1547" s="388">
        <v>20645085.010000002</v>
      </c>
      <c r="AA1547" s="388">
        <v>-2454774.33</v>
      </c>
      <c r="AB1547" s="388">
        <f t="shared" si="96"/>
        <v>18190310.68</v>
      </c>
      <c r="AC1547" s="401">
        <v>42998</v>
      </c>
      <c r="AD1547" s="200">
        <v>18190310.68</v>
      </c>
      <c r="AE1547" s="201" t="s">
        <v>152</v>
      </c>
      <c r="AF1547" s="1060"/>
      <c r="AG1547" s="1060"/>
      <c r="AH1547" s="387">
        <f t="shared" si="97"/>
        <v>0</v>
      </c>
      <c r="AI1547" s="1060"/>
      <c r="AJ1547" s="1088"/>
      <c r="AK1547" s="1088"/>
      <c r="AL1547" s="1088"/>
      <c r="AM1547" s="1088"/>
      <c r="AN1547" s="1135"/>
      <c r="AO1547" s="1135"/>
      <c r="AP1547" s="1135"/>
      <c r="AQ1547" s="1135"/>
      <c r="AR1547" s="61"/>
      <c r="AS1547" s="61"/>
    </row>
    <row r="1548" spans="1:46" s="203" customFormat="1" ht="15" customHeight="1">
      <c r="A1548" s="1050"/>
      <c r="B1548" s="1137"/>
      <c r="C1548" s="1015" t="s">
        <v>24</v>
      </c>
      <c r="D1548" s="1050"/>
      <c r="E1548" s="1141"/>
      <c r="F1548" s="1141"/>
      <c r="G1548" s="1050"/>
      <c r="H1548" s="1050"/>
      <c r="I1548" s="1050"/>
      <c r="J1548" s="1050"/>
      <c r="K1548" s="1050"/>
      <c r="L1548" s="1050"/>
      <c r="M1548" s="1138">
        <v>16</v>
      </c>
      <c r="N1548" s="1056" t="s">
        <v>147</v>
      </c>
      <c r="O1548" s="1087">
        <v>60000000</v>
      </c>
      <c r="P1548" s="1087">
        <v>60000000</v>
      </c>
      <c r="Q1548" s="1088"/>
      <c r="R1548" s="1136">
        <v>42164</v>
      </c>
      <c r="S1548" s="1106">
        <f>T1548</f>
        <v>60000000</v>
      </c>
      <c r="T1548" s="1106">
        <v>60000000</v>
      </c>
      <c r="U1548" s="1106">
        <f>P1548-T1548</f>
        <v>0</v>
      </c>
      <c r="V1548" s="1059">
        <v>59979733.329999998</v>
      </c>
      <c r="W1548" s="1107"/>
      <c r="X1548" s="1050"/>
      <c r="Y1548" s="400" t="s">
        <v>2208</v>
      </c>
      <c r="Z1548" s="388">
        <v>0</v>
      </c>
      <c r="AA1548" s="388">
        <f>AD1548</f>
        <v>5997973.3300000001</v>
      </c>
      <c r="AB1548" s="388">
        <f t="shared" si="96"/>
        <v>5997973.3300000001</v>
      </c>
      <c r="AC1548" s="401">
        <v>42557</v>
      </c>
      <c r="AD1548" s="200">
        <v>5997973.3300000001</v>
      </c>
      <c r="AE1548" s="201" t="s">
        <v>147</v>
      </c>
      <c r="AF1548" s="1059">
        <f>SUM(AD1548:AD1550)</f>
        <v>59979733.329999998</v>
      </c>
      <c r="AG1548" s="1060"/>
      <c r="AH1548" s="387">
        <f t="shared" si="97"/>
        <v>0</v>
      </c>
      <c r="AI1548" s="1059">
        <f>P1548-AF1548</f>
        <v>20266.670000001788</v>
      </c>
      <c r="AJ1548" s="1088"/>
      <c r="AK1548" s="1087">
        <f>P1548-V1548</f>
        <v>20266.670000001788</v>
      </c>
      <c r="AL1548" s="1087">
        <f>V1548-SUM(Z1548:Z1550)</f>
        <v>-180000</v>
      </c>
      <c r="AM1548" s="1087">
        <f>AK1548+AL1548</f>
        <v>-159733.32999999821</v>
      </c>
      <c r="AN1548" s="1135"/>
      <c r="AO1548" s="1135"/>
      <c r="AP1548" s="1135"/>
      <c r="AQ1548" s="1135"/>
      <c r="AR1548" s="204">
        <v>20266.669999999998</v>
      </c>
      <c r="AS1548" s="204"/>
    </row>
    <row r="1549" spans="1:46" s="203" customFormat="1" ht="15" customHeight="1">
      <c r="A1549" s="1050"/>
      <c r="B1549" s="1137"/>
      <c r="C1549" s="1050"/>
      <c r="D1549" s="1050"/>
      <c r="E1549" s="1141"/>
      <c r="F1549" s="1141"/>
      <c r="G1549" s="1050"/>
      <c r="H1549" s="1050"/>
      <c r="I1549" s="1050"/>
      <c r="J1549" s="1050"/>
      <c r="K1549" s="1050"/>
      <c r="L1549" s="1050"/>
      <c r="M1549" s="1139"/>
      <c r="N1549" s="1057"/>
      <c r="O1549" s="1088"/>
      <c r="P1549" s="1088"/>
      <c r="Q1549" s="1088"/>
      <c r="R1549" s="1137"/>
      <c r="S1549" s="1107"/>
      <c r="T1549" s="1107"/>
      <c r="U1549" s="1107"/>
      <c r="V1549" s="1060"/>
      <c r="W1549" s="1107"/>
      <c r="X1549" s="1050"/>
      <c r="Y1549" s="400" t="s">
        <v>2216</v>
      </c>
      <c r="Z1549" s="388">
        <v>39514648.32</v>
      </c>
      <c r="AA1549" s="388">
        <v>-3723199</v>
      </c>
      <c r="AB1549" s="388">
        <f t="shared" si="96"/>
        <v>35791449.32</v>
      </c>
      <c r="AC1549" s="401">
        <v>42787</v>
      </c>
      <c r="AD1549" s="200">
        <v>35791449.32</v>
      </c>
      <c r="AE1549" s="201" t="s">
        <v>147</v>
      </c>
      <c r="AF1549" s="1060"/>
      <c r="AG1549" s="1060"/>
      <c r="AH1549" s="387">
        <f t="shared" si="97"/>
        <v>0</v>
      </c>
      <c r="AI1549" s="1060"/>
      <c r="AJ1549" s="1088"/>
      <c r="AK1549" s="1088"/>
      <c r="AL1549" s="1088"/>
      <c r="AM1549" s="1088"/>
      <c r="AN1549" s="1135"/>
      <c r="AO1549" s="1135"/>
      <c r="AP1549" s="1135"/>
      <c r="AQ1549" s="1135"/>
      <c r="AR1549" s="61"/>
      <c r="AS1549" s="61"/>
    </row>
    <row r="1550" spans="1:46" s="203" customFormat="1" ht="15" customHeight="1">
      <c r="A1550" s="1050"/>
      <c r="B1550" s="1137"/>
      <c r="C1550" s="1050"/>
      <c r="D1550" s="1050"/>
      <c r="E1550" s="1141"/>
      <c r="F1550" s="1141"/>
      <c r="G1550" s="1050"/>
      <c r="H1550" s="1050"/>
      <c r="I1550" s="1050"/>
      <c r="J1550" s="1050"/>
      <c r="K1550" s="1050"/>
      <c r="L1550" s="1050"/>
      <c r="M1550" s="1139"/>
      <c r="N1550" s="1057"/>
      <c r="O1550" s="1088"/>
      <c r="P1550" s="1088"/>
      <c r="Q1550" s="1088"/>
      <c r="R1550" s="1137"/>
      <c r="S1550" s="1107"/>
      <c r="T1550" s="1107"/>
      <c r="U1550" s="1107"/>
      <c r="V1550" s="1060"/>
      <c r="W1550" s="1107"/>
      <c r="X1550" s="1050"/>
      <c r="Y1550" s="400" t="s">
        <v>2206</v>
      </c>
      <c r="Z1550" s="388">
        <v>20645085.010000002</v>
      </c>
      <c r="AA1550" s="388">
        <v>-2454774.33</v>
      </c>
      <c r="AB1550" s="388">
        <f t="shared" si="96"/>
        <v>18190310.68</v>
      </c>
      <c r="AC1550" s="401">
        <v>42998</v>
      </c>
      <c r="AD1550" s="200">
        <v>18190310.68</v>
      </c>
      <c r="AE1550" s="201" t="s">
        <v>147</v>
      </c>
      <c r="AF1550" s="1060"/>
      <c r="AG1550" s="1060"/>
      <c r="AH1550" s="387">
        <f t="shared" si="97"/>
        <v>0</v>
      </c>
      <c r="AI1550" s="1060"/>
      <c r="AJ1550" s="1088"/>
      <c r="AK1550" s="1088"/>
      <c r="AL1550" s="1088"/>
      <c r="AM1550" s="1088"/>
      <c r="AN1550" s="1135"/>
      <c r="AO1550" s="1135"/>
      <c r="AP1550" s="1135"/>
      <c r="AQ1550" s="1135"/>
      <c r="AR1550" s="61"/>
      <c r="AS1550" s="61"/>
    </row>
    <row r="1551" spans="1:46" s="203" customFormat="1" ht="15" customHeight="1">
      <c r="A1551" s="1050"/>
      <c r="B1551" s="1137"/>
      <c r="C1551" s="1015" t="s">
        <v>28</v>
      </c>
      <c r="D1551" s="1050"/>
      <c r="E1551" s="1141"/>
      <c r="F1551" s="1141"/>
      <c r="G1551" s="1050"/>
      <c r="H1551" s="1050"/>
      <c r="I1551" s="1050"/>
      <c r="J1551" s="1050"/>
      <c r="K1551" s="1050"/>
      <c r="L1551" s="1050"/>
      <c r="M1551" s="1138">
        <v>4</v>
      </c>
      <c r="N1551" s="1056" t="s">
        <v>153</v>
      </c>
      <c r="O1551" s="1087">
        <v>60000000</v>
      </c>
      <c r="P1551" s="1087">
        <v>60000000</v>
      </c>
      <c r="Q1551" s="1088"/>
      <c r="R1551" s="1136">
        <v>42164</v>
      </c>
      <c r="S1551" s="1106">
        <f>T1551</f>
        <v>60000000</v>
      </c>
      <c r="T1551" s="1106">
        <v>60000000</v>
      </c>
      <c r="U1551" s="1106">
        <f>P1551-T1551</f>
        <v>0</v>
      </c>
      <c r="V1551" s="1106">
        <v>59979733.329999998</v>
      </c>
      <c r="W1551" s="1107"/>
      <c r="X1551" s="1050"/>
      <c r="Y1551" s="400" t="s">
        <v>2208</v>
      </c>
      <c r="Z1551" s="388">
        <v>0</v>
      </c>
      <c r="AA1551" s="388">
        <v>5997973.3300000001</v>
      </c>
      <c r="AB1551" s="388">
        <f t="shared" si="96"/>
        <v>5997973.3300000001</v>
      </c>
      <c r="AC1551" s="401">
        <v>42557</v>
      </c>
      <c r="AD1551" s="200">
        <v>5997973.3300000001</v>
      </c>
      <c r="AE1551" s="201" t="s">
        <v>153</v>
      </c>
      <c r="AF1551" s="1059">
        <f>SUM(AD1551:AD1553)</f>
        <v>59979733.329999998</v>
      </c>
      <c r="AG1551" s="1060"/>
      <c r="AH1551" s="387">
        <f t="shared" si="97"/>
        <v>0</v>
      </c>
      <c r="AI1551" s="1059">
        <f>P1551-AF1551</f>
        <v>20266.670000001788</v>
      </c>
      <c r="AJ1551" s="1088"/>
      <c r="AK1551" s="1087">
        <f>P1551-V1551</f>
        <v>20266.670000001788</v>
      </c>
      <c r="AL1551" s="1087">
        <f>V1551-SUM(Z1551:Z1553)</f>
        <v>0</v>
      </c>
      <c r="AM1551" s="1087">
        <f>AK1551+AL1551</f>
        <v>20266.670000001788</v>
      </c>
      <c r="AN1551" s="1135"/>
      <c r="AO1551" s="1135"/>
      <c r="AP1551" s="1135"/>
      <c r="AQ1551" s="1135"/>
      <c r="AR1551" s="1087">
        <v>20266.670000001788</v>
      </c>
      <c r="AS1551" s="206"/>
    </row>
    <row r="1552" spans="1:46" s="203" customFormat="1" ht="15" customHeight="1">
      <c r="A1552" s="1050"/>
      <c r="B1552" s="1137"/>
      <c r="C1552" s="1050"/>
      <c r="D1552" s="1050"/>
      <c r="E1552" s="1141"/>
      <c r="F1552" s="1141"/>
      <c r="G1552" s="1050"/>
      <c r="H1552" s="1050"/>
      <c r="I1552" s="1050"/>
      <c r="J1552" s="1050"/>
      <c r="K1552" s="1050"/>
      <c r="L1552" s="1050"/>
      <c r="M1552" s="1139"/>
      <c r="N1552" s="1057"/>
      <c r="O1552" s="1088"/>
      <c r="P1552" s="1088"/>
      <c r="Q1552" s="1088"/>
      <c r="R1552" s="1137"/>
      <c r="S1552" s="1107"/>
      <c r="T1552" s="1107"/>
      <c r="U1552" s="1107"/>
      <c r="V1552" s="1107"/>
      <c r="W1552" s="1107"/>
      <c r="X1552" s="1050"/>
      <c r="Y1552" s="400" t="s">
        <v>2215</v>
      </c>
      <c r="Z1552" s="388">
        <v>323890.56</v>
      </c>
      <c r="AA1552" s="388">
        <v>0</v>
      </c>
      <c r="AB1552" s="388">
        <f t="shared" si="96"/>
        <v>323890.56</v>
      </c>
      <c r="AC1552" s="401">
        <v>42787</v>
      </c>
      <c r="AD1552" s="200">
        <v>323890.56</v>
      </c>
      <c r="AE1552" s="201" t="s">
        <v>153</v>
      </c>
      <c r="AF1552" s="1060"/>
      <c r="AG1552" s="1060"/>
      <c r="AH1552" s="387">
        <f t="shared" si="97"/>
        <v>0</v>
      </c>
      <c r="AI1552" s="1060"/>
      <c r="AJ1552" s="1088"/>
      <c r="AK1552" s="1088"/>
      <c r="AL1552" s="1088"/>
      <c r="AM1552" s="1088"/>
      <c r="AN1552" s="1135"/>
      <c r="AO1552" s="1135"/>
      <c r="AP1552" s="1135"/>
      <c r="AQ1552" s="1135"/>
      <c r="AR1552" s="1088"/>
      <c r="AS1552" s="206"/>
    </row>
    <row r="1553" spans="1:46" s="203" customFormat="1" ht="15" customHeight="1">
      <c r="A1553" s="1050"/>
      <c r="B1553" s="1137"/>
      <c r="C1553" s="1050"/>
      <c r="D1553" s="1050"/>
      <c r="E1553" s="1141"/>
      <c r="F1553" s="1141"/>
      <c r="G1553" s="1050"/>
      <c r="H1553" s="1050"/>
      <c r="I1553" s="1050"/>
      <c r="J1553" s="1050"/>
      <c r="K1553" s="1050"/>
      <c r="L1553" s="1050"/>
      <c r="M1553" s="1139"/>
      <c r="N1553" s="1057"/>
      <c r="O1553" s="1088"/>
      <c r="P1553" s="1088"/>
      <c r="Q1553" s="1088"/>
      <c r="R1553" s="1137"/>
      <c r="S1553" s="1107"/>
      <c r="T1553" s="1107"/>
      <c r="U1553" s="1107"/>
      <c r="V1553" s="1107"/>
      <c r="W1553" s="1107"/>
      <c r="X1553" s="1050"/>
      <c r="Y1553" s="400" t="s">
        <v>2206</v>
      </c>
      <c r="Z1553" s="388">
        <v>59655842.770000003</v>
      </c>
      <c r="AA1553" s="388">
        <v>-5997973.3300000103</v>
      </c>
      <c r="AB1553" s="388">
        <f t="shared" si="96"/>
        <v>53657869.43999999</v>
      </c>
      <c r="AC1553" s="401">
        <v>42998</v>
      </c>
      <c r="AD1553" s="200">
        <v>53657869.439999998</v>
      </c>
      <c r="AE1553" s="201" t="s">
        <v>153</v>
      </c>
      <c r="AF1553" s="1060"/>
      <c r="AG1553" s="1060"/>
      <c r="AH1553" s="387">
        <f t="shared" si="97"/>
        <v>0</v>
      </c>
      <c r="AI1553" s="1060"/>
      <c r="AJ1553" s="1088"/>
      <c r="AK1553" s="1088"/>
      <c r="AL1553" s="1088"/>
      <c r="AM1553" s="1088"/>
      <c r="AN1553" s="1135"/>
      <c r="AO1553" s="1135"/>
      <c r="AP1553" s="1135"/>
      <c r="AQ1553" s="1135"/>
      <c r="AR1553" s="1088"/>
      <c r="AS1553" s="206"/>
    </row>
    <row r="1554" spans="1:46" s="203" customFormat="1" ht="15" customHeight="1">
      <c r="A1554" s="1050"/>
      <c r="B1554" s="1137"/>
      <c r="C1554" s="1015" t="s">
        <v>15</v>
      </c>
      <c r="D1554" s="1050"/>
      <c r="E1554" s="1141"/>
      <c r="F1554" s="1141"/>
      <c r="G1554" s="1050"/>
      <c r="H1554" s="1050"/>
      <c r="I1554" s="1050"/>
      <c r="J1554" s="1050"/>
      <c r="K1554" s="1050"/>
      <c r="L1554" s="1050"/>
      <c r="M1554" s="1138">
        <v>6</v>
      </c>
      <c r="N1554" s="1056" t="s">
        <v>135</v>
      </c>
      <c r="O1554" s="1087">
        <v>60000000</v>
      </c>
      <c r="P1554" s="1087">
        <v>60000000</v>
      </c>
      <c r="Q1554" s="1088"/>
      <c r="R1554" s="1136">
        <v>42164</v>
      </c>
      <c r="S1554" s="1106">
        <f>T1554</f>
        <v>60000000</v>
      </c>
      <c r="T1554" s="1106">
        <v>60000000</v>
      </c>
      <c r="U1554" s="1106">
        <f>P1554-T1554</f>
        <v>0</v>
      </c>
      <c r="V1554" s="1059">
        <v>59979733.329999998</v>
      </c>
      <c r="W1554" s="1107"/>
      <c r="X1554" s="1050"/>
      <c r="Y1554" s="400" t="s">
        <v>2208</v>
      </c>
      <c r="Z1554" s="388">
        <v>0</v>
      </c>
      <c r="AA1554" s="388">
        <v>5997973.3300000001</v>
      </c>
      <c r="AB1554" s="388">
        <f t="shared" si="96"/>
        <v>5997973.3300000001</v>
      </c>
      <c r="AC1554" s="401">
        <v>42557</v>
      </c>
      <c r="AD1554" s="200">
        <v>5997973.3300000001</v>
      </c>
      <c r="AE1554" s="201" t="s">
        <v>135</v>
      </c>
      <c r="AF1554" s="1059">
        <f>SUM(AD1554:AD1556)</f>
        <v>59979733.329999998</v>
      </c>
      <c r="AG1554" s="1060"/>
      <c r="AH1554" s="387">
        <f t="shared" si="97"/>
        <v>0</v>
      </c>
      <c r="AI1554" s="1059">
        <f>P1554-AF1554</f>
        <v>20266.670000001788</v>
      </c>
      <c r="AJ1554" s="1088"/>
      <c r="AK1554" s="1087">
        <f>P1557-V1557</f>
        <v>20266.670000001788</v>
      </c>
      <c r="AL1554" s="1087">
        <f>V1554-SUM(Z1554:Z1556)</f>
        <v>0</v>
      </c>
      <c r="AM1554" s="1087">
        <f>AK1554+AL1554</f>
        <v>20266.670000001788</v>
      </c>
      <c r="AN1554" s="1135"/>
      <c r="AO1554" s="1135"/>
      <c r="AP1554" s="1135"/>
      <c r="AQ1554" s="1135"/>
      <c r="AR1554" s="1087">
        <v>20266.670000001788</v>
      </c>
      <c r="AS1554" s="206"/>
    </row>
    <row r="1555" spans="1:46" s="203" customFormat="1" ht="15" customHeight="1">
      <c r="A1555" s="1050"/>
      <c r="B1555" s="1137"/>
      <c r="C1555" s="1050"/>
      <c r="D1555" s="1050"/>
      <c r="E1555" s="1141"/>
      <c r="F1555" s="1141"/>
      <c r="G1555" s="1050"/>
      <c r="H1555" s="1050"/>
      <c r="I1555" s="1050"/>
      <c r="J1555" s="1050"/>
      <c r="K1555" s="1050"/>
      <c r="L1555" s="1050"/>
      <c r="M1555" s="1139"/>
      <c r="N1555" s="1057"/>
      <c r="O1555" s="1088"/>
      <c r="P1555" s="1088"/>
      <c r="Q1555" s="1088"/>
      <c r="R1555" s="1137"/>
      <c r="S1555" s="1107"/>
      <c r="T1555" s="1107"/>
      <c r="U1555" s="1107"/>
      <c r="V1555" s="1060"/>
      <c r="W1555" s="1107"/>
      <c r="X1555" s="1050"/>
      <c r="Y1555" s="400" t="s">
        <v>2214</v>
      </c>
      <c r="Z1555" s="388">
        <v>39514648.32</v>
      </c>
      <c r="AA1555" s="388">
        <v>-3723199</v>
      </c>
      <c r="AB1555" s="388">
        <f t="shared" si="96"/>
        <v>35791449.32</v>
      </c>
      <c r="AC1555" s="401">
        <v>42787</v>
      </c>
      <c r="AD1555" s="200">
        <v>35791449.32</v>
      </c>
      <c r="AE1555" s="201" t="s">
        <v>135</v>
      </c>
      <c r="AF1555" s="1060"/>
      <c r="AG1555" s="1060"/>
      <c r="AH1555" s="387">
        <f t="shared" si="97"/>
        <v>0</v>
      </c>
      <c r="AI1555" s="1060"/>
      <c r="AJ1555" s="1088"/>
      <c r="AK1555" s="1088"/>
      <c r="AL1555" s="1088"/>
      <c r="AM1555" s="1088"/>
      <c r="AN1555" s="1135"/>
      <c r="AO1555" s="1135"/>
      <c r="AP1555" s="1135"/>
      <c r="AQ1555" s="1135"/>
      <c r="AR1555" s="1088"/>
      <c r="AS1555" s="206"/>
    </row>
    <row r="1556" spans="1:46" s="203" customFormat="1" ht="15" customHeight="1">
      <c r="A1556" s="1050"/>
      <c r="B1556" s="1137"/>
      <c r="C1556" s="1050"/>
      <c r="D1556" s="1050"/>
      <c r="E1556" s="1141"/>
      <c r="F1556" s="1141"/>
      <c r="G1556" s="1050"/>
      <c r="H1556" s="1050"/>
      <c r="I1556" s="1050"/>
      <c r="J1556" s="1050"/>
      <c r="K1556" s="1050"/>
      <c r="L1556" s="1050"/>
      <c r="M1556" s="1139"/>
      <c r="N1556" s="1057"/>
      <c r="O1556" s="1088"/>
      <c r="P1556" s="1088"/>
      <c r="Q1556" s="1088"/>
      <c r="R1556" s="1137"/>
      <c r="S1556" s="1107"/>
      <c r="T1556" s="1107"/>
      <c r="U1556" s="1107"/>
      <c r="V1556" s="1060"/>
      <c r="W1556" s="1107"/>
      <c r="X1556" s="1050"/>
      <c r="Y1556" s="400" t="s">
        <v>2206</v>
      </c>
      <c r="Z1556" s="388">
        <v>20465085.010000002</v>
      </c>
      <c r="AA1556" s="388">
        <v>-2274774.33</v>
      </c>
      <c r="AB1556" s="388">
        <f t="shared" si="96"/>
        <v>18190310.68</v>
      </c>
      <c r="AC1556" s="401">
        <v>42998</v>
      </c>
      <c r="AD1556" s="200">
        <v>18190310.68</v>
      </c>
      <c r="AE1556" s="201" t="s">
        <v>135</v>
      </c>
      <c r="AF1556" s="1060"/>
      <c r="AG1556" s="1060"/>
      <c r="AH1556" s="387">
        <f t="shared" si="97"/>
        <v>0</v>
      </c>
      <c r="AI1556" s="1060"/>
      <c r="AJ1556" s="1088"/>
      <c r="AK1556" s="1088"/>
      <c r="AL1556" s="1088"/>
      <c r="AM1556" s="1088"/>
      <c r="AN1556" s="1135"/>
      <c r="AO1556" s="1135"/>
      <c r="AP1556" s="1135"/>
      <c r="AQ1556" s="1135"/>
      <c r="AR1556" s="1088"/>
      <c r="AS1556" s="206"/>
    </row>
    <row r="1557" spans="1:46" s="203" customFormat="1" ht="15" customHeight="1">
      <c r="A1557" s="1050"/>
      <c r="B1557" s="1137"/>
      <c r="C1557" s="1015" t="s">
        <v>9</v>
      </c>
      <c r="D1557" s="1050"/>
      <c r="E1557" s="1141"/>
      <c r="F1557" s="1141"/>
      <c r="G1557" s="1050"/>
      <c r="H1557" s="1050"/>
      <c r="I1557" s="1050"/>
      <c r="J1557" s="1050"/>
      <c r="K1557" s="1050"/>
      <c r="L1557" s="1050"/>
      <c r="M1557" s="1138">
        <v>18</v>
      </c>
      <c r="N1557" s="1056" t="s">
        <v>129</v>
      </c>
      <c r="O1557" s="1087">
        <v>60000000</v>
      </c>
      <c r="P1557" s="1087">
        <v>60000000</v>
      </c>
      <c r="Q1557" s="1088"/>
      <c r="R1557" s="1136">
        <v>42164</v>
      </c>
      <c r="S1557" s="1106">
        <f>T1557</f>
        <v>60000000</v>
      </c>
      <c r="T1557" s="1106">
        <v>60000000</v>
      </c>
      <c r="U1557" s="1106">
        <f>P1557-T1557</f>
        <v>0</v>
      </c>
      <c r="V1557" s="1106">
        <v>59979733.329999998</v>
      </c>
      <c r="W1557" s="1107"/>
      <c r="X1557" s="1050"/>
      <c r="Y1557" s="400" t="s">
        <v>2208</v>
      </c>
      <c r="Z1557" s="388">
        <v>0</v>
      </c>
      <c r="AA1557" s="388">
        <v>5997973.3300000001</v>
      </c>
      <c r="AB1557" s="388">
        <f t="shared" si="96"/>
        <v>5997973.3300000001</v>
      </c>
      <c r="AC1557" s="401">
        <v>42557</v>
      </c>
      <c r="AD1557" s="200">
        <v>5997973.3300000001</v>
      </c>
      <c r="AE1557" s="201" t="s">
        <v>129</v>
      </c>
      <c r="AF1557" s="1059">
        <f>SUM(AD1557:AD1559)</f>
        <v>59979733.329999998</v>
      </c>
      <c r="AG1557" s="1060"/>
      <c r="AH1557" s="387">
        <f t="shared" si="97"/>
        <v>0</v>
      </c>
      <c r="AI1557" s="1059">
        <f>P1557-AF1557</f>
        <v>20266.670000001788</v>
      </c>
      <c r="AJ1557" s="1088"/>
      <c r="AK1557" s="1087">
        <f>P1557-V1557</f>
        <v>20266.670000001788</v>
      </c>
      <c r="AL1557" s="1087">
        <f>V1557-SUM(Z1557:Z1559)</f>
        <v>0</v>
      </c>
      <c r="AM1557" s="1087">
        <f>AK1557+AL1557</f>
        <v>20266.670000001788</v>
      </c>
      <c r="AN1557" s="1135"/>
      <c r="AO1557" s="1135"/>
      <c r="AP1557" s="1135"/>
      <c r="AQ1557" s="1135"/>
      <c r="AR1557" s="1087">
        <v>20266.670000001788</v>
      </c>
      <c r="AS1557" s="206"/>
    </row>
    <row r="1558" spans="1:46" s="203" customFormat="1" ht="15" customHeight="1">
      <c r="A1558" s="1050"/>
      <c r="B1558" s="1137"/>
      <c r="C1558" s="1050"/>
      <c r="D1558" s="1050"/>
      <c r="E1558" s="1141"/>
      <c r="F1558" s="1141"/>
      <c r="G1558" s="1050"/>
      <c r="H1558" s="1050"/>
      <c r="I1558" s="1050"/>
      <c r="J1558" s="1050"/>
      <c r="K1558" s="1050"/>
      <c r="L1558" s="1050"/>
      <c r="M1558" s="1139"/>
      <c r="N1558" s="1057"/>
      <c r="O1558" s="1088"/>
      <c r="P1558" s="1088"/>
      <c r="Q1558" s="1088"/>
      <c r="R1558" s="1137"/>
      <c r="S1558" s="1107"/>
      <c r="T1558" s="1107"/>
      <c r="U1558" s="1107"/>
      <c r="V1558" s="1107"/>
      <c r="W1558" s="1107"/>
      <c r="X1558" s="1050"/>
      <c r="Y1558" s="400" t="s">
        <v>2213</v>
      </c>
      <c r="Z1558" s="388">
        <v>27962551.68</v>
      </c>
      <c r="AA1558" s="388">
        <v>-3723199</v>
      </c>
      <c r="AB1558" s="388">
        <f t="shared" si="96"/>
        <v>24239352.68</v>
      </c>
      <c r="AC1558" s="401">
        <v>42787</v>
      </c>
      <c r="AD1558" s="200">
        <v>24239352.68</v>
      </c>
      <c r="AE1558" s="201" t="s">
        <v>129</v>
      </c>
      <c r="AF1558" s="1060"/>
      <c r="AG1558" s="1060"/>
      <c r="AH1558" s="387">
        <f t="shared" si="97"/>
        <v>0</v>
      </c>
      <c r="AI1558" s="1060"/>
      <c r="AJ1558" s="1088"/>
      <c r="AK1558" s="1088"/>
      <c r="AL1558" s="1088"/>
      <c r="AM1558" s="1088"/>
      <c r="AN1558" s="1135"/>
      <c r="AO1558" s="1135"/>
      <c r="AP1558" s="1135"/>
      <c r="AQ1558" s="1135"/>
      <c r="AR1558" s="1088"/>
      <c r="AS1558" s="206"/>
    </row>
    <row r="1559" spans="1:46" s="203" customFormat="1" ht="15" customHeight="1">
      <c r="A1559" s="1050"/>
      <c r="B1559" s="1137"/>
      <c r="C1559" s="1050"/>
      <c r="D1559" s="1050"/>
      <c r="E1559" s="1141"/>
      <c r="F1559" s="1141"/>
      <c r="G1559" s="1050"/>
      <c r="H1559" s="1050"/>
      <c r="I1559" s="1050"/>
      <c r="J1559" s="1050"/>
      <c r="K1559" s="1050"/>
      <c r="L1559" s="1050"/>
      <c r="M1559" s="1139"/>
      <c r="N1559" s="1057"/>
      <c r="O1559" s="1088"/>
      <c r="P1559" s="1088"/>
      <c r="Q1559" s="1088"/>
      <c r="R1559" s="1137"/>
      <c r="S1559" s="1107"/>
      <c r="T1559" s="1107"/>
      <c r="U1559" s="1107"/>
      <c r="V1559" s="1107"/>
      <c r="W1559" s="1107"/>
      <c r="X1559" s="1050"/>
      <c r="Y1559" s="400" t="s">
        <v>2206</v>
      </c>
      <c r="Z1559" s="388">
        <v>32017181.649999999</v>
      </c>
      <c r="AA1559" s="388">
        <v>-2274774.33</v>
      </c>
      <c r="AB1559" s="388">
        <f t="shared" si="96"/>
        <v>29742407.32</v>
      </c>
      <c r="AC1559" s="401">
        <v>42998</v>
      </c>
      <c r="AD1559" s="200">
        <v>29742407.32</v>
      </c>
      <c r="AE1559" s="201" t="s">
        <v>129</v>
      </c>
      <c r="AF1559" s="1060"/>
      <c r="AG1559" s="1060"/>
      <c r="AH1559" s="387">
        <f t="shared" si="97"/>
        <v>0</v>
      </c>
      <c r="AI1559" s="1060"/>
      <c r="AJ1559" s="1088"/>
      <c r="AK1559" s="1088"/>
      <c r="AL1559" s="1088"/>
      <c r="AM1559" s="1088"/>
      <c r="AN1559" s="1135"/>
      <c r="AO1559" s="1135"/>
      <c r="AP1559" s="1135"/>
      <c r="AQ1559" s="1135"/>
      <c r="AR1559" s="1088"/>
      <c r="AS1559" s="206"/>
    </row>
    <row r="1560" spans="1:46" s="203" customFormat="1" ht="15" customHeight="1">
      <c r="A1560" s="1050"/>
      <c r="B1560" s="1137"/>
      <c r="C1560" s="1015" t="s">
        <v>43</v>
      </c>
      <c r="D1560" s="1050"/>
      <c r="E1560" s="1141"/>
      <c r="F1560" s="1141"/>
      <c r="G1560" s="1050"/>
      <c r="H1560" s="1050"/>
      <c r="I1560" s="1050"/>
      <c r="J1560" s="1050"/>
      <c r="K1560" s="1050"/>
      <c r="L1560" s="1050"/>
      <c r="M1560" s="1138">
        <v>10</v>
      </c>
      <c r="N1560" s="1056" t="s">
        <v>169</v>
      </c>
      <c r="O1560" s="1087">
        <v>60000000</v>
      </c>
      <c r="P1560" s="1087">
        <v>60000000</v>
      </c>
      <c r="Q1560" s="1088"/>
      <c r="R1560" s="1136">
        <v>42164</v>
      </c>
      <c r="S1560" s="1106">
        <f>T1560</f>
        <v>60000000</v>
      </c>
      <c r="T1560" s="1106">
        <v>60000000</v>
      </c>
      <c r="U1560" s="1106">
        <f>P1560-T1560</f>
        <v>0</v>
      </c>
      <c r="V1560" s="1059">
        <v>59979733.329999998</v>
      </c>
      <c r="W1560" s="1107"/>
      <c r="X1560" s="1050"/>
      <c r="Y1560" s="400" t="s">
        <v>2208</v>
      </c>
      <c r="Z1560" s="388">
        <v>0</v>
      </c>
      <c r="AA1560" s="388">
        <f>AD1560</f>
        <v>5997973.3300000001</v>
      </c>
      <c r="AB1560" s="388">
        <f t="shared" si="96"/>
        <v>5997973.3300000001</v>
      </c>
      <c r="AC1560" s="401">
        <v>42557</v>
      </c>
      <c r="AD1560" s="200">
        <v>5997973.3300000001</v>
      </c>
      <c r="AE1560" s="201" t="s">
        <v>169</v>
      </c>
      <c r="AF1560" s="1059">
        <f>SUM(AD1560:AD1562)</f>
        <v>59979733.329999998</v>
      </c>
      <c r="AG1560" s="1060"/>
      <c r="AH1560" s="387">
        <f t="shared" si="97"/>
        <v>0</v>
      </c>
      <c r="AI1560" s="1059">
        <f>P1560-AF1560</f>
        <v>20266.670000001788</v>
      </c>
      <c r="AJ1560" s="1088"/>
      <c r="AK1560" s="1087">
        <f>P1560-V1560</f>
        <v>20266.670000001788</v>
      </c>
      <c r="AL1560" s="1087">
        <f>V1560-SUM(Z1560:Z1562)</f>
        <v>0</v>
      </c>
      <c r="AM1560" s="1087">
        <f>AK1560+AL1560</f>
        <v>20266.670000001788</v>
      </c>
      <c r="AN1560" s="1135"/>
      <c r="AO1560" s="1135"/>
      <c r="AP1560" s="1135"/>
      <c r="AQ1560" s="1135"/>
      <c r="AR1560" s="1087">
        <v>20266.670000001788</v>
      </c>
      <c r="AS1560" s="360"/>
      <c r="AT1560" s="1087"/>
    </row>
    <row r="1561" spans="1:46" s="203" customFormat="1" ht="15" customHeight="1">
      <c r="A1561" s="1050"/>
      <c r="B1561" s="1137"/>
      <c r="C1561" s="1050"/>
      <c r="D1561" s="1050"/>
      <c r="E1561" s="1141"/>
      <c r="F1561" s="1141"/>
      <c r="G1561" s="1050"/>
      <c r="H1561" s="1050"/>
      <c r="I1561" s="1050"/>
      <c r="J1561" s="1050"/>
      <c r="K1561" s="1050"/>
      <c r="L1561" s="1050"/>
      <c r="M1561" s="1139"/>
      <c r="N1561" s="1057"/>
      <c r="O1561" s="1088"/>
      <c r="P1561" s="1088"/>
      <c r="Q1561" s="1088"/>
      <c r="R1561" s="1137"/>
      <c r="S1561" s="1107"/>
      <c r="T1561" s="1107"/>
      <c r="U1561" s="1107"/>
      <c r="V1561" s="1060"/>
      <c r="W1561" s="1107"/>
      <c r="X1561" s="1050"/>
      <c r="Y1561" s="400" t="s">
        <v>2212</v>
      </c>
      <c r="Z1561" s="388">
        <v>39514648.32</v>
      </c>
      <c r="AA1561" s="388">
        <v>-3723199</v>
      </c>
      <c r="AB1561" s="388">
        <f t="shared" si="96"/>
        <v>35791449.32</v>
      </c>
      <c r="AC1561" s="401">
        <v>42787</v>
      </c>
      <c r="AD1561" s="200">
        <v>35791449.32</v>
      </c>
      <c r="AE1561" s="201" t="s">
        <v>169</v>
      </c>
      <c r="AF1561" s="1060"/>
      <c r="AG1561" s="1060"/>
      <c r="AH1561" s="387">
        <f t="shared" si="97"/>
        <v>0</v>
      </c>
      <c r="AI1561" s="1060"/>
      <c r="AJ1561" s="1088"/>
      <c r="AK1561" s="1088"/>
      <c r="AL1561" s="1088"/>
      <c r="AM1561" s="1088"/>
      <c r="AN1561" s="1135"/>
      <c r="AO1561" s="1135"/>
      <c r="AP1561" s="1135"/>
      <c r="AQ1561" s="1135"/>
      <c r="AR1561" s="1088"/>
      <c r="AS1561" s="361"/>
      <c r="AT1561" s="1088"/>
    </row>
    <row r="1562" spans="1:46" s="203" customFormat="1" ht="15" customHeight="1">
      <c r="A1562" s="1050"/>
      <c r="B1562" s="1137"/>
      <c r="C1562" s="1050"/>
      <c r="D1562" s="1050"/>
      <c r="E1562" s="1141"/>
      <c r="F1562" s="1141"/>
      <c r="G1562" s="1050"/>
      <c r="H1562" s="1050"/>
      <c r="I1562" s="1050"/>
      <c r="J1562" s="1050"/>
      <c r="K1562" s="1050"/>
      <c r="L1562" s="1050"/>
      <c r="M1562" s="1139"/>
      <c r="N1562" s="1057"/>
      <c r="O1562" s="1088"/>
      <c r="P1562" s="1088"/>
      <c r="Q1562" s="1088"/>
      <c r="R1562" s="1137"/>
      <c r="S1562" s="1107"/>
      <c r="T1562" s="1107"/>
      <c r="U1562" s="1107"/>
      <c r="V1562" s="1060"/>
      <c r="W1562" s="1107"/>
      <c r="X1562" s="1050"/>
      <c r="Y1562" s="400" t="s">
        <v>2206</v>
      </c>
      <c r="Z1562" s="388">
        <v>20465085.010000002</v>
      </c>
      <c r="AA1562" s="388">
        <v>-2274774.33</v>
      </c>
      <c r="AB1562" s="388">
        <f t="shared" si="96"/>
        <v>18190310.68</v>
      </c>
      <c r="AC1562" s="401">
        <v>42998</v>
      </c>
      <c r="AD1562" s="200">
        <v>18190310.68</v>
      </c>
      <c r="AE1562" s="201" t="s">
        <v>169</v>
      </c>
      <c r="AF1562" s="1060"/>
      <c r="AG1562" s="1060"/>
      <c r="AH1562" s="387">
        <f t="shared" si="97"/>
        <v>0</v>
      </c>
      <c r="AI1562" s="1060"/>
      <c r="AJ1562" s="1088"/>
      <c r="AK1562" s="1088"/>
      <c r="AL1562" s="1088"/>
      <c r="AM1562" s="1088"/>
      <c r="AN1562" s="1135"/>
      <c r="AO1562" s="1135"/>
      <c r="AP1562" s="1135"/>
      <c r="AQ1562" s="1135"/>
      <c r="AR1562" s="1088"/>
      <c r="AS1562" s="361"/>
      <c r="AT1562" s="1088"/>
    </row>
    <row r="1563" spans="1:46" s="203" customFormat="1" ht="15" customHeight="1">
      <c r="A1563" s="1050"/>
      <c r="B1563" s="1137"/>
      <c r="C1563" s="1015" t="s">
        <v>22</v>
      </c>
      <c r="D1563" s="1050"/>
      <c r="E1563" s="1141"/>
      <c r="F1563" s="1141"/>
      <c r="G1563" s="1050"/>
      <c r="H1563" s="1050"/>
      <c r="I1563" s="1050"/>
      <c r="J1563" s="1050"/>
      <c r="K1563" s="1050"/>
      <c r="L1563" s="1050"/>
      <c r="M1563" s="1138">
        <v>9</v>
      </c>
      <c r="N1563" s="1056" t="s">
        <v>145</v>
      </c>
      <c r="O1563" s="1087">
        <v>60000000</v>
      </c>
      <c r="P1563" s="1087">
        <v>60000000</v>
      </c>
      <c r="Q1563" s="1088"/>
      <c r="R1563" s="1136">
        <v>42164</v>
      </c>
      <c r="S1563" s="1106">
        <f>T1563</f>
        <v>60000000</v>
      </c>
      <c r="T1563" s="1106">
        <v>60000000</v>
      </c>
      <c r="U1563" s="1106">
        <f>P1563-T1563</f>
        <v>0</v>
      </c>
      <c r="V1563" s="1106">
        <v>59979733.329999998</v>
      </c>
      <c r="W1563" s="1107"/>
      <c r="X1563" s="1050"/>
      <c r="Y1563" s="400" t="s">
        <v>2208</v>
      </c>
      <c r="Z1563" s="388">
        <v>0</v>
      </c>
      <c r="AA1563" s="388">
        <f>AD1563</f>
        <v>5997973.3300000001</v>
      </c>
      <c r="AB1563" s="388">
        <f t="shared" si="96"/>
        <v>5997973.3300000001</v>
      </c>
      <c r="AC1563" s="401">
        <v>42557</v>
      </c>
      <c r="AD1563" s="200">
        <v>5997973.3300000001</v>
      </c>
      <c r="AE1563" s="201" t="s">
        <v>145</v>
      </c>
      <c r="AF1563" s="1059">
        <f>SUM(AD1563:AD1565)</f>
        <v>59979733.329999998</v>
      </c>
      <c r="AG1563" s="1060"/>
      <c r="AH1563" s="387">
        <f t="shared" si="97"/>
        <v>0</v>
      </c>
      <c r="AI1563" s="1059">
        <f>P1563-AF1563</f>
        <v>20266.670000001788</v>
      </c>
      <c r="AJ1563" s="1088"/>
      <c r="AK1563" s="1087">
        <f>P1563-V1563</f>
        <v>20266.670000001788</v>
      </c>
      <c r="AL1563" s="1087">
        <f>V1563-SUM(Z1563:Z1565)</f>
        <v>0</v>
      </c>
      <c r="AM1563" s="1087">
        <f>AK1563+AL1563</f>
        <v>20266.670000001788</v>
      </c>
      <c r="AN1563" s="1135"/>
      <c r="AO1563" s="1135"/>
      <c r="AP1563" s="1135"/>
      <c r="AQ1563" s="1135"/>
      <c r="AR1563" s="1087">
        <v>20266.670000001788</v>
      </c>
      <c r="AS1563" s="206"/>
    </row>
    <row r="1564" spans="1:46" s="203" customFormat="1" ht="15" customHeight="1">
      <c r="A1564" s="1050"/>
      <c r="B1564" s="1137"/>
      <c r="C1564" s="1050"/>
      <c r="D1564" s="1050"/>
      <c r="E1564" s="1141"/>
      <c r="F1564" s="1141"/>
      <c r="G1564" s="1050"/>
      <c r="H1564" s="1050"/>
      <c r="I1564" s="1050"/>
      <c r="J1564" s="1050"/>
      <c r="K1564" s="1050"/>
      <c r="L1564" s="1050"/>
      <c r="M1564" s="1139"/>
      <c r="N1564" s="1057"/>
      <c r="O1564" s="1088"/>
      <c r="P1564" s="1088"/>
      <c r="Q1564" s="1088"/>
      <c r="R1564" s="1137"/>
      <c r="S1564" s="1107"/>
      <c r="T1564" s="1107"/>
      <c r="U1564" s="1107"/>
      <c r="V1564" s="1107"/>
      <c r="W1564" s="1107"/>
      <c r="X1564" s="1050"/>
      <c r="Y1564" s="400" t="s">
        <v>2211</v>
      </c>
      <c r="Z1564" s="388">
        <v>39514648.32</v>
      </c>
      <c r="AA1564" s="388">
        <v>-3723199</v>
      </c>
      <c r="AB1564" s="388">
        <f t="shared" si="96"/>
        <v>35791449.32</v>
      </c>
      <c r="AC1564" s="401">
        <v>42787</v>
      </c>
      <c r="AD1564" s="200">
        <v>35791449.32</v>
      </c>
      <c r="AE1564" s="201" t="s">
        <v>145</v>
      </c>
      <c r="AF1564" s="1060"/>
      <c r="AG1564" s="1060"/>
      <c r="AH1564" s="387">
        <f t="shared" si="97"/>
        <v>0</v>
      </c>
      <c r="AI1564" s="1060"/>
      <c r="AJ1564" s="1088"/>
      <c r="AK1564" s="1088"/>
      <c r="AL1564" s="1088"/>
      <c r="AM1564" s="1088"/>
      <c r="AN1564" s="1135"/>
      <c r="AO1564" s="1135"/>
      <c r="AP1564" s="1135"/>
      <c r="AQ1564" s="1135"/>
      <c r="AR1564" s="1088"/>
      <c r="AS1564" s="206"/>
    </row>
    <row r="1565" spans="1:46" s="203" customFormat="1" ht="15" customHeight="1">
      <c r="A1565" s="1050"/>
      <c r="B1565" s="1137"/>
      <c r="C1565" s="1050"/>
      <c r="D1565" s="1050"/>
      <c r="E1565" s="1141"/>
      <c r="F1565" s="1141"/>
      <c r="G1565" s="1050"/>
      <c r="H1565" s="1050"/>
      <c r="I1565" s="1050"/>
      <c r="J1565" s="1050"/>
      <c r="K1565" s="1050"/>
      <c r="L1565" s="1050"/>
      <c r="M1565" s="1139"/>
      <c r="N1565" s="1057"/>
      <c r="O1565" s="1088"/>
      <c r="P1565" s="1088"/>
      <c r="Q1565" s="1088"/>
      <c r="R1565" s="1137"/>
      <c r="S1565" s="1107"/>
      <c r="T1565" s="1107"/>
      <c r="U1565" s="1107"/>
      <c r="V1565" s="1107"/>
      <c r="W1565" s="1107"/>
      <c r="X1565" s="1050"/>
      <c r="Y1565" s="400" t="s">
        <v>2206</v>
      </c>
      <c r="Z1565" s="388">
        <v>20465085.010000002</v>
      </c>
      <c r="AA1565" s="388">
        <v>-2274774.33</v>
      </c>
      <c r="AB1565" s="388">
        <f t="shared" si="96"/>
        <v>18190310.68</v>
      </c>
      <c r="AC1565" s="401">
        <v>42998</v>
      </c>
      <c r="AD1565" s="200">
        <v>18190310.68</v>
      </c>
      <c r="AE1565" s="201" t="s">
        <v>145</v>
      </c>
      <c r="AF1565" s="1060"/>
      <c r="AG1565" s="1060"/>
      <c r="AH1565" s="387">
        <f t="shared" si="97"/>
        <v>0</v>
      </c>
      <c r="AI1565" s="1060"/>
      <c r="AJ1565" s="1088"/>
      <c r="AK1565" s="1088"/>
      <c r="AL1565" s="1088"/>
      <c r="AM1565" s="1088"/>
      <c r="AN1565" s="1135"/>
      <c r="AO1565" s="1135"/>
      <c r="AP1565" s="1135"/>
      <c r="AQ1565" s="1135"/>
      <c r="AR1565" s="1088"/>
      <c r="AS1565" s="206"/>
    </row>
    <row r="1566" spans="1:46" s="203" customFormat="1" ht="15" customHeight="1">
      <c r="A1566" s="1050"/>
      <c r="B1566" s="1137"/>
      <c r="C1566" s="1015" t="s">
        <v>19</v>
      </c>
      <c r="D1566" s="1050"/>
      <c r="E1566" s="1141"/>
      <c r="F1566" s="1141"/>
      <c r="G1566" s="1050"/>
      <c r="H1566" s="1050"/>
      <c r="I1566" s="1050"/>
      <c r="J1566" s="1050"/>
      <c r="K1566" s="1050"/>
      <c r="L1566" s="1050"/>
      <c r="M1566" s="1138">
        <v>8</v>
      </c>
      <c r="N1566" s="1056" t="s">
        <v>142</v>
      </c>
      <c r="O1566" s="1087">
        <v>60000000</v>
      </c>
      <c r="P1566" s="1087">
        <v>60000000</v>
      </c>
      <c r="Q1566" s="1088"/>
      <c r="R1566" s="1136">
        <v>42164</v>
      </c>
      <c r="S1566" s="1106">
        <f>T1566</f>
        <v>60000000</v>
      </c>
      <c r="T1566" s="1106">
        <v>60000000</v>
      </c>
      <c r="U1566" s="1106">
        <f>P1566-T1566</f>
        <v>0</v>
      </c>
      <c r="V1566" s="1106">
        <v>59979733.329999998</v>
      </c>
      <c r="W1566" s="1107"/>
      <c r="X1566" s="1050"/>
      <c r="Y1566" s="400" t="s">
        <v>2208</v>
      </c>
      <c r="Z1566" s="388">
        <v>0</v>
      </c>
      <c r="AA1566" s="388">
        <v>5997973.3300000001</v>
      </c>
      <c r="AB1566" s="388">
        <f t="shared" si="96"/>
        <v>5997973.3300000001</v>
      </c>
      <c r="AC1566" s="401">
        <v>42557</v>
      </c>
      <c r="AD1566" s="200">
        <v>5997973.3300000001</v>
      </c>
      <c r="AE1566" s="201" t="s">
        <v>142</v>
      </c>
      <c r="AF1566" s="1059">
        <f>SUM(AD1566:AD1568)</f>
        <v>59979733.329999998</v>
      </c>
      <c r="AG1566" s="1060"/>
      <c r="AH1566" s="387">
        <f t="shared" si="97"/>
        <v>0</v>
      </c>
      <c r="AI1566" s="1059">
        <f>P1566-AF1566</f>
        <v>20266.670000001788</v>
      </c>
      <c r="AJ1566" s="1088"/>
      <c r="AK1566" s="1087">
        <f>P1569-V1569</f>
        <v>20266.670000001788</v>
      </c>
      <c r="AL1566" s="1087">
        <f>V1566-SUM(Z1566:Z1568)</f>
        <v>0</v>
      </c>
      <c r="AM1566" s="1087">
        <f>AK1566+AL1566</f>
        <v>20266.670000001788</v>
      </c>
      <c r="AN1566" s="1135"/>
      <c r="AO1566" s="1135"/>
      <c r="AP1566" s="1135"/>
      <c r="AQ1566" s="1135"/>
      <c r="AR1566" s="1087">
        <v>20266.670000001788</v>
      </c>
      <c r="AS1566" s="206"/>
    </row>
    <row r="1567" spans="1:46" s="203" customFormat="1" ht="15" customHeight="1">
      <c r="A1567" s="1050"/>
      <c r="B1567" s="1137"/>
      <c r="C1567" s="1050"/>
      <c r="D1567" s="1050"/>
      <c r="E1567" s="1141"/>
      <c r="F1567" s="1141"/>
      <c r="G1567" s="1050"/>
      <c r="H1567" s="1050"/>
      <c r="I1567" s="1050"/>
      <c r="J1567" s="1050"/>
      <c r="K1567" s="1050"/>
      <c r="L1567" s="1050"/>
      <c r="M1567" s="1139"/>
      <c r="N1567" s="1057"/>
      <c r="O1567" s="1088"/>
      <c r="P1567" s="1088"/>
      <c r="Q1567" s="1088"/>
      <c r="R1567" s="1137"/>
      <c r="S1567" s="1107"/>
      <c r="T1567" s="1107"/>
      <c r="U1567" s="1107"/>
      <c r="V1567" s="1107"/>
      <c r="W1567" s="1107"/>
      <c r="X1567" s="1050"/>
      <c r="Y1567" s="400" t="s">
        <v>2210</v>
      </c>
      <c r="Z1567" s="388">
        <v>27962551.68</v>
      </c>
      <c r="AA1567" s="388">
        <v>-3723199</v>
      </c>
      <c r="AB1567" s="388">
        <f t="shared" si="96"/>
        <v>24239352.68</v>
      </c>
      <c r="AC1567" s="401">
        <v>42787</v>
      </c>
      <c r="AD1567" s="200">
        <v>24239352.68</v>
      </c>
      <c r="AE1567" s="201" t="s">
        <v>142</v>
      </c>
      <c r="AF1567" s="1060"/>
      <c r="AG1567" s="1060"/>
      <c r="AH1567" s="387">
        <f t="shared" si="97"/>
        <v>0</v>
      </c>
      <c r="AI1567" s="1060"/>
      <c r="AJ1567" s="1088"/>
      <c r="AK1567" s="1088"/>
      <c r="AL1567" s="1088"/>
      <c r="AM1567" s="1088"/>
      <c r="AN1567" s="1135"/>
      <c r="AO1567" s="1135"/>
      <c r="AP1567" s="1135"/>
      <c r="AQ1567" s="1135"/>
      <c r="AR1567" s="1088"/>
      <c r="AS1567" s="206"/>
    </row>
    <row r="1568" spans="1:46" s="203" customFormat="1" ht="15" customHeight="1">
      <c r="A1568" s="1050"/>
      <c r="B1568" s="1137"/>
      <c r="C1568" s="1050"/>
      <c r="D1568" s="1050"/>
      <c r="E1568" s="1141"/>
      <c r="F1568" s="1141"/>
      <c r="G1568" s="1050"/>
      <c r="H1568" s="1050"/>
      <c r="I1568" s="1050"/>
      <c r="J1568" s="1050"/>
      <c r="K1568" s="1050"/>
      <c r="L1568" s="1050"/>
      <c r="M1568" s="1139"/>
      <c r="N1568" s="1057"/>
      <c r="O1568" s="1088"/>
      <c r="P1568" s="1088"/>
      <c r="Q1568" s="1088"/>
      <c r="R1568" s="1137"/>
      <c r="S1568" s="1107"/>
      <c r="T1568" s="1107"/>
      <c r="U1568" s="1107"/>
      <c r="V1568" s="1107"/>
      <c r="W1568" s="1107"/>
      <c r="X1568" s="1050"/>
      <c r="Y1568" s="400" t="s">
        <v>2206</v>
      </c>
      <c r="Z1568" s="388">
        <v>32017181.649999999</v>
      </c>
      <c r="AA1568" s="388">
        <v>-2274774.33</v>
      </c>
      <c r="AB1568" s="388">
        <f t="shared" si="96"/>
        <v>29742407.32</v>
      </c>
      <c r="AC1568" s="401">
        <v>42998</v>
      </c>
      <c r="AD1568" s="200">
        <v>29742407.32</v>
      </c>
      <c r="AE1568" s="201" t="s">
        <v>142</v>
      </c>
      <c r="AF1568" s="1060"/>
      <c r="AG1568" s="1060"/>
      <c r="AH1568" s="387">
        <f t="shared" si="97"/>
        <v>0</v>
      </c>
      <c r="AI1568" s="1060"/>
      <c r="AJ1568" s="1088"/>
      <c r="AK1568" s="1088"/>
      <c r="AL1568" s="1088"/>
      <c r="AM1568" s="1088"/>
      <c r="AN1568" s="1135"/>
      <c r="AO1568" s="1135"/>
      <c r="AP1568" s="1135"/>
      <c r="AQ1568" s="1135"/>
      <c r="AR1568" s="1088"/>
      <c r="AS1568" s="206"/>
    </row>
    <row r="1569" spans="1:46" s="203" customFormat="1" ht="15" customHeight="1">
      <c r="A1569" s="1050"/>
      <c r="B1569" s="1137"/>
      <c r="C1569" s="1015" t="s">
        <v>47</v>
      </c>
      <c r="D1569" s="1050"/>
      <c r="E1569" s="1141"/>
      <c r="F1569" s="1141"/>
      <c r="G1569" s="1050"/>
      <c r="H1569" s="1050"/>
      <c r="I1569" s="1050"/>
      <c r="J1569" s="1050"/>
      <c r="K1569" s="1050"/>
      <c r="L1569" s="1050"/>
      <c r="M1569" s="1138">
        <v>7</v>
      </c>
      <c r="N1569" s="1056" t="s">
        <v>163</v>
      </c>
      <c r="O1569" s="1087">
        <v>60000000</v>
      </c>
      <c r="P1569" s="1087">
        <v>60000000</v>
      </c>
      <c r="Q1569" s="1088"/>
      <c r="R1569" s="1136">
        <v>42164</v>
      </c>
      <c r="S1569" s="1106">
        <f>T1569</f>
        <v>60000000</v>
      </c>
      <c r="T1569" s="1106">
        <v>60000000</v>
      </c>
      <c r="U1569" s="1106">
        <f>P1569-T1569</f>
        <v>0</v>
      </c>
      <c r="V1569" s="1106">
        <v>59979733.329999998</v>
      </c>
      <c r="W1569" s="1107"/>
      <c r="X1569" s="1050"/>
      <c r="Y1569" s="400" t="s">
        <v>2208</v>
      </c>
      <c r="Z1569" s="388">
        <v>0</v>
      </c>
      <c r="AA1569" s="388">
        <f>AD1569</f>
        <v>5997973.3300000001</v>
      </c>
      <c r="AB1569" s="388">
        <f t="shared" si="96"/>
        <v>5997973.3300000001</v>
      </c>
      <c r="AC1569" s="401">
        <v>42557</v>
      </c>
      <c r="AD1569" s="200">
        <v>5997973.3300000001</v>
      </c>
      <c r="AE1569" s="201" t="s">
        <v>163</v>
      </c>
      <c r="AF1569" s="1059">
        <f>SUM(AD1569:AD1571)</f>
        <v>59979733.329999998</v>
      </c>
      <c r="AG1569" s="1060"/>
      <c r="AH1569" s="387">
        <f t="shared" si="97"/>
        <v>0</v>
      </c>
      <c r="AI1569" s="1059">
        <f>P1569-AF1569</f>
        <v>20266.670000001788</v>
      </c>
      <c r="AJ1569" s="1088"/>
      <c r="AK1569" s="1087">
        <f>P1569-V1569</f>
        <v>20266.670000001788</v>
      </c>
      <c r="AL1569" s="1087">
        <f>V1569-SUM(Z1569:Z1571)</f>
        <v>0</v>
      </c>
      <c r="AM1569" s="1087">
        <f>AK1569+AL1569</f>
        <v>20266.670000001788</v>
      </c>
      <c r="AN1569" s="1135"/>
      <c r="AO1569" s="1135"/>
      <c r="AP1569" s="1135"/>
      <c r="AQ1569" s="1135"/>
      <c r="AR1569" s="1087">
        <v>20266.670000001788</v>
      </c>
      <c r="AS1569" s="206"/>
    </row>
    <row r="1570" spans="1:46" s="203" customFormat="1" ht="15" customHeight="1">
      <c r="A1570" s="1050"/>
      <c r="B1570" s="1137"/>
      <c r="C1570" s="1050"/>
      <c r="D1570" s="1050"/>
      <c r="E1570" s="1141"/>
      <c r="F1570" s="1141"/>
      <c r="G1570" s="1050"/>
      <c r="H1570" s="1050"/>
      <c r="I1570" s="1050"/>
      <c r="J1570" s="1050"/>
      <c r="K1570" s="1050"/>
      <c r="L1570" s="1050"/>
      <c r="M1570" s="1139"/>
      <c r="N1570" s="1057"/>
      <c r="O1570" s="1088"/>
      <c r="P1570" s="1088"/>
      <c r="Q1570" s="1088"/>
      <c r="R1570" s="1137"/>
      <c r="S1570" s="1107"/>
      <c r="T1570" s="1107"/>
      <c r="U1570" s="1107"/>
      <c r="V1570" s="1107"/>
      <c r="W1570" s="1107"/>
      <c r="X1570" s="1050"/>
      <c r="Y1570" s="400" t="s">
        <v>2209</v>
      </c>
      <c r="Z1570" s="388">
        <v>39514648.32</v>
      </c>
      <c r="AA1570" s="388">
        <v>-3723199</v>
      </c>
      <c r="AB1570" s="388">
        <f t="shared" si="96"/>
        <v>35791449.32</v>
      </c>
      <c r="AC1570" s="401">
        <v>42787</v>
      </c>
      <c r="AD1570" s="200">
        <v>35791449.32</v>
      </c>
      <c r="AE1570" s="201" t="s">
        <v>163</v>
      </c>
      <c r="AF1570" s="1060"/>
      <c r="AG1570" s="1060"/>
      <c r="AH1570" s="387">
        <f t="shared" si="97"/>
        <v>0</v>
      </c>
      <c r="AI1570" s="1060"/>
      <c r="AJ1570" s="1088"/>
      <c r="AK1570" s="1088"/>
      <c r="AL1570" s="1088"/>
      <c r="AM1570" s="1088"/>
      <c r="AN1570" s="1135"/>
      <c r="AO1570" s="1135"/>
      <c r="AP1570" s="1135"/>
      <c r="AQ1570" s="1135"/>
      <c r="AR1570" s="1088"/>
      <c r="AS1570" s="206"/>
    </row>
    <row r="1571" spans="1:46" s="203" customFormat="1" ht="15" customHeight="1">
      <c r="A1571" s="1050"/>
      <c r="B1571" s="1137"/>
      <c r="C1571" s="1050"/>
      <c r="D1571" s="1050"/>
      <c r="E1571" s="1141"/>
      <c r="F1571" s="1141"/>
      <c r="G1571" s="1050"/>
      <c r="H1571" s="1050"/>
      <c r="I1571" s="1050"/>
      <c r="J1571" s="1050"/>
      <c r="K1571" s="1050"/>
      <c r="L1571" s="1050"/>
      <c r="M1571" s="1139"/>
      <c r="N1571" s="1057"/>
      <c r="O1571" s="1088"/>
      <c r="P1571" s="1088"/>
      <c r="Q1571" s="1088"/>
      <c r="R1571" s="1137"/>
      <c r="S1571" s="1107"/>
      <c r="T1571" s="1107"/>
      <c r="U1571" s="1107"/>
      <c r="V1571" s="1107"/>
      <c r="W1571" s="1107"/>
      <c r="X1571" s="1050"/>
      <c r="Y1571" s="400" t="s">
        <v>2206</v>
      </c>
      <c r="Z1571" s="388">
        <v>20465085.010000002</v>
      </c>
      <c r="AA1571" s="388">
        <v>-2274774.33</v>
      </c>
      <c r="AB1571" s="388">
        <f t="shared" si="96"/>
        <v>18190310.68</v>
      </c>
      <c r="AC1571" s="401">
        <v>42998</v>
      </c>
      <c r="AD1571" s="200">
        <v>18190310.68</v>
      </c>
      <c r="AE1571" s="201" t="s">
        <v>163</v>
      </c>
      <c r="AF1571" s="1060"/>
      <c r="AG1571" s="1060"/>
      <c r="AH1571" s="387">
        <f t="shared" si="97"/>
        <v>0</v>
      </c>
      <c r="AI1571" s="1060"/>
      <c r="AJ1571" s="1088"/>
      <c r="AK1571" s="1088"/>
      <c r="AL1571" s="1088"/>
      <c r="AM1571" s="1088"/>
      <c r="AN1571" s="1135"/>
      <c r="AO1571" s="1135"/>
      <c r="AP1571" s="1135"/>
      <c r="AQ1571" s="1135"/>
      <c r="AR1571" s="1088"/>
      <c r="AS1571" s="206"/>
    </row>
    <row r="1572" spans="1:46" s="203" customFormat="1" ht="15" customHeight="1">
      <c r="A1572" s="1050"/>
      <c r="B1572" s="1137"/>
      <c r="C1572" s="1015" t="s">
        <v>44</v>
      </c>
      <c r="D1572" s="1050"/>
      <c r="E1572" s="1141"/>
      <c r="F1572" s="1141"/>
      <c r="G1572" s="1050"/>
      <c r="H1572" s="1050"/>
      <c r="I1572" s="1050"/>
      <c r="J1572" s="1050"/>
      <c r="K1572" s="1050"/>
      <c r="L1572" s="1050"/>
      <c r="M1572" s="1138">
        <v>7</v>
      </c>
      <c r="N1572" s="1056" t="s">
        <v>141</v>
      </c>
      <c r="O1572" s="1087">
        <v>60000000</v>
      </c>
      <c r="P1572" s="1087">
        <v>60000000</v>
      </c>
      <c r="Q1572" s="1088"/>
      <c r="R1572" s="1136">
        <v>42171</v>
      </c>
      <c r="S1572" s="1106">
        <f>T1572</f>
        <v>60000000</v>
      </c>
      <c r="T1572" s="1106">
        <v>60000000</v>
      </c>
      <c r="U1572" s="1106">
        <f>P1572-T1572</f>
        <v>0</v>
      </c>
      <c r="V1572" s="1106">
        <v>59979733.329999998</v>
      </c>
      <c r="W1572" s="1107"/>
      <c r="X1572" s="1050"/>
      <c r="Y1572" s="400" t="s">
        <v>2208</v>
      </c>
      <c r="Z1572" s="388">
        <v>0</v>
      </c>
      <c r="AA1572" s="388">
        <f>AD1572</f>
        <v>5997973.3300000001</v>
      </c>
      <c r="AB1572" s="388">
        <f t="shared" si="96"/>
        <v>5997973.3300000001</v>
      </c>
      <c r="AC1572" s="401">
        <v>42557</v>
      </c>
      <c r="AD1572" s="200">
        <v>5997973.3300000001</v>
      </c>
      <c r="AE1572" s="201" t="s">
        <v>141</v>
      </c>
      <c r="AF1572" s="1059">
        <f>SUM(AD1572:AD1574)</f>
        <v>59979733.329999998</v>
      </c>
      <c r="AG1572" s="1060"/>
      <c r="AH1572" s="387">
        <f t="shared" si="97"/>
        <v>0</v>
      </c>
      <c r="AI1572" s="1059">
        <f>P1572-AF1572</f>
        <v>20266.670000001788</v>
      </c>
      <c r="AJ1572" s="1088"/>
      <c r="AK1572" s="1087">
        <f>P1572-V1572</f>
        <v>20266.670000001788</v>
      </c>
      <c r="AL1572" s="1087">
        <f>V1572-SUM(Z1572:Z1574)</f>
        <v>0</v>
      </c>
      <c r="AM1572" s="1087">
        <f>AK1572+AL1572</f>
        <v>20266.670000001788</v>
      </c>
      <c r="AN1572" s="1135"/>
      <c r="AO1572" s="1135"/>
      <c r="AP1572" s="1135"/>
      <c r="AQ1572" s="1135"/>
      <c r="AR1572" s="1087">
        <v>20266.670000001788</v>
      </c>
      <c r="AS1572" s="206"/>
    </row>
    <row r="1573" spans="1:46" s="203" customFormat="1" ht="15" customHeight="1">
      <c r="A1573" s="1050"/>
      <c r="B1573" s="1137"/>
      <c r="C1573" s="1050"/>
      <c r="D1573" s="1050"/>
      <c r="E1573" s="1141"/>
      <c r="F1573" s="1141"/>
      <c r="G1573" s="1050"/>
      <c r="H1573" s="1050"/>
      <c r="I1573" s="1050"/>
      <c r="J1573" s="1050"/>
      <c r="K1573" s="1050"/>
      <c r="L1573" s="1050"/>
      <c r="M1573" s="1139"/>
      <c r="N1573" s="1057"/>
      <c r="O1573" s="1088"/>
      <c r="P1573" s="1088"/>
      <c r="Q1573" s="1088"/>
      <c r="R1573" s="1137"/>
      <c r="S1573" s="1107"/>
      <c r="T1573" s="1107"/>
      <c r="U1573" s="1107"/>
      <c r="V1573" s="1107"/>
      <c r="W1573" s="1107"/>
      <c r="X1573" s="1050"/>
      <c r="Y1573" s="400" t="s">
        <v>2207</v>
      </c>
      <c r="Z1573" s="388">
        <v>39514648.32</v>
      </c>
      <c r="AA1573" s="388">
        <v>-3723199</v>
      </c>
      <c r="AB1573" s="388">
        <f t="shared" si="96"/>
        <v>35791449.32</v>
      </c>
      <c r="AC1573" s="401">
        <v>42787</v>
      </c>
      <c r="AD1573" s="200">
        <v>35791449.32</v>
      </c>
      <c r="AE1573" s="201" t="s">
        <v>141</v>
      </c>
      <c r="AF1573" s="1060"/>
      <c r="AG1573" s="1060"/>
      <c r="AH1573" s="387">
        <f t="shared" si="97"/>
        <v>0</v>
      </c>
      <c r="AI1573" s="1060"/>
      <c r="AJ1573" s="1088"/>
      <c r="AK1573" s="1088"/>
      <c r="AL1573" s="1088"/>
      <c r="AM1573" s="1088"/>
      <c r="AN1573" s="1135"/>
      <c r="AO1573" s="1135"/>
      <c r="AP1573" s="1135"/>
      <c r="AQ1573" s="1135"/>
      <c r="AR1573" s="1088"/>
      <c r="AS1573" s="206"/>
    </row>
    <row r="1574" spans="1:46" s="203" customFormat="1" ht="15" customHeight="1">
      <c r="A1574" s="1050"/>
      <c r="B1574" s="1137"/>
      <c r="C1574" s="1050"/>
      <c r="D1574" s="1050"/>
      <c r="E1574" s="1141"/>
      <c r="F1574" s="1141"/>
      <c r="G1574" s="1050"/>
      <c r="H1574" s="1050"/>
      <c r="I1574" s="1050"/>
      <c r="J1574" s="1050"/>
      <c r="K1574" s="1050"/>
      <c r="L1574" s="1050"/>
      <c r="M1574" s="1139"/>
      <c r="N1574" s="1057"/>
      <c r="O1574" s="1088"/>
      <c r="P1574" s="1088"/>
      <c r="Q1574" s="1088"/>
      <c r="R1574" s="1137"/>
      <c r="S1574" s="1107"/>
      <c r="T1574" s="1107"/>
      <c r="U1574" s="1107"/>
      <c r="V1574" s="1107"/>
      <c r="W1574" s="1107"/>
      <c r="X1574" s="1050"/>
      <c r="Y1574" s="400" t="s">
        <v>2206</v>
      </c>
      <c r="Z1574" s="388">
        <v>20465085.010000002</v>
      </c>
      <c r="AA1574" s="388">
        <v>-2274774.33</v>
      </c>
      <c r="AB1574" s="388">
        <f t="shared" si="96"/>
        <v>18190310.68</v>
      </c>
      <c r="AC1574" s="401">
        <v>42998</v>
      </c>
      <c r="AD1574" s="200">
        <v>18190310.68</v>
      </c>
      <c r="AE1574" s="201" t="s">
        <v>141</v>
      </c>
      <c r="AF1574" s="1060"/>
      <c r="AG1574" s="1061"/>
      <c r="AH1574" s="387">
        <f t="shared" si="97"/>
        <v>0</v>
      </c>
      <c r="AI1574" s="1060"/>
      <c r="AJ1574" s="1088"/>
      <c r="AK1574" s="1088"/>
      <c r="AL1574" s="1088"/>
      <c r="AM1574" s="1088"/>
      <c r="AN1574" s="1135"/>
      <c r="AO1574" s="1135"/>
      <c r="AP1574" s="1135"/>
      <c r="AQ1574" s="1135"/>
      <c r="AR1574" s="1088"/>
      <c r="AS1574" s="206"/>
    </row>
    <row r="1575" spans="1:46" s="4" customFormat="1" ht="15" customHeight="1">
      <c r="A1575" s="354" t="s">
        <v>2102</v>
      </c>
      <c r="B1575" s="384">
        <v>42425</v>
      </c>
      <c r="C1575" s="354" t="s">
        <v>35</v>
      </c>
      <c r="D1575" s="354" t="s">
        <v>2101</v>
      </c>
      <c r="E1575" s="406">
        <v>34545066</v>
      </c>
      <c r="F1575" s="406">
        <v>9</v>
      </c>
      <c r="G1575" s="354" t="s">
        <v>2100</v>
      </c>
      <c r="H1575" s="354" t="s">
        <v>71</v>
      </c>
      <c r="I1575" s="354" t="s">
        <v>70</v>
      </c>
      <c r="J1575" s="354" t="s">
        <v>66</v>
      </c>
      <c r="K1575" s="354" t="s">
        <v>183</v>
      </c>
      <c r="L1575" s="354" t="s">
        <v>2099</v>
      </c>
      <c r="M1575" s="389">
        <v>5</v>
      </c>
      <c r="N1575" s="367" t="s">
        <v>160</v>
      </c>
      <c r="O1575" s="403">
        <v>13430631</v>
      </c>
      <c r="P1575" s="403">
        <f>O1575</f>
        <v>13430631</v>
      </c>
      <c r="Q1575" s="403">
        <f>O1575</f>
        <v>13430631</v>
      </c>
      <c r="R1575" s="375">
        <v>42151</v>
      </c>
      <c r="S1575" s="402"/>
      <c r="T1575" s="403"/>
      <c r="U1575" s="403"/>
      <c r="V1575" s="403">
        <v>13000000</v>
      </c>
      <c r="W1575" s="403"/>
      <c r="X1575" s="354"/>
      <c r="Y1575" s="372" t="s">
        <v>2098</v>
      </c>
      <c r="Z1575" s="397">
        <v>13000000</v>
      </c>
      <c r="AA1575" s="397"/>
      <c r="AB1575" s="397">
        <f>Z1575</f>
        <v>13000000</v>
      </c>
      <c r="AC1575" s="384">
        <v>43011</v>
      </c>
      <c r="AD1575" s="83">
        <v>13000000</v>
      </c>
      <c r="AE1575" s="367" t="s">
        <v>160</v>
      </c>
      <c r="AF1575" s="382">
        <f>AD1575</f>
        <v>13000000</v>
      </c>
      <c r="AG1575" s="382">
        <f>AF1575</f>
        <v>13000000</v>
      </c>
      <c r="AH1575" s="382">
        <v>0</v>
      </c>
      <c r="AI1575" s="382">
        <v>0</v>
      </c>
      <c r="AJ1575" s="397">
        <v>0</v>
      </c>
      <c r="AK1575" s="397">
        <f>Q1575-V1575</f>
        <v>430631</v>
      </c>
      <c r="AL1575" s="397">
        <v>0</v>
      </c>
      <c r="AM1575" s="397">
        <f>AK1575+AL1575</f>
        <v>430631</v>
      </c>
      <c r="AN1575" s="391"/>
      <c r="AO1575" s="392" t="s">
        <v>2097</v>
      </c>
      <c r="AP1575" s="392" t="s">
        <v>195</v>
      </c>
      <c r="AQ1575" s="392" t="s">
        <v>1911</v>
      </c>
      <c r="AR1575" s="205">
        <f>SUM(AR1524:AR1574)</f>
        <v>28651242.240000024</v>
      </c>
      <c r="AS1575" s="205">
        <f>SUM(AS1524:AS1574)</f>
        <v>28286442.179999992</v>
      </c>
    </row>
    <row r="1576" spans="1:46" ht="15" customHeight="1">
      <c r="A1576" s="1011" t="s">
        <v>2235</v>
      </c>
      <c r="B1576" s="1068">
        <v>42430</v>
      </c>
      <c r="C1576" s="1011" t="s">
        <v>30</v>
      </c>
      <c r="D1576" s="1011" t="s">
        <v>2234</v>
      </c>
      <c r="E1576" s="1071">
        <v>900941634</v>
      </c>
      <c r="F1576" s="1071">
        <v>1</v>
      </c>
      <c r="G1576" s="1011" t="s">
        <v>2233</v>
      </c>
      <c r="H1576" s="1011" t="s">
        <v>70</v>
      </c>
      <c r="I1576" s="1011" t="s">
        <v>206</v>
      </c>
      <c r="J1576" s="1011" t="s">
        <v>66</v>
      </c>
      <c r="K1576" s="1011" t="s">
        <v>48</v>
      </c>
      <c r="L1576" s="1011" t="s">
        <v>2232</v>
      </c>
      <c r="M1576" s="1009">
        <v>7</v>
      </c>
      <c r="N1576" s="1065" t="s">
        <v>156</v>
      </c>
      <c r="O1576" s="1062">
        <v>259972142</v>
      </c>
      <c r="P1576" s="1062">
        <v>259972142</v>
      </c>
      <c r="Q1576" s="1062">
        <v>259972142</v>
      </c>
      <c r="R1576" s="1068">
        <v>42256</v>
      </c>
      <c r="S1576" s="1092">
        <f>T1576</f>
        <v>259972142</v>
      </c>
      <c r="T1576" s="1092">
        <v>259972142</v>
      </c>
      <c r="U1576" s="1092">
        <f>P1576-T1576</f>
        <v>0</v>
      </c>
      <c r="V1576" s="1092">
        <v>259611480</v>
      </c>
      <c r="W1576" s="1092">
        <v>259611480</v>
      </c>
      <c r="X1576" s="1011" t="s">
        <v>2231</v>
      </c>
      <c r="Y1576" s="372" t="s">
        <v>2230</v>
      </c>
      <c r="Z1576" s="386">
        <v>0</v>
      </c>
      <c r="AA1576" s="386">
        <v>25961148</v>
      </c>
      <c r="AB1576" s="386">
        <f t="shared" ref="AB1576:AB1581" si="98">Z1576+AA1576</f>
        <v>25961148</v>
      </c>
      <c r="AC1576" s="384">
        <v>42922</v>
      </c>
      <c r="AD1576" s="395">
        <v>25961148</v>
      </c>
      <c r="AE1576" s="371" t="s">
        <v>156</v>
      </c>
      <c r="AF1576" s="1043">
        <f>SUM(AD1576:AD1578)</f>
        <v>161478340</v>
      </c>
      <c r="AG1576" s="1043"/>
      <c r="AH1576" s="358">
        <f t="shared" ref="AH1576:AH1591" si="99">AB1576-AD1576</f>
        <v>0</v>
      </c>
      <c r="AI1576" s="1043">
        <f>P1576-AF1576</f>
        <v>98493802</v>
      </c>
      <c r="AJ1576" s="1062">
        <f>SUM(Z1576:Z1578)-SUM(AD1576:AD1578)</f>
        <v>-10903682</v>
      </c>
      <c r="AK1576" s="1062">
        <f>P1576-V1576</f>
        <v>360662</v>
      </c>
      <c r="AL1576" s="1062">
        <f>V1576-SUM(Z1576:Z1578)</f>
        <v>109036822</v>
      </c>
      <c r="AM1576" s="1062"/>
      <c r="AN1576" s="1103"/>
      <c r="AO1576" s="1103" t="s">
        <v>2003</v>
      </c>
      <c r="AP1576" s="1103" t="s">
        <v>194</v>
      </c>
      <c r="AQ1576" s="1103" t="s">
        <v>1911</v>
      </c>
      <c r="AS1576" s="208">
        <f>AS1575-AT1544</f>
        <v>-6.0000006109476089E-2</v>
      </c>
    </row>
    <row r="1577" spans="1:46" ht="15" customHeight="1">
      <c r="A1577" s="1033"/>
      <c r="B1577" s="1069"/>
      <c r="C1577" s="1033"/>
      <c r="D1577" s="1033"/>
      <c r="E1577" s="1072"/>
      <c r="F1577" s="1072"/>
      <c r="G1577" s="1033"/>
      <c r="H1577" s="1033"/>
      <c r="I1577" s="1033"/>
      <c r="J1577" s="1033"/>
      <c r="K1577" s="1033"/>
      <c r="L1577" s="1033"/>
      <c r="M1577" s="1039"/>
      <c r="N1577" s="1066"/>
      <c r="O1577" s="1063"/>
      <c r="P1577" s="1063"/>
      <c r="Q1577" s="1063"/>
      <c r="R1577" s="1069"/>
      <c r="S1577" s="1093"/>
      <c r="T1577" s="1093"/>
      <c r="U1577" s="1093"/>
      <c r="V1577" s="1093"/>
      <c r="W1577" s="1093"/>
      <c r="X1577" s="1033"/>
      <c r="Y1577" s="372" t="s">
        <v>2229</v>
      </c>
      <c r="Z1577" s="386">
        <v>150574658</v>
      </c>
      <c r="AA1577" s="386">
        <v>-15057466</v>
      </c>
      <c r="AB1577" s="386">
        <f t="shared" si="98"/>
        <v>135517192</v>
      </c>
      <c r="AC1577" s="384">
        <v>43074</v>
      </c>
      <c r="AD1577" s="395">
        <v>135517192</v>
      </c>
      <c r="AE1577" s="371" t="s">
        <v>156</v>
      </c>
      <c r="AF1577" s="1044"/>
      <c r="AG1577" s="1044"/>
      <c r="AH1577" s="358">
        <f t="shared" si="99"/>
        <v>0</v>
      </c>
      <c r="AI1577" s="1044"/>
      <c r="AJ1577" s="1063"/>
      <c r="AK1577" s="1063"/>
      <c r="AL1577" s="1063"/>
      <c r="AM1577" s="1063"/>
      <c r="AN1577" s="1104"/>
      <c r="AO1577" s="1104"/>
      <c r="AP1577" s="1104"/>
      <c r="AQ1577" s="1104"/>
    </row>
    <row r="1578" spans="1:46" ht="15" customHeight="1">
      <c r="A1578" s="1012"/>
      <c r="B1578" s="1070"/>
      <c r="C1578" s="1012"/>
      <c r="D1578" s="1012"/>
      <c r="E1578" s="1073"/>
      <c r="F1578" s="1073"/>
      <c r="G1578" s="1012"/>
      <c r="H1578" s="1012"/>
      <c r="I1578" s="1012"/>
      <c r="J1578" s="1012"/>
      <c r="K1578" s="1012"/>
      <c r="L1578" s="1012"/>
      <c r="M1578" s="1010"/>
      <c r="N1578" s="1067"/>
      <c r="O1578" s="1064"/>
      <c r="P1578" s="1064"/>
      <c r="Q1578" s="1064"/>
      <c r="R1578" s="1070"/>
      <c r="S1578" s="1094"/>
      <c r="T1578" s="1094"/>
      <c r="U1578" s="1094"/>
      <c r="V1578" s="1094"/>
      <c r="W1578" s="1094"/>
      <c r="X1578" s="1012"/>
      <c r="Y1578" s="372"/>
      <c r="Z1578" s="386"/>
      <c r="AA1578" s="386"/>
      <c r="AB1578" s="386">
        <f t="shared" si="98"/>
        <v>0</v>
      </c>
      <c r="AC1578" s="384"/>
      <c r="AD1578" s="395"/>
      <c r="AE1578" s="371"/>
      <c r="AF1578" s="1045"/>
      <c r="AG1578" s="1045"/>
      <c r="AH1578" s="358">
        <f t="shared" si="99"/>
        <v>0</v>
      </c>
      <c r="AI1578" s="1045"/>
      <c r="AJ1578" s="1064"/>
      <c r="AK1578" s="1064"/>
      <c r="AL1578" s="1064"/>
      <c r="AM1578" s="1064"/>
      <c r="AN1578" s="1105"/>
      <c r="AO1578" s="1105"/>
      <c r="AP1578" s="1105"/>
      <c r="AQ1578" s="1105"/>
      <c r="AS1578" s="205"/>
    </row>
    <row r="1579" spans="1:46" ht="15" customHeight="1">
      <c r="A1579" s="1011" t="s">
        <v>2251</v>
      </c>
      <c r="B1579" s="1068">
        <v>42639</v>
      </c>
      <c r="C1579" s="1011" t="s">
        <v>24</v>
      </c>
      <c r="D1579" s="1011" t="s">
        <v>2250</v>
      </c>
      <c r="E1579" s="1071">
        <v>900804023</v>
      </c>
      <c r="F1579" s="1071">
        <v>5</v>
      </c>
      <c r="G1579" s="1011" t="s">
        <v>2249</v>
      </c>
      <c r="H1579" s="1011" t="s">
        <v>71</v>
      </c>
      <c r="I1579" s="1011" t="s">
        <v>1235</v>
      </c>
      <c r="J1579" s="1011" t="s">
        <v>66</v>
      </c>
      <c r="K1579" s="1011" t="s">
        <v>50</v>
      </c>
      <c r="L1579" s="1011" t="s">
        <v>2248</v>
      </c>
      <c r="M1579" s="1009">
        <v>337</v>
      </c>
      <c r="N1579" s="1065" t="s">
        <v>7</v>
      </c>
      <c r="O1579" s="1062">
        <v>196348841</v>
      </c>
      <c r="P1579" s="1062">
        <v>196348841</v>
      </c>
      <c r="Q1579" s="1062">
        <v>196348841</v>
      </c>
      <c r="R1579" s="1068">
        <v>42534</v>
      </c>
      <c r="S1579" s="1092">
        <f>T1579</f>
        <v>196348841</v>
      </c>
      <c r="T1579" s="1092">
        <v>196348841</v>
      </c>
      <c r="U1579" s="1092">
        <f>O1579-T1579</f>
        <v>0</v>
      </c>
      <c r="V1579" s="1043">
        <v>193401134</v>
      </c>
      <c r="W1579" s="1043">
        <v>193401134</v>
      </c>
      <c r="X1579" s="1011" t="s">
        <v>2247</v>
      </c>
      <c r="Y1579" s="372" t="s">
        <v>2246</v>
      </c>
      <c r="Z1579" s="386">
        <v>0</v>
      </c>
      <c r="AA1579" s="386">
        <v>96700567</v>
      </c>
      <c r="AB1579" s="386">
        <f t="shared" si="98"/>
        <v>96700567</v>
      </c>
      <c r="AC1579" s="384">
        <v>43007</v>
      </c>
      <c r="AD1579" s="395">
        <v>96700567</v>
      </c>
      <c r="AE1579" s="371" t="s">
        <v>7</v>
      </c>
      <c r="AF1579" s="1043">
        <f>SUM(AD1579:AD1581)</f>
        <v>178657961</v>
      </c>
      <c r="AG1579" s="1043">
        <f>AF1579</f>
        <v>178657961</v>
      </c>
      <c r="AH1579" s="358">
        <f t="shared" si="99"/>
        <v>0</v>
      </c>
      <c r="AI1579" s="1043">
        <f>P1579-SUM(AD1579:AD1581)</f>
        <v>17690880</v>
      </c>
      <c r="AJ1579" s="1062">
        <f>SUM(Z1579:Z1581)-SUM(AD1579:AD1581)</f>
        <v>-14743172</v>
      </c>
      <c r="AK1579" s="1062">
        <f>P1579-V1579</f>
        <v>2947707</v>
      </c>
      <c r="AL1579" s="1062">
        <f>V1579-SUM(Z1579:Z1581)+AJ1579</f>
        <v>14743173</v>
      </c>
      <c r="AM1579" s="1062"/>
      <c r="AN1579" s="1108" t="s">
        <v>2065</v>
      </c>
      <c r="AO1579" s="1103" t="s">
        <v>2245</v>
      </c>
      <c r="AP1579" s="1103" t="s">
        <v>194</v>
      </c>
      <c r="AQ1579" s="1103" t="s">
        <v>1911</v>
      </c>
      <c r="AR1579" s="1074" t="s">
        <v>2482</v>
      </c>
      <c r="AS1579" s="205">
        <v>28063884.969999999</v>
      </c>
      <c r="AT1579" s="25">
        <v>27962551.619999997</v>
      </c>
    </row>
    <row r="1580" spans="1:46" ht="15" customHeight="1">
      <c r="A1580" s="1033"/>
      <c r="B1580" s="1069"/>
      <c r="C1580" s="1033"/>
      <c r="D1580" s="1033"/>
      <c r="E1580" s="1072"/>
      <c r="F1580" s="1072"/>
      <c r="G1580" s="1033"/>
      <c r="H1580" s="1033"/>
      <c r="I1580" s="1033"/>
      <c r="J1580" s="1033"/>
      <c r="K1580" s="1033"/>
      <c r="L1580" s="1033"/>
      <c r="M1580" s="1039"/>
      <c r="N1580" s="1066"/>
      <c r="O1580" s="1063"/>
      <c r="P1580" s="1063"/>
      <c r="Q1580" s="1063"/>
      <c r="R1580" s="1069"/>
      <c r="S1580" s="1093"/>
      <c r="T1580" s="1093"/>
      <c r="U1580" s="1093"/>
      <c r="V1580" s="1044"/>
      <c r="W1580" s="1044"/>
      <c r="X1580" s="1033"/>
      <c r="Y1580" s="372" t="s">
        <v>2244</v>
      </c>
      <c r="Z1580" s="386">
        <v>163914789</v>
      </c>
      <c r="AA1580" s="386">
        <v>-81957395</v>
      </c>
      <c r="AB1580" s="386">
        <f t="shared" si="98"/>
        <v>81957394</v>
      </c>
      <c r="AC1580" s="384">
        <v>43095</v>
      </c>
      <c r="AD1580" s="395">
        <v>81957394</v>
      </c>
      <c r="AE1580" s="371" t="s">
        <v>7</v>
      </c>
      <c r="AF1580" s="1044"/>
      <c r="AG1580" s="1044"/>
      <c r="AH1580" s="358">
        <f t="shared" si="99"/>
        <v>0</v>
      </c>
      <c r="AI1580" s="1044"/>
      <c r="AJ1580" s="1063"/>
      <c r="AK1580" s="1063"/>
      <c r="AL1580" s="1063"/>
      <c r="AM1580" s="1063"/>
      <c r="AN1580" s="1109"/>
      <c r="AO1580" s="1104"/>
      <c r="AP1580" s="1104"/>
      <c r="AQ1580" s="1104"/>
      <c r="AR1580" s="1074"/>
      <c r="AS1580" s="205">
        <v>425223.91</v>
      </c>
      <c r="AT1580" s="25">
        <v>323890.56</v>
      </c>
    </row>
    <row r="1581" spans="1:46" ht="15" customHeight="1">
      <c r="A1581" s="1012"/>
      <c r="B1581" s="1070"/>
      <c r="C1581" s="1012"/>
      <c r="D1581" s="1012"/>
      <c r="E1581" s="1073"/>
      <c r="F1581" s="1073"/>
      <c r="G1581" s="1012"/>
      <c r="H1581" s="1012"/>
      <c r="I1581" s="1012"/>
      <c r="J1581" s="1012"/>
      <c r="K1581" s="1012"/>
      <c r="L1581" s="1012"/>
      <c r="M1581" s="1010"/>
      <c r="N1581" s="1067"/>
      <c r="O1581" s="1064"/>
      <c r="P1581" s="1064"/>
      <c r="Q1581" s="1064"/>
      <c r="R1581" s="1070"/>
      <c r="S1581" s="1094"/>
      <c r="T1581" s="1094"/>
      <c r="U1581" s="1094"/>
      <c r="V1581" s="1045"/>
      <c r="W1581" s="1045"/>
      <c r="X1581" s="1012"/>
      <c r="Y1581" s="372"/>
      <c r="Z1581" s="386"/>
      <c r="AA1581" s="386"/>
      <c r="AB1581" s="386">
        <f t="shared" si="98"/>
        <v>0</v>
      </c>
      <c r="AC1581" s="384"/>
      <c r="AD1581" s="395"/>
      <c r="AE1581" s="371"/>
      <c r="AF1581" s="1045"/>
      <c r="AG1581" s="1045"/>
      <c r="AH1581" s="358">
        <f t="shared" si="99"/>
        <v>0</v>
      </c>
      <c r="AI1581" s="1045"/>
      <c r="AJ1581" s="1064"/>
      <c r="AK1581" s="1064"/>
      <c r="AL1581" s="1064"/>
      <c r="AM1581" s="1064"/>
      <c r="AN1581" s="1110"/>
      <c r="AO1581" s="1105"/>
      <c r="AP1581" s="1105"/>
      <c r="AQ1581" s="1105"/>
      <c r="AR1581" s="1074"/>
      <c r="AS1581" s="205">
        <v>101333.35</v>
      </c>
    </row>
    <row r="1582" spans="1:46" s="4" customFormat="1" ht="15" customHeight="1">
      <c r="A1582" s="1011" t="s">
        <v>2243</v>
      </c>
      <c r="B1582" s="1068">
        <v>42639</v>
      </c>
      <c r="C1582" s="1011" t="s">
        <v>12</v>
      </c>
      <c r="D1582" s="1011" t="s">
        <v>2242</v>
      </c>
      <c r="E1582" s="1011">
        <v>901010575</v>
      </c>
      <c r="F1582" s="1011">
        <v>4</v>
      </c>
      <c r="G1582" s="1011" t="s">
        <v>2241</v>
      </c>
      <c r="H1582" s="1011" t="s">
        <v>71</v>
      </c>
      <c r="I1582" s="1011" t="s">
        <v>1235</v>
      </c>
      <c r="J1582" s="1011" t="s">
        <v>66</v>
      </c>
      <c r="K1582" s="1011" t="s">
        <v>183</v>
      </c>
      <c r="L1582" s="1011" t="s">
        <v>2240</v>
      </c>
      <c r="M1582" s="1009">
        <v>15</v>
      </c>
      <c r="N1582" s="1065" t="s">
        <v>132</v>
      </c>
      <c r="O1582" s="1062">
        <v>124042229</v>
      </c>
      <c r="P1582" s="1062">
        <v>124042229</v>
      </c>
      <c r="Q1582" s="1062">
        <f>P1582</f>
        <v>124042229</v>
      </c>
      <c r="R1582" s="1068">
        <v>42579</v>
      </c>
      <c r="S1582" s="1089">
        <f>T1582</f>
        <v>124042229</v>
      </c>
      <c r="T1582" s="1062">
        <v>124042229</v>
      </c>
      <c r="U1582" s="1089">
        <f>P1582-T1582</f>
        <v>0</v>
      </c>
      <c r="V1582" s="1062">
        <v>122925748</v>
      </c>
      <c r="W1582" s="1062">
        <v>122925748</v>
      </c>
      <c r="X1582" s="1011"/>
      <c r="Y1582" s="372" t="s">
        <v>2239</v>
      </c>
      <c r="Z1582" s="386">
        <v>0</v>
      </c>
      <c r="AA1582" s="386">
        <f>AD1582</f>
        <v>61462874</v>
      </c>
      <c r="AB1582" s="386">
        <f>SUM(Z1582:AA1582)</f>
        <v>61462874</v>
      </c>
      <c r="AC1582" s="384">
        <v>42810</v>
      </c>
      <c r="AD1582" s="395">
        <v>61462874</v>
      </c>
      <c r="AE1582" s="372" t="s">
        <v>132</v>
      </c>
      <c r="AF1582" s="1043">
        <f>SUM(AD1582:AD1584)</f>
        <v>122925747.99999999</v>
      </c>
      <c r="AG1582" s="1062">
        <f>AF1582</f>
        <v>122925747.99999999</v>
      </c>
      <c r="AH1582" s="386">
        <f t="shared" si="99"/>
        <v>0</v>
      </c>
      <c r="AI1582" s="1062">
        <f>P1582-AF1582</f>
        <v>1116481.0000000149</v>
      </c>
      <c r="AJ1582" s="1062">
        <f>SUM(Z1582:Z1584)-SUM(AD1582:AD1584)</f>
        <v>0</v>
      </c>
      <c r="AK1582" s="1062">
        <f>P1582-V1582</f>
        <v>1116481</v>
      </c>
      <c r="AL1582" s="1062">
        <f>V1582-SUM(Z1582:Z1584)</f>
        <v>0</v>
      </c>
      <c r="AM1582" s="1062">
        <f>AK1582+AL1582</f>
        <v>1116481</v>
      </c>
      <c r="AN1582" s="1100"/>
      <c r="AO1582" s="1114" t="s">
        <v>2238</v>
      </c>
      <c r="AP1582" s="1100" t="s">
        <v>195</v>
      </c>
      <c r="AQ1582" s="1100" t="s">
        <v>1911</v>
      </c>
      <c r="AS1582" s="205">
        <v>60800.01</v>
      </c>
    </row>
    <row r="1583" spans="1:46" s="4" customFormat="1" ht="15" customHeight="1">
      <c r="A1583" s="1033"/>
      <c r="B1583" s="1069"/>
      <c r="C1583" s="1033"/>
      <c r="D1583" s="1033"/>
      <c r="E1583" s="1033"/>
      <c r="F1583" s="1033"/>
      <c r="G1583" s="1033"/>
      <c r="H1583" s="1033"/>
      <c r="I1583" s="1033"/>
      <c r="J1583" s="1033"/>
      <c r="K1583" s="1033"/>
      <c r="L1583" s="1033"/>
      <c r="M1583" s="1039"/>
      <c r="N1583" s="1066"/>
      <c r="O1583" s="1063"/>
      <c r="P1583" s="1063"/>
      <c r="Q1583" s="1063"/>
      <c r="R1583" s="1069"/>
      <c r="S1583" s="1090"/>
      <c r="T1583" s="1063"/>
      <c r="U1583" s="1090"/>
      <c r="V1583" s="1063"/>
      <c r="W1583" s="1063"/>
      <c r="X1583" s="1033"/>
      <c r="Y1583" s="372" t="s">
        <v>2237</v>
      </c>
      <c r="Z1583" s="386">
        <v>110258796.76000001</v>
      </c>
      <c r="AA1583" s="386">
        <v>-55129398</v>
      </c>
      <c r="AB1583" s="386">
        <f>SUM(Z1583:AA1583)</f>
        <v>55129398.760000005</v>
      </c>
      <c r="AC1583" s="384">
        <v>42949</v>
      </c>
      <c r="AD1583" s="395">
        <v>55129398.759999998</v>
      </c>
      <c r="AE1583" s="372" t="s">
        <v>132</v>
      </c>
      <c r="AF1583" s="1044"/>
      <c r="AG1583" s="1063"/>
      <c r="AH1583" s="386">
        <f t="shared" si="99"/>
        <v>0</v>
      </c>
      <c r="AI1583" s="1063"/>
      <c r="AJ1583" s="1063"/>
      <c r="AK1583" s="1063"/>
      <c r="AL1583" s="1063"/>
      <c r="AM1583" s="1063"/>
      <c r="AN1583" s="1101"/>
      <c r="AO1583" s="1101"/>
      <c r="AP1583" s="1101"/>
      <c r="AQ1583" s="1101"/>
      <c r="AS1583" s="205">
        <f>SUM(AS1579:AS1582)</f>
        <v>28651242.240000002</v>
      </c>
      <c r="AT1583" s="205">
        <f>SUM(AT1579:AT1582)</f>
        <v>28286442.179999996</v>
      </c>
    </row>
    <row r="1584" spans="1:46" s="4" customFormat="1" ht="15" customHeight="1">
      <c r="A1584" s="1012"/>
      <c r="B1584" s="1070"/>
      <c r="C1584" s="1012"/>
      <c r="D1584" s="1012"/>
      <c r="E1584" s="1012"/>
      <c r="F1584" s="1012"/>
      <c r="G1584" s="1012"/>
      <c r="H1584" s="1012"/>
      <c r="I1584" s="1012"/>
      <c r="J1584" s="1012"/>
      <c r="K1584" s="1012"/>
      <c r="L1584" s="1012"/>
      <c r="M1584" s="1010"/>
      <c r="N1584" s="1067"/>
      <c r="O1584" s="1064"/>
      <c r="P1584" s="1064"/>
      <c r="Q1584" s="1064"/>
      <c r="R1584" s="1070"/>
      <c r="S1584" s="1091"/>
      <c r="T1584" s="1064"/>
      <c r="U1584" s="1091"/>
      <c r="V1584" s="1064"/>
      <c r="W1584" s="1064"/>
      <c r="X1584" s="1012"/>
      <c r="Y1584" s="372" t="s">
        <v>2236</v>
      </c>
      <c r="Z1584" s="386">
        <v>12666951.24</v>
      </c>
      <c r="AA1584" s="386">
        <v>-6333476</v>
      </c>
      <c r="AB1584" s="386">
        <f>SUM(Z1584:AA1584)</f>
        <v>6333475.2400000002</v>
      </c>
      <c r="AC1584" s="384">
        <v>43075</v>
      </c>
      <c r="AD1584" s="395">
        <v>6333475.2400000002</v>
      </c>
      <c r="AE1584" s="372" t="s">
        <v>132</v>
      </c>
      <c r="AF1584" s="1045"/>
      <c r="AG1584" s="1064"/>
      <c r="AH1584" s="386">
        <f t="shared" si="99"/>
        <v>0</v>
      </c>
      <c r="AI1584" s="1064"/>
      <c r="AJ1584" s="1064"/>
      <c r="AK1584" s="1064"/>
      <c r="AL1584" s="1064"/>
      <c r="AM1584" s="1064"/>
      <c r="AN1584" s="1102"/>
      <c r="AO1584" s="1102"/>
      <c r="AP1584" s="1102"/>
      <c r="AQ1584" s="1102"/>
      <c r="AS1584" s="205"/>
    </row>
    <row r="1585" spans="1:45" s="4" customFormat="1" ht="15" customHeight="1">
      <c r="A1585" s="1011" t="s">
        <v>2259</v>
      </c>
      <c r="B1585" s="1068">
        <v>42653</v>
      </c>
      <c r="C1585" s="1011" t="s">
        <v>30</v>
      </c>
      <c r="D1585" s="1011" t="s">
        <v>2258</v>
      </c>
      <c r="E1585" s="1097">
        <v>901017440</v>
      </c>
      <c r="F1585" s="1097"/>
      <c r="G1585" s="1011" t="s">
        <v>2257</v>
      </c>
      <c r="H1585" s="1011" t="s">
        <v>71</v>
      </c>
      <c r="I1585" s="1011" t="s">
        <v>1235</v>
      </c>
      <c r="J1585" s="1011" t="s">
        <v>66</v>
      </c>
      <c r="K1585" s="1011" t="s">
        <v>48</v>
      </c>
      <c r="L1585" s="1011"/>
      <c r="M1585" s="1009">
        <v>340</v>
      </c>
      <c r="N1585" s="1065" t="s">
        <v>137</v>
      </c>
      <c r="O1585" s="1062">
        <v>1397229365</v>
      </c>
      <c r="P1585" s="1062">
        <f>O1585</f>
        <v>1397229365</v>
      </c>
      <c r="Q1585" s="1062">
        <f>P1585+P1588</f>
        <v>3537257223</v>
      </c>
      <c r="R1585" s="1068">
        <v>42576</v>
      </c>
      <c r="S1585" s="1089">
        <f>T1585</f>
        <v>1397229365</v>
      </c>
      <c r="T1585" s="1089">
        <v>1397229365</v>
      </c>
      <c r="U1585" s="1089">
        <f>O1585-T1585</f>
        <v>0</v>
      </c>
      <c r="V1585" s="1062">
        <v>1339023888</v>
      </c>
      <c r="W1585" s="1062">
        <v>3479051746</v>
      </c>
      <c r="X1585" s="1011"/>
      <c r="Y1585" s="372" t="s">
        <v>2254</v>
      </c>
      <c r="Z1585" s="386">
        <v>0</v>
      </c>
      <c r="AA1585" s="386">
        <v>267804778</v>
      </c>
      <c r="AB1585" s="386">
        <f t="shared" ref="AB1585:AB1590" si="100">Z1585+AA1585</f>
        <v>267804778</v>
      </c>
      <c r="AC1585" s="384">
        <v>42844</v>
      </c>
      <c r="AD1585" s="395">
        <v>267804778</v>
      </c>
      <c r="AE1585" s="372" t="s">
        <v>137</v>
      </c>
      <c r="AF1585" s="1062">
        <f>SUM(AD1585:AD1587)</f>
        <v>1115732205</v>
      </c>
      <c r="AG1585" s="1043">
        <f>AF1585+AF1588</f>
        <v>2919516355</v>
      </c>
      <c r="AH1585" s="358">
        <f t="shared" si="99"/>
        <v>0</v>
      </c>
      <c r="AI1585" s="1043">
        <f>O1585-AF1585</f>
        <v>281497160</v>
      </c>
      <c r="AJ1585" s="1043">
        <f>SUM(Z1585:Z1587)-SUM(AD1585:AD1587)</f>
        <v>-55822921</v>
      </c>
      <c r="AK1585" s="1062">
        <f>O1585-V1585</f>
        <v>58205477</v>
      </c>
      <c r="AL1585" s="1062">
        <f>V1585-SUM(Z1585:Z1587)+AJ1585</f>
        <v>223291683</v>
      </c>
      <c r="AM1585" s="1062"/>
      <c r="AN1585" s="1100"/>
      <c r="AO1585" s="1100" t="s">
        <v>2256</v>
      </c>
      <c r="AP1585" s="1103" t="s">
        <v>195</v>
      </c>
      <c r="AQ1585" s="1103" t="s">
        <v>1911</v>
      </c>
      <c r="AS1585" s="205"/>
    </row>
    <row r="1586" spans="1:45" s="4" customFormat="1" ht="15" customHeight="1">
      <c r="A1586" s="1033"/>
      <c r="B1586" s="1069"/>
      <c r="C1586" s="1033"/>
      <c r="D1586" s="1033"/>
      <c r="E1586" s="1098"/>
      <c r="F1586" s="1098"/>
      <c r="G1586" s="1033"/>
      <c r="H1586" s="1033"/>
      <c r="I1586" s="1033"/>
      <c r="J1586" s="1033"/>
      <c r="K1586" s="1033"/>
      <c r="L1586" s="1033"/>
      <c r="M1586" s="1039"/>
      <c r="N1586" s="1066"/>
      <c r="O1586" s="1063"/>
      <c r="P1586" s="1063"/>
      <c r="Q1586" s="1063"/>
      <c r="R1586" s="1069"/>
      <c r="S1586" s="1090"/>
      <c r="T1586" s="1090"/>
      <c r="U1586" s="1090"/>
      <c r="V1586" s="1063"/>
      <c r="W1586" s="1063"/>
      <c r="X1586" s="1033"/>
      <c r="Y1586" s="372" t="s">
        <v>2255</v>
      </c>
      <c r="Z1586" s="386">
        <v>772230260</v>
      </c>
      <c r="AA1586" s="386">
        <v>-154446052</v>
      </c>
      <c r="AB1586" s="386">
        <f t="shared" si="100"/>
        <v>617784208</v>
      </c>
      <c r="AC1586" s="384">
        <v>43047</v>
      </c>
      <c r="AD1586" s="395">
        <v>617784208</v>
      </c>
      <c r="AE1586" s="372" t="s">
        <v>137</v>
      </c>
      <c r="AF1586" s="1063"/>
      <c r="AG1586" s="1044"/>
      <c r="AH1586" s="358">
        <f t="shared" si="99"/>
        <v>0</v>
      </c>
      <c r="AI1586" s="1044"/>
      <c r="AJ1586" s="1044"/>
      <c r="AK1586" s="1063"/>
      <c r="AL1586" s="1063"/>
      <c r="AM1586" s="1063"/>
      <c r="AN1586" s="1101"/>
      <c r="AO1586" s="1101"/>
      <c r="AP1586" s="1104"/>
      <c r="AQ1586" s="1104"/>
      <c r="AS1586" s="205"/>
    </row>
    <row r="1587" spans="1:45" s="4" customFormat="1" ht="15" customHeight="1">
      <c r="A1587" s="1033"/>
      <c r="B1587" s="1069"/>
      <c r="C1587" s="1033"/>
      <c r="D1587" s="1033"/>
      <c r="E1587" s="1098"/>
      <c r="F1587" s="1098"/>
      <c r="G1587" s="1033"/>
      <c r="H1587" s="1033"/>
      <c r="I1587" s="1033"/>
      <c r="J1587" s="1033"/>
      <c r="K1587" s="1033"/>
      <c r="L1587" s="1033"/>
      <c r="M1587" s="1010"/>
      <c r="N1587" s="1067"/>
      <c r="O1587" s="1064"/>
      <c r="P1587" s="1064"/>
      <c r="Q1587" s="1063"/>
      <c r="R1587" s="1070"/>
      <c r="S1587" s="1091"/>
      <c r="T1587" s="1091"/>
      <c r="U1587" s="1091"/>
      <c r="V1587" s="1064"/>
      <c r="W1587" s="1063"/>
      <c r="X1587" s="1033"/>
      <c r="Y1587" s="372" t="s">
        <v>2252</v>
      </c>
      <c r="Z1587" s="386">
        <v>287679024</v>
      </c>
      <c r="AA1587" s="386">
        <v>-57535805</v>
      </c>
      <c r="AB1587" s="386">
        <f t="shared" si="100"/>
        <v>230143219</v>
      </c>
      <c r="AC1587" s="384">
        <v>43091</v>
      </c>
      <c r="AD1587" s="395">
        <v>230143219</v>
      </c>
      <c r="AE1587" s="372" t="s">
        <v>137</v>
      </c>
      <c r="AF1587" s="1064"/>
      <c r="AG1587" s="1044"/>
      <c r="AH1587" s="358">
        <f t="shared" si="99"/>
        <v>0</v>
      </c>
      <c r="AI1587" s="1045"/>
      <c r="AJ1587" s="1045"/>
      <c r="AK1587" s="1064"/>
      <c r="AL1587" s="1064"/>
      <c r="AM1587" s="1063"/>
      <c r="AN1587" s="1101"/>
      <c r="AO1587" s="1101"/>
      <c r="AP1587" s="1104"/>
      <c r="AQ1587" s="1104"/>
      <c r="AS1587" s="205"/>
    </row>
    <row r="1588" spans="1:45" s="4" customFormat="1" ht="15" customHeight="1">
      <c r="A1588" s="1033"/>
      <c r="B1588" s="1069"/>
      <c r="C1588" s="1033"/>
      <c r="D1588" s="1033"/>
      <c r="E1588" s="1098"/>
      <c r="F1588" s="1098"/>
      <c r="G1588" s="1033"/>
      <c r="H1588" s="1033"/>
      <c r="I1588" s="1033"/>
      <c r="J1588" s="1033"/>
      <c r="K1588" s="1033"/>
      <c r="L1588" s="1033"/>
      <c r="M1588" s="1009">
        <v>8</v>
      </c>
      <c r="N1588" s="1065" t="s">
        <v>156</v>
      </c>
      <c r="O1588" s="1062">
        <v>2140027858</v>
      </c>
      <c r="P1588" s="1062">
        <f>O1588</f>
        <v>2140027858</v>
      </c>
      <c r="Q1588" s="1063"/>
      <c r="R1588" s="1068">
        <v>42577</v>
      </c>
      <c r="S1588" s="1062">
        <f>T1588</f>
        <v>2140027858</v>
      </c>
      <c r="T1588" s="1062">
        <v>2140027858</v>
      </c>
      <c r="U1588" s="1062">
        <f>O1588-T1588</f>
        <v>0</v>
      </c>
      <c r="V1588" s="1062">
        <f>O1588</f>
        <v>2140027858</v>
      </c>
      <c r="W1588" s="1063"/>
      <c r="X1588" s="1033"/>
      <c r="Y1588" s="372" t="s">
        <v>2254</v>
      </c>
      <c r="Z1588" s="386">
        <v>0</v>
      </c>
      <c r="AA1588" s="386">
        <v>428005571</v>
      </c>
      <c r="AB1588" s="386">
        <f t="shared" si="100"/>
        <v>428005571</v>
      </c>
      <c r="AC1588" s="384">
        <v>42844</v>
      </c>
      <c r="AD1588" s="395">
        <v>428005571</v>
      </c>
      <c r="AE1588" s="372" t="s">
        <v>156</v>
      </c>
      <c r="AF1588" s="1062">
        <f>SUM(AD1588:AD1590)</f>
        <v>1803784150</v>
      </c>
      <c r="AG1588" s="1044"/>
      <c r="AH1588" s="358">
        <f t="shared" si="99"/>
        <v>0</v>
      </c>
      <c r="AI1588" s="1043">
        <f>O1588-AF1588</f>
        <v>336243708</v>
      </c>
      <c r="AJ1588" s="1043">
        <f>SUM(Z1588:Z1590)-SUM(AD1588:AD1590)</f>
        <v>-84060926</v>
      </c>
      <c r="AK1588" s="1062">
        <f>O1588-V1588</f>
        <v>0</v>
      </c>
      <c r="AL1588" s="1062">
        <f>V1588-SUM(Z1588:Z1590)+AJ1588</f>
        <v>336243708</v>
      </c>
      <c r="AM1588" s="1063"/>
      <c r="AN1588" s="1101"/>
      <c r="AO1588" s="1101"/>
      <c r="AP1588" s="1104"/>
      <c r="AQ1588" s="1104"/>
      <c r="AS1588" s="205"/>
    </row>
    <row r="1589" spans="1:45" s="4" customFormat="1" ht="15" customHeight="1">
      <c r="A1589" s="1033"/>
      <c r="B1589" s="1069"/>
      <c r="C1589" s="1033"/>
      <c r="D1589" s="1033"/>
      <c r="E1589" s="1098"/>
      <c r="F1589" s="1098"/>
      <c r="G1589" s="1033"/>
      <c r="H1589" s="1033"/>
      <c r="I1589" s="1033"/>
      <c r="J1589" s="1033"/>
      <c r="K1589" s="1033"/>
      <c r="L1589" s="1033"/>
      <c r="M1589" s="1039"/>
      <c r="N1589" s="1066"/>
      <c r="O1589" s="1063"/>
      <c r="P1589" s="1063"/>
      <c r="Q1589" s="1063"/>
      <c r="R1589" s="1069"/>
      <c r="S1589" s="1063"/>
      <c r="T1589" s="1063"/>
      <c r="U1589" s="1063"/>
      <c r="V1589" s="1063"/>
      <c r="W1589" s="1063"/>
      <c r="X1589" s="1033"/>
      <c r="Y1589" s="372" t="s">
        <v>2253</v>
      </c>
      <c r="Z1589" s="386">
        <v>1259954634</v>
      </c>
      <c r="AA1589" s="386">
        <v>-251990927</v>
      </c>
      <c r="AB1589" s="386">
        <f t="shared" si="100"/>
        <v>1007963707</v>
      </c>
      <c r="AC1589" s="384">
        <v>43047</v>
      </c>
      <c r="AD1589" s="395">
        <v>1007963707</v>
      </c>
      <c r="AE1589" s="372" t="s">
        <v>156</v>
      </c>
      <c r="AF1589" s="1063"/>
      <c r="AG1589" s="1044"/>
      <c r="AH1589" s="358">
        <f t="shared" si="99"/>
        <v>0</v>
      </c>
      <c r="AI1589" s="1044"/>
      <c r="AJ1589" s="1044"/>
      <c r="AK1589" s="1063"/>
      <c r="AL1589" s="1063"/>
      <c r="AM1589" s="1063"/>
      <c r="AN1589" s="1101"/>
      <c r="AO1589" s="1101"/>
      <c r="AP1589" s="1104"/>
      <c r="AQ1589" s="1104"/>
      <c r="AS1589" s="205"/>
    </row>
    <row r="1590" spans="1:45" s="4" customFormat="1" ht="15" customHeight="1">
      <c r="A1590" s="1012"/>
      <c r="B1590" s="1070"/>
      <c r="C1590" s="1012"/>
      <c r="D1590" s="1012"/>
      <c r="E1590" s="1099"/>
      <c r="F1590" s="1099"/>
      <c r="G1590" s="1012"/>
      <c r="H1590" s="1012"/>
      <c r="I1590" s="1012"/>
      <c r="J1590" s="1012"/>
      <c r="K1590" s="1012"/>
      <c r="L1590" s="1012"/>
      <c r="M1590" s="1010"/>
      <c r="N1590" s="1067"/>
      <c r="O1590" s="1064"/>
      <c r="P1590" s="1064"/>
      <c r="Q1590" s="1064"/>
      <c r="R1590" s="1070"/>
      <c r="S1590" s="1064"/>
      <c r="T1590" s="1064"/>
      <c r="U1590" s="1064"/>
      <c r="V1590" s="1064"/>
      <c r="W1590" s="1064"/>
      <c r="X1590" s="1012"/>
      <c r="Y1590" s="372" t="s">
        <v>2252</v>
      </c>
      <c r="Z1590" s="386">
        <v>459768590</v>
      </c>
      <c r="AA1590" s="386">
        <v>-91953718</v>
      </c>
      <c r="AB1590" s="386">
        <f t="shared" si="100"/>
        <v>367814872</v>
      </c>
      <c r="AC1590" s="384">
        <v>43091</v>
      </c>
      <c r="AD1590" s="395">
        <v>367814872</v>
      </c>
      <c r="AE1590" s="372" t="s">
        <v>156</v>
      </c>
      <c r="AF1590" s="1064"/>
      <c r="AG1590" s="1045"/>
      <c r="AH1590" s="358">
        <f t="shared" si="99"/>
        <v>0</v>
      </c>
      <c r="AI1590" s="1045"/>
      <c r="AJ1590" s="1045"/>
      <c r="AK1590" s="1064"/>
      <c r="AL1590" s="1064"/>
      <c r="AM1590" s="1064"/>
      <c r="AN1590" s="1102"/>
      <c r="AO1590" s="1102"/>
      <c r="AP1590" s="1105"/>
      <c r="AQ1590" s="1105"/>
      <c r="AS1590" s="205"/>
    </row>
    <row r="1591" spans="1:45" ht="15" customHeight="1">
      <c r="A1591" s="354" t="s">
        <v>2272</v>
      </c>
      <c r="B1591" s="384">
        <v>42657</v>
      </c>
      <c r="C1591" s="354" t="s">
        <v>24</v>
      </c>
      <c r="D1591" s="354" t="s">
        <v>2271</v>
      </c>
      <c r="E1591" s="394">
        <v>901018975</v>
      </c>
      <c r="F1591" s="394">
        <v>3</v>
      </c>
      <c r="G1591" s="354" t="s">
        <v>2270</v>
      </c>
      <c r="H1591" s="354" t="s">
        <v>70</v>
      </c>
      <c r="I1591" s="354" t="s">
        <v>206</v>
      </c>
      <c r="J1591" s="354" t="s">
        <v>489</v>
      </c>
      <c r="K1591" s="354" t="s">
        <v>48</v>
      </c>
      <c r="L1591" s="354" t="s">
        <v>2269</v>
      </c>
      <c r="M1591" s="389">
        <v>338</v>
      </c>
      <c r="N1591" s="372" t="s">
        <v>7</v>
      </c>
      <c r="O1591" s="386">
        <v>13744419</v>
      </c>
      <c r="P1591" s="386">
        <v>13744419</v>
      </c>
      <c r="Q1591" s="386">
        <v>13744419</v>
      </c>
      <c r="R1591" s="384"/>
      <c r="S1591" s="390">
        <f>T1591</f>
        <v>13744419</v>
      </c>
      <c r="T1591" s="386">
        <v>13744419</v>
      </c>
      <c r="U1591" s="386">
        <f>P1591-T1591</f>
        <v>0</v>
      </c>
      <c r="V1591" s="358">
        <v>11780000</v>
      </c>
      <c r="W1591" s="358">
        <v>11780000</v>
      </c>
      <c r="X1591" s="354"/>
      <c r="Y1591" s="372"/>
      <c r="Z1591" s="386"/>
      <c r="AA1591" s="386"/>
      <c r="AB1591" s="386"/>
      <c r="AC1591" s="384"/>
      <c r="AD1591" s="395">
        <v>0</v>
      </c>
      <c r="AE1591" s="371"/>
      <c r="AF1591" s="358">
        <f>AD1591</f>
        <v>0</v>
      </c>
      <c r="AG1591" s="358">
        <f>AF1591</f>
        <v>0</v>
      </c>
      <c r="AH1591" s="358">
        <f t="shared" si="99"/>
        <v>0</v>
      </c>
      <c r="AI1591" s="358">
        <f>P1591-AF1591</f>
        <v>13744419</v>
      </c>
      <c r="AJ1591" s="386">
        <f>Z1591-AD1591</f>
        <v>0</v>
      </c>
      <c r="AK1591" s="386">
        <f>P1591-V1591</f>
        <v>1964419</v>
      </c>
      <c r="AL1591" s="386">
        <f>V1591-Z1591</f>
        <v>11780000</v>
      </c>
      <c r="AM1591" s="386"/>
      <c r="AN1591" s="391" t="s">
        <v>2268</v>
      </c>
      <c r="AO1591" s="392" t="s">
        <v>2267</v>
      </c>
      <c r="AP1591" s="392" t="s">
        <v>194</v>
      </c>
      <c r="AQ1591" s="392" t="s">
        <v>1911</v>
      </c>
      <c r="AS1591" s="205"/>
    </row>
    <row r="1592" spans="1:45" s="203" customFormat="1" ht="15" customHeight="1">
      <c r="A1592" s="1015" t="s">
        <v>2266</v>
      </c>
      <c r="B1592" s="1136">
        <v>42657</v>
      </c>
      <c r="C1592" s="1015" t="s">
        <v>12</v>
      </c>
      <c r="D1592" s="1015" t="s">
        <v>2265</v>
      </c>
      <c r="E1592" s="1140">
        <v>10292075</v>
      </c>
      <c r="F1592" s="1140"/>
      <c r="G1592" s="1015" t="s">
        <v>2264</v>
      </c>
      <c r="H1592" s="1015" t="s">
        <v>70</v>
      </c>
      <c r="I1592" s="1015" t="s">
        <v>206</v>
      </c>
      <c r="J1592" s="1015" t="s">
        <v>66</v>
      </c>
      <c r="K1592" s="1015" t="s">
        <v>183</v>
      </c>
      <c r="L1592" s="1015" t="s">
        <v>2263</v>
      </c>
      <c r="M1592" s="1138">
        <v>16</v>
      </c>
      <c r="N1592" s="1056" t="s">
        <v>132</v>
      </c>
      <c r="O1592" s="1087">
        <v>8682956</v>
      </c>
      <c r="P1592" s="1087">
        <v>8682956</v>
      </c>
      <c r="Q1592" s="1087">
        <v>8682956</v>
      </c>
      <c r="R1592" s="1136">
        <v>42577</v>
      </c>
      <c r="S1592" s="1106">
        <f>T1592</f>
        <v>8682956</v>
      </c>
      <c r="T1592" s="1087">
        <v>8682956</v>
      </c>
      <c r="U1592" s="1106">
        <f>P1592-T1592</f>
        <v>0</v>
      </c>
      <c r="V1592" s="1059">
        <v>8000000</v>
      </c>
      <c r="W1592" s="1059">
        <v>8000000</v>
      </c>
      <c r="X1592" s="1056"/>
      <c r="Y1592" s="388" t="s">
        <v>2262</v>
      </c>
      <c r="Z1592" s="388">
        <v>7176000</v>
      </c>
      <c r="AA1592" s="388">
        <v>0</v>
      </c>
      <c r="AB1592" s="388">
        <f t="shared" ref="AB1592:AB1621" si="101">Z1592+AA1592</f>
        <v>7176000</v>
      </c>
      <c r="AC1592" s="401">
        <v>43082</v>
      </c>
      <c r="AD1592" s="200">
        <v>7176000</v>
      </c>
      <c r="AE1592" s="201" t="s">
        <v>132</v>
      </c>
      <c r="AF1592" s="1059">
        <f>AD1592+AD1593</f>
        <v>8000000</v>
      </c>
      <c r="AG1592" s="1059">
        <f>AF1592</f>
        <v>8000000</v>
      </c>
      <c r="AH1592" s="387">
        <f>AB1592+AD1592</f>
        <v>14352000</v>
      </c>
      <c r="AI1592" s="1059">
        <f>Q1592-AF1592</f>
        <v>682956</v>
      </c>
      <c r="AJ1592" s="1087">
        <f>SUM(Z1592:Z1593)-SUM(AD1592:AD1593)</f>
        <v>0</v>
      </c>
      <c r="AK1592" s="1087">
        <f>P1592-V1592</f>
        <v>682956</v>
      </c>
      <c r="AL1592" s="1087">
        <f>V1592-Z1592-Z1593</f>
        <v>0</v>
      </c>
      <c r="AM1592" s="1087">
        <f>AK1592+AL1592</f>
        <v>682956</v>
      </c>
      <c r="AN1592" s="1112" t="s">
        <v>2065</v>
      </c>
      <c r="AO1592" s="1112" t="s">
        <v>2261</v>
      </c>
      <c r="AP1592" s="1202" t="s">
        <v>194</v>
      </c>
      <c r="AQ1592" s="1202" t="s">
        <v>1911</v>
      </c>
      <c r="AS1592" s="205"/>
    </row>
    <row r="1593" spans="1:45" s="203" customFormat="1" ht="15" customHeight="1">
      <c r="A1593" s="1016"/>
      <c r="B1593" s="1205"/>
      <c r="C1593" s="1016"/>
      <c r="D1593" s="1016"/>
      <c r="E1593" s="1474"/>
      <c r="F1593" s="1474"/>
      <c r="G1593" s="1016"/>
      <c r="H1593" s="1016"/>
      <c r="I1593" s="1016"/>
      <c r="J1593" s="1016"/>
      <c r="K1593" s="1016"/>
      <c r="L1593" s="1016"/>
      <c r="M1593" s="1369"/>
      <c r="N1593" s="1058"/>
      <c r="O1593" s="1111"/>
      <c r="P1593" s="1111"/>
      <c r="Q1593" s="1111"/>
      <c r="R1593" s="1205"/>
      <c r="S1593" s="1404"/>
      <c r="T1593" s="1111"/>
      <c r="U1593" s="1404"/>
      <c r="V1593" s="1061"/>
      <c r="W1593" s="1061"/>
      <c r="X1593" s="1058"/>
      <c r="Y1593" s="388" t="s">
        <v>2260</v>
      </c>
      <c r="Z1593" s="388">
        <v>824000</v>
      </c>
      <c r="AA1593" s="388">
        <v>0</v>
      </c>
      <c r="AB1593" s="388">
        <f t="shared" si="101"/>
        <v>824000</v>
      </c>
      <c r="AC1593" s="401">
        <v>43096</v>
      </c>
      <c r="AD1593" s="200">
        <v>824000</v>
      </c>
      <c r="AE1593" s="201" t="s">
        <v>132</v>
      </c>
      <c r="AF1593" s="1061"/>
      <c r="AG1593" s="1061"/>
      <c r="AH1593" s="387">
        <f>AB1593+AD1593</f>
        <v>1648000</v>
      </c>
      <c r="AI1593" s="1061"/>
      <c r="AJ1593" s="1111"/>
      <c r="AK1593" s="1111"/>
      <c r="AL1593" s="1111"/>
      <c r="AM1593" s="1111"/>
      <c r="AN1593" s="1113"/>
      <c r="AO1593" s="1113"/>
      <c r="AP1593" s="1202"/>
      <c r="AQ1593" s="1202"/>
      <c r="AS1593" s="205"/>
    </row>
    <row r="1594" spans="1:45" ht="15" customHeight="1">
      <c r="A1594" s="1011" t="s">
        <v>2281</v>
      </c>
      <c r="B1594" s="1068">
        <v>42710</v>
      </c>
      <c r="C1594" s="1011" t="s">
        <v>15</v>
      </c>
      <c r="D1594" s="1011" t="s">
        <v>2280</v>
      </c>
      <c r="E1594" s="1071">
        <v>901031814</v>
      </c>
      <c r="F1594" s="1071">
        <v>1</v>
      </c>
      <c r="G1594" s="1011" t="s">
        <v>2279</v>
      </c>
      <c r="H1594" s="1011" t="s">
        <v>70</v>
      </c>
      <c r="I1594" s="1011" t="s">
        <v>206</v>
      </c>
      <c r="J1594" s="1011" t="s">
        <v>66</v>
      </c>
      <c r="K1594" s="1011" t="s">
        <v>48</v>
      </c>
      <c r="L1594" s="1011" t="s">
        <v>2278</v>
      </c>
      <c r="M1594" s="1009">
        <v>10</v>
      </c>
      <c r="N1594" s="1065" t="s">
        <v>135</v>
      </c>
      <c r="O1594" s="1062">
        <v>363258583</v>
      </c>
      <c r="P1594" s="1062">
        <v>363258583</v>
      </c>
      <c r="Q1594" s="1062">
        <v>363258583</v>
      </c>
      <c r="R1594" s="1068">
        <v>42641</v>
      </c>
      <c r="S1594" s="1092">
        <f>T1594</f>
        <v>363258583</v>
      </c>
      <c r="T1594" s="1062">
        <v>363258583</v>
      </c>
      <c r="U1594" s="1062">
        <f>P1594-T1594</f>
        <v>0</v>
      </c>
      <c r="V1594" s="1043">
        <v>341500543</v>
      </c>
      <c r="W1594" s="1043">
        <v>341500543</v>
      </c>
      <c r="X1594" s="1011" t="s">
        <v>2277</v>
      </c>
      <c r="Y1594" s="372" t="s">
        <v>2276</v>
      </c>
      <c r="Z1594" s="386">
        <v>0</v>
      </c>
      <c r="AA1594" s="386">
        <v>34150054</v>
      </c>
      <c r="AB1594" s="386">
        <f t="shared" si="101"/>
        <v>34150054</v>
      </c>
      <c r="AC1594" s="384">
        <v>42859</v>
      </c>
      <c r="AD1594" s="395">
        <v>34150054</v>
      </c>
      <c r="AE1594" s="371" t="s">
        <v>135</v>
      </c>
      <c r="AF1594" s="1043">
        <f>SUM(AD1594:AD1597)</f>
        <v>203192822.65000001</v>
      </c>
      <c r="AG1594" s="1043">
        <f>AF1594</f>
        <v>203192822.65000001</v>
      </c>
      <c r="AH1594" s="358">
        <f t="shared" ref="AH1594:AH1625" si="102">AB1594-AD1594</f>
        <v>0</v>
      </c>
      <c r="AI1594" s="1043">
        <f>P1594-AF1594</f>
        <v>160065760.34999999</v>
      </c>
      <c r="AJ1594" s="1062">
        <f>SUM(Z1594:Z1597)-SUM(AD1594:AD1597)</f>
        <v>-15367524</v>
      </c>
      <c r="AK1594" s="1062">
        <f>P1594-V1594</f>
        <v>21758040</v>
      </c>
      <c r="AL1594" s="1062">
        <f>V1594-SUM(Z1594:Z1597)+AJ1594</f>
        <v>138307720.34999999</v>
      </c>
      <c r="AM1594" s="1062"/>
      <c r="AN1594" s="1108" t="s">
        <v>2275</v>
      </c>
      <c r="AO1594" s="1103" t="s">
        <v>2274</v>
      </c>
      <c r="AP1594" s="1103" t="s">
        <v>194</v>
      </c>
      <c r="AQ1594" s="1103" t="s">
        <v>1911</v>
      </c>
      <c r="AS1594" s="205"/>
    </row>
    <row r="1595" spans="1:45" ht="15" customHeight="1">
      <c r="A1595" s="1033"/>
      <c r="B1595" s="1069"/>
      <c r="C1595" s="1033"/>
      <c r="D1595" s="1033"/>
      <c r="E1595" s="1072"/>
      <c r="F1595" s="1072"/>
      <c r="G1595" s="1033"/>
      <c r="H1595" s="1033"/>
      <c r="I1595" s="1033"/>
      <c r="J1595" s="1033"/>
      <c r="K1595" s="1033"/>
      <c r="L1595" s="1033"/>
      <c r="M1595" s="1039"/>
      <c r="N1595" s="1066"/>
      <c r="O1595" s="1063"/>
      <c r="P1595" s="1063"/>
      <c r="Q1595" s="1063"/>
      <c r="R1595" s="1069"/>
      <c r="S1595" s="1093"/>
      <c r="T1595" s="1063"/>
      <c r="U1595" s="1063"/>
      <c r="V1595" s="1044"/>
      <c r="W1595" s="1044"/>
      <c r="X1595" s="1033"/>
      <c r="Y1595" s="372" t="s">
        <v>2193</v>
      </c>
      <c r="Z1595" s="386">
        <v>85375135.75</v>
      </c>
      <c r="AA1595" s="386">
        <v>-8537514</v>
      </c>
      <c r="AB1595" s="386">
        <f t="shared" si="101"/>
        <v>76837621.75</v>
      </c>
      <c r="AC1595" s="384">
        <v>42991</v>
      </c>
      <c r="AD1595" s="395">
        <v>76837621.75</v>
      </c>
      <c r="AE1595" s="371" t="s">
        <v>135</v>
      </c>
      <c r="AF1595" s="1044"/>
      <c r="AG1595" s="1044"/>
      <c r="AH1595" s="358">
        <f t="shared" si="102"/>
        <v>0</v>
      </c>
      <c r="AI1595" s="1044"/>
      <c r="AJ1595" s="1063"/>
      <c r="AK1595" s="1063"/>
      <c r="AL1595" s="1063"/>
      <c r="AM1595" s="1063"/>
      <c r="AN1595" s="1109"/>
      <c r="AO1595" s="1104"/>
      <c r="AP1595" s="1104"/>
      <c r="AQ1595" s="1104"/>
      <c r="AS1595" s="205"/>
    </row>
    <row r="1596" spans="1:45" ht="15" customHeight="1">
      <c r="A1596" s="1033"/>
      <c r="B1596" s="1069"/>
      <c r="C1596" s="1033"/>
      <c r="D1596" s="1033"/>
      <c r="E1596" s="1072"/>
      <c r="F1596" s="1072"/>
      <c r="G1596" s="1033"/>
      <c r="H1596" s="1033"/>
      <c r="I1596" s="1033"/>
      <c r="J1596" s="1033"/>
      <c r="K1596" s="1033"/>
      <c r="L1596" s="1033"/>
      <c r="M1596" s="1039"/>
      <c r="N1596" s="1066"/>
      <c r="O1596" s="1063"/>
      <c r="P1596" s="1063"/>
      <c r="Q1596" s="1063"/>
      <c r="R1596" s="1069"/>
      <c r="S1596" s="1093"/>
      <c r="T1596" s="1063"/>
      <c r="U1596" s="1063"/>
      <c r="V1596" s="1044"/>
      <c r="W1596" s="1044"/>
      <c r="X1596" s="1033"/>
      <c r="Y1596" s="372" t="s">
        <v>2273</v>
      </c>
      <c r="Z1596" s="386">
        <v>102450162.90000001</v>
      </c>
      <c r="AA1596" s="386">
        <v>-10245016</v>
      </c>
      <c r="AB1596" s="386">
        <f t="shared" si="101"/>
        <v>92205146.900000006</v>
      </c>
      <c r="AC1596" s="384">
        <v>43080</v>
      </c>
      <c r="AD1596" s="395">
        <v>92205146.900000006</v>
      </c>
      <c r="AE1596" s="371" t="s">
        <v>135</v>
      </c>
      <c r="AF1596" s="1044"/>
      <c r="AG1596" s="1044"/>
      <c r="AH1596" s="358">
        <f t="shared" si="102"/>
        <v>0</v>
      </c>
      <c r="AI1596" s="1044"/>
      <c r="AJ1596" s="1063"/>
      <c r="AK1596" s="1063"/>
      <c r="AL1596" s="1063"/>
      <c r="AM1596" s="1063"/>
      <c r="AN1596" s="1109"/>
      <c r="AO1596" s="1104"/>
      <c r="AP1596" s="1104"/>
      <c r="AQ1596" s="1104"/>
      <c r="AS1596" s="205"/>
    </row>
    <row r="1597" spans="1:45" ht="15" customHeight="1">
      <c r="A1597" s="1012"/>
      <c r="B1597" s="1070"/>
      <c r="C1597" s="1012"/>
      <c r="D1597" s="1012"/>
      <c r="E1597" s="1073"/>
      <c r="F1597" s="1073"/>
      <c r="G1597" s="1012"/>
      <c r="H1597" s="1012"/>
      <c r="I1597" s="1012"/>
      <c r="J1597" s="1012"/>
      <c r="K1597" s="1012"/>
      <c r="L1597" s="1012"/>
      <c r="M1597" s="1010"/>
      <c r="N1597" s="1067"/>
      <c r="O1597" s="1064"/>
      <c r="P1597" s="1064"/>
      <c r="Q1597" s="1064"/>
      <c r="R1597" s="1070"/>
      <c r="S1597" s="1094"/>
      <c r="T1597" s="1064"/>
      <c r="U1597" s="1064"/>
      <c r="V1597" s="1045"/>
      <c r="W1597" s="1045"/>
      <c r="X1597" s="1012"/>
      <c r="Y1597" s="372"/>
      <c r="Z1597" s="386"/>
      <c r="AA1597" s="386"/>
      <c r="AB1597" s="386">
        <f t="shared" si="101"/>
        <v>0</v>
      </c>
      <c r="AC1597" s="384"/>
      <c r="AD1597" s="395"/>
      <c r="AE1597" s="371"/>
      <c r="AF1597" s="1045"/>
      <c r="AG1597" s="1045"/>
      <c r="AH1597" s="358">
        <f t="shared" si="102"/>
        <v>0</v>
      </c>
      <c r="AI1597" s="1045"/>
      <c r="AJ1597" s="1064"/>
      <c r="AK1597" s="1064"/>
      <c r="AL1597" s="1064"/>
      <c r="AM1597" s="1064"/>
      <c r="AN1597" s="1110"/>
      <c r="AO1597" s="1105"/>
      <c r="AP1597" s="1105"/>
      <c r="AQ1597" s="1105"/>
      <c r="AS1597" s="205"/>
    </row>
    <row r="1598" spans="1:45" s="4" customFormat="1" ht="15" customHeight="1">
      <c r="A1598" s="1011" t="s">
        <v>2301</v>
      </c>
      <c r="B1598" s="1068">
        <v>42711</v>
      </c>
      <c r="C1598" s="1011" t="s">
        <v>15</v>
      </c>
      <c r="D1598" s="1011" t="s">
        <v>2300</v>
      </c>
      <c r="E1598" s="1097">
        <v>901033472</v>
      </c>
      <c r="F1598" s="1097">
        <v>3</v>
      </c>
      <c r="G1598" s="1011" t="s">
        <v>2299</v>
      </c>
      <c r="H1598" s="1011" t="s">
        <v>71</v>
      </c>
      <c r="I1598" s="1011" t="s">
        <v>1235</v>
      </c>
      <c r="J1598" s="1011" t="s">
        <v>66</v>
      </c>
      <c r="K1598" s="1011" t="s">
        <v>48</v>
      </c>
      <c r="L1598" s="1011" t="s">
        <v>2298</v>
      </c>
      <c r="M1598" s="1009">
        <v>343</v>
      </c>
      <c r="N1598" s="1021" t="s">
        <v>137</v>
      </c>
      <c r="O1598" s="1062">
        <v>3304910063</v>
      </c>
      <c r="P1598" s="1062">
        <f>O1598+O1608</f>
        <v>3540668005</v>
      </c>
      <c r="Q1598" s="1062">
        <f>P1598+P1614</f>
        <v>4725563612</v>
      </c>
      <c r="R1598" s="1062"/>
      <c r="S1598" s="1089">
        <f>T1598+T1608</f>
        <v>0</v>
      </c>
      <c r="T1598" s="1062"/>
      <c r="U1598" s="1062">
        <f>P1598-T1598</f>
        <v>3540668005</v>
      </c>
      <c r="V1598" s="1062">
        <v>3304910063</v>
      </c>
      <c r="W1598" s="1062">
        <f>V1598+V1608+V1614</f>
        <v>4725563612</v>
      </c>
      <c r="X1598" s="1011"/>
      <c r="Y1598" s="1123" t="s">
        <v>2295</v>
      </c>
      <c r="Z1598" s="386">
        <v>0</v>
      </c>
      <c r="AA1598" s="386">
        <v>47151588</v>
      </c>
      <c r="AB1598" s="386">
        <f t="shared" si="101"/>
        <v>47151588</v>
      </c>
      <c r="AC1598" s="1068">
        <v>42844</v>
      </c>
      <c r="AD1598" s="395">
        <v>47151588</v>
      </c>
      <c r="AE1598" s="371" t="s">
        <v>7</v>
      </c>
      <c r="AF1598" s="1043">
        <f>SUM(AD1598:AD1613)</f>
        <v>2579750238.0799994</v>
      </c>
      <c r="AG1598" s="1043">
        <f>AF1598+AF1614</f>
        <v>3453579685.2999992</v>
      </c>
      <c r="AH1598" s="373">
        <f t="shared" si="102"/>
        <v>0</v>
      </c>
      <c r="AI1598" s="1043">
        <f>O1598-AD1599-AD1600-AD1602-AD1605-AD1607-AD1609-AD1611-AD1613</f>
        <v>867625534.39999998</v>
      </c>
      <c r="AJ1598" s="1043">
        <f>SUM(Z1598:Z1613)-SUM(AD1598:AD1613)</f>
        <v>-200979949.98000002</v>
      </c>
      <c r="AK1598" s="1043">
        <f>O1598-V1598</f>
        <v>0</v>
      </c>
      <c r="AL1598" s="1043">
        <f>SUM(V1598:V1613)-SUM(Z1598:Z1613)+AJ1598</f>
        <v>960917766.92000055</v>
      </c>
      <c r="AM1598" s="1043"/>
      <c r="AN1598" s="1023" t="s">
        <v>2297</v>
      </c>
      <c r="AO1598" s="1125" t="s">
        <v>2296</v>
      </c>
      <c r="AP1598" s="1023" t="s">
        <v>194</v>
      </c>
      <c r="AQ1598" s="1023" t="s">
        <v>1911</v>
      </c>
      <c r="AS1598" s="205"/>
    </row>
    <row r="1599" spans="1:45" s="4" customFormat="1" ht="15" customHeight="1">
      <c r="A1599" s="1033"/>
      <c r="B1599" s="1069"/>
      <c r="C1599" s="1033"/>
      <c r="D1599" s="1033"/>
      <c r="E1599" s="1098"/>
      <c r="F1599" s="1098"/>
      <c r="G1599" s="1033"/>
      <c r="H1599" s="1033"/>
      <c r="I1599" s="1033"/>
      <c r="J1599" s="1033"/>
      <c r="K1599" s="1033"/>
      <c r="L1599" s="1033"/>
      <c r="M1599" s="1039"/>
      <c r="N1599" s="1022"/>
      <c r="O1599" s="1063"/>
      <c r="P1599" s="1063"/>
      <c r="Q1599" s="1063"/>
      <c r="R1599" s="1063"/>
      <c r="S1599" s="1090"/>
      <c r="T1599" s="1063"/>
      <c r="U1599" s="1063"/>
      <c r="V1599" s="1063"/>
      <c r="W1599" s="1063"/>
      <c r="X1599" s="1033"/>
      <c r="Y1599" s="1123"/>
      <c r="Z1599" s="386">
        <v>0</v>
      </c>
      <c r="AA1599" s="386">
        <v>660982012</v>
      </c>
      <c r="AB1599" s="386">
        <f t="shared" si="101"/>
        <v>660982012</v>
      </c>
      <c r="AC1599" s="1070"/>
      <c r="AD1599" s="395">
        <v>660982012</v>
      </c>
      <c r="AE1599" s="371" t="s">
        <v>137</v>
      </c>
      <c r="AF1599" s="1044"/>
      <c r="AG1599" s="1044"/>
      <c r="AH1599" s="373">
        <f t="shared" si="102"/>
        <v>0</v>
      </c>
      <c r="AI1599" s="1044"/>
      <c r="AJ1599" s="1044"/>
      <c r="AK1599" s="1044"/>
      <c r="AL1599" s="1044"/>
      <c r="AM1599" s="1044"/>
      <c r="AN1599" s="1124"/>
      <c r="AO1599" s="1124"/>
      <c r="AP1599" s="1124"/>
      <c r="AQ1599" s="1124"/>
      <c r="AS1599" s="205"/>
    </row>
    <row r="1600" spans="1:45" s="4" customFormat="1" ht="15" customHeight="1">
      <c r="A1600" s="1033"/>
      <c r="B1600" s="1069"/>
      <c r="C1600" s="1033"/>
      <c r="D1600" s="1033"/>
      <c r="E1600" s="1098"/>
      <c r="F1600" s="1098"/>
      <c r="G1600" s="1033"/>
      <c r="H1600" s="1033"/>
      <c r="I1600" s="1033"/>
      <c r="J1600" s="1033"/>
      <c r="K1600" s="1033"/>
      <c r="L1600" s="1033"/>
      <c r="M1600" s="1039"/>
      <c r="N1600" s="1022"/>
      <c r="O1600" s="1063"/>
      <c r="P1600" s="1063"/>
      <c r="Q1600" s="1063"/>
      <c r="R1600" s="1063"/>
      <c r="S1600" s="1090"/>
      <c r="T1600" s="1063"/>
      <c r="U1600" s="1063"/>
      <c r="V1600" s="1063"/>
      <c r="W1600" s="1063"/>
      <c r="X1600" s="1033"/>
      <c r="Y1600" s="1123" t="s">
        <v>2294</v>
      </c>
      <c r="Z1600" s="386">
        <v>274985517.82999998</v>
      </c>
      <c r="AA1600" s="386">
        <v>-54997103.43</v>
      </c>
      <c r="AB1600" s="386">
        <f t="shared" si="101"/>
        <v>219988414.39999998</v>
      </c>
      <c r="AC1600" s="1068">
        <v>42928</v>
      </c>
      <c r="AD1600" s="395">
        <v>219988414.40000001</v>
      </c>
      <c r="AE1600" s="371" t="s">
        <v>137</v>
      </c>
      <c r="AF1600" s="1044"/>
      <c r="AG1600" s="1044"/>
      <c r="AH1600" s="373">
        <f t="shared" si="102"/>
        <v>0</v>
      </c>
      <c r="AI1600" s="1044"/>
      <c r="AJ1600" s="1044"/>
      <c r="AK1600" s="1044"/>
      <c r="AL1600" s="1044"/>
      <c r="AM1600" s="1044"/>
      <c r="AN1600" s="1124"/>
      <c r="AO1600" s="1124"/>
      <c r="AP1600" s="1124"/>
      <c r="AQ1600" s="1124"/>
      <c r="AS1600" s="205"/>
    </row>
    <row r="1601" spans="1:45" s="4" customFormat="1" ht="15" customHeight="1">
      <c r="A1601" s="1033"/>
      <c r="B1601" s="1069"/>
      <c r="C1601" s="1033"/>
      <c r="D1601" s="1033"/>
      <c r="E1601" s="1098"/>
      <c r="F1601" s="1098"/>
      <c r="G1601" s="1033"/>
      <c r="H1601" s="1033"/>
      <c r="I1601" s="1033"/>
      <c r="J1601" s="1033"/>
      <c r="K1601" s="1033"/>
      <c r="L1601" s="1033"/>
      <c r="M1601" s="1039"/>
      <c r="N1601" s="1022"/>
      <c r="O1601" s="1063"/>
      <c r="P1601" s="1063"/>
      <c r="Q1601" s="1063"/>
      <c r="R1601" s="1063"/>
      <c r="S1601" s="1090"/>
      <c r="T1601" s="1063"/>
      <c r="U1601" s="1063"/>
      <c r="V1601" s="1063"/>
      <c r="W1601" s="1063"/>
      <c r="X1601" s="1033"/>
      <c r="Y1601" s="1123"/>
      <c r="Z1601" s="386">
        <v>19616273.52</v>
      </c>
      <c r="AA1601" s="386">
        <v>-3923254.69</v>
      </c>
      <c r="AB1601" s="386">
        <f t="shared" si="101"/>
        <v>15693018.83</v>
      </c>
      <c r="AC1601" s="1070"/>
      <c r="AD1601" s="395">
        <v>0</v>
      </c>
      <c r="AE1601" s="371" t="s">
        <v>7</v>
      </c>
      <c r="AF1601" s="1044"/>
      <c r="AG1601" s="1044"/>
      <c r="AH1601" s="373">
        <f t="shared" si="102"/>
        <v>15693018.83</v>
      </c>
      <c r="AI1601" s="1044"/>
      <c r="AJ1601" s="1044"/>
      <c r="AK1601" s="1044"/>
      <c r="AL1601" s="1044"/>
      <c r="AM1601" s="1044"/>
      <c r="AN1601" s="1124"/>
      <c r="AO1601" s="1124"/>
      <c r="AP1601" s="1124"/>
      <c r="AQ1601" s="1124"/>
      <c r="AS1601" s="205"/>
    </row>
    <row r="1602" spans="1:45" s="4" customFormat="1" ht="15" customHeight="1">
      <c r="A1602" s="1033"/>
      <c r="B1602" s="1069"/>
      <c r="C1602" s="1033"/>
      <c r="D1602" s="1033"/>
      <c r="E1602" s="1098"/>
      <c r="F1602" s="1098"/>
      <c r="G1602" s="1033"/>
      <c r="H1602" s="1033"/>
      <c r="I1602" s="1033"/>
      <c r="J1602" s="1033"/>
      <c r="K1602" s="1033"/>
      <c r="L1602" s="1033"/>
      <c r="M1602" s="1039"/>
      <c r="N1602" s="1022"/>
      <c r="O1602" s="1063"/>
      <c r="P1602" s="1063"/>
      <c r="Q1602" s="1063"/>
      <c r="R1602" s="1063"/>
      <c r="S1602" s="1090"/>
      <c r="T1602" s="1063"/>
      <c r="U1602" s="1063"/>
      <c r="V1602" s="1063"/>
      <c r="W1602" s="1063"/>
      <c r="X1602" s="1033"/>
      <c r="Y1602" s="1065" t="s">
        <v>2293</v>
      </c>
      <c r="Z1602" s="386">
        <v>275223022.64999998</v>
      </c>
      <c r="AA1602" s="386">
        <v>-55044604.530000001</v>
      </c>
      <c r="AB1602" s="386">
        <f t="shared" si="101"/>
        <v>220178418.11999997</v>
      </c>
      <c r="AC1602" s="1068">
        <v>42956</v>
      </c>
      <c r="AD1602" s="395">
        <v>220178418.12</v>
      </c>
      <c r="AE1602" s="371" t="s">
        <v>137</v>
      </c>
      <c r="AF1602" s="1044"/>
      <c r="AG1602" s="1044"/>
      <c r="AH1602" s="373">
        <f t="shared" si="102"/>
        <v>0</v>
      </c>
      <c r="AI1602" s="1044"/>
      <c r="AJ1602" s="1044"/>
      <c r="AK1602" s="1044"/>
      <c r="AL1602" s="1044"/>
      <c r="AM1602" s="1044"/>
      <c r="AN1602" s="1124"/>
      <c r="AO1602" s="1124"/>
      <c r="AP1602" s="1124"/>
      <c r="AQ1602" s="1124"/>
      <c r="AS1602" s="205">
        <f>SUM(AS1586:AS1601)</f>
        <v>0</v>
      </c>
    </row>
    <row r="1603" spans="1:45" s="4" customFormat="1" ht="15" customHeight="1">
      <c r="A1603" s="1033"/>
      <c r="B1603" s="1069"/>
      <c r="C1603" s="1033"/>
      <c r="D1603" s="1033"/>
      <c r="E1603" s="1098"/>
      <c r="F1603" s="1098"/>
      <c r="G1603" s="1033"/>
      <c r="H1603" s="1033"/>
      <c r="I1603" s="1033"/>
      <c r="J1603" s="1033"/>
      <c r="K1603" s="1033"/>
      <c r="L1603" s="1033"/>
      <c r="M1603" s="1039"/>
      <c r="N1603" s="1022"/>
      <c r="O1603" s="1063"/>
      <c r="P1603" s="1063"/>
      <c r="Q1603" s="1063"/>
      <c r="R1603" s="1063"/>
      <c r="S1603" s="1090"/>
      <c r="T1603" s="1063"/>
      <c r="U1603" s="1063"/>
      <c r="V1603" s="1063"/>
      <c r="W1603" s="1063"/>
      <c r="X1603" s="1033"/>
      <c r="Y1603" s="1067"/>
      <c r="Z1603" s="386">
        <v>19633216.09</v>
      </c>
      <c r="AA1603" s="386">
        <v>-3926643.22</v>
      </c>
      <c r="AB1603" s="386">
        <f t="shared" si="101"/>
        <v>15706572.869999999</v>
      </c>
      <c r="AC1603" s="1070"/>
      <c r="AD1603" s="395">
        <v>0</v>
      </c>
      <c r="AE1603" s="371" t="s">
        <v>7</v>
      </c>
      <c r="AF1603" s="1044"/>
      <c r="AG1603" s="1044"/>
      <c r="AH1603" s="373">
        <f t="shared" si="102"/>
        <v>15706572.869999999</v>
      </c>
      <c r="AI1603" s="1044"/>
      <c r="AJ1603" s="1044"/>
      <c r="AK1603" s="1044"/>
      <c r="AL1603" s="1044"/>
      <c r="AM1603" s="1044"/>
      <c r="AN1603" s="1124"/>
      <c r="AO1603" s="1124"/>
      <c r="AP1603" s="1124"/>
      <c r="AQ1603" s="1124"/>
    </row>
    <row r="1604" spans="1:45" s="4" customFormat="1" ht="15" customHeight="1">
      <c r="A1604" s="1033"/>
      <c r="B1604" s="1069"/>
      <c r="C1604" s="1033"/>
      <c r="D1604" s="1033"/>
      <c r="E1604" s="1098"/>
      <c r="F1604" s="1098"/>
      <c r="G1604" s="1033"/>
      <c r="H1604" s="1033"/>
      <c r="I1604" s="1033"/>
      <c r="J1604" s="1033"/>
      <c r="K1604" s="1033"/>
      <c r="L1604" s="1033"/>
      <c r="M1604" s="1039"/>
      <c r="N1604" s="1022"/>
      <c r="O1604" s="1063"/>
      <c r="P1604" s="1063"/>
      <c r="Q1604" s="1063"/>
      <c r="R1604" s="1063"/>
      <c r="S1604" s="1090"/>
      <c r="T1604" s="1063"/>
      <c r="U1604" s="1063"/>
      <c r="V1604" s="1063"/>
      <c r="W1604" s="1063"/>
      <c r="X1604" s="1033"/>
      <c r="Y1604" s="1065" t="s">
        <v>2292</v>
      </c>
      <c r="Z1604" s="386">
        <v>21229208.52</v>
      </c>
      <c r="AA1604" s="386">
        <v>-4245841.7</v>
      </c>
      <c r="AB1604" s="386">
        <f t="shared" si="101"/>
        <v>16983366.82</v>
      </c>
      <c r="AC1604" s="1068">
        <v>43004</v>
      </c>
      <c r="AD1604" s="395">
        <v>16983366.82</v>
      </c>
      <c r="AE1604" s="371" t="s">
        <v>7</v>
      </c>
      <c r="AF1604" s="1044"/>
      <c r="AG1604" s="1044"/>
      <c r="AH1604" s="373">
        <f t="shared" si="102"/>
        <v>0</v>
      </c>
      <c r="AI1604" s="1044"/>
      <c r="AJ1604" s="1044"/>
      <c r="AK1604" s="1044"/>
      <c r="AL1604" s="1044"/>
      <c r="AM1604" s="1044"/>
      <c r="AN1604" s="1124"/>
      <c r="AO1604" s="1124"/>
      <c r="AP1604" s="1124"/>
      <c r="AQ1604" s="1124"/>
    </row>
    <row r="1605" spans="1:45" s="4" customFormat="1" ht="15" customHeight="1">
      <c r="A1605" s="1033"/>
      <c r="B1605" s="1069"/>
      <c r="C1605" s="1033"/>
      <c r="D1605" s="1033"/>
      <c r="E1605" s="1098"/>
      <c r="F1605" s="1098"/>
      <c r="G1605" s="1033"/>
      <c r="H1605" s="1033"/>
      <c r="I1605" s="1033"/>
      <c r="J1605" s="1033"/>
      <c r="K1605" s="1033"/>
      <c r="L1605" s="1033"/>
      <c r="M1605" s="1039"/>
      <c r="N1605" s="1022"/>
      <c r="O1605" s="1063"/>
      <c r="P1605" s="1063"/>
      <c r="Q1605" s="1063"/>
      <c r="R1605" s="1063"/>
      <c r="S1605" s="1090"/>
      <c r="T1605" s="1063"/>
      <c r="U1605" s="1063"/>
      <c r="V1605" s="1063"/>
      <c r="W1605" s="1063"/>
      <c r="X1605" s="1033"/>
      <c r="Y1605" s="1067"/>
      <c r="Z1605" s="386">
        <v>297596018.44</v>
      </c>
      <c r="AA1605" s="386">
        <v>-59519203.689999998</v>
      </c>
      <c r="AB1605" s="386">
        <f t="shared" si="101"/>
        <v>238076814.75</v>
      </c>
      <c r="AC1605" s="1070"/>
      <c r="AD1605" s="395">
        <v>238076814.75</v>
      </c>
      <c r="AE1605" s="371" t="s">
        <v>137</v>
      </c>
      <c r="AF1605" s="1044"/>
      <c r="AG1605" s="1044"/>
      <c r="AH1605" s="373">
        <f t="shared" si="102"/>
        <v>0</v>
      </c>
      <c r="AI1605" s="1044"/>
      <c r="AJ1605" s="1044"/>
      <c r="AK1605" s="1044"/>
      <c r="AL1605" s="1044"/>
      <c r="AM1605" s="1044"/>
      <c r="AN1605" s="1124"/>
      <c r="AO1605" s="1124"/>
      <c r="AP1605" s="1124"/>
      <c r="AQ1605" s="1124"/>
    </row>
    <row r="1606" spans="1:45" s="4" customFormat="1" ht="15" customHeight="1">
      <c r="A1606" s="1033"/>
      <c r="B1606" s="1069"/>
      <c r="C1606" s="1033"/>
      <c r="D1606" s="1033"/>
      <c r="E1606" s="1098"/>
      <c r="F1606" s="1098"/>
      <c r="G1606" s="1033"/>
      <c r="H1606" s="1033"/>
      <c r="I1606" s="1033"/>
      <c r="J1606" s="1033"/>
      <c r="K1606" s="1033"/>
      <c r="L1606" s="1033"/>
      <c r="M1606" s="1039"/>
      <c r="N1606" s="1022"/>
      <c r="O1606" s="1063"/>
      <c r="P1606" s="1063"/>
      <c r="Q1606" s="1063"/>
      <c r="R1606" s="1063"/>
      <c r="S1606" s="1090"/>
      <c r="T1606" s="1063"/>
      <c r="U1606" s="1063"/>
      <c r="V1606" s="1063"/>
      <c r="W1606" s="1063"/>
      <c r="X1606" s="1033"/>
      <c r="Y1606" s="1065" t="s">
        <v>2291</v>
      </c>
      <c r="Z1606" s="386">
        <v>24903399.210000001</v>
      </c>
      <c r="AA1606" s="386">
        <v>-4980679.66</v>
      </c>
      <c r="AB1606" s="386">
        <f t="shared" si="101"/>
        <v>19922719.550000001</v>
      </c>
      <c r="AC1606" s="1068">
        <v>43007</v>
      </c>
      <c r="AD1606" s="395">
        <v>19922719.350000001</v>
      </c>
      <c r="AE1606" s="371" t="s">
        <v>7</v>
      </c>
      <c r="AF1606" s="1044"/>
      <c r="AG1606" s="1044"/>
      <c r="AH1606" s="373">
        <f t="shared" si="102"/>
        <v>0.19999999925494194</v>
      </c>
      <c r="AI1606" s="1044"/>
      <c r="AJ1606" s="1044"/>
      <c r="AK1606" s="1044"/>
      <c r="AL1606" s="1044"/>
      <c r="AM1606" s="1044"/>
      <c r="AN1606" s="1124"/>
      <c r="AO1606" s="1124"/>
      <c r="AP1606" s="1124"/>
      <c r="AQ1606" s="1124"/>
    </row>
    <row r="1607" spans="1:45" s="4" customFormat="1" ht="15" customHeight="1">
      <c r="A1607" s="1033"/>
      <c r="B1607" s="1069"/>
      <c r="C1607" s="1033"/>
      <c r="D1607" s="1033"/>
      <c r="E1607" s="1098"/>
      <c r="F1607" s="1098"/>
      <c r="G1607" s="1033"/>
      <c r="H1607" s="1033"/>
      <c r="I1607" s="1033"/>
      <c r="J1607" s="1033"/>
      <c r="K1607" s="1033"/>
      <c r="L1607" s="1033"/>
      <c r="M1607" s="1039"/>
      <c r="N1607" s="1038"/>
      <c r="O1607" s="1064"/>
      <c r="P1607" s="1063"/>
      <c r="Q1607" s="1063"/>
      <c r="R1607" s="1063"/>
      <c r="S1607" s="1090"/>
      <c r="T1607" s="1064"/>
      <c r="U1607" s="1064"/>
      <c r="V1607" s="1064"/>
      <c r="W1607" s="1063"/>
      <c r="X1607" s="1033"/>
      <c r="Y1607" s="1067"/>
      <c r="Z1607" s="386">
        <v>349101684.38</v>
      </c>
      <c r="AA1607" s="386">
        <v>-69820337.159999996</v>
      </c>
      <c r="AB1607" s="386">
        <f t="shared" si="101"/>
        <v>279281347.22000003</v>
      </c>
      <c r="AC1607" s="1070"/>
      <c r="AD1607" s="395">
        <v>279281347.22000003</v>
      </c>
      <c r="AE1607" s="371" t="s">
        <v>137</v>
      </c>
      <c r="AF1607" s="1044"/>
      <c r="AG1607" s="1044"/>
      <c r="AH1607" s="373">
        <f t="shared" si="102"/>
        <v>0</v>
      </c>
      <c r="AI1607" s="1045"/>
      <c r="AJ1607" s="1044"/>
      <c r="AK1607" s="1045"/>
      <c r="AL1607" s="1044"/>
      <c r="AM1607" s="1044"/>
      <c r="AN1607" s="1124"/>
      <c r="AO1607" s="1124"/>
      <c r="AP1607" s="1124"/>
      <c r="AQ1607" s="1124"/>
    </row>
    <row r="1608" spans="1:45" s="4" customFormat="1" ht="15" customHeight="1">
      <c r="A1608" s="1033"/>
      <c r="B1608" s="1069"/>
      <c r="C1608" s="1033"/>
      <c r="D1608" s="1033"/>
      <c r="E1608" s="1098"/>
      <c r="F1608" s="1098"/>
      <c r="G1608" s="1033"/>
      <c r="H1608" s="1033"/>
      <c r="I1608" s="1033"/>
      <c r="J1608" s="1033"/>
      <c r="K1608" s="1033"/>
      <c r="L1608" s="1033"/>
      <c r="M1608" s="1039"/>
      <c r="N1608" s="1122" t="s">
        <v>7</v>
      </c>
      <c r="O1608" s="1062">
        <v>235757942</v>
      </c>
      <c r="P1608" s="1063"/>
      <c r="Q1608" s="1063"/>
      <c r="R1608" s="1063"/>
      <c r="S1608" s="1090"/>
      <c r="T1608" s="1062"/>
      <c r="U1608" s="1062">
        <f>O1608-T1608</f>
        <v>235757942</v>
      </c>
      <c r="V1608" s="1062">
        <v>235757942</v>
      </c>
      <c r="W1608" s="1063"/>
      <c r="X1608" s="1033"/>
      <c r="Y1608" s="1065" t="s">
        <v>2290</v>
      </c>
      <c r="Z1608" s="386">
        <v>23293362.870000001</v>
      </c>
      <c r="AA1608" s="386">
        <v>-4658672.55</v>
      </c>
      <c r="AB1608" s="386">
        <f t="shared" si="101"/>
        <v>18634690.32</v>
      </c>
      <c r="AC1608" s="1068">
        <v>43038</v>
      </c>
      <c r="AD1608" s="395">
        <v>18634690.32</v>
      </c>
      <c r="AE1608" s="371" t="s">
        <v>7</v>
      </c>
      <c r="AF1608" s="1044"/>
      <c r="AG1608" s="1044"/>
      <c r="AH1608" s="373">
        <f t="shared" si="102"/>
        <v>0</v>
      </c>
      <c r="AI1608" s="1043">
        <f>O1608-AD1598-AD1601-AD1603-AD1604-AD1606-AD1608-AD1610-AD1612</f>
        <v>93292232.520000026</v>
      </c>
      <c r="AJ1608" s="1044"/>
      <c r="AK1608" s="1043">
        <f>O1608-V1608</f>
        <v>0</v>
      </c>
      <c r="AL1608" s="1044"/>
      <c r="AM1608" s="1044"/>
      <c r="AN1608" s="1124"/>
      <c r="AO1608" s="1124"/>
      <c r="AP1608" s="1124"/>
      <c r="AQ1608" s="1124"/>
    </row>
    <row r="1609" spans="1:45" s="4" customFormat="1" ht="15" customHeight="1">
      <c r="A1609" s="1033"/>
      <c r="B1609" s="1069"/>
      <c r="C1609" s="1033"/>
      <c r="D1609" s="1033"/>
      <c r="E1609" s="1098"/>
      <c r="F1609" s="1098"/>
      <c r="G1609" s="1033"/>
      <c r="H1609" s="1033"/>
      <c r="I1609" s="1033"/>
      <c r="J1609" s="1033"/>
      <c r="K1609" s="1033"/>
      <c r="L1609" s="1033"/>
      <c r="M1609" s="1039"/>
      <c r="N1609" s="1122"/>
      <c r="O1609" s="1063"/>
      <c r="P1609" s="1063"/>
      <c r="Q1609" s="1063"/>
      <c r="R1609" s="1063"/>
      <c r="S1609" s="1090"/>
      <c r="T1609" s="1063"/>
      <c r="U1609" s="1063"/>
      <c r="V1609" s="1063"/>
      <c r="W1609" s="1063"/>
      <c r="X1609" s="1033"/>
      <c r="Y1609" s="1067"/>
      <c r="Z1609" s="386">
        <v>326531817.75999999</v>
      </c>
      <c r="AA1609" s="386">
        <v>-65306363.530000001</v>
      </c>
      <c r="AB1609" s="386">
        <f t="shared" si="101"/>
        <v>261225454.22999999</v>
      </c>
      <c r="AC1609" s="1070"/>
      <c r="AD1609" s="395">
        <v>261225454.22999999</v>
      </c>
      <c r="AE1609" s="371" t="s">
        <v>137</v>
      </c>
      <c r="AF1609" s="1044"/>
      <c r="AG1609" s="1044"/>
      <c r="AH1609" s="373">
        <f t="shared" si="102"/>
        <v>0</v>
      </c>
      <c r="AI1609" s="1044"/>
      <c r="AJ1609" s="1044"/>
      <c r="AK1609" s="1044"/>
      <c r="AL1609" s="1044"/>
      <c r="AM1609" s="1044"/>
      <c r="AN1609" s="1124"/>
      <c r="AO1609" s="1124"/>
      <c r="AP1609" s="1124"/>
      <c r="AQ1609" s="1124"/>
    </row>
    <row r="1610" spans="1:45" s="4" customFormat="1" ht="15" customHeight="1">
      <c r="A1610" s="1033"/>
      <c r="B1610" s="1069"/>
      <c r="C1610" s="1033"/>
      <c r="D1610" s="1033"/>
      <c r="E1610" s="1098"/>
      <c r="F1610" s="1098"/>
      <c r="G1610" s="1033"/>
      <c r="H1610" s="1033"/>
      <c r="I1610" s="1033"/>
      <c r="J1610" s="1033"/>
      <c r="K1610" s="1033"/>
      <c r="L1610" s="1033"/>
      <c r="M1610" s="1039"/>
      <c r="N1610" s="1122"/>
      <c r="O1610" s="1063"/>
      <c r="P1610" s="1063"/>
      <c r="Q1610" s="1063"/>
      <c r="R1610" s="1063"/>
      <c r="S1610" s="1090"/>
      <c r="T1610" s="1063"/>
      <c r="U1610" s="1063"/>
      <c r="V1610" s="1063"/>
      <c r="W1610" s="1063"/>
      <c r="X1610" s="1033"/>
      <c r="Y1610" s="1065" t="s">
        <v>2289</v>
      </c>
      <c r="Z1610" s="386">
        <v>22693936.260000002</v>
      </c>
      <c r="AA1610" s="386">
        <v>-4538787.2699999996</v>
      </c>
      <c r="AB1610" s="386">
        <f t="shared" si="101"/>
        <v>18155148.990000002</v>
      </c>
      <c r="AC1610" s="1068">
        <v>42344</v>
      </c>
      <c r="AD1610" s="395">
        <v>18155148.989999998</v>
      </c>
      <c r="AE1610" s="371" t="s">
        <v>7</v>
      </c>
      <c r="AF1610" s="1044"/>
      <c r="AG1610" s="1044"/>
      <c r="AH1610" s="373">
        <f t="shared" si="102"/>
        <v>0</v>
      </c>
      <c r="AI1610" s="1044"/>
      <c r="AJ1610" s="1044"/>
      <c r="AK1610" s="1044"/>
      <c r="AL1610" s="1044"/>
      <c r="AM1610" s="1044"/>
      <c r="AN1610" s="1124"/>
      <c r="AO1610" s="1124"/>
      <c r="AP1610" s="1124"/>
      <c r="AQ1610" s="1124"/>
    </row>
    <row r="1611" spans="1:45" s="4" customFormat="1" ht="15" customHeight="1">
      <c r="A1611" s="1033"/>
      <c r="B1611" s="1069"/>
      <c r="C1611" s="1033"/>
      <c r="D1611" s="1033"/>
      <c r="E1611" s="1098"/>
      <c r="F1611" s="1098"/>
      <c r="G1611" s="1033"/>
      <c r="H1611" s="1033"/>
      <c r="I1611" s="1033"/>
      <c r="J1611" s="1033"/>
      <c r="K1611" s="1033"/>
      <c r="L1611" s="1033"/>
      <c r="M1611" s="1039"/>
      <c r="N1611" s="1122"/>
      <c r="O1611" s="1063"/>
      <c r="P1611" s="1063"/>
      <c r="Q1611" s="1063"/>
      <c r="R1611" s="1063"/>
      <c r="S1611" s="1090"/>
      <c r="T1611" s="1063"/>
      <c r="U1611" s="1063"/>
      <c r="V1611" s="1063"/>
      <c r="W1611" s="1063"/>
      <c r="X1611" s="1033"/>
      <c r="Y1611" s="1067"/>
      <c r="Z1611" s="386">
        <v>318128915.01999998</v>
      </c>
      <c r="AA1611" s="386">
        <v>-63625783.280000001</v>
      </c>
      <c r="AB1611" s="386">
        <f t="shared" si="101"/>
        <v>254503131.73999998</v>
      </c>
      <c r="AC1611" s="1070"/>
      <c r="AD1611" s="395">
        <v>254503131.74000001</v>
      </c>
      <c r="AE1611" s="371" t="s">
        <v>137</v>
      </c>
      <c r="AF1611" s="1044"/>
      <c r="AG1611" s="1044"/>
      <c r="AH1611" s="373">
        <f t="shared" si="102"/>
        <v>0</v>
      </c>
      <c r="AI1611" s="1044"/>
      <c r="AJ1611" s="1044"/>
      <c r="AK1611" s="1044"/>
      <c r="AL1611" s="1044"/>
      <c r="AM1611" s="1044"/>
      <c r="AN1611" s="1124"/>
      <c r="AO1611" s="1124"/>
      <c r="AP1611" s="1124"/>
      <c r="AQ1611" s="1124"/>
    </row>
    <row r="1612" spans="1:45" s="4" customFormat="1" ht="15" customHeight="1">
      <c r="A1612" s="1033"/>
      <c r="B1612" s="1069"/>
      <c r="C1612" s="1033"/>
      <c r="D1612" s="1033"/>
      <c r="E1612" s="1098"/>
      <c r="F1612" s="1098"/>
      <c r="G1612" s="1033"/>
      <c r="H1612" s="1033"/>
      <c r="I1612" s="1033"/>
      <c r="J1612" s="1033"/>
      <c r="K1612" s="1033"/>
      <c r="L1612" s="1033"/>
      <c r="M1612" s="1039"/>
      <c r="N1612" s="1122"/>
      <c r="O1612" s="1063"/>
      <c r="P1612" s="1063"/>
      <c r="Q1612" s="1063"/>
      <c r="R1612" s="1063"/>
      <c r="S1612" s="1090"/>
      <c r="T1612" s="1063"/>
      <c r="U1612" s="1063"/>
      <c r="V1612" s="1063"/>
      <c r="W1612" s="1063"/>
      <c r="X1612" s="1033"/>
      <c r="Y1612" s="1065" t="s">
        <v>2288</v>
      </c>
      <c r="Z1612" s="386">
        <v>27022745.02</v>
      </c>
      <c r="AA1612" s="386">
        <v>-5404549.0199999996</v>
      </c>
      <c r="AB1612" s="386">
        <f t="shared" si="101"/>
        <v>21618196</v>
      </c>
      <c r="AC1612" s="1068">
        <v>43096</v>
      </c>
      <c r="AD1612" s="395">
        <v>21618196</v>
      </c>
      <c r="AE1612" s="371" t="s">
        <v>7</v>
      </c>
      <c r="AF1612" s="1044"/>
      <c r="AG1612" s="1044"/>
      <c r="AH1612" s="373">
        <f t="shared" si="102"/>
        <v>0</v>
      </c>
      <c r="AI1612" s="1044"/>
      <c r="AJ1612" s="1044"/>
      <c r="AK1612" s="1044"/>
      <c r="AL1612" s="1044"/>
      <c r="AM1612" s="1044"/>
      <c r="AN1612" s="1124"/>
      <c r="AO1612" s="1124"/>
      <c r="AP1612" s="1124"/>
      <c r="AQ1612" s="1124"/>
    </row>
    <row r="1613" spans="1:45" s="4" customFormat="1" ht="15" customHeight="1">
      <c r="A1613" s="1033"/>
      <c r="B1613" s="1069"/>
      <c r="C1613" s="1033"/>
      <c r="D1613" s="1033"/>
      <c r="E1613" s="1098"/>
      <c r="F1613" s="1098"/>
      <c r="G1613" s="1033"/>
      <c r="H1613" s="1033"/>
      <c r="I1613" s="1033"/>
      <c r="J1613" s="1033"/>
      <c r="K1613" s="1033"/>
      <c r="L1613" s="1033"/>
      <c r="M1613" s="1039"/>
      <c r="N1613" s="1122"/>
      <c r="O1613" s="1063"/>
      <c r="P1613" s="1064"/>
      <c r="Q1613" s="1063"/>
      <c r="R1613" s="1064"/>
      <c r="S1613" s="1091"/>
      <c r="T1613" s="1064"/>
      <c r="U1613" s="1064"/>
      <c r="V1613" s="1064"/>
      <c r="W1613" s="1063"/>
      <c r="X1613" s="1033"/>
      <c r="Y1613" s="1067"/>
      <c r="Z1613" s="386">
        <v>378811170.52999997</v>
      </c>
      <c r="AA1613" s="386">
        <v>-75762234.390000001</v>
      </c>
      <c r="AB1613" s="386">
        <f t="shared" si="101"/>
        <v>303048936.13999999</v>
      </c>
      <c r="AC1613" s="1070"/>
      <c r="AD1613" s="395">
        <v>303048936.13999999</v>
      </c>
      <c r="AE1613" s="371" t="s">
        <v>137</v>
      </c>
      <c r="AF1613" s="1045"/>
      <c r="AG1613" s="1044"/>
      <c r="AH1613" s="373">
        <f t="shared" si="102"/>
        <v>0</v>
      </c>
      <c r="AI1613" s="1045"/>
      <c r="AJ1613" s="1045"/>
      <c r="AK1613" s="1045"/>
      <c r="AL1613" s="1045"/>
      <c r="AM1613" s="1045"/>
      <c r="AN1613" s="1124"/>
      <c r="AO1613" s="1124"/>
      <c r="AP1613" s="1124"/>
      <c r="AQ1613" s="1124"/>
    </row>
    <row r="1614" spans="1:45" s="4" customFormat="1" ht="15" customHeight="1">
      <c r="A1614" s="1033"/>
      <c r="B1614" s="1069"/>
      <c r="C1614" s="1033"/>
      <c r="D1614" s="1033"/>
      <c r="E1614" s="1098"/>
      <c r="F1614" s="1098"/>
      <c r="G1614" s="1033"/>
      <c r="H1614" s="1033"/>
      <c r="I1614" s="1033"/>
      <c r="J1614" s="1033"/>
      <c r="K1614" s="1033"/>
      <c r="L1614" s="1033"/>
      <c r="M1614" s="1009">
        <v>9</v>
      </c>
      <c r="N1614" s="1123" t="s">
        <v>135</v>
      </c>
      <c r="O1614" s="1062">
        <v>1184895607</v>
      </c>
      <c r="P1614" s="1062">
        <f>O1614</f>
        <v>1184895607</v>
      </c>
      <c r="Q1614" s="1063"/>
      <c r="R1614" s="1132">
        <v>42641</v>
      </c>
      <c r="S1614" s="1089">
        <f>T1614</f>
        <v>0</v>
      </c>
      <c r="T1614" s="1089"/>
      <c r="U1614" s="1089">
        <f>P1614-T1614</f>
        <v>1184895607</v>
      </c>
      <c r="V1614" s="1062">
        <v>1184895607</v>
      </c>
      <c r="W1614" s="1063"/>
      <c r="X1614" s="1033"/>
      <c r="Y1614" s="372" t="s">
        <v>2295</v>
      </c>
      <c r="Z1614" s="386">
        <v>0</v>
      </c>
      <c r="AA1614" s="386">
        <v>236979122</v>
      </c>
      <c r="AB1614" s="386">
        <f t="shared" si="101"/>
        <v>236979122</v>
      </c>
      <c r="AC1614" s="384">
        <v>42844</v>
      </c>
      <c r="AD1614" s="395">
        <v>236979122</v>
      </c>
      <c r="AE1614" s="372" t="s">
        <v>135</v>
      </c>
      <c r="AF1614" s="1043">
        <f>SUM(AD1614:AD1621)</f>
        <v>873829447.22000003</v>
      </c>
      <c r="AG1614" s="1044"/>
      <c r="AH1614" s="373">
        <f t="shared" si="102"/>
        <v>0</v>
      </c>
      <c r="AI1614" s="1043">
        <f>V1614-AF1614</f>
        <v>311066159.77999997</v>
      </c>
      <c r="AJ1614" s="1043">
        <f>SUM(Z1614:Z1621)-SUM(AD1614:AD1621)</f>
        <v>-77766540.319999933</v>
      </c>
      <c r="AK1614" s="1062">
        <f>P1614-V1614</f>
        <v>0</v>
      </c>
      <c r="AL1614" s="1062">
        <f>V1614-SUM(Z1614:Z1621)+AJ1614</f>
        <v>311066159.77999997</v>
      </c>
      <c r="AM1614" s="1062"/>
      <c r="AN1614" s="1124"/>
      <c r="AO1614" s="1124"/>
      <c r="AP1614" s="1124"/>
      <c r="AQ1614" s="1124"/>
    </row>
    <row r="1615" spans="1:45" s="4" customFormat="1" ht="15" customHeight="1">
      <c r="A1615" s="1033"/>
      <c r="B1615" s="1069"/>
      <c r="C1615" s="1033"/>
      <c r="D1615" s="1033"/>
      <c r="E1615" s="1098"/>
      <c r="F1615" s="1098"/>
      <c r="G1615" s="1033"/>
      <c r="H1615" s="1033"/>
      <c r="I1615" s="1033"/>
      <c r="J1615" s="1033"/>
      <c r="K1615" s="1033"/>
      <c r="L1615" s="1033"/>
      <c r="M1615" s="1039"/>
      <c r="N1615" s="1123"/>
      <c r="O1615" s="1063"/>
      <c r="P1615" s="1063"/>
      <c r="Q1615" s="1063"/>
      <c r="R1615" s="1063"/>
      <c r="S1615" s="1090"/>
      <c r="T1615" s="1090"/>
      <c r="U1615" s="1090"/>
      <c r="V1615" s="1063"/>
      <c r="W1615" s="1063"/>
      <c r="X1615" s="1033"/>
      <c r="Y1615" s="372" t="s">
        <v>2294</v>
      </c>
      <c r="Z1615" s="386">
        <v>98589409.650000006</v>
      </c>
      <c r="AA1615" s="386">
        <v>-19717881.879999999</v>
      </c>
      <c r="AB1615" s="386">
        <f t="shared" si="101"/>
        <v>78871527.770000011</v>
      </c>
      <c r="AC1615" s="384">
        <v>42928</v>
      </c>
      <c r="AD1615" s="395">
        <v>78871527.769999996</v>
      </c>
      <c r="AE1615" s="372" t="s">
        <v>135</v>
      </c>
      <c r="AF1615" s="1044"/>
      <c r="AG1615" s="1044"/>
      <c r="AH1615" s="373">
        <f t="shared" si="102"/>
        <v>0</v>
      </c>
      <c r="AI1615" s="1044"/>
      <c r="AJ1615" s="1044"/>
      <c r="AK1615" s="1063"/>
      <c r="AL1615" s="1063"/>
      <c r="AM1615" s="1063"/>
      <c r="AN1615" s="1124"/>
      <c r="AO1615" s="1124"/>
      <c r="AP1615" s="1124"/>
      <c r="AQ1615" s="1124"/>
    </row>
    <row r="1616" spans="1:45" s="4" customFormat="1" ht="15" customHeight="1">
      <c r="A1616" s="1033"/>
      <c r="B1616" s="1069"/>
      <c r="C1616" s="1033"/>
      <c r="D1616" s="1033"/>
      <c r="E1616" s="1098"/>
      <c r="F1616" s="1098"/>
      <c r="G1616" s="1033"/>
      <c r="H1616" s="1033"/>
      <c r="I1616" s="1033"/>
      <c r="J1616" s="1033"/>
      <c r="K1616" s="1033"/>
      <c r="L1616" s="1033"/>
      <c r="M1616" s="1039"/>
      <c r="N1616" s="1123"/>
      <c r="O1616" s="1063"/>
      <c r="P1616" s="1063"/>
      <c r="Q1616" s="1063"/>
      <c r="R1616" s="1063"/>
      <c r="S1616" s="1090"/>
      <c r="T1616" s="1090"/>
      <c r="U1616" s="1090"/>
      <c r="V1616" s="1063"/>
      <c r="W1616" s="1063"/>
      <c r="X1616" s="1033"/>
      <c r="Y1616" s="372" t="s">
        <v>2293</v>
      </c>
      <c r="Z1616" s="386">
        <v>98674561.260000005</v>
      </c>
      <c r="AA1616" s="386">
        <v>-19734912.25</v>
      </c>
      <c r="AB1616" s="386">
        <f t="shared" si="101"/>
        <v>78939649.010000005</v>
      </c>
      <c r="AC1616" s="384">
        <v>42956</v>
      </c>
      <c r="AD1616" s="395">
        <v>78939649.010000005</v>
      </c>
      <c r="AE1616" s="372" t="s">
        <v>135</v>
      </c>
      <c r="AF1616" s="1044"/>
      <c r="AG1616" s="1044"/>
      <c r="AH1616" s="373">
        <f t="shared" si="102"/>
        <v>0</v>
      </c>
      <c r="AI1616" s="1044"/>
      <c r="AJ1616" s="1044"/>
      <c r="AK1616" s="1063"/>
      <c r="AL1616" s="1063"/>
      <c r="AM1616" s="1063"/>
      <c r="AN1616" s="1124"/>
      <c r="AO1616" s="1124"/>
      <c r="AP1616" s="1124"/>
      <c r="AQ1616" s="1124"/>
    </row>
    <row r="1617" spans="1:43" s="4" customFormat="1" ht="15" customHeight="1">
      <c r="A1617" s="1033"/>
      <c r="B1617" s="1069"/>
      <c r="C1617" s="1033"/>
      <c r="D1617" s="1033"/>
      <c r="E1617" s="1098"/>
      <c r="F1617" s="1098"/>
      <c r="G1617" s="1033"/>
      <c r="H1617" s="1033"/>
      <c r="I1617" s="1033"/>
      <c r="J1617" s="1033"/>
      <c r="K1617" s="1033"/>
      <c r="L1617" s="1033"/>
      <c r="M1617" s="1039"/>
      <c r="N1617" s="1123"/>
      <c r="O1617" s="1063"/>
      <c r="P1617" s="1063"/>
      <c r="Q1617" s="1063"/>
      <c r="R1617" s="1063"/>
      <c r="S1617" s="1090"/>
      <c r="T1617" s="1090"/>
      <c r="U1617" s="1090"/>
      <c r="V1617" s="1063"/>
      <c r="W1617" s="1063"/>
      <c r="X1617" s="1033"/>
      <c r="Y1617" s="372" t="s">
        <v>2292</v>
      </c>
      <c r="Z1617" s="386">
        <v>106695858.04000001</v>
      </c>
      <c r="AA1617" s="386">
        <v>-21339171.609999999</v>
      </c>
      <c r="AB1617" s="386">
        <f t="shared" si="101"/>
        <v>85356686.430000007</v>
      </c>
      <c r="AC1617" s="384">
        <v>43004</v>
      </c>
      <c r="AD1617" s="395">
        <v>85356686.430000007</v>
      </c>
      <c r="AE1617" s="372" t="s">
        <v>135</v>
      </c>
      <c r="AF1617" s="1044"/>
      <c r="AG1617" s="1044"/>
      <c r="AH1617" s="373">
        <f t="shared" si="102"/>
        <v>0</v>
      </c>
      <c r="AI1617" s="1044"/>
      <c r="AJ1617" s="1044"/>
      <c r="AK1617" s="1063"/>
      <c r="AL1617" s="1063"/>
      <c r="AM1617" s="1063"/>
      <c r="AN1617" s="1124"/>
      <c r="AO1617" s="1124"/>
      <c r="AP1617" s="1124"/>
      <c r="AQ1617" s="1124"/>
    </row>
    <row r="1618" spans="1:43" s="4" customFormat="1" ht="15" customHeight="1">
      <c r="A1618" s="1033"/>
      <c r="B1618" s="1069"/>
      <c r="C1618" s="1033"/>
      <c r="D1618" s="1033"/>
      <c r="E1618" s="1098"/>
      <c r="F1618" s="1098"/>
      <c r="G1618" s="1033"/>
      <c r="H1618" s="1033"/>
      <c r="I1618" s="1033"/>
      <c r="J1618" s="1033"/>
      <c r="K1618" s="1033"/>
      <c r="L1618" s="1033"/>
      <c r="M1618" s="1039"/>
      <c r="N1618" s="1123"/>
      <c r="O1618" s="1063"/>
      <c r="P1618" s="1063"/>
      <c r="Q1618" s="1063"/>
      <c r="R1618" s="1063"/>
      <c r="S1618" s="1090"/>
      <c r="T1618" s="1090"/>
      <c r="U1618" s="1090"/>
      <c r="V1618" s="1063"/>
      <c r="W1618" s="1063"/>
      <c r="X1618" s="1033"/>
      <c r="Y1618" s="372" t="s">
        <v>2291</v>
      </c>
      <c r="Z1618" s="386">
        <v>125161969.41</v>
      </c>
      <c r="AA1618" s="386">
        <v>-25032393.98</v>
      </c>
      <c r="AB1618" s="386">
        <f t="shared" si="101"/>
        <v>100129575.42999999</v>
      </c>
      <c r="AC1618" s="384">
        <v>43007</v>
      </c>
      <c r="AD1618" s="395">
        <v>100129575.43000001</v>
      </c>
      <c r="AE1618" s="372" t="s">
        <v>135</v>
      </c>
      <c r="AF1618" s="1044"/>
      <c r="AG1618" s="1044"/>
      <c r="AH1618" s="373">
        <f t="shared" si="102"/>
        <v>0</v>
      </c>
      <c r="AI1618" s="1044"/>
      <c r="AJ1618" s="1044"/>
      <c r="AK1618" s="1063"/>
      <c r="AL1618" s="1063"/>
      <c r="AM1618" s="1063"/>
      <c r="AN1618" s="1124"/>
      <c r="AO1618" s="1124"/>
      <c r="AP1618" s="1124"/>
      <c r="AQ1618" s="1124"/>
    </row>
    <row r="1619" spans="1:43" s="4" customFormat="1" ht="15" customHeight="1">
      <c r="A1619" s="1033"/>
      <c r="B1619" s="1069"/>
      <c r="C1619" s="1033"/>
      <c r="D1619" s="1033"/>
      <c r="E1619" s="1098"/>
      <c r="F1619" s="1098"/>
      <c r="G1619" s="1033"/>
      <c r="H1619" s="1033"/>
      <c r="I1619" s="1033"/>
      <c r="J1619" s="1033"/>
      <c r="K1619" s="1033"/>
      <c r="L1619" s="1033"/>
      <c r="M1619" s="1039"/>
      <c r="N1619" s="1123"/>
      <c r="O1619" s="1063"/>
      <c r="P1619" s="1063"/>
      <c r="Q1619" s="1063"/>
      <c r="R1619" s="1063"/>
      <c r="S1619" s="1090"/>
      <c r="T1619" s="1090"/>
      <c r="U1619" s="1090"/>
      <c r="V1619" s="1063"/>
      <c r="W1619" s="1063"/>
      <c r="X1619" s="1033"/>
      <c r="Y1619" s="372" t="s">
        <v>2290</v>
      </c>
      <c r="Z1619" s="386">
        <v>117070089.37</v>
      </c>
      <c r="AA1619" s="386">
        <v>-23414017.920000002</v>
      </c>
      <c r="AB1619" s="386">
        <f t="shared" si="101"/>
        <v>93656071.450000003</v>
      </c>
      <c r="AC1619" s="384">
        <v>43038</v>
      </c>
      <c r="AD1619" s="395">
        <v>93656071.450000003</v>
      </c>
      <c r="AE1619" s="372" t="s">
        <v>135</v>
      </c>
      <c r="AF1619" s="1044"/>
      <c r="AG1619" s="1044"/>
      <c r="AH1619" s="373">
        <f t="shared" si="102"/>
        <v>0</v>
      </c>
      <c r="AI1619" s="1044"/>
      <c r="AJ1619" s="1044"/>
      <c r="AK1619" s="1063"/>
      <c r="AL1619" s="1063"/>
      <c r="AM1619" s="1063"/>
      <c r="AN1619" s="1124"/>
      <c r="AO1619" s="1124"/>
      <c r="AP1619" s="1124"/>
      <c r="AQ1619" s="1124"/>
    </row>
    <row r="1620" spans="1:43" s="4" customFormat="1" ht="15" customHeight="1">
      <c r="A1620" s="1033"/>
      <c r="B1620" s="1069"/>
      <c r="C1620" s="1033"/>
      <c r="D1620" s="1033"/>
      <c r="E1620" s="1098"/>
      <c r="F1620" s="1098"/>
      <c r="G1620" s="1033"/>
      <c r="H1620" s="1033"/>
      <c r="I1620" s="1033"/>
      <c r="J1620" s="1033"/>
      <c r="K1620" s="1033"/>
      <c r="L1620" s="1033"/>
      <c r="M1620" s="1039"/>
      <c r="N1620" s="1123"/>
      <c r="O1620" s="1063"/>
      <c r="P1620" s="1063"/>
      <c r="Q1620" s="1063"/>
      <c r="R1620" s="1063"/>
      <c r="S1620" s="1090"/>
      <c r="T1620" s="1090"/>
      <c r="U1620" s="1090"/>
      <c r="V1620" s="1063"/>
      <c r="W1620" s="1063"/>
      <c r="X1620" s="1033"/>
      <c r="Y1620" s="372" t="s">
        <v>2289</v>
      </c>
      <c r="Z1620" s="386">
        <v>114057431.72</v>
      </c>
      <c r="AA1620" s="386">
        <v>-22811486.449999999</v>
      </c>
      <c r="AB1620" s="386">
        <f t="shared" si="101"/>
        <v>91245945.269999996</v>
      </c>
      <c r="AC1620" s="384">
        <v>43075</v>
      </c>
      <c r="AD1620" s="395">
        <v>91245945.269999996</v>
      </c>
      <c r="AE1620" s="372" t="s">
        <v>135</v>
      </c>
      <c r="AF1620" s="1044"/>
      <c r="AG1620" s="1044"/>
      <c r="AH1620" s="373">
        <f t="shared" si="102"/>
        <v>0</v>
      </c>
      <c r="AI1620" s="1044"/>
      <c r="AJ1620" s="1044"/>
      <c r="AK1620" s="1063"/>
      <c r="AL1620" s="1063"/>
      <c r="AM1620" s="1063"/>
      <c r="AN1620" s="1124"/>
      <c r="AO1620" s="1124"/>
      <c r="AP1620" s="1124"/>
      <c r="AQ1620" s="1124"/>
    </row>
    <row r="1621" spans="1:43" s="4" customFormat="1" ht="15" customHeight="1">
      <c r="A1621" s="1012"/>
      <c r="B1621" s="1070"/>
      <c r="C1621" s="1012"/>
      <c r="D1621" s="1012"/>
      <c r="E1621" s="1099"/>
      <c r="F1621" s="1099"/>
      <c r="G1621" s="1012"/>
      <c r="H1621" s="1012"/>
      <c r="I1621" s="1012"/>
      <c r="J1621" s="1012"/>
      <c r="K1621" s="1012"/>
      <c r="L1621" s="1012"/>
      <c r="M1621" s="1010"/>
      <c r="N1621" s="1123"/>
      <c r="O1621" s="1064"/>
      <c r="P1621" s="1064"/>
      <c r="Q1621" s="1064"/>
      <c r="R1621" s="1064"/>
      <c r="S1621" s="1091"/>
      <c r="T1621" s="1091"/>
      <c r="U1621" s="1091"/>
      <c r="V1621" s="1064"/>
      <c r="W1621" s="1064"/>
      <c r="X1621" s="1012"/>
      <c r="Y1621" s="372" t="s">
        <v>2288</v>
      </c>
      <c r="Z1621" s="386">
        <v>135813587.44999999</v>
      </c>
      <c r="AA1621" s="386">
        <v>-27162717.59</v>
      </c>
      <c r="AB1621" s="386">
        <f t="shared" si="101"/>
        <v>108650869.85999998</v>
      </c>
      <c r="AC1621" s="384">
        <v>43096</v>
      </c>
      <c r="AD1621" s="395">
        <v>108650869.86</v>
      </c>
      <c r="AE1621" s="372" t="s">
        <v>135</v>
      </c>
      <c r="AF1621" s="1045"/>
      <c r="AG1621" s="1045"/>
      <c r="AH1621" s="373">
        <f t="shared" si="102"/>
        <v>0</v>
      </c>
      <c r="AI1621" s="1045"/>
      <c r="AJ1621" s="1045"/>
      <c r="AK1621" s="1064"/>
      <c r="AL1621" s="1064"/>
      <c r="AM1621" s="1064"/>
      <c r="AN1621" s="1024"/>
      <c r="AO1621" s="1024"/>
      <c r="AP1621" s="1024"/>
      <c r="AQ1621" s="1024"/>
    </row>
    <row r="1622" spans="1:43" s="4" customFormat="1" ht="15" customHeight="1">
      <c r="A1622" s="1011" t="s">
        <v>2287</v>
      </c>
      <c r="B1622" s="1068">
        <v>42843</v>
      </c>
      <c r="C1622" s="1011" t="s">
        <v>22</v>
      </c>
      <c r="D1622" s="1011" t="s">
        <v>2286</v>
      </c>
      <c r="E1622" s="1097">
        <v>16581715</v>
      </c>
      <c r="F1622" s="1097"/>
      <c r="G1622" s="1011" t="s">
        <v>2285</v>
      </c>
      <c r="H1622" s="1011" t="s">
        <v>72</v>
      </c>
      <c r="I1622" s="1011" t="s">
        <v>206</v>
      </c>
      <c r="J1622" s="1011" t="s">
        <v>66</v>
      </c>
      <c r="K1622" s="1011" t="s">
        <v>48</v>
      </c>
      <c r="L1622" s="1011"/>
      <c r="M1622" s="1009">
        <v>11</v>
      </c>
      <c r="N1622" s="1065" t="s">
        <v>145</v>
      </c>
      <c r="O1622" s="1062">
        <v>35780000</v>
      </c>
      <c r="P1622" s="1062">
        <v>35780000</v>
      </c>
      <c r="Q1622" s="1062">
        <f>SUM(P1622:P1625)</f>
        <v>40833230</v>
      </c>
      <c r="R1622" s="1068">
        <v>42705</v>
      </c>
      <c r="S1622" s="1089">
        <f>T1622</f>
        <v>35780000</v>
      </c>
      <c r="T1622" s="1089">
        <v>35780000</v>
      </c>
      <c r="U1622" s="1089">
        <f>P1622-T1622</f>
        <v>0</v>
      </c>
      <c r="V1622" s="1089">
        <v>35780000</v>
      </c>
      <c r="W1622" s="1062">
        <f>V1622+V1624</f>
        <v>40833200</v>
      </c>
      <c r="X1622" s="1011"/>
      <c r="Y1622" s="372" t="s">
        <v>2284</v>
      </c>
      <c r="Z1622" s="386">
        <v>10940860</v>
      </c>
      <c r="AA1622" s="386">
        <v>0</v>
      </c>
      <c r="AB1622" s="386">
        <f>SUM(Z1622:AA1622)</f>
        <v>10940860</v>
      </c>
      <c r="AC1622" s="384">
        <v>42993</v>
      </c>
      <c r="AD1622" s="395">
        <v>10940860</v>
      </c>
      <c r="AE1622" s="372" t="s">
        <v>145</v>
      </c>
      <c r="AF1622" s="1043">
        <f>SUM(AD1622:AD1623)</f>
        <v>10940860</v>
      </c>
      <c r="AG1622" s="1043">
        <f>AF1622+AF1624</f>
        <v>10940860</v>
      </c>
      <c r="AH1622" s="373">
        <f t="shared" si="102"/>
        <v>0</v>
      </c>
      <c r="AI1622" s="1043">
        <f>P1622-AF1622</f>
        <v>24839140</v>
      </c>
      <c r="AJ1622" s="1043">
        <f>SUM(Z1622:Z1625)-SUM(AD1622:AD1625)</f>
        <v>0</v>
      </c>
      <c r="AK1622" s="1043">
        <f>P1622-V1622</f>
        <v>0</v>
      </c>
      <c r="AL1622" s="1043">
        <f>V1622-Z1622-Z1623</f>
        <v>24839140</v>
      </c>
      <c r="AM1622" s="1062"/>
      <c r="AN1622" s="1108" t="s">
        <v>2283</v>
      </c>
      <c r="AO1622" s="1108" t="s">
        <v>2282</v>
      </c>
      <c r="AP1622" s="1103" t="s">
        <v>195</v>
      </c>
      <c r="AQ1622" s="1103" t="s">
        <v>1911</v>
      </c>
    </row>
    <row r="1623" spans="1:43" s="4" customFormat="1" ht="15" customHeight="1">
      <c r="A1623" s="1033"/>
      <c r="B1623" s="1069"/>
      <c r="C1623" s="1033"/>
      <c r="D1623" s="1033"/>
      <c r="E1623" s="1098"/>
      <c r="F1623" s="1098"/>
      <c r="G1623" s="1033"/>
      <c r="H1623" s="1033"/>
      <c r="I1623" s="1033"/>
      <c r="J1623" s="1012"/>
      <c r="K1623" s="1033"/>
      <c r="L1623" s="1033"/>
      <c r="M1623" s="1010"/>
      <c r="N1623" s="1067"/>
      <c r="O1623" s="1064"/>
      <c r="P1623" s="1064"/>
      <c r="Q1623" s="1063"/>
      <c r="R1623" s="1070"/>
      <c r="S1623" s="1091"/>
      <c r="T1623" s="1091"/>
      <c r="U1623" s="1091"/>
      <c r="V1623" s="1091"/>
      <c r="W1623" s="1063"/>
      <c r="X1623" s="1033"/>
      <c r="Y1623" s="372"/>
      <c r="Z1623" s="386"/>
      <c r="AA1623" s="386"/>
      <c r="AB1623" s="386">
        <f>SUM(Z1623:AA1623)</f>
        <v>0</v>
      </c>
      <c r="AC1623" s="384"/>
      <c r="AD1623" s="395"/>
      <c r="AE1623" s="372"/>
      <c r="AF1623" s="1045"/>
      <c r="AG1623" s="1044"/>
      <c r="AH1623" s="373">
        <f t="shared" si="102"/>
        <v>0</v>
      </c>
      <c r="AI1623" s="1045"/>
      <c r="AJ1623" s="1044"/>
      <c r="AK1623" s="1045"/>
      <c r="AL1623" s="1045"/>
      <c r="AM1623" s="1063"/>
      <c r="AN1623" s="1109"/>
      <c r="AO1623" s="1109"/>
      <c r="AP1623" s="1104"/>
      <c r="AQ1623" s="1104"/>
    </row>
    <row r="1624" spans="1:43" s="4" customFormat="1" ht="15" customHeight="1">
      <c r="A1624" s="1033"/>
      <c r="B1624" s="1069"/>
      <c r="C1624" s="1033"/>
      <c r="D1624" s="1033"/>
      <c r="E1624" s="1098"/>
      <c r="F1624" s="1098"/>
      <c r="G1624" s="1033"/>
      <c r="H1624" s="1033"/>
      <c r="I1624" s="1033"/>
      <c r="J1624" s="1011" t="s">
        <v>67</v>
      </c>
      <c r="K1624" s="1033"/>
      <c r="L1624" s="1033"/>
      <c r="M1624" s="1009">
        <v>3564</v>
      </c>
      <c r="N1624" s="1065" t="s">
        <v>145</v>
      </c>
      <c r="O1624" s="1062">
        <v>5053230</v>
      </c>
      <c r="P1624" s="1062">
        <v>5053230</v>
      </c>
      <c r="Q1624" s="1063"/>
      <c r="R1624" s="1068"/>
      <c r="S1624" s="1062">
        <f>T1624</f>
        <v>5053200</v>
      </c>
      <c r="T1624" s="1062">
        <v>5053200</v>
      </c>
      <c r="U1624" s="1062">
        <f>P1624-T1624</f>
        <v>30</v>
      </c>
      <c r="V1624" s="1062">
        <v>5053200</v>
      </c>
      <c r="W1624" s="1063"/>
      <c r="X1624" s="1033"/>
      <c r="Y1624" s="372"/>
      <c r="Z1624" s="386"/>
      <c r="AA1624" s="386"/>
      <c r="AB1624" s="386">
        <f>SUM(Z1624:AA1624)</f>
        <v>0</v>
      </c>
      <c r="AC1624" s="384"/>
      <c r="AD1624" s="395"/>
      <c r="AE1624" s="372"/>
      <c r="AF1624" s="1043">
        <f>SUM(AD1624:AD1625)</f>
        <v>0</v>
      </c>
      <c r="AG1624" s="1044"/>
      <c r="AH1624" s="373">
        <f t="shared" si="102"/>
        <v>0</v>
      </c>
      <c r="AI1624" s="1043">
        <f>P1624-AF1624</f>
        <v>5053230</v>
      </c>
      <c r="AJ1624" s="1044"/>
      <c r="AK1624" s="1043">
        <f>P1624-V1624</f>
        <v>30</v>
      </c>
      <c r="AL1624" s="1043">
        <f>V1624-Z1624-Z1625</f>
        <v>5053200</v>
      </c>
      <c r="AM1624" s="1063"/>
      <c r="AN1624" s="1109"/>
      <c r="AO1624" s="1109"/>
      <c r="AP1624" s="1104"/>
      <c r="AQ1624" s="1104"/>
    </row>
    <row r="1625" spans="1:43" s="4" customFormat="1" ht="15" customHeight="1">
      <c r="A1625" s="1012"/>
      <c r="B1625" s="1070"/>
      <c r="C1625" s="1012"/>
      <c r="D1625" s="1012"/>
      <c r="E1625" s="1099"/>
      <c r="F1625" s="1099"/>
      <c r="G1625" s="1012"/>
      <c r="H1625" s="1012"/>
      <c r="I1625" s="1012"/>
      <c r="J1625" s="1012"/>
      <c r="K1625" s="1012"/>
      <c r="L1625" s="1012"/>
      <c r="M1625" s="1010"/>
      <c r="N1625" s="1067"/>
      <c r="O1625" s="1064"/>
      <c r="P1625" s="1064"/>
      <c r="Q1625" s="1064"/>
      <c r="R1625" s="1070"/>
      <c r="S1625" s="1064"/>
      <c r="T1625" s="1064"/>
      <c r="U1625" s="1064"/>
      <c r="V1625" s="1064"/>
      <c r="W1625" s="1064"/>
      <c r="X1625" s="1012"/>
      <c r="Y1625" s="372"/>
      <c r="Z1625" s="386"/>
      <c r="AA1625" s="386"/>
      <c r="AB1625" s="386">
        <f>SUM(Z1625:AA1625)</f>
        <v>0</v>
      </c>
      <c r="AC1625" s="384"/>
      <c r="AD1625" s="395"/>
      <c r="AE1625" s="372"/>
      <c r="AF1625" s="1045"/>
      <c r="AG1625" s="1045"/>
      <c r="AH1625" s="373">
        <f t="shared" si="102"/>
        <v>0</v>
      </c>
      <c r="AI1625" s="1045"/>
      <c r="AJ1625" s="1045"/>
      <c r="AK1625" s="1045"/>
      <c r="AL1625" s="1045"/>
      <c r="AM1625" s="1064"/>
      <c r="AN1625" s="1110"/>
      <c r="AO1625" s="1110"/>
      <c r="AP1625" s="1105"/>
      <c r="AQ1625" s="1105"/>
    </row>
    <row r="1626" spans="1:43" ht="15" customHeight="1">
      <c r="A1626" s="1011" t="s">
        <v>2302</v>
      </c>
      <c r="B1626" s="1068">
        <v>42429</v>
      </c>
      <c r="C1626" s="1011" t="s">
        <v>26</v>
      </c>
      <c r="D1626" s="1011" t="s">
        <v>2303</v>
      </c>
      <c r="E1626" s="1366">
        <v>900939488</v>
      </c>
      <c r="F1626" s="1071">
        <v>6</v>
      </c>
      <c r="G1626" s="1011" t="s">
        <v>2304</v>
      </c>
      <c r="H1626" s="1011" t="s">
        <v>71</v>
      </c>
      <c r="I1626" s="1011" t="s">
        <v>206</v>
      </c>
      <c r="J1626" s="1011" t="s">
        <v>66</v>
      </c>
      <c r="K1626" s="1011" t="s">
        <v>48</v>
      </c>
      <c r="L1626" s="354"/>
      <c r="M1626" s="1009">
        <v>6</v>
      </c>
      <c r="N1626" s="1065" t="s">
        <v>149</v>
      </c>
      <c r="O1626" s="1062">
        <v>879570000</v>
      </c>
      <c r="P1626" s="1062">
        <f>O1626</f>
        <v>879570000</v>
      </c>
      <c r="Q1626" s="386"/>
      <c r="R1626" s="384"/>
      <c r="S1626" s="390"/>
      <c r="T1626" s="386"/>
      <c r="U1626" s="386"/>
      <c r="V1626" s="390">
        <v>57458750</v>
      </c>
      <c r="W1626" s="358">
        <f>SUM(V1626:V1629)</f>
        <v>87088379</v>
      </c>
      <c r="X1626" s="354"/>
      <c r="Y1626" s="372" t="s">
        <v>2305</v>
      </c>
      <c r="Z1626" s="386"/>
      <c r="AA1626" s="386"/>
      <c r="AB1626" s="386"/>
      <c r="AC1626" s="384">
        <v>43082</v>
      </c>
      <c r="AD1626" s="395">
        <v>41018627</v>
      </c>
      <c r="AE1626" s="371" t="s">
        <v>149</v>
      </c>
      <c r="AF1626" s="358"/>
      <c r="AG1626" s="358"/>
      <c r="AH1626" s="358"/>
      <c r="AI1626" s="358"/>
      <c r="AJ1626" s="386"/>
      <c r="AK1626" s="386"/>
      <c r="AL1626" s="386"/>
      <c r="AM1626" s="386"/>
      <c r="AN1626" s="391"/>
      <c r="AO1626" s="1103" t="s">
        <v>2314</v>
      </c>
      <c r="AP1626" s="392"/>
      <c r="AQ1626" s="392"/>
    </row>
    <row r="1627" spans="1:43" ht="15" customHeight="1">
      <c r="A1627" s="1033"/>
      <c r="B1627" s="1069"/>
      <c r="C1627" s="1033"/>
      <c r="D1627" s="1033"/>
      <c r="E1627" s="1367"/>
      <c r="F1627" s="1072"/>
      <c r="G1627" s="1033"/>
      <c r="H1627" s="1033"/>
      <c r="I1627" s="1033"/>
      <c r="J1627" s="1033"/>
      <c r="K1627" s="1033"/>
      <c r="L1627" s="354"/>
      <c r="M1627" s="1039"/>
      <c r="N1627" s="1066"/>
      <c r="O1627" s="1063"/>
      <c r="P1627" s="1063"/>
      <c r="Q1627" s="386"/>
      <c r="R1627" s="384"/>
      <c r="S1627" s="390"/>
      <c r="T1627" s="386"/>
      <c r="U1627" s="386"/>
      <c r="V1627" s="358"/>
      <c r="W1627" s="386"/>
      <c r="X1627" s="354"/>
      <c r="Y1627" s="372"/>
      <c r="Z1627" s="386"/>
      <c r="AA1627" s="386"/>
      <c r="AB1627" s="386"/>
      <c r="AC1627" s="384"/>
      <c r="AD1627" s="395"/>
      <c r="AE1627" s="371"/>
      <c r="AF1627" s="358"/>
      <c r="AG1627" s="358"/>
      <c r="AH1627" s="358"/>
      <c r="AI1627" s="358"/>
      <c r="AJ1627" s="386"/>
      <c r="AK1627" s="386"/>
      <c r="AL1627" s="386"/>
      <c r="AM1627" s="386"/>
      <c r="AN1627" s="391"/>
      <c r="AO1627" s="1104"/>
      <c r="AP1627" s="392"/>
      <c r="AQ1627" s="392"/>
    </row>
    <row r="1628" spans="1:43" ht="15" customHeight="1">
      <c r="A1628" s="1033"/>
      <c r="B1628" s="1069"/>
      <c r="C1628" s="1033"/>
      <c r="D1628" s="1033"/>
      <c r="E1628" s="1367"/>
      <c r="F1628" s="1072"/>
      <c r="G1628" s="1033"/>
      <c r="H1628" s="1033"/>
      <c r="I1628" s="1033"/>
      <c r="J1628" s="1012"/>
      <c r="K1628" s="1033"/>
      <c r="L1628" s="354"/>
      <c r="M1628" s="1010"/>
      <c r="N1628" s="1067"/>
      <c r="O1628" s="1064"/>
      <c r="P1628" s="1064"/>
      <c r="Q1628" s="386"/>
      <c r="R1628" s="384"/>
      <c r="S1628" s="390"/>
      <c r="T1628" s="386"/>
      <c r="U1628" s="386"/>
      <c r="V1628" s="358"/>
      <c r="W1628" s="386"/>
      <c r="X1628" s="354"/>
      <c r="Y1628" s="372"/>
      <c r="Z1628" s="386"/>
      <c r="AA1628" s="386"/>
      <c r="AB1628" s="386"/>
      <c r="AC1628" s="384"/>
      <c r="AD1628" s="395"/>
      <c r="AE1628" s="371"/>
      <c r="AF1628" s="358"/>
      <c r="AG1628" s="358"/>
      <c r="AH1628" s="358"/>
      <c r="AI1628" s="358"/>
      <c r="AJ1628" s="386"/>
      <c r="AK1628" s="386"/>
      <c r="AL1628" s="386"/>
      <c r="AM1628" s="386"/>
      <c r="AN1628" s="391"/>
      <c r="AO1628" s="1104"/>
      <c r="AP1628" s="392"/>
      <c r="AQ1628" s="392"/>
    </row>
    <row r="1629" spans="1:43" ht="15" customHeight="1">
      <c r="A1629" s="1033"/>
      <c r="B1629" s="1069"/>
      <c r="C1629" s="1033"/>
      <c r="D1629" s="1033"/>
      <c r="E1629" s="1367"/>
      <c r="F1629" s="1072"/>
      <c r="G1629" s="1033"/>
      <c r="H1629" s="1033"/>
      <c r="I1629" s="1033"/>
      <c r="J1629" s="1011" t="s">
        <v>67</v>
      </c>
      <c r="K1629" s="1033"/>
      <c r="L1629" s="354"/>
      <c r="M1629" s="1009">
        <v>9</v>
      </c>
      <c r="N1629" s="1065" t="s">
        <v>154</v>
      </c>
      <c r="O1629" s="1062">
        <v>19259259</v>
      </c>
      <c r="P1629" s="1062">
        <f>O1629</f>
        <v>19259259</v>
      </c>
      <c r="Q1629" s="386"/>
      <c r="R1629" s="384"/>
      <c r="S1629" s="390"/>
      <c r="T1629" s="386"/>
      <c r="U1629" s="386"/>
      <c r="V1629" s="358">
        <f>SUM(O1629:O1631)</f>
        <v>29629629</v>
      </c>
      <c r="W1629" s="386"/>
      <c r="X1629" s="354"/>
      <c r="Y1629" s="372"/>
      <c r="Z1629" s="386"/>
      <c r="AA1629" s="386"/>
      <c r="AB1629" s="386"/>
      <c r="AC1629" s="384"/>
      <c r="AD1629" s="395"/>
      <c r="AE1629" s="371"/>
      <c r="AF1629" s="358"/>
      <c r="AG1629" s="358"/>
      <c r="AH1629" s="358"/>
      <c r="AI1629" s="358"/>
      <c r="AJ1629" s="386"/>
      <c r="AK1629" s="386"/>
      <c r="AL1629" s="386"/>
      <c r="AM1629" s="386"/>
      <c r="AN1629" s="391"/>
      <c r="AO1629" s="1104"/>
      <c r="AP1629" s="392"/>
      <c r="AQ1629" s="392"/>
    </row>
    <row r="1630" spans="1:43" ht="15" customHeight="1">
      <c r="A1630" s="1033"/>
      <c r="B1630" s="1069"/>
      <c r="C1630" s="1033"/>
      <c r="D1630" s="1033"/>
      <c r="E1630" s="1367"/>
      <c r="F1630" s="1072"/>
      <c r="G1630" s="1033"/>
      <c r="H1630" s="1033"/>
      <c r="I1630" s="1033"/>
      <c r="J1630" s="1033"/>
      <c r="K1630" s="1033"/>
      <c r="L1630" s="354"/>
      <c r="M1630" s="1010"/>
      <c r="N1630" s="1067"/>
      <c r="O1630" s="1064"/>
      <c r="P1630" s="1064"/>
      <c r="Q1630" s="386"/>
      <c r="R1630" s="384"/>
      <c r="S1630" s="390"/>
      <c r="T1630" s="386"/>
      <c r="U1630" s="386"/>
      <c r="V1630" s="358"/>
      <c r="W1630" s="386"/>
      <c r="X1630" s="354"/>
      <c r="Y1630" s="372"/>
      <c r="Z1630" s="386"/>
      <c r="AA1630" s="386"/>
      <c r="AB1630" s="386"/>
      <c r="AC1630" s="384"/>
      <c r="AD1630" s="395"/>
      <c r="AE1630" s="371"/>
      <c r="AF1630" s="358"/>
      <c r="AG1630" s="358"/>
      <c r="AH1630" s="358"/>
      <c r="AI1630" s="358"/>
      <c r="AJ1630" s="386"/>
      <c r="AK1630" s="386"/>
      <c r="AL1630" s="386"/>
      <c r="AM1630" s="386"/>
      <c r="AN1630" s="391"/>
      <c r="AO1630" s="1104"/>
      <c r="AP1630" s="392"/>
      <c r="AQ1630" s="392"/>
    </row>
    <row r="1631" spans="1:43" ht="15" customHeight="1">
      <c r="A1631" s="1012"/>
      <c r="B1631" s="1070"/>
      <c r="C1631" s="1012"/>
      <c r="D1631" s="1012"/>
      <c r="E1631" s="1368"/>
      <c r="F1631" s="1073"/>
      <c r="G1631" s="1012"/>
      <c r="H1631" s="1012"/>
      <c r="I1631" s="1012"/>
      <c r="J1631" s="1012"/>
      <c r="K1631" s="1012"/>
      <c r="L1631" s="354"/>
      <c r="M1631" s="389">
        <v>14</v>
      </c>
      <c r="N1631" s="372" t="s">
        <v>164</v>
      </c>
      <c r="O1631" s="386">
        <v>10370370</v>
      </c>
      <c r="P1631" s="386">
        <f>O1631</f>
        <v>10370370</v>
      </c>
      <c r="Q1631" s="386"/>
      <c r="R1631" s="384"/>
      <c r="S1631" s="390"/>
      <c r="T1631" s="386"/>
      <c r="U1631" s="386"/>
      <c r="V1631" s="358"/>
      <c r="W1631" s="386"/>
      <c r="X1631" s="354"/>
      <c r="Y1631" s="372"/>
      <c r="Z1631" s="386"/>
      <c r="AA1631" s="386"/>
      <c r="AB1631" s="386"/>
      <c r="AC1631" s="384"/>
      <c r="AD1631" s="395"/>
      <c r="AE1631" s="371"/>
      <c r="AF1631" s="358"/>
      <c r="AG1631" s="358"/>
      <c r="AH1631" s="358"/>
      <c r="AI1631" s="358"/>
      <c r="AJ1631" s="386"/>
      <c r="AK1631" s="386"/>
      <c r="AL1631" s="386"/>
      <c r="AM1631" s="386"/>
      <c r="AN1631" s="391"/>
      <c r="AO1631" s="1104"/>
      <c r="AP1631" s="392"/>
      <c r="AQ1631" s="392"/>
    </row>
    <row r="1632" spans="1:43" s="196" customFormat="1" ht="15" customHeight="1">
      <c r="A1632" s="178" t="s">
        <v>2306</v>
      </c>
      <c r="B1632" s="179"/>
      <c r="C1632" s="180"/>
      <c r="D1632" s="181"/>
      <c r="E1632" s="182"/>
      <c r="F1632" s="183"/>
      <c r="G1632" s="181" t="s">
        <v>2307</v>
      </c>
      <c r="H1632" s="181"/>
      <c r="I1632" s="181"/>
      <c r="J1632" s="181"/>
      <c r="K1632" s="181"/>
      <c r="L1632" s="180"/>
      <c r="M1632" s="184"/>
      <c r="N1632" s="185"/>
      <c r="O1632" s="186"/>
      <c r="P1632" s="186"/>
      <c r="Q1632" s="186"/>
      <c r="R1632" s="187"/>
      <c r="S1632" s="188"/>
      <c r="T1632" s="186"/>
      <c r="U1632" s="186"/>
      <c r="V1632" s="189"/>
      <c r="W1632" s="186"/>
      <c r="X1632" s="180"/>
      <c r="Y1632" s="190"/>
      <c r="Z1632" s="186"/>
      <c r="AA1632" s="186"/>
      <c r="AB1632" s="186"/>
      <c r="AC1632" s="191"/>
      <c r="AD1632" s="192"/>
      <c r="AE1632" s="193"/>
      <c r="AF1632" s="189"/>
      <c r="AG1632" s="189"/>
      <c r="AH1632" s="189"/>
      <c r="AI1632" s="189"/>
      <c r="AJ1632" s="186"/>
      <c r="AK1632" s="186"/>
      <c r="AL1632" s="186"/>
      <c r="AM1632" s="186"/>
      <c r="AN1632" s="194"/>
      <c r="AO1632" s="1105"/>
      <c r="AP1632" s="195"/>
      <c r="AQ1632" s="195"/>
    </row>
    <row r="1633" spans="1:48" ht="15" customHeight="1">
      <c r="A1633" s="1065" t="s">
        <v>2308</v>
      </c>
      <c r="B1633" s="1068">
        <v>42436</v>
      </c>
      <c r="C1633" s="1011" t="s">
        <v>21</v>
      </c>
      <c r="D1633" s="1011" t="s">
        <v>2309</v>
      </c>
      <c r="E1633" s="1011">
        <v>10541182</v>
      </c>
      <c r="F1633" s="394"/>
      <c r="G1633" s="1065" t="s">
        <v>2310</v>
      </c>
      <c r="H1633" s="1065" t="s">
        <v>71</v>
      </c>
      <c r="I1633" s="1065" t="s">
        <v>70</v>
      </c>
      <c r="J1633" s="1065" t="s">
        <v>66</v>
      </c>
      <c r="K1633" s="1065" t="s">
        <v>48</v>
      </c>
      <c r="L1633" s="354"/>
      <c r="M1633" s="1009">
        <v>10</v>
      </c>
      <c r="N1633" s="1065" t="s">
        <v>144</v>
      </c>
      <c r="O1633" s="1043">
        <v>73260696</v>
      </c>
      <c r="P1633" s="386"/>
      <c r="Q1633" s="386"/>
      <c r="R1633" s="1068">
        <v>42278</v>
      </c>
      <c r="S1633" s="390"/>
      <c r="T1633" s="386"/>
      <c r="U1633" s="386"/>
      <c r="V1633" s="1043">
        <v>73245242</v>
      </c>
      <c r="W1633" s="386"/>
      <c r="X1633" s="354"/>
      <c r="Y1633" s="372" t="s">
        <v>2311</v>
      </c>
      <c r="Z1633" s="386"/>
      <c r="AA1633" s="386"/>
      <c r="AB1633" s="386"/>
      <c r="AC1633" s="384">
        <v>42599</v>
      </c>
      <c r="AD1633" s="395">
        <v>7324524</v>
      </c>
      <c r="AE1633" s="371"/>
      <c r="AF1633" s="358"/>
      <c r="AG1633" s="358"/>
      <c r="AH1633" s="358"/>
      <c r="AI1633" s="358"/>
      <c r="AJ1633" s="386"/>
      <c r="AK1633" s="386"/>
      <c r="AL1633" s="386"/>
      <c r="AM1633" s="386"/>
      <c r="AN1633" s="391"/>
      <c r="AO1633" s="1103" t="s">
        <v>2315</v>
      </c>
      <c r="AP1633" s="392"/>
      <c r="AQ1633" s="392"/>
    </row>
    <row r="1634" spans="1:48" ht="15" customHeight="1">
      <c r="A1634" s="1066"/>
      <c r="B1634" s="1069"/>
      <c r="C1634" s="1033"/>
      <c r="D1634" s="1033"/>
      <c r="E1634" s="1033"/>
      <c r="F1634" s="394"/>
      <c r="G1634" s="1066"/>
      <c r="H1634" s="1066"/>
      <c r="I1634" s="1066"/>
      <c r="J1634" s="1066"/>
      <c r="K1634" s="1066"/>
      <c r="L1634" s="354"/>
      <c r="M1634" s="1039"/>
      <c r="N1634" s="1066"/>
      <c r="O1634" s="1044"/>
      <c r="P1634" s="386"/>
      <c r="Q1634" s="386"/>
      <c r="R1634" s="1069"/>
      <c r="S1634" s="390"/>
      <c r="T1634" s="386"/>
      <c r="U1634" s="386"/>
      <c r="V1634" s="1044"/>
      <c r="W1634" s="386"/>
      <c r="X1634" s="354"/>
      <c r="Y1634" s="372" t="s">
        <v>2312</v>
      </c>
      <c r="Z1634" s="386">
        <v>31694681</v>
      </c>
      <c r="AA1634" s="386">
        <v>-3521631</v>
      </c>
      <c r="AB1634" s="386">
        <f>Z1634+AA1634</f>
        <v>28173050</v>
      </c>
      <c r="AC1634" s="384">
        <v>42790</v>
      </c>
      <c r="AD1634" s="395">
        <v>28173050</v>
      </c>
      <c r="AE1634" s="371"/>
      <c r="AF1634" s="358"/>
      <c r="AG1634" s="358"/>
      <c r="AH1634" s="358"/>
      <c r="AI1634" s="358"/>
      <c r="AJ1634" s="386"/>
      <c r="AK1634" s="386"/>
      <c r="AL1634" s="386"/>
      <c r="AM1634" s="386"/>
      <c r="AN1634" s="391"/>
      <c r="AO1634" s="1104"/>
      <c r="AP1634" s="392"/>
      <c r="AQ1634" s="392"/>
    </row>
    <row r="1635" spans="1:48" ht="15" customHeight="1">
      <c r="A1635" s="1067"/>
      <c r="B1635" s="1070"/>
      <c r="C1635" s="1012"/>
      <c r="D1635" s="1012"/>
      <c r="E1635" s="1012"/>
      <c r="F1635" s="394"/>
      <c r="G1635" s="1067"/>
      <c r="H1635" s="1067"/>
      <c r="I1635" s="1067"/>
      <c r="J1635" s="1067"/>
      <c r="K1635" s="1067"/>
      <c r="L1635" s="354"/>
      <c r="M1635" s="1010"/>
      <c r="N1635" s="1067"/>
      <c r="O1635" s="1045"/>
      <c r="P1635" s="386"/>
      <c r="Q1635" s="386"/>
      <c r="R1635" s="1070"/>
      <c r="S1635" s="390"/>
      <c r="T1635" s="386"/>
      <c r="U1635" s="386"/>
      <c r="V1635" s="1045"/>
      <c r="W1635" s="386"/>
      <c r="X1635" s="354"/>
      <c r="Y1635" s="372" t="s">
        <v>2313</v>
      </c>
      <c r="Z1635" s="386">
        <v>21336339</v>
      </c>
      <c r="AA1635" s="386">
        <v>-2133634</v>
      </c>
      <c r="AB1635" s="386">
        <f>Z1635+AA1635</f>
        <v>19202705</v>
      </c>
      <c r="AC1635" s="384">
        <v>43040</v>
      </c>
      <c r="AD1635" s="395">
        <v>19202705</v>
      </c>
      <c r="AE1635" s="371"/>
      <c r="AF1635" s="358"/>
      <c r="AG1635" s="358"/>
      <c r="AH1635" s="358"/>
      <c r="AI1635" s="358"/>
      <c r="AJ1635" s="386"/>
      <c r="AK1635" s="386"/>
      <c r="AL1635" s="386"/>
      <c r="AM1635" s="386"/>
      <c r="AN1635" s="391"/>
      <c r="AO1635" s="1105"/>
      <c r="AP1635" s="392"/>
      <c r="AQ1635" s="392"/>
    </row>
    <row r="1636" spans="1:48" ht="60" customHeight="1">
      <c r="A1636" s="1076" t="s">
        <v>2450</v>
      </c>
      <c r="B1636" s="1076"/>
      <c r="C1636" s="1076"/>
      <c r="D1636" s="1076" t="s">
        <v>2388</v>
      </c>
      <c r="E1636" s="1076" t="s">
        <v>2458</v>
      </c>
      <c r="M1636" s="1079">
        <v>116</v>
      </c>
      <c r="N1636" s="1077" t="s">
        <v>137</v>
      </c>
      <c r="O1636" s="1081">
        <v>3999000000</v>
      </c>
      <c r="V1636" s="1081">
        <f>1995432000*2</f>
        <v>3990864000</v>
      </c>
      <c r="Y1636" s="355" t="s">
        <v>2412</v>
      </c>
      <c r="Z1636" s="255"/>
      <c r="AA1636" s="260">
        <v>1995432000</v>
      </c>
      <c r="AB1636" s="255">
        <f>AD1636</f>
        <v>1995432000</v>
      </c>
      <c r="AC1636" s="259">
        <v>40506</v>
      </c>
      <c r="AD1636" s="256">
        <v>1995432000</v>
      </c>
      <c r="AE1636" s="256"/>
      <c r="AF1636" s="1083">
        <f>SUM(AD1636:AD1640)</f>
        <v>2940636633</v>
      </c>
      <c r="AG1636" s="1084"/>
      <c r="AH1636" s="1084"/>
      <c r="AI1636" s="1084"/>
      <c r="AJ1636" s="1084"/>
      <c r="AK1636" s="1084">
        <f>O1636-V1636</f>
        <v>8136000</v>
      </c>
      <c r="AL1636" s="1084">
        <f>V1636-Z1641-AA1641</f>
        <v>1050227367</v>
      </c>
      <c r="AM1636" s="1084">
        <f>O1636-AF1636</f>
        <v>1058363367</v>
      </c>
      <c r="AN1636" s="1085"/>
      <c r="AO1636" s="1085"/>
      <c r="AP1636" s="1085"/>
      <c r="AQ1636" s="1085"/>
      <c r="AR1636" s="1085"/>
      <c r="AS1636" s="1085"/>
      <c r="AT1636" s="1085"/>
      <c r="AU1636" s="1085"/>
      <c r="AV1636" s="1085"/>
    </row>
    <row r="1637" spans="1:48" ht="60" customHeight="1">
      <c r="A1637" s="1076"/>
      <c r="B1637" s="1076"/>
      <c r="C1637" s="1076"/>
      <c r="D1637" s="1076"/>
      <c r="E1637" s="1076"/>
      <c r="M1637" s="1080"/>
      <c r="N1637" s="1078"/>
      <c r="O1637" s="1082"/>
      <c r="V1637" s="1082"/>
      <c r="Y1637" s="355" t="s">
        <v>2414</v>
      </c>
      <c r="Z1637" s="255">
        <v>210045474</v>
      </c>
      <c r="AA1637" s="256">
        <v>-105022737</v>
      </c>
      <c r="AB1637" s="255">
        <f>AD1637</f>
        <v>105022737</v>
      </c>
      <c r="AC1637" s="259">
        <v>40807</v>
      </c>
      <c r="AD1637" s="256">
        <v>105022737</v>
      </c>
      <c r="AE1637" s="256"/>
      <c r="AF1637" s="1083"/>
      <c r="AG1637" s="1084"/>
      <c r="AH1637" s="1084"/>
      <c r="AI1637" s="1084"/>
      <c r="AJ1637" s="1084"/>
      <c r="AK1637" s="1084"/>
      <c r="AL1637" s="1084"/>
      <c r="AM1637" s="1084"/>
      <c r="AN1637" s="1086"/>
      <c r="AO1637" s="1086"/>
      <c r="AP1637" s="1086"/>
      <c r="AQ1637" s="1086"/>
      <c r="AR1637" s="1086"/>
      <c r="AS1637" s="1086"/>
      <c r="AT1637" s="1086"/>
      <c r="AU1637" s="1086"/>
      <c r="AV1637" s="1086"/>
    </row>
    <row r="1638" spans="1:48" ht="60" customHeight="1">
      <c r="A1638" s="1076"/>
      <c r="B1638" s="1076"/>
      <c r="C1638" s="1076"/>
      <c r="D1638" s="1076"/>
      <c r="E1638" s="1076"/>
      <c r="M1638" s="1080"/>
      <c r="N1638" s="1078"/>
      <c r="O1638" s="1082"/>
      <c r="V1638" s="1082"/>
      <c r="Y1638" s="355" t="s">
        <v>2395</v>
      </c>
      <c r="Z1638" s="255">
        <v>210045474</v>
      </c>
      <c r="AA1638" s="256">
        <v>-105022737</v>
      </c>
      <c r="AB1638" s="255">
        <f>AD1638</f>
        <v>105022737</v>
      </c>
      <c r="AC1638" s="259">
        <v>40807</v>
      </c>
      <c r="AD1638" s="256">
        <v>105022737</v>
      </c>
      <c r="AE1638" s="256"/>
      <c r="AF1638" s="1083"/>
      <c r="AG1638" s="1084"/>
      <c r="AH1638" s="1084"/>
      <c r="AI1638" s="1084"/>
      <c r="AJ1638" s="1084"/>
      <c r="AK1638" s="1084"/>
      <c r="AL1638" s="1084"/>
      <c r="AM1638" s="1084"/>
      <c r="AN1638" s="1086"/>
      <c r="AO1638" s="1086"/>
      <c r="AP1638" s="1086"/>
      <c r="AQ1638" s="1086"/>
      <c r="AR1638" s="1086"/>
      <c r="AS1638" s="1086"/>
      <c r="AT1638" s="1086"/>
      <c r="AU1638" s="1086"/>
      <c r="AV1638" s="1086"/>
    </row>
    <row r="1639" spans="1:48" ht="60" customHeight="1">
      <c r="A1639" s="1076"/>
      <c r="B1639" s="1076"/>
      <c r="C1639" s="1076"/>
      <c r="D1639" s="1076"/>
      <c r="E1639" s="1076"/>
      <c r="M1639" s="1080"/>
      <c r="N1639" s="1078"/>
      <c r="O1639" s="1082"/>
      <c r="V1639" s="1082"/>
      <c r="Y1639" s="355" t="s">
        <v>2415</v>
      </c>
      <c r="Z1639" s="255">
        <v>210045474</v>
      </c>
      <c r="AA1639" s="256">
        <v>-105022737</v>
      </c>
      <c r="AB1639" s="255">
        <f>AD1639</f>
        <v>105022737</v>
      </c>
      <c r="AC1639" s="259">
        <v>40807</v>
      </c>
      <c r="AD1639" s="256">
        <v>105022737</v>
      </c>
      <c r="AE1639" s="256"/>
      <c r="AF1639" s="1083"/>
      <c r="AG1639" s="1084"/>
      <c r="AH1639" s="1084"/>
      <c r="AI1639" s="1084"/>
      <c r="AJ1639" s="1084"/>
      <c r="AK1639" s="1084"/>
      <c r="AL1639" s="1084"/>
      <c r="AM1639" s="1084"/>
      <c r="AN1639" s="1086"/>
      <c r="AO1639" s="1086"/>
      <c r="AP1639" s="1086"/>
      <c r="AQ1639" s="1086"/>
      <c r="AR1639" s="1086"/>
      <c r="AS1639" s="1086"/>
      <c r="AT1639" s="1086"/>
      <c r="AU1639" s="1086"/>
      <c r="AV1639" s="1086"/>
    </row>
    <row r="1640" spans="1:48" ht="60" customHeight="1">
      <c r="A1640" s="1076"/>
      <c r="B1640" s="1076"/>
      <c r="C1640" s="1076"/>
      <c r="D1640" s="1076"/>
      <c r="E1640" s="1076"/>
      <c r="M1640" s="1080"/>
      <c r="N1640" s="1078"/>
      <c r="O1640" s="1082"/>
      <c r="V1640" s="1082"/>
      <c r="Y1640" s="355" t="s">
        <v>2413</v>
      </c>
      <c r="Z1640" s="255">
        <v>1260272844</v>
      </c>
      <c r="AA1640" s="256">
        <v>-630136422</v>
      </c>
      <c r="AB1640" s="255">
        <f>AD1640</f>
        <v>630136422</v>
      </c>
      <c r="AC1640" s="259">
        <v>41255</v>
      </c>
      <c r="AD1640" s="256">
        <v>630136422</v>
      </c>
      <c r="AE1640" s="256"/>
      <c r="AF1640" s="1083"/>
      <c r="AG1640" s="1084"/>
      <c r="AH1640" s="1084"/>
      <c r="AI1640" s="1084"/>
      <c r="AJ1640" s="1084"/>
      <c r="AK1640" s="1084"/>
      <c r="AL1640" s="1084"/>
      <c r="AM1640" s="1084"/>
      <c r="AN1640" s="1086"/>
      <c r="AO1640" s="1086"/>
      <c r="AP1640" s="1086"/>
      <c r="AQ1640" s="1086"/>
      <c r="AR1640" s="1086"/>
      <c r="AS1640" s="1086"/>
      <c r="AT1640" s="1086"/>
      <c r="AU1640" s="1086"/>
      <c r="AV1640" s="1086"/>
    </row>
    <row r="1641" spans="1:48" ht="60" customHeight="1" thickBot="1">
      <c r="A1641" s="1076"/>
      <c r="B1641" s="1076"/>
      <c r="C1641" s="1076"/>
      <c r="D1641" s="1076"/>
      <c r="E1641" s="1076"/>
      <c r="M1641" s="1080"/>
      <c r="N1641" s="1078"/>
      <c r="O1641" s="1082"/>
      <c r="V1641" s="1082"/>
      <c r="Y1641" s="355" t="s">
        <v>2451</v>
      </c>
      <c r="Z1641" s="257">
        <f>SUM(Z1636:Z1640)</f>
        <v>1890409266</v>
      </c>
      <c r="AA1641" s="257">
        <f>SUM(AA1636:AA1640)</f>
        <v>1050227367</v>
      </c>
      <c r="AB1641" s="257">
        <f>SUM(AB1636:AB1640)</f>
        <v>2940636633</v>
      </c>
      <c r="AC1641" s="257"/>
      <c r="AD1641" s="257">
        <f>SUM(AD1636:AD1640)</f>
        <v>2940636633</v>
      </c>
      <c r="AE1641" s="256"/>
      <c r="AF1641" s="258"/>
    </row>
    <row r="1642" spans="1:48" ht="63.75" thickTop="1">
      <c r="A1642" s="46" t="s">
        <v>2468</v>
      </c>
      <c r="G1642" s="46" t="s">
        <v>2469</v>
      </c>
      <c r="V1642" s="357">
        <f>O1636-V1636</f>
        <v>8136000</v>
      </c>
      <c r="AM1642" s="357">
        <f>AK1636+AL1636</f>
        <v>1058363367</v>
      </c>
    </row>
    <row r="1643" spans="1:48" ht="78.75">
      <c r="A1643" s="46" t="s">
        <v>2470</v>
      </c>
      <c r="G1643" s="46" t="s">
        <v>2471</v>
      </c>
    </row>
    <row r="1644" spans="1:48" ht="63">
      <c r="A1644" s="46" t="s">
        <v>2472</v>
      </c>
      <c r="G1644" s="46" t="s">
        <v>2473</v>
      </c>
    </row>
    <row r="1645" spans="1:48" ht="78.75">
      <c r="A1645" s="46" t="s">
        <v>2474</v>
      </c>
      <c r="G1645" s="46" t="s">
        <v>2475</v>
      </c>
    </row>
    <row r="1647" spans="1:48">
      <c r="D1647" s="254"/>
    </row>
    <row r="1648" spans="1:48">
      <c r="D1648" s="254"/>
    </row>
    <row r="1649" spans="4:4">
      <c r="D1649" s="254"/>
    </row>
  </sheetData>
  <autoFilter ref="A2:AQ1462"/>
  <mergeCells count="10803">
    <mergeCell ref="X18:X21"/>
    <mergeCell ref="AF18:AF20"/>
    <mergeCell ref="N18:N20"/>
    <mergeCell ref="O18:O20"/>
    <mergeCell ref="P18:P20"/>
    <mergeCell ref="Q18:Q21"/>
    <mergeCell ref="R18:R20"/>
    <mergeCell ref="S18:S20"/>
    <mergeCell ref="H18:H21"/>
    <mergeCell ref="AN1:AQ1"/>
    <mergeCell ref="A3:A8"/>
    <mergeCell ref="B3:B8"/>
    <mergeCell ref="C3:C8"/>
    <mergeCell ref="D3:D8"/>
    <mergeCell ref="E3:E8"/>
    <mergeCell ref="F3:F8"/>
    <mergeCell ref="G3:G8"/>
    <mergeCell ref="H3:H6"/>
    <mergeCell ref="I3:I8"/>
    <mergeCell ref="A1:L1"/>
    <mergeCell ref="M1:R1"/>
    <mergeCell ref="S1:U1"/>
    <mergeCell ref="V1:X1"/>
    <mergeCell ref="Y1:AI1"/>
    <mergeCell ref="AJ1:AM1"/>
    <mergeCell ref="G9:G13"/>
    <mergeCell ref="H9:H13"/>
    <mergeCell ref="I9:I13"/>
    <mergeCell ref="J9:J11"/>
    <mergeCell ref="K9:K13"/>
    <mergeCell ref="L9:L13"/>
    <mergeCell ref="A9:A13"/>
    <mergeCell ref="B9:B13"/>
    <mergeCell ref="C9:C13"/>
    <mergeCell ref="D9:D13"/>
    <mergeCell ref="E9:E13"/>
    <mergeCell ref="F9:F13"/>
    <mergeCell ref="H7:H8"/>
    <mergeCell ref="J7:J8"/>
    <mergeCell ref="M7:M8"/>
    <mergeCell ref="N7:N8"/>
    <mergeCell ref="O7:O8"/>
    <mergeCell ref="P7:P8"/>
    <mergeCell ref="AL3:AL6"/>
    <mergeCell ref="AM3:AM6"/>
    <mergeCell ref="AN3:AN8"/>
    <mergeCell ref="AO3:AO8"/>
    <mergeCell ref="AP3:AP8"/>
    <mergeCell ref="AQ3:AQ8"/>
    <mergeCell ref="AL7:AL8"/>
    <mergeCell ref="AM7:AM8"/>
    <mergeCell ref="AF3:AF6"/>
    <mergeCell ref="AG3:AG8"/>
    <mergeCell ref="AH3:AH6"/>
    <mergeCell ref="AI3:AI6"/>
    <mergeCell ref="AJ3:AJ8"/>
    <mergeCell ref="AK3:AK6"/>
    <mergeCell ref="AF7:AF8"/>
    <mergeCell ref="AH7:AH8"/>
    <mergeCell ref="AI7:AI8"/>
    <mergeCell ref="AK7:AK8"/>
    <mergeCell ref="P3:P6"/>
    <mergeCell ref="Q3:Q8"/>
    <mergeCell ref="R3:R6"/>
    <mergeCell ref="N3:N6"/>
    <mergeCell ref="O3:O6"/>
    <mergeCell ref="AO9:AO13"/>
    <mergeCell ref="AP9:AP13"/>
    <mergeCell ref="AQ9:AQ13"/>
    <mergeCell ref="J12:J13"/>
    <mergeCell ref="M12:M13"/>
    <mergeCell ref="N12:N13"/>
    <mergeCell ref="O12:O13"/>
    <mergeCell ref="P12:P13"/>
    <mergeCell ref="R12:R13"/>
    <mergeCell ref="V12:V13"/>
    <mergeCell ref="AI9:AI11"/>
    <mergeCell ref="AJ9:AJ13"/>
    <mergeCell ref="AK9:AK11"/>
    <mergeCell ref="AL9:AL11"/>
    <mergeCell ref="AM9:AM11"/>
    <mergeCell ref="AN9:AN13"/>
    <mergeCell ref="AI12:AI13"/>
    <mergeCell ref="AK12:AK13"/>
    <mergeCell ref="AL12:AL13"/>
    <mergeCell ref="AM12:AM13"/>
    <mergeCell ref="V9:V11"/>
    <mergeCell ref="W9:W13"/>
    <mergeCell ref="X9:X13"/>
    <mergeCell ref="AF9:AF11"/>
    <mergeCell ref="AG9:AG13"/>
    <mergeCell ref="AH9:AH11"/>
    <mergeCell ref="AF12:AF13"/>
    <mergeCell ref="AH12:AH13"/>
    <mergeCell ref="M9:M11"/>
    <mergeCell ref="N9:N11"/>
    <mergeCell ref="O9:O11"/>
    <mergeCell ref="P9:P11"/>
    <mergeCell ref="Q9:Q13"/>
    <mergeCell ref="R9:R11"/>
    <mergeCell ref="V3:V6"/>
    <mergeCell ref="W3:W8"/>
    <mergeCell ref="X3:X8"/>
    <mergeCell ref="R7:R8"/>
    <mergeCell ref="V7:V8"/>
    <mergeCell ref="J3:J6"/>
    <mergeCell ref="K3:K8"/>
    <mergeCell ref="L3:L8"/>
    <mergeCell ref="M3:M6"/>
    <mergeCell ref="I18:I21"/>
    <mergeCell ref="J18:J20"/>
    <mergeCell ref="K18:K21"/>
    <mergeCell ref="L18:L21"/>
    <mergeCell ref="M18:M20"/>
    <mergeCell ref="AN22:AN24"/>
    <mergeCell ref="AO22:AO24"/>
    <mergeCell ref="AP22:AP24"/>
    <mergeCell ref="AQ22:AQ24"/>
    <mergeCell ref="AO14:AO16"/>
    <mergeCell ref="AP14:AP16"/>
    <mergeCell ref="AQ14:AQ16"/>
    <mergeCell ref="A18:A21"/>
    <mergeCell ref="B18:B21"/>
    <mergeCell ref="C18:C21"/>
    <mergeCell ref="D18:D21"/>
    <mergeCell ref="E18:E21"/>
    <mergeCell ref="F18:F21"/>
    <mergeCell ref="G18:G21"/>
    <mergeCell ref="AI14:AI15"/>
    <mergeCell ref="AJ14:AJ16"/>
    <mergeCell ref="AK14:AK15"/>
    <mergeCell ref="AL14:AL15"/>
    <mergeCell ref="AM14:AM15"/>
    <mergeCell ref="AN14:AN16"/>
    <mergeCell ref="V14:V15"/>
    <mergeCell ref="W14:W16"/>
    <mergeCell ref="X14:X16"/>
    <mergeCell ref="AF14:AF15"/>
    <mergeCell ref="AG14:AG16"/>
    <mergeCell ref="AH14:AH15"/>
    <mergeCell ref="M14:M15"/>
    <mergeCell ref="N14:N15"/>
    <mergeCell ref="O14:O15"/>
    <mergeCell ref="P14:P15"/>
    <mergeCell ref="Q14:Q16"/>
    <mergeCell ref="R14:R15"/>
    <mergeCell ref="G14:G16"/>
    <mergeCell ref="H14:H15"/>
    <mergeCell ref="I14:I16"/>
    <mergeCell ref="J14:J15"/>
    <mergeCell ref="K14:K16"/>
    <mergeCell ref="L14:L16"/>
    <mergeCell ref="A14:A16"/>
    <mergeCell ref="B14:B16"/>
    <mergeCell ref="C14:C16"/>
    <mergeCell ref="D14:D16"/>
    <mergeCell ref="E14:E16"/>
    <mergeCell ref="F14:F16"/>
    <mergeCell ref="AM18:AM21"/>
    <mergeCell ref="AN18:AN21"/>
    <mergeCell ref="AO18:AO21"/>
    <mergeCell ref="AP18:AP21"/>
    <mergeCell ref="AQ18:AQ21"/>
    <mergeCell ref="AG18:AG21"/>
    <mergeCell ref="AH18:AH21"/>
    <mergeCell ref="AI18:AI21"/>
    <mergeCell ref="AJ18:AJ21"/>
    <mergeCell ref="AK18:AK21"/>
    <mergeCell ref="AL18:AL20"/>
    <mergeCell ref="T18:T20"/>
    <mergeCell ref="U18:U20"/>
    <mergeCell ref="V18:V20"/>
    <mergeCell ref="W18:W21"/>
    <mergeCell ref="AR22:AR24"/>
    <mergeCell ref="A25:A28"/>
    <mergeCell ref="B25:B28"/>
    <mergeCell ref="C25:C28"/>
    <mergeCell ref="D25:D28"/>
    <mergeCell ref="E25:E28"/>
    <mergeCell ref="AH22:AH23"/>
    <mergeCell ref="AI22:AI23"/>
    <mergeCell ref="AJ22:AJ24"/>
    <mergeCell ref="AK22:AK23"/>
    <mergeCell ref="AL22:AL23"/>
    <mergeCell ref="AM22:AM23"/>
    <mergeCell ref="R22:R23"/>
    <mergeCell ref="V22:V23"/>
    <mergeCell ref="W22:W24"/>
    <mergeCell ref="X22:X24"/>
    <mergeCell ref="AF22:AF23"/>
    <mergeCell ref="AG22:AG24"/>
    <mergeCell ref="L22:L24"/>
    <mergeCell ref="M22:M23"/>
    <mergeCell ref="N22:N23"/>
    <mergeCell ref="O22:O23"/>
    <mergeCell ref="P22:P23"/>
    <mergeCell ref="Q22:Q24"/>
    <mergeCell ref="F22:F24"/>
    <mergeCell ref="G22:G24"/>
    <mergeCell ref="H22:H23"/>
    <mergeCell ref="I22:I24"/>
    <mergeCell ref="J22:J23"/>
    <mergeCell ref="K22:K24"/>
    <mergeCell ref="AN25:AN28"/>
    <mergeCell ref="AO25:AO28"/>
    <mergeCell ref="AP25:AP28"/>
    <mergeCell ref="AQ25:AQ28"/>
    <mergeCell ref="A22:A24"/>
    <mergeCell ref="B22:B24"/>
    <mergeCell ref="C22:C24"/>
    <mergeCell ref="D22:D24"/>
    <mergeCell ref="E22:E24"/>
    <mergeCell ref="A29:A32"/>
    <mergeCell ref="B29:B32"/>
    <mergeCell ref="C29:C32"/>
    <mergeCell ref="D29:D32"/>
    <mergeCell ref="E29:E32"/>
    <mergeCell ref="F29:F32"/>
    <mergeCell ref="AH25:AH27"/>
    <mergeCell ref="AI25:AI27"/>
    <mergeCell ref="AJ25:AJ28"/>
    <mergeCell ref="AK25:AK27"/>
    <mergeCell ref="AL25:AL27"/>
    <mergeCell ref="AM25:AM27"/>
    <mergeCell ref="R25:R27"/>
    <mergeCell ref="V25:V27"/>
    <mergeCell ref="W25:W28"/>
    <mergeCell ref="X25:X28"/>
    <mergeCell ref="AF25:AF27"/>
    <mergeCell ref="AG25:AG28"/>
    <mergeCell ref="L25:L28"/>
    <mergeCell ref="M25:M27"/>
    <mergeCell ref="N25:N27"/>
    <mergeCell ref="O25:O27"/>
    <mergeCell ref="P25:P27"/>
    <mergeCell ref="Q25:Q28"/>
    <mergeCell ref="F25:F28"/>
    <mergeCell ref="G25:G28"/>
    <mergeCell ref="H25:H28"/>
    <mergeCell ref="I25:I28"/>
    <mergeCell ref="J25:J27"/>
    <mergeCell ref="K25:K28"/>
    <mergeCell ref="AM29:AM32"/>
    <mergeCell ref="AN29:AN32"/>
    <mergeCell ref="AO29:AO32"/>
    <mergeCell ref="AP29:AP32"/>
    <mergeCell ref="AQ29:AQ32"/>
    <mergeCell ref="A33:A36"/>
    <mergeCell ref="B33:B36"/>
    <mergeCell ref="C33:C36"/>
    <mergeCell ref="D33:D36"/>
    <mergeCell ref="E33:E36"/>
    <mergeCell ref="AF29:AF32"/>
    <mergeCell ref="AG29:AG32"/>
    <mergeCell ref="AI29:AI32"/>
    <mergeCell ref="AJ29:AJ32"/>
    <mergeCell ref="AK29:AK32"/>
    <mergeCell ref="AL29:AL32"/>
    <mergeCell ref="S29:S32"/>
    <mergeCell ref="T29:T32"/>
    <mergeCell ref="U29:U32"/>
    <mergeCell ref="V29:V32"/>
    <mergeCell ref="W29:W32"/>
    <mergeCell ref="X29:X32"/>
    <mergeCell ref="M29:M32"/>
    <mergeCell ref="N29:N32"/>
    <mergeCell ref="O29:O32"/>
    <mergeCell ref="P29:P32"/>
    <mergeCell ref="Q29:Q32"/>
    <mergeCell ref="R29:R32"/>
    <mergeCell ref="G29:G32"/>
    <mergeCell ref="H29:H32"/>
    <mergeCell ref="I29:I32"/>
    <mergeCell ref="J29:J32"/>
    <mergeCell ref="K29:K32"/>
    <mergeCell ref="L29:L32"/>
    <mergeCell ref="AR33:AR36"/>
    <mergeCell ref="A37:A42"/>
    <mergeCell ref="B37:B42"/>
    <mergeCell ref="C37:C42"/>
    <mergeCell ref="D37:D42"/>
    <mergeCell ref="E37:E42"/>
    <mergeCell ref="F37:F42"/>
    <mergeCell ref="G37:G42"/>
    <mergeCell ref="H37:H42"/>
    <mergeCell ref="I37:I42"/>
    <mergeCell ref="AL33:AL36"/>
    <mergeCell ref="AM33:AM36"/>
    <mergeCell ref="AN33:AN36"/>
    <mergeCell ref="AO33:AO36"/>
    <mergeCell ref="AP33:AP36"/>
    <mergeCell ref="AQ33:AQ36"/>
    <mergeCell ref="X33:X36"/>
    <mergeCell ref="AF33:AF36"/>
    <mergeCell ref="AG33:AG36"/>
    <mergeCell ref="AI33:AI36"/>
    <mergeCell ref="AJ33:AJ36"/>
    <mergeCell ref="AK33:AK36"/>
    <mergeCell ref="R33:R36"/>
    <mergeCell ref="S33:S36"/>
    <mergeCell ref="T33:T36"/>
    <mergeCell ref="U33:U36"/>
    <mergeCell ref="V33:V36"/>
    <mergeCell ref="W33:W36"/>
    <mergeCell ref="L33:L36"/>
    <mergeCell ref="M33:M36"/>
    <mergeCell ref="N33:N36"/>
    <mergeCell ref="O33:O36"/>
    <mergeCell ref="P33:P36"/>
    <mergeCell ref="Q33:Q36"/>
    <mergeCell ref="F33:F36"/>
    <mergeCell ref="G33:G36"/>
    <mergeCell ref="H33:H36"/>
    <mergeCell ref="I33:I36"/>
    <mergeCell ref="J33:J36"/>
    <mergeCell ref="K33:K36"/>
    <mergeCell ref="AP37:AP42"/>
    <mergeCell ref="AQ37:AQ42"/>
    <mergeCell ref="AR37:AR42"/>
    <mergeCell ref="J41:J42"/>
    <mergeCell ref="M41:M42"/>
    <mergeCell ref="N41:N42"/>
    <mergeCell ref="O41:O42"/>
    <mergeCell ref="P41:P42"/>
    <mergeCell ref="R41:R42"/>
    <mergeCell ref="S41:S42"/>
    <mergeCell ref="AJ37:AJ40"/>
    <mergeCell ref="AK37:AK40"/>
    <mergeCell ref="AL37:AL40"/>
    <mergeCell ref="AM37:AM40"/>
    <mergeCell ref="AN37:AN42"/>
    <mergeCell ref="AO37:AO42"/>
    <mergeCell ref="AJ41:AJ42"/>
    <mergeCell ref="AK41:AK42"/>
    <mergeCell ref="AL41:AL42"/>
    <mergeCell ref="AM41:AM42"/>
    <mergeCell ref="V37:V40"/>
    <mergeCell ref="W37:W42"/>
    <mergeCell ref="X37:X42"/>
    <mergeCell ref="AF37:AF40"/>
    <mergeCell ref="AG37:AG42"/>
    <mergeCell ref="AI37:AI40"/>
    <mergeCell ref="V41:V42"/>
    <mergeCell ref="AF41:AF42"/>
    <mergeCell ref="AI41:AI42"/>
    <mergeCell ref="P37:P40"/>
    <mergeCell ref="Q37:Q42"/>
    <mergeCell ref="R37:R40"/>
    <mergeCell ref="S37:S40"/>
    <mergeCell ref="T37:T40"/>
    <mergeCell ref="U37:U40"/>
    <mergeCell ref="T41:T42"/>
    <mergeCell ref="U41:U42"/>
    <mergeCell ref="J37:J40"/>
    <mergeCell ref="K37:K42"/>
    <mergeCell ref="L37:L42"/>
    <mergeCell ref="M37:M40"/>
    <mergeCell ref="N37:N40"/>
    <mergeCell ref="O37:O40"/>
    <mergeCell ref="AO44:AO47"/>
    <mergeCell ref="AP44:AP47"/>
    <mergeCell ref="AQ44:AQ47"/>
    <mergeCell ref="A48:A50"/>
    <mergeCell ref="B48:B50"/>
    <mergeCell ref="C48:C50"/>
    <mergeCell ref="D48:D50"/>
    <mergeCell ref="E48:E50"/>
    <mergeCell ref="F48:F50"/>
    <mergeCell ref="G48:G50"/>
    <mergeCell ref="AI44:AI47"/>
    <mergeCell ref="AJ44:AJ47"/>
    <mergeCell ref="AK44:AK47"/>
    <mergeCell ref="AL44:AL47"/>
    <mergeCell ref="AM44:AM47"/>
    <mergeCell ref="AN44:AN47"/>
    <mergeCell ref="V44:V47"/>
    <mergeCell ref="W44:W47"/>
    <mergeCell ref="X44:X47"/>
    <mergeCell ref="AF44:AF47"/>
    <mergeCell ref="AG44:AG47"/>
    <mergeCell ref="AH44:AH47"/>
    <mergeCell ref="M44:M47"/>
    <mergeCell ref="N44:N47"/>
    <mergeCell ref="O44:O47"/>
    <mergeCell ref="P44:P47"/>
    <mergeCell ref="Q44:Q47"/>
    <mergeCell ref="R44:R47"/>
    <mergeCell ref="G44:G47"/>
    <mergeCell ref="H44:H47"/>
    <mergeCell ref="I44:I47"/>
    <mergeCell ref="J44:J47"/>
    <mergeCell ref="K44:K47"/>
    <mergeCell ref="L44:L47"/>
    <mergeCell ref="A44:A47"/>
    <mergeCell ref="B44:B47"/>
    <mergeCell ref="C44:C47"/>
    <mergeCell ref="D44:D47"/>
    <mergeCell ref="E44:E47"/>
    <mergeCell ref="F44:F47"/>
    <mergeCell ref="AP48:AP50"/>
    <mergeCell ref="AQ48:AQ50"/>
    <mergeCell ref="AJ51:AJ52"/>
    <mergeCell ref="AK51:AK52"/>
    <mergeCell ref="AL51:AL52"/>
    <mergeCell ref="AM51:AM52"/>
    <mergeCell ref="AN51:AN52"/>
    <mergeCell ref="AO51:AO52"/>
    <mergeCell ref="W51:W52"/>
    <mergeCell ref="X51:X52"/>
    <mergeCell ref="AF51:AF52"/>
    <mergeCell ref="AG51:AG52"/>
    <mergeCell ref="AH51:AH52"/>
    <mergeCell ref="AI51:AI52"/>
    <mergeCell ref="N51:N52"/>
    <mergeCell ref="O51:O52"/>
    <mergeCell ref="P51:P52"/>
    <mergeCell ref="Q51:Q52"/>
    <mergeCell ref="R51:R52"/>
    <mergeCell ref="V51:V52"/>
    <mergeCell ref="H51:H52"/>
    <mergeCell ref="I51:I52"/>
    <mergeCell ref="J51:J52"/>
    <mergeCell ref="K51:K52"/>
    <mergeCell ref="L51:L52"/>
    <mergeCell ref="M51:M52"/>
    <mergeCell ref="AQ53:AQ55"/>
    <mergeCell ref="AR48:AR50"/>
    <mergeCell ref="A51:A52"/>
    <mergeCell ref="B51:B52"/>
    <mergeCell ref="C51:C52"/>
    <mergeCell ref="D51:D52"/>
    <mergeCell ref="E51:E52"/>
    <mergeCell ref="F51:F52"/>
    <mergeCell ref="G51:G52"/>
    <mergeCell ref="AJ48:AJ50"/>
    <mergeCell ref="AK48:AK49"/>
    <mergeCell ref="AL48:AL49"/>
    <mergeCell ref="AM48:AM49"/>
    <mergeCell ref="AN48:AN50"/>
    <mergeCell ref="AO48:AO50"/>
    <mergeCell ref="W48:W50"/>
    <mergeCell ref="X48:X50"/>
    <mergeCell ref="AF48:AF49"/>
    <mergeCell ref="AG48:AG50"/>
    <mergeCell ref="AH48:AH49"/>
    <mergeCell ref="AI48:AI49"/>
    <mergeCell ref="N48:N49"/>
    <mergeCell ref="O48:O49"/>
    <mergeCell ref="P48:P49"/>
    <mergeCell ref="Q48:Q50"/>
    <mergeCell ref="R48:R49"/>
    <mergeCell ref="V48:V49"/>
    <mergeCell ref="H48:H50"/>
    <mergeCell ref="I48:I50"/>
    <mergeCell ref="J48:J49"/>
    <mergeCell ref="K48:K50"/>
    <mergeCell ref="L48:L50"/>
    <mergeCell ref="M48:M49"/>
    <mergeCell ref="AP51:AP52"/>
    <mergeCell ref="AQ51:AQ52"/>
    <mergeCell ref="A56:A62"/>
    <mergeCell ref="B56:B62"/>
    <mergeCell ref="C56:C62"/>
    <mergeCell ref="D56:D62"/>
    <mergeCell ref="E56:E62"/>
    <mergeCell ref="F56:F62"/>
    <mergeCell ref="G56:G62"/>
    <mergeCell ref="H56:H62"/>
    <mergeCell ref="I56:I62"/>
    <mergeCell ref="AK53:AK55"/>
    <mergeCell ref="AL53:AL55"/>
    <mergeCell ref="AM53:AM55"/>
    <mergeCell ref="AN53:AN55"/>
    <mergeCell ref="AO53:AO55"/>
    <mergeCell ref="AP53:AP55"/>
    <mergeCell ref="X53:X55"/>
    <mergeCell ref="AF53:AF55"/>
    <mergeCell ref="AG53:AG55"/>
    <mergeCell ref="AH53:AH55"/>
    <mergeCell ref="AI53:AI55"/>
    <mergeCell ref="AJ53:AJ55"/>
    <mergeCell ref="O53:O55"/>
    <mergeCell ref="P53:P55"/>
    <mergeCell ref="Q53:Q55"/>
    <mergeCell ref="R53:R55"/>
    <mergeCell ref="V53:V55"/>
    <mergeCell ref="W53:W55"/>
    <mergeCell ref="I53:I55"/>
    <mergeCell ref="J53:J55"/>
    <mergeCell ref="K53:K55"/>
    <mergeCell ref="L53:L55"/>
    <mergeCell ref="M53:M55"/>
    <mergeCell ref="N53:N55"/>
    <mergeCell ref="A53:A55"/>
    <mergeCell ref="B53:B55"/>
    <mergeCell ref="C53:C55"/>
    <mergeCell ref="D53:D55"/>
    <mergeCell ref="E53:E55"/>
    <mergeCell ref="F53:F55"/>
    <mergeCell ref="G53:G55"/>
    <mergeCell ref="H53:H55"/>
    <mergeCell ref="AQ56:AQ62"/>
    <mergeCell ref="J60:J62"/>
    <mergeCell ref="M60:M62"/>
    <mergeCell ref="N60:N62"/>
    <mergeCell ref="O60:O62"/>
    <mergeCell ref="P60:P62"/>
    <mergeCell ref="R60:R62"/>
    <mergeCell ref="S60:S62"/>
    <mergeCell ref="T60:T62"/>
    <mergeCell ref="U60:U62"/>
    <mergeCell ref="AK56:AK59"/>
    <mergeCell ref="AL56:AL59"/>
    <mergeCell ref="AM56:AM59"/>
    <mergeCell ref="AN56:AN62"/>
    <mergeCell ref="AO56:AO62"/>
    <mergeCell ref="AP56:AP62"/>
    <mergeCell ref="AK60:AK62"/>
    <mergeCell ref="AL60:AL62"/>
    <mergeCell ref="AM60:AM62"/>
    <mergeCell ref="V56:V59"/>
    <mergeCell ref="W56:W62"/>
    <mergeCell ref="X56:X62"/>
    <mergeCell ref="AF56:AF59"/>
    <mergeCell ref="AG56:AG62"/>
    <mergeCell ref="AJ56:AJ59"/>
    <mergeCell ref="V60:V62"/>
    <mergeCell ref="AF60:AF62"/>
    <mergeCell ref="AJ60:AJ62"/>
    <mergeCell ref="P56:P59"/>
    <mergeCell ref="Q56:Q62"/>
    <mergeCell ref="R56:R59"/>
    <mergeCell ref="S56:S59"/>
    <mergeCell ref="T56:T59"/>
    <mergeCell ref="U56:U59"/>
    <mergeCell ref="J56:J59"/>
    <mergeCell ref="K56:K62"/>
    <mergeCell ref="L56:L62"/>
    <mergeCell ref="M56:M59"/>
    <mergeCell ref="N56:N59"/>
    <mergeCell ref="O56:O59"/>
    <mergeCell ref="AM63:AM65"/>
    <mergeCell ref="AN63:AN66"/>
    <mergeCell ref="AO63:AO66"/>
    <mergeCell ref="AP63:AP66"/>
    <mergeCell ref="AQ63:AQ66"/>
    <mergeCell ref="A67:A68"/>
    <mergeCell ref="B67:B68"/>
    <mergeCell ref="C67:C68"/>
    <mergeCell ref="D67:D68"/>
    <mergeCell ref="E67:E68"/>
    <mergeCell ref="AF63:AF65"/>
    <mergeCell ref="AG63:AG66"/>
    <mergeCell ref="AI63:AI65"/>
    <mergeCell ref="AJ63:AJ65"/>
    <mergeCell ref="AK63:AK65"/>
    <mergeCell ref="AL63:AL65"/>
    <mergeCell ref="S63:S65"/>
    <mergeCell ref="T63:T65"/>
    <mergeCell ref="U63:U65"/>
    <mergeCell ref="V63:V65"/>
    <mergeCell ref="W63:W66"/>
    <mergeCell ref="X63:X66"/>
    <mergeCell ref="M63:M65"/>
    <mergeCell ref="N63:N65"/>
    <mergeCell ref="O63:O65"/>
    <mergeCell ref="P63:P65"/>
    <mergeCell ref="Q63:Q66"/>
    <mergeCell ref="R63:R65"/>
    <mergeCell ref="G63:G66"/>
    <mergeCell ref="H63:H66"/>
    <mergeCell ref="I63:I66"/>
    <mergeCell ref="J63:J65"/>
    <mergeCell ref="K63:K66"/>
    <mergeCell ref="L63:L66"/>
    <mergeCell ref="A63:A66"/>
    <mergeCell ref="B63:B66"/>
    <mergeCell ref="C63:C65"/>
    <mergeCell ref="D63:D66"/>
    <mergeCell ref="E63:E66"/>
    <mergeCell ref="F63:F66"/>
    <mergeCell ref="AQ67:AQ68"/>
    <mergeCell ref="A69:A70"/>
    <mergeCell ref="B69:B70"/>
    <mergeCell ref="C69:C70"/>
    <mergeCell ref="D69:D70"/>
    <mergeCell ref="E69:E70"/>
    <mergeCell ref="F69:F70"/>
    <mergeCell ref="G69:G70"/>
    <mergeCell ref="H69:H70"/>
    <mergeCell ref="I69:I70"/>
    <mergeCell ref="AK67:AK68"/>
    <mergeCell ref="AL67:AL68"/>
    <mergeCell ref="AM67:AM68"/>
    <mergeCell ref="AN67:AN68"/>
    <mergeCell ref="AO67:AO68"/>
    <mergeCell ref="AP67:AP68"/>
    <mergeCell ref="X67:X68"/>
    <mergeCell ref="AF67:AF68"/>
    <mergeCell ref="AG67:AG68"/>
    <mergeCell ref="AH67:AH68"/>
    <mergeCell ref="AI67:AI68"/>
    <mergeCell ref="AJ67:AJ68"/>
    <mergeCell ref="R67:R68"/>
    <mergeCell ref="S67:S68"/>
    <mergeCell ref="T67:T68"/>
    <mergeCell ref="U67:U68"/>
    <mergeCell ref="V67:V68"/>
    <mergeCell ref="W67:W68"/>
    <mergeCell ref="L67:L68"/>
    <mergeCell ref="M67:M68"/>
    <mergeCell ref="N67:N68"/>
    <mergeCell ref="O67:O68"/>
    <mergeCell ref="P67:P68"/>
    <mergeCell ref="Q67:Q68"/>
    <mergeCell ref="F67:F68"/>
    <mergeCell ref="G67:G68"/>
    <mergeCell ref="H67:H68"/>
    <mergeCell ref="I67:I68"/>
    <mergeCell ref="J67:J68"/>
    <mergeCell ref="K67:K68"/>
    <mergeCell ref="AR69:AR70"/>
    <mergeCell ref="AR71:AR72"/>
    <mergeCell ref="A72:A76"/>
    <mergeCell ref="B72:B76"/>
    <mergeCell ref="C72:C76"/>
    <mergeCell ref="D72:D76"/>
    <mergeCell ref="E72:E76"/>
    <mergeCell ref="F72:F76"/>
    <mergeCell ref="G72:G76"/>
    <mergeCell ref="H72:H76"/>
    <mergeCell ref="AL69:AL70"/>
    <mergeCell ref="AM69:AM70"/>
    <mergeCell ref="AN69:AN70"/>
    <mergeCell ref="AO69:AO70"/>
    <mergeCell ref="AP69:AP70"/>
    <mergeCell ref="AQ69:AQ70"/>
    <mergeCell ref="AF69:AF70"/>
    <mergeCell ref="AG69:AG70"/>
    <mergeCell ref="AH69:AH70"/>
    <mergeCell ref="AI69:AI70"/>
    <mergeCell ref="AJ69:AJ70"/>
    <mergeCell ref="AK69:AK70"/>
    <mergeCell ref="P69:P70"/>
    <mergeCell ref="Q69:Q70"/>
    <mergeCell ref="R69:R70"/>
    <mergeCell ref="V69:V70"/>
    <mergeCell ref="W69:W70"/>
    <mergeCell ref="X69:X70"/>
    <mergeCell ref="J69:J70"/>
    <mergeCell ref="K69:K70"/>
    <mergeCell ref="L69:L70"/>
    <mergeCell ref="M69:M70"/>
    <mergeCell ref="N69:N70"/>
    <mergeCell ref="O69:O70"/>
    <mergeCell ref="AQ72:AQ76"/>
    <mergeCell ref="J75:J76"/>
    <mergeCell ref="M75:M76"/>
    <mergeCell ref="N75:N76"/>
    <mergeCell ref="O75:O76"/>
    <mergeCell ref="P75:P76"/>
    <mergeCell ref="R75:R76"/>
    <mergeCell ref="V75:V76"/>
    <mergeCell ref="AF75:AF76"/>
    <mergeCell ref="AK75:AK76"/>
    <mergeCell ref="AK72:AK74"/>
    <mergeCell ref="AL72:AL74"/>
    <mergeCell ref="AM72:AM74"/>
    <mergeCell ref="AN72:AN76"/>
    <mergeCell ref="AO72:AO76"/>
    <mergeCell ref="AP72:AP76"/>
    <mergeCell ref="AL75:AL76"/>
    <mergeCell ref="AM75:AM76"/>
    <mergeCell ref="X72:X76"/>
    <mergeCell ref="AF72:AF74"/>
    <mergeCell ref="AG72:AG76"/>
    <mergeCell ref="AH72:AH76"/>
    <mergeCell ref="AI72:AI76"/>
    <mergeCell ref="AJ72:AJ76"/>
    <mergeCell ref="O72:O74"/>
    <mergeCell ref="P72:P74"/>
    <mergeCell ref="Q72:Q76"/>
    <mergeCell ref="R72:R74"/>
    <mergeCell ref="V72:V74"/>
    <mergeCell ref="W72:W76"/>
    <mergeCell ref="I72:I76"/>
    <mergeCell ref="J72:J74"/>
    <mergeCell ref="K72:K76"/>
    <mergeCell ref="L72:L76"/>
    <mergeCell ref="M72:M74"/>
    <mergeCell ref="N72:N74"/>
    <mergeCell ref="U83:U85"/>
    <mergeCell ref="V83:V85"/>
    <mergeCell ref="Y83:Y84"/>
    <mergeCell ref="N79:N81"/>
    <mergeCell ref="O79:O81"/>
    <mergeCell ref="P79:P82"/>
    <mergeCell ref="Q79:Q90"/>
    <mergeCell ref="R79:R82"/>
    <mergeCell ref="S79:S82"/>
    <mergeCell ref="S83:S86"/>
    <mergeCell ref="H79:H90"/>
    <mergeCell ref="I79:I90"/>
    <mergeCell ref="J79:J90"/>
    <mergeCell ref="K79:K90"/>
    <mergeCell ref="L79:L90"/>
    <mergeCell ref="M79:M82"/>
    <mergeCell ref="AO77:AO78"/>
    <mergeCell ref="AP77:AP78"/>
    <mergeCell ref="AQ77:AQ78"/>
    <mergeCell ref="A79:A90"/>
    <mergeCell ref="B79:B90"/>
    <mergeCell ref="C79:C86"/>
    <mergeCell ref="D79:D90"/>
    <mergeCell ref="E79:E90"/>
    <mergeCell ref="F79:F90"/>
    <mergeCell ref="G79:G90"/>
    <mergeCell ref="AI77:AI78"/>
    <mergeCell ref="AJ77:AJ78"/>
    <mergeCell ref="AK77:AK78"/>
    <mergeCell ref="AL77:AL78"/>
    <mergeCell ref="AM77:AM78"/>
    <mergeCell ref="AN77:AN78"/>
    <mergeCell ref="V77:V78"/>
    <mergeCell ref="W77:W78"/>
    <mergeCell ref="X77:X78"/>
    <mergeCell ref="AF77:AF78"/>
    <mergeCell ref="AG77:AG78"/>
    <mergeCell ref="AH77:AH78"/>
    <mergeCell ref="M77:M78"/>
    <mergeCell ref="N77:N78"/>
    <mergeCell ref="O77:O78"/>
    <mergeCell ref="P77:P78"/>
    <mergeCell ref="Q77:Q78"/>
    <mergeCell ref="R77:R78"/>
    <mergeCell ref="G77:G78"/>
    <mergeCell ref="H77:H78"/>
    <mergeCell ref="I77:I78"/>
    <mergeCell ref="J77:J78"/>
    <mergeCell ref="K77:K78"/>
    <mergeCell ref="L77:L78"/>
    <mergeCell ref="A77:A78"/>
    <mergeCell ref="B77:B78"/>
    <mergeCell ref="C77:C78"/>
    <mergeCell ref="D77:D78"/>
    <mergeCell ref="E77:E78"/>
    <mergeCell ref="F77:F78"/>
    <mergeCell ref="AF87:AF90"/>
    <mergeCell ref="AH87:AH88"/>
    <mergeCell ref="AI87:AI89"/>
    <mergeCell ref="AJ87:AJ90"/>
    <mergeCell ref="AK87:AK89"/>
    <mergeCell ref="AL87:AL90"/>
    <mergeCell ref="U87:U89"/>
    <mergeCell ref="V87:V89"/>
    <mergeCell ref="Y87:Y88"/>
    <mergeCell ref="AC87:AC88"/>
    <mergeCell ref="AD87:AD88"/>
    <mergeCell ref="AE87:AE88"/>
    <mergeCell ref="Y89:Y90"/>
    <mergeCell ref="AC89:AC90"/>
    <mergeCell ref="Y85:Y86"/>
    <mergeCell ref="AC85:AC86"/>
    <mergeCell ref="C87:C90"/>
    <mergeCell ref="M87:M90"/>
    <mergeCell ref="N87:N89"/>
    <mergeCell ref="O87:O89"/>
    <mergeCell ref="P87:P90"/>
    <mergeCell ref="R87:R90"/>
    <mergeCell ref="S87:S90"/>
    <mergeCell ref="T87:T89"/>
    <mergeCell ref="AH83:AH84"/>
    <mergeCell ref="AI83:AI85"/>
    <mergeCell ref="AJ83:AJ86"/>
    <mergeCell ref="AK83:AK86"/>
    <mergeCell ref="AL83:AL86"/>
    <mergeCell ref="AM83:AM86"/>
    <mergeCell ref="AO79:AO90"/>
    <mergeCell ref="AP79:AP90"/>
    <mergeCell ref="AQ79:AQ90"/>
    <mergeCell ref="Y81:Y82"/>
    <mergeCell ref="AC81:AC82"/>
    <mergeCell ref="M83:M86"/>
    <mergeCell ref="N83:N85"/>
    <mergeCell ref="O83:O85"/>
    <mergeCell ref="P83:P86"/>
    <mergeCell ref="R83:R86"/>
    <mergeCell ref="AI79:AI81"/>
    <mergeCell ref="AJ79:AJ82"/>
    <mergeCell ref="AK79:AK82"/>
    <mergeCell ref="AL79:AL82"/>
    <mergeCell ref="AM79:AM82"/>
    <mergeCell ref="AN79:AN90"/>
    <mergeCell ref="AM87:AM90"/>
    <mergeCell ref="AC79:AC80"/>
    <mergeCell ref="AD79:AD80"/>
    <mergeCell ref="AE79:AE80"/>
    <mergeCell ref="AF79:AF82"/>
    <mergeCell ref="AG79:AG90"/>
    <mergeCell ref="AH79:AH80"/>
    <mergeCell ref="AC83:AC84"/>
    <mergeCell ref="AD83:AD84"/>
    <mergeCell ref="AE83:AE84"/>
    <mergeCell ref="AF83:AF86"/>
    <mergeCell ref="T79:T81"/>
    <mergeCell ref="U79:U81"/>
    <mergeCell ref="V79:V81"/>
    <mergeCell ref="W79:W90"/>
    <mergeCell ref="X79:X90"/>
    <mergeCell ref="Y79:Y80"/>
    <mergeCell ref="T83:T85"/>
    <mergeCell ref="AO91:AO102"/>
    <mergeCell ref="AP91:AP102"/>
    <mergeCell ref="AQ91:AQ102"/>
    <mergeCell ref="Y92:Y95"/>
    <mergeCell ref="Z92:Z95"/>
    <mergeCell ref="AA92:AA95"/>
    <mergeCell ref="AB92:AB95"/>
    <mergeCell ref="AI94:AI95"/>
    <mergeCell ref="AK94:AK95"/>
    <mergeCell ref="AM94:AM95"/>
    <mergeCell ref="AI91:AI93"/>
    <mergeCell ref="AJ91:AJ102"/>
    <mergeCell ref="AK91:AK93"/>
    <mergeCell ref="AL91:AL95"/>
    <mergeCell ref="AM91:AM93"/>
    <mergeCell ref="AN91:AN102"/>
    <mergeCell ref="AI96:AI98"/>
    <mergeCell ref="AK96:AK100"/>
    <mergeCell ref="AL96:AL100"/>
    <mergeCell ref="AM96:AM100"/>
    <mergeCell ref="V91:V93"/>
    <mergeCell ref="W91:W102"/>
    <mergeCell ref="X91:X102"/>
    <mergeCell ref="AF91:AF95"/>
    <mergeCell ref="AG91:AG102"/>
    <mergeCell ref="AH91:AH95"/>
    <mergeCell ref="V94:V95"/>
    <mergeCell ref="Y101:Y102"/>
    <mergeCell ref="Z101:Z102"/>
    <mergeCell ref="AA101:AA102"/>
    <mergeCell ref="M91:M95"/>
    <mergeCell ref="N91:N93"/>
    <mergeCell ref="O91:O93"/>
    <mergeCell ref="P91:P95"/>
    <mergeCell ref="Q91:Q102"/>
    <mergeCell ref="R91:R95"/>
    <mergeCell ref="N94:N95"/>
    <mergeCell ref="O94:O95"/>
    <mergeCell ref="M96:M100"/>
    <mergeCell ref="N96:N98"/>
    <mergeCell ref="AM101:AM102"/>
    <mergeCell ref="A103:A110"/>
    <mergeCell ref="B103:B110"/>
    <mergeCell ref="C103:C110"/>
    <mergeCell ref="D103:D110"/>
    <mergeCell ref="E103:E110"/>
    <mergeCell ref="F103:F110"/>
    <mergeCell ref="G103:G110"/>
    <mergeCell ref="H103:H110"/>
    <mergeCell ref="I103:I110"/>
    <mergeCell ref="AB101:AB102"/>
    <mergeCell ref="AF101:AF102"/>
    <mergeCell ref="AH101:AH102"/>
    <mergeCell ref="AI101:AI102"/>
    <mergeCell ref="AK101:AK102"/>
    <mergeCell ref="AL101:AL102"/>
    <mergeCell ref="N99:N100"/>
    <mergeCell ref="O99:O100"/>
    <mergeCell ref="AI99:AI100"/>
    <mergeCell ref="J101:J102"/>
    <mergeCell ref="M101:M102"/>
    <mergeCell ref="N101:N102"/>
    <mergeCell ref="O101:O102"/>
    <mergeCell ref="P101:P102"/>
    <mergeCell ref="R101:R102"/>
    <mergeCell ref="V101:V102"/>
    <mergeCell ref="O96:O98"/>
    <mergeCell ref="P96:P100"/>
    <mergeCell ref="R96:R100"/>
    <mergeCell ref="V96:V100"/>
    <mergeCell ref="AF96:AF100"/>
    <mergeCell ref="AH96:AH100"/>
    <mergeCell ref="Y97:Y100"/>
    <mergeCell ref="Z97:Z100"/>
    <mergeCell ref="AA97:AA100"/>
    <mergeCell ref="AB97:AB100"/>
    <mergeCell ref="G91:G102"/>
    <mergeCell ref="H91:H102"/>
    <mergeCell ref="I91:I102"/>
    <mergeCell ref="J91:J100"/>
    <mergeCell ref="K91:K102"/>
    <mergeCell ref="L91:L102"/>
    <mergeCell ref="A91:A102"/>
    <mergeCell ref="B91:B102"/>
    <mergeCell ref="C91:C95"/>
    <mergeCell ref="D91:D102"/>
    <mergeCell ref="E91:E102"/>
    <mergeCell ref="F91:F102"/>
    <mergeCell ref="C96:C102"/>
    <mergeCell ref="C111:C115"/>
    <mergeCell ref="D111:D115"/>
    <mergeCell ref="E111:E115"/>
    <mergeCell ref="F111:F115"/>
    <mergeCell ref="AC107:AC108"/>
    <mergeCell ref="AI107:AI110"/>
    <mergeCell ref="Y109:Y110"/>
    <mergeCell ref="Z109:Z110"/>
    <mergeCell ref="AA109:AA110"/>
    <mergeCell ref="AB109:AB110"/>
    <mergeCell ref="AC109:AC110"/>
    <mergeCell ref="AM103:AM110"/>
    <mergeCell ref="AN103:AN110"/>
    <mergeCell ref="AO103:AO110"/>
    <mergeCell ref="AP103:AP110"/>
    <mergeCell ref="AQ103:AQ110"/>
    <mergeCell ref="Y105:Y106"/>
    <mergeCell ref="Z105:Z106"/>
    <mergeCell ref="AA105:AA106"/>
    <mergeCell ref="AB105:AB106"/>
    <mergeCell ref="AC105:AC106"/>
    <mergeCell ref="AG103:AG110"/>
    <mergeCell ref="AH103:AH110"/>
    <mergeCell ref="AI103:AI106"/>
    <mergeCell ref="AJ103:AJ110"/>
    <mergeCell ref="AK103:AK110"/>
    <mergeCell ref="AL103:AL110"/>
    <mergeCell ref="Y103:Y104"/>
    <mergeCell ref="Z103:Z104"/>
    <mergeCell ref="AA103:AA104"/>
    <mergeCell ref="AB103:AB104"/>
    <mergeCell ref="AC103:AC104"/>
    <mergeCell ref="AF103:AF110"/>
    <mergeCell ref="Y107:Y108"/>
    <mergeCell ref="Z107:Z108"/>
    <mergeCell ref="AA107:AA108"/>
    <mergeCell ref="AB107:AB108"/>
    <mergeCell ref="P103:P110"/>
    <mergeCell ref="Q103:Q110"/>
    <mergeCell ref="R103:R110"/>
    <mergeCell ref="V103:V110"/>
    <mergeCell ref="W103:W110"/>
    <mergeCell ref="X103:X110"/>
    <mergeCell ref="J103:J110"/>
    <mergeCell ref="K103:K110"/>
    <mergeCell ref="L103:L110"/>
    <mergeCell ref="M103:M110"/>
    <mergeCell ref="N103:N106"/>
    <mergeCell ref="O103:O106"/>
    <mergeCell ref="N107:N110"/>
    <mergeCell ref="O107:O110"/>
    <mergeCell ref="M120:M122"/>
    <mergeCell ref="N120:N121"/>
    <mergeCell ref="O120:O121"/>
    <mergeCell ref="P120:P122"/>
    <mergeCell ref="G116:G138"/>
    <mergeCell ref="H116:H138"/>
    <mergeCell ref="I116:I138"/>
    <mergeCell ref="J116:J138"/>
    <mergeCell ref="K116:K138"/>
    <mergeCell ref="L116:L138"/>
    <mergeCell ref="A116:A138"/>
    <mergeCell ref="B116:B138"/>
    <mergeCell ref="C116:C119"/>
    <mergeCell ref="D116:D138"/>
    <mergeCell ref="E116:E138"/>
    <mergeCell ref="F116:F138"/>
    <mergeCell ref="C120:C134"/>
    <mergeCell ref="AP111:AP115"/>
    <mergeCell ref="AQ111:AQ115"/>
    <mergeCell ref="AR111:AR115"/>
    <mergeCell ref="N113:N114"/>
    <mergeCell ref="O113:O114"/>
    <mergeCell ref="V113:V114"/>
    <mergeCell ref="Y113:Y114"/>
    <mergeCell ref="Z113:Z114"/>
    <mergeCell ref="AA113:AA114"/>
    <mergeCell ref="AB113:AB114"/>
    <mergeCell ref="AJ111:AJ115"/>
    <mergeCell ref="AK111:AK112"/>
    <mergeCell ref="AL111:AL112"/>
    <mergeCell ref="AM111:AM112"/>
    <mergeCell ref="AN111:AN115"/>
    <mergeCell ref="AO111:AO115"/>
    <mergeCell ref="AK113:AK114"/>
    <mergeCell ref="AL113:AL114"/>
    <mergeCell ref="AM113:AM114"/>
    <mergeCell ref="AB111:AB112"/>
    <mergeCell ref="AC111:AC112"/>
    <mergeCell ref="AF111:AF114"/>
    <mergeCell ref="AG111:AG115"/>
    <mergeCell ref="AH111:AH114"/>
    <mergeCell ref="AI111:AI112"/>
    <mergeCell ref="AC113:AC114"/>
    <mergeCell ref="AI113:AI114"/>
    <mergeCell ref="V111:V112"/>
    <mergeCell ref="W111:W115"/>
    <mergeCell ref="X111:X115"/>
    <mergeCell ref="Y111:Y112"/>
    <mergeCell ref="Z111:Z112"/>
    <mergeCell ref="AA111:AA112"/>
    <mergeCell ref="M111:M114"/>
    <mergeCell ref="N111:N112"/>
    <mergeCell ref="O111:O112"/>
    <mergeCell ref="P111:P114"/>
    <mergeCell ref="Q111:Q115"/>
    <mergeCell ref="R111:R114"/>
    <mergeCell ref="G111:G115"/>
    <mergeCell ref="H111:H115"/>
    <mergeCell ref="I111:I115"/>
    <mergeCell ref="J111:J114"/>
    <mergeCell ref="K111:K115"/>
    <mergeCell ref="L111:L115"/>
    <mergeCell ref="A111:A115"/>
    <mergeCell ref="B111:B115"/>
    <mergeCell ref="V127:V129"/>
    <mergeCell ref="AF127:AF130"/>
    <mergeCell ref="AI127:AI129"/>
    <mergeCell ref="AK127:AK130"/>
    <mergeCell ref="AL127:AL130"/>
    <mergeCell ref="AM127:AM130"/>
    <mergeCell ref="Y129:Y130"/>
    <mergeCell ref="AC129:AC130"/>
    <mergeCell ref="AM123:AM126"/>
    <mergeCell ref="Y125:Y126"/>
    <mergeCell ref="AC125:AC126"/>
    <mergeCell ref="M127:M130"/>
    <mergeCell ref="N127:N129"/>
    <mergeCell ref="O127:O129"/>
    <mergeCell ref="P127:P130"/>
    <mergeCell ref="S127:S130"/>
    <mergeCell ref="T127:T129"/>
    <mergeCell ref="U127:U129"/>
    <mergeCell ref="AM120:AM122"/>
    <mergeCell ref="M123:M126"/>
    <mergeCell ref="N123:N125"/>
    <mergeCell ref="O123:O125"/>
    <mergeCell ref="P123:P126"/>
    <mergeCell ref="S123:S126"/>
    <mergeCell ref="T123:T125"/>
    <mergeCell ref="U123:U125"/>
    <mergeCell ref="V123:V125"/>
    <mergeCell ref="AF123:AF126"/>
    <mergeCell ref="AM116:AM119"/>
    <mergeCell ref="AN116:AN138"/>
    <mergeCell ref="AO116:AO138"/>
    <mergeCell ref="AP116:AP138"/>
    <mergeCell ref="AQ116:AQ138"/>
    <mergeCell ref="Y117:Y118"/>
    <mergeCell ref="AC117:AC118"/>
    <mergeCell ref="AF120:AF122"/>
    <mergeCell ref="AI120:AI121"/>
    <mergeCell ref="AK120:AK122"/>
    <mergeCell ref="AF116:AF119"/>
    <mergeCell ref="AG116:AG138"/>
    <mergeCell ref="AI116:AI118"/>
    <mergeCell ref="AJ116:AJ138"/>
    <mergeCell ref="AK116:AK119"/>
    <mergeCell ref="AL116:AL119"/>
    <mergeCell ref="AL120:AL122"/>
    <mergeCell ref="AI123:AI125"/>
    <mergeCell ref="AK123:AK126"/>
    <mergeCell ref="AL123:AL126"/>
    <mergeCell ref="S116:S119"/>
    <mergeCell ref="T116:T118"/>
    <mergeCell ref="U116:U118"/>
    <mergeCell ref="V116:V118"/>
    <mergeCell ref="W116:W138"/>
    <mergeCell ref="X116:X138"/>
    <mergeCell ref="S120:S122"/>
    <mergeCell ref="T120:T121"/>
    <mergeCell ref="U120:U121"/>
    <mergeCell ref="V120:V121"/>
    <mergeCell ref="M116:M119"/>
    <mergeCell ref="N116:N118"/>
    <mergeCell ref="O116:O118"/>
    <mergeCell ref="P116:P119"/>
    <mergeCell ref="Q116:Q138"/>
    <mergeCell ref="R116:R138"/>
    <mergeCell ref="H139:H151"/>
    <mergeCell ref="I139:I151"/>
    <mergeCell ref="J139:J150"/>
    <mergeCell ref="K139:K151"/>
    <mergeCell ref="L139:L151"/>
    <mergeCell ref="M139:M146"/>
    <mergeCell ref="AM135:AM138"/>
    <mergeCell ref="Y136:Y137"/>
    <mergeCell ref="AC136:AC137"/>
    <mergeCell ref="A139:A151"/>
    <mergeCell ref="B139:B151"/>
    <mergeCell ref="C139:C151"/>
    <mergeCell ref="D139:D151"/>
    <mergeCell ref="E139:E151"/>
    <mergeCell ref="F139:F151"/>
    <mergeCell ref="G139:G151"/>
    <mergeCell ref="U135:U137"/>
    <mergeCell ref="V135:V137"/>
    <mergeCell ref="AF135:AF138"/>
    <mergeCell ref="AI135:AI137"/>
    <mergeCell ref="AK135:AK138"/>
    <mergeCell ref="AL135:AL138"/>
    <mergeCell ref="AM131:AM134"/>
    <mergeCell ref="Y133:Y134"/>
    <mergeCell ref="AC133:AC134"/>
    <mergeCell ref="C135:C138"/>
    <mergeCell ref="M135:M138"/>
    <mergeCell ref="N135:N137"/>
    <mergeCell ref="O135:O137"/>
    <mergeCell ref="P135:P138"/>
    <mergeCell ref="S135:S138"/>
    <mergeCell ref="T135:T137"/>
    <mergeCell ref="U131:U133"/>
    <mergeCell ref="V131:V133"/>
    <mergeCell ref="AF131:AF134"/>
    <mergeCell ref="AI131:AI133"/>
    <mergeCell ref="AK131:AK134"/>
    <mergeCell ref="AL131:AL134"/>
    <mergeCell ref="M131:M134"/>
    <mergeCell ref="N131:N133"/>
    <mergeCell ref="O131:O133"/>
    <mergeCell ref="P131:P134"/>
    <mergeCell ref="S131:S134"/>
    <mergeCell ref="T131:T133"/>
    <mergeCell ref="T147:T148"/>
    <mergeCell ref="U147:U148"/>
    <mergeCell ref="V147:V148"/>
    <mergeCell ref="AF147:AF150"/>
    <mergeCell ref="AI147:AI148"/>
    <mergeCell ref="AJ147:AJ150"/>
    <mergeCell ref="T149:T150"/>
    <mergeCell ref="U149:U150"/>
    <mergeCell ref="V149:V150"/>
    <mergeCell ref="AI149:AI150"/>
    <mergeCell ref="Y143:Y144"/>
    <mergeCell ref="AC143:AC144"/>
    <mergeCell ref="AI143:AI146"/>
    <mergeCell ref="Y145:Y146"/>
    <mergeCell ref="M147:M150"/>
    <mergeCell ref="N147:N148"/>
    <mergeCell ref="O147:O148"/>
    <mergeCell ref="P147:P150"/>
    <mergeCell ref="R147:R150"/>
    <mergeCell ref="S147:S150"/>
    <mergeCell ref="AL139:AL146"/>
    <mergeCell ref="AM139:AM146"/>
    <mergeCell ref="AN139:AN151"/>
    <mergeCell ref="AO139:AO151"/>
    <mergeCell ref="AP139:AP151"/>
    <mergeCell ref="AQ139:AQ151"/>
    <mergeCell ref="AL147:AL150"/>
    <mergeCell ref="AM147:AM150"/>
    <mergeCell ref="AC139:AC140"/>
    <mergeCell ref="AF139:AF146"/>
    <mergeCell ref="AG139:AG151"/>
    <mergeCell ref="AI139:AI142"/>
    <mergeCell ref="AJ139:AJ146"/>
    <mergeCell ref="AK139:AK146"/>
    <mergeCell ref="AC141:AC142"/>
    <mergeCell ref="AK147:AK150"/>
    <mergeCell ref="T139:T142"/>
    <mergeCell ref="U139:U142"/>
    <mergeCell ref="V139:V142"/>
    <mergeCell ref="W139:W151"/>
    <mergeCell ref="X139:X151"/>
    <mergeCell ref="Y139:Y140"/>
    <mergeCell ref="Y141:Y142"/>
    <mergeCell ref="T143:T146"/>
    <mergeCell ref="U143:U146"/>
    <mergeCell ref="V143:V146"/>
    <mergeCell ref="N139:N142"/>
    <mergeCell ref="O139:O142"/>
    <mergeCell ref="P139:P146"/>
    <mergeCell ref="Q139:Q151"/>
    <mergeCell ref="R139:R146"/>
    <mergeCell ref="S139:S146"/>
    <mergeCell ref="N143:N146"/>
    <mergeCell ref="O143:O146"/>
    <mergeCell ref="N149:N150"/>
    <mergeCell ref="O149:O150"/>
    <mergeCell ref="L157:L166"/>
    <mergeCell ref="A157:A166"/>
    <mergeCell ref="B157:B166"/>
    <mergeCell ref="C157:C166"/>
    <mergeCell ref="D157:D166"/>
    <mergeCell ref="E157:E166"/>
    <mergeCell ref="F157:F166"/>
    <mergeCell ref="AP152:AP156"/>
    <mergeCell ref="AQ152:AQ156"/>
    <mergeCell ref="N154:N155"/>
    <mergeCell ref="O154:O155"/>
    <mergeCell ref="V154:V155"/>
    <mergeCell ref="Y154:Y155"/>
    <mergeCell ref="Z154:Z155"/>
    <mergeCell ref="AA154:AA155"/>
    <mergeCell ref="AB154:AB155"/>
    <mergeCell ref="AC154:AC155"/>
    <mergeCell ref="AJ152:AJ156"/>
    <mergeCell ref="AK152:AK153"/>
    <mergeCell ref="AL152:AL153"/>
    <mergeCell ref="AM152:AM153"/>
    <mergeCell ref="AN152:AN156"/>
    <mergeCell ref="AO152:AO156"/>
    <mergeCell ref="AK154:AK155"/>
    <mergeCell ref="AL154:AL155"/>
    <mergeCell ref="AM154:AM155"/>
    <mergeCell ref="AB152:AB153"/>
    <mergeCell ref="AC152:AC153"/>
    <mergeCell ref="AF152:AF155"/>
    <mergeCell ref="AG152:AG156"/>
    <mergeCell ref="AH152:AH155"/>
    <mergeCell ref="AI152:AI153"/>
    <mergeCell ref="AI154:AI155"/>
    <mergeCell ref="V152:V153"/>
    <mergeCell ref="W152:W156"/>
    <mergeCell ref="X152:X156"/>
    <mergeCell ref="Y152:Y153"/>
    <mergeCell ref="Z152:Z153"/>
    <mergeCell ref="AA152:AA153"/>
    <mergeCell ref="M152:M155"/>
    <mergeCell ref="N152:N153"/>
    <mergeCell ref="O152:O153"/>
    <mergeCell ref="P152:P155"/>
    <mergeCell ref="Q152:Q156"/>
    <mergeCell ref="R152:R155"/>
    <mergeCell ref="G152:G156"/>
    <mergeCell ref="H152:H156"/>
    <mergeCell ref="I152:I156"/>
    <mergeCell ref="J152:J155"/>
    <mergeCell ref="K152:K156"/>
    <mergeCell ref="L152:L156"/>
    <mergeCell ref="A152:A156"/>
    <mergeCell ref="B152:B156"/>
    <mergeCell ref="C152:C156"/>
    <mergeCell ref="D152:D156"/>
    <mergeCell ref="E152:E156"/>
    <mergeCell ref="F152:F156"/>
    <mergeCell ref="O167:O170"/>
    <mergeCell ref="N171:N174"/>
    <mergeCell ref="O171:O174"/>
    <mergeCell ref="M183:M190"/>
    <mergeCell ref="N183:N186"/>
    <mergeCell ref="AC163:AC164"/>
    <mergeCell ref="A167:A192"/>
    <mergeCell ref="B167:B192"/>
    <mergeCell ref="C167:C174"/>
    <mergeCell ref="D167:D192"/>
    <mergeCell ref="E167:E192"/>
    <mergeCell ref="F167:F192"/>
    <mergeCell ref="G167:G192"/>
    <mergeCell ref="H167:H192"/>
    <mergeCell ref="I167:I192"/>
    <mergeCell ref="AP157:AP166"/>
    <mergeCell ref="AQ157:AQ166"/>
    <mergeCell ref="Y159:Y160"/>
    <mergeCell ref="Z159:Z160"/>
    <mergeCell ref="AA159:AA160"/>
    <mergeCell ref="AB159:AB160"/>
    <mergeCell ref="AC159:AC160"/>
    <mergeCell ref="Y161:Y162"/>
    <mergeCell ref="Z161:Z162"/>
    <mergeCell ref="AA161:AA162"/>
    <mergeCell ref="AJ157:AJ166"/>
    <mergeCell ref="AK157:AK164"/>
    <mergeCell ref="AL157:AL164"/>
    <mergeCell ref="AM157:AM164"/>
    <mergeCell ref="AN157:AN166"/>
    <mergeCell ref="AO157:AO166"/>
    <mergeCell ref="AB157:AB158"/>
    <mergeCell ref="AC157:AC158"/>
    <mergeCell ref="AF157:AF164"/>
    <mergeCell ref="AG157:AG166"/>
    <mergeCell ref="AH157:AH164"/>
    <mergeCell ref="AI157:AI160"/>
    <mergeCell ref="AB161:AB162"/>
    <mergeCell ref="AC161:AC162"/>
    <mergeCell ref="AI161:AI164"/>
    <mergeCell ref="AB163:AB164"/>
    <mergeCell ref="V157:V160"/>
    <mergeCell ref="W157:W166"/>
    <mergeCell ref="X157:X166"/>
    <mergeCell ref="Y157:Y158"/>
    <mergeCell ref="Z157:Z158"/>
    <mergeCell ref="AA157:AA158"/>
    <mergeCell ref="V161:V164"/>
    <mergeCell ref="Y163:Y164"/>
    <mergeCell ref="Z163:Z164"/>
    <mergeCell ref="AA163:AA164"/>
    <mergeCell ref="M157:M164"/>
    <mergeCell ref="N157:N160"/>
    <mergeCell ref="O157:O160"/>
    <mergeCell ref="P157:P164"/>
    <mergeCell ref="Q157:Q166"/>
    <mergeCell ref="R157:R164"/>
    <mergeCell ref="N161:N164"/>
    <mergeCell ref="O161:O164"/>
    <mergeCell ref="G157:G166"/>
    <mergeCell ref="H157:H166"/>
    <mergeCell ref="I157:I166"/>
    <mergeCell ref="J157:J164"/>
    <mergeCell ref="K157:K166"/>
    <mergeCell ref="Y177:Y178"/>
    <mergeCell ref="AC177:AC178"/>
    <mergeCell ref="N179:N182"/>
    <mergeCell ref="O179:O182"/>
    <mergeCell ref="V179:V182"/>
    <mergeCell ref="Y179:Y180"/>
    <mergeCell ref="AC179:AC180"/>
    <mergeCell ref="Y181:Y182"/>
    <mergeCell ref="AC181:AC182"/>
    <mergeCell ref="Z175:Z176"/>
    <mergeCell ref="AA175:AA176"/>
    <mergeCell ref="AB175:AB176"/>
    <mergeCell ref="AC175:AC176"/>
    <mergeCell ref="AF175:AF182"/>
    <mergeCell ref="AH175:AH182"/>
    <mergeCell ref="Y173:Y174"/>
    <mergeCell ref="AC173:AC174"/>
    <mergeCell ref="C175:C192"/>
    <mergeCell ref="M175:M182"/>
    <mergeCell ref="N175:N178"/>
    <mergeCell ref="O175:O178"/>
    <mergeCell ref="P175:P182"/>
    <mergeCell ref="R175:R182"/>
    <mergeCell ref="V175:V178"/>
    <mergeCell ref="Y175:Y176"/>
    <mergeCell ref="AM167:AM174"/>
    <mergeCell ref="AN167:AN192"/>
    <mergeCell ref="AO167:AO192"/>
    <mergeCell ref="AP167:AP192"/>
    <mergeCell ref="AQ167:AQ192"/>
    <mergeCell ref="AR167:AR192"/>
    <mergeCell ref="AM175:AM182"/>
    <mergeCell ref="AG167:AG192"/>
    <mergeCell ref="AH167:AH174"/>
    <mergeCell ref="AI167:AI174"/>
    <mergeCell ref="AJ167:AJ174"/>
    <mergeCell ref="AK167:AK174"/>
    <mergeCell ref="AL167:AL174"/>
    <mergeCell ref="AI175:AI182"/>
    <mergeCell ref="AJ175:AJ182"/>
    <mergeCell ref="AK175:AK182"/>
    <mergeCell ref="AL175:AL182"/>
    <mergeCell ref="Y167:Y168"/>
    <mergeCell ref="Z167:Z168"/>
    <mergeCell ref="AA167:AA168"/>
    <mergeCell ref="AB167:AB168"/>
    <mergeCell ref="AC167:AC168"/>
    <mergeCell ref="AF167:AF174"/>
    <mergeCell ref="Y169:Y170"/>
    <mergeCell ref="AC169:AC170"/>
    <mergeCell ref="Y171:Y172"/>
    <mergeCell ref="AC171:AC172"/>
    <mergeCell ref="P167:P174"/>
    <mergeCell ref="Q167:Q192"/>
    <mergeCell ref="R167:R174"/>
    <mergeCell ref="V167:V170"/>
    <mergeCell ref="W167:W192"/>
    <mergeCell ref="X167:X192"/>
    <mergeCell ref="V171:V174"/>
    <mergeCell ref="J167:J190"/>
    <mergeCell ref="K167:K192"/>
    <mergeCell ref="L167:L192"/>
    <mergeCell ref="M167:M174"/>
    <mergeCell ref="N167:N170"/>
    <mergeCell ref="J191:J192"/>
    <mergeCell ref="A193:A199"/>
    <mergeCell ref="B193:B199"/>
    <mergeCell ref="C193:C194"/>
    <mergeCell ref="D193:D199"/>
    <mergeCell ref="E193:E199"/>
    <mergeCell ref="F193:F199"/>
    <mergeCell ref="G193:G199"/>
    <mergeCell ref="H193:H199"/>
    <mergeCell ref="I193:I199"/>
    <mergeCell ref="N187:N190"/>
    <mergeCell ref="O187:O190"/>
    <mergeCell ref="V187:V190"/>
    <mergeCell ref="Y187:Y188"/>
    <mergeCell ref="AC187:AC188"/>
    <mergeCell ref="Y189:Y190"/>
    <mergeCell ref="AC189:AC190"/>
    <mergeCell ref="AJ183:AJ190"/>
    <mergeCell ref="AK183:AK190"/>
    <mergeCell ref="AL183:AL190"/>
    <mergeCell ref="AM183:AM190"/>
    <mergeCell ref="Y185:Y186"/>
    <mergeCell ref="AC185:AC186"/>
    <mergeCell ref="AA183:AA184"/>
    <mergeCell ref="AB183:AB184"/>
    <mergeCell ref="AC183:AC184"/>
    <mergeCell ref="AF183:AF190"/>
    <mergeCell ref="AH183:AH190"/>
    <mergeCell ref="AI183:AI190"/>
    <mergeCell ref="O183:O186"/>
    <mergeCell ref="P183:P190"/>
    <mergeCell ref="R183:R190"/>
    <mergeCell ref="V183:V186"/>
    <mergeCell ref="Y183:Y184"/>
    <mergeCell ref="Z183:Z184"/>
    <mergeCell ref="AL197:AL198"/>
    <mergeCell ref="AM197:AM198"/>
    <mergeCell ref="A200:A231"/>
    <mergeCell ref="B200:B231"/>
    <mergeCell ref="C200:C203"/>
    <mergeCell ref="D200:D231"/>
    <mergeCell ref="E200:E231"/>
    <mergeCell ref="F200:F231"/>
    <mergeCell ref="G200:G231"/>
    <mergeCell ref="H200:H231"/>
    <mergeCell ref="C197:C198"/>
    <mergeCell ref="M197:M198"/>
    <mergeCell ref="P197:P198"/>
    <mergeCell ref="R197:R198"/>
    <mergeCell ref="S197:S198"/>
    <mergeCell ref="AF197:AF198"/>
    <mergeCell ref="AP193:AP199"/>
    <mergeCell ref="AQ193:AQ199"/>
    <mergeCell ref="C195:C196"/>
    <mergeCell ref="M195:M196"/>
    <mergeCell ref="P195:P196"/>
    <mergeCell ref="R195:R196"/>
    <mergeCell ref="S195:S196"/>
    <mergeCell ref="AF195:AF196"/>
    <mergeCell ref="AJ195:AJ196"/>
    <mergeCell ref="AK195:AK196"/>
    <mergeCell ref="AJ193:AJ194"/>
    <mergeCell ref="AK193:AK194"/>
    <mergeCell ref="AL193:AL194"/>
    <mergeCell ref="AM193:AM194"/>
    <mergeCell ref="AN193:AN199"/>
    <mergeCell ref="AO193:AO199"/>
    <mergeCell ref="AL195:AL196"/>
    <mergeCell ref="AM195:AM196"/>
    <mergeCell ref="AJ197:AJ198"/>
    <mergeCell ref="AK197:AK198"/>
    <mergeCell ref="R193:R194"/>
    <mergeCell ref="S193:S194"/>
    <mergeCell ref="W193:W199"/>
    <mergeCell ref="X193:X199"/>
    <mergeCell ref="AF193:AF194"/>
    <mergeCell ref="AG193:AG199"/>
    <mergeCell ref="J193:J198"/>
    <mergeCell ref="K193:K199"/>
    <mergeCell ref="L193:L199"/>
    <mergeCell ref="M193:M194"/>
    <mergeCell ref="P193:P194"/>
    <mergeCell ref="Q193:Q199"/>
    <mergeCell ref="AL200:AL203"/>
    <mergeCell ref="AM200:AM203"/>
    <mergeCell ref="AN200:AN231"/>
    <mergeCell ref="AO200:AO231"/>
    <mergeCell ref="AP200:AP231"/>
    <mergeCell ref="AQ200:AQ231"/>
    <mergeCell ref="AM208:AM211"/>
    <mergeCell ref="AM212:AM215"/>
    <mergeCell ref="AM224:AM227"/>
    <mergeCell ref="X200:X231"/>
    <mergeCell ref="AF200:AF203"/>
    <mergeCell ref="AG200:AG231"/>
    <mergeCell ref="AI200:AI201"/>
    <mergeCell ref="AJ200:AJ203"/>
    <mergeCell ref="AK200:AK203"/>
    <mergeCell ref="Y201:Y202"/>
    <mergeCell ref="AC201:AC202"/>
    <mergeCell ref="AI202:AI203"/>
    <mergeCell ref="O200:O201"/>
    <mergeCell ref="P200:P203"/>
    <mergeCell ref="Q200:Q231"/>
    <mergeCell ref="R200:R203"/>
    <mergeCell ref="V200:V201"/>
    <mergeCell ref="W200:W231"/>
    <mergeCell ref="O202:O203"/>
    <mergeCell ref="V202:V203"/>
    <mergeCell ref="V204:V205"/>
    <mergeCell ref="V206:V207"/>
    <mergeCell ref="I200:I231"/>
    <mergeCell ref="J200:J227"/>
    <mergeCell ref="K200:K231"/>
    <mergeCell ref="L200:L231"/>
    <mergeCell ref="M200:M203"/>
    <mergeCell ref="N200:N201"/>
    <mergeCell ref="N202:N203"/>
    <mergeCell ref="N218:N219"/>
    <mergeCell ref="M220:M223"/>
    <mergeCell ref="N220:N221"/>
    <mergeCell ref="V208:V209"/>
    <mergeCell ref="AF208:AF211"/>
    <mergeCell ref="AI208:AI209"/>
    <mergeCell ref="AJ208:AJ211"/>
    <mergeCell ref="AK208:AK211"/>
    <mergeCell ref="AL208:AL211"/>
    <mergeCell ref="Y209:Y210"/>
    <mergeCell ref="AC209:AC210"/>
    <mergeCell ref="V210:V211"/>
    <mergeCell ref="AI210:AI211"/>
    <mergeCell ref="C208:C211"/>
    <mergeCell ref="M208:M211"/>
    <mergeCell ref="N208:N209"/>
    <mergeCell ref="O208:O209"/>
    <mergeCell ref="P208:P211"/>
    <mergeCell ref="R208:R211"/>
    <mergeCell ref="N210:N211"/>
    <mergeCell ref="O210:O211"/>
    <mergeCell ref="AI204:AI205"/>
    <mergeCell ref="AJ204:AJ207"/>
    <mergeCell ref="AK204:AK207"/>
    <mergeCell ref="AL204:AL207"/>
    <mergeCell ref="AJ229:AJ231"/>
    <mergeCell ref="AK229:AK231"/>
    <mergeCell ref="AL229:AL231"/>
    <mergeCell ref="AM204:AM207"/>
    <mergeCell ref="Y205:Y206"/>
    <mergeCell ref="AC205:AC206"/>
    <mergeCell ref="AI206:AI207"/>
    <mergeCell ref="C204:C207"/>
    <mergeCell ref="M204:M207"/>
    <mergeCell ref="N204:N205"/>
    <mergeCell ref="O204:O205"/>
    <mergeCell ref="P204:P207"/>
    <mergeCell ref="R204:R207"/>
    <mergeCell ref="N206:N207"/>
    <mergeCell ref="O206:O207"/>
    <mergeCell ref="AJ216:AJ219"/>
    <mergeCell ref="AK216:AK219"/>
    <mergeCell ref="AL216:AL219"/>
    <mergeCell ref="AM216:AM219"/>
    <mergeCell ref="Y217:Y218"/>
    <mergeCell ref="AC217:AC218"/>
    <mergeCell ref="AI218:AI219"/>
    <mergeCell ref="O216:O217"/>
    <mergeCell ref="P216:P219"/>
    <mergeCell ref="R216:R219"/>
    <mergeCell ref="V216:V217"/>
    <mergeCell ref="AF216:AF219"/>
    <mergeCell ref="AI216:AI217"/>
    <mergeCell ref="O218:O219"/>
    <mergeCell ref="V218:V219"/>
    <mergeCell ref="V212:V213"/>
    <mergeCell ref="AF212:AF215"/>
    <mergeCell ref="AI212:AI213"/>
    <mergeCell ref="AJ212:AJ215"/>
    <mergeCell ref="AK212:AK215"/>
    <mergeCell ref="AL212:AL215"/>
    <mergeCell ref="Y213:Y214"/>
    <mergeCell ref="AC213:AC214"/>
    <mergeCell ref="V214:V215"/>
    <mergeCell ref="AI214:AI215"/>
    <mergeCell ref="C212:C223"/>
    <mergeCell ref="M212:M215"/>
    <mergeCell ref="N212:N213"/>
    <mergeCell ref="O212:O213"/>
    <mergeCell ref="P212:P215"/>
    <mergeCell ref="R212:R215"/>
    <mergeCell ref="N214:N215"/>
    <mergeCell ref="O214:O215"/>
    <mergeCell ref="M216:M219"/>
    <mergeCell ref="N216:N217"/>
    <mergeCell ref="AF204:AF207"/>
    <mergeCell ref="AM229:AM231"/>
    <mergeCell ref="O230:O231"/>
    <mergeCell ref="P230:P231"/>
    <mergeCell ref="V230:V231"/>
    <mergeCell ref="N226:N227"/>
    <mergeCell ref="O226:O227"/>
    <mergeCell ref="V226:V227"/>
    <mergeCell ref="AI226:AI227"/>
    <mergeCell ref="J229:J230"/>
    <mergeCell ref="M229:M231"/>
    <mergeCell ref="N229:N231"/>
    <mergeCell ref="R229:R231"/>
    <mergeCell ref="AF229:AF231"/>
    <mergeCell ref="AI229:AI231"/>
    <mergeCell ref="V224:V225"/>
    <mergeCell ref="AF224:AF227"/>
    <mergeCell ref="AI224:AI225"/>
    <mergeCell ref="AJ224:AJ227"/>
    <mergeCell ref="AK224:AK227"/>
    <mergeCell ref="AL224:AL227"/>
    <mergeCell ref="Y225:Y226"/>
    <mergeCell ref="AC225:AC226"/>
    <mergeCell ref="N222:N223"/>
    <mergeCell ref="O222:O223"/>
    <mergeCell ref="V222:V223"/>
    <mergeCell ref="AI222:AI223"/>
    <mergeCell ref="C224:C227"/>
    <mergeCell ref="M224:M227"/>
    <mergeCell ref="N224:N225"/>
    <mergeCell ref="O224:O225"/>
    <mergeCell ref="P224:P227"/>
    <mergeCell ref="R224:R227"/>
    <mergeCell ref="AJ220:AJ223"/>
    <mergeCell ref="AK220:AK223"/>
    <mergeCell ref="AL220:AL223"/>
    <mergeCell ref="AM220:AM223"/>
    <mergeCell ref="Y221:Y222"/>
    <mergeCell ref="AC221:AC222"/>
    <mergeCell ref="O220:O221"/>
    <mergeCell ref="P220:P223"/>
    <mergeCell ref="R220:R223"/>
    <mergeCell ref="V220:V221"/>
    <mergeCell ref="AF220:AF223"/>
    <mergeCell ref="AI220:AI221"/>
    <mergeCell ref="AL238:AL240"/>
    <mergeCell ref="AM238:AM240"/>
    <mergeCell ref="Y239:Y240"/>
    <mergeCell ref="AC239:AC240"/>
    <mergeCell ref="C241:C249"/>
    <mergeCell ref="M241:M243"/>
    <mergeCell ref="N241:N242"/>
    <mergeCell ref="O241:O242"/>
    <mergeCell ref="P241:P243"/>
    <mergeCell ref="R241:R243"/>
    <mergeCell ref="O238:O239"/>
    <mergeCell ref="P238:P240"/>
    <mergeCell ref="R238:R240"/>
    <mergeCell ref="V238:V239"/>
    <mergeCell ref="AF238:AF240"/>
    <mergeCell ref="AI238:AI239"/>
    <mergeCell ref="AP232:AP250"/>
    <mergeCell ref="AQ232:AQ250"/>
    <mergeCell ref="Y233:Y234"/>
    <mergeCell ref="AC233:AC234"/>
    <mergeCell ref="M235:M237"/>
    <mergeCell ref="P235:P237"/>
    <mergeCell ref="R235:R237"/>
    <mergeCell ref="AF235:AF237"/>
    <mergeCell ref="AJ235:AJ237"/>
    <mergeCell ref="AK235:AK237"/>
    <mergeCell ref="AJ232:AJ234"/>
    <mergeCell ref="AK232:AK234"/>
    <mergeCell ref="AL232:AL234"/>
    <mergeCell ref="AM232:AM234"/>
    <mergeCell ref="AN232:AN250"/>
    <mergeCell ref="AO232:AO250"/>
    <mergeCell ref="AL235:AL237"/>
    <mergeCell ref="AM235:AM237"/>
    <mergeCell ref="AJ238:AJ240"/>
    <mergeCell ref="AK238:AK240"/>
    <mergeCell ref="V232:V233"/>
    <mergeCell ref="W232:W250"/>
    <mergeCell ref="X232:X249"/>
    <mergeCell ref="AF232:AF234"/>
    <mergeCell ref="AG232:AG250"/>
    <mergeCell ref="AI232:AI233"/>
    <mergeCell ref="V236:V237"/>
    <mergeCell ref="Y236:Y237"/>
    <mergeCell ref="AC236:AC237"/>
    <mergeCell ref="AI236:AI237"/>
    <mergeCell ref="M232:M234"/>
    <mergeCell ref="N232:N233"/>
    <mergeCell ref="O232:O233"/>
    <mergeCell ref="P232:P234"/>
    <mergeCell ref="Q232:Q250"/>
    <mergeCell ref="R232:R234"/>
    <mergeCell ref="N236:N237"/>
    <mergeCell ref="O236:O237"/>
    <mergeCell ref="M238:M240"/>
    <mergeCell ref="N238:N239"/>
    <mergeCell ref="G232:G250"/>
    <mergeCell ref="H232:H250"/>
    <mergeCell ref="I232:I250"/>
    <mergeCell ref="J232:J249"/>
    <mergeCell ref="K232:K250"/>
    <mergeCell ref="L232:L250"/>
    <mergeCell ref="C232:C240"/>
    <mergeCell ref="D232:D250"/>
    <mergeCell ref="Y248:Y249"/>
    <mergeCell ref="AC248:AC249"/>
    <mergeCell ref="A251:A280"/>
    <mergeCell ref="B251:B280"/>
    <mergeCell ref="C251:C262"/>
    <mergeCell ref="D251:D280"/>
    <mergeCell ref="E251:E280"/>
    <mergeCell ref="F251:F280"/>
    <mergeCell ref="G251:G280"/>
    <mergeCell ref="H251:H280"/>
    <mergeCell ref="AF247:AF249"/>
    <mergeCell ref="AI247:AI248"/>
    <mergeCell ref="AJ247:AJ249"/>
    <mergeCell ref="AK247:AK249"/>
    <mergeCell ref="AL247:AL249"/>
    <mergeCell ref="AM247:AM249"/>
    <mergeCell ref="M247:M249"/>
    <mergeCell ref="N247:N248"/>
    <mergeCell ref="O247:O248"/>
    <mergeCell ref="P247:P249"/>
    <mergeCell ref="R247:R249"/>
    <mergeCell ref="V247:V248"/>
    <mergeCell ref="N245:N246"/>
    <mergeCell ref="O245:O246"/>
    <mergeCell ref="V245:V246"/>
    <mergeCell ref="Y245:Y246"/>
    <mergeCell ref="AC245:AC246"/>
    <mergeCell ref="AI245:AI246"/>
    <mergeCell ref="AM241:AM243"/>
    <mergeCell ref="Y242:Y243"/>
    <mergeCell ref="M244:M246"/>
    <mergeCell ref="P244:P246"/>
    <mergeCell ref="R244:R246"/>
    <mergeCell ref="AF244:AF246"/>
    <mergeCell ref="AJ244:AJ246"/>
    <mergeCell ref="AK244:AK246"/>
    <mergeCell ref="AL244:AL246"/>
    <mergeCell ref="AM244:AM246"/>
    <mergeCell ref="V241:V242"/>
    <mergeCell ref="AF241:AF243"/>
    <mergeCell ref="AI241:AI242"/>
    <mergeCell ref="AJ241:AJ243"/>
    <mergeCell ref="AK241:AK243"/>
    <mergeCell ref="AL241:AL243"/>
    <mergeCell ref="A232:A250"/>
    <mergeCell ref="B232:B250"/>
    <mergeCell ref="E232:E250"/>
    <mergeCell ref="F232:F250"/>
    <mergeCell ref="O260:O262"/>
    <mergeCell ref="T260:T262"/>
    <mergeCell ref="U260:U262"/>
    <mergeCell ref="V260:V262"/>
    <mergeCell ref="AI260:AI262"/>
    <mergeCell ref="Y261:Y262"/>
    <mergeCell ref="T256:T259"/>
    <mergeCell ref="U256:U259"/>
    <mergeCell ref="V256:V259"/>
    <mergeCell ref="AF256:AF262"/>
    <mergeCell ref="AI256:AI259"/>
    <mergeCell ref="AK256:AK262"/>
    <mergeCell ref="Y257:Y258"/>
    <mergeCell ref="AC257:AC258"/>
    <mergeCell ref="Y259:Y260"/>
    <mergeCell ref="AC259:AC260"/>
    <mergeCell ref="AO251:AO280"/>
    <mergeCell ref="AP251:AP280"/>
    <mergeCell ref="AQ251:AQ280"/>
    <mergeCell ref="Y252:Y253"/>
    <mergeCell ref="AC252:AC253"/>
    <mergeCell ref="N254:N255"/>
    <mergeCell ref="O254:O255"/>
    <mergeCell ref="T254:T255"/>
    <mergeCell ref="U254:U255"/>
    <mergeCell ref="V254:V255"/>
    <mergeCell ref="AI251:AI253"/>
    <mergeCell ref="AJ251:AJ280"/>
    <mergeCell ref="AK251:AK255"/>
    <mergeCell ref="AL251:AL255"/>
    <mergeCell ref="AM251:AM255"/>
    <mergeCell ref="AN251:AN280"/>
    <mergeCell ref="AI254:AI255"/>
    <mergeCell ref="AL256:AL262"/>
    <mergeCell ref="AM256:AM262"/>
    <mergeCell ref="AK263:AK269"/>
    <mergeCell ref="U251:U253"/>
    <mergeCell ref="V251:V253"/>
    <mergeCell ref="W251:W280"/>
    <mergeCell ref="X251:X280"/>
    <mergeCell ref="AF251:AF255"/>
    <mergeCell ref="AG251:AG280"/>
    <mergeCell ref="Y254:Y255"/>
    <mergeCell ref="AC254:AC255"/>
    <mergeCell ref="O251:O253"/>
    <mergeCell ref="P251:P255"/>
    <mergeCell ref="Q251:Q280"/>
    <mergeCell ref="R251:R255"/>
    <mergeCell ref="S251:S255"/>
    <mergeCell ref="T251:T253"/>
    <mergeCell ref="O256:O259"/>
    <mergeCell ref="P256:P262"/>
    <mergeCell ref="R256:R262"/>
    <mergeCell ref="S256:S262"/>
    <mergeCell ref="N251:N253"/>
    <mergeCell ref="N256:N259"/>
    <mergeCell ref="N260:N262"/>
    <mergeCell ref="AK270:AK276"/>
    <mergeCell ref="AL270:AL276"/>
    <mergeCell ref="AM270:AM276"/>
    <mergeCell ref="Y271:Y272"/>
    <mergeCell ref="AC271:AC272"/>
    <mergeCell ref="Y273:Y274"/>
    <mergeCell ref="AC273:AC274"/>
    <mergeCell ref="AI274:AI276"/>
    <mergeCell ref="Y275:Y276"/>
    <mergeCell ref="S270:S276"/>
    <mergeCell ref="T270:T273"/>
    <mergeCell ref="U270:U273"/>
    <mergeCell ref="V270:V273"/>
    <mergeCell ref="AF270:AF276"/>
    <mergeCell ref="AI270:AI273"/>
    <mergeCell ref="T274:T276"/>
    <mergeCell ref="U274:U276"/>
    <mergeCell ref="V274:V276"/>
    <mergeCell ref="C270:C276"/>
    <mergeCell ref="M270:M276"/>
    <mergeCell ref="N270:N273"/>
    <mergeCell ref="O270:O273"/>
    <mergeCell ref="P270:P276"/>
    <mergeCell ref="R270:R276"/>
    <mergeCell ref="N274:N276"/>
    <mergeCell ref="O274:O276"/>
    <mergeCell ref="AL263:AL269"/>
    <mergeCell ref="AM263:AM269"/>
    <mergeCell ref="Y264:Y265"/>
    <mergeCell ref="AC264:AC265"/>
    <mergeCell ref="N266:N269"/>
    <mergeCell ref="O266:O269"/>
    <mergeCell ref="T266:T269"/>
    <mergeCell ref="U266:U269"/>
    <mergeCell ref="V266:V269"/>
    <mergeCell ref="Y266:Y267"/>
    <mergeCell ref="S263:S269"/>
    <mergeCell ref="T263:T265"/>
    <mergeCell ref="U263:U265"/>
    <mergeCell ref="V263:V265"/>
    <mergeCell ref="AF263:AF269"/>
    <mergeCell ref="AI263:AI265"/>
    <mergeCell ref="AC266:AC267"/>
    <mergeCell ref="AI266:AI269"/>
    <mergeCell ref="Y268:Y269"/>
    <mergeCell ref="C263:C269"/>
    <mergeCell ref="M263:M269"/>
    <mergeCell ref="N263:N265"/>
    <mergeCell ref="O263:O265"/>
    <mergeCell ref="P263:P269"/>
    <mergeCell ref="R263:R269"/>
    <mergeCell ref="I251:I280"/>
    <mergeCell ref="J251:J276"/>
    <mergeCell ref="K251:K280"/>
    <mergeCell ref="L251:L280"/>
    <mergeCell ref="M251:M255"/>
    <mergeCell ref="M256:M262"/>
    <mergeCell ref="AK279:AK280"/>
    <mergeCell ref="AL279:AL280"/>
    <mergeCell ref="AM279:AM280"/>
    <mergeCell ref="Y288:Y289"/>
    <mergeCell ref="P287:P289"/>
    <mergeCell ref="R287:R289"/>
    <mergeCell ref="S287:S289"/>
    <mergeCell ref="AF287:AF289"/>
    <mergeCell ref="A281:A293"/>
    <mergeCell ref="B281:B293"/>
    <mergeCell ref="C281:C286"/>
    <mergeCell ref="D281:D293"/>
    <mergeCell ref="E281:E293"/>
    <mergeCell ref="F281:F293"/>
    <mergeCell ref="G281:G293"/>
    <mergeCell ref="S279:S280"/>
    <mergeCell ref="T279:T280"/>
    <mergeCell ref="U279:U280"/>
    <mergeCell ref="V279:V280"/>
    <mergeCell ref="AF279:AF280"/>
    <mergeCell ref="AI279:AI280"/>
    <mergeCell ref="AI277:AI278"/>
    <mergeCell ref="AK277:AK278"/>
    <mergeCell ref="AL277:AL278"/>
    <mergeCell ref="AM277:AM278"/>
    <mergeCell ref="J279:J280"/>
    <mergeCell ref="M279:M280"/>
    <mergeCell ref="N279:N280"/>
    <mergeCell ref="O279:O280"/>
    <mergeCell ref="P279:P280"/>
    <mergeCell ref="R279:R280"/>
    <mergeCell ref="R277:R278"/>
    <mergeCell ref="S277:S278"/>
    <mergeCell ref="T277:T278"/>
    <mergeCell ref="U277:U278"/>
    <mergeCell ref="V277:V278"/>
    <mergeCell ref="AF277:AF278"/>
    <mergeCell ref="C277:C280"/>
    <mergeCell ref="J277:J278"/>
    <mergeCell ref="M277:M278"/>
    <mergeCell ref="N277:N278"/>
    <mergeCell ref="O277:O278"/>
    <mergeCell ref="P277:P278"/>
    <mergeCell ref="AL284:AL286"/>
    <mergeCell ref="AM284:AM286"/>
    <mergeCell ref="N285:N286"/>
    <mergeCell ref="O285:O286"/>
    <mergeCell ref="T285:T286"/>
    <mergeCell ref="U285:U286"/>
    <mergeCell ref="V285:V286"/>
    <mergeCell ref="Y285:Y286"/>
    <mergeCell ref="AI285:AI286"/>
    <mergeCell ref="M290:M292"/>
    <mergeCell ref="C287:C293"/>
    <mergeCell ref="M287:M289"/>
    <mergeCell ref="H281:H293"/>
    <mergeCell ref="I281:I293"/>
    <mergeCell ref="J281:J292"/>
    <mergeCell ref="K281:K293"/>
    <mergeCell ref="L281:L293"/>
    <mergeCell ref="M281:M283"/>
    <mergeCell ref="M284:M286"/>
    <mergeCell ref="D294:D322"/>
    <mergeCell ref="E294:E322"/>
    <mergeCell ref="F294:F322"/>
    <mergeCell ref="C298:C301"/>
    <mergeCell ref="C306:C309"/>
    <mergeCell ref="C310:C313"/>
    <mergeCell ref="C314:C322"/>
    <mergeCell ref="AE310:AE311"/>
    <mergeCell ref="AF310:AF311"/>
    <mergeCell ref="N312:N313"/>
    <mergeCell ref="AN281:AN293"/>
    <mergeCell ref="AO281:AO293"/>
    <mergeCell ref="AP281:AP293"/>
    <mergeCell ref="AQ281:AQ293"/>
    <mergeCell ref="N282:N283"/>
    <mergeCell ref="O282:O283"/>
    <mergeCell ref="T282:T283"/>
    <mergeCell ref="U282:U283"/>
    <mergeCell ref="V282:V283"/>
    <mergeCell ref="Y282:Y283"/>
    <mergeCell ref="AF281:AF283"/>
    <mergeCell ref="AG281:AG293"/>
    <mergeCell ref="AJ281:AJ283"/>
    <mergeCell ref="AK281:AK283"/>
    <mergeCell ref="AL281:AL283"/>
    <mergeCell ref="AM281:AM283"/>
    <mergeCell ref="AI282:AI283"/>
    <mergeCell ref="AF284:AF286"/>
    <mergeCell ref="AJ284:AJ286"/>
    <mergeCell ref="AK284:AK286"/>
    <mergeCell ref="P281:P283"/>
    <mergeCell ref="Q281:Q293"/>
    <mergeCell ref="R281:R283"/>
    <mergeCell ref="S281:S283"/>
    <mergeCell ref="W281:W293"/>
    <mergeCell ref="X281:X293"/>
    <mergeCell ref="P284:P286"/>
    <mergeCell ref="R284:R286"/>
    <mergeCell ref="S284:S286"/>
    <mergeCell ref="AJ290:AJ292"/>
    <mergeCell ref="AK290:AK292"/>
    <mergeCell ref="AL290:AL292"/>
    <mergeCell ref="AM290:AM292"/>
    <mergeCell ref="N291:N292"/>
    <mergeCell ref="O291:O292"/>
    <mergeCell ref="T291:T292"/>
    <mergeCell ref="U291:U292"/>
    <mergeCell ref="V291:V292"/>
    <mergeCell ref="Y291:Y292"/>
    <mergeCell ref="AI288:AI289"/>
    <mergeCell ref="P290:P292"/>
    <mergeCell ref="R290:R292"/>
    <mergeCell ref="S290:S292"/>
    <mergeCell ref="AF290:AF292"/>
    <mergeCell ref="AI291:AI292"/>
    <mergeCell ref="AJ287:AJ289"/>
    <mergeCell ref="AK287:AK289"/>
    <mergeCell ref="AL287:AL289"/>
    <mergeCell ref="AM287:AM289"/>
    <mergeCell ref="N288:N289"/>
    <mergeCell ref="O288:O289"/>
    <mergeCell ref="T288:T289"/>
    <mergeCell ref="U288:U289"/>
    <mergeCell ref="V288:V289"/>
    <mergeCell ref="O304:O305"/>
    <mergeCell ref="V304:V305"/>
    <mergeCell ref="AE304:AE305"/>
    <mergeCell ref="AF304:AF305"/>
    <mergeCell ref="G323:G329"/>
    <mergeCell ref="H323:H329"/>
    <mergeCell ref="I323:I329"/>
    <mergeCell ref="J323:J328"/>
    <mergeCell ref="K323:K329"/>
    <mergeCell ref="L323:L329"/>
    <mergeCell ref="N300:N301"/>
    <mergeCell ref="O300:O301"/>
    <mergeCell ref="V300:V301"/>
    <mergeCell ref="AE300:AE301"/>
    <mergeCell ref="AF300:AF301"/>
    <mergeCell ref="C302:C305"/>
    <mergeCell ref="M302:M305"/>
    <mergeCell ref="N302:N303"/>
    <mergeCell ref="O302:O303"/>
    <mergeCell ref="P302:P305"/>
    <mergeCell ref="AN294:AN322"/>
    <mergeCell ref="AO294:AO322"/>
    <mergeCell ref="AP294:AP322"/>
    <mergeCell ref="AQ294:AQ322"/>
    <mergeCell ref="N296:N297"/>
    <mergeCell ref="O296:O297"/>
    <mergeCell ref="V296:V297"/>
    <mergeCell ref="AE296:AE297"/>
    <mergeCell ref="AF296:AF297"/>
    <mergeCell ref="N298:N299"/>
    <mergeCell ref="AH294:AH322"/>
    <mergeCell ref="AI294:AI322"/>
    <mergeCell ref="AJ294:AJ322"/>
    <mergeCell ref="AK294:AK322"/>
    <mergeCell ref="AL294:AL322"/>
    <mergeCell ref="AM294:AM322"/>
    <mergeCell ref="V294:V295"/>
    <mergeCell ref="W294:W322"/>
    <mergeCell ref="X294:X322"/>
    <mergeCell ref="AE294:AE295"/>
    <mergeCell ref="AF294:AF295"/>
    <mergeCell ref="AG294:AG322"/>
    <mergeCell ref="V298:V299"/>
    <mergeCell ref="AE298:AE299"/>
    <mergeCell ref="AF298:AF299"/>
    <mergeCell ref="AE306:AE307"/>
    <mergeCell ref="M294:M297"/>
    <mergeCell ref="N294:N295"/>
    <mergeCell ref="O294:O295"/>
    <mergeCell ref="P294:P297"/>
    <mergeCell ref="Q294:Q322"/>
    <mergeCell ref="R294:R297"/>
    <mergeCell ref="M298:M301"/>
    <mergeCell ref="O298:O299"/>
    <mergeCell ref="P298:P301"/>
    <mergeCell ref="R298:R301"/>
    <mergeCell ref="G294:G322"/>
    <mergeCell ref="H294:H322"/>
    <mergeCell ref="I294:I322"/>
    <mergeCell ref="J294:J318"/>
    <mergeCell ref="K294:K322"/>
    <mergeCell ref="L294:L322"/>
    <mergeCell ref="J319:J322"/>
    <mergeCell ref="C294:C297"/>
    <mergeCell ref="A323:A329"/>
    <mergeCell ref="B323:B329"/>
    <mergeCell ref="C323:C329"/>
    <mergeCell ref="D323:D329"/>
    <mergeCell ref="E323:E329"/>
    <mergeCell ref="F323:F329"/>
    <mergeCell ref="AE319:AE320"/>
    <mergeCell ref="AF319:AF320"/>
    <mergeCell ref="M321:M322"/>
    <mergeCell ref="N321:N322"/>
    <mergeCell ref="O321:O322"/>
    <mergeCell ref="P321:P322"/>
    <mergeCell ref="R321:R322"/>
    <mergeCell ref="V321:V322"/>
    <mergeCell ref="AE321:AE322"/>
    <mergeCell ref="AF321:AF322"/>
    <mergeCell ref="M319:M320"/>
    <mergeCell ref="N319:N320"/>
    <mergeCell ref="O319:O320"/>
    <mergeCell ref="P319:P320"/>
    <mergeCell ref="R319:R320"/>
    <mergeCell ref="V319:V320"/>
    <mergeCell ref="AE314:AE315"/>
    <mergeCell ref="AF314:AF315"/>
    <mergeCell ref="N316:N317"/>
    <mergeCell ref="O316:O317"/>
    <mergeCell ref="V316:V317"/>
    <mergeCell ref="AE316:AE317"/>
    <mergeCell ref="AF316:AF317"/>
    <mergeCell ref="M314:M317"/>
    <mergeCell ref="N314:N315"/>
    <mergeCell ref="O314:O315"/>
    <mergeCell ref="P314:P317"/>
    <mergeCell ref="R314:R317"/>
    <mergeCell ref="V314:V315"/>
    <mergeCell ref="A294:A322"/>
    <mergeCell ref="B294:B322"/>
    <mergeCell ref="O312:O313"/>
    <mergeCell ref="V312:V313"/>
    <mergeCell ref="AE312:AE313"/>
    <mergeCell ref="AF312:AF313"/>
    <mergeCell ref="M310:M313"/>
    <mergeCell ref="N310:N311"/>
    <mergeCell ref="O310:O311"/>
    <mergeCell ref="P310:P313"/>
    <mergeCell ref="R310:R313"/>
    <mergeCell ref="V310:V311"/>
    <mergeCell ref="AF306:AF307"/>
    <mergeCell ref="N308:N309"/>
    <mergeCell ref="O308:O309"/>
    <mergeCell ref="V308:V309"/>
    <mergeCell ref="AE308:AE309"/>
    <mergeCell ref="AF308:AF309"/>
    <mergeCell ref="M306:M309"/>
    <mergeCell ref="N306:N307"/>
    <mergeCell ref="O306:O307"/>
    <mergeCell ref="P306:P309"/>
    <mergeCell ref="R306:R309"/>
    <mergeCell ref="V306:V307"/>
    <mergeCell ref="R302:R305"/>
    <mergeCell ref="V302:V303"/>
    <mergeCell ref="AE302:AE303"/>
    <mergeCell ref="AF302:AF303"/>
    <mergeCell ref="N304:N305"/>
    <mergeCell ref="AQ323:AQ329"/>
    <mergeCell ref="Y325:Y326"/>
    <mergeCell ref="AC325:AC326"/>
    <mergeCell ref="N326:N328"/>
    <mergeCell ref="O326:O328"/>
    <mergeCell ref="T326:T328"/>
    <mergeCell ref="U326:U328"/>
    <mergeCell ref="V326:V328"/>
    <mergeCell ref="AI326:AI328"/>
    <mergeCell ref="Y327:Y328"/>
    <mergeCell ref="AK323:AK328"/>
    <mergeCell ref="AL323:AL328"/>
    <mergeCell ref="AM323:AM328"/>
    <mergeCell ref="AN323:AN329"/>
    <mergeCell ref="AO323:AO329"/>
    <mergeCell ref="AP323:AP329"/>
    <mergeCell ref="Y323:Y324"/>
    <mergeCell ref="AC323:AC324"/>
    <mergeCell ref="AF323:AF328"/>
    <mergeCell ref="AG323:AG329"/>
    <mergeCell ref="AI323:AI325"/>
    <mergeCell ref="AJ323:AJ328"/>
    <mergeCell ref="AC327:AC328"/>
    <mergeCell ref="S323:S328"/>
    <mergeCell ref="T323:T325"/>
    <mergeCell ref="U323:U325"/>
    <mergeCell ref="V323:V325"/>
    <mergeCell ref="W323:W329"/>
    <mergeCell ref="X323:X329"/>
    <mergeCell ref="M323:M328"/>
    <mergeCell ref="N323:N325"/>
    <mergeCell ref="O323:O325"/>
    <mergeCell ref="P323:P328"/>
    <mergeCell ref="Q323:Q329"/>
    <mergeCell ref="R323:R328"/>
    <mergeCell ref="G338:G341"/>
    <mergeCell ref="H338:H341"/>
    <mergeCell ref="I338:I341"/>
    <mergeCell ref="J338:J341"/>
    <mergeCell ref="K338:K341"/>
    <mergeCell ref="L338:L341"/>
    <mergeCell ref="A338:A341"/>
    <mergeCell ref="B338:B341"/>
    <mergeCell ref="C338:C341"/>
    <mergeCell ref="D338:D341"/>
    <mergeCell ref="E338:E341"/>
    <mergeCell ref="F338:F341"/>
    <mergeCell ref="AI331:AI337"/>
    <mergeCell ref="AK331:AK337"/>
    <mergeCell ref="AM331:AM337"/>
    <mergeCell ref="Y332:Y333"/>
    <mergeCell ref="AC332:AC333"/>
    <mergeCell ref="Y334:Y335"/>
    <mergeCell ref="AC334:AC335"/>
    <mergeCell ref="Y336:Y337"/>
    <mergeCell ref="AC336:AC337"/>
    <mergeCell ref="AJ330:AJ337"/>
    <mergeCell ref="AL330:AL337"/>
    <mergeCell ref="AN330:AN337"/>
    <mergeCell ref="AO330:AO337"/>
    <mergeCell ref="AP330:AP337"/>
    <mergeCell ref="AQ330:AQ337"/>
    <mergeCell ref="Y330:Y331"/>
    <mergeCell ref="Z330:Z331"/>
    <mergeCell ref="AC330:AC331"/>
    <mergeCell ref="AF330:AF337"/>
    <mergeCell ref="AG330:AG337"/>
    <mergeCell ref="AH330:AH337"/>
    <mergeCell ref="S330:S337"/>
    <mergeCell ref="T330:T334"/>
    <mergeCell ref="U330:U337"/>
    <mergeCell ref="V330:V334"/>
    <mergeCell ref="W330:W337"/>
    <mergeCell ref="X330:X337"/>
    <mergeCell ref="T335:T337"/>
    <mergeCell ref="V335:V337"/>
    <mergeCell ref="M330:M337"/>
    <mergeCell ref="N330:N334"/>
    <mergeCell ref="O330:O334"/>
    <mergeCell ref="P330:P337"/>
    <mergeCell ref="Q330:Q337"/>
    <mergeCell ref="R330:R337"/>
    <mergeCell ref="N335:N337"/>
    <mergeCell ref="O335:O337"/>
    <mergeCell ref="G330:G337"/>
    <mergeCell ref="H330:H337"/>
    <mergeCell ref="I330:I337"/>
    <mergeCell ref="J330:J337"/>
    <mergeCell ref="K330:K337"/>
    <mergeCell ref="L330:L337"/>
    <mergeCell ref="A330:A337"/>
    <mergeCell ref="B330:B337"/>
    <mergeCell ref="C330:C337"/>
    <mergeCell ref="D330:D337"/>
    <mergeCell ref="E330:E337"/>
    <mergeCell ref="F330:F337"/>
    <mergeCell ref="AQ338:AQ341"/>
    <mergeCell ref="A342:A345"/>
    <mergeCell ref="B342:B345"/>
    <mergeCell ref="C342:C345"/>
    <mergeCell ref="D342:D345"/>
    <mergeCell ref="E342:E345"/>
    <mergeCell ref="F342:F345"/>
    <mergeCell ref="AQ346:AQ351"/>
    <mergeCell ref="N348:N350"/>
    <mergeCell ref="O348:O350"/>
    <mergeCell ref="T348:T350"/>
    <mergeCell ref="U348:U350"/>
    <mergeCell ref="V348:V350"/>
    <mergeCell ref="Y348:Y349"/>
    <mergeCell ref="AC348:AC349"/>
    <mergeCell ref="AI348:AI350"/>
    <mergeCell ref="AK346:AK350"/>
    <mergeCell ref="AL346:AL350"/>
    <mergeCell ref="AM346:AM350"/>
    <mergeCell ref="AN346:AN351"/>
    <mergeCell ref="AO346:AO351"/>
    <mergeCell ref="AR338:AR341"/>
    <mergeCell ref="N340:N341"/>
    <mergeCell ref="O340:O341"/>
    <mergeCell ref="T340:T341"/>
    <mergeCell ref="U340:U341"/>
    <mergeCell ref="V340:V341"/>
    <mergeCell ref="Y340:Y341"/>
    <mergeCell ref="AI340:AI341"/>
    <mergeCell ref="AK338:AK341"/>
    <mergeCell ref="AL338:AL341"/>
    <mergeCell ref="AM338:AM341"/>
    <mergeCell ref="AN338:AN341"/>
    <mergeCell ref="AO338:AO341"/>
    <mergeCell ref="AP338:AP341"/>
    <mergeCell ref="Y338:Y339"/>
    <mergeCell ref="AC338:AC339"/>
    <mergeCell ref="AF338:AF341"/>
    <mergeCell ref="AG338:AG341"/>
    <mergeCell ref="AI338:AI339"/>
    <mergeCell ref="AJ338:AJ341"/>
    <mergeCell ref="S338:S341"/>
    <mergeCell ref="T338:T339"/>
    <mergeCell ref="U338:U339"/>
    <mergeCell ref="V338:V339"/>
    <mergeCell ref="W338:W339"/>
    <mergeCell ref="X338:X339"/>
    <mergeCell ref="M338:M341"/>
    <mergeCell ref="N338:N339"/>
    <mergeCell ref="O338:O339"/>
    <mergeCell ref="P338:P341"/>
    <mergeCell ref="Q338:Q341"/>
    <mergeCell ref="R338:R341"/>
    <mergeCell ref="G346:G351"/>
    <mergeCell ref="H346:H351"/>
    <mergeCell ref="I346:I351"/>
    <mergeCell ref="J346:J350"/>
    <mergeCell ref="K346:K351"/>
    <mergeCell ref="L346:L351"/>
    <mergeCell ref="AP346:AP351"/>
    <mergeCell ref="Y346:Y347"/>
    <mergeCell ref="AC346:AC347"/>
    <mergeCell ref="AF346:AF350"/>
    <mergeCell ref="AG346:AG351"/>
    <mergeCell ref="AI346:AI347"/>
    <mergeCell ref="AP342:AP345"/>
    <mergeCell ref="AQ342:AQ345"/>
    <mergeCell ref="N344:N345"/>
    <mergeCell ref="O344:O345"/>
    <mergeCell ref="T344:T345"/>
    <mergeCell ref="U344:U345"/>
    <mergeCell ref="V344:V345"/>
    <mergeCell ref="Y344:Y345"/>
    <mergeCell ref="AJ342:AJ345"/>
    <mergeCell ref="AK342:AK345"/>
    <mergeCell ref="AL342:AL345"/>
    <mergeCell ref="AM342:AM345"/>
    <mergeCell ref="AN342:AN345"/>
    <mergeCell ref="AO342:AO345"/>
    <mergeCell ref="Y342:Y343"/>
    <mergeCell ref="AC342:AC343"/>
    <mergeCell ref="AF342:AF345"/>
    <mergeCell ref="AG342:AG345"/>
    <mergeCell ref="AH342:AH343"/>
    <mergeCell ref="AI342:AI343"/>
    <mergeCell ref="S342:S345"/>
    <mergeCell ref="T342:T343"/>
    <mergeCell ref="U342:U343"/>
    <mergeCell ref="V342:V343"/>
    <mergeCell ref="W342:W343"/>
    <mergeCell ref="X342:X343"/>
    <mergeCell ref="M342:M345"/>
    <mergeCell ref="N342:N343"/>
    <mergeCell ref="O342:O343"/>
    <mergeCell ref="P342:P345"/>
    <mergeCell ref="Q342:Q345"/>
    <mergeCell ref="R342:R345"/>
    <mergeCell ref="G342:G345"/>
    <mergeCell ref="H342:H345"/>
    <mergeCell ref="I342:I345"/>
    <mergeCell ref="J342:J345"/>
    <mergeCell ref="K342:K345"/>
    <mergeCell ref="L342:L345"/>
    <mergeCell ref="A354:A356"/>
    <mergeCell ref="B354:B356"/>
    <mergeCell ref="C354:C356"/>
    <mergeCell ref="D354:D356"/>
    <mergeCell ref="E354:E356"/>
    <mergeCell ref="Y352:Y353"/>
    <mergeCell ref="AC352:AC353"/>
    <mergeCell ref="AF352:AF353"/>
    <mergeCell ref="AJ352:AJ353"/>
    <mergeCell ref="AK352:AK353"/>
    <mergeCell ref="AL352:AL353"/>
    <mergeCell ref="M352:M353"/>
    <mergeCell ref="P352:P353"/>
    <mergeCell ref="R352:R353"/>
    <mergeCell ref="S352:S353"/>
    <mergeCell ref="W352:W353"/>
    <mergeCell ref="X352:X353"/>
    <mergeCell ref="G352:G353"/>
    <mergeCell ref="H352:H353"/>
    <mergeCell ref="I352:I353"/>
    <mergeCell ref="J352:J353"/>
    <mergeCell ref="K352:K353"/>
    <mergeCell ref="L352:L353"/>
    <mergeCell ref="A352:A353"/>
    <mergeCell ref="B352:B353"/>
    <mergeCell ref="C352:C353"/>
    <mergeCell ref="D352:D353"/>
    <mergeCell ref="E352:E353"/>
    <mergeCell ref="F352:F353"/>
    <mergeCell ref="T355:T356"/>
    <mergeCell ref="U355:U356"/>
    <mergeCell ref="V355:V356"/>
    <mergeCell ref="A346:A351"/>
    <mergeCell ref="B346:B351"/>
    <mergeCell ref="C346:C351"/>
    <mergeCell ref="D346:D351"/>
    <mergeCell ref="E346:E351"/>
    <mergeCell ref="F346:F351"/>
    <mergeCell ref="AJ346:AJ350"/>
    <mergeCell ref="S346:S350"/>
    <mergeCell ref="T346:T347"/>
    <mergeCell ref="U346:U347"/>
    <mergeCell ref="V346:V347"/>
    <mergeCell ref="W346:W351"/>
    <mergeCell ref="X346:X351"/>
    <mergeCell ref="M346:M350"/>
    <mergeCell ref="N346:N347"/>
    <mergeCell ref="O346:O347"/>
    <mergeCell ref="P346:P350"/>
    <mergeCell ref="Q346:Q351"/>
    <mergeCell ref="R346:R350"/>
    <mergeCell ref="AL354:AL356"/>
    <mergeCell ref="AM354:AM356"/>
    <mergeCell ref="AN354:AN356"/>
    <mergeCell ref="AO354:AO356"/>
    <mergeCell ref="AP354:AP356"/>
    <mergeCell ref="AQ354:AQ356"/>
    <mergeCell ref="AF354:AF356"/>
    <mergeCell ref="AG354:AG356"/>
    <mergeCell ref="AH354:AH356"/>
    <mergeCell ref="AI354:AI356"/>
    <mergeCell ref="AJ354:AJ356"/>
    <mergeCell ref="AK354:AK356"/>
    <mergeCell ref="W354:W356"/>
    <mergeCell ref="X354:X356"/>
    <mergeCell ref="Y354:Y355"/>
    <mergeCell ref="AA354:AA355"/>
    <mergeCell ref="AB354:AB355"/>
    <mergeCell ref="AC354:AC355"/>
    <mergeCell ref="L354:L356"/>
    <mergeCell ref="M354:M356"/>
    <mergeCell ref="P354:P356"/>
    <mergeCell ref="Q354:Q356"/>
    <mergeCell ref="R354:R356"/>
    <mergeCell ref="S354:S356"/>
    <mergeCell ref="N355:N356"/>
    <mergeCell ref="O355:O356"/>
    <mergeCell ref="F354:F356"/>
    <mergeCell ref="G354:G356"/>
    <mergeCell ref="H354:H356"/>
    <mergeCell ref="I354:I356"/>
    <mergeCell ref="J354:J356"/>
    <mergeCell ref="K354:K356"/>
    <mergeCell ref="AM352:AM353"/>
    <mergeCell ref="AN352:AN353"/>
    <mergeCell ref="AO352:AO353"/>
    <mergeCell ref="AP352:AP353"/>
    <mergeCell ref="AQ352:AQ353"/>
    <mergeCell ref="I361:I366"/>
    <mergeCell ref="J361:J366"/>
    <mergeCell ref="K361:K366"/>
    <mergeCell ref="L361:L366"/>
    <mergeCell ref="A361:A366"/>
    <mergeCell ref="B361:B366"/>
    <mergeCell ref="C361:C366"/>
    <mergeCell ref="D361:D366"/>
    <mergeCell ref="E361:E366"/>
    <mergeCell ref="F361:F366"/>
    <mergeCell ref="AL357:AL360"/>
    <mergeCell ref="AM357:AM360"/>
    <mergeCell ref="AN357:AN360"/>
    <mergeCell ref="AO357:AO360"/>
    <mergeCell ref="AP357:AP360"/>
    <mergeCell ref="AQ357:AQ360"/>
    <mergeCell ref="AC357:AC358"/>
    <mergeCell ref="AF357:AF360"/>
    <mergeCell ref="AG357:AG360"/>
    <mergeCell ref="AI357:AI360"/>
    <mergeCell ref="AJ357:AJ360"/>
    <mergeCell ref="AK357:AK360"/>
    <mergeCell ref="AC359:AC360"/>
    <mergeCell ref="T357:T358"/>
    <mergeCell ref="U357:U358"/>
    <mergeCell ref="V357:V358"/>
    <mergeCell ref="W357:W360"/>
    <mergeCell ref="X357:X360"/>
    <mergeCell ref="Y357:Y358"/>
    <mergeCell ref="T359:T360"/>
    <mergeCell ref="U359:U360"/>
    <mergeCell ref="V359:V360"/>
    <mergeCell ref="Y359:Y360"/>
    <mergeCell ref="N357:N358"/>
    <mergeCell ref="O357:O358"/>
    <mergeCell ref="P357:P360"/>
    <mergeCell ref="Q357:Q360"/>
    <mergeCell ref="R357:R360"/>
    <mergeCell ref="S357:S360"/>
    <mergeCell ref="N359:N360"/>
    <mergeCell ref="O359:O360"/>
    <mergeCell ref="H357:H360"/>
    <mergeCell ref="I357:I360"/>
    <mergeCell ref="J357:J360"/>
    <mergeCell ref="K357:K360"/>
    <mergeCell ref="L357:L360"/>
    <mergeCell ref="M357:M360"/>
    <mergeCell ref="A357:A360"/>
    <mergeCell ref="B357:B360"/>
    <mergeCell ref="C357:C360"/>
    <mergeCell ref="D357:D360"/>
    <mergeCell ref="E357:E360"/>
    <mergeCell ref="F357:F360"/>
    <mergeCell ref="G357:G360"/>
    <mergeCell ref="X367:X376"/>
    <mergeCell ref="T375:T376"/>
    <mergeCell ref="U375:U376"/>
    <mergeCell ref="V375:V376"/>
    <mergeCell ref="M367:M372"/>
    <mergeCell ref="N367:N369"/>
    <mergeCell ref="O367:O369"/>
    <mergeCell ref="P367:P372"/>
    <mergeCell ref="Q367:Q376"/>
    <mergeCell ref="R367:R372"/>
    <mergeCell ref="M373:M374"/>
    <mergeCell ref="N373:N374"/>
    <mergeCell ref="O373:O374"/>
    <mergeCell ref="P373:P374"/>
    <mergeCell ref="G367:G376"/>
    <mergeCell ref="H367:H376"/>
    <mergeCell ref="I367:I376"/>
    <mergeCell ref="J367:J372"/>
    <mergeCell ref="K367:K376"/>
    <mergeCell ref="L367:L376"/>
    <mergeCell ref="J373:J374"/>
    <mergeCell ref="J375:J376"/>
    <mergeCell ref="A367:A376"/>
    <mergeCell ref="B367:B376"/>
    <mergeCell ref="C367:C376"/>
    <mergeCell ref="D367:D376"/>
    <mergeCell ref="E367:E376"/>
    <mergeCell ref="F367:F376"/>
    <mergeCell ref="AQ361:AQ366"/>
    <mergeCell ref="N363:N366"/>
    <mergeCell ref="O363:O366"/>
    <mergeCell ref="T363:T366"/>
    <mergeCell ref="U363:U366"/>
    <mergeCell ref="V363:V366"/>
    <mergeCell ref="Y363:Y364"/>
    <mergeCell ref="AC363:AC364"/>
    <mergeCell ref="AI363:AI366"/>
    <mergeCell ref="AK363:AK366"/>
    <mergeCell ref="AK361:AK362"/>
    <mergeCell ref="AL361:AL366"/>
    <mergeCell ref="AM361:AM366"/>
    <mergeCell ref="AN361:AN366"/>
    <mergeCell ref="AO361:AO366"/>
    <mergeCell ref="AP361:AP366"/>
    <mergeCell ref="Y361:Y362"/>
    <mergeCell ref="AC361:AC362"/>
    <mergeCell ref="AF361:AF366"/>
    <mergeCell ref="AG361:AG366"/>
    <mergeCell ref="AI361:AI362"/>
    <mergeCell ref="AJ361:AJ366"/>
    <mergeCell ref="S361:S366"/>
    <mergeCell ref="T361:T362"/>
    <mergeCell ref="U361:U362"/>
    <mergeCell ref="V361:V362"/>
    <mergeCell ref="W361:W366"/>
    <mergeCell ref="X361:X366"/>
    <mergeCell ref="M361:M366"/>
    <mergeCell ref="N361:N362"/>
    <mergeCell ref="O361:O362"/>
    <mergeCell ref="P361:P366"/>
    <mergeCell ref="Q361:Q366"/>
    <mergeCell ref="R361:R366"/>
    <mergeCell ref="G361:G366"/>
    <mergeCell ref="H361:H366"/>
    <mergeCell ref="G377:G380"/>
    <mergeCell ref="H377:H380"/>
    <mergeCell ref="I377:I380"/>
    <mergeCell ref="J377:J380"/>
    <mergeCell ref="K377:K380"/>
    <mergeCell ref="L377:L380"/>
    <mergeCell ref="A377:A380"/>
    <mergeCell ref="B377:B380"/>
    <mergeCell ref="C377:C380"/>
    <mergeCell ref="D377:D380"/>
    <mergeCell ref="E377:E380"/>
    <mergeCell ref="F377:F380"/>
    <mergeCell ref="AF375:AF376"/>
    <mergeCell ref="AI375:AI376"/>
    <mergeCell ref="AJ375:AJ376"/>
    <mergeCell ref="AK375:AK376"/>
    <mergeCell ref="AL375:AL376"/>
    <mergeCell ref="AM375:AM376"/>
    <mergeCell ref="M375:M376"/>
    <mergeCell ref="N375:N376"/>
    <mergeCell ref="O375:O376"/>
    <mergeCell ref="P375:P376"/>
    <mergeCell ref="R375:R376"/>
    <mergeCell ref="S375:S376"/>
    <mergeCell ref="R373:R374"/>
    <mergeCell ref="S373:S374"/>
    <mergeCell ref="T373:T374"/>
    <mergeCell ref="U373:U374"/>
    <mergeCell ref="V373:V374"/>
    <mergeCell ref="AF373:AF374"/>
    <mergeCell ref="AQ367:AQ376"/>
    <mergeCell ref="Y369:Y370"/>
    <mergeCell ref="AC369:AC370"/>
    <mergeCell ref="N370:N372"/>
    <mergeCell ref="O370:O372"/>
    <mergeCell ref="T370:T372"/>
    <mergeCell ref="U370:U372"/>
    <mergeCell ref="V370:V372"/>
    <mergeCell ref="AI370:AI372"/>
    <mergeCell ref="AK370:AK372"/>
    <mergeCell ref="AK367:AK369"/>
    <mergeCell ref="AL367:AL372"/>
    <mergeCell ref="AM367:AM372"/>
    <mergeCell ref="AN367:AN376"/>
    <mergeCell ref="AO367:AO376"/>
    <mergeCell ref="AP367:AP376"/>
    <mergeCell ref="AK373:AK374"/>
    <mergeCell ref="AL373:AL374"/>
    <mergeCell ref="AM373:AM374"/>
    <mergeCell ref="Y367:Y368"/>
    <mergeCell ref="AC367:AC368"/>
    <mergeCell ref="AF367:AF372"/>
    <mergeCell ref="AG367:AG376"/>
    <mergeCell ref="AI367:AI369"/>
    <mergeCell ref="AJ367:AJ372"/>
    <mergeCell ref="Y371:Y372"/>
    <mergeCell ref="AC371:AC372"/>
    <mergeCell ref="AI373:AI374"/>
    <mergeCell ref="AJ373:AJ374"/>
    <mergeCell ref="S367:S372"/>
    <mergeCell ref="T367:T369"/>
    <mergeCell ref="U367:U369"/>
    <mergeCell ref="V367:V369"/>
    <mergeCell ref="W367:W376"/>
    <mergeCell ref="AQ377:AQ380"/>
    <mergeCell ref="N379:N380"/>
    <mergeCell ref="O379:O380"/>
    <mergeCell ref="T379:T380"/>
    <mergeCell ref="U379:U380"/>
    <mergeCell ref="V379:V380"/>
    <mergeCell ref="Y379:Y380"/>
    <mergeCell ref="AC379:AC380"/>
    <mergeCell ref="AI379:AI380"/>
    <mergeCell ref="AK377:AK380"/>
    <mergeCell ref="AL377:AL380"/>
    <mergeCell ref="AM377:AM380"/>
    <mergeCell ref="AN377:AN380"/>
    <mergeCell ref="AO377:AO380"/>
    <mergeCell ref="AP377:AP380"/>
    <mergeCell ref="Y377:Y378"/>
    <mergeCell ref="AC377:AC378"/>
    <mergeCell ref="AF377:AF380"/>
    <mergeCell ref="AG377:AG380"/>
    <mergeCell ref="AI377:AI378"/>
    <mergeCell ref="AJ377:AJ380"/>
    <mergeCell ref="S377:S380"/>
    <mergeCell ref="T377:T378"/>
    <mergeCell ref="U377:U378"/>
    <mergeCell ref="V377:V378"/>
    <mergeCell ref="W377:W380"/>
    <mergeCell ref="X377:X380"/>
    <mergeCell ref="M377:M380"/>
    <mergeCell ref="N377:N378"/>
    <mergeCell ref="O377:O378"/>
    <mergeCell ref="P377:P380"/>
    <mergeCell ref="Q377:Q380"/>
    <mergeCell ref="R377:R380"/>
    <mergeCell ref="AK384:AK385"/>
    <mergeCell ref="AL384:AL385"/>
    <mergeCell ref="AM384:AM385"/>
    <mergeCell ref="A386:A390"/>
    <mergeCell ref="B386:B390"/>
    <mergeCell ref="C386:C390"/>
    <mergeCell ref="D386:D390"/>
    <mergeCell ref="E386:E390"/>
    <mergeCell ref="F386:F390"/>
    <mergeCell ref="G386:G390"/>
    <mergeCell ref="T384:T385"/>
    <mergeCell ref="U384:U385"/>
    <mergeCell ref="V384:V385"/>
    <mergeCell ref="AF384:AF385"/>
    <mergeCell ref="AI384:AI385"/>
    <mergeCell ref="AJ384:AJ385"/>
    <mergeCell ref="V382:V383"/>
    <mergeCell ref="AI382:AI383"/>
    <mergeCell ref="AK382:AK383"/>
    <mergeCell ref="J384:J385"/>
    <mergeCell ref="M384:M385"/>
    <mergeCell ref="N384:N385"/>
    <mergeCell ref="O384:O385"/>
    <mergeCell ref="P384:P385"/>
    <mergeCell ref="R384:R385"/>
    <mergeCell ref="S384:S385"/>
    <mergeCell ref="AL381:AL383"/>
    <mergeCell ref="AM381:AM383"/>
    <mergeCell ref="AN381:AN385"/>
    <mergeCell ref="AO381:AO385"/>
    <mergeCell ref="AP381:AP385"/>
    <mergeCell ref="AQ381:AQ385"/>
    <mergeCell ref="X381:X385"/>
    <mergeCell ref="Y381:Y382"/>
    <mergeCell ref="AC381:AC382"/>
    <mergeCell ref="AF381:AF383"/>
    <mergeCell ref="AG381:AG385"/>
    <mergeCell ref="AJ381:AJ383"/>
    <mergeCell ref="M381:M383"/>
    <mergeCell ref="P381:P383"/>
    <mergeCell ref="Q381:Q385"/>
    <mergeCell ref="R381:R383"/>
    <mergeCell ref="S381:S383"/>
    <mergeCell ref="W381:W385"/>
    <mergeCell ref="N382:N383"/>
    <mergeCell ref="O382:O383"/>
    <mergeCell ref="T382:T383"/>
    <mergeCell ref="U382:U383"/>
    <mergeCell ref="G381:G385"/>
    <mergeCell ref="H381:H385"/>
    <mergeCell ref="I381:I385"/>
    <mergeCell ref="J381:J383"/>
    <mergeCell ref="K381:K385"/>
    <mergeCell ref="L381:L385"/>
    <mergeCell ref="A381:A385"/>
    <mergeCell ref="B381:B385"/>
    <mergeCell ref="C381:C385"/>
    <mergeCell ref="D381:D385"/>
    <mergeCell ref="E381:E385"/>
    <mergeCell ref="F381:F385"/>
    <mergeCell ref="A391:A394"/>
    <mergeCell ref="B391:B394"/>
    <mergeCell ref="C391:C394"/>
    <mergeCell ref="D391:D394"/>
    <mergeCell ref="E391:E394"/>
    <mergeCell ref="F391:F394"/>
    <mergeCell ref="AL386:AL389"/>
    <mergeCell ref="AM386:AM389"/>
    <mergeCell ref="AN386:AN390"/>
    <mergeCell ref="AO386:AO390"/>
    <mergeCell ref="AP386:AP390"/>
    <mergeCell ref="AQ386:AQ390"/>
    <mergeCell ref="AC386:AC387"/>
    <mergeCell ref="AF386:AF389"/>
    <mergeCell ref="AG386:AG390"/>
    <mergeCell ref="AI386:AI387"/>
    <mergeCell ref="AJ386:AJ390"/>
    <mergeCell ref="AK386:AK389"/>
    <mergeCell ref="AI388:AI389"/>
    <mergeCell ref="T386:T387"/>
    <mergeCell ref="U386:U387"/>
    <mergeCell ref="V386:V387"/>
    <mergeCell ref="W386:W390"/>
    <mergeCell ref="X386:X390"/>
    <mergeCell ref="Y386:Y387"/>
    <mergeCell ref="T388:T389"/>
    <mergeCell ref="U388:U389"/>
    <mergeCell ref="V388:V389"/>
    <mergeCell ref="Y388:Y389"/>
    <mergeCell ref="N386:N387"/>
    <mergeCell ref="O386:O387"/>
    <mergeCell ref="P386:P389"/>
    <mergeCell ref="Q386:Q390"/>
    <mergeCell ref="R386:R389"/>
    <mergeCell ref="S386:S389"/>
    <mergeCell ref="N388:N389"/>
    <mergeCell ref="O388:O389"/>
    <mergeCell ref="H386:H390"/>
    <mergeCell ref="I386:I390"/>
    <mergeCell ref="J386:J389"/>
    <mergeCell ref="K386:K390"/>
    <mergeCell ref="L386:L390"/>
    <mergeCell ref="M386:M389"/>
    <mergeCell ref="AL391:AL394"/>
    <mergeCell ref="AM391:AM394"/>
    <mergeCell ref="AN391:AN394"/>
    <mergeCell ref="AO391:AO394"/>
    <mergeCell ref="AP391:AP394"/>
    <mergeCell ref="AQ391:AQ394"/>
    <mergeCell ref="Y391:Y392"/>
    <mergeCell ref="AC391:AC392"/>
    <mergeCell ref="AF391:AF394"/>
    <mergeCell ref="AG391:AG394"/>
    <mergeCell ref="AJ391:AJ394"/>
    <mergeCell ref="AK391:AK394"/>
    <mergeCell ref="Y393:Y394"/>
    <mergeCell ref="AC393:AC394"/>
    <mergeCell ref="S391:S394"/>
    <mergeCell ref="T391:T392"/>
    <mergeCell ref="U391:U392"/>
    <mergeCell ref="V391:V392"/>
    <mergeCell ref="W391:W394"/>
    <mergeCell ref="X391:X394"/>
    <mergeCell ref="T393:T394"/>
    <mergeCell ref="A397:A401"/>
    <mergeCell ref="B397:B401"/>
    <mergeCell ref="C397:C401"/>
    <mergeCell ref="D397:D401"/>
    <mergeCell ref="E397:E401"/>
    <mergeCell ref="F397:F401"/>
    <mergeCell ref="G397:G401"/>
    <mergeCell ref="H397:H401"/>
    <mergeCell ref="AI395:AI396"/>
    <mergeCell ref="AJ395:AJ396"/>
    <mergeCell ref="AK395:AK396"/>
    <mergeCell ref="AM395:AM396"/>
    <mergeCell ref="AN395:AN396"/>
    <mergeCell ref="AO395:AO396"/>
    <mergeCell ref="X395:X396"/>
    <mergeCell ref="Y395:Y396"/>
    <mergeCell ref="AC395:AC396"/>
    <mergeCell ref="AF395:AF396"/>
    <mergeCell ref="AG395:AG396"/>
    <mergeCell ref="AH395:AH396"/>
    <mergeCell ref="M395:M396"/>
    <mergeCell ref="P395:P396"/>
    <mergeCell ref="Q395:Q396"/>
    <mergeCell ref="R395:R396"/>
    <mergeCell ref="S395:S396"/>
    <mergeCell ref="W395:W396"/>
    <mergeCell ref="G395:G396"/>
    <mergeCell ref="H395:H396"/>
    <mergeCell ref="I395:I396"/>
    <mergeCell ref="J395:J396"/>
    <mergeCell ref="K395:K396"/>
    <mergeCell ref="L395:L396"/>
    <mergeCell ref="A395:A396"/>
    <mergeCell ref="B395:B396"/>
    <mergeCell ref="C395:C396"/>
    <mergeCell ref="D395:D396"/>
    <mergeCell ref="E395:E396"/>
    <mergeCell ref="F395:F396"/>
    <mergeCell ref="I397:I401"/>
    <mergeCell ref="J397:J400"/>
    <mergeCell ref="K397:K401"/>
    <mergeCell ref="L397:L401"/>
    <mergeCell ref="M397:M400"/>
    <mergeCell ref="N397:N398"/>
    <mergeCell ref="AQ402:AQ407"/>
    <mergeCell ref="N404:N407"/>
    <mergeCell ref="O404:O407"/>
    <mergeCell ref="T404:T407"/>
    <mergeCell ref="U404:U407"/>
    <mergeCell ref="V404:V407"/>
    <mergeCell ref="Y404:Y405"/>
    <mergeCell ref="AC404:AC405"/>
    <mergeCell ref="AI404:AI407"/>
    <mergeCell ref="AK404:AK407"/>
    <mergeCell ref="AK402:AK403"/>
    <mergeCell ref="AL402:AL407"/>
    <mergeCell ref="AM402:AM407"/>
    <mergeCell ref="AN402:AN407"/>
    <mergeCell ref="AO402:AO407"/>
    <mergeCell ref="U393:U394"/>
    <mergeCell ref="V393:V394"/>
    <mergeCell ref="M391:M394"/>
    <mergeCell ref="N391:N392"/>
    <mergeCell ref="O391:O392"/>
    <mergeCell ref="P391:P394"/>
    <mergeCell ref="Q391:Q394"/>
    <mergeCell ref="R391:R394"/>
    <mergeCell ref="N393:N394"/>
    <mergeCell ref="O393:O394"/>
    <mergeCell ref="G391:G394"/>
    <mergeCell ref="H391:H394"/>
    <mergeCell ref="I391:I394"/>
    <mergeCell ref="J391:J394"/>
    <mergeCell ref="K391:K394"/>
    <mergeCell ref="L391:L394"/>
    <mergeCell ref="AP395:AP396"/>
    <mergeCell ref="AQ395:AQ396"/>
    <mergeCell ref="AM397:AM400"/>
    <mergeCell ref="AN397:AN401"/>
    <mergeCell ref="AO397:AO401"/>
    <mergeCell ref="AP397:AP401"/>
    <mergeCell ref="AQ397:AQ401"/>
    <mergeCell ref="N399:N400"/>
    <mergeCell ref="O399:O400"/>
    <mergeCell ref="T399:T400"/>
    <mergeCell ref="U399:U400"/>
    <mergeCell ref="V399:V400"/>
    <mergeCell ref="AF397:AF400"/>
    <mergeCell ref="AG397:AG401"/>
    <mergeCell ref="AI397:AI398"/>
    <mergeCell ref="AJ397:AJ400"/>
    <mergeCell ref="AK397:AK400"/>
    <mergeCell ref="AL397:AL400"/>
    <mergeCell ref="AI399:AI400"/>
    <mergeCell ref="U397:U398"/>
    <mergeCell ref="V397:V398"/>
    <mergeCell ref="W397:W401"/>
    <mergeCell ref="X397:X401"/>
    <mergeCell ref="Y397:Y398"/>
    <mergeCell ref="AC397:AC398"/>
    <mergeCell ref="Y399:Y400"/>
    <mergeCell ref="AC399:AC400"/>
    <mergeCell ref="O397:O398"/>
    <mergeCell ref="P397:P400"/>
    <mergeCell ref="Q397:Q401"/>
    <mergeCell ref="R397:R400"/>
    <mergeCell ref="S397:S400"/>
    <mergeCell ref="T397:T398"/>
    <mergeCell ref="AP402:AP407"/>
    <mergeCell ref="Y402:Y403"/>
    <mergeCell ref="AC402:AC403"/>
    <mergeCell ref="AF402:AF407"/>
    <mergeCell ref="AG402:AG407"/>
    <mergeCell ref="AI402:AI403"/>
    <mergeCell ref="AJ402:AJ407"/>
    <mergeCell ref="Y406:Y407"/>
    <mergeCell ref="AC406:AC407"/>
    <mergeCell ref="S402:S407"/>
    <mergeCell ref="T402:T403"/>
    <mergeCell ref="U402:U403"/>
    <mergeCell ref="V402:V403"/>
    <mergeCell ref="W402:W407"/>
    <mergeCell ref="X402:X407"/>
    <mergeCell ref="M402:M407"/>
    <mergeCell ref="N402:N403"/>
    <mergeCell ref="O402:O403"/>
    <mergeCell ref="P402:P407"/>
    <mergeCell ref="Q402:Q407"/>
    <mergeCell ref="R402:R407"/>
    <mergeCell ref="G412:G415"/>
    <mergeCell ref="H412:H415"/>
    <mergeCell ref="I412:I415"/>
    <mergeCell ref="J412:J415"/>
    <mergeCell ref="K412:K415"/>
    <mergeCell ref="L412:L415"/>
    <mergeCell ref="A412:A415"/>
    <mergeCell ref="B412:B415"/>
    <mergeCell ref="C412:C415"/>
    <mergeCell ref="D412:D415"/>
    <mergeCell ref="E412:E415"/>
    <mergeCell ref="F412:F415"/>
    <mergeCell ref="G408:G411"/>
    <mergeCell ref="H408:H411"/>
    <mergeCell ref="I408:I411"/>
    <mergeCell ref="J408:J411"/>
    <mergeCell ref="K408:K411"/>
    <mergeCell ref="L408:L411"/>
    <mergeCell ref="A408:A411"/>
    <mergeCell ref="B408:B411"/>
    <mergeCell ref="C408:C411"/>
    <mergeCell ref="D408:D411"/>
    <mergeCell ref="E408:E411"/>
    <mergeCell ref="F408:F411"/>
    <mergeCell ref="AP412:AP415"/>
    <mergeCell ref="G402:G407"/>
    <mergeCell ref="H402:H407"/>
    <mergeCell ref="I402:I407"/>
    <mergeCell ref="J402:J407"/>
    <mergeCell ref="K402:K407"/>
    <mergeCell ref="L402:L407"/>
    <mergeCell ref="A402:A407"/>
    <mergeCell ref="B402:B407"/>
    <mergeCell ref="C402:C407"/>
    <mergeCell ref="D402:D407"/>
    <mergeCell ref="E402:E407"/>
    <mergeCell ref="F402:F407"/>
    <mergeCell ref="AQ408:AQ411"/>
    <mergeCell ref="AR408:AR411"/>
    <mergeCell ref="N410:N411"/>
    <mergeCell ref="O410:O411"/>
    <mergeCell ref="T410:T411"/>
    <mergeCell ref="U410:U411"/>
    <mergeCell ref="V410:V411"/>
    <mergeCell ref="Y410:Y411"/>
    <mergeCell ref="AI410:AI411"/>
    <mergeCell ref="AK410:AK411"/>
    <mergeCell ref="AK408:AK409"/>
    <mergeCell ref="AL408:AL411"/>
    <mergeCell ref="AM408:AM411"/>
    <mergeCell ref="AN408:AN411"/>
    <mergeCell ref="AO408:AO411"/>
    <mergeCell ref="AP408:AP411"/>
    <mergeCell ref="Y408:Y409"/>
    <mergeCell ref="AC408:AC409"/>
    <mergeCell ref="AF408:AF411"/>
    <mergeCell ref="AG408:AG411"/>
    <mergeCell ref="AI408:AI409"/>
    <mergeCell ref="AJ408:AJ411"/>
    <mergeCell ref="S408:S411"/>
    <mergeCell ref="T408:T409"/>
    <mergeCell ref="U408:U409"/>
    <mergeCell ref="V408:V409"/>
    <mergeCell ref="W408:W411"/>
    <mergeCell ref="X408:X411"/>
    <mergeCell ref="M408:M411"/>
    <mergeCell ref="N408:N409"/>
    <mergeCell ref="O408:O409"/>
    <mergeCell ref="P408:P411"/>
    <mergeCell ref="Q408:Q411"/>
    <mergeCell ref="R408:R411"/>
    <mergeCell ref="AQ412:AQ415"/>
    <mergeCell ref="N414:N415"/>
    <mergeCell ref="O414:O415"/>
    <mergeCell ref="T414:T415"/>
    <mergeCell ref="U414:U415"/>
    <mergeCell ref="V414:V415"/>
    <mergeCell ref="Y414:Y415"/>
    <mergeCell ref="AC414:AC415"/>
    <mergeCell ref="AK414:AK415"/>
    <mergeCell ref="AJ412:AJ415"/>
    <mergeCell ref="AK412:AK413"/>
    <mergeCell ref="AL412:AL415"/>
    <mergeCell ref="AM412:AM415"/>
    <mergeCell ref="AN412:AN415"/>
    <mergeCell ref="AO412:AO415"/>
    <mergeCell ref="Y412:Y413"/>
    <mergeCell ref="AC412:AC413"/>
    <mergeCell ref="AF412:AF415"/>
    <mergeCell ref="AG412:AG415"/>
    <mergeCell ref="AH412:AH415"/>
    <mergeCell ref="AI412:AI415"/>
    <mergeCell ref="S412:S415"/>
    <mergeCell ref="T412:T413"/>
    <mergeCell ref="U412:U413"/>
    <mergeCell ref="V412:V413"/>
    <mergeCell ref="W412:W415"/>
    <mergeCell ref="X412:X415"/>
    <mergeCell ref="M412:M415"/>
    <mergeCell ref="N412:N413"/>
    <mergeCell ref="O412:O413"/>
    <mergeCell ref="P412:P415"/>
    <mergeCell ref="Q412:Q415"/>
    <mergeCell ref="R412:R415"/>
    <mergeCell ref="G421:G425"/>
    <mergeCell ref="H421:H425"/>
    <mergeCell ref="I421:I425"/>
    <mergeCell ref="J421:J425"/>
    <mergeCell ref="K421:K425"/>
    <mergeCell ref="L421:L425"/>
    <mergeCell ref="A421:A425"/>
    <mergeCell ref="B421:B425"/>
    <mergeCell ref="C421:C425"/>
    <mergeCell ref="D421:D425"/>
    <mergeCell ref="E421:E425"/>
    <mergeCell ref="F421:F425"/>
    <mergeCell ref="AQ416:AQ420"/>
    <mergeCell ref="N418:N420"/>
    <mergeCell ref="O418:O420"/>
    <mergeCell ref="T418:T420"/>
    <mergeCell ref="U418:U420"/>
    <mergeCell ref="V418:V420"/>
    <mergeCell ref="AI418:AI420"/>
    <mergeCell ref="Y419:Y420"/>
    <mergeCell ref="AC419:AC420"/>
    <mergeCell ref="AK416:AK420"/>
    <mergeCell ref="AL416:AL420"/>
    <mergeCell ref="AM416:AM420"/>
    <mergeCell ref="AN416:AN420"/>
    <mergeCell ref="AO416:AO420"/>
    <mergeCell ref="AP416:AP420"/>
    <mergeCell ref="Y416:Y417"/>
    <mergeCell ref="AC416:AC417"/>
    <mergeCell ref="AF416:AF420"/>
    <mergeCell ref="AG416:AG420"/>
    <mergeCell ref="AI416:AI417"/>
    <mergeCell ref="AJ416:AJ420"/>
    <mergeCell ref="S416:S420"/>
    <mergeCell ref="T416:T417"/>
    <mergeCell ref="U416:U417"/>
    <mergeCell ref="V416:V417"/>
    <mergeCell ref="W416:W420"/>
    <mergeCell ref="X416:X420"/>
    <mergeCell ref="M416:M420"/>
    <mergeCell ref="N416:N417"/>
    <mergeCell ref="O416:O417"/>
    <mergeCell ref="P416:P420"/>
    <mergeCell ref="Q416:Q420"/>
    <mergeCell ref="R416:R420"/>
    <mergeCell ref="G416:G420"/>
    <mergeCell ref="H416:H420"/>
    <mergeCell ref="I416:I420"/>
    <mergeCell ref="J416:J420"/>
    <mergeCell ref="K416:K420"/>
    <mergeCell ref="L416:L420"/>
    <mergeCell ref="A416:A420"/>
    <mergeCell ref="B416:B420"/>
    <mergeCell ref="C416:C420"/>
    <mergeCell ref="D416:D420"/>
    <mergeCell ref="E416:E420"/>
    <mergeCell ref="F416:F420"/>
    <mergeCell ref="AP421:AP425"/>
    <mergeCell ref="AQ421:AQ425"/>
    <mergeCell ref="N423:N424"/>
    <mergeCell ref="O423:O424"/>
    <mergeCell ref="T423:T424"/>
    <mergeCell ref="U423:U424"/>
    <mergeCell ref="V423:V424"/>
    <mergeCell ref="Y423:Y424"/>
    <mergeCell ref="AC423:AC424"/>
    <mergeCell ref="AJ421:AJ425"/>
    <mergeCell ref="AK421:AK425"/>
    <mergeCell ref="AL421:AL425"/>
    <mergeCell ref="AM421:AM425"/>
    <mergeCell ref="AN421:AN425"/>
    <mergeCell ref="AO421:AO425"/>
    <mergeCell ref="Y421:Y422"/>
    <mergeCell ref="AC421:AC422"/>
    <mergeCell ref="AF421:AF424"/>
    <mergeCell ref="AG421:AG425"/>
    <mergeCell ref="AH421:AH425"/>
    <mergeCell ref="AI421:AI425"/>
    <mergeCell ref="S421:S424"/>
    <mergeCell ref="T421:T422"/>
    <mergeCell ref="U421:U422"/>
    <mergeCell ref="V421:V422"/>
    <mergeCell ref="W421:W425"/>
    <mergeCell ref="X421:X425"/>
    <mergeCell ref="M421:M424"/>
    <mergeCell ref="N421:N422"/>
    <mergeCell ref="O421:O422"/>
    <mergeCell ref="P421:P424"/>
    <mergeCell ref="Q421:Q425"/>
    <mergeCell ref="R421:R424"/>
    <mergeCell ref="A432:A435"/>
    <mergeCell ref="B432:B435"/>
    <mergeCell ref="C432:C435"/>
    <mergeCell ref="D432:D435"/>
    <mergeCell ref="E432:E435"/>
    <mergeCell ref="F432:F435"/>
    <mergeCell ref="AQ426:AQ431"/>
    <mergeCell ref="Y428:Y429"/>
    <mergeCell ref="AC428:AC429"/>
    <mergeCell ref="N429:N431"/>
    <mergeCell ref="O429:O431"/>
    <mergeCell ref="T429:T431"/>
    <mergeCell ref="U429:U431"/>
    <mergeCell ref="V429:V431"/>
    <mergeCell ref="AI429:AI431"/>
    <mergeCell ref="Y430:Y431"/>
    <mergeCell ref="AK426:AK431"/>
    <mergeCell ref="AL426:AL431"/>
    <mergeCell ref="AM426:AM431"/>
    <mergeCell ref="AN426:AN431"/>
    <mergeCell ref="AO426:AO431"/>
    <mergeCell ref="AP426:AP431"/>
    <mergeCell ref="Y426:Y427"/>
    <mergeCell ref="AC426:AC427"/>
    <mergeCell ref="AF426:AF431"/>
    <mergeCell ref="AG426:AG431"/>
    <mergeCell ref="AI426:AI428"/>
    <mergeCell ref="AJ426:AJ431"/>
    <mergeCell ref="S426:S431"/>
    <mergeCell ref="T426:T428"/>
    <mergeCell ref="U426:U428"/>
    <mergeCell ref="V426:V428"/>
    <mergeCell ref="W426:W431"/>
    <mergeCell ref="X426:X431"/>
    <mergeCell ref="M426:M431"/>
    <mergeCell ref="N426:N428"/>
    <mergeCell ref="O426:O428"/>
    <mergeCell ref="P426:P431"/>
    <mergeCell ref="Q426:Q431"/>
    <mergeCell ref="R426:R431"/>
    <mergeCell ref="G426:G431"/>
    <mergeCell ref="H426:H431"/>
    <mergeCell ref="I426:I431"/>
    <mergeCell ref="J426:J431"/>
    <mergeCell ref="K426:K431"/>
    <mergeCell ref="L426:L431"/>
    <mergeCell ref="A426:A431"/>
    <mergeCell ref="B426:B431"/>
    <mergeCell ref="C426:C431"/>
    <mergeCell ref="D426:D431"/>
    <mergeCell ref="E426:E431"/>
    <mergeCell ref="F426:F431"/>
    <mergeCell ref="D436:D439"/>
    <mergeCell ref="E436:E439"/>
    <mergeCell ref="F436:F439"/>
    <mergeCell ref="AQ432:AQ435"/>
    <mergeCell ref="AR432:AR435"/>
    <mergeCell ref="N434:N435"/>
    <mergeCell ref="O434:O435"/>
    <mergeCell ref="T434:T435"/>
    <mergeCell ref="U434:U435"/>
    <mergeCell ref="V434:V435"/>
    <mergeCell ref="Y434:Y435"/>
    <mergeCell ref="AI434:AI435"/>
    <mergeCell ref="AK432:AK435"/>
    <mergeCell ref="AL432:AL435"/>
    <mergeCell ref="AM432:AM435"/>
    <mergeCell ref="AN432:AN435"/>
    <mergeCell ref="AO432:AO435"/>
    <mergeCell ref="AP432:AP435"/>
    <mergeCell ref="Y432:Y433"/>
    <mergeCell ref="AC432:AC433"/>
    <mergeCell ref="AF432:AF435"/>
    <mergeCell ref="AG432:AG435"/>
    <mergeCell ref="AI432:AI433"/>
    <mergeCell ref="AJ432:AJ435"/>
    <mergeCell ref="S432:S435"/>
    <mergeCell ref="T432:T433"/>
    <mergeCell ref="U432:U433"/>
    <mergeCell ref="V432:V433"/>
    <mergeCell ref="W432:W435"/>
    <mergeCell ref="X432:X435"/>
    <mergeCell ref="M432:M435"/>
    <mergeCell ref="N432:N433"/>
    <mergeCell ref="O432:O433"/>
    <mergeCell ref="P432:P435"/>
    <mergeCell ref="Q432:Q435"/>
    <mergeCell ref="R432:R435"/>
    <mergeCell ref="G432:G435"/>
    <mergeCell ref="H432:H435"/>
    <mergeCell ref="I432:I435"/>
    <mergeCell ref="J432:J435"/>
    <mergeCell ref="K432:K435"/>
    <mergeCell ref="L432:L435"/>
    <mergeCell ref="A440:A446"/>
    <mergeCell ref="B440:B446"/>
    <mergeCell ref="C440:C446"/>
    <mergeCell ref="D440:D446"/>
    <mergeCell ref="E440:E446"/>
    <mergeCell ref="F440:F446"/>
    <mergeCell ref="AQ436:AQ439"/>
    <mergeCell ref="N438:N439"/>
    <mergeCell ref="O438:O439"/>
    <mergeCell ref="T438:T439"/>
    <mergeCell ref="U438:U439"/>
    <mergeCell ref="V438:V439"/>
    <mergeCell ref="Y438:Y439"/>
    <mergeCell ref="AI438:AI439"/>
    <mergeCell ref="AK438:AK439"/>
    <mergeCell ref="AK436:AK437"/>
    <mergeCell ref="AL436:AL439"/>
    <mergeCell ref="AM436:AM439"/>
    <mergeCell ref="AN436:AN439"/>
    <mergeCell ref="AO436:AO439"/>
    <mergeCell ref="AP436:AP439"/>
    <mergeCell ref="Y436:Y437"/>
    <mergeCell ref="AC436:AC437"/>
    <mergeCell ref="AF436:AF439"/>
    <mergeCell ref="AG436:AG439"/>
    <mergeCell ref="AI436:AI437"/>
    <mergeCell ref="AJ436:AJ439"/>
    <mergeCell ref="S436:S439"/>
    <mergeCell ref="T436:T437"/>
    <mergeCell ref="U436:U437"/>
    <mergeCell ref="V436:V437"/>
    <mergeCell ref="W436:W439"/>
    <mergeCell ref="X436:X439"/>
    <mergeCell ref="M436:M439"/>
    <mergeCell ref="N436:N437"/>
    <mergeCell ref="O436:O437"/>
    <mergeCell ref="P436:P439"/>
    <mergeCell ref="Q436:Q439"/>
    <mergeCell ref="R436:R439"/>
    <mergeCell ref="G436:G439"/>
    <mergeCell ref="H436:H439"/>
    <mergeCell ref="I436:I439"/>
    <mergeCell ref="J436:J439"/>
    <mergeCell ref="K436:K439"/>
    <mergeCell ref="L436:L439"/>
    <mergeCell ref="A436:A439"/>
    <mergeCell ref="B436:B439"/>
    <mergeCell ref="C436:C439"/>
    <mergeCell ref="C447:C450"/>
    <mergeCell ref="D447:D450"/>
    <mergeCell ref="E447:E450"/>
    <mergeCell ref="F447:F450"/>
    <mergeCell ref="AJ459:AJ460"/>
    <mergeCell ref="AK459:AK460"/>
    <mergeCell ref="AL459:AL460"/>
    <mergeCell ref="AM459:AM460"/>
    <mergeCell ref="R445:R446"/>
    <mergeCell ref="S445:S446"/>
    <mergeCell ref="T445:T446"/>
    <mergeCell ref="U445:U446"/>
    <mergeCell ref="V445:V446"/>
    <mergeCell ref="AF445:AF446"/>
    <mergeCell ref="AQ440:AQ446"/>
    <mergeCell ref="AR440:AR446"/>
    <mergeCell ref="Y442:Y443"/>
    <mergeCell ref="AC442:AC443"/>
    <mergeCell ref="N443:N444"/>
    <mergeCell ref="O443:O444"/>
    <mergeCell ref="T443:T444"/>
    <mergeCell ref="U443:U444"/>
    <mergeCell ref="V443:V444"/>
    <mergeCell ref="AI443:AI444"/>
    <mergeCell ref="AK440:AK442"/>
    <mergeCell ref="AL440:AL444"/>
    <mergeCell ref="AM440:AM444"/>
    <mergeCell ref="AN440:AN446"/>
    <mergeCell ref="AO440:AO446"/>
    <mergeCell ref="AP440:AP446"/>
    <mergeCell ref="AK443:AK444"/>
    <mergeCell ref="AK445:AK446"/>
    <mergeCell ref="AL445:AL446"/>
    <mergeCell ref="AM445:AM446"/>
    <mergeCell ref="Y440:Y441"/>
    <mergeCell ref="AC440:AC441"/>
    <mergeCell ref="AF440:AF444"/>
    <mergeCell ref="AG440:AG446"/>
    <mergeCell ref="AI440:AI442"/>
    <mergeCell ref="AJ440:AJ444"/>
    <mergeCell ref="AI445:AI446"/>
    <mergeCell ref="AJ445:AJ446"/>
    <mergeCell ref="S440:S444"/>
    <mergeCell ref="T440:T442"/>
    <mergeCell ref="U440:U442"/>
    <mergeCell ref="V440:V442"/>
    <mergeCell ref="W440:W446"/>
    <mergeCell ref="X440:X446"/>
    <mergeCell ref="M440:M444"/>
    <mergeCell ref="N440:N442"/>
    <mergeCell ref="O440:O442"/>
    <mergeCell ref="P440:P444"/>
    <mergeCell ref="Q440:Q446"/>
    <mergeCell ref="R440:R444"/>
    <mergeCell ref="M445:M446"/>
    <mergeCell ref="N445:N446"/>
    <mergeCell ref="O445:O446"/>
    <mergeCell ref="P445:P446"/>
    <mergeCell ref="G440:G446"/>
    <mergeCell ref="H440:H446"/>
    <mergeCell ref="I440:I446"/>
    <mergeCell ref="J440:J446"/>
    <mergeCell ref="K440:K446"/>
    <mergeCell ref="L440:L446"/>
    <mergeCell ref="M451:M458"/>
    <mergeCell ref="N451:N455"/>
    <mergeCell ref="O451:O455"/>
    <mergeCell ref="P451:P458"/>
    <mergeCell ref="Q451:Q460"/>
    <mergeCell ref="R451:R458"/>
    <mergeCell ref="M459:M460"/>
    <mergeCell ref="N459:N460"/>
    <mergeCell ref="O459:O460"/>
    <mergeCell ref="P459:P460"/>
    <mergeCell ref="G451:G460"/>
    <mergeCell ref="H451:H460"/>
    <mergeCell ref="I451:I460"/>
    <mergeCell ref="J451:J458"/>
    <mergeCell ref="K451:K460"/>
    <mergeCell ref="L451:L460"/>
    <mergeCell ref="J459:J460"/>
    <mergeCell ref="A451:A460"/>
    <mergeCell ref="B451:B460"/>
    <mergeCell ref="C451:C460"/>
    <mergeCell ref="D451:D460"/>
    <mergeCell ref="E451:E460"/>
    <mergeCell ref="F451:F460"/>
    <mergeCell ref="AQ447:AQ450"/>
    <mergeCell ref="N449:N450"/>
    <mergeCell ref="O449:O450"/>
    <mergeCell ref="T449:T450"/>
    <mergeCell ref="U449:U450"/>
    <mergeCell ref="V449:V450"/>
    <mergeCell ref="Y449:Y450"/>
    <mergeCell ref="AC449:AC450"/>
    <mergeCell ref="AI449:AI450"/>
    <mergeCell ref="AK447:AK450"/>
    <mergeCell ref="AL447:AL450"/>
    <mergeCell ref="AM447:AM450"/>
    <mergeCell ref="AN447:AN450"/>
    <mergeCell ref="AO447:AO450"/>
    <mergeCell ref="AP447:AP450"/>
    <mergeCell ref="Y447:Y448"/>
    <mergeCell ref="AC447:AC448"/>
    <mergeCell ref="AF447:AF450"/>
    <mergeCell ref="AG447:AG450"/>
    <mergeCell ref="AI447:AI448"/>
    <mergeCell ref="AJ447:AJ450"/>
    <mergeCell ref="S447:S450"/>
    <mergeCell ref="T447:T448"/>
    <mergeCell ref="U447:U448"/>
    <mergeCell ref="V447:V448"/>
    <mergeCell ref="W447:W450"/>
    <mergeCell ref="X447:X450"/>
    <mergeCell ref="M447:M450"/>
    <mergeCell ref="N447:N448"/>
    <mergeCell ref="O447:O448"/>
    <mergeCell ref="P447:P450"/>
    <mergeCell ref="Q447:Q450"/>
    <mergeCell ref="R447:R450"/>
    <mergeCell ref="G447:G450"/>
    <mergeCell ref="H447:H450"/>
    <mergeCell ref="I447:I450"/>
    <mergeCell ref="J447:J450"/>
    <mergeCell ref="K447:K450"/>
    <mergeCell ref="L447:L450"/>
    <mergeCell ref="A447:A450"/>
    <mergeCell ref="B447:B450"/>
    <mergeCell ref="R459:R460"/>
    <mergeCell ref="S459:S460"/>
    <mergeCell ref="T459:T460"/>
    <mergeCell ref="U459:U460"/>
    <mergeCell ref="V459:V460"/>
    <mergeCell ref="AF459:AF460"/>
    <mergeCell ref="AQ451:AQ460"/>
    <mergeCell ref="Y453:Y454"/>
    <mergeCell ref="AC453:AC454"/>
    <mergeCell ref="Y455:Y456"/>
    <mergeCell ref="AC455:AC456"/>
    <mergeCell ref="N456:N458"/>
    <mergeCell ref="O456:O458"/>
    <mergeCell ref="T456:T458"/>
    <mergeCell ref="U456:U458"/>
    <mergeCell ref="V456:V458"/>
    <mergeCell ref="AK451:AK458"/>
    <mergeCell ref="AL451:AL458"/>
    <mergeCell ref="AM451:AM458"/>
    <mergeCell ref="AN451:AN460"/>
    <mergeCell ref="AO451:AO460"/>
    <mergeCell ref="AP451:AP460"/>
    <mergeCell ref="Y451:Y452"/>
    <mergeCell ref="AC451:AC452"/>
    <mergeCell ref="AF451:AF458"/>
    <mergeCell ref="AG451:AG460"/>
    <mergeCell ref="AI451:AI455"/>
    <mergeCell ref="AJ451:AJ458"/>
    <mergeCell ref="AI456:AI458"/>
    <mergeCell ref="Y457:Y458"/>
    <mergeCell ref="AC457:AC458"/>
    <mergeCell ref="AI459:AI460"/>
    <mergeCell ref="S451:S458"/>
    <mergeCell ref="T451:T455"/>
    <mergeCell ref="U451:U455"/>
    <mergeCell ref="V451:V455"/>
    <mergeCell ref="W451:W460"/>
    <mergeCell ref="X451:X460"/>
    <mergeCell ref="A466:A474"/>
    <mergeCell ref="B466:B474"/>
    <mergeCell ref="C466:C474"/>
    <mergeCell ref="D466:D474"/>
    <mergeCell ref="E466:E474"/>
    <mergeCell ref="F466:F474"/>
    <mergeCell ref="AQ461:AQ465"/>
    <mergeCell ref="Y463:Y464"/>
    <mergeCell ref="AC463:AC464"/>
    <mergeCell ref="N464:N465"/>
    <mergeCell ref="O464:O465"/>
    <mergeCell ref="T464:T465"/>
    <mergeCell ref="U464:U465"/>
    <mergeCell ref="V464:V465"/>
    <mergeCell ref="AI464:AI465"/>
    <mergeCell ref="AK461:AK465"/>
    <mergeCell ref="AL461:AL465"/>
    <mergeCell ref="AM461:AM465"/>
    <mergeCell ref="AN461:AN465"/>
    <mergeCell ref="AO461:AO465"/>
    <mergeCell ref="AP461:AP465"/>
    <mergeCell ref="Y461:Y462"/>
    <mergeCell ref="AC461:AC462"/>
    <mergeCell ref="AF461:AF465"/>
    <mergeCell ref="AG461:AG465"/>
    <mergeCell ref="AI461:AI463"/>
    <mergeCell ref="AJ461:AJ465"/>
    <mergeCell ref="S461:S465"/>
    <mergeCell ref="T461:T463"/>
    <mergeCell ref="U461:U463"/>
    <mergeCell ref="V461:V463"/>
    <mergeCell ref="W461:W465"/>
    <mergeCell ref="X461:X465"/>
    <mergeCell ref="M461:M465"/>
    <mergeCell ref="N461:N463"/>
    <mergeCell ref="O461:O463"/>
    <mergeCell ref="P461:P465"/>
    <mergeCell ref="Q461:Q465"/>
    <mergeCell ref="R461:R465"/>
    <mergeCell ref="G461:G465"/>
    <mergeCell ref="H461:H465"/>
    <mergeCell ref="I461:I465"/>
    <mergeCell ref="J461:J465"/>
    <mergeCell ref="K461:K465"/>
    <mergeCell ref="L461:L465"/>
    <mergeCell ref="A461:A465"/>
    <mergeCell ref="B461:B465"/>
    <mergeCell ref="C461:C465"/>
    <mergeCell ref="D461:D465"/>
    <mergeCell ref="E461:E465"/>
    <mergeCell ref="F461:F465"/>
    <mergeCell ref="C475:C482"/>
    <mergeCell ref="D475:D482"/>
    <mergeCell ref="E475:E482"/>
    <mergeCell ref="F475:F482"/>
    <mergeCell ref="AQ466:AQ474"/>
    <mergeCell ref="Y468:Y469"/>
    <mergeCell ref="AC468:AC469"/>
    <mergeCell ref="N470:N473"/>
    <mergeCell ref="O470:O473"/>
    <mergeCell ref="T470:T473"/>
    <mergeCell ref="U470:U473"/>
    <mergeCell ref="V470:V473"/>
    <mergeCell ref="Y470:Y471"/>
    <mergeCell ref="AC470:AC471"/>
    <mergeCell ref="AK466:AK473"/>
    <mergeCell ref="AL466:AL473"/>
    <mergeCell ref="AM466:AM473"/>
    <mergeCell ref="AN466:AN474"/>
    <mergeCell ref="AO466:AO474"/>
    <mergeCell ref="AP466:AP474"/>
    <mergeCell ref="Y466:Y467"/>
    <mergeCell ref="AC466:AC467"/>
    <mergeCell ref="AF466:AF473"/>
    <mergeCell ref="AG466:AG474"/>
    <mergeCell ref="AI466:AI469"/>
    <mergeCell ref="AJ466:AJ473"/>
    <mergeCell ref="AI470:AI473"/>
    <mergeCell ref="Y472:Y473"/>
    <mergeCell ref="AC472:AC473"/>
    <mergeCell ref="S466:S473"/>
    <mergeCell ref="T466:T469"/>
    <mergeCell ref="U466:U469"/>
    <mergeCell ref="V466:V469"/>
    <mergeCell ref="W466:W474"/>
    <mergeCell ref="X466:X474"/>
    <mergeCell ref="M466:M473"/>
    <mergeCell ref="N466:N469"/>
    <mergeCell ref="O466:O469"/>
    <mergeCell ref="P466:P473"/>
    <mergeCell ref="Q466:Q474"/>
    <mergeCell ref="R466:R473"/>
    <mergeCell ref="G466:G474"/>
    <mergeCell ref="H466:H474"/>
    <mergeCell ref="I466:I474"/>
    <mergeCell ref="J466:J473"/>
    <mergeCell ref="K466:K474"/>
    <mergeCell ref="L466:L474"/>
    <mergeCell ref="A483:A492"/>
    <mergeCell ref="B483:B492"/>
    <mergeCell ref="C483:C492"/>
    <mergeCell ref="D483:D492"/>
    <mergeCell ref="E483:E492"/>
    <mergeCell ref="F483:F492"/>
    <mergeCell ref="AQ475:AQ482"/>
    <mergeCell ref="Y477:Y478"/>
    <mergeCell ref="AC477:AC478"/>
    <mergeCell ref="N479:N480"/>
    <mergeCell ref="O479:O480"/>
    <mergeCell ref="T479:T480"/>
    <mergeCell ref="U479:U480"/>
    <mergeCell ref="V479:V480"/>
    <mergeCell ref="Y479:Y480"/>
    <mergeCell ref="AC479:AC480"/>
    <mergeCell ref="AK475:AK480"/>
    <mergeCell ref="AL475:AL480"/>
    <mergeCell ref="AM475:AM480"/>
    <mergeCell ref="AN475:AN482"/>
    <mergeCell ref="AO475:AO482"/>
    <mergeCell ref="AP475:AP482"/>
    <mergeCell ref="AK481:AK482"/>
    <mergeCell ref="AL481:AL482"/>
    <mergeCell ref="AM481:AM482"/>
    <mergeCell ref="Y475:Y476"/>
    <mergeCell ref="AC475:AC476"/>
    <mergeCell ref="AF475:AF480"/>
    <mergeCell ref="AG475:AG482"/>
    <mergeCell ref="AI475:AI478"/>
    <mergeCell ref="AJ475:AJ480"/>
    <mergeCell ref="AI479:AI480"/>
    <mergeCell ref="AF481:AF482"/>
    <mergeCell ref="AI481:AI482"/>
    <mergeCell ref="AJ481:AJ482"/>
    <mergeCell ref="S475:S480"/>
    <mergeCell ref="T475:T478"/>
    <mergeCell ref="U475:U478"/>
    <mergeCell ref="V475:V478"/>
    <mergeCell ref="W475:W482"/>
    <mergeCell ref="X475:X482"/>
    <mergeCell ref="S481:S482"/>
    <mergeCell ref="T481:T482"/>
    <mergeCell ref="U481:U482"/>
    <mergeCell ref="V481:V482"/>
    <mergeCell ref="M475:M480"/>
    <mergeCell ref="N475:N478"/>
    <mergeCell ref="O475:O478"/>
    <mergeCell ref="P475:P480"/>
    <mergeCell ref="Q475:Q482"/>
    <mergeCell ref="R475:R480"/>
    <mergeCell ref="M481:M482"/>
    <mergeCell ref="N481:N482"/>
    <mergeCell ref="O481:O482"/>
    <mergeCell ref="P481:P482"/>
    <mergeCell ref="G475:G482"/>
    <mergeCell ref="H475:H482"/>
    <mergeCell ref="I475:I482"/>
    <mergeCell ref="J475:J480"/>
    <mergeCell ref="K475:K482"/>
    <mergeCell ref="L475:L482"/>
    <mergeCell ref="J481:J482"/>
    <mergeCell ref="A475:A482"/>
    <mergeCell ref="B475:B482"/>
    <mergeCell ref="AJ491:AJ492"/>
    <mergeCell ref="AK491:AK492"/>
    <mergeCell ref="AL491:AL492"/>
    <mergeCell ref="AM491:AM492"/>
    <mergeCell ref="A493:A495"/>
    <mergeCell ref="B493:B495"/>
    <mergeCell ref="C493:C495"/>
    <mergeCell ref="D493:D495"/>
    <mergeCell ref="E493:E495"/>
    <mergeCell ref="F493:F495"/>
    <mergeCell ref="R491:R492"/>
    <mergeCell ref="S491:S492"/>
    <mergeCell ref="T491:T492"/>
    <mergeCell ref="U491:U492"/>
    <mergeCell ref="V491:V492"/>
    <mergeCell ref="AF491:AF492"/>
    <mergeCell ref="AQ483:AQ492"/>
    <mergeCell ref="Y485:Y486"/>
    <mergeCell ref="AC485:AC486"/>
    <mergeCell ref="Y487:Y488"/>
    <mergeCell ref="AC487:AC488"/>
    <mergeCell ref="N488:N490"/>
    <mergeCell ref="O488:O490"/>
    <mergeCell ref="T488:T490"/>
    <mergeCell ref="U488:U490"/>
    <mergeCell ref="V488:V490"/>
    <mergeCell ref="AK483:AK490"/>
    <mergeCell ref="AL483:AL490"/>
    <mergeCell ref="AM483:AM490"/>
    <mergeCell ref="AN483:AN492"/>
    <mergeCell ref="AO483:AO492"/>
    <mergeCell ref="AP483:AP492"/>
    <mergeCell ref="Y483:Y484"/>
    <mergeCell ref="AC483:AC484"/>
    <mergeCell ref="AF483:AF490"/>
    <mergeCell ref="AG483:AG492"/>
    <mergeCell ref="AI483:AI487"/>
    <mergeCell ref="AJ483:AJ490"/>
    <mergeCell ref="AI488:AI490"/>
    <mergeCell ref="Y489:Y490"/>
    <mergeCell ref="AC489:AC490"/>
    <mergeCell ref="AI491:AI492"/>
    <mergeCell ref="S483:S490"/>
    <mergeCell ref="T483:T487"/>
    <mergeCell ref="U483:U487"/>
    <mergeCell ref="V483:V487"/>
    <mergeCell ref="W483:W492"/>
    <mergeCell ref="X483:X492"/>
    <mergeCell ref="M483:M490"/>
    <mergeCell ref="N483:N487"/>
    <mergeCell ref="O483:O487"/>
    <mergeCell ref="P483:P490"/>
    <mergeCell ref="Q483:Q492"/>
    <mergeCell ref="R483:R490"/>
    <mergeCell ref="M491:M492"/>
    <mergeCell ref="N491:N492"/>
    <mergeCell ref="O491:O492"/>
    <mergeCell ref="P491:P492"/>
    <mergeCell ref="G483:G492"/>
    <mergeCell ref="H483:H492"/>
    <mergeCell ref="I483:I492"/>
    <mergeCell ref="J483:J492"/>
    <mergeCell ref="K483:K492"/>
    <mergeCell ref="L483:L492"/>
    <mergeCell ref="AM493:AM495"/>
    <mergeCell ref="AN493:AN495"/>
    <mergeCell ref="AO493:AO495"/>
    <mergeCell ref="AP493:AP495"/>
    <mergeCell ref="AQ493:AQ495"/>
    <mergeCell ref="A496:A515"/>
    <mergeCell ref="B496:B515"/>
    <mergeCell ref="C496:C515"/>
    <mergeCell ref="D496:D515"/>
    <mergeCell ref="E496:E515"/>
    <mergeCell ref="AF493:AF495"/>
    <mergeCell ref="AG493:AG495"/>
    <mergeCell ref="AI493:AI495"/>
    <mergeCell ref="AJ493:AJ495"/>
    <mergeCell ref="AK493:AK495"/>
    <mergeCell ref="AL493:AL495"/>
    <mergeCell ref="S493:S495"/>
    <mergeCell ref="T493:T495"/>
    <mergeCell ref="U493:U495"/>
    <mergeCell ref="V493:V495"/>
    <mergeCell ref="W493:W495"/>
    <mergeCell ref="X493:X495"/>
    <mergeCell ref="M493:M495"/>
    <mergeCell ref="N493:N495"/>
    <mergeCell ref="O493:O495"/>
    <mergeCell ref="P493:P495"/>
    <mergeCell ref="Q493:Q495"/>
    <mergeCell ref="R493:R495"/>
    <mergeCell ref="G493:G495"/>
    <mergeCell ref="H493:H495"/>
    <mergeCell ref="I493:I495"/>
    <mergeCell ref="J493:J495"/>
    <mergeCell ref="K493:K495"/>
    <mergeCell ref="L493:L495"/>
    <mergeCell ref="V499:V501"/>
    <mergeCell ref="Y499:Y500"/>
    <mergeCell ref="AC499:AC500"/>
    <mergeCell ref="AF499:AF504"/>
    <mergeCell ref="AI499:AI501"/>
    <mergeCell ref="AK499:AK504"/>
    <mergeCell ref="Y501:Y502"/>
    <mergeCell ref="AC501:AC502"/>
    <mergeCell ref="AL496:AL515"/>
    <mergeCell ref="AM496:AM515"/>
    <mergeCell ref="AN496:AN515"/>
    <mergeCell ref="AO496:AO515"/>
    <mergeCell ref="AP496:AP515"/>
    <mergeCell ref="AQ496:AQ515"/>
    <mergeCell ref="X496:X515"/>
    <mergeCell ref="AF496:AF498"/>
    <mergeCell ref="AG496:AG515"/>
    <mergeCell ref="AI496:AI498"/>
    <mergeCell ref="AJ496:AJ515"/>
    <mergeCell ref="AK496:AK498"/>
    <mergeCell ref="AK508:AK513"/>
    <mergeCell ref="R496:R498"/>
    <mergeCell ref="S496:S498"/>
    <mergeCell ref="T496:T498"/>
    <mergeCell ref="U496:U498"/>
    <mergeCell ref="V496:V498"/>
    <mergeCell ref="W496:W515"/>
    <mergeCell ref="R499:R504"/>
    <mergeCell ref="S499:S504"/>
    <mergeCell ref="T499:T501"/>
    <mergeCell ref="AF514:AF515"/>
    <mergeCell ref="AK514:AK515"/>
    <mergeCell ref="U499:U501"/>
    <mergeCell ref="L496:L515"/>
    <mergeCell ref="M496:M498"/>
    <mergeCell ref="N496:N498"/>
    <mergeCell ref="O496:O498"/>
    <mergeCell ref="P496:P498"/>
    <mergeCell ref="Q496:Q515"/>
    <mergeCell ref="M499:M504"/>
    <mergeCell ref="N499:N501"/>
    <mergeCell ref="O499:O501"/>
    <mergeCell ref="P499:P504"/>
    <mergeCell ref="T508:T511"/>
    <mergeCell ref="U508:U511"/>
    <mergeCell ref="V508:V511"/>
    <mergeCell ref="Y508:Y509"/>
    <mergeCell ref="AC508:AC509"/>
    <mergeCell ref="AF508:AF513"/>
    <mergeCell ref="Y510:Y511"/>
    <mergeCell ref="AC510:AC511"/>
    <mergeCell ref="T512:T513"/>
    <mergeCell ref="U512:U513"/>
    <mergeCell ref="M508:M513"/>
    <mergeCell ref="N508:N511"/>
    <mergeCell ref="O508:O511"/>
    <mergeCell ref="P508:P513"/>
    <mergeCell ref="R508:R513"/>
    <mergeCell ref="S508:S513"/>
    <mergeCell ref="N512:N513"/>
    <mergeCell ref="O512:O513"/>
    <mergeCell ref="T505:T507"/>
    <mergeCell ref="U505:U507"/>
    <mergeCell ref="V505:V507"/>
    <mergeCell ref="AF505:AF507"/>
    <mergeCell ref="V512:V513"/>
    <mergeCell ref="Y512:Y513"/>
    <mergeCell ref="AC512:AC513"/>
    <mergeCell ref="J514:J515"/>
    <mergeCell ref="M514:M515"/>
    <mergeCell ref="N514:N515"/>
    <mergeCell ref="O514:O515"/>
    <mergeCell ref="P514:P515"/>
    <mergeCell ref="R514:R515"/>
    <mergeCell ref="S514:S515"/>
    <mergeCell ref="F496:F515"/>
    <mergeCell ref="G496:G515"/>
    <mergeCell ref="H496:H515"/>
    <mergeCell ref="I496:I515"/>
    <mergeCell ref="J496:J513"/>
    <mergeCell ref="K496:K515"/>
    <mergeCell ref="AM528:AM530"/>
    <mergeCell ref="M531:M536"/>
    <mergeCell ref="N531:N533"/>
    <mergeCell ref="O531:O533"/>
    <mergeCell ref="P531:P536"/>
    <mergeCell ref="R531:R536"/>
    <mergeCell ref="S531:S536"/>
    <mergeCell ref="T531:T533"/>
    <mergeCell ref="U531:U533"/>
    <mergeCell ref="V531:V533"/>
    <mergeCell ref="T528:T530"/>
    <mergeCell ref="U528:U530"/>
    <mergeCell ref="V528:V530"/>
    <mergeCell ref="AF528:AF530"/>
    <mergeCell ref="AI528:AI530"/>
    <mergeCell ref="AJ528:AJ530"/>
    <mergeCell ref="M528:M530"/>
    <mergeCell ref="N528:N530"/>
    <mergeCell ref="O528:O530"/>
    <mergeCell ref="P528:P530"/>
    <mergeCell ref="R528:R530"/>
    <mergeCell ref="S528:S530"/>
    <mergeCell ref="V524:V527"/>
    <mergeCell ref="AF524:AF527"/>
    <mergeCell ref="AI524:AI527"/>
    <mergeCell ref="AJ524:AJ527"/>
    <mergeCell ref="AK524:AK527"/>
    <mergeCell ref="AL524:AL527"/>
    <mergeCell ref="AI505:AI507"/>
    <mergeCell ref="AK505:AK507"/>
    <mergeCell ref="M505:M507"/>
    <mergeCell ref="N505:N507"/>
    <mergeCell ref="O505:O507"/>
    <mergeCell ref="P505:P507"/>
    <mergeCell ref="R505:R507"/>
    <mergeCell ref="S505:S507"/>
    <mergeCell ref="N502:N504"/>
    <mergeCell ref="O502:O504"/>
    <mergeCell ref="T502:T504"/>
    <mergeCell ref="U502:U504"/>
    <mergeCell ref="V502:V504"/>
    <mergeCell ref="AI502:AI504"/>
    <mergeCell ref="Y503:Y504"/>
    <mergeCell ref="AC503:AC504"/>
    <mergeCell ref="R524:R527"/>
    <mergeCell ref="S524:S527"/>
    <mergeCell ref="T524:T527"/>
    <mergeCell ref="U524:U527"/>
    <mergeCell ref="T514:T515"/>
    <mergeCell ref="U514:U515"/>
    <mergeCell ref="V514:V515"/>
    <mergeCell ref="AP516:AP538"/>
    <mergeCell ref="AQ516:AQ538"/>
    <mergeCell ref="Y518:Y519"/>
    <mergeCell ref="AC518:AC519"/>
    <mergeCell ref="N520:N523"/>
    <mergeCell ref="O520:O523"/>
    <mergeCell ref="T520:T523"/>
    <mergeCell ref="U520:U523"/>
    <mergeCell ref="V520:V523"/>
    <mergeCell ref="Y520:Y521"/>
    <mergeCell ref="AJ516:AJ523"/>
    <mergeCell ref="AK516:AK519"/>
    <mergeCell ref="AL516:AL523"/>
    <mergeCell ref="AM516:AM523"/>
    <mergeCell ref="AN516:AN538"/>
    <mergeCell ref="AO516:AO538"/>
    <mergeCell ref="AK520:AK523"/>
    <mergeCell ref="AM524:AM527"/>
    <mergeCell ref="AK528:AK530"/>
    <mergeCell ref="AL528:AL530"/>
    <mergeCell ref="X516:X538"/>
    <mergeCell ref="Y516:Y517"/>
    <mergeCell ref="AC516:AC517"/>
    <mergeCell ref="AF516:AF523"/>
    <mergeCell ref="AG516:AG538"/>
    <mergeCell ref="AI516:AI519"/>
    <mergeCell ref="AC520:AC521"/>
    <mergeCell ref="AI520:AI523"/>
    <mergeCell ref="Y522:Y523"/>
    <mergeCell ref="AC522:AC523"/>
    <mergeCell ref="R516:R523"/>
    <mergeCell ref="S516:S523"/>
    <mergeCell ref="T516:T519"/>
    <mergeCell ref="U516:U519"/>
    <mergeCell ref="V516:V519"/>
    <mergeCell ref="W516:W538"/>
    <mergeCell ref="AK537:AK538"/>
    <mergeCell ref="AL537:AL538"/>
    <mergeCell ref="AM537:AM538"/>
    <mergeCell ref="N516:N519"/>
    <mergeCell ref="O516:O519"/>
    <mergeCell ref="P516:P523"/>
    <mergeCell ref="Q516:Q538"/>
    <mergeCell ref="N524:N527"/>
    <mergeCell ref="O524:O527"/>
    <mergeCell ref="P524:P527"/>
    <mergeCell ref="A539:A551"/>
    <mergeCell ref="B539:B551"/>
    <mergeCell ref="C539:C551"/>
    <mergeCell ref="D539:D551"/>
    <mergeCell ref="E539:E551"/>
    <mergeCell ref="F539:F551"/>
    <mergeCell ref="G539:G551"/>
    <mergeCell ref="T537:T538"/>
    <mergeCell ref="U537:U538"/>
    <mergeCell ref="V537:V538"/>
    <mergeCell ref="AF537:AF538"/>
    <mergeCell ref="AI537:AI538"/>
    <mergeCell ref="AJ537:AJ538"/>
    <mergeCell ref="M537:M538"/>
    <mergeCell ref="N537:N538"/>
    <mergeCell ref="O537:O538"/>
    <mergeCell ref="P537:P538"/>
    <mergeCell ref="R537:R538"/>
    <mergeCell ref="S537:S538"/>
    <mergeCell ref="AL531:AL536"/>
    <mergeCell ref="AM531:AM536"/>
    <mergeCell ref="Y533:Y534"/>
    <mergeCell ref="AC533:AC534"/>
    <mergeCell ref="N534:N536"/>
    <mergeCell ref="O534:O536"/>
    <mergeCell ref="T534:T536"/>
    <mergeCell ref="U534:U536"/>
    <mergeCell ref="V534:V536"/>
    <mergeCell ref="AI534:AI536"/>
    <mergeCell ref="Y531:Y532"/>
    <mergeCell ref="AC531:AC532"/>
    <mergeCell ref="AF531:AF536"/>
    <mergeCell ref="AI531:AI533"/>
    <mergeCell ref="AJ531:AJ536"/>
    <mergeCell ref="AK531:AK533"/>
    <mergeCell ref="AK534:AK536"/>
    <mergeCell ref="Y535:Y536"/>
    <mergeCell ref="AC535:AC536"/>
    <mergeCell ref="P548:P549"/>
    <mergeCell ref="R548:R549"/>
    <mergeCell ref="AF548:AF549"/>
    <mergeCell ref="A516:A538"/>
    <mergeCell ref="B516:B538"/>
    <mergeCell ref="C516:C538"/>
    <mergeCell ref="D516:D538"/>
    <mergeCell ref="E516:E538"/>
    <mergeCell ref="L516:L538"/>
    <mergeCell ref="M516:M523"/>
    <mergeCell ref="M524:M527"/>
    <mergeCell ref="F516:F538"/>
    <mergeCell ref="G516:G538"/>
    <mergeCell ref="H516:H538"/>
    <mergeCell ref="I516:I538"/>
    <mergeCell ref="J516:J527"/>
    <mergeCell ref="K516:K538"/>
    <mergeCell ref="J528:J536"/>
    <mergeCell ref="J537:J538"/>
    <mergeCell ref="O546:O547"/>
    <mergeCell ref="P546:P547"/>
    <mergeCell ref="R546:R547"/>
    <mergeCell ref="V546:V547"/>
    <mergeCell ref="AE546:AE547"/>
    <mergeCell ref="AF546:AF547"/>
    <mergeCell ref="AJ539:AJ551"/>
    <mergeCell ref="AL539:AL551"/>
    <mergeCell ref="AM539:AM551"/>
    <mergeCell ref="AN539:AN551"/>
    <mergeCell ref="AP539:AP551"/>
    <mergeCell ref="AQ539:AQ551"/>
    <mergeCell ref="AO540:AO542"/>
    <mergeCell ref="W539:W551"/>
    <mergeCell ref="X539:X551"/>
    <mergeCell ref="AE539:AE540"/>
    <mergeCell ref="AF539:AF544"/>
    <mergeCell ref="AG539:AG549"/>
    <mergeCell ref="AI539:AI540"/>
    <mergeCell ref="AE541:AE544"/>
    <mergeCell ref="AI541:AI544"/>
    <mergeCell ref="AI546:AI547"/>
    <mergeCell ref="N539:N540"/>
    <mergeCell ref="O539:O540"/>
    <mergeCell ref="P539:P544"/>
    <mergeCell ref="Q539:Q551"/>
    <mergeCell ref="R539:R544"/>
    <mergeCell ref="V539:V540"/>
    <mergeCell ref="N541:N544"/>
    <mergeCell ref="O541:O544"/>
    <mergeCell ref="V541:V544"/>
    <mergeCell ref="N546:N547"/>
    <mergeCell ref="H539:H551"/>
    <mergeCell ref="I539:I551"/>
    <mergeCell ref="J539:J547"/>
    <mergeCell ref="K539:K551"/>
    <mergeCell ref="L539:L551"/>
    <mergeCell ref="M539:M544"/>
    <mergeCell ref="M546:M547"/>
    <mergeCell ref="J548:J551"/>
    <mergeCell ref="M548:M549"/>
    <mergeCell ref="AN552:AN568"/>
    <mergeCell ref="AO552:AO568"/>
    <mergeCell ref="AP552:AP568"/>
    <mergeCell ref="AQ552:AQ568"/>
    <mergeCell ref="M554:M557"/>
    <mergeCell ref="P554:P557"/>
    <mergeCell ref="R554:R557"/>
    <mergeCell ref="S554:S557"/>
    <mergeCell ref="Y554:Y555"/>
    <mergeCell ref="AC554:AC555"/>
    <mergeCell ref="AG552:AG568"/>
    <mergeCell ref="AI552:AI553"/>
    <mergeCell ref="AJ552:AJ553"/>
    <mergeCell ref="AK552:AK553"/>
    <mergeCell ref="AL552:AL553"/>
    <mergeCell ref="AM552:AM553"/>
    <mergeCell ref="AJ554:AJ557"/>
    <mergeCell ref="AK554:AK557"/>
    <mergeCell ref="AL554:AL557"/>
    <mergeCell ref="AM554:AM557"/>
    <mergeCell ref="T552:T553"/>
    <mergeCell ref="U552:U553"/>
    <mergeCell ref="V552:V553"/>
    <mergeCell ref="W552:W568"/>
    <mergeCell ref="X552:X568"/>
    <mergeCell ref="AF552:AF553"/>
    <mergeCell ref="AF554:AF557"/>
    <mergeCell ref="T555:T557"/>
    <mergeCell ref="U555:U557"/>
    <mergeCell ref="V555:V557"/>
    <mergeCell ref="N552:N553"/>
    <mergeCell ref="O552:O553"/>
    <mergeCell ref="P552:P553"/>
    <mergeCell ref="Q552:Q568"/>
    <mergeCell ref="R552:R553"/>
    <mergeCell ref="S552:S553"/>
    <mergeCell ref="N555:N557"/>
    <mergeCell ref="O555:O557"/>
    <mergeCell ref="AL564:AL565"/>
    <mergeCell ref="AM564:AM565"/>
    <mergeCell ref="AK558:AK559"/>
    <mergeCell ref="AL558:AL559"/>
    <mergeCell ref="AM558:AM559"/>
    <mergeCell ref="M560:M563"/>
    <mergeCell ref="P560:P563"/>
    <mergeCell ref="R560:R563"/>
    <mergeCell ref="S560:S563"/>
    <mergeCell ref="Y560:Y561"/>
    <mergeCell ref="AC560:AC561"/>
    <mergeCell ref="T558:T559"/>
    <mergeCell ref="U558:U559"/>
    <mergeCell ref="V558:V559"/>
    <mergeCell ref="AF558:AF559"/>
    <mergeCell ref="AI558:AI559"/>
    <mergeCell ref="AJ558:AJ559"/>
    <mergeCell ref="A569:A574"/>
    <mergeCell ref="B569:B574"/>
    <mergeCell ref="C569:C574"/>
    <mergeCell ref="D569:D574"/>
    <mergeCell ref="E569:E574"/>
    <mergeCell ref="F569:F574"/>
    <mergeCell ref="G569:G574"/>
    <mergeCell ref="U564:U565"/>
    <mergeCell ref="V564:V565"/>
    <mergeCell ref="AF564:AF565"/>
    <mergeCell ref="AI564:AI565"/>
    <mergeCell ref="AJ564:AJ565"/>
    <mergeCell ref="AK564:AK565"/>
    <mergeCell ref="AI561:AI563"/>
    <mergeCell ref="Y562:Y563"/>
    <mergeCell ref="AC562:AC563"/>
    <mergeCell ref="M564:M565"/>
    <mergeCell ref="N564:N565"/>
    <mergeCell ref="O564:O565"/>
    <mergeCell ref="P564:P565"/>
    <mergeCell ref="R564:R565"/>
    <mergeCell ref="S564:S565"/>
    <mergeCell ref="T564:T565"/>
    <mergeCell ref="AF560:AF563"/>
    <mergeCell ref="AJ560:AJ563"/>
    <mergeCell ref="AK560:AK563"/>
    <mergeCell ref="AL560:AL563"/>
    <mergeCell ref="AM560:AM563"/>
    <mergeCell ref="N561:N563"/>
    <mergeCell ref="O561:O563"/>
    <mergeCell ref="T561:T563"/>
    <mergeCell ref="U561:U563"/>
    <mergeCell ref="V561:V563"/>
    <mergeCell ref="H552:H568"/>
    <mergeCell ref="I552:I568"/>
    <mergeCell ref="J552:J565"/>
    <mergeCell ref="K552:K568"/>
    <mergeCell ref="L552:L568"/>
    <mergeCell ref="M552:M553"/>
    <mergeCell ref="AM572:AM574"/>
    <mergeCell ref="AI555:AI557"/>
    <mergeCell ref="Y556:Y557"/>
    <mergeCell ref="AC556:AC557"/>
    <mergeCell ref="C558:C559"/>
    <mergeCell ref="M558:M559"/>
    <mergeCell ref="N558:N559"/>
    <mergeCell ref="O558:O559"/>
    <mergeCell ref="P558:P559"/>
    <mergeCell ref="R558:R559"/>
    <mergeCell ref="S558:S559"/>
    <mergeCell ref="J566:J568"/>
    <mergeCell ref="A552:A568"/>
    <mergeCell ref="B552:B568"/>
    <mergeCell ref="C552:C557"/>
    <mergeCell ref="D552:D568"/>
    <mergeCell ref="E552:E568"/>
    <mergeCell ref="F552:F568"/>
    <mergeCell ref="G552:G568"/>
    <mergeCell ref="C560:C566"/>
    <mergeCell ref="A575:A580"/>
    <mergeCell ref="B575:B580"/>
    <mergeCell ref="C575:C580"/>
    <mergeCell ref="D575:D580"/>
    <mergeCell ref="E575:E580"/>
    <mergeCell ref="F575:F580"/>
    <mergeCell ref="G575:G580"/>
    <mergeCell ref="H575:H580"/>
    <mergeCell ref="I575:I580"/>
    <mergeCell ref="AN569:AN574"/>
    <mergeCell ref="AO569:AO574"/>
    <mergeCell ref="AP569:AP574"/>
    <mergeCell ref="AQ569:AQ574"/>
    <mergeCell ref="AR569:AR574"/>
    <mergeCell ref="M572:M574"/>
    <mergeCell ref="N572:N574"/>
    <mergeCell ref="O572:O574"/>
    <mergeCell ref="P572:P574"/>
    <mergeCell ref="R572:R574"/>
    <mergeCell ref="AG569:AG574"/>
    <mergeCell ref="AI569:AI571"/>
    <mergeCell ref="AJ569:AJ571"/>
    <mergeCell ref="AK569:AK571"/>
    <mergeCell ref="AL569:AL571"/>
    <mergeCell ref="AM569:AM571"/>
    <mergeCell ref="AI572:AI574"/>
    <mergeCell ref="AJ572:AJ574"/>
    <mergeCell ref="AK572:AK574"/>
    <mergeCell ref="AL572:AL574"/>
    <mergeCell ref="T569:T571"/>
    <mergeCell ref="U569:U571"/>
    <mergeCell ref="V569:V571"/>
    <mergeCell ref="W569:W574"/>
    <mergeCell ref="X569:X574"/>
    <mergeCell ref="AF569:AF571"/>
    <mergeCell ref="T572:T574"/>
    <mergeCell ref="U572:U574"/>
    <mergeCell ref="V572:V574"/>
    <mergeCell ref="AF572:AF574"/>
    <mergeCell ref="N569:N571"/>
    <mergeCell ref="O569:O571"/>
    <mergeCell ref="P569:P571"/>
    <mergeCell ref="Q569:Q574"/>
    <mergeCell ref="R569:R571"/>
    <mergeCell ref="S569:S571"/>
    <mergeCell ref="S572:S574"/>
    <mergeCell ref="H569:H574"/>
    <mergeCell ref="I569:I574"/>
    <mergeCell ref="J569:J574"/>
    <mergeCell ref="K569:K574"/>
    <mergeCell ref="L569:L574"/>
    <mergeCell ref="M569:M571"/>
    <mergeCell ref="AN575:AN580"/>
    <mergeCell ref="AO575:AO580"/>
    <mergeCell ref="AP575:AP580"/>
    <mergeCell ref="AQ575:AQ580"/>
    <mergeCell ref="Y577:Y578"/>
    <mergeCell ref="AC577:AC578"/>
    <mergeCell ref="AI578:AI580"/>
    <mergeCell ref="Y579:Y580"/>
    <mergeCell ref="AC579:AC580"/>
    <mergeCell ref="AG575:AG580"/>
    <mergeCell ref="AI575:AI577"/>
    <mergeCell ref="AJ575:AJ580"/>
    <mergeCell ref="AK575:AK580"/>
    <mergeCell ref="AL575:AL580"/>
    <mergeCell ref="AM575:AM580"/>
    <mergeCell ref="V575:V577"/>
    <mergeCell ref="W575:W580"/>
    <mergeCell ref="X575:X580"/>
    <mergeCell ref="Y575:Y576"/>
    <mergeCell ref="AC575:AC576"/>
    <mergeCell ref="AF575:AF580"/>
    <mergeCell ref="V578:V580"/>
    <mergeCell ref="P575:P580"/>
    <mergeCell ref="Q575:Q580"/>
    <mergeCell ref="R575:R580"/>
    <mergeCell ref="S575:S580"/>
    <mergeCell ref="T575:T577"/>
    <mergeCell ref="U575:U577"/>
    <mergeCell ref="T578:T580"/>
    <mergeCell ref="U578:U580"/>
    <mergeCell ref="J575:J580"/>
    <mergeCell ref="K575:K580"/>
    <mergeCell ref="L575:L580"/>
    <mergeCell ref="M575:M580"/>
    <mergeCell ref="N575:N577"/>
    <mergeCell ref="O575:O577"/>
    <mergeCell ref="N578:N580"/>
    <mergeCell ref="O578:O580"/>
    <mergeCell ref="AM581:AM586"/>
    <mergeCell ref="AN581:AN586"/>
    <mergeCell ref="AO581:AO586"/>
    <mergeCell ref="AP581:AP586"/>
    <mergeCell ref="AQ581:AQ586"/>
    <mergeCell ref="A587:A588"/>
    <mergeCell ref="B587:B588"/>
    <mergeCell ref="C587:C588"/>
    <mergeCell ref="D587:D588"/>
    <mergeCell ref="E587:E588"/>
    <mergeCell ref="AF581:AF586"/>
    <mergeCell ref="AG581:AG586"/>
    <mergeCell ref="AI581:AI586"/>
    <mergeCell ref="AJ581:AJ586"/>
    <mergeCell ref="AK581:AK586"/>
    <mergeCell ref="AL581:AL586"/>
    <mergeCell ref="S581:S586"/>
    <mergeCell ref="T581:T586"/>
    <mergeCell ref="U581:U586"/>
    <mergeCell ref="V581:V586"/>
    <mergeCell ref="W581:W586"/>
    <mergeCell ref="X581:X586"/>
    <mergeCell ref="M581:M586"/>
    <mergeCell ref="N581:N586"/>
    <mergeCell ref="O581:O586"/>
    <mergeCell ref="P581:P586"/>
    <mergeCell ref="Q581:Q586"/>
    <mergeCell ref="R581:R586"/>
    <mergeCell ref="G581:G586"/>
    <mergeCell ref="H581:H586"/>
    <mergeCell ref="I581:I586"/>
    <mergeCell ref="J581:J586"/>
    <mergeCell ref="K581:K586"/>
    <mergeCell ref="L581:L586"/>
    <mergeCell ref="A581:A586"/>
    <mergeCell ref="B581:B586"/>
    <mergeCell ref="C581:C586"/>
    <mergeCell ref="D581:D586"/>
    <mergeCell ref="E581:E586"/>
    <mergeCell ref="F581:F586"/>
    <mergeCell ref="G589:G593"/>
    <mergeCell ref="H589:H593"/>
    <mergeCell ref="I589:I593"/>
    <mergeCell ref="J589:J591"/>
    <mergeCell ref="K589:K593"/>
    <mergeCell ref="L589:L593"/>
    <mergeCell ref="J592:J593"/>
    <mergeCell ref="A589:A593"/>
    <mergeCell ref="B589:B593"/>
    <mergeCell ref="C589:C593"/>
    <mergeCell ref="D589:D593"/>
    <mergeCell ref="E589:E593"/>
    <mergeCell ref="F589:F593"/>
    <mergeCell ref="AL587:AL588"/>
    <mergeCell ref="AM587:AM588"/>
    <mergeCell ref="AN587:AN588"/>
    <mergeCell ref="AO587:AO588"/>
    <mergeCell ref="AP587:AP588"/>
    <mergeCell ref="AQ587:AQ588"/>
    <mergeCell ref="X587:X588"/>
    <mergeCell ref="AF587:AF588"/>
    <mergeCell ref="AG587:AG588"/>
    <mergeCell ref="AI587:AI588"/>
    <mergeCell ref="AJ587:AJ588"/>
    <mergeCell ref="AK587:AK588"/>
    <mergeCell ref="R587:R588"/>
    <mergeCell ref="S587:S588"/>
    <mergeCell ref="T587:T588"/>
    <mergeCell ref="U587:U588"/>
    <mergeCell ref="V587:V588"/>
    <mergeCell ref="W587:W588"/>
    <mergeCell ref="L587:L588"/>
    <mergeCell ref="M587:M588"/>
    <mergeCell ref="N587:N588"/>
    <mergeCell ref="O587:O588"/>
    <mergeCell ref="P587:P588"/>
    <mergeCell ref="Q587:Q588"/>
    <mergeCell ref="F587:F588"/>
    <mergeCell ref="G587:G588"/>
    <mergeCell ref="H587:H588"/>
    <mergeCell ref="I587:I588"/>
    <mergeCell ref="J587:J588"/>
    <mergeCell ref="K587:K588"/>
    <mergeCell ref="R592:R593"/>
    <mergeCell ref="S592:S593"/>
    <mergeCell ref="T592:T593"/>
    <mergeCell ref="U592:U593"/>
    <mergeCell ref="V592:V593"/>
    <mergeCell ref="AF592:AF593"/>
    <mergeCell ref="AM589:AM591"/>
    <mergeCell ref="AN589:AN593"/>
    <mergeCell ref="AO589:AO593"/>
    <mergeCell ref="AP589:AP593"/>
    <mergeCell ref="AQ589:AQ593"/>
    <mergeCell ref="AR589:AR593"/>
    <mergeCell ref="AM592:AM593"/>
    <mergeCell ref="AF589:AF591"/>
    <mergeCell ref="AG589:AG593"/>
    <mergeCell ref="AI589:AI591"/>
    <mergeCell ref="AJ589:AJ591"/>
    <mergeCell ref="AK589:AK591"/>
    <mergeCell ref="AL589:AL591"/>
    <mergeCell ref="AI592:AI593"/>
    <mergeCell ref="AJ592:AJ593"/>
    <mergeCell ref="AK592:AK593"/>
    <mergeCell ref="AL592:AL593"/>
    <mergeCell ref="S589:S591"/>
    <mergeCell ref="T589:T591"/>
    <mergeCell ref="U589:U591"/>
    <mergeCell ref="V589:V591"/>
    <mergeCell ref="W589:W593"/>
    <mergeCell ref="X589:X593"/>
    <mergeCell ref="M589:M591"/>
    <mergeCell ref="N589:N591"/>
    <mergeCell ref="O589:O591"/>
    <mergeCell ref="P589:P591"/>
    <mergeCell ref="Q589:Q593"/>
    <mergeCell ref="R589:R591"/>
    <mergeCell ref="M592:M593"/>
    <mergeCell ref="N592:N593"/>
    <mergeCell ref="O592:O593"/>
    <mergeCell ref="P592:P593"/>
    <mergeCell ref="AM597:AM598"/>
    <mergeCell ref="A599:A601"/>
    <mergeCell ref="B599:B601"/>
    <mergeCell ref="C599:C601"/>
    <mergeCell ref="D599:D601"/>
    <mergeCell ref="E599:E601"/>
    <mergeCell ref="F599:F601"/>
    <mergeCell ref="G599:G601"/>
    <mergeCell ref="H599:H601"/>
    <mergeCell ref="I599:I601"/>
    <mergeCell ref="AM594:AM596"/>
    <mergeCell ref="AN594:AN598"/>
    <mergeCell ref="AO594:AO598"/>
    <mergeCell ref="AP594:AP598"/>
    <mergeCell ref="AQ594:AQ598"/>
    <mergeCell ref="M597:M598"/>
    <mergeCell ref="N597:N598"/>
    <mergeCell ref="O597:O598"/>
    <mergeCell ref="P597:P598"/>
    <mergeCell ref="R597:R598"/>
    <mergeCell ref="AF594:AF596"/>
    <mergeCell ref="AG594:AG598"/>
    <mergeCell ref="AI594:AI596"/>
    <mergeCell ref="AJ594:AJ598"/>
    <mergeCell ref="AK594:AK596"/>
    <mergeCell ref="AL594:AL596"/>
    <mergeCell ref="AF597:AF598"/>
    <mergeCell ref="AI597:AI598"/>
    <mergeCell ref="AK597:AK598"/>
    <mergeCell ref="AL597:AL598"/>
    <mergeCell ref="S594:S596"/>
    <mergeCell ref="T594:T596"/>
    <mergeCell ref="U594:U596"/>
    <mergeCell ref="V594:V596"/>
    <mergeCell ref="W594:W598"/>
    <mergeCell ref="X594:X598"/>
    <mergeCell ref="M594:M596"/>
    <mergeCell ref="N594:N596"/>
    <mergeCell ref="O594:O596"/>
    <mergeCell ref="P594:P596"/>
    <mergeCell ref="Q594:Q598"/>
    <mergeCell ref="R594:R596"/>
    <mergeCell ref="G594:G598"/>
    <mergeCell ref="H594:H598"/>
    <mergeCell ref="I594:I598"/>
    <mergeCell ref="J594:J598"/>
    <mergeCell ref="K594:K598"/>
    <mergeCell ref="L594:L598"/>
    <mergeCell ref="A594:A598"/>
    <mergeCell ref="B594:B598"/>
    <mergeCell ref="C594:C598"/>
    <mergeCell ref="D594:D598"/>
    <mergeCell ref="E594:E598"/>
    <mergeCell ref="F594:F598"/>
    <mergeCell ref="AP599:AP601"/>
    <mergeCell ref="AQ599:AQ601"/>
    <mergeCell ref="A602:A605"/>
    <mergeCell ref="B602:B605"/>
    <mergeCell ref="C602:C605"/>
    <mergeCell ref="D602:D605"/>
    <mergeCell ref="E602:E605"/>
    <mergeCell ref="F602:F605"/>
    <mergeCell ref="G602:G605"/>
    <mergeCell ref="H602:H605"/>
    <mergeCell ref="AJ599:AJ601"/>
    <mergeCell ref="AK599:AK601"/>
    <mergeCell ref="AL599:AL601"/>
    <mergeCell ref="AM599:AM601"/>
    <mergeCell ref="AN599:AN601"/>
    <mergeCell ref="AO599:AO601"/>
    <mergeCell ref="V599:V601"/>
    <mergeCell ref="W599:W601"/>
    <mergeCell ref="X599:X601"/>
    <mergeCell ref="AF599:AF601"/>
    <mergeCell ref="AG599:AG601"/>
    <mergeCell ref="AI599:AI601"/>
    <mergeCell ref="P599:P601"/>
    <mergeCell ref="Q599:Q601"/>
    <mergeCell ref="R599:R601"/>
    <mergeCell ref="S599:S601"/>
    <mergeCell ref="T599:T601"/>
    <mergeCell ref="U599:U601"/>
    <mergeCell ref="J599:J601"/>
    <mergeCell ref="K599:K601"/>
    <mergeCell ref="L599:L601"/>
    <mergeCell ref="M599:M601"/>
    <mergeCell ref="N599:N601"/>
    <mergeCell ref="O599:O601"/>
    <mergeCell ref="AO602:AO605"/>
    <mergeCell ref="AP602:AP605"/>
    <mergeCell ref="AQ602:AQ605"/>
    <mergeCell ref="AI602:AI605"/>
    <mergeCell ref="AJ602:AJ605"/>
    <mergeCell ref="AK602:AK605"/>
    <mergeCell ref="AL602:AL605"/>
    <mergeCell ref="AM602:AM605"/>
    <mergeCell ref="AN602:AN605"/>
    <mergeCell ref="AA602:AA603"/>
    <mergeCell ref="AB602:AB603"/>
    <mergeCell ref="AC602:AC603"/>
    <mergeCell ref="AF602:AF605"/>
    <mergeCell ref="AG602:AG605"/>
    <mergeCell ref="AH602:AH603"/>
    <mergeCell ref="U602:U605"/>
    <mergeCell ref="V602:V605"/>
    <mergeCell ref="W602:W605"/>
    <mergeCell ref="X602:X605"/>
    <mergeCell ref="Y602:Y603"/>
    <mergeCell ref="Z602:Z603"/>
    <mergeCell ref="O602:O605"/>
    <mergeCell ref="P602:P605"/>
    <mergeCell ref="Q602:Q605"/>
    <mergeCell ref="R602:R605"/>
    <mergeCell ref="S602:S605"/>
    <mergeCell ref="T602:T605"/>
    <mergeCell ref="I602:I605"/>
    <mergeCell ref="J602:J605"/>
    <mergeCell ref="K602:K605"/>
    <mergeCell ref="L602:L605"/>
    <mergeCell ref="M602:M605"/>
    <mergeCell ref="N602:N605"/>
    <mergeCell ref="S597:S598"/>
    <mergeCell ref="T597:T598"/>
    <mergeCell ref="U597:U598"/>
    <mergeCell ref="V597:V598"/>
    <mergeCell ref="I609:I617"/>
    <mergeCell ref="J609:J617"/>
    <mergeCell ref="K609:K617"/>
    <mergeCell ref="L609:L617"/>
    <mergeCell ref="AN606:AN608"/>
    <mergeCell ref="AO606:AO608"/>
    <mergeCell ref="AP606:AP608"/>
    <mergeCell ref="AQ606:AQ608"/>
    <mergeCell ref="A609:A617"/>
    <mergeCell ref="B609:B617"/>
    <mergeCell ref="C609:C611"/>
    <mergeCell ref="D609:D617"/>
    <mergeCell ref="E609:E617"/>
    <mergeCell ref="F609:F617"/>
    <mergeCell ref="AG606:AG608"/>
    <mergeCell ref="AI606:AI608"/>
    <mergeCell ref="AJ606:AJ608"/>
    <mergeCell ref="AK606:AK608"/>
    <mergeCell ref="AL606:AL608"/>
    <mergeCell ref="AM606:AM608"/>
    <mergeCell ref="T606:T608"/>
    <mergeCell ref="U606:U608"/>
    <mergeCell ref="V606:V608"/>
    <mergeCell ref="W606:W608"/>
    <mergeCell ref="X606:X608"/>
    <mergeCell ref="AF606:AF608"/>
    <mergeCell ref="N606:N608"/>
    <mergeCell ref="O606:O608"/>
    <mergeCell ref="P606:P608"/>
    <mergeCell ref="Q606:Q608"/>
    <mergeCell ref="R606:R608"/>
    <mergeCell ref="S606:S608"/>
    <mergeCell ref="H606:H608"/>
    <mergeCell ref="I606:I608"/>
    <mergeCell ref="J606:J608"/>
    <mergeCell ref="K606:K608"/>
    <mergeCell ref="L606:L608"/>
    <mergeCell ref="M606:M608"/>
    <mergeCell ref="A606:A608"/>
    <mergeCell ref="B606:B608"/>
    <mergeCell ref="C606:C608"/>
    <mergeCell ref="D606:D608"/>
    <mergeCell ref="E606:E608"/>
    <mergeCell ref="F606:F608"/>
    <mergeCell ref="G606:G608"/>
    <mergeCell ref="A618:A622"/>
    <mergeCell ref="B618:B622"/>
    <mergeCell ref="C618:C622"/>
    <mergeCell ref="D618:D622"/>
    <mergeCell ref="E618:E622"/>
    <mergeCell ref="F618:F622"/>
    <mergeCell ref="G618:G622"/>
    <mergeCell ref="H618:H622"/>
    <mergeCell ref="I618:I622"/>
    <mergeCell ref="V615:V617"/>
    <mergeCell ref="AF615:AF617"/>
    <mergeCell ref="AI615:AI617"/>
    <mergeCell ref="AJ615:AJ617"/>
    <mergeCell ref="AK615:AK617"/>
    <mergeCell ref="AL615:AL617"/>
    <mergeCell ref="AL612:AL614"/>
    <mergeCell ref="AM612:AM614"/>
    <mergeCell ref="M615:M617"/>
    <mergeCell ref="N615:N617"/>
    <mergeCell ref="O615:O617"/>
    <mergeCell ref="P615:P617"/>
    <mergeCell ref="R615:R617"/>
    <mergeCell ref="S615:S617"/>
    <mergeCell ref="T615:T617"/>
    <mergeCell ref="U615:U617"/>
    <mergeCell ref="AM609:AM611"/>
    <mergeCell ref="AN609:AN617"/>
    <mergeCell ref="AO609:AO617"/>
    <mergeCell ref="AP609:AP617"/>
    <mergeCell ref="AQ609:AQ617"/>
    <mergeCell ref="C612:C617"/>
    <mergeCell ref="M612:M614"/>
    <mergeCell ref="N612:N614"/>
    <mergeCell ref="O612:O614"/>
    <mergeCell ref="P612:P614"/>
    <mergeCell ref="AF609:AF611"/>
    <mergeCell ref="AG609:AG617"/>
    <mergeCell ref="AI609:AI611"/>
    <mergeCell ref="AJ609:AJ611"/>
    <mergeCell ref="AK609:AK611"/>
    <mergeCell ref="AL609:AL611"/>
    <mergeCell ref="AF612:AF614"/>
    <mergeCell ref="AI612:AI614"/>
    <mergeCell ref="AJ612:AJ614"/>
    <mergeCell ref="AK612:AK614"/>
    <mergeCell ref="S609:S611"/>
    <mergeCell ref="T609:T611"/>
    <mergeCell ref="U609:U611"/>
    <mergeCell ref="V609:V611"/>
    <mergeCell ref="W609:W617"/>
    <mergeCell ref="X609:X617"/>
    <mergeCell ref="S612:S614"/>
    <mergeCell ref="T612:T614"/>
    <mergeCell ref="U612:U614"/>
    <mergeCell ref="V612:V614"/>
    <mergeCell ref="M609:M611"/>
    <mergeCell ref="N609:N611"/>
    <mergeCell ref="O609:O611"/>
    <mergeCell ref="P609:P611"/>
    <mergeCell ref="Q609:Q617"/>
    <mergeCell ref="R609:R611"/>
    <mergeCell ref="R612:R614"/>
    <mergeCell ref="G609:G617"/>
    <mergeCell ref="H609:H617"/>
    <mergeCell ref="AP618:AP622"/>
    <mergeCell ref="AQ618:AQ622"/>
    <mergeCell ref="AR618:AR622"/>
    <mergeCell ref="Y619:Y621"/>
    <mergeCell ref="Z619:Z621"/>
    <mergeCell ref="AA619:AA621"/>
    <mergeCell ref="AB619:AB621"/>
    <mergeCell ref="AC619:AC621"/>
    <mergeCell ref="AJ618:AJ622"/>
    <mergeCell ref="AK618:AK622"/>
    <mergeCell ref="AL618:AL622"/>
    <mergeCell ref="AM618:AM622"/>
    <mergeCell ref="AN618:AN622"/>
    <mergeCell ref="AO618:AO622"/>
    <mergeCell ref="V618:V622"/>
    <mergeCell ref="W618:W622"/>
    <mergeCell ref="X618:X622"/>
    <mergeCell ref="AF618:AF622"/>
    <mergeCell ref="AG618:AG622"/>
    <mergeCell ref="AI618:AI622"/>
    <mergeCell ref="P618:P622"/>
    <mergeCell ref="Q618:Q622"/>
    <mergeCell ref="R618:R622"/>
    <mergeCell ref="S618:S622"/>
    <mergeCell ref="T618:T622"/>
    <mergeCell ref="U618:U622"/>
    <mergeCell ref="J618:J622"/>
    <mergeCell ref="K618:K622"/>
    <mergeCell ref="L618:L622"/>
    <mergeCell ref="M618:M622"/>
    <mergeCell ref="N618:N622"/>
    <mergeCell ref="O618:O622"/>
    <mergeCell ref="AM615:AM617"/>
    <mergeCell ref="AM623:AM625"/>
    <mergeCell ref="AN623:AN625"/>
    <mergeCell ref="AO623:AO625"/>
    <mergeCell ref="AP623:AP625"/>
    <mergeCell ref="AQ623:AQ625"/>
    <mergeCell ref="A626:A627"/>
    <mergeCell ref="B626:B627"/>
    <mergeCell ref="C626:C627"/>
    <mergeCell ref="D626:D627"/>
    <mergeCell ref="E626:E627"/>
    <mergeCell ref="AF623:AF625"/>
    <mergeCell ref="AG623:AG625"/>
    <mergeCell ref="AI623:AI625"/>
    <mergeCell ref="AJ623:AJ625"/>
    <mergeCell ref="AK623:AK625"/>
    <mergeCell ref="AL623:AL625"/>
    <mergeCell ref="S623:S625"/>
    <mergeCell ref="T623:T625"/>
    <mergeCell ref="U623:U625"/>
    <mergeCell ref="V623:V625"/>
    <mergeCell ref="W623:W625"/>
    <mergeCell ref="X623:X625"/>
    <mergeCell ref="M623:M625"/>
    <mergeCell ref="N623:N625"/>
    <mergeCell ref="O623:O625"/>
    <mergeCell ref="P623:P625"/>
    <mergeCell ref="Q623:Q625"/>
    <mergeCell ref="R623:R625"/>
    <mergeCell ref="G623:G625"/>
    <mergeCell ref="H623:H625"/>
    <mergeCell ref="I623:I625"/>
    <mergeCell ref="J623:J625"/>
    <mergeCell ref="K623:K625"/>
    <mergeCell ref="L623:L625"/>
    <mergeCell ref="A623:A625"/>
    <mergeCell ref="B623:B625"/>
    <mergeCell ref="C623:C625"/>
    <mergeCell ref="D623:D625"/>
    <mergeCell ref="E623:E625"/>
    <mergeCell ref="F623:F625"/>
    <mergeCell ref="AL626:AL627"/>
    <mergeCell ref="AM626:AM627"/>
    <mergeCell ref="AN626:AN627"/>
    <mergeCell ref="AO626:AO627"/>
    <mergeCell ref="AP626:AP627"/>
    <mergeCell ref="AQ626:AQ627"/>
    <mergeCell ref="X626:X627"/>
    <mergeCell ref="AF626:AF627"/>
    <mergeCell ref="AG626:AG627"/>
    <mergeCell ref="AI626:AI627"/>
    <mergeCell ref="AJ626:AJ627"/>
    <mergeCell ref="AK626:AK627"/>
    <mergeCell ref="R626:R627"/>
    <mergeCell ref="S626:S627"/>
    <mergeCell ref="T626:T627"/>
    <mergeCell ref="U626:U627"/>
    <mergeCell ref="V626:V627"/>
    <mergeCell ref="W626:W627"/>
    <mergeCell ref="L626:L627"/>
    <mergeCell ref="M626:M627"/>
    <mergeCell ref="N626:N627"/>
    <mergeCell ref="O626:O627"/>
    <mergeCell ref="P626:P627"/>
    <mergeCell ref="Q626:Q627"/>
    <mergeCell ref="F626:F627"/>
    <mergeCell ref="G626:G627"/>
    <mergeCell ref="H626:H627"/>
    <mergeCell ref="I626:I627"/>
    <mergeCell ref="J626:J627"/>
    <mergeCell ref="K626:K627"/>
    <mergeCell ref="AF637:AF639"/>
    <mergeCell ref="AI637:AI639"/>
    <mergeCell ref="AJ637:AJ639"/>
    <mergeCell ref="AK637:AK639"/>
    <mergeCell ref="AL637:AL639"/>
    <mergeCell ref="AM637:AM639"/>
    <mergeCell ref="M637:M639"/>
    <mergeCell ref="N637:N639"/>
    <mergeCell ref="O637:O639"/>
    <mergeCell ref="P637:P639"/>
    <mergeCell ref="R637:R639"/>
    <mergeCell ref="S637:S639"/>
    <mergeCell ref="R634:R636"/>
    <mergeCell ref="S634:S636"/>
    <mergeCell ref="T634:T636"/>
    <mergeCell ref="U634:U636"/>
    <mergeCell ref="V634:V636"/>
    <mergeCell ref="AQ628:AQ645"/>
    <mergeCell ref="Y630:Y631"/>
    <mergeCell ref="AC630:AC631"/>
    <mergeCell ref="N631:N633"/>
    <mergeCell ref="O631:O633"/>
    <mergeCell ref="T631:T633"/>
    <mergeCell ref="U631:U633"/>
    <mergeCell ref="V631:V633"/>
    <mergeCell ref="AI631:AI633"/>
    <mergeCell ref="AK631:AK633"/>
    <mergeCell ref="AK628:AK630"/>
    <mergeCell ref="AL628:AL633"/>
    <mergeCell ref="AM628:AM633"/>
    <mergeCell ref="AN628:AN645"/>
    <mergeCell ref="AO628:AO645"/>
    <mergeCell ref="AP628:AP645"/>
    <mergeCell ref="AK634:AK636"/>
    <mergeCell ref="AL634:AL636"/>
    <mergeCell ref="AM634:AM636"/>
    <mergeCell ref="AL640:AL642"/>
    <mergeCell ref="Y628:Y629"/>
    <mergeCell ref="AC628:AC629"/>
    <mergeCell ref="AF628:AF633"/>
    <mergeCell ref="AG628:AG645"/>
    <mergeCell ref="AI628:AI630"/>
    <mergeCell ref="AJ628:AJ633"/>
    <mergeCell ref="Y632:Y633"/>
    <mergeCell ref="AC632:AC633"/>
    <mergeCell ref="AI634:AI636"/>
    <mergeCell ref="AJ634:AJ636"/>
    <mergeCell ref="S628:S633"/>
    <mergeCell ref="T628:T630"/>
    <mergeCell ref="U628:U630"/>
    <mergeCell ref="V628:V630"/>
    <mergeCell ref="W628:W645"/>
    <mergeCell ref="X628:X645"/>
    <mergeCell ref="T637:T639"/>
    <mergeCell ref="U637:U639"/>
    <mergeCell ref="V637:V639"/>
    <mergeCell ref="T640:T642"/>
    <mergeCell ref="N634:N636"/>
    <mergeCell ref="O634:O636"/>
    <mergeCell ref="P634:P636"/>
    <mergeCell ref="M628:M633"/>
    <mergeCell ref="N628:N630"/>
    <mergeCell ref="O628:O630"/>
    <mergeCell ref="P628:P633"/>
    <mergeCell ref="Q628:Q645"/>
    <mergeCell ref="R628:R633"/>
    <mergeCell ref="AM643:AM645"/>
    <mergeCell ref="A646:A648"/>
    <mergeCell ref="B646:B648"/>
    <mergeCell ref="C646:C648"/>
    <mergeCell ref="D646:D648"/>
    <mergeCell ref="E646:E648"/>
    <mergeCell ref="F646:F648"/>
    <mergeCell ref="G646:G648"/>
    <mergeCell ref="H646:H648"/>
    <mergeCell ref="I646:I648"/>
    <mergeCell ref="V643:V645"/>
    <mergeCell ref="AF643:AF645"/>
    <mergeCell ref="AI643:AI645"/>
    <mergeCell ref="AJ643:AJ645"/>
    <mergeCell ref="AK643:AK645"/>
    <mergeCell ref="AL643:AL645"/>
    <mergeCell ref="AM640:AM642"/>
    <mergeCell ref="C643:C645"/>
    <mergeCell ref="M643:M645"/>
    <mergeCell ref="N643:N645"/>
    <mergeCell ref="O643:O645"/>
    <mergeCell ref="P643:P645"/>
    <mergeCell ref="R643:R645"/>
    <mergeCell ref="S643:S645"/>
    <mergeCell ref="T643:T645"/>
    <mergeCell ref="U643:U645"/>
    <mergeCell ref="U640:U642"/>
    <mergeCell ref="V640:V642"/>
    <mergeCell ref="AF640:AF642"/>
    <mergeCell ref="AI640:AI642"/>
    <mergeCell ref="AJ640:AJ642"/>
    <mergeCell ref="AK640:AK642"/>
    <mergeCell ref="M640:M642"/>
    <mergeCell ref="N640:N642"/>
    <mergeCell ref="O640:O642"/>
    <mergeCell ref="P640:P642"/>
    <mergeCell ref="R640:R642"/>
    <mergeCell ref="S640:S642"/>
    <mergeCell ref="AF634:AF636"/>
    <mergeCell ref="M634:M636"/>
    <mergeCell ref="G628:G645"/>
    <mergeCell ref="H628:H645"/>
    <mergeCell ref="I628:I645"/>
    <mergeCell ref="J628:J645"/>
    <mergeCell ref="K628:K645"/>
    <mergeCell ref="L628:L645"/>
    <mergeCell ref="A628:A645"/>
    <mergeCell ref="B628:B645"/>
    <mergeCell ref="C628:C633"/>
    <mergeCell ref="D628:D645"/>
    <mergeCell ref="E628:E645"/>
    <mergeCell ref="F628:F645"/>
    <mergeCell ref="C634:C642"/>
    <mergeCell ref="AP646:AP648"/>
    <mergeCell ref="AQ646:AQ648"/>
    <mergeCell ref="A649:A653"/>
    <mergeCell ref="B649:B653"/>
    <mergeCell ref="C649:C653"/>
    <mergeCell ref="D649:D653"/>
    <mergeCell ref="E649:E653"/>
    <mergeCell ref="F649:F653"/>
    <mergeCell ref="G649:G653"/>
    <mergeCell ref="H649:H653"/>
    <mergeCell ref="AJ646:AJ648"/>
    <mergeCell ref="AK646:AK648"/>
    <mergeCell ref="AL646:AL648"/>
    <mergeCell ref="AM646:AM648"/>
    <mergeCell ref="AN646:AN648"/>
    <mergeCell ref="AO646:AO648"/>
    <mergeCell ref="V646:V648"/>
    <mergeCell ref="W646:W648"/>
    <mergeCell ref="X646:X648"/>
    <mergeCell ref="AF646:AF648"/>
    <mergeCell ref="AG646:AG648"/>
    <mergeCell ref="AI646:AI648"/>
    <mergeCell ref="P646:P648"/>
    <mergeCell ref="Q646:Q648"/>
    <mergeCell ref="R646:R648"/>
    <mergeCell ref="S646:S648"/>
    <mergeCell ref="T646:T648"/>
    <mergeCell ref="U646:U648"/>
    <mergeCell ref="J646:J648"/>
    <mergeCell ref="K646:K648"/>
    <mergeCell ref="L646:L648"/>
    <mergeCell ref="M646:M648"/>
    <mergeCell ref="N646:N648"/>
    <mergeCell ref="O646:O648"/>
    <mergeCell ref="AO649:AO653"/>
    <mergeCell ref="AP649:AP653"/>
    <mergeCell ref="AQ649:AQ653"/>
    <mergeCell ref="AR649:AR653"/>
    <mergeCell ref="Y650:Y652"/>
    <mergeCell ref="Z650:Z652"/>
    <mergeCell ref="AA650:AA652"/>
    <mergeCell ref="AB650:AB652"/>
    <mergeCell ref="AC650:AC652"/>
    <mergeCell ref="AH650:AH652"/>
    <mergeCell ref="AI649:AI653"/>
    <mergeCell ref="AJ649:AJ653"/>
    <mergeCell ref="AK649:AK653"/>
    <mergeCell ref="AL649:AL653"/>
    <mergeCell ref="AM649:AM653"/>
    <mergeCell ref="AN649:AN653"/>
    <mergeCell ref="U649:U653"/>
    <mergeCell ref="V649:V653"/>
    <mergeCell ref="W649:W653"/>
    <mergeCell ref="X649:X653"/>
    <mergeCell ref="AF649:AF653"/>
    <mergeCell ref="AG649:AG653"/>
    <mergeCell ref="O649:O653"/>
    <mergeCell ref="P649:P653"/>
    <mergeCell ref="Q649:Q653"/>
    <mergeCell ref="R649:R653"/>
    <mergeCell ref="S649:S653"/>
    <mergeCell ref="T649:T653"/>
    <mergeCell ref="I649:I653"/>
    <mergeCell ref="J649:J653"/>
    <mergeCell ref="K649:K653"/>
    <mergeCell ref="L649:L653"/>
    <mergeCell ref="M649:M653"/>
    <mergeCell ref="N649:N653"/>
    <mergeCell ref="A656:A658"/>
    <mergeCell ref="B656:B658"/>
    <mergeCell ref="C656:C658"/>
    <mergeCell ref="D656:D658"/>
    <mergeCell ref="E656:E658"/>
    <mergeCell ref="AF654:AF655"/>
    <mergeCell ref="AG654:AG655"/>
    <mergeCell ref="AI654:AI655"/>
    <mergeCell ref="AJ654:AJ655"/>
    <mergeCell ref="AK654:AK655"/>
    <mergeCell ref="AL654:AL655"/>
    <mergeCell ref="S654:S655"/>
    <mergeCell ref="T654:T655"/>
    <mergeCell ref="U654:U655"/>
    <mergeCell ref="V654:V655"/>
    <mergeCell ref="W654:W655"/>
    <mergeCell ref="X654:X655"/>
    <mergeCell ref="M654:M655"/>
    <mergeCell ref="N654:N655"/>
    <mergeCell ref="O654:O655"/>
    <mergeCell ref="P654:P655"/>
    <mergeCell ref="Q654:Q655"/>
    <mergeCell ref="R654:R655"/>
    <mergeCell ref="G654:G655"/>
    <mergeCell ref="H654:H655"/>
    <mergeCell ref="I654:I655"/>
    <mergeCell ref="J654:J655"/>
    <mergeCell ref="K654:K655"/>
    <mergeCell ref="L654:L655"/>
    <mergeCell ref="A654:A655"/>
    <mergeCell ref="B654:B655"/>
    <mergeCell ref="C654:C655"/>
    <mergeCell ref="D654:D655"/>
    <mergeCell ref="E654:E655"/>
    <mergeCell ref="F654:F655"/>
    <mergeCell ref="AL656:AL658"/>
    <mergeCell ref="AM656:AM658"/>
    <mergeCell ref="AN656:AN658"/>
    <mergeCell ref="AO656:AO658"/>
    <mergeCell ref="AP656:AP658"/>
    <mergeCell ref="AQ656:AQ658"/>
    <mergeCell ref="X656:X658"/>
    <mergeCell ref="AF656:AF658"/>
    <mergeCell ref="AG656:AG658"/>
    <mergeCell ref="AI656:AI658"/>
    <mergeCell ref="AJ656:AJ658"/>
    <mergeCell ref="AK656:AK658"/>
    <mergeCell ref="R656:R658"/>
    <mergeCell ref="S656:S658"/>
    <mergeCell ref="T656:T658"/>
    <mergeCell ref="U656:U658"/>
    <mergeCell ref="V656:V658"/>
    <mergeCell ref="W656:W658"/>
    <mergeCell ref="L656:L658"/>
    <mergeCell ref="M656:M658"/>
    <mergeCell ref="N656:N658"/>
    <mergeCell ref="O656:O658"/>
    <mergeCell ref="P656:P658"/>
    <mergeCell ref="Q656:Q658"/>
    <mergeCell ref="F656:F658"/>
    <mergeCell ref="G656:G658"/>
    <mergeCell ref="H656:H658"/>
    <mergeCell ref="I656:I658"/>
    <mergeCell ref="J656:J658"/>
    <mergeCell ref="K656:K658"/>
    <mergeCell ref="AM654:AM655"/>
    <mergeCell ref="AN654:AN655"/>
    <mergeCell ref="AO654:AO655"/>
    <mergeCell ref="AP654:AP655"/>
    <mergeCell ref="AQ654:AQ655"/>
    <mergeCell ref="A662:A664"/>
    <mergeCell ref="B662:B664"/>
    <mergeCell ref="C662:C664"/>
    <mergeCell ref="D662:D664"/>
    <mergeCell ref="E662:E664"/>
    <mergeCell ref="AF659:AF661"/>
    <mergeCell ref="AG659:AG661"/>
    <mergeCell ref="AI659:AI661"/>
    <mergeCell ref="AJ659:AJ661"/>
    <mergeCell ref="AK659:AK661"/>
    <mergeCell ref="AL659:AL661"/>
    <mergeCell ref="S659:S661"/>
    <mergeCell ref="T659:T661"/>
    <mergeCell ref="U659:U661"/>
    <mergeCell ref="V659:V661"/>
    <mergeCell ref="W659:W661"/>
    <mergeCell ref="X659:X661"/>
    <mergeCell ref="M659:M661"/>
    <mergeCell ref="N659:N661"/>
    <mergeCell ref="O659:O661"/>
    <mergeCell ref="P659:P661"/>
    <mergeCell ref="Q659:Q661"/>
    <mergeCell ref="R659:R661"/>
    <mergeCell ref="G659:G661"/>
    <mergeCell ref="H659:H661"/>
    <mergeCell ref="I659:I661"/>
    <mergeCell ref="J659:J661"/>
    <mergeCell ref="K659:K661"/>
    <mergeCell ref="L659:L661"/>
    <mergeCell ref="A659:A661"/>
    <mergeCell ref="B659:B661"/>
    <mergeCell ref="C659:C661"/>
    <mergeCell ref="D659:D661"/>
    <mergeCell ref="E659:E661"/>
    <mergeCell ref="F659:F661"/>
    <mergeCell ref="AL662:AL664"/>
    <mergeCell ref="AM662:AM664"/>
    <mergeCell ref="AN662:AN664"/>
    <mergeCell ref="AO662:AO664"/>
    <mergeCell ref="AP662:AP664"/>
    <mergeCell ref="AQ662:AQ664"/>
    <mergeCell ref="X662:X664"/>
    <mergeCell ref="AF662:AF664"/>
    <mergeCell ref="AG662:AG664"/>
    <mergeCell ref="AI662:AI664"/>
    <mergeCell ref="AJ662:AJ664"/>
    <mergeCell ref="AK662:AK664"/>
    <mergeCell ref="R662:R664"/>
    <mergeCell ref="S662:S664"/>
    <mergeCell ref="T662:T664"/>
    <mergeCell ref="U662:U664"/>
    <mergeCell ref="V662:V664"/>
    <mergeCell ref="W662:W664"/>
    <mergeCell ref="L662:L664"/>
    <mergeCell ref="M662:M664"/>
    <mergeCell ref="N662:N664"/>
    <mergeCell ref="O662:O664"/>
    <mergeCell ref="P662:P664"/>
    <mergeCell ref="Q662:Q664"/>
    <mergeCell ref="F662:F664"/>
    <mergeCell ref="G662:G664"/>
    <mergeCell ref="H662:H664"/>
    <mergeCell ref="I662:I664"/>
    <mergeCell ref="J662:J664"/>
    <mergeCell ref="K662:K664"/>
    <mergeCell ref="AM659:AM661"/>
    <mergeCell ref="AN659:AN661"/>
    <mergeCell ref="AO659:AO661"/>
    <mergeCell ref="AP659:AP661"/>
    <mergeCell ref="AQ659:AQ661"/>
    <mergeCell ref="AM669:AM670"/>
    <mergeCell ref="A671:A686"/>
    <mergeCell ref="B671:B686"/>
    <mergeCell ref="C671:C686"/>
    <mergeCell ref="D671:D686"/>
    <mergeCell ref="E671:E686"/>
    <mergeCell ref="F671:F686"/>
    <mergeCell ref="G671:G686"/>
    <mergeCell ref="H671:H686"/>
    <mergeCell ref="I671:I686"/>
    <mergeCell ref="AM665:AM668"/>
    <mergeCell ref="AN665:AN670"/>
    <mergeCell ref="AO665:AO670"/>
    <mergeCell ref="AP665:AP670"/>
    <mergeCell ref="AQ665:AQ670"/>
    <mergeCell ref="J669:J670"/>
    <mergeCell ref="M669:M670"/>
    <mergeCell ref="N669:N670"/>
    <mergeCell ref="O669:O670"/>
    <mergeCell ref="P669:P670"/>
    <mergeCell ref="AF665:AF668"/>
    <mergeCell ref="AG665:AG670"/>
    <mergeCell ref="AI665:AI668"/>
    <mergeCell ref="AJ665:AJ670"/>
    <mergeCell ref="AK665:AK668"/>
    <mergeCell ref="AL665:AL668"/>
    <mergeCell ref="AF669:AF670"/>
    <mergeCell ref="AI669:AI670"/>
    <mergeCell ref="AK669:AK670"/>
    <mergeCell ref="AL669:AL670"/>
    <mergeCell ref="S665:S668"/>
    <mergeCell ref="T665:T668"/>
    <mergeCell ref="U665:U668"/>
    <mergeCell ref="V665:V668"/>
    <mergeCell ref="W665:W670"/>
    <mergeCell ref="X665:X670"/>
    <mergeCell ref="S669:S670"/>
    <mergeCell ref="T669:T670"/>
    <mergeCell ref="U669:U670"/>
    <mergeCell ref="V669:V670"/>
    <mergeCell ref="M665:M668"/>
    <mergeCell ref="N665:N668"/>
    <mergeCell ref="O665:O668"/>
    <mergeCell ref="P665:P668"/>
    <mergeCell ref="Q665:Q670"/>
    <mergeCell ref="R665:R668"/>
    <mergeCell ref="R669:R670"/>
    <mergeCell ref="G665:G670"/>
    <mergeCell ref="H665:H670"/>
    <mergeCell ref="I665:I670"/>
    <mergeCell ref="J665:J668"/>
    <mergeCell ref="K665:K670"/>
    <mergeCell ref="L665:L670"/>
    <mergeCell ref="A665:A670"/>
    <mergeCell ref="B665:B670"/>
    <mergeCell ref="C665:C670"/>
    <mergeCell ref="D665:D670"/>
    <mergeCell ref="E665:E670"/>
    <mergeCell ref="F665:F670"/>
    <mergeCell ref="AR671:AR686"/>
    <mergeCell ref="Y673:Y674"/>
    <mergeCell ref="AC673:AC674"/>
    <mergeCell ref="Y675:Y676"/>
    <mergeCell ref="AC675:AC676"/>
    <mergeCell ref="Y677:Y678"/>
    <mergeCell ref="AG671:AG686"/>
    <mergeCell ref="AI671:AI676"/>
    <mergeCell ref="AJ671:AJ684"/>
    <mergeCell ref="AK671:AK676"/>
    <mergeCell ref="AL671:AL684"/>
    <mergeCell ref="AM671:AM684"/>
    <mergeCell ref="AI677:AI684"/>
    <mergeCell ref="AK677:AK684"/>
    <mergeCell ref="AM685:AM686"/>
    <mergeCell ref="V671:V676"/>
    <mergeCell ref="W671:W686"/>
    <mergeCell ref="X671:X686"/>
    <mergeCell ref="Y671:Y672"/>
    <mergeCell ref="AC671:AC672"/>
    <mergeCell ref="AF671:AF684"/>
    <mergeCell ref="V677:V684"/>
    <mergeCell ref="AC677:AC678"/>
    <mergeCell ref="Y679:Y680"/>
    <mergeCell ref="AC679:AC680"/>
    <mergeCell ref="P671:P684"/>
    <mergeCell ref="Q671:Q686"/>
    <mergeCell ref="R671:R684"/>
    <mergeCell ref="S671:S684"/>
    <mergeCell ref="T671:T676"/>
    <mergeCell ref="U671:U676"/>
    <mergeCell ref="T677:T684"/>
    <mergeCell ref="U677:U684"/>
    <mergeCell ref="U685:U686"/>
    <mergeCell ref="AP694:AP697"/>
    <mergeCell ref="AQ694:AQ697"/>
    <mergeCell ref="V685:V686"/>
    <mergeCell ref="AF685:AF686"/>
    <mergeCell ref="AI685:AI686"/>
    <mergeCell ref="AJ685:AJ686"/>
    <mergeCell ref="AK685:AK686"/>
    <mergeCell ref="AL685:AL686"/>
    <mergeCell ref="Y681:Y682"/>
    <mergeCell ref="AC681:AC682"/>
    <mergeCell ref="Y683:Y684"/>
    <mergeCell ref="M685:M686"/>
    <mergeCell ref="N685:N686"/>
    <mergeCell ref="O685:O686"/>
    <mergeCell ref="P685:P686"/>
    <mergeCell ref="R685:R686"/>
    <mergeCell ref="S685:S686"/>
    <mergeCell ref="T685:T686"/>
    <mergeCell ref="AN671:AN686"/>
    <mergeCell ref="AO671:AO686"/>
    <mergeCell ref="AP671:AP686"/>
    <mergeCell ref="AQ671:AQ686"/>
    <mergeCell ref="AM687:AM691"/>
    <mergeCell ref="AN687:AN693"/>
    <mergeCell ref="AO687:AO693"/>
    <mergeCell ref="AP687:AP693"/>
    <mergeCell ref="AQ687:AQ693"/>
    <mergeCell ref="AJ694:AJ697"/>
    <mergeCell ref="AK694:AK697"/>
    <mergeCell ref="AL694:AL697"/>
    <mergeCell ref="J671:J686"/>
    <mergeCell ref="K671:K686"/>
    <mergeCell ref="L671:L686"/>
    <mergeCell ref="M671:M684"/>
    <mergeCell ref="N671:N676"/>
    <mergeCell ref="O671:O676"/>
    <mergeCell ref="N677:N684"/>
    <mergeCell ref="O677:O684"/>
    <mergeCell ref="AM694:AM697"/>
    <mergeCell ref="AN694:AN697"/>
    <mergeCell ref="AO694:AO697"/>
    <mergeCell ref="V694:V697"/>
    <mergeCell ref="W694:W697"/>
    <mergeCell ref="X694:X697"/>
    <mergeCell ref="AF694:AF697"/>
    <mergeCell ref="AG694:AG697"/>
    <mergeCell ref="AI694:AI697"/>
    <mergeCell ref="P694:P697"/>
    <mergeCell ref="Q694:Q697"/>
    <mergeCell ref="R694:R697"/>
    <mergeCell ref="S694:S697"/>
    <mergeCell ref="T694:T697"/>
    <mergeCell ref="U694:U697"/>
    <mergeCell ref="J694:J697"/>
    <mergeCell ref="K694:K697"/>
    <mergeCell ref="L694:L697"/>
    <mergeCell ref="M694:M697"/>
    <mergeCell ref="N694:N697"/>
    <mergeCell ref="O694:O697"/>
    <mergeCell ref="AM692:AM693"/>
    <mergeCell ref="A694:A697"/>
    <mergeCell ref="B694:B697"/>
    <mergeCell ref="C694:C697"/>
    <mergeCell ref="D694:D697"/>
    <mergeCell ref="E694:E697"/>
    <mergeCell ref="F694:F697"/>
    <mergeCell ref="G694:G697"/>
    <mergeCell ref="H694:H697"/>
    <mergeCell ref="I694:I697"/>
    <mergeCell ref="G687:G693"/>
    <mergeCell ref="H687:H693"/>
    <mergeCell ref="I687:I693"/>
    <mergeCell ref="A687:A693"/>
    <mergeCell ref="B687:B693"/>
    <mergeCell ref="C687:C693"/>
    <mergeCell ref="D687:D693"/>
    <mergeCell ref="E687:E693"/>
    <mergeCell ref="F687:F693"/>
    <mergeCell ref="J692:J693"/>
    <mergeCell ref="M692:M693"/>
    <mergeCell ref="N692:N693"/>
    <mergeCell ref="O692:O693"/>
    <mergeCell ref="P692:P693"/>
    <mergeCell ref="AF687:AF691"/>
    <mergeCell ref="AG687:AG693"/>
    <mergeCell ref="AI687:AI691"/>
    <mergeCell ref="AJ687:AJ693"/>
    <mergeCell ref="AK687:AK691"/>
    <mergeCell ref="AL687:AL691"/>
    <mergeCell ref="AF692:AF693"/>
    <mergeCell ref="AI692:AI693"/>
    <mergeCell ref="AK692:AK693"/>
    <mergeCell ref="AL692:AL693"/>
    <mergeCell ref="S687:S691"/>
    <mergeCell ref="T687:T691"/>
    <mergeCell ref="U687:U691"/>
    <mergeCell ref="V687:V691"/>
    <mergeCell ref="W687:W693"/>
    <mergeCell ref="X687:X693"/>
    <mergeCell ref="S692:S693"/>
    <mergeCell ref="T692:T693"/>
    <mergeCell ref="U692:U693"/>
    <mergeCell ref="V692:V693"/>
    <mergeCell ref="M687:M691"/>
    <mergeCell ref="N687:N691"/>
    <mergeCell ref="O687:O691"/>
    <mergeCell ref="P687:P691"/>
    <mergeCell ref="Q687:Q693"/>
    <mergeCell ref="R687:R691"/>
    <mergeCell ref="R692:R693"/>
    <mergeCell ref="J687:J691"/>
    <mergeCell ref="K687:K693"/>
    <mergeCell ref="L687:L693"/>
    <mergeCell ref="AP698:AP699"/>
    <mergeCell ref="AQ698:AQ699"/>
    <mergeCell ref="A700:A701"/>
    <mergeCell ref="B700:B701"/>
    <mergeCell ref="C700:C701"/>
    <mergeCell ref="D700:D701"/>
    <mergeCell ref="E700:E701"/>
    <mergeCell ref="F700:F701"/>
    <mergeCell ref="G700:G701"/>
    <mergeCell ref="AI698:AI699"/>
    <mergeCell ref="AJ698:AJ699"/>
    <mergeCell ref="AK698:AK699"/>
    <mergeCell ref="AL698:AL699"/>
    <mergeCell ref="AM698:AM699"/>
    <mergeCell ref="AN698:AN699"/>
    <mergeCell ref="U698:U699"/>
    <mergeCell ref="V698:V699"/>
    <mergeCell ref="W698:W699"/>
    <mergeCell ref="X698:X699"/>
    <mergeCell ref="AF698:AF699"/>
    <mergeCell ref="AG698:AG699"/>
    <mergeCell ref="O698:O699"/>
    <mergeCell ref="P698:P699"/>
    <mergeCell ref="Q698:Q699"/>
    <mergeCell ref="R698:R699"/>
    <mergeCell ref="S698:S699"/>
    <mergeCell ref="T698:T699"/>
    <mergeCell ref="I698:I699"/>
    <mergeCell ref="J698:J699"/>
    <mergeCell ref="K698:K699"/>
    <mergeCell ref="L698:L699"/>
    <mergeCell ref="M698:M699"/>
    <mergeCell ref="N698:N699"/>
    <mergeCell ref="A698:A699"/>
    <mergeCell ref="B698:B699"/>
    <mergeCell ref="C698:C699"/>
    <mergeCell ref="D698:D699"/>
    <mergeCell ref="E698:E699"/>
    <mergeCell ref="F698:F699"/>
    <mergeCell ref="G698:G699"/>
    <mergeCell ref="H698:H699"/>
    <mergeCell ref="AO698:AO699"/>
    <mergeCell ref="A705:A707"/>
    <mergeCell ref="B705:B707"/>
    <mergeCell ref="C705:C707"/>
    <mergeCell ref="D705:D707"/>
    <mergeCell ref="E705:E707"/>
    <mergeCell ref="AF702:AF704"/>
    <mergeCell ref="AG702:AG704"/>
    <mergeCell ref="AI702:AI704"/>
    <mergeCell ref="AJ702:AJ704"/>
    <mergeCell ref="AK702:AK704"/>
    <mergeCell ref="AL702:AL704"/>
    <mergeCell ref="S702:S704"/>
    <mergeCell ref="T702:T704"/>
    <mergeCell ref="U702:U704"/>
    <mergeCell ref="V702:V704"/>
    <mergeCell ref="W702:W704"/>
    <mergeCell ref="X702:X704"/>
    <mergeCell ref="M702:M704"/>
    <mergeCell ref="N702:N704"/>
    <mergeCell ref="O702:O704"/>
    <mergeCell ref="P702:P704"/>
    <mergeCell ref="Q702:Q704"/>
    <mergeCell ref="R702:R704"/>
    <mergeCell ref="G702:G704"/>
    <mergeCell ref="H702:H704"/>
    <mergeCell ref="I702:I704"/>
    <mergeCell ref="J702:J704"/>
    <mergeCell ref="K702:K704"/>
    <mergeCell ref="L702:L704"/>
    <mergeCell ref="AN700:AN701"/>
    <mergeCell ref="AO700:AO701"/>
    <mergeCell ref="AP700:AP701"/>
    <mergeCell ref="AQ700:AQ701"/>
    <mergeCell ref="A702:A704"/>
    <mergeCell ref="B702:B704"/>
    <mergeCell ref="C702:C704"/>
    <mergeCell ref="D702:D704"/>
    <mergeCell ref="E702:E704"/>
    <mergeCell ref="F702:F704"/>
    <mergeCell ref="AG700:AG701"/>
    <mergeCell ref="AI700:AI701"/>
    <mergeCell ref="AJ700:AJ701"/>
    <mergeCell ref="AK700:AK701"/>
    <mergeCell ref="AL700:AL701"/>
    <mergeCell ref="AM700:AM701"/>
    <mergeCell ref="T700:T701"/>
    <mergeCell ref="U700:U701"/>
    <mergeCell ref="V700:V701"/>
    <mergeCell ref="W700:W701"/>
    <mergeCell ref="X700:X701"/>
    <mergeCell ref="AF700:AF701"/>
    <mergeCell ref="N700:N701"/>
    <mergeCell ref="O700:O701"/>
    <mergeCell ref="P700:P701"/>
    <mergeCell ref="Q700:Q701"/>
    <mergeCell ref="R700:R701"/>
    <mergeCell ref="S700:S701"/>
    <mergeCell ref="H700:H701"/>
    <mergeCell ref="I700:I701"/>
    <mergeCell ref="J700:J701"/>
    <mergeCell ref="K700:K701"/>
    <mergeCell ref="L700:L701"/>
    <mergeCell ref="M700:M701"/>
    <mergeCell ref="AL705:AL706"/>
    <mergeCell ref="AM705:AM706"/>
    <mergeCell ref="AN705:AN707"/>
    <mergeCell ref="AO705:AO707"/>
    <mergeCell ref="AP705:AP707"/>
    <mergeCell ref="AQ705:AQ707"/>
    <mergeCell ref="X705:X707"/>
    <mergeCell ref="AF705:AF706"/>
    <mergeCell ref="AG705:AG707"/>
    <mergeCell ref="AI705:AI706"/>
    <mergeCell ref="AJ705:AJ707"/>
    <mergeCell ref="AK705:AK706"/>
    <mergeCell ref="R705:R706"/>
    <mergeCell ref="S705:S706"/>
    <mergeCell ref="T705:T706"/>
    <mergeCell ref="U705:U706"/>
    <mergeCell ref="V705:V706"/>
    <mergeCell ref="W705:W707"/>
    <mergeCell ref="L705:L707"/>
    <mergeCell ref="M705:M706"/>
    <mergeCell ref="N705:N706"/>
    <mergeCell ref="O705:O706"/>
    <mergeCell ref="P705:P706"/>
    <mergeCell ref="Q705:Q707"/>
    <mergeCell ref="F705:F707"/>
    <mergeCell ref="G705:G707"/>
    <mergeCell ref="H705:H707"/>
    <mergeCell ref="I705:I707"/>
    <mergeCell ref="J705:J706"/>
    <mergeCell ref="K705:K707"/>
    <mergeCell ref="AM702:AM704"/>
    <mergeCell ref="AN702:AN704"/>
    <mergeCell ref="AO702:AO704"/>
    <mergeCell ref="AP702:AP704"/>
    <mergeCell ref="AQ702:AQ704"/>
    <mergeCell ref="AM708:AM710"/>
    <mergeCell ref="AN708:AN711"/>
    <mergeCell ref="AO708:AO711"/>
    <mergeCell ref="AP708:AP711"/>
    <mergeCell ref="AQ708:AQ711"/>
    <mergeCell ref="A712:A714"/>
    <mergeCell ref="B712:B714"/>
    <mergeCell ref="C712:C714"/>
    <mergeCell ref="D712:D714"/>
    <mergeCell ref="E712:E714"/>
    <mergeCell ref="AF708:AF710"/>
    <mergeCell ref="AG708:AG711"/>
    <mergeCell ref="AI708:AI710"/>
    <mergeCell ref="AJ708:AJ711"/>
    <mergeCell ref="AK708:AK710"/>
    <mergeCell ref="AL708:AL710"/>
    <mergeCell ref="S708:S710"/>
    <mergeCell ref="T708:T710"/>
    <mergeCell ref="U708:U710"/>
    <mergeCell ref="V708:V710"/>
    <mergeCell ref="W708:W711"/>
    <mergeCell ref="X708:X711"/>
    <mergeCell ref="M708:M710"/>
    <mergeCell ref="N708:N710"/>
    <mergeCell ref="O708:O710"/>
    <mergeCell ref="P708:P710"/>
    <mergeCell ref="Q708:Q711"/>
    <mergeCell ref="R708:R710"/>
    <mergeCell ref="G708:G711"/>
    <mergeCell ref="H708:H711"/>
    <mergeCell ref="I708:I711"/>
    <mergeCell ref="J708:J710"/>
    <mergeCell ref="K708:K711"/>
    <mergeCell ref="L708:L711"/>
    <mergeCell ref="A708:A711"/>
    <mergeCell ref="B708:B711"/>
    <mergeCell ref="C708:C711"/>
    <mergeCell ref="D708:D711"/>
    <mergeCell ref="E708:E711"/>
    <mergeCell ref="F708:F711"/>
    <mergeCell ref="M715:M722"/>
    <mergeCell ref="N715:N720"/>
    <mergeCell ref="O715:O720"/>
    <mergeCell ref="P715:P722"/>
    <mergeCell ref="Q715:Q726"/>
    <mergeCell ref="R715:R722"/>
    <mergeCell ref="M723:M726"/>
    <mergeCell ref="N723:N726"/>
    <mergeCell ref="O723:O726"/>
    <mergeCell ref="P723:P726"/>
    <mergeCell ref="G715:G726"/>
    <mergeCell ref="H715:H726"/>
    <mergeCell ref="I715:I726"/>
    <mergeCell ref="J715:J726"/>
    <mergeCell ref="K715:K726"/>
    <mergeCell ref="L715:L726"/>
    <mergeCell ref="A715:A726"/>
    <mergeCell ref="B715:B726"/>
    <mergeCell ref="C715:C726"/>
    <mergeCell ref="D715:D726"/>
    <mergeCell ref="E715:E726"/>
    <mergeCell ref="F715:F726"/>
    <mergeCell ref="AL712:AL714"/>
    <mergeCell ref="AM712:AM714"/>
    <mergeCell ref="AN712:AN714"/>
    <mergeCell ref="AO712:AO714"/>
    <mergeCell ref="AP712:AP714"/>
    <mergeCell ref="AQ712:AQ714"/>
    <mergeCell ref="X712:X714"/>
    <mergeCell ref="AF712:AF714"/>
    <mergeCell ref="AG712:AG714"/>
    <mergeCell ref="AI712:AI714"/>
    <mergeCell ref="AJ712:AJ714"/>
    <mergeCell ref="AK712:AK714"/>
    <mergeCell ref="R712:R714"/>
    <mergeCell ref="S712:S714"/>
    <mergeCell ref="T712:T714"/>
    <mergeCell ref="U712:U714"/>
    <mergeCell ref="V712:V714"/>
    <mergeCell ref="W712:W714"/>
    <mergeCell ref="L712:L714"/>
    <mergeCell ref="M712:M714"/>
    <mergeCell ref="N712:N714"/>
    <mergeCell ref="O712:O714"/>
    <mergeCell ref="P712:P714"/>
    <mergeCell ref="Q712:Q714"/>
    <mergeCell ref="F712:F714"/>
    <mergeCell ref="G712:G714"/>
    <mergeCell ref="H712:H714"/>
    <mergeCell ref="I712:I714"/>
    <mergeCell ref="J712:J714"/>
    <mergeCell ref="K712:K714"/>
    <mergeCell ref="R723:R726"/>
    <mergeCell ref="S723:S726"/>
    <mergeCell ref="T723:T726"/>
    <mergeCell ref="U723:U726"/>
    <mergeCell ref="V723:V726"/>
    <mergeCell ref="AF723:AF726"/>
    <mergeCell ref="AQ715:AQ726"/>
    <mergeCell ref="Y717:Y718"/>
    <mergeCell ref="AC717:AC718"/>
    <mergeCell ref="Y719:Y720"/>
    <mergeCell ref="AC719:AC720"/>
    <mergeCell ref="N721:N722"/>
    <mergeCell ref="O721:O722"/>
    <mergeCell ref="T721:T722"/>
    <mergeCell ref="U721:U722"/>
    <mergeCell ref="V721:V722"/>
    <mergeCell ref="AK715:AK720"/>
    <mergeCell ref="AL715:AL722"/>
    <mergeCell ref="AM715:AM722"/>
    <mergeCell ref="AN715:AN726"/>
    <mergeCell ref="AO715:AO726"/>
    <mergeCell ref="AP715:AP726"/>
    <mergeCell ref="AK721:AK722"/>
    <mergeCell ref="AK723:AK726"/>
    <mergeCell ref="AL723:AL726"/>
    <mergeCell ref="AM723:AM726"/>
    <mergeCell ref="Y715:Y716"/>
    <mergeCell ref="AC715:AC716"/>
    <mergeCell ref="AF715:AF722"/>
    <mergeCell ref="AG715:AG726"/>
    <mergeCell ref="AI715:AI720"/>
    <mergeCell ref="AJ715:AJ726"/>
    <mergeCell ref="Y721:Y722"/>
    <mergeCell ref="AC721:AC722"/>
    <mergeCell ref="AI721:AI722"/>
    <mergeCell ref="AI723:AI726"/>
    <mergeCell ref="S715:S722"/>
    <mergeCell ref="T715:T720"/>
    <mergeCell ref="U715:U720"/>
    <mergeCell ref="V715:V720"/>
    <mergeCell ref="W715:W726"/>
    <mergeCell ref="X715:X726"/>
    <mergeCell ref="O733:O740"/>
    <mergeCell ref="N741:N742"/>
    <mergeCell ref="O741:O742"/>
    <mergeCell ref="M743:M747"/>
    <mergeCell ref="N743:N747"/>
    <mergeCell ref="AM730:AM732"/>
    <mergeCell ref="A733:A748"/>
    <mergeCell ref="B733:B748"/>
    <mergeCell ref="C733:C748"/>
    <mergeCell ref="D733:D748"/>
    <mergeCell ref="E733:E748"/>
    <mergeCell ref="F733:F748"/>
    <mergeCell ref="G733:G748"/>
    <mergeCell ref="H733:H748"/>
    <mergeCell ref="I733:I748"/>
    <mergeCell ref="AM727:AM729"/>
    <mergeCell ref="AN727:AN732"/>
    <mergeCell ref="AO727:AO732"/>
    <mergeCell ref="AP727:AP732"/>
    <mergeCell ref="AQ727:AQ732"/>
    <mergeCell ref="M730:M732"/>
    <mergeCell ref="N730:N732"/>
    <mergeCell ref="O730:O732"/>
    <mergeCell ref="P730:P732"/>
    <mergeCell ref="R730:R732"/>
    <mergeCell ref="AF727:AF729"/>
    <mergeCell ref="AG727:AG732"/>
    <mergeCell ref="AI727:AI729"/>
    <mergeCell ref="AJ727:AJ732"/>
    <mergeCell ref="AK727:AK729"/>
    <mergeCell ref="AL727:AL729"/>
    <mergeCell ref="AF730:AF732"/>
    <mergeCell ref="AI730:AI732"/>
    <mergeCell ref="AK730:AK732"/>
    <mergeCell ref="AL730:AL732"/>
    <mergeCell ref="S727:S729"/>
    <mergeCell ref="T727:T729"/>
    <mergeCell ref="U727:U729"/>
    <mergeCell ref="V727:V729"/>
    <mergeCell ref="W727:W732"/>
    <mergeCell ref="X727:X732"/>
    <mergeCell ref="S730:S732"/>
    <mergeCell ref="T730:T732"/>
    <mergeCell ref="U730:U732"/>
    <mergeCell ref="V730:V732"/>
    <mergeCell ref="M727:M729"/>
    <mergeCell ref="N727:N729"/>
    <mergeCell ref="O727:O729"/>
    <mergeCell ref="P727:P729"/>
    <mergeCell ref="Q727:Q732"/>
    <mergeCell ref="R727:R729"/>
    <mergeCell ref="G727:G732"/>
    <mergeCell ref="H727:H732"/>
    <mergeCell ref="I727:I732"/>
    <mergeCell ref="J727:J732"/>
    <mergeCell ref="K727:K732"/>
    <mergeCell ref="L727:L732"/>
    <mergeCell ref="A727:A732"/>
    <mergeCell ref="B727:B732"/>
    <mergeCell ref="C727:C732"/>
    <mergeCell ref="D727:D732"/>
    <mergeCell ref="E727:E732"/>
    <mergeCell ref="F727:F732"/>
    <mergeCell ref="F749:F768"/>
    <mergeCell ref="G749:G768"/>
    <mergeCell ref="H749:H768"/>
    <mergeCell ref="I749:I768"/>
    <mergeCell ref="J749:J764"/>
    <mergeCell ref="K749:K768"/>
    <mergeCell ref="J765:J768"/>
    <mergeCell ref="AF743:AF747"/>
    <mergeCell ref="AI743:AI747"/>
    <mergeCell ref="AK743:AK747"/>
    <mergeCell ref="AL743:AL747"/>
    <mergeCell ref="AM743:AM747"/>
    <mergeCell ref="A749:A768"/>
    <mergeCell ref="B749:B768"/>
    <mergeCell ref="C749:C768"/>
    <mergeCell ref="D749:D768"/>
    <mergeCell ref="E749:E768"/>
    <mergeCell ref="O743:O747"/>
    <mergeCell ref="P743:P747"/>
    <mergeCell ref="R743:R747"/>
    <mergeCell ref="S743:S747"/>
    <mergeCell ref="T743:T747"/>
    <mergeCell ref="U743:U747"/>
    <mergeCell ref="AN733:AN748"/>
    <mergeCell ref="AO733:AO748"/>
    <mergeCell ref="AP733:AP748"/>
    <mergeCell ref="AQ733:AQ748"/>
    <mergeCell ref="Y735:Y736"/>
    <mergeCell ref="AC735:AC736"/>
    <mergeCell ref="Y737:Y738"/>
    <mergeCell ref="AC737:AC738"/>
    <mergeCell ref="Y739:Y740"/>
    <mergeCell ref="AC739:AC740"/>
    <mergeCell ref="AG733:AG748"/>
    <mergeCell ref="AI733:AI740"/>
    <mergeCell ref="AJ733:AJ748"/>
    <mergeCell ref="AK733:AK740"/>
    <mergeCell ref="AL733:AL742"/>
    <mergeCell ref="AM733:AM742"/>
    <mergeCell ref="AI741:AI742"/>
    <mergeCell ref="AK741:AK742"/>
    <mergeCell ref="V733:V740"/>
    <mergeCell ref="W733:W748"/>
    <mergeCell ref="X733:X748"/>
    <mergeCell ref="Y733:Y734"/>
    <mergeCell ref="AC733:AC734"/>
    <mergeCell ref="AF733:AF742"/>
    <mergeCell ref="V741:V742"/>
    <mergeCell ref="Y741:Y742"/>
    <mergeCell ref="AC741:AC742"/>
    <mergeCell ref="V743:V747"/>
    <mergeCell ref="P733:P742"/>
    <mergeCell ref="Q733:Q748"/>
    <mergeCell ref="R733:R742"/>
    <mergeCell ref="S733:S742"/>
    <mergeCell ref="T733:T740"/>
    <mergeCell ref="U733:U740"/>
    <mergeCell ref="T741:T742"/>
    <mergeCell ref="U741:U742"/>
    <mergeCell ref="J733:J747"/>
    <mergeCell ref="K733:K748"/>
    <mergeCell ref="L733:L748"/>
    <mergeCell ref="M733:M742"/>
    <mergeCell ref="N733:N740"/>
    <mergeCell ref="T760:T764"/>
    <mergeCell ref="U760:U764"/>
    <mergeCell ref="V760:V764"/>
    <mergeCell ref="L749:L768"/>
    <mergeCell ref="M749:M754"/>
    <mergeCell ref="N749:N754"/>
    <mergeCell ref="O749:O754"/>
    <mergeCell ref="P749:P754"/>
    <mergeCell ref="Q749:Q768"/>
    <mergeCell ref="N760:N764"/>
    <mergeCell ref="O760:O764"/>
    <mergeCell ref="M765:M768"/>
    <mergeCell ref="N765:N768"/>
    <mergeCell ref="V765:V768"/>
    <mergeCell ref="AF765:AF768"/>
    <mergeCell ref="AI765:AI768"/>
    <mergeCell ref="AK765:AK768"/>
    <mergeCell ref="AL765:AL768"/>
    <mergeCell ref="AM765:AM768"/>
    <mergeCell ref="O765:O768"/>
    <mergeCell ref="P765:P768"/>
    <mergeCell ref="R765:R768"/>
    <mergeCell ref="S765:S768"/>
    <mergeCell ref="T765:T768"/>
    <mergeCell ref="U765:U768"/>
    <mergeCell ref="AI760:AI764"/>
    <mergeCell ref="AK760:AK764"/>
    <mergeCell ref="AL760:AL764"/>
    <mergeCell ref="AM760:AM764"/>
    <mergeCell ref="Y761:Y762"/>
    <mergeCell ref="AC761:AC762"/>
    <mergeCell ref="Y763:Y764"/>
    <mergeCell ref="AC763:AC764"/>
    <mergeCell ref="Y755:Y756"/>
    <mergeCell ref="AC755:AC756"/>
    <mergeCell ref="AF755:AF764"/>
    <mergeCell ref="AI755:AI759"/>
    <mergeCell ref="AK755:AK759"/>
    <mergeCell ref="AL755:AL759"/>
    <mergeCell ref="Y757:Y758"/>
    <mergeCell ref="AC757:AC758"/>
    <mergeCell ref="Y759:Y760"/>
    <mergeCell ref="AC759:AC760"/>
    <mergeCell ref="AC753:AC754"/>
    <mergeCell ref="AH753:AH754"/>
    <mergeCell ref="M755:M764"/>
    <mergeCell ref="N755:N759"/>
    <mergeCell ref="O755:O759"/>
    <mergeCell ref="P755:P764"/>
    <mergeCell ref="R755:R764"/>
    <mergeCell ref="S755:S764"/>
    <mergeCell ref="T755:T759"/>
    <mergeCell ref="U755:U759"/>
    <mergeCell ref="AL749:AL754"/>
    <mergeCell ref="AM749:AM754"/>
    <mergeCell ref="AM769:AM776"/>
    <mergeCell ref="AN769:AN776"/>
    <mergeCell ref="AO769:AO776"/>
    <mergeCell ref="AP769:AP776"/>
    <mergeCell ref="AQ769:AQ776"/>
    <mergeCell ref="A777:A784"/>
    <mergeCell ref="B777:B784"/>
    <mergeCell ref="C777:C784"/>
    <mergeCell ref="D777:D784"/>
    <mergeCell ref="E777:E784"/>
    <mergeCell ref="AF769:AF776"/>
    <mergeCell ref="AG769:AG776"/>
    <mergeCell ref="AI769:AI776"/>
    <mergeCell ref="AJ769:AJ776"/>
    <mergeCell ref="AK769:AK776"/>
    <mergeCell ref="AL769:AL776"/>
    <mergeCell ref="S769:S776"/>
    <mergeCell ref="T769:T776"/>
    <mergeCell ref="U769:U776"/>
    <mergeCell ref="V769:V776"/>
    <mergeCell ref="W769:W776"/>
    <mergeCell ref="X769:X776"/>
    <mergeCell ref="M769:M776"/>
    <mergeCell ref="N769:N776"/>
    <mergeCell ref="O769:O776"/>
    <mergeCell ref="P769:P776"/>
    <mergeCell ref="Q769:Q776"/>
    <mergeCell ref="R769:R776"/>
    <mergeCell ref="G769:G776"/>
    <mergeCell ref="H769:H776"/>
    <mergeCell ref="I769:I776"/>
    <mergeCell ref="J769:J776"/>
    <mergeCell ref="K769:K776"/>
    <mergeCell ref="L769:L776"/>
    <mergeCell ref="A769:A776"/>
    <mergeCell ref="B769:B776"/>
    <mergeCell ref="C769:C776"/>
    <mergeCell ref="D769:D776"/>
    <mergeCell ref="E769:E776"/>
    <mergeCell ref="F769:F776"/>
    <mergeCell ref="AN749:AN768"/>
    <mergeCell ref="AO749:AO768"/>
    <mergeCell ref="AP749:AP768"/>
    <mergeCell ref="AQ749:AQ768"/>
    <mergeCell ref="AM755:AM759"/>
    <mergeCell ref="X749:X768"/>
    <mergeCell ref="AF749:AF754"/>
    <mergeCell ref="AG749:AG768"/>
    <mergeCell ref="AI749:AI754"/>
    <mergeCell ref="AJ749:AJ768"/>
    <mergeCell ref="AK749:AK754"/>
    <mergeCell ref="Y753:Y754"/>
    <mergeCell ref="Z753:Z754"/>
    <mergeCell ref="AA753:AA754"/>
    <mergeCell ref="AB753:AB754"/>
    <mergeCell ref="R749:R754"/>
    <mergeCell ref="S749:S754"/>
    <mergeCell ref="T749:T754"/>
    <mergeCell ref="U749:U754"/>
    <mergeCell ref="V749:V754"/>
    <mergeCell ref="W749:W768"/>
    <mergeCell ref="V755:V759"/>
    <mergeCell ref="A785:A804"/>
    <mergeCell ref="B785:B804"/>
    <mergeCell ref="C785:C792"/>
    <mergeCell ref="D785:D804"/>
    <mergeCell ref="E785:E804"/>
    <mergeCell ref="F785:F804"/>
    <mergeCell ref="C793:C802"/>
    <mergeCell ref="AL777:AL784"/>
    <mergeCell ref="AM777:AM784"/>
    <mergeCell ref="AN777:AN784"/>
    <mergeCell ref="AO777:AO784"/>
    <mergeCell ref="AP777:AP784"/>
    <mergeCell ref="AQ777:AQ784"/>
    <mergeCell ref="X777:X784"/>
    <mergeCell ref="AF777:AF784"/>
    <mergeCell ref="AG777:AG784"/>
    <mergeCell ref="AI777:AI784"/>
    <mergeCell ref="AJ777:AJ784"/>
    <mergeCell ref="AK777:AK784"/>
    <mergeCell ref="AC779:AC780"/>
    <mergeCell ref="AC782:AC783"/>
    <mergeCell ref="R777:R784"/>
    <mergeCell ref="S777:S784"/>
    <mergeCell ref="T777:T784"/>
    <mergeCell ref="U777:U784"/>
    <mergeCell ref="V777:V784"/>
    <mergeCell ref="W777:W784"/>
    <mergeCell ref="L777:L784"/>
    <mergeCell ref="M777:M784"/>
    <mergeCell ref="N777:N784"/>
    <mergeCell ref="O777:O784"/>
    <mergeCell ref="P777:P784"/>
    <mergeCell ref="Q777:Q784"/>
    <mergeCell ref="F777:F784"/>
    <mergeCell ref="G777:G784"/>
    <mergeCell ref="H777:H784"/>
    <mergeCell ref="I777:I784"/>
    <mergeCell ref="J777:J784"/>
    <mergeCell ref="K777:K784"/>
    <mergeCell ref="AN785:AN804"/>
    <mergeCell ref="AO785:AO804"/>
    <mergeCell ref="AP785:AP804"/>
    <mergeCell ref="AQ785:AQ804"/>
    <mergeCell ref="AC786:AC788"/>
    <mergeCell ref="AC789:AC791"/>
    <mergeCell ref="AI793:AI800"/>
    <mergeCell ref="AK793:AK800"/>
    <mergeCell ref="AL793:AL800"/>
    <mergeCell ref="AF785:AF792"/>
    <mergeCell ref="AG785:AG804"/>
    <mergeCell ref="AI785:AI792"/>
    <mergeCell ref="AJ785:AJ804"/>
    <mergeCell ref="AK785:AK792"/>
    <mergeCell ref="AL785:AL792"/>
    <mergeCell ref="AF801:AF802"/>
    <mergeCell ref="AI801:AI802"/>
    <mergeCell ref="AK801:AK802"/>
    <mergeCell ref="AL801:AL802"/>
    <mergeCell ref="S785:S792"/>
    <mergeCell ref="T785:T792"/>
    <mergeCell ref="U785:U792"/>
    <mergeCell ref="V785:V792"/>
    <mergeCell ref="W785:W804"/>
    <mergeCell ref="X785:X804"/>
    <mergeCell ref="T801:T802"/>
    <mergeCell ref="U801:U802"/>
    <mergeCell ref="V801:V802"/>
    <mergeCell ref="U803:U804"/>
    <mergeCell ref="M785:M792"/>
    <mergeCell ref="N785:N792"/>
    <mergeCell ref="O785:O792"/>
    <mergeCell ref="P785:P792"/>
    <mergeCell ref="Q785:Q804"/>
    <mergeCell ref="R785:R792"/>
    <mergeCell ref="M793:M800"/>
    <mergeCell ref="N793:N800"/>
    <mergeCell ref="O793:O800"/>
    <mergeCell ref="P793:P800"/>
    <mergeCell ref="V803:V804"/>
    <mergeCell ref="AF803:AF804"/>
    <mergeCell ref="AI803:AI804"/>
    <mergeCell ref="AK803:AK804"/>
    <mergeCell ref="AL803:AL804"/>
    <mergeCell ref="AM803:AM804"/>
    <mergeCell ref="AM801:AM802"/>
    <mergeCell ref="C803:C804"/>
    <mergeCell ref="J803:J804"/>
    <mergeCell ref="M803:M804"/>
    <mergeCell ref="N803:N804"/>
    <mergeCell ref="O803:O804"/>
    <mergeCell ref="P803:P804"/>
    <mergeCell ref="R803:R804"/>
    <mergeCell ref="S803:S804"/>
    <mergeCell ref="T803:T804"/>
    <mergeCell ref="AM793:AM800"/>
    <mergeCell ref="AC794:AC796"/>
    <mergeCell ref="AC797:AC799"/>
    <mergeCell ref="J801:J802"/>
    <mergeCell ref="M801:M802"/>
    <mergeCell ref="N801:N802"/>
    <mergeCell ref="O801:O802"/>
    <mergeCell ref="P801:P802"/>
    <mergeCell ref="R801:R802"/>
    <mergeCell ref="S801:S802"/>
    <mergeCell ref="R793:R800"/>
    <mergeCell ref="S793:S800"/>
    <mergeCell ref="T793:T800"/>
    <mergeCell ref="U793:U800"/>
    <mergeCell ref="V793:V800"/>
    <mergeCell ref="AF793:AF800"/>
    <mergeCell ref="AM785:AM792"/>
    <mergeCell ref="G785:G804"/>
    <mergeCell ref="H785:H804"/>
    <mergeCell ref="I785:I804"/>
    <mergeCell ref="J785:J800"/>
    <mergeCell ref="K785:K804"/>
    <mergeCell ref="L785:L804"/>
    <mergeCell ref="AM805:AM806"/>
    <mergeCell ref="AN805:AN806"/>
    <mergeCell ref="AO805:AO806"/>
    <mergeCell ref="AP805:AP806"/>
    <mergeCell ref="AQ805:AQ806"/>
    <mergeCell ref="A807:A809"/>
    <mergeCell ref="B807:B809"/>
    <mergeCell ref="C807:C809"/>
    <mergeCell ref="D807:D809"/>
    <mergeCell ref="E807:E809"/>
    <mergeCell ref="AF805:AF806"/>
    <mergeCell ref="AG805:AG806"/>
    <mergeCell ref="AI805:AI806"/>
    <mergeCell ref="AJ805:AJ806"/>
    <mergeCell ref="AK805:AK806"/>
    <mergeCell ref="AL805:AL806"/>
    <mergeCell ref="S805:S806"/>
    <mergeCell ref="T805:T806"/>
    <mergeCell ref="U805:U806"/>
    <mergeCell ref="V805:V806"/>
    <mergeCell ref="W805:W806"/>
    <mergeCell ref="X805:X806"/>
    <mergeCell ref="M805:M806"/>
    <mergeCell ref="N805:N806"/>
    <mergeCell ref="O805:O806"/>
    <mergeCell ref="P805:P806"/>
    <mergeCell ref="Q805:Q806"/>
    <mergeCell ref="R805:R806"/>
    <mergeCell ref="G805:G806"/>
    <mergeCell ref="H805:H806"/>
    <mergeCell ref="I805:I806"/>
    <mergeCell ref="J805:J806"/>
    <mergeCell ref="K805:K806"/>
    <mergeCell ref="L805:L806"/>
    <mergeCell ref="A805:A806"/>
    <mergeCell ref="B805:B806"/>
    <mergeCell ref="C805:C806"/>
    <mergeCell ref="D805:D806"/>
    <mergeCell ref="E805:E806"/>
    <mergeCell ref="F805:F806"/>
    <mergeCell ref="AL807:AL809"/>
    <mergeCell ref="AM807:AM809"/>
    <mergeCell ref="AN807:AN809"/>
    <mergeCell ref="AO807:AO809"/>
    <mergeCell ref="AP807:AP809"/>
    <mergeCell ref="AQ807:AQ809"/>
    <mergeCell ref="X807:X809"/>
    <mergeCell ref="AF807:AF809"/>
    <mergeCell ref="AG807:AG809"/>
    <mergeCell ref="AI807:AI809"/>
    <mergeCell ref="AJ807:AJ809"/>
    <mergeCell ref="AK807:AK809"/>
    <mergeCell ref="Y808:Y809"/>
    <mergeCell ref="Z808:Z809"/>
    <mergeCell ref="AA808:AA809"/>
    <mergeCell ref="AB808:AB809"/>
    <mergeCell ref="R807:R809"/>
    <mergeCell ref="S807:S809"/>
    <mergeCell ref="T807:T809"/>
    <mergeCell ref="U807:U809"/>
    <mergeCell ref="V807:V809"/>
    <mergeCell ref="W807:W809"/>
    <mergeCell ref="L807:L809"/>
    <mergeCell ref="M807:M809"/>
    <mergeCell ref="N807:N809"/>
    <mergeCell ref="O807:O809"/>
    <mergeCell ref="P807:P809"/>
    <mergeCell ref="Q807:Q809"/>
    <mergeCell ref="F807:F809"/>
    <mergeCell ref="G807:G809"/>
    <mergeCell ref="H807:H809"/>
    <mergeCell ref="I807:I809"/>
    <mergeCell ref="J807:J809"/>
    <mergeCell ref="K807:K809"/>
    <mergeCell ref="A813:A814"/>
    <mergeCell ref="B813:B814"/>
    <mergeCell ref="C813:C814"/>
    <mergeCell ref="D813:D814"/>
    <mergeCell ref="E813:E814"/>
    <mergeCell ref="AF810:AF812"/>
    <mergeCell ref="AG810:AG812"/>
    <mergeCell ref="AI810:AI812"/>
    <mergeCell ref="AJ810:AJ812"/>
    <mergeCell ref="AK810:AK812"/>
    <mergeCell ref="AL810:AL812"/>
    <mergeCell ref="S810:S812"/>
    <mergeCell ref="T810:T812"/>
    <mergeCell ref="U810:U812"/>
    <mergeCell ref="V810:V812"/>
    <mergeCell ref="W810:W812"/>
    <mergeCell ref="X810:X812"/>
    <mergeCell ref="M810:M812"/>
    <mergeCell ref="N810:N812"/>
    <mergeCell ref="O810:O812"/>
    <mergeCell ref="P810:P812"/>
    <mergeCell ref="Q810:Q812"/>
    <mergeCell ref="R810:R812"/>
    <mergeCell ref="G810:G812"/>
    <mergeCell ref="H810:H812"/>
    <mergeCell ref="I810:I812"/>
    <mergeCell ref="J810:J812"/>
    <mergeCell ref="K810:K812"/>
    <mergeCell ref="L810:L812"/>
    <mergeCell ref="A810:A812"/>
    <mergeCell ref="B810:B812"/>
    <mergeCell ref="C810:C812"/>
    <mergeCell ref="D810:D812"/>
    <mergeCell ref="E810:E812"/>
    <mergeCell ref="F810:F812"/>
    <mergeCell ref="AL813:AL814"/>
    <mergeCell ref="AM813:AM814"/>
    <mergeCell ref="AN813:AN814"/>
    <mergeCell ref="AO813:AO814"/>
    <mergeCell ref="AP813:AP814"/>
    <mergeCell ref="AQ813:AQ814"/>
    <mergeCell ref="X813:X814"/>
    <mergeCell ref="AF813:AF814"/>
    <mergeCell ref="AG813:AG814"/>
    <mergeCell ref="AI813:AI814"/>
    <mergeCell ref="AJ813:AJ814"/>
    <mergeCell ref="AK813:AK814"/>
    <mergeCell ref="R813:R814"/>
    <mergeCell ref="S813:S814"/>
    <mergeCell ref="T813:T814"/>
    <mergeCell ref="U813:U814"/>
    <mergeCell ref="V813:V814"/>
    <mergeCell ref="W813:W814"/>
    <mergeCell ref="L813:L814"/>
    <mergeCell ref="M813:M814"/>
    <mergeCell ref="N813:N814"/>
    <mergeCell ref="O813:O814"/>
    <mergeCell ref="P813:P814"/>
    <mergeCell ref="Q813:Q814"/>
    <mergeCell ref="F813:F814"/>
    <mergeCell ref="G813:G814"/>
    <mergeCell ref="H813:H814"/>
    <mergeCell ref="I813:I814"/>
    <mergeCell ref="J813:J814"/>
    <mergeCell ref="K813:K814"/>
    <mergeCell ref="AM810:AM812"/>
    <mergeCell ref="AN810:AN812"/>
    <mergeCell ref="AO810:AO812"/>
    <mergeCell ref="AP810:AP812"/>
    <mergeCell ref="AQ810:AQ812"/>
    <mergeCell ref="A819:A821"/>
    <mergeCell ref="B819:B821"/>
    <mergeCell ref="C819:C821"/>
    <mergeCell ref="D819:D821"/>
    <mergeCell ref="E819:E821"/>
    <mergeCell ref="AF815:AF816"/>
    <mergeCell ref="AG815:AG817"/>
    <mergeCell ref="AI815:AI816"/>
    <mergeCell ref="AJ815:AJ817"/>
    <mergeCell ref="AK815:AK816"/>
    <mergeCell ref="AL815:AL816"/>
    <mergeCell ref="S815:S816"/>
    <mergeCell ref="T815:T816"/>
    <mergeCell ref="U815:U816"/>
    <mergeCell ref="V815:V816"/>
    <mergeCell ref="W815:W817"/>
    <mergeCell ref="X815:X817"/>
    <mergeCell ref="M815:M816"/>
    <mergeCell ref="N815:N816"/>
    <mergeCell ref="O815:O816"/>
    <mergeCell ref="P815:P816"/>
    <mergeCell ref="Q815:Q817"/>
    <mergeCell ref="R815:R816"/>
    <mergeCell ref="G815:G817"/>
    <mergeCell ref="H815:H817"/>
    <mergeCell ref="I815:I817"/>
    <mergeCell ref="J815:J816"/>
    <mergeCell ref="K815:K817"/>
    <mergeCell ref="L815:L817"/>
    <mergeCell ref="A815:A817"/>
    <mergeCell ref="B815:B817"/>
    <mergeCell ref="C815:C817"/>
    <mergeCell ref="D815:D817"/>
    <mergeCell ref="E815:E817"/>
    <mergeCell ref="F815:F817"/>
    <mergeCell ref="AL819:AL821"/>
    <mergeCell ref="AM819:AM821"/>
    <mergeCell ref="AN819:AN821"/>
    <mergeCell ref="AO819:AO821"/>
    <mergeCell ref="AP819:AP821"/>
    <mergeCell ref="AQ819:AQ821"/>
    <mergeCell ref="X819:X821"/>
    <mergeCell ref="AF819:AF821"/>
    <mergeCell ref="AG819:AG821"/>
    <mergeCell ref="AI819:AI821"/>
    <mergeCell ref="AJ819:AJ821"/>
    <mergeCell ref="AK819:AK821"/>
    <mergeCell ref="R819:R821"/>
    <mergeCell ref="S819:S821"/>
    <mergeCell ref="T819:T821"/>
    <mergeCell ref="U819:U821"/>
    <mergeCell ref="V819:V821"/>
    <mergeCell ref="W819:W821"/>
    <mergeCell ref="L819:L821"/>
    <mergeCell ref="M819:M821"/>
    <mergeCell ref="N819:N821"/>
    <mergeCell ref="O819:O821"/>
    <mergeCell ref="P819:P821"/>
    <mergeCell ref="Q819:Q821"/>
    <mergeCell ref="F819:F821"/>
    <mergeCell ref="G819:G821"/>
    <mergeCell ref="H819:H821"/>
    <mergeCell ref="I819:I821"/>
    <mergeCell ref="J819:J821"/>
    <mergeCell ref="K819:K821"/>
    <mergeCell ref="AM815:AM816"/>
    <mergeCell ref="AN815:AN817"/>
    <mergeCell ref="AO815:AO817"/>
    <mergeCell ref="AP815:AP817"/>
    <mergeCell ref="AQ815:AQ817"/>
    <mergeCell ref="AM822:AM823"/>
    <mergeCell ref="AN822:AN823"/>
    <mergeCell ref="AO822:AO823"/>
    <mergeCell ref="AP822:AP823"/>
    <mergeCell ref="AQ822:AQ823"/>
    <mergeCell ref="A824:A826"/>
    <mergeCell ref="B824:B826"/>
    <mergeCell ref="C824:C826"/>
    <mergeCell ref="D824:D826"/>
    <mergeCell ref="E824:E826"/>
    <mergeCell ref="AF822:AF823"/>
    <mergeCell ref="AG822:AG823"/>
    <mergeCell ref="AI822:AI823"/>
    <mergeCell ref="AJ822:AJ823"/>
    <mergeCell ref="AK822:AK823"/>
    <mergeCell ref="AL822:AL823"/>
    <mergeCell ref="S822:S823"/>
    <mergeCell ref="T822:T823"/>
    <mergeCell ref="U822:U823"/>
    <mergeCell ref="V822:V823"/>
    <mergeCell ref="W822:W823"/>
    <mergeCell ref="X822:X823"/>
    <mergeCell ref="M822:M823"/>
    <mergeCell ref="N822:N823"/>
    <mergeCell ref="O822:O823"/>
    <mergeCell ref="P822:P823"/>
    <mergeCell ref="Q822:Q823"/>
    <mergeCell ref="R822:R823"/>
    <mergeCell ref="G822:G823"/>
    <mergeCell ref="H822:H823"/>
    <mergeCell ref="I822:I823"/>
    <mergeCell ref="J822:J823"/>
    <mergeCell ref="K822:K823"/>
    <mergeCell ref="L822:L823"/>
    <mergeCell ref="A822:A823"/>
    <mergeCell ref="B822:B823"/>
    <mergeCell ref="C822:C823"/>
    <mergeCell ref="D822:D823"/>
    <mergeCell ref="E822:E823"/>
    <mergeCell ref="F822:F823"/>
    <mergeCell ref="A827:A831"/>
    <mergeCell ref="B827:B831"/>
    <mergeCell ref="C827:C831"/>
    <mergeCell ref="D827:D831"/>
    <mergeCell ref="E827:E831"/>
    <mergeCell ref="F827:F831"/>
    <mergeCell ref="AL824:AL826"/>
    <mergeCell ref="AM824:AM826"/>
    <mergeCell ref="AN824:AN826"/>
    <mergeCell ref="AO824:AO826"/>
    <mergeCell ref="AP824:AP826"/>
    <mergeCell ref="AQ824:AQ826"/>
    <mergeCell ref="X824:X826"/>
    <mergeCell ref="AF824:AF826"/>
    <mergeCell ref="AG824:AG826"/>
    <mergeCell ref="AI824:AI826"/>
    <mergeCell ref="AJ824:AJ826"/>
    <mergeCell ref="AK824:AK826"/>
    <mergeCell ref="R824:R826"/>
    <mergeCell ref="S824:S826"/>
    <mergeCell ref="T824:T826"/>
    <mergeCell ref="U824:U826"/>
    <mergeCell ref="V824:V826"/>
    <mergeCell ref="W824:W826"/>
    <mergeCell ref="L824:L826"/>
    <mergeCell ref="M824:M826"/>
    <mergeCell ref="N824:N826"/>
    <mergeCell ref="O824:O826"/>
    <mergeCell ref="P824:P826"/>
    <mergeCell ref="Q824:Q826"/>
    <mergeCell ref="F824:F826"/>
    <mergeCell ref="G824:G826"/>
    <mergeCell ref="H824:H826"/>
    <mergeCell ref="I824:I826"/>
    <mergeCell ref="J824:J826"/>
    <mergeCell ref="K824:K826"/>
    <mergeCell ref="Y829:Y830"/>
    <mergeCell ref="Z829:Z830"/>
    <mergeCell ref="AA829:AA830"/>
    <mergeCell ref="AB829:AB830"/>
    <mergeCell ref="AC829:AC830"/>
    <mergeCell ref="J830:J831"/>
    <mergeCell ref="V830:V831"/>
    <mergeCell ref="AM827:AM831"/>
    <mergeCell ref="AN827:AN831"/>
    <mergeCell ref="AO827:AO831"/>
    <mergeCell ref="AP827:AP831"/>
    <mergeCell ref="AQ827:AQ831"/>
    <mergeCell ref="AP843:AP845"/>
    <mergeCell ref="AQ843:AQ845"/>
    <mergeCell ref="AP840:AP842"/>
    <mergeCell ref="AQ840:AQ842"/>
    <mergeCell ref="AR827:AR831"/>
    <mergeCell ref="AF827:AF831"/>
    <mergeCell ref="AG827:AG831"/>
    <mergeCell ref="AI827:AI831"/>
    <mergeCell ref="AJ827:AJ831"/>
    <mergeCell ref="AK827:AK831"/>
    <mergeCell ref="AL827:AL831"/>
    <mergeCell ref="S827:S831"/>
    <mergeCell ref="T827:T831"/>
    <mergeCell ref="U827:U831"/>
    <mergeCell ref="V827:V829"/>
    <mergeCell ref="W827:W831"/>
    <mergeCell ref="X827:X831"/>
    <mergeCell ref="M827:M831"/>
    <mergeCell ref="N827:N831"/>
    <mergeCell ref="O827:O831"/>
    <mergeCell ref="P827:P831"/>
    <mergeCell ref="Q827:Q831"/>
    <mergeCell ref="R827:R831"/>
    <mergeCell ref="G827:G831"/>
    <mergeCell ref="H827:H831"/>
    <mergeCell ref="I827:I831"/>
    <mergeCell ref="J827:J829"/>
    <mergeCell ref="K827:K831"/>
    <mergeCell ref="L827:L831"/>
    <mergeCell ref="AM832:AM835"/>
    <mergeCell ref="AN832:AN835"/>
    <mergeCell ref="AO832:AO835"/>
    <mergeCell ref="AP832:AP835"/>
    <mergeCell ref="AQ832:AQ835"/>
    <mergeCell ref="AJ840:AJ842"/>
    <mergeCell ref="AK840:AK842"/>
    <mergeCell ref="AL840:AL842"/>
    <mergeCell ref="AM840:AM842"/>
    <mergeCell ref="AN840:AN842"/>
    <mergeCell ref="AO840:AO842"/>
    <mergeCell ref="V840:V842"/>
    <mergeCell ref="W840:W842"/>
    <mergeCell ref="X840:X842"/>
    <mergeCell ref="AF840:AF842"/>
    <mergeCell ref="AG840:AG842"/>
    <mergeCell ref="AI840:AI842"/>
    <mergeCell ref="P840:P842"/>
    <mergeCell ref="Q840:Q842"/>
    <mergeCell ref="R840:R842"/>
    <mergeCell ref="S840:S842"/>
    <mergeCell ref="T840:T842"/>
    <mergeCell ref="U840:U842"/>
    <mergeCell ref="J840:J842"/>
    <mergeCell ref="K840:K842"/>
    <mergeCell ref="L840:L842"/>
    <mergeCell ref="M840:M842"/>
    <mergeCell ref="N840:N842"/>
    <mergeCell ref="O840:O842"/>
    <mergeCell ref="AF832:AF835"/>
    <mergeCell ref="AG832:AG835"/>
    <mergeCell ref="AI832:AI835"/>
    <mergeCell ref="AJ832:AJ835"/>
    <mergeCell ref="AK832:AK835"/>
    <mergeCell ref="AL832:AL835"/>
    <mergeCell ref="AR836:AR839"/>
    <mergeCell ref="A840:A842"/>
    <mergeCell ref="B840:B842"/>
    <mergeCell ref="C840:C842"/>
    <mergeCell ref="D840:D842"/>
    <mergeCell ref="E840:E842"/>
    <mergeCell ref="F840:F842"/>
    <mergeCell ref="G840:G842"/>
    <mergeCell ref="H840:H842"/>
    <mergeCell ref="I840:I842"/>
    <mergeCell ref="AL836:AL839"/>
    <mergeCell ref="AM836:AM839"/>
    <mergeCell ref="AN836:AN839"/>
    <mergeCell ref="AO836:AO839"/>
    <mergeCell ref="AP836:AP839"/>
    <mergeCell ref="AQ836:AQ839"/>
    <mergeCell ref="X836:X839"/>
    <mergeCell ref="AF836:AF839"/>
    <mergeCell ref="AG836:AG839"/>
    <mergeCell ref="AI836:AI839"/>
    <mergeCell ref="AJ836:AJ839"/>
    <mergeCell ref="AK836:AK839"/>
    <mergeCell ref="R836:R839"/>
    <mergeCell ref="S836:S839"/>
    <mergeCell ref="T836:T839"/>
    <mergeCell ref="U836:U839"/>
    <mergeCell ref="V836:V839"/>
    <mergeCell ref="W836:W839"/>
    <mergeCell ref="L836:L839"/>
    <mergeCell ref="M836:M839"/>
    <mergeCell ref="N836:N839"/>
    <mergeCell ref="O836:O839"/>
    <mergeCell ref="P836:P839"/>
    <mergeCell ref="Q836:Q839"/>
    <mergeCell ref="F836:F839"/>
    <mergeCell ref="G836:G839"/>
    <mergeCell ref="H836:H839"/>
    <mergeCell ref="I836:I839"/>
    <mergeCell ref="A836:A839"/>
    <mergeCell ref="B836:B839"/>
    <mergeCell ref="C836:C839"/>
    <mergeCell ref="D836:D839"/>
    <mergeCell ref="E836:E839"/>
    <mergeCell ref="J836:J839"/>
    <mergeCell ref="K836:K839"/>
    <mergeCell ref="Q832:Q835"/>
    <mergeCell ref="R832:R835"/>
    <mergeCell ref="G832:G835"/>
    <mergeCell ref="H832:H835"/>
    <mergeCell ref="I832:I835"/>
    <mergeCell ref="J832:J835"/>
    <mergeCell ref="K832:K835"/>
    <mergeCell ref="L832:L835"/>
    <mergeCell ref="A832:A835"/>
    <mergeCell ref="B832:B835"/>
    <mergeCell ref="A846:A848"/>
    <mergeCell ref="B846:B848"/>
    <mergeCell ref="C846:C848"/>
    <mergeCell ref="D846:D848"/>
    <mergeCell ref="E846:E848"/>
    <mergeCell ref="F846:F848"/>
    <mergeCell ref="G846:G848"/>
    <mergeCell ref="AI843:AI845"/>
    <mergeCell ref="AJ843:AJ845"/>
    <mergeCell ref="AK843:AK845"/>
    <mergeCell ref="AL843:AL845"/>
    <mergeCell ref="AM843:AM845"/>
    <mergeCell ref="AN843:AN845"/>
    <mergeCell ref="U843:U845"/>
    <mergeCell ref="V843:V845"/>
    <mergeCell ref="W843:W845"/>
    <mergeCell ref="X843:X845"/>
    <mergeCell ref="AF843:AF845"/>
    <mergeCell ref="AG843:AG845"/>
    <mergeCell ref="O843:O845"/>
    <mergeCell ref="P843:P845"/>
    <mergeCell ref="Q843:Q845"/>
    <mergeCell ref="R843:R845"/>
    <mergeCell ref="S843:S845"/>
    <mergeCell ref="T843:T845"/>
    <mergeCell ref="I843:I845"/>
    <mergeCell ref="J843:J845"/>
    <mergeCell ref="K843:K845"/>
    <mergeCell ref="L843:L845"/>
    <mergeCell ref="M843:M845"/>
    <mergeCell ref="N843:N845"/>
    <mergeCell ref="AN846:AN848"/>
    <mergeCell ref="C832:C835"/>
    <mergeCell ref="D832:D835"/>
    <mergeCell ref="E832:E835"/>
    <mergeCell ref="F832:F835"/>
    <mergeCell ref="S832:S835"/>
    <mergeCell ref="T832:T835"/>
    <mergeCell ref="U832:U835"/>
    <mergeCell ref="V832:V835"/>
    <mergeCell ref="W832:W835"/>
    <mergeCell ref="X832:X835"/>
    <mergeCell ref="M832:M835"/>
    <mergeCell ref="N832:N835"/>
    <mergeCell ref="O832:O835"/>
    <mergeCell ref="P832:P835"/>
    <mergeCell ref="AO846:AO848"/>
    <mergeCell ref="AO843:AO845"/>
    <mergeCell ref="AP846:AP848"/>
    <mergeCell ref="AQ846:AQ848"/>
    <mergeCell ref="A843:A845"/>
    <mergeCell ref="B843:B845"/>
    <mergeCell ref="C843:C845"/>
    <mergeCell ref="D843:D845"/>
    <mergeCell ref="E843:E845"/>
    <mergeCell ref="F843:F845"/>
    <mergeCell ref="G843:G845"/>
    <mergeCell ref="H843:H845"/>
    <mergeCell ref="A850:A860"/>
    <mergeCell ref="B850:B860"/>
    <mergeCell ref="C850:C860"/>
    <mergeCell ref="D850:D860"/>
    <mergeCell ref="E850:E860"/>
    <mergeCell ref="F850:F860"/>
    <mergeCell ref="AG846:AG848"/>
    <mergeCell ref="AI846:AI848"/>
    <mergeCell ref="AJ846:AJ848"/>
    <mergeCell ref="AK846:AK848"/>
    <mergeCell ref="AL846:AL848"/>
    <mergeCell ref="AM846:AM848"/>
    <mergeCell ref="T846:T848"/>
    <mergeCell ref="U846:U848"/>
    <mergeCell ref="V846:V848"/>
    <mergeCell ref="W846:W848"/>
    <mergeCell ref="X846:X848"/>
    <mergeCell ref="AF846:AF848"/>
    <mergeCell ref="N846:N848"/>
    <mergeCell ref="O846:O848"/>
    <mergeCell ref="P846:P848"/>
    <mergeCell ref="Q846:Q848"/>
    <mergeCell ref="R846:R848"/>
    <mergeCell ref="S846:S848"/>
    <mergeCell ref="H846:H848"/>
    <mergeCell ref="I846:I848"/>
    <mergeCell ref="J846:J848"/>
    <mergeCell ref="K846:K848"/>
    <mergeCell ref="L846:L848"/>
    <mergeCell ref="M846:M848"/>
    <mergeCell ref="AM850:AM852"/>
    <mergeCell ref="AN850:AN860"/>
    <mergeCell ref="AO850:AO860"/>
    <mergeCell ref="AI856:AI858"/>
    <mergeCell ref="AK856:AK858"/>
    <mergeCell ref="Y853:Y854"/>
    <mergeCell ref="AC853:AC854"/>
    <mergeCell ref="AF853:AF858"/>
    <mergeCell ref="AI853:AI855"/>
    <mergeCell ref="AK853:AK855"/>
    <mergeCell ref="AL853:AL855"/>
    <mergeCell ref="AL856:AL858"/>
    <mergeCell ref="G850:G860"/>
    <mergeCell ref="H850:H860"/>
    <mergeCell ref="I850:I860"/>
    <mergeCell ref="J850:J858"/>
    <mergeCell ref="K850:K860"/>
    <mergeCell ref="L850:L860"/>
    <mergeCell ref="AP850:AP860"/>
    <mergeCell ref="AQ850:AQ860"/>
    <mergeCell ref="M853:M858"/>
    <mergeCell ref="N853:N855"/>
    <mergeCell ref="O853:O855"/>
    <mergeCell ref="P853:P858"/>
    <mergeCell ref="R853:R858"/>
    <mergeCell ref="AF850:AF852"/>
    <mergeCell ref="AG850:AG860"/>
    <mergeCell ref="AI850:AI852"/>
    <mergeCell ref="AJ850:AJ860"/>
    <mergeCell ref="AK850:AK852"/>
    <mergeCell ref="AL850:AL852"/>
    <mergeCell ref="AL859:AL860"/>
    <mergeCell ref="S850:S852"/>
    <mergeCell ref="T850:T852"/>
    <mergeCell ref="U850:U852"/>
    <mergeCell ref="V850:V852"/>
    <mergeCell ref="W850:W860"/>
    <mergeCell ref="X850:X860"/>
    <mergeCell ref="S853:S858"/>
    <mergeCell ref="T853:T855"/>
    <mergeCell ref="U853:U855"/>
    <mergeCell ref="V853:V855"/>
    <mergeCell ref="M850:M852"/>
    <mergeCell ref="N850:N852"/>
    <mergeCell ref="O850:O852"/>
    <mergeCell ref="P850:P852"/>
    <mergeCell ref="Q850:Q860"/>
    <mergeCell ref="R850:R852"/>
    <mergeCell ref="AM859:AM860"/>
    <mergeCell ref="A861:A870"/>
    <mergeCell ref="B861:B870"/>
    <mergeCell ref="C861:C870"/>
    <mergeCell ref="D861:D870"/>
    <mergeCell ref="E861:E870"/>
    <mergeCell ref="F861:F870"/>
    <mergeCell ref="G861:G870"/>
    <mergeCell ref="H861:H870"/>
    <mergeCell ref="I861:I870"/>
    <mergeCell ref="T859:T860"/>
    <mergeCell ref="U859:U860"/>
    <mergeCell ref="V859:V860"/>
    <mergeCell ref="AF859:AF860"/>
    <mergeCell ref="AI859:AI860"/>
    <mergeCell ref="AK859:AK860"/>
    <mergeCell ref="AM856:AM858"/>
    <mergeCell ref="Y857:Y858"/>
    <mergeCell ref="AC857:AC858"/>
    <mergeCell ref="J859:J860"/>
    <mergeCell ref="M859:M860"/>
    <mergeCell ref="N859:N860"/>
    <mergeCell ref="O859:O860"/>
    <mergeCell ref="P859:P860"/>
    <mergeCell ref="R859:R860"/>
    <mergeCell ref="S859:S860"/>
    <mergeCell ref="AM853:AM855"/>
    <mergeCell ref="Y855:Y856"/>
    <mergeCell ref="AC855:AC856"/>
    <mergeCell ref="N856:N858"/>
    <mergeCell ref="O856:O858"/>
    <mergeCell ref="T856:T858"/>
    <mergeCell ref="U856:U858"/>
    <mergeCell ref="V856:V858"/>
    <mergeCell ref="A871:A879"/>
    <mergeCell ref="B871:B879"/>
    <mergeCell ref="C871:C876"/>
    <mergeCell ref="D871:D879"/>
    <mergeCell ref="E871:E879"/>
    <mergeCell ref="F871:F879"/>
    <mergeCell ref="AP861:AP870"/>
    <mergeCell ref="AQ861:AQ870"/>
    <mergeCell ref="M866:M870"/>
    <mergeCell ref="N866:N870"/>
    <mergeCell ref="O866:O870"/>
    <mergeCell ref="P866:P870"/>
    <mergeCell ref="R866:R870"/>
    <mergeCell ref="S866:S870"/>
    <mergeCell ref="T866:T870"/>
    <mergeCell ref="U866:U870"/>
    <mergeCell ref="AJ861:AJ865"/>
    <mergeCell ref="AK861:AK865"/>
    <mergeCell ref="AL861:AL865"/>
    <mergeCell ref="AM861:AM865"/>
    <mergeCell ref="AN861:AN870"/>
    <mergeCell ref="AO861:AO870"/>
    <mergeCell ref="AJ866:AJ870"/>
    <mergeCell ref="AK866:AK870"/>
    <mergeCell ref="AL866:AL870"/>
    <mergeCell ref="AM866:AM870"/>
    <mergeCell ref="V861:V865"/>
    <mergeCell ref="W861:W870"/>
    <mergeCell ref="X861:X870"/>
    <mergeCell ref="AF861:AF865"/>
    <mergeCell ref="AG861:AG870"/>
    <mergeCell ref="AI861:AI865"/>
    <mergeCell ref="V866:V870"/>
    <mergeCell ref="AF866:AF870"/>
    <mergeCell ref="AI866:AI870"/>
    <mergeCell ref="P861:P865"/>
    <mergeCell ref="Q861:Q870"/>
    <mergeCell ref="R861:R865"/>
    <mergeCell ref="S861:S865"/>
    <mergeCell ref="T861:T865"/>
    <mergeCell ref="U861:U865"/>
    <mergeCell ref="J861:J870"/>
    <mergeCell ref="K861:K870"/>
    <mergeCell ref="L861:L870"/>
    <mergeCell ref="M861:M865"/>
    <mergeCell ref="N861:N865"/>
    <mergeCell ref="O861:O865"/>
    <mergeCell ref="V877:V879"/>
    <mergeCell ref="AF877:AF879"/>
    <mergeCell ref="AI877:AI879"/>
    <mergeCell ref="AK877:AK879"/>
    <mergeCell ref="AL877:AL879"/>
    <mergeCell ref="AM877:AM879"/>
    <mergeCell ref="AM874:AM876"/>
    <mergeCell ref="C877:C879"/>
    <mergeCell ref="M877:M879"/>
    <mergeCell ref="N877:N879"/>
    <mergeCell ref="O877:O879"/>
    <mergeCell ref="P877:P879"/>
    <mergeCell ref="R877:R879"/>
    <mergeCell ref="S877:S879"/>
    <mergeCell ref="T877:T879"/>
    <mergeCell ref="U877:U879"/>
    <mergeCell ref="AM871:AM873"/>
    <mergeCell ref="AN871:AN879"/>
    <mergeCell ref="AO871:AO879"/>
    <mergeCell ref="AP871:AP879"/>
    <mergeCell ref="AQ871:AQ879"/>
    <mergeCell ref="M874:M876"/>
    <mergeCell ref="N874:N876"/>
    <mergeCell ref="O874:O876"/>
    <mergeCell ref="P874:P876"/>
    <mergeCell ref="R874:R876"/>
    <mergeCell ref="AF871:AF873"/>
    <mergeCell ref="AG871:AG879"/>
    <mergeCell ref="AI871:AI873"/>
    <mergeCell ref="AJ871:AJ879"/>
    <mergeCell ref="AK871:AK873"/>
    <mergeCell ref="AL871:AL873"/>
    <mergeCell ref="AF874:AF876"/>
    <mergeCell ref="AI874:AI876"/>
    <mergeCell ref="AK874:AK876"/>
    <mergeCell ref="AL874:AL876"/>
    <mergeCell ref="S871:S873"/>
    <mergeCell ref="T871:T873"/>
    <mergeCell ref="U871:U873"/>
    <mergeCell ref="V871:V873"/>
    <mergeCell ref="W871:W879"/>
    <mergeCell ref="X871:X879"/>
    <mergeCell ref="S874:S876"/>
    <mergeCell ref="T874:T876"/>
    <mergeCell ref="U874:U876"/>
    <mergeCell ref="V874:V876"/>
    <mergeCell ref="M871:M873"/>
    <mergeCell ref="N871:N873"/>
    <mergeCell ref="O871:O873"/>
    <mergeCell ref="P871:P873"/>
    <mergeCell ref="Q871:Q879"/>
    <mergeCell ref="R871:R873"/>
    <mergeCell ref="G871:G879"/>
    <mergeCell ref="H871:H879"/>
    <mergeCell ref="I871:I879"/>
    <mergeCell ref="J871:J879"/>
    <mergeCell ref="K871:K879"/>
    <mergeCell ref="L871:L879"/>
    <mergeCell ref="AM882:AM883"/>
    <mergeCell ref="A885:A887"/>
    <mergeCell ref="B885:B887"/>
    <mergeCell ref="C885:C887"/>
    <mergeCell ref="D885:D887"/>
    <mergeCell ref="E885:E887"/>
    <mergeCell ref="F885:F887"/>
    <mergeCell ref="G885:G887"/>
    <mergeCell ref="H885:H887"/>
    <mergeCell ref="I885:I887"/>
    <mergeCell ref="AM880:AM881"/>
    <mergeCell ref="AN880:AN884"/>
    <mergeCell ref="AO880:AO884"/>
    <mergeCell ref="AP880:AP884"/>
    <mergeCell ref="AQ880:AQ884"/>
    <mergeCell ref="C882:C883"/>
    <mergeCell ref="M882:M883"/>
    <mergeCell ref="N882:N883"/>
    <mergeCell ref="O882:O883"/>
    <mergeCell ref="P882:P883"/>
    <mergeCell ref="AF880:AF881"/>
    <mergeCell ref="AG880:AG884"/>
    <mergeCell ref="AI880:AI881"/>
    <mergeCell ref="AJ880:AJ884"/>
    <mergeCell ref="AK880:AK881"/>
    <mergeCell ref="AL880:AL881"/>
    <mergeCell ref="AF882:AF883"/>
    <mergeCell ref="AI882:AI883"/>
    <mergeCell ref="AK882:AK883"/>
    <mergeCell ref="AL882:AL883"/>
    <mergeCell ref="S880:S881"/>
    <mergeCell ref="T880:T881"/>
    <mergeCell ref="U880:U881"/>
    <mergeCell ref="V880:V881"/>
    <mergeCell ref="W880:W884"/>
    <mergeCell ref="X880:X884"/>
    <mergeCell ref="S882:S883"/>
    <mergeCell ref="T882:T883"/>
    <mergeCell ref="U882:U883"/>
    <mergeCell ref="V882:V883"/>
    <mergeCell ref="M880:M881"/>
    <mergeCell ref="N880:N881"/>
    <mergeCell ref="O880:O881"/>
    <mergeCell ref="P880:P881"/>
    <mergeCell ref="Q880:Q884"/>
    <mergeCell ref="R880:R881"/>
    <mergeCell ref="R882:R883"/>
    <mergeCell ref="G880:G884"/>
    <mergeCell ref="H880:H884"/>
    <mergeCell ref="I880:I884"/>
    <mergeCell ref="J880:J883"/>
    <mergeCell ref="K880:K884"/>
    <mergeCell ref="L880:L884"/>
    <mergeCell ref="A880:A884"/>
    <mergeCell ref="B880:B884"/>
    <mergeCell ref="C880:C881"/>
    <mergeCell ref="D880:D884"/>
    <mergeCell ref="E880:E884"/>
    <mergeCell ref="F880:F884"/>
    <mergeCell ref="AP885:AP887"/>
    <mergeCell ref="AQ885:AQ887"/>
    <mergeCell ref="A888:A904"/>
    <mergeCell ref="B888:B904"/>
    <mergeCell ref="C888:C896"/>
    <mergeCell ref="D888:D904"/>
    <mergeCell ref="E888:E904"/>
    <mergeCell ref="F888:F904"/>
    <mergeCell ref="G888:G904"/>
    <mergeCell ref="H888:H904"/>
    <mergeCell ref="AJ885:AJ887"/>
    <mergeCell ref="AK885:AK887"/>
    <mergeCell ref="AL885:AL887"/>
    <mergeCell ref="AM885:AM887"/>
    <mergeCell ref="AN885:AN887"/>
    <mergeCell ref="AO885:AO887"/>
    <mergeCell ref="V885:V887"/>
    <mergeCell ref="W885:W887"/>
    <mergeCell ref="X885:X887"/>
    <mergeCell ref="AF885:AF887"/>
    <mergeCell ref="AG885:AG887"/>
    <mergeCell ref="AI885:AI887"/>
    <mergeCell ref="P885:P887"/>
    <mergeCell ref="Q885:Q887"/>
    <mergeCell ref="R885:R887"/>
    <mergeCell ref="S885:S887"/>
    <mergeCell ref="T885:T887"/>
    <mergeCell ref="U885:U887"/>
    <mergeCell ref="J885:J887"/>
    <mergeCell ref="K885:K887"/>
    <mergeCell ref="L885:L887"/>
    <mergeCell ref="M885:M887"/>
    <mergeCell ref="N885:N887"/>
    <mergeCell ref="O885:O887"/>
    <mergeCell ref="AO888:AO904"/>
    <mergeCell ref="AP888:AP904"/>
    <mergeCell ref="AQ888:AQ904"/>
    <mergeCell ref="C897:C904"/>
    <mergeCell ref="M897:M904"/>
    <mergeCell ref="N897:N904"/>
    <mergeCell ref="O897:O904"/>
    <mergeCell ref="P897:P904"/>
    <mergeCell ref="R897:R904"/>
    <mergeCell ref="S897:S904"/>
    <mergeCell ref="AI888:AI896"/>
    <mergeCell ref="AJ888:AJ904"/>
    <mergeCell ref="AK888:AK896"/>
    <mergeCell ref="AL888:AL896"/>
    <mergeCell ref="AM888:AM896"/>
    <mergeCell ref="AN888:AN904"/>
    <mergeCell ref="AI897:AI904"/>
    <mergeCell ref="AK897:AK904"/>
    <mergeCell ref="AL897:AL904"/>
    <mergeCell ref="AM897:AM904"/>
    <mergeCell ref="U888:U896"/>
    <mergeCell ref="V888:V896"/>
    <mergeCell ref="W888:W904"/>
    <mergeCell ref="X888:X904"/>
    <mergeCell ref="AF888:AF896"/>
    <mergeCell ref="AG888:AG904"/>
    <mergeCell ref="U897:U904"/>
    <mergeCell ref="V897:V904"/>
    <mergeCell ref="AF897:AF904"/>
    <mergeCell ref="O888:O896"/>
    <mergeCell ref="P888:P896"/>
    <mergeCell ref="Q888:Q904"/>
    <mergeCell ref="R888:R896"/>
    <mergeCell ref="S888:S896"/>
    <mergeCell ref="T888:T896"/>
    <mergeCell ref="T897:T904"/>
    <mergeCell ref="I888:I904"/>
    <mergeCell ref="J888:J904"/>
    <mergeCell ref="K888:K904"/>
    <mergeCell ref="L888:L904"/>
    <mergeCell ref="M888:M896"/>
    <mergeCell ref="N888:N896"/>
    <mergeCell ref="AM907:AM908"/>
    <mergeCell ref="A909:A914"/>
    <mergeCell ref="B909:B914"/>
    <mergeCell ref="C909:C914"/>
    <mergeCell ref="D909:D914"/>
    <mergeCell ref="E909:E914"/>
    <mergeCell ref="F909:F914"/>
    <mergeCell ref="G909:G914"/>
    <mergeCell ref="H909:H914"/>
    <mergeCell ref="I909:I914"/>
    <mergeCell ref="AM905:AM906"/>
    <mergeCell ref="AN905:AN908"/>
    <mergeCell ref="AO905:AO908"/>
    <mergeCell ref="AP905:AP908"/>
    <mergeCell ref="AQ905:AQ908"/>
    <mergeCell ref="M907:M908"/>
    <mergeCell ref="N907:N908"/>
    <mergeCell ref="O907:O908"/>
    <mergeCell ref="P907:P908"/>
    <mergeCell ref="R907:R908"/>
    <mergeCell ref="AF905:AF906"/>
    <mergeCell ref="AG905:AG908"/>
    <mergeCell ref="AI905:AI906"/>
    <mergeCell ref="AJ905:AJ908"/>
    <mergeCell ref="AK905:AK906"/>
    <mergeCell ref="AL905:AL906"/>
    <mergeCell ref="AF907:AF908"/>
    <mergeCell ref="AI907:AI908"/>
    <mergeCell ref="AK907:AK908"/>
    <mergeCell ref="AL907:AL908"/>
    <mergeCell ref="S905:S906"/>
    <mergeCell ref="T905:T906"/>
    <mergeCell ref="U905:U906"/>
    <mergeCell ref="V905:V906"/>
    <mergeCell ref="W905:W908"/>
    <mergeCell ref="X905:X908"/>
    <mergeCell ref="S907:S908"/>
    <mergeCell ref="T907:T908"/>
    <mergeCell ref="U907:U908"/>
    <mergeCell ref="V907:V908"/>
    <mergeCell ref="M905:M906"/>
    <mergeCell ref="N905:N906"/>
    <mergeCell ref="O905:O906"/>
    <mergeCell ref="P905:P906"/>
    <mergeCell ref="Q905:Q908"/>
    <mergeCell ref="R905:R906"/>
    <mergeCell ref="G905:G908"/>
    <mergeCell ref="H905:H908"/>
    <mergeCell ref="I905:I908"/>
    <mergeCell ref="J905:J908"/>
    <mergeCell ref="K905:K908"/>
    <mergeCell ref="L905:L908"/>
    <mergeCell ref="A905:A908"/>
    <mergeCell ref="B905:B908"/>
    <mergeCell ref="C905:C908"/>
    <mergeCell ref="D905:D908"/>
    <mergeCell ref="E905:E908"/>
    <mergeCell ref="F905:F908"/>
    <mergeCell ref="AP909:AP914"/>
    <mergeCell ref="AQ909:AQ914"/>
    <mergeCell ref="A915:A941"/>
    <mergeCell ref="B915:B941"/>
    <mergeCell ref="C915:C917"/>
    <mergeCell ref="D915:D941"/>
    <mergeCell ref="E915:E941"/>
    <mergeCell ref="F915:F941"/>
    <mergeCell ref="G915:G941"/>
    <mergeCell ref="H915:H941"/>
    <mergeCell ref="AJ909:AJ914"/>
    <mergeCell ref="AK909:AK914"/>
    <mergeCell ref="AL909:AL914"/>
    <mergeCell ref="AM909:AM914"/>
    <mergeCell ref="AN909:AN914"/>
    <mergeCell ref="AO909:AO914"/>
    <mergeCell ref="V909:V914"/>
    <mergeCell ref="W909:W914"/>
    <mergeCell ref="X909:X914"/>
    <mergeCell ref="AF909:AF914"/>
    <mergeCell ref="AG909:AG914"/>
    <mergeCell ref="AI909:AI914"/>
    <mergeCell ref="P909:P914"/>
    <mergeCell ref="Q909:Q914"/>
    <mergeCell ref="R909:R914"/>
    <mergeCell ref="S909:S914"/>
    <mergeCell ref="T909:T914"/>
    <mergeCell ref="U909:U914"/>
    <mergeCell ref="J909:J914"/>
    <mergeCell ref="K909:K914"/>
    <mergeCell ref="L909:L914"/>
    <mergeCell ref="M909:M914"/>
    <mergeCell ref="N909:N914"/>
    <mergeCell ref="O909:O914"/>
    <mergeCell ref="F942:F947"/>
    <mergeCell ref="G942:G947"/>
    <mergeCell ref="H942:H947"/>
    <mergeCell ref="I942:I947"/>
    <mergeCell ref="J942:J945"/>
    <mergeCell ref="K942:K947"/>
    <mergeCell ref="J946:J947"/>
    <mergeCell ref="C936:C941"/>
    <mergeCell ref="Y937:Y941"/>
    <mergeCell ref="Z937:Z941"/>
    <mergeCell ref="AA937:AA941"/>
    <mergeCell ref="AC937:AC941"/>
    <mergeCell ref="A942:A947"/>
    <mergeCell ref="B942:B947"/>
    <mergeCell ref="C942:C947"/>
    <mergeCell ref="D942:D947"/>
    <mergeCell ref="E942:E947"/>
    <mergeCell ref="AQ915:AQ941"/>
    <mergeCell ref="C918:C920"/>
    <mergeCell ref="C921:C923"/>
    <mergeCell ref="C924:C927"/>
    <mergeCell ref="Y924:Y930"/>
    <mergeCell ref="Z924:Z930"/>
    <mergeCell ref="AA924:AA930"/>
    <mergeCell ref="AC924:AC930"/>
    <mergeCell ref="C928:C931"/>
    <mergeCell ref="C932:C935"/>
    <mergeCell ref="AK915:AK941"/>
    <mergeCell ref="AL915:AL941"/>
    <mergeCell ref="AM915:AM941"/>
    <mergeCell ref="AN915:AN941"/>
    <mergeCell ref="AO915:AO941"/>
    <mergeCell ref="AP915:AP941"/>
    <mergeCell ref="AA915:AA923"/>
    <mergeCell ref="AC915:AC923"/>
    <mergeCell ref="AF915:AF941"/>
    <mergeCell ref="AG915:AG941"/>
    <mergeCell ref="AI915:AI941"/>
    <mergeCell ref="AJ915:AJ941"/>
    <mergeCell ref="AA932:AA936"/>
    <mergeCell ref="AC932:AC936"/>
    <mergeCell ref="U915:U941"/>
    <mergeCell ref="V915:V941"/>
    <mergeCell ref="W915:W941"/>
    <mergeCell ref="X915:X941"/>
    <mergeCell ref="Y915:Y923"/>
    <mergeCell ref="Z915:Z923"/>
    <mergeCell ref="Y932:Y936"/>
    <mergeCell ref="Z932:Z936"/>
    <mergeCell ref="O915:O941"/>
    <mergeCell ref="P915:P941"/>
    <mergeCell ref="Q915:Q941"/>
    <mergeCell ref="R915:R941"/>
    <mergeCell ref="S915:S941"/>
    <mergeCell ref="T915:T941"/>
    <mergeCell ref="I915:I941"/>
    <mergeCell ref="J915:J941"/>
    <mergeCell ref="K915:K941"/>
    <mergeCell ref="L915:L941"/>
    <mergeCell ref="M915:M941"/>
    <mergeCell ref="N915:N941"/>
    <mergeCell ref="V946:V947"/>
    <mergeCell ref="AF946:AF947"/>
    <mergeCell ref="AI946:AI947"/>
    <mergeCell ref="AK946:AK947"/>
    <mergeCell ref="AL946:AL947"/>
    <mergeCell ref="AM946:AM947"/>
    <mergeCell ref="AL942:AL945"/>
    <mergeCell ref="AM942:AM945"/>
    <mergeCell ref="AN942:AN947"/>
    <mergeCell ref="AO942:AO947"/>
    <mergeCell ref="AP942:AP947"/>
    <mergeCell ref="AQ942:AQ947"/>
    <mergeCell ref="X942:X947"/>
    <mergeCell ref="AF942:AF945"/>
    <mergeCell ref="AG942:AG947"/>
    <mergeCell ref="AI942:AI945"/>
    <mergeCell ref="AJ942:AJ947"/>
    <mergeCell ref="AK942:AK945"/>
    <mergeCell ref="R942:R945"/>
    <mergeCell ref="S942:S945"/>
    <mergeCell ref="T942:T945"/>
    <mergeCell ref="U942:U945"/>
    <mergeCell ref="V942:V945"/>
    <mergeCell ref="W942:W947"/>
    <mergeCell ref="R946:R947"/>
    <mergeCell ref="S946:S947"/>
    <mergeCell ref="T946:T947"/>
    <mergeCell ref="U946:U947"/>
    <mergeCell ref="L942:L947"/>
    <mergeCell ref="M942:M945"/>
    <mergeCell ref="N942:N945"/>
    <mergeCell ref="O942:O945"/>
    <mergeCell ref="P942:P945"/>
    <mergeCell ref="Q942:Q947"/>
    <mergeCell ref="M946:M947"/>
    <mergeCell ref="N946:N947"/>
    <mergeCell ref="O946:O947"/>
    <mergeCell ref="P946:P947"/>
    <mergeCell ref="AM948:AM952"/>
    <mergeCell ref="AN948:AN952"/>
    <mergeCell ref="AO948:AO952"/>
    <mergeCell ref="AP948:AP952"/>
    <mergeCell ref="AQ948:AQ952"/>
    <mergeCell ref="AR948:AR952"/>
    <mergeCell ref="AF948:AF952"/>
    <mergeCell ref="AG948:AG952"/>
    <mergeCell ref="AI948:AI952"/>
    <mergeCell ref="AJ948:AJ952"/>
    <mergeCell ref="AK948:AK952"/>
    <mergeCell ref="AL948:AL952"/>
    <mergeCell ref="S948:S952"/>
    <mergeCell ref="T948:T952"/>
    <mergeCell ref="U948:U952"/>
    <mergeCell ref="V948:V952"/>
    <mergeCell ref="W948:W952"/>
    <mergeCell ref="X948:X952"/>
    <mergeCell ref="M948:M952"/>
    <mergeCell ref="N948:N952"/>
    <mergeCell ref="O948:O952"/>
    <mergeCell ref="P948:P952"/>
    <mergeCell ref="Q948:Q952"/>
    <mergeCell ref="R948:R952"/>
    <mergeCell ref="G948:G952"/>
    <mergeCell ref="H948:H952"/>
    <mergeCell ref="I948:I952"/>
    <mergeCell ref="J948:J952"/>
    <mergeCell ref="K948:K952"/>
    <mergeCell ref="L948:L952"/>
    <mergeCell ref="A948:A952"/>
    <mergeCell ref="B948:B952"/>
    <mergeCell ref="C948:C952"/>
    <mergeCell ref="D948:D952"/>
    <mergeCell ref="E948:E952"/>
    <mergeCell ref="F948:F952"/>
    <mergeCell ref="AN953:AN968"/>
    <mergeCell ref="AO953:AO968"/>
    <mergeCell ref="AP953:AP968"/>
    <mergeCell ref="AQ953:AQ968"/>
    <mergeCell ref="M960:M966"/>
    <mergeCell ref="N960:N966"/>
    <mergeCell ref="O960:O966"/>
    <mergeCell ref="P960:P966"/>
    <mergeCell ref="R960:R966"/>
    <mergeCell ref="AF953:AF959"/>
    <mergeCell ref="AG953:AG968"/>
    <mergeCell ref="AI953:AI959"/>
    <mergeCell ref="AJ953:AJ968"/>
    <mergeCell ref="AK953:AK959"/>
    <mergeCell ref="AL953:AL959"/>
    <mergeCell ref="AF960:AF966"/>
    <mergeCell ref="AI960:AI966"/>
    <mergeCell ref="AK960:AK966"/>
    <mergeCell ref="AL960:AL966"/>
    <mergeCell ref="S953:S959"/>
    <mergeCell ref="T953:T959"/>
    <mergeCell ref="U953:U959"/>
    <mergeCell ref="V953:V959"/>
    <mergeCell ref="W953:W968"/>
    <mergeCell ref="X953:X968"/>
    <mergeCell ref="S960:S966"/>
    <mergeCell ref="T960:T966"/>
    <mergeCell ref="U960:U966"/>
    <mergeCell ref="V960:V966"/>
    <mergeCell ref="M953:M959"/>
    <mergeCell ref="N953:N959"/>
    <mergeCell ref="O953:O959"/>
    <mergeCell ref="P953:P959"/>
    <mergeCell ref="Q953:Q968"/>
    <mergeCell ref="R953:R959"/>
    <mergeCell ref="M969:M972"/>
    <mergeCell ref="N969:N970"/>
    <mergeCell ref="O969:O970"/>
    <mergeCell ref="P969:P972"/>
    <mergeCell ref="Q969:Q974"/>
    <mergeCell ref="R969:R972"/>
    <mergeCell ref="M973:M974"/>
    <mergeCell ref="N973:N974"/>
    <mergeCell ref="O973:O974"/>
    <mergeCell ref="P973:P974"/>
    <mergeCell ref="G969:G974"/>
    <mergeCell ref="H969:H974"/>
    <mergeCell ref="I969:I974"/>
    <mergeCell ref="J969:J972"/>
    <mergeCell ref="K969:K974"/>
    <mergeCell ref="L969:L974"/>
    <mergeCell ref="J973:J974"/>
    <mergeCell ref="A969:A974"/>
    <mergeCell ref="B969:B974"/>
    <mergeCell ref="C969:C974"/>
    <mergeCell ref="D969:D974"/>
    <mergeCell ref="E969:E974"/>
    <mergeCell ref="F969:F974"/>
    <mergeCell ref="V967:V968"/>
    <mergeCell ref="AF967:AF968"/>
    <mergeCell ref="AI967:AI968"/>
    <mergeCell ref="AK967:AK968"/>
    <mergeCell ref="AL967:AL968"/>
    <mergeCell ref="AM967:AM968"/>
    <mergeCell ref="AM960:AM966"/>
    <mergeCell ref="J967:J968"/>
    <mergeCell ref="M967:M968"/>
    <mergeCell ref="N967:N968"/>
    <mergeCell ref="O967:O968"/>
    <mergeCell ref="P967:P968"/>
    <mergeCell ref="R967:R968"/>
    <mergeCell ref="S967:S968"/>
    <mergeCell ref="T967:T968"/>
    <mergeCell ref="U967:U968"/>
    <mergeCell ref="G953:G968"/>
    <mergeCell ref="H953:H968"/>
    <mergeCell ref="I953:I968"/>
    <mergeCell ref="J953:J966"/>
    <mergeCell ref="K953:K968"/>
    <mergeCell ref="L953:L968"/>
    <mergeCell ref="A953:A968"/>
    <mergeCell ref="B953:B968"/>
    <mergeCell ref="C953:C968"/>
    <mergeCell ref="D953:D968"/>
    <mergeCell ref="E953:E968"/>
    <mergeCell ref="F953:F968"/>
    <mergeCell ref="R973:R974"/>
    <mergeCell ref="S973:S974"/>
    <mergeCell ref="T973:T974"/>
    <mergeCell ref="U973:U974"/>
    <mergeCell ref="V973:V974"/>
    <mergeCell ref="AF973:AF974"/>
    <mergeCell ref="AM953:AM959"/>
    <mergeCell ref="AQ969:AQ974"/>
    <mergeCell ref="N971:N972"/>
    <mergeCell ref="O971:O972"/>
    <mergeCell ref="T971:T972"/>
    <mergeCell ref="U971:U972"/>
    <mergeCell ref="V971:V972"/>
    <mergeCell ref="Y971:Y972"/>
    <mergeCell ref="AC971:AC972"/>
    <mergeCell ref="AI971:AI972"/>
    <mergeCell ref="AK971:AK972"/>
    <mergeCell ref="AK969:AK970"/>
    <mergeCell ref="AL969:AL972"/>
    <mergeCell ref="AM969:AM970"/>
    <mergeCell ref="AN969:AN974"/>
    <mergeCell ref="AO969:AO974"/>
    <mergeCell ref="AP969:AP974"/>
    <mergeCell ref="AM971:AM972"/>
    <mergeCell ref="AK973:AK974"/>
    <mergeCell ref="AL973:AL974"/>
    <mergeCell ref="AM973:AM974"/>
    <mergeCell ref="Y969:Y970"/>
    <mergeCell ref="AC969:AC970"/>
    <mergeCell ref="AF969:AF972"/>
    <mergeCell ref="AG969:AG974"/>
    <mergeCell ref="AI969:AI970"/>
    <mergeCell ref="AJ969:AJ974"/>
    <mergeCell ref="AI973:AI974"/>
    <mergeCell ref="S969:S972"/>
    <mergeCell ref="T969:T970"/>
    <mergeCell ref="U969:U970"/>
    <mergeCell ref="V969:V970"/>
    <mergeCell ref="W969:W974"/>
    <mergeCell ref="X969:X974"/>
    <mergeCell ref="A981:A982"/>
    <mergeCell ref="B981:B982"/>
    <mergeCell ref="C981:C982"/>
    <mergeCell ref="D981:D982"/>
    <mergeCell ref="E981:E982"/>
    <mergeCell ref="AF975:AF980"/>
    <mergeCell ref="AG975:AG980"/>
    <mergeCell ref="AI975:AI980"/>
    <mergeCell ref="AJ975:AJ980"/>
    <mergeCell ref="AK975:AK980"/>
    <mergeCell ref="AL975:AL980"/>
    <mergeCell ref="S975:S980"/>
    <mergeCell ref="T975:T980"/>
    <mergeCell ref="U975:U980"/>
    <mergeCell ref="V975:V980"/>
    <mergeCell ref="W975:W980"/>
    <mergeCell ref="X975:X980"/>
    <mergeCell ref="M975:M980"/>
    <mergeCell ref="N975:N980"/>
    <mergeCell ref="O975:O980"/>
    <mergeCell ref="P975:P980"/>
    <mergeCell ref="Q975:Q980"/>
    <mergeCell ref="R975:R980"/>
    <mergeCell ref="G975:G980"/>
    <mergeCell ref="H975:H980"/>
    <mergeCell ref="I975:I980"/>
    <mergeCell ref="J975:J980"/>
    <mergeCell ref="K975:K980"/>
    <mergeCell ref="L975:L980"/>
    <mergeCell ref="A975:A980"/>
    <mergeCell ref="B975:B980"/>
    <mergeCell ref="C975:C980"/>
    <mergeCell ref="D975:D980"/>
    <mergeCell ref="E975:E980"/>
    <mergeCell ref="F975:F980"/>
    <mergeCell ref="AL981:AL982"/>
    <mergeCell ref="AM981:AM982"/>
    <mergeCell ref="AN981:AN982"/>
    <mergeCell ref="AO981:AO982"/>
    <mergeCell ref="AP981:AP982"/>
    <mergeCell ref="AQ981:AQ982"/>
    <mergeCell ref="X981:X982"/>
    <mergeCell ref="AF981:AF982"/>
    <mergeCell ref="AG981:AG982"/>
    <mergeCell ref="AI981:AI982"/>
    <mergeCell ref="AJ981:AJ982"/>
    <mergeCell ref="AK981:AK982"/>
    <mergeCell ref="R981:R982"/>
    <mergeCell ref="S981:S982"/>
    <mergeCell ref="T981:T982"/>
    <mergeCell ref="U981:U982"/>
    <mergeCell ref="V981:V982"/>
    <mergeCell ref="W981:W982"/>
    <mergeCell ref="L981:L982"/>
    <mergeCell ref="M981:M982"/>
    <mergeCell ref="N981:N982"/>
    <mergeCell ref="O981:O982"/>
    <mergeCell ref="P981:P982"/>
    <mergeCell ref="Q981:Q982"/>
    <mergeCell ref="F981:F982"/>
    <mergeCell ref="G981:G982"/>
    <mergeCell ref="H981:H982"/>
    <mergeCell ref="I981:I982"/>
    <mergeCell ref="J981:J982"/>
    <mergeCell ref="K981:K982"/>
    <mergeCell ref="AM975:AM980"/>
    <mergeCell ref="AN975:AN980"/>
    <mergeCell ref="AO975:AO980"/>
    <mergeCell ref="AP975:AP980"/>
    <mergeCell ref="AQ975:AQ980"/>
    <mergeCell ref="AM987:AM988"/>
    <mergeCell ref="A989:A991"/>
    <mergeCell ref="B989:B991"/>
    <mergeCell ref="C989:C991"/>
    <mergeCell ref="D989:D991"/>
    <mergeCell ref="E989:E991"/>
    <mergeCell ref="F989:F991"/>
    <mergeCell ref="G989:G991"/>
    <mergeCell ref="H989:H991"/>
    <mergeCell ref="I989:I991"/>
    <mergeCell ref="AM983:AM986"/>
    <mergeCell ref="AN983:AN988"/>
    <mergeCell ref="AO983:AO988"/>
    <mergeCell ref="AP983:AP988"/>
    <mergeCell ref="AQ983:AQ988"/>
    <mergeCell ref="J987:J988"/>
    <mergeCell ref="M987:M988"/>
    <mergeCell ref="N987:N988"/>
    <mergeCell ref="O987:O988"/>
    <mergeCell ref="P987:P988"/>
    <mergeCell ref="AF983:AF986"/>
    <mergeCell ref="AG983:AG988"/>
    <mergeCell ref="AI983:AI986"/>
    <mergeCell ref="AJ983:AJ988"/>
    <mergeCell ref="AK983:AK986"/>
    <mergeCell ref="AL983:AL986"/>
    <mergeCell ref="AF987:AF988"/>
    <mergeCell ref="AI987:AI988"/>
    <mergeCell ref="AK987:AK988"/>
    <mergeCell ref="AL987:AL988"/>
    <mergeCell ref="S983:S986"/>
    <mergeCell ref="T983:T986"/>
    <mergeCell ref="U983:U986"/>
    <mergeCell ref="V983:V986"/>
    <mergeCell ref="W983:W988"/>
    <mergeCell ref="X983:X988"/>
    <mergeCell ref="S987:S988"/>
    <mergeCell ref="T987:T988"/>
    <mergeCell ref="U987:U988"/>
    <mergeCell ref="V987:V988"/>
    <mergeCell ref="M983:M986"/>
    <mergeCell ref="N983:N986"/>
    <mergeCell ref="O983:O986"/>
    <mergeCell ref="P983:P986"/>
    <mergeCell ref="Q983:Q988"/>
    <mergeCell ref="R983:R986"/>
    <mergeCell ref="R987:R988"/>
    <mergeCell ref="G983:G988"/>
    <mergeCell ref="H983:H988"/>
    <mergeCell ref="I983:I988"/>
    <mergeCell ref="J983:J986"/>
    <mergeCell ref="K983:K988"/>
    <mergeCell ref="L983:L988"/>
    <mergeCell ref="A983:A988"/>
    <mergeCell ref="B983:B988"/>
    <mergeCell ref="C983:C988"/>
    <mergeCell ref="D983:D988"/>
    <mergeCell ref="E983:E988"/>
    <mergeCell ref="F983:F988"/>
    <mergeCell ref="AP989:AP991"/>
    <mergeCell ref="AQ989:AQ991"/>
    <mergeCell ref="A992:A1019"/>
    <mergeCell ref="B992:B1019"/>
    <mergeCell ref="C992:C1019"/>
    <mergeCell ref="D992:D1019"/>
    <mergeCell ref="E992:E1019"/>
    <mergeCell ref="F992:F1019"/>
    <mergeCell ref="G992:G1019"/>
    <mergeCell ref="H992:H1019"/>
    <mergeCell ref="AJ989:AJ991"/>
    <mergeCell ref="AK989:AK990"/>
    <mergeCell ref="AL989:AL990"/>
    <mergeCell ref="AM989:AM990"/>
    <mergeCell ref="AN989:AN991"/>
    <mergeCell ref="AO989:AO991"/>
    <mergeCell ref="V989:V990"/>
    <mergeCell ref="W989:W991"/>
    <mergeCell ref="X989:X991"/>
    <mergeCell ref="AF989:AF990"/>
    <mergeCell ref="AG989:AG991"/>
    <mergeCell ref="AI989:AI990"/>
    <mergeCell ref="P989:P990"/>
    <mergeCell ref="Q989:Q991"/>
    <mergeCell ref="R989:R990"/>
    <mergeCell ref="S989:S990"/>
    <mergeCell ref="T989:T990"/>
    <mergeCell ref="U989:U990"/>
    <mergeCell ref="J989:J990"/>
    <mergeCell ref="K989:K991"/>
    <mergeCell ref="L989:L991"/>
    <mergeCell ref="M989:M990"/>
    <mergeCell ref="N989:N990"/>
    <mergeCell ref="O989:O990"/>
    <mergeCell ref="Y1000:Y1001"/>
    <mergeCell ref="AC1000:AC1001"/>
    <mergeCell ref="M1002:M1011"/>
    <mergeCell ref="N1002:N1006"/>
    <mergeCell ref="O1002:O1006"/>
    <mergeCell ref="P1002:P1011"/>
    <mergeCell ref="R1002:R1011"/>
    <mergeCell ref="S1002:S1011"/>
    <mergeCell ref="T1002:T1006"/>
    <mergeCell ref="U1002:U1006"/>
    <mergeCell ref="AM992:AM1001"/>
    <mergeCell ref="AN992:AN1019"/>
    <mergeCell ref="AO992:AO1019"/>
    <mergeCell ref="M992:M1001"/>
    <mergeCell ref="N992:N996"/>
    <mergeCell ref="N997:N1001"/>
    <mergeCell ref="M1017:M1019"/>
    <mergeCell ref="N1017:N1019"/>
    <mergeCell ref="I992:I1019"/>
    <mergeCell ref="J992:J1016"/>
    <mergeCell ref="K992:K1019"/>
    <mergeCell ref="L992:L1019"/>
    <mergeCell ref="J1017:J1019"/>
    <mergeCell ref="M1012:M1016"/>
    <mergeCell ref="N1012:N1016"/>
    <mergeCell ref="N1007:N1011"/>
    <mergeCell ref="O1007:O1011"/>
    <mergeCell ref="T1007:T1011"/>
    <mergeCell ref="U1007:U1011"/>
    <mergeCell ref="V1007:V1011"/>
    <mergeCell ref="V1002:V1006"/>
    <mergeCell ref="Y1002:Y1003"/>
    <mergeCell ref="AP992:AP1019"/>
    <mergeCell ref="AQ992:AQ1019"/>
    <mergeCell ref="Y994:Y995"/>
    <mergeCell ref="AC994:AC995"/>
    <mergeCell ref="Y996:Y997"/>
    <mergeCell ref="AC996:AC997"/>
    <mergeCell ref="AI997:AI1001"/>
    <mergeCell ref="AF992:AF1001"/>
    <mergeCell ref="AG992:AG1019"/>
    <mergeCell ref="AI992:AI996"/>
    <mergeCell ref="AJ992:AJ1019"/>
    <mergeCell ref="AK992:AK996"/>
    <mergeCell ref="AL992:AL1001"/>
    <mergeCell ref="AK997:AK1001"/>
    <mergeCell ref="AL1002:AL1011"/>
    <mergeCell ref="AI1017:AI1019"/>
    <mergeCell ref="AK1017:AK1019"/>
    <mergeCell ref="U992:U996"/>
    <mergeCell ref="V992:V996"/>
    <mergeCell ref="W992:W1019"/>
    <mergeCell ref="X992:X1019"/>
    <mergeCell ref="Y992:Y993"/>
    <mergeCell ref="AC992:AC993"/>
    <mergeCell ref="U997:U1001"/>
    <mergeCell ref="V997:V1001"/>
    <mergeCell ref="Y998:Y999"/>
    <mergeCell ref="AC998:AC999"/>
    <mergeCell ref="O992:O996"/>
    <mergeCell ref="P992:P1001"/>
    <mergeCell ref="Q992:Q1019"/>
    <mergeCell ref="R992:R1001"/>
    <mergeCell ref="S992:S1001"/>
    <mergeCell ref="T992:T996"/>
    <mergeCell ref="O997:O1001"/>
    <mergeCell ref="T997:T1001"/>
    <mergeCell ref="O1017:O1019"/>
    <mergeCell ref="P1017:P1019"/>
    <mergeCell ref="AL1017:AL1019"/>
    <mergeCell ref="AM1017:AM1019"/>
    <mergeCell ref="R1017:R1019"/>
    <mergeCell ref="S1017:S1019"/>
    <mergeCell ref="T1017:T1019"/>
    <mergeCell ref="U1017:U1019"/>
    <mergeCell ref="V1017:V1019"/>
    <mergeCell ref="AF1017:AF1019"/>
    <mergeCell ref="V1012:V1016"/>
    <mergeCell ref="AF1012:AF1016"/>
    <mergeCell ref="AI1012:AI1016"/>
    <mergeCell ref="AK1012:AK1016"/>
    <mergeCell ref="AL1012:AL1016"/>
    <mergeCell ref="AM1012:AM1016"/>
    <mergeCell ref="Y1010:Y1011"/>
    <mergeCell ref="AC1010:AC1011"/>
    <mergeCell ref="O1012:O1016"/>
    <mergeCell ref="P1012:P1016"/>
    <mergeCell ref="R1012:R1016"/>
    <mergeCell ref="S1012:S1016"/>
    <mergeCell ref="T1012:T1016"/>
    <mergeCell ref="U1012:U1016"/>
    <mergeCell ref="AM1002:AM1011"/>
    <mergeCell ref="Y1004:Y1005"/>
    <mergeCell ref="AC1004:AC1005"/>
    <mergeCell ref="Y1006:Y1007"/>
    <mergeCell ref="AC1006:AC1007"/>
    <mergeCell ref="AC1002:AC1003"/>
    <mergeCell ref="AF1002:AF1011"/>
    <mergeCell ref="AI1002:AI1006"/>
    <mergeCell ref="AK1002:AK1006"/>
    <mergeCell ref="AI1007:AI1011"/>
    <mergeCell ref="AK1007:AK1011"/>
    <mergeCell ref="Y1008:Y1009"/>
    <mergeCell ref="AC1008:AC1009"/>
    <mergeCell ref="AO1020:AO1021"/>
    <mergeCell ref="AP1020:AP1021"/>
    <mergeCell ref="AQ1020:AQ1021"/>
    <mergeCell ref="A1022:A1024"/>
    <mergeCell ref="B1022:B1024"/>
    <mergeCell ref="C1022:C1024"/>
    <mergeCell ref="D1022:D1024"/>
    <mergeCell ref="E1022:E1024"/>
    <mergeCell ref="F1022:F1024"/>
    <mergeCell ref="G1022:G1024"/>
    <mergeCell ref="AI1020:AI1021"/>
    <mergeCell ref="AJ1020:AJ1021"/>
    <mergeCell ref="AK1020:AK1021"/>
    <mergeCell ref="AL1020:AL1021"/>
    <mergeCell ref="AM1020:AM1021"/>
    <mergeCell ref="AN1020:AN1021"/>
    <mergeCell ref="U1020:U1021"/>
    <mergeCell ref="V1020:V1021"/>
    <mergeCell ref="W1020:W1021"/>
    <mergeCell ref="X1020:X1021"/>
    <mergeCell ref="AF1020:AF1021"/>
    <mergeCell ref="AG1020:AG1021"/>
    <mergeCell ref="O1020:O1021"/>
    <mergeCell ref="P1020:P1021"/>
    <mergeCell ref="Q1020:Q1021"/>
    <mergeCell ref="R1020:R1021"/>
    <mergeCell ref="S1020:S1021"/>
    <mergeCell ref="T1020:T1021"/>
    <mergeCell ref="I1020:I1021"/>
    <mergeCell ref="J1020:J1021"/>
    <mergeCell ref="K1020:K1021"/>
    <mergeCell ref="L1020:L1021"/>
    <mergeCell ref="M1020:M1021"/>
    <mergeCell ref="N1020:N1021"/>
    <mergeCell ref="AN1022:AN1024"/>
    <mergeCell ref="AO1022:AO1024"/>
    <mergeCell ref="AP1022:AP1024"/>
    <mergeCell ref="AQ1022:AQ1024"/>
    <mergeCell ref="A1020:A1021"/>
    <mergeCell ref="B1020:B1021"/>
    <mergeCell ref="C1020:C1021"/>
    <mergeCell ref="D1020:D1021"/>
    <mergeCell ref="E1020:E1021"/>
    <mergeCell ref="F1020:F1021"/>
    <mergeCell ref="G1020:G1021"/>
    <mergeCell ref="H1020:H1021"/>
    <mergeCell ref="AG1022:AG1024"/>
    <mergeCell ref="AI1022:AI1024"/>
    <mergeCell ref="AJ1022:AJ1024"/>
    <mergeCell ref="AK1022:AK1024"/>
    <mergeCell ref="AL1022:AL1024"/>
    <mergeCell ref="AM1022:AM1024"/>
    <mergeCell ref="T1022:T1024"/>
    <mergeCell ref="U1022:U1024"/>
    <mergeCell ref="V1022:V1024"/>
    <mergeCell ref="W1022:W1024"/>
    <mergeCell ref="X1022:X1024"/>
    <mergeCell ref="AF1022:AF1024"/>
    <mergeCell ref="N1022:N1024"/>
    <mergeCell ref="O1022:O1024"/>
    <mergeCell ref="P1022:P1024"/>
    <mergeCell ref="Q1022:Q1024"/>
    <mergeCell ref="R1022:R1024"/>
    <mergeCell ref="S1022:S1024"/>
    <mergeCell ref="H1022:H1024"/>
    <mergeCell ref="I1022:I1024"/>
    <mergeCell ref="J1022:J1024"/>
    <mergeCell ref="K1022:K1024"/>
    <mergeCell ref="L1022:L1024"/>
    <mergeCell ref="M1022:M1024"/>
    <mergeCell ref="V1033:V1036"/>
    <mergeCell ref="AF1033:AF1036"/>
    <mergeCell ref="AI1033:AI1036"/>
    <mergeCell ref="AK1033:AK1036"/>
    <mergeCell ref="AL1033:AL1036"/>
    <mergeCell ref="AM1033:AM1036"/>
    <mergeCell ref="AM1028:AM1032"/>
    <mergeCell ref="C1033:C1036"/>
    <mergeCell ref="M1033:M1036"/>
    <mergeCell ref="N1033:N1036"/>
    <mergeCell ref="O1033:O1036"/>
    <mergeCell ref="P1033:P1036"/>
    <mergeCell ref="R1033:R1036"/>
    <mergeCell ref="S1033:S1036"/>
    <mergeCell ref="T1033:T1036"/>
    <mergeCell ref="U1033:U1036"/>
    <mergeCell ref="AM1025:AM1027"/>
    <mergeCell ref="AN1025:AN1049"/>
    <mergeCell ref="AO1025:AO1049"/>
    <mergeCell ref="AP1025:AP1049"/>
    <mergeCell ref="AQ1025:AQ1049"/>
    <mergeCell ref="C1028:C1032"/>
    <mergeCell ref="M1028:M1032"/>
    <mergeCell ref="N1028:N1032"/>
    <mergeCell ref="O1028:O1032"/>
    <mergeCell ref="P1028:P1032"/>
    <mergeCell ref="AF1025:AF1027"/>
    <mergeCell ref="AG1025:AG1049"/>
    <mergeCell ref="AI1025:AI1027"/>
    <mergeCell ref="AJ1025:AJ1049"/>
    <mergeCell ref="AK1025:AK1027"/>
    <mergeCell ref="AL1025:AL1027"/>
    <mergeCell ref="AF1028:AF1032"/>
    <mergeCell ref="AI1028:AI1032"/>
    <mergeCell ref="AK1028:AK1032"/>
    <mergeCell ref="AL1028:AL1032"/>
    <mergeCell ref="S1025:S1027"/>
    <mergeCell ref="T1025:T1027"/>
    <mergeCell ref="U1025:U1027"/>
    <mergeCell ref="V1025:V1027"/>
    <mergeCell ref="W1025:W1049"/>
    <mergeCell ref="X1025:X1049"/>
    <mergeCell ref="S1028:S1032"/>
    <mergeCell ref="T1028:T1032"/>
    <mergeCell ref="U1028:U1032"/>
    <mergeCell ref="V1028:V1032"/>
    <mergeCell ref="M1025:M1027"/>
    <mergeCell ref="N1025:N1027"/>
    <mergeCell ref="O1025:O1027"/>
    <mergeCell ref="P1025:P1027"/>
    <mergeCell ref="Q1025:Q1049"/>
    <mergeCell ref="R1025:R1027"/>
    <mergeCell ref="R1028:R1032"/>
    <mergeCell ref="G1025:G1049"/>
    <mergeCell ref="H1025:H1049"/>
    <mergeCell ref="I1025:I1049"/>
    <mergeCell ref="J1025:J1045"/>
    <mergeCell ref="K1025:K1049"/>
    <mergeCell ref="L1025:L1049"/>
    <mergeCell ref="AL1047:AL1048"/>
    <mergeCell ref="AM1047:AM1048"/>
    <mergeCell ref="C1025:C1027"/>
    <mergeCell ref="D1025:D1049"/>
    <mergeCell ref="E1025:E1049"/>
    <mergeCell ref="F1025:F1049"/>
    <mergeCell ref="A1050:A1054"/>
    <mergeCell ref="B1050:B1054"/>
    <mergeCell ref="C1050:C1051"/>
    <mergeCell ref="D1050:D1054"/>
    <mergeCell ref="E1050:E1054"/>
    <mergeCell ref="F1050:F1054"/>
    <mergeCell ref="G1050:G1054"/>
    <mergeCell ref="H1050:H1054"/>
    <mergeCell ref="T1047:T1048"/>
    <mergeCell ref="U1047:U1048"/>
    <mergeCell ref="V1047:V1048"/>
    <mergeCell ref="AF1047:AF1048"/>
    <mergeCell ref="AI1047:AI1048"/>
    <mergeCell ref="AK1047:AK1048"/>
    <mergeCell ref="AL1042:AL1045"/>
    <mergeCell ref="AM1042:AM1045"/>
    <mergeCell ref="C1047:C1048"/>
    <mergeCell ref="J1047:J1048"/>
    <mergeCell ref="M1047:M1048"/>
    <mergeCell ref="N1047:N1048"/>
    <mergeCell ref="O1047:O1048"/>
    <mergeCell ref="P1047:P1048"/>
    <mergeCell ref="R1047:R1048"/>
    <mergeCell ref="S1047:S1048"/>
    <mergeCell ref="T1042:T1045"/>
    <mergeCell ref="U1042:U1045"/>
    <mergeCell ref="V1042:V1045"/>
    <mergeCell ref="AF1042:AF1045"/>
    <mergeCell ref="AI1042:AI1045"/>
    <mergeCell ref="AK1042:AK1045"/>
    <mergeCell ref="AK1037:AK1041"/>
    <mergeCell ref="AL1037:AL1041"/>
    <mergeCell ref="AM1037:AM1041"/>
    <mergeCell ref="C1042:C1045"/>
    <mergeCell ref="M1042:M1045"/>
    <mergeCell ref="N1042:N1045"/>
    <mergeCell ref="O1042:O1045"/>
    <mergeCell ref="P1042:P1045"/>
    <mergeCell ref="R1042:R1045"/>
    <mergeCell ref="S1042:S1045"/>
    <mergeCell ref="S1037:S1041"/>
    <mergeCell ref="T1037:T1041"/>
    <mergeCell ref="U1037:U1041"/>
    <mergeCell ref="V1037:V1041"/>
    <mergeCell ref="AF1037:AF1041"/>
    <mergeCell ref="AI1037:AI1041"/>
    <mergeCell ref="C1037:C1041"/>
    <mergeCell ref="M1037:M1041"/>
    <mergeCell ref="N1037:N1041"/>
    <mergeCell ref="O1037:O1041"/>
    <mergeCell ref="P1037:P1041"/>
    <mergeCell ref="R1037:R1041"/>
    <mergeCell ref="A1025:A1049"/>
    <mergeCell ref="B1025:B1049"/>
    <mergeCell ref="AO1050:AO1054"/>
    <mergeCell ref="AP1050:AP1054"/>
    <mergeCell ref="AQ1050:AQ1054"/>
    <mergeCell ref="C1052:C1053"/>
    <mergeCell ref="M1052:M1053"/>
    <mergeCell ref="N1052:N1053"/>
    <mergeCell ref="O1052:O1053"/>
    <mergeCell ref="P1052:P1053"/>
    <mergeCell ref="R1052:R1053"/>
    <mergeCell ref="S1052:S1053"/>
    <mergeCell ref="AI1050:AI1051"/>
    <mergeCell ref="AJ1050:AJ1054"/>
    <mergeCell ref="AK1050:AK1051"/>
    <mergeCell ref="AL1050:AL1051"/>
    <mergeCell ref="AM1050:AM1051"/>
    <mergeCell ref="AN1050:AN1054"/>
    <mergeCell ref="AI1052:AI1053"/>
    <mergeCell ref="AK1052:AK1053"/>
    <mergeCell ref="AL1052:AL1053"/>
    <mergeCell ref="AM1052:AM1053"/>
    <mergeCell ref="U1050:U1051"/>
    <mergeCell ref="V1050:V1051"/>
    <mergeCell ref="W1050:W1054"/>
    <mergeCell ref="X1050:X1054"/>
    <mergeCell ref="AF1050:AF1051"/>
    <mergeCell ref="AG1050:AG1054"/>
    <mergeCell ref="U1052:U1053"/>
    <mergeCell ref="V1052:V1053"/>
    <mergeCell ref="AF1052:AF1053"/>
    <mergeCell ref="O1050:O1051"/>
    <mergeCell ref="P1050:P1051"/>
    <mergeCell ref="Q1050:Q1054"/>
    <mergeCell ref="R1050:R1051"/>
    <mergeCell ref="S1050:S1051"/>
    <mergeCell ref="T1050:T1051"/>
    <mergeCell ref="T1052:T1053"/>
    <mergeCell ref="I1050:I1054"/>
    <mergeCell ref="J1050:J1053"/>
    <mergeCell ref="K1050:K1054"/>
    <mergeCell ref="L1050:L1054"/>
    <mergeCell ref="M1050:M1051"/>
    <mergeCell ref="N1050:N1051"/>
    <mergeCell ref="Z1060:Z1061"/>
    <mergeCell ref="AA1060:AA1061"/>
    <mergeCell ref="AB1060:AB1061"/>
    <mergeCell ref="A1062:A1086"/>
    <mergeCell ref="B1062:B1086"/>
    <mergeCell ref="C1062:C1064"/>
    <mergeCell ref="D1062:D1086"/>
    <mergeCell ref="E1062:E1086"/>
    <mergeCell ref="F1062:F1086"/>
    <mergeCell ref="G1062:G1086"/>
    <mergeCell ref="AM1055:AM1061"/>
    <mergeCell ref="AN1055:AN1061"/>
    <mergeCell ref="AO1055:AO1061"/>
    <mergeCell ref="AP1055:AP1061"/>
    <mergeCell ref="AQ1055:AQ1061"/>
    <mergeCell ref="Y1058:Y1059"/>
    <mergeCell ref="Z1058:Z1059"/>
    <mergeCell ref="AA1058:AA1059"/>
    <mergeCell ref="AB1058:AB1059"/>
    <mergeCell ref="Y1060:Y1061"/>
    <mergeCell ref="AF1055:AF1061"/>
    <mergeCell ref="AG1055:AG1061"/>
    <mergeCell ref="AI1055:AI1061"/>
    <mergeCell ref="AJ1055:AJ1061"/>
    <mergeCell ref="AK1055:AK1061"/>
    <mergeCell ref="AL1055:AL1061"/>
    <mergeCell ref="S1055:S1061"/>
    <mergeCell ref="T1055:T1061"/>
    <mergeCell ref="U1055:U1061"/>
    <mergeCell ref="V1055:V1059"/>
    <mergeCell ref="W1055:W1061"/>
    <mergeCell ref="X1055:X1061"/>
    <mergeCell ref="V1060:V1061"/>
    <mergeCell ref="M1055:M1061"/>
    <mergeCell ref="N1055:N1059"/>
    <mergeCell ref="O1055:O1059"/>
    <mergeCell ref="P1055:P1061"/>
    <mergeCell ref="Q1055:Q1061"/>
    <mergeCell ref="R1055:R1061"/>
    <mergeCell ref="N1060:N1061"/>
    <mergeCell ref="O1060:O1061"/>
    <mergeCell ref="G1055:G1061"/>
    <mergeCell ref="H1055:H1061"/>
    <mergeCell ref="I1055:I1061"/>
    <mergeCell ref="J1055:J1061"/>
    <mergeCell ref="K1055:K1061"/>
    <mergeCell ref="L1055:L1061"/>
    <mergeCell ref="A1055:A1061"/>
    <mergeCell ref="B1055:B1061"/>
    <mergeCell ref="C1055:C1061"/>
    <mergeCell ref="D1055:D1061"/>
    <mergeCell ref="E1055:E1061"/>
    <mergeCell ref="F1055:F1061"/>
    <mergeCell ref="AF1062:AF1064"/>
    <mergeCell ref="AG1062:AG1086"/>
    <mergeCell ref="AN1062:AN1086"/>
    <mergeCell ref="AO1062:AO1063"/>
    <mergeCell ref="AP1062:AP1086"/>
    <mergeCell ref="AQ1062:AQ1086"/>
    <mergeCell ref="AO1064:AO1072"/>
    <mergeCell ref="AF1065:AF1066"/>
    <mergeCell ref="AF1072:AF1075"/>
    <mergeCell ref="AF1083:AF1084"/>
    <mergeCell ref="T1062:T1064"/>
    <mergeCell ref="U1062:U1064"/>
    <mergeCell ref="V1062:V1064"/>
    <mergeCell ref="W1062:W1086"/>
    <mergeCell ref="X1062:X1086"/>
    <mergeCell ref="AE1062:AE1064"/>
    <mergeCell ref="T1065:T1066"/>
    <mergeCell ref="U1065:U1066"/>
    <mergeCell ref="V1065:V1066"/>
    <mergeCell ref="AE1065:AE1066"/>
    <mergeCell ref="N1062:N1064"/>
    <mergeCell ref="O1062:O1064"/>
    <mergeCell ref="P1062:P1064"/>
    <mergeCell ref="Q1062:Q1086"/>
    <mergeCell ref="R1062:R1064"/>
    <mergeCell ref="S1062:S1064"/>
    <mergeCell ref="S1065:S1066"/>
    <mergeCell ref="S1067:S1069"/>
    <mergeCell ref="R1070:R1071"/>
    <mergeCell ref="S1070:S1071"/>
    <mergeCell ref="H1062:H1086"/>
    <mergeCell ref="I1062:I1086"/>
    <mergeCell ref="J1062:J1082"/>
    <mergeCell ref="K1062:K1086"/>
    <mergeCell ref="L1062:L1086"/>
    <mergeCell ref="M1062:M1064"/>
    <mergeCell ref="R1072:R1075"/>
    <mergeCell ref="S1072:S1075"/>
    <mergeCell ref="T1072:T1075"/>
    <mergeCell ref="U1072:U1075"/>
    <mergeCell ref="V1072:V1075"/>
    <mergeCell ref="AE1072:AE1075"/>
    <mergeCell ref="T1070:T1071"/>
    <mergeCell ref="U1070:U1071"/>
    <mergeCell ref="V1070:V1071"/>
    <mergeCell ref="AE1070:AE1071"/>
    <mergeCell ref="AF1070:AF1071"/>
    <mergeCell ref="C1072:C1075"/>
    <mergeCell ref="M1072:M1075"/>
    <mergeCell ref="N1072:N1075"/>
    <mergeCell ref="O1072:O1075"/>
    <mergeCell ref="P1072:P1075"/>
    <mergeCell ref="T1067:T1069"/>
    <mergeCell ref="U1067:U1069"/>
    <mergeCell ref="V1067:V1069"/>
    <mergeCell ref="AE1067:AE1069"/>
    <mergeCell ref="AF1067:AF1069"/>
    <mergeCell ref="C1070:C1071"/>
    <mergeCell ref="M1070:M1071"/>
    <mergeCell ref="N1070:N1071"/>
    <mergeCell ref="O1070:O1071"/>
    <mergeCell ref="P1070:P1071"/>
    <mergeCell ref="C1067:C1069"/>
    <mergeCell ref="M1067:M1069"/>
    <mergeCell ref="N1067:N1069"/>
    <mergeCell ref="O1067:O1069"/>
    <mergeCell ref="P1067:P1069"/>
    <mergeCell ref="R1067:R1069"/>
    <mergeCell ref="C1065:C1066"/>
    <mergeCell ref="M1065:M1066"/>
    <mergeCell ref="N1065:N1066"/>
    <mergeCell ref="O1065:O1066"/>
    <mergeCell ref="P1065:P1066"/>
    <mergeCell ref="R1065:R1066"/>
    <mergeCell ref="R1083:R1084"/>
    <mergeCell ref="S1083:S1084"/>
    <mergeCell ref="T1083:T1084"/>
    <mergeCell ref="U1083:U1084"/>
    <mergeCell ref="V1083:V1084"/>
    <mergeCell ref="AE1083:AE1084"/>
    <mergeCell ref="C1083:C1084"/>
    <mergeCell ref="J1083:J1084"/>
    <mergeCell ref="M1083:M1084"/>
    <mergeCell ref="N1083:N1084"/>
    <mergeCell ref="O1083:O1084"/>
    <mergeCell ref="P1083:P1084"/>
    <mergeCell ref="S1079:S1082"/>
    <mergeCell ref="T1079:T1082"/>
    <mergeCell ref="U1079:U1082"/>
    <mergeCell ref="V1079:V1082"/>
    <mergeCell ref="AE1079:AE1082"/>
    <mergeCell ref="AF1079:AF1082"/>
    <mergeCell ref="C1079:C1082"/>
    <mergeCell ref="M1079:M1082"/>
    <mergeCell ref="N1079:N1082"/>
    <mergeCell ref="O1079:O1082"/>
    <mergeCell ref="P1079:P1082"/>
    <mergeCell ref="R1079:R1082"/>
    <mergeCell ref="S1076:S1078"/>
    <mergeCell ref="T1076:T1078"/>
    <mergeCell ref="U1076:U1078"/>
    <mergeCell ref="V1076:V1078"/>
    <mergeCell ref="AE1076:AE1078"/>
    <mergeCell ref="AF1076:AF1078"/>
    <mergeCell ref="C1076:C1078"/>
    <mergeCell ref="M1076:M1078"/>
    <mergeCell ref="N1076:N1078"/>
    <mergeCell ref="O1076:O1078"/>
    <mergeCell ref="P1076:P1078"/>
    <mergeCell ref="R1076:R1078"/>
    <mergeCell ref="AQ1087:AQ1104"/>
    <mergeCell ref="Y1089:Y1090"/>
    <mergeCell ref="AC1089:AC1090"/>
    <mergeCell ref="Y1091:Y1092"/>
    <mergeCell ref="AC1091:AC1092"/>
    <mergeCell ref="N1093:N1096"/>
    <mergeCell ref="O1093:O1096"/>
    <mergeCell ref="T1093:T1096"/>
    <mergeCell ref="U1093:U1096"/>
    <mergeCell ref="V1093:V1096"/>
    <mergeCell ref="AK1087:AK1092"/>
    <mergeCell ref="AL1087:AL1096"/>
    <mergeCell ref="AM1087:AM1096"/>
    <mergeCell ref="AN1087:AN1104"/>
    <mergeCell ref="AO1087:AO1104"/>
    <mergeCell ref="AP1087:AP1104"/>
    <mergeCell ref="AK1093:AK1096"/>
    <mergeCell ref="Y1087:Y1088"/>
    <mergeCell ref="AC1087:AC1088"/>
    <mergeCell ref="AF1087:AF1096"/>
    <mergeCell ref="AG1087:AG1104"/>
    <mergeCell ref="AI1087:AI1092"/>
    <mergeCell ref="AJ1087:AJ1104"/>
    <mergeCell ref="Y1093:Y1094"/>
    <mergeCell ref="AC1093:AC1094"/>
    <mergeCell ref="AI1093:AI1096"/>
    <mergeCell ref="Y1095:Y1096"/>
    <mergeCell ref="S1087:S1096"/>
    <mergeCell ref="T1087:T1092"/>
    <mergeCell ref="U1087:U1092"/>
    <mergeCell ref="V1087:V1092"/>
    <mergeCell ref="W1087:W1104"/>
    <mergeCell ref="X1087:X1104"/>
    <mergeCell ref="S1102:S1104"/>
    <mergeCell ref="T1102:T1104"/>
    <mergeCell ref="U1102:U1104"/>
    <mergeCell ref="V1102:V1104"/>
    <mergeCell ref="N1087:N1092"/>
    <mergeCell ref="O1087:O1092"/>
    <mergeCell ref="P1087:P1096"/>
    <mergeCell ref="Q1087:Q1104"/>
    <mergeCell ref="R1087:R1096"/>
    <mergeCell ref="R1102:R1104"/>
    <mergeCell ref="L1105:L1111"/>
    <mergeCell ref="A1105:A1111"/>
    <mergeCell ref="B1105:B1111"/>
    <mergeCell ref="C1105:C1111"/>
    <mergeCell ref="D1105:D1111"/>
    <mergeCell ref="E1105:E1111"/>
    <mergeCell ref="F1105:F1111"/>
    <mergeCell ref="AF1102:AF1104"/>
    <mergeCell ref="AI1102:AI1104"/>
    <mergeCell ref="AK1102:AK1104"/>
    <mergeCell ref="AL1102:AL1104"/>
    <mergeCell ref="AM1102:AM1104"/>
    <mergeCell ref="Y1103:Y1104"/>
    <mergeCell ref="AF1097:AF1101"/>
    <mergeCell ref="AI1097:AI1101"/>
    <mergeCell ref="AK1097:AK1101"/>
    <mergeCell ref="AL1097:AL1101"/>
    <mergeCell ref="AM1097:AM1101"/>
    <mergeCell ref="J1102:J1104"/>
    <mergeCell ref="M1102:M1104"/>
    <mergeCell ref="N1102:N1104"/>
    <mergeCell ref="O1102:O1104"/>
    <mergeCell ref="P1102:P1104"/>
    <mergeCell ref="AC1095:AC1096"/>
    <mergeCell ref="M1097:M1101"/>
    <mergeCell ref="N1097:N1101"/>
    <mergeCell ref="O1097:O1101"/>
    <mergeCell ref="P1097:P1101"/>
    <mergeCell ref="R1097:R1101"/>
    <mergeCell ref="S1097:S1101"/>
    <mergeCell ref="T1097:T1101"/>
    <mergeCell ref="U1097:U1101"/>
    <mergeCell ref="V1097:V1101"/>
    <mergeCell ref="M1087:M1096"/>
    <mergeCell ref="G1087:G1104"/>
    <mergeCell ref="H1087:H1104"/>
    <mergeCell ref="I1087:I1104"/>
    <mergeCell ref="J1087:J1101"/>
    <mergeCell ref="K1087:K1104"/>
    <mergeCell ref="L1087:L1104"/>
    <mergeCell ref="A1087:A1104"/>
    <mergeCell ref="B1087:B1104"/>
    <mergeCell ref="C1087:C1104"/>
    <mergeCell ref="D1087:D1104"/>
    <mergeCell ref="E1087:E1104"/>
    <mergeCell ref="F1087:F1104"/>
    <mergeCell ref="R1128:R1130"/>
    <mergeCell ref="S1128:S1130"/>
    <mergeCell ref="T1128:T1130"/>
    <mergeCell ref="J1112:J1127"/>
    <mergeCell ref="K1112:K1132"/>
    <mergeCell ref="L1112:L1132"/>
    <mergeCell ref="M1112:M1119"/>
    <mergeCell ref="N1112:N1119"/>
    <mergeCell ref="O1112:O1119"/>
    <mergeCell ref="J1128:J1130"/>
    <mergeCell ref="M1128:M1130"/>
    <mergeCell ref="N1128:N1130"/>
    <mergeCell ref="O1128:O1130"/>
    <mergeCell ref="AM1108:AM1110"/>
    <mergeCell ref="A1112:A1132"/>
    <mergeCell ref="B1112:B1132"/>
    <mergeCell ref="C1112:C1132"/>
    <mergeCell ref="D1112:D1132"/>
    <mergeCell ref="E1112:E1132"/>
    <mergeCell ref="F1112:F1132"/>
    <mergeCell ref="G1112:G1132"/>
    <mergeCell ref="H1112:H1132"/>
    <mergeCell ref="I1112:I1132"/>
    <mergeCell ref="AM1105:AM1107"/>
    <mergeCell ref="AN1105:AN1111"/>
    <mergeCell ref="AO1105:AO1111"/>
    <mergeCell ref="AP1105:AP1111"/>
    <mergeCell ref="AQ1105:AQ1111"/>
    <mergeCell ref="M1108:M1110"/>
    <mergeCell ref="N1108:N1110"/>
    <mergeCell ref="O1108:O1110"/>
    <mergeCell ref="P1108:P1110"/>
    <mergeCell ref="R1108:R1110"/>
    <mergeCell ref="AF1105:AF1107"/>
    <mergeCell ref="AG1105:AG1111"/>
    <mergeCell ref="AI1105:AI1107"/>
    <mergeCell ref="AJ1105:AJ1111"/>
    <mergeCell ref="AK1105:AK1107"/>
    <mergeCell ref="AL1105:AL1107"/>
    <mergeCell ref="AF1108:AF1110"/>
    <mergeCell ref="AI1108:AI1110"/>
    <mergeCell ref="AK1108:AK1110"/>
    <mergeCell ref="AL1108:AL1110"/>
    <mergeCell ref="S1105:S1107"/>
    <mergeCell ref="T1105:T1107"/>
    <mergeCell ref="U1105:U1107"/>
    <mergeCell ref="V1105:V1107"/>
    <mergeCell ref="W1105:W1111"/>
    <mergeCell ref="X1105:X1111"/>
    <mergeCell ref="S1108:S1110"/>
    <mergeCell ref="T1108:T1110"/>
    <mergeCell ref="U1108:U1110"/>
    <mergeCell ref="V1108:V1110"/>
    <mergeCell ref="M1105:M1107"/>
    <mergeCell ref="N1105:N1107"/>
    <mergeCell ref="O1105:O1107"/>
    <mergeCell ref="P1105:P1107"/>
    <mergeCell ref="Q1105:Q1111"/>
    <mergeCell ref="R1105:R1107"/>
    <mergeCell ref="G1105:G1111"/>
    <mergeCell ref="H1105:H1111"/>
    <mergeCell ref="I1105:I1111"/>
    <mergeCell ref="J1105:J1110"/>
    <mergeCell ref="K1105:K1111"/>
    <mergeCell ref="AK1131:AK1132"/>
    <mergeCell ref="AL1131:AL1132"/>
    <mergeCell ref="AM1131:AM1132"/>
    <mergeCell ref="A1133:A1134"/>
    <mergeCell ref="B1133:B1134"/>
    <mergeCell ref="C1133:C1134"/>
    <mergeCell ref="D1133:D1134"/>
    <mergeCell ref="E1133:E1134"/>
    <mergeCell ref="F1133:F1134"/>
    <mergeCell ref="G1133:G1134"/>
    <mergeCell ref="S1131:S1132"/>
    <mergeCell ref="T1131:T1132"/>
    <mergeCell ref="U1131:U1132"/>
    <mergeCell ref="V1131:V1132"/>
    <mergeCell ref="AF1131:AF1132"/>
    <mergeCell ref="AI1131:AI1132"/>
    <mergeCell ref="J1131:J1132"/>
    <mergeCell ref="M1131:M1132"/>
    <mergeCell ref="N1131:N1132"/>
    <mergeCell ref="O1131:O1132"/>
    <mergeCell ref="P1131:P1132"/>
    <mergeCell ref="R1131:R1132"/>
    <mergeCell ref="U1128:U1130"/>
    <mergeCell ref="V1128:V1130"/>
    <mergeCell ref="AF1128:AF1130"/>
    <mergeCell ref="AI1128:AI1130"/>
    <mergeCell ref="AK1128:AK1130"/>
    <mergeCell ref="AL1128:AL1130"/>
    <mergeCell ref="AP1112:AP1132"/>
    <mergeCell ref="AQ1112:AQ1132"/>
    <mergeCell ref="M1120:M1127"/>
    <mergeCell ref="N1120:N1127"/>
    <mergeCell ref="O1120:O1127"/>
    <mergeCell ref="P1120:P1127"/>
    <mergeCell ref="R1120:R1127"/>
    <mergeCell ref="S1120:S1127"/>
    <mergeCell ref="T1120:T1127"/>
    <mergeCell ref="U1120:U1127"/>
    <mergeCell ref="AJ1112:AJ1132"/>
    <mergeCell ref="AK1112:AK1119"/>
    <mergeCell ref="AL1112:AL1119"/>
    <mergeCell ref="AM1112:AM1119"/>
    <mergeCell ref="AN1112:AN1132"/>
    <mergeCell ref="AO1112:AO1132"/>
    <mergeCell ref="AK1120:AK1127"/>
    <mergeCell ref="AL1120:AL1127"/>
    <mergeCell ref="AM1120:AM1127"/>
    <mergeCell ref="AM1128:AM1130"/>
    <mergeCell ref="V1112:V1119"/>
    <mergeCell ref="W1112:W1132"/>
    <mergeCell ref="X1112:X1132"/>
    <mergeCell ref="AF1112:AF1119"/>
    <mergeCell ref="AG1112:AG1132"/>
    <mergeCell ref="AI1112:AI1119"/>
    <mergeCell ref="V1120:V1127"/>
    <mergeCell ref="AF1120:AF1127"/>
    <mergeCell ref="AI1120:AI1127"/>
    <mergeCell ref="P1112:P1119"/>
    <mergeCell ref="Q1112:Q1132"/>
    <mergeCell ref="R1112:R1119"/>
    <mergeCell ref="S1112:S1119"/>
    <mergeCell ref="T1112:T1119"/>
    <mergeCell ref="U1112:U1119"/>
    <mergeCell ref="P1128:P1130"/>
    <mergeCell ref="H1133:H1134"/>
    <mergeCell ref="I1133:I1134"/>
    <mergeCell ref="J1133:J1134"/>
    <mergeCell ref="K1133:K1134"/>
    <mergeCell ref="L1133:L1134"/>
    <mergeCell ref="M1133:M1134"/>
    <mergeCell ref="AF1147:AF1152"/>
    <mergeCell ref="AI1147:AI1152"/>
    <mergeCell ref="AK1147:AK1152"/>
    <mergeCell ref="AL1147:AL1152"/>
    <mergeCell ref="AM1147:AM1152"/>
    <mergeCell ref="Y1145:Y1146"/>
    <mergeCell ref="AC1145:AC1146"/>
    <mergeCell ref="M1147:M1152"/>
    <mergeCell ref="N1147:N1152"/>
    <mergeCell ref="O1147:O1152"/>
    <mergeCell ref="P1147:P1152"/>
    <mergeCell ref="R1147:R1152"/>
    <mergeCell ref="S1147:S1152"/>
    <mergeCell ref="T1147:T1152"/>
    <mergeCell ref="U1147:U1152"/>
    <mergeCell ref="AQ1135:AQ1158"/>
    <mergeCell ref="Y1137:Y1138"/>
    <mergeCell ref="AC1137:AC1138"/>
    <mergeCell ref="Y1139:Y1140"/>
    <mergeCell ref="AC1139:AC1140"/>
    <mergeCell ref="N1141:N1146"/>
    <mergeCell ref="O1141:O1146"/>
    <mergeCell ref="T1141:T1146"/>
    <mergeCell ref="U1141:U1146"/>
    <mergeCell ref="Y1141:Y1142"/>
    <mergeCell ref="AK1135:AK1140"/>
    <mergeCell ref="AL1135:AL1146"/>
    <mergeCell ref="AM1135:AM1146"/>
    <mergeCell ref="AN1135:AN1158"/>
    <mergeCell ref="AO1135:AO1158"/>
    <mergeCell ref="AP1135:AP1158"/>
    <mergeCell ref="AK1141:AK1146"/>
    <mergeCell ref="AL1156:AL1158"/>
    <mergeCell ref="AM1156:AM1158"/>
    <mergeCell ref="AL1153:AL1155"/>
    <mergeCell ref="AM1153:AM1155"/>
    <mergeCell ref="R1135:R1146"/>
    <mergeCell ref="R1153:R1155"/>
    <mergeCell ref="N1153:N1155"/>
    <mergeCell ref="O1153:O1155"/>
    <mergeCell ref="P1153:P1155"/>
    <mergeCell ref="M1135:M1146"/>
    <mergeCell ref="N1135:N1140"/>
    <mergeCell ref="O1135:O1140"/>
    <mergeCell ref="P1135:P1146"/>
    <mergeCell ref="Q1135:Q1158"/>
    <mergeCell ref="AL1133:AL1134"/>
    <mergeCell ref="AM1133:AM1134"/>
    <mergeCell ref="AN1133:AN1134"/>
    <mergeCell ref="AO1133:AO1134"/>
    <mergeCell ref="AP1133:AP1134"/>
    <mergeCell ref="AQ1133:AQ1134"/>
    <mergeCell ref="AF1133:AF1134"/>
    <mergeCell ref="AG1133:AG1134"/>
    <mergeCell ref="AH1133:AH1134"/>
    <mergeCell ref="AI1133:AI1134"/>
    <mergeCell ref="AJ1133:AJ1134"/>
    <mergeCell ref="AK1133:AK1134"/>
    <mergeCell ref="T1133:T1134"/>
    <mergeCell ref="U1133:U1134"/>
    <mergeCell ref="V1133:V1134"/>
    <mergeCell ref="W1133:W1134"/>
    <mergeCell ref="X1133:X1134"/>
    <mergeCell ref="AE1133:AE1134"/>
    <mergeCell ref="N1133:N1134"/>
    <mergeCell ref="O1133:O1134"/>
    <mergeCell ref="P1133:P1134"/>
    <mergeCell ref="Q1133:Q1134"/>
    <mergeCell ref="R1133:R1134"/>
    <mergeCell ref="S1133:S1134"/>
    <mergeCell ref="M1171:M1173"/>
    <mergeCell ref="N1171:N1173"/>
    <mergeCell ref="O1171:O1173"/>
    <mergeCell ref="P1171:P1173"/>
    <mergeCell ref="R1171:R1173"/>
    <mergeCell ref="S1171:S1173"/>
    <mergeCell ref="R1167:R1170"/>
    <mergeCell ref="S1167:S1170"/>
    <mergeCell ref="T1167:T1170"/>
    <mergeCell ref="U1167:U1170"/>
    <mergeCell ref="V1167:V1170"/>
    <mergeCell ref="AF1167:AF1170"/>
    <mergeCell ref="AQ1159:AQ1173"/>
    <mergeCell ref="Y1161:Y1162"/>
    <mergeCell ref="AC1161:AC1162"/>
    <mergeCell ref="N1163:N1166"/>
    <mergeCell ref="O1163:O1166"/>
    <mergeCell ref="T1163:T1166"/>
    <mergeCell ref="U1163:U1166"/>
    <mergeCell ref="V1163:V1166"/>
    <mergeCell ref="Y1163:Y1164"/>
    <mergeCell ref="AC1163:AC1164"/>
    <mergeCell ref="AK1159:AK1162"/>
    <mergeCell ref="AL1159:AL1166"/>
    <mergeCell ref="AM1159:AM1166"/>
    <mergeCell ref="AN1159:AN1173"/>
    <mergeCell ref="AO1159:AO1173"/>
    <mergeCell ref="AP1159:AP1173"/>
    <mergeCell ref="AK1163:AK1166"/>
    <mergeCell ref="AK1167:AK1170"/>
    <mergeCell ref="AL1167:AL1170"/>
    <mergeCell ref="S1156:S1158"/>
    <mergeCell ref="T1156:T1158"/>
    <mergeCell ref="U1156:U1158"/>
    <mergeCell ref="AF1156:AF1158"/>
    <mergeCell ref="AI1156:AI1158"/>
    <mergeCell ref="AK1156:AK1158"/>
    <mergeCell ref="AF1153:AF1155"/>
    <mergeCell ref="AI1153:AI1155"/>
    <mergeCell ref="AK1153:AK1155"/>
    <mergeCell ref="M1156:M1158"/>
    <mergeCell ref="N1156:N1158"/>
    <mergeCell ref="O1156:O1158"/>
    <mergeCell ref="P1156:P1158"/>
    <mergeCell ref="R1156:R1158"/>
    <mergeCell ref="AF1171:AF1173"/>
    <mergeCell ref="AI1171:AI1173"/>
    <mergeCell ref="AK1171:AK1173"/>
    <mergeCell ref="P1159:P1166"/>
    <mergeCell ref="Q1159:Q1173"/>
    <mergeCell ref="R1159:R1166"/>
    <mergeCell ref="M1167:M1170"/>
    <mergeCell ref="G1135:G1158"/>
    <mergeCell ref="H1135:H1158"/>
    <mergeCell ref="I1135:I1158"/>
    <mergeCell ref="J1135:J1152"/>
    <mergeCell ref="K1135:K1158"/>
    <mergeCell ref="L1135:L1158"/>
    <mergeCell ref="A1135:A1158"/>
    <mergeCell ref="B1135:B1158"/>
    <mergeCell ref="C1135:C1158"/>
    <mergeCell ref="D1135:D1158"/>
    <mergeCell ref="E1135:E1158"/>
    <mergeCell ref="F1135:F1158"/>
    <mergeCell ref="J1153:J1158"/>
    <mergeCell ref="M1153:M1155"/>
    <mergeCell ref="Y1135:Y1136"/>
    <mergeCell ref="AC1135:AC1136"/>
    <mergeCell ref="AF1135:AF1146"/>
    <mergeCell ref="AG1135:AG1158"/>
    <mergeCell ref="AI1135:AI1140"/>
    <mergeCell ref="AJ1135:AJ1158"/>
    <mergeCell ref="AC1141:AC1142"/>
    <mergeCell ref="AI1141:AI1146"/>
    <mergeCell ref="Y1143:Y1144"/>
    <mergeCell ref="AC1143:AC1144"/>
    <mergeCell ref="S1135:S1146"/>
    <mergeCell ref="T1135:T1140"/>
    <mergeCell ref="U1135:U1140"/>
    <mergeCell ref="V1135:V1152"/>
    <mergeCell ref="W1135:W1158"/>
    <mergeCell ref="X1135:X1158"/>
    <mergeCell ref="S1153:S1155"/>
    <mergeCell ref="T1153:T1155"/>
    <mergeCell ref="U1153:U1155"/>
    <mergeCell ref="V1153:V1158"/>
    <mergeCell ref="N1167:N1170"/>
    <mergeCell ref="O1167:O1170"/>
    <mergeCell ref="P1167:P1170"/>
    <mergeCell ref="AM1167:AM1170"/>
    <mergeCell ref="Y1159:Y1160"/>
    <mergeCell ref="AC1159:AC1160"/>
    <mergeCell ref="AF1159:AF1166"/>
    <mergeCell ref="AG1159:AG1173"/>
    <mergeCell ref="AI1159:AI1162"/>
    <mergeCell ref="AJ1159:AJ1173"/>
    <mergeCell ref="AI1163:AI1166"/>
    <mergeCell ref="Y1165:Y1166"/>
    <mergeCell ref="AC1165:AC1166"/>
    <mergeCell ref="AI1167:AI1170"/>
    <mergeCell ref="S1159:S1166"/>
    <mergeCell ref="T1159:T1162"/>
    <mergeCell ref="U1159:U1162"/>
    <mergeCell ref="V1159:V1162"/>
    <mergeCell ref="W1159:W1173"/>
    <mergeCell ref="X1159:X1173"/>
    <mergeCell ref="T1171:T1173"/>
    <mergeCell ref="U1171:U1173"/>
    <mergeCell ref="V1171:V1173"/>
    <mergeCell ref="M1159:M1166"/>
    <mergeCell ref="N1159:N1162"/>
    <mergeCell ref="O1159:O1162"/>
    <mergeCell ref="AF1191:AF1192"/>
    <mergeCell ref="AI1191:AI1192"/>
    <mergeCell ref="AK1191:AK1192"/>
    <mergeCell ref="A1176:A1186"/>
    <mergeCell ref="B1176:B1186"/>
    <mergeCell ref="C1176:C1186"/>
    <mergeCell ref="D1176:D1186"/>
    <mergeCell ref="E1176:E1186"/>
    <mergeCell ref="F1176:F1186"/>
    <mergeCell ref="AL1174:AL1175"/>
    <mergeCell ref="AM1174:AM1175"/>
    <mergeCell ref="G1159:G1173"/>
    <mergeCell ref="H1159:H1173"/>
    <mergeCell ref="I1159:I1173"/>
    <mergeCell ref="J1159:J1170"/>
    <mergeCell ref="K1159:K1173"/>
    <mergeCell ref="L1159:L1173"/>
    <mergeCell ref="J1171:J1173"/>
    <mergeCell ref="A1159:A1173"/>
    <mergeCell ref="B1159:B1173"/>
    <mergeCell ref="C1159:C1173"/>
    <mergeCell ref="D1159:D1173"/>
    <mergeCell ref="E1159:E1173"/>
    <mergeCell ref="F1159:F1173"/>
    <mergeCell ref="AL1171:AL1173"/>
    <mergeCell ref="AM1171:AM1173"/>
    <mergeCell ref="AN1174:AN1175"/>
    <mergeCell ref="AO1174:AO1175"/>
    <mergeCell ref="AP1174:AP1175"/>
    <mergeCell ref="AQ1174:AQ1175"/>
    <mergeCell ref="X1174:X1175"/>
    <mergeCell ref="AF1174:AF1175"/>
    <mergeCell ref="AG1174:AG1175"/>
    <mergeCell ref="AI1174:AI1175"/>
    <mergeCell ref="AJ1174:AJ1175"/>
    <mergeCell ref="AK1174:AK1175"/>
    <mergeCell ref="R1174:R1175"/>
    <mergeCell ref="S1174:S1175"/>
    <mergeCell ref="T1174:T1175"/>
    <mergeCell ref="U1174:U1175"/>
    <mergeCell ref="V1174:V1175"/>
    <mergeCell ref="W1174:W1175"/>
    <mergeCell ref="L1174:L1175"/>
    <mergeCell ref="M1174:M1175"/>
    <mergeCell ref="N1174:N1175"/>
    <mergeCell ref="O1174:O1175"/>
    <mergeCell ref="P1174:P1175"/>
    <mergeCell ref="Q1174:Q1175"/>
    <mergeCell ref="F1174:F1175"/>
    <mergeCell ref="G1174:G1175"/>
    <mergeCell ref="H1174:H1175"/>
    <mergeCell ref="I1174:I1175"/>
    <mergeCell ref="J1174:J1175"/>
    <mergeCell ref="K1174:K1175"/>
    <mergeCell ref="C1187:C1192"/>
    <mergeCell ref="A1174:A1175"/>
    <mergeCell ref="B1174:B1175"/>
    <mergeCell ref="C1174:C1175"/>
    <mergeCell ref="D1174:D1175"/>
    <mergeCell ref="E1174:E1175"/>
    <mergeCell ref="AP1193:AP1207"/>
    <mergeCell ref="AQ1193:AQ1207"/>
    <mergeCell ref="D1187:D1192"/>
    <mergeCell ref="E1187:E1192"/>
    <mergeCell ref="F1187:F1192"/>
    <mergeCell ref="V1185:V1186"/>
    <mergeCell ref="AF1185:AF1186"/>
    <mergeCell ref="AI1185:AI1186"/>
    <mergeCell ref="AK1185:AK1186"/>
    <mergeCell ref="AL1185:AL1186"/>
    <mergeCell ref="AM1185:AM1186"/>
    <mergeCell ref="AM1181:AM1184"/>
    <mergeCell ref="J1185:J1186"/>
    <mergeCell ref="M1185:M1186"/>
    <mergeCell ref="N1185:N1186"/>
    <mergeCell ref="O1185:O1186"/>
    <mergeCell ref="P1185:P1186"/>
    <mergeCell ref="R1185:R1186"/>
    <mergeCell ref="S1185:S1186"/>
    <mergeCell ref="T1185:T1186"/>
    <mergeCell ref="U1185:U1186"/>
    <mergeCell ref="AM1176:AM1180"/>
    <mergeCell ref="AN1176:AN1186"/>
    <mergeCell ref="AO1176:AO1186"/>
    <mergeCell ref="AP1176:AP1186"/>
    <mergeCell ref="AQ1176:AQ1186"/>
    <mergeCell ref="M1181:M1184"/>
    <mergeCell ref="N1181:N1184"/>
    <mergeCell ref="O1181:O1184"/>
    <mergeCell ref="P1181:P1184"/>
    <mergeCell ref="R1181:R1184"/>
    <mergeCell ref="AF1176:AF1180"/>
    <mergeCell ref="AG1176:AG1186"/>
    <mergeCell ref="AI1176:AI1180"/>
    <mergeCell ref="AJ1176:AJ1186"/>
    <mergeCell ref="AK1176:AK1180"/>
    <mergeCell ref="AL1176:AL1180"/>
    <mergeCell ref="AF1181:AF1184"/>
    <mergeCell ref="AI1181:AI1184"/>
    <mergeCell ref="AK1181:AK1184"/>
    <mergeCell ref="AL1181:AL1184"/>
    <mergeCell ref="S1176:S1180"/>
    <mergeCell ref="T1176:T1180"/>
    <mergeCell ref="U1176:U1180"/>
    <mergeCell ref="V1176:V1180"/>
    <mergeCell ref="W1176:W1186"/>
    <mergeCell ref="X1176:X1186"/>
    <mergeCell ref="S1181:S1184"/>
    <mergeCell ref="T1181:T1184"/>
    <mergeCell ref="U1181:U1184"/>
    <mergeCell ref="V1181:V1184"/>
    <mergeCell ref="M1176:M1180"/>
    <mergeCell ref="N1176:N1180"/>
    <mergeCell ref="O1176:O1180"/>
    <mergeCell ref="P1176:P1180"/>
    <mergeCell ref="Q1176:Q1186"/>
    <mergeCell ref="R1176:R1180"/>
    <mergeCell ref="G1176:G1186"/>
    <mergeCell ref="H1176:H1186"/>
    <mergeCell ref="I1176:I1186"/>
    <mergeCell ref="J1176:J1184"/>
    <mergeCell ref="K1176:K1186"/>
    <mergeCell ref="I1193:I1207"/>
    <mergeCell ref="L1176:L1186"/>
    <mergeCell ref="J1193:J1204"/>
    <mergeCell ref="K1193:K1207"/>
    <mergeCell ref="J1205:J1207"/>
    <mergeCell ref="AL1191:AL1192"/>
    <mergeCell ref="AM1191:AM1192"/>
    <mergeCell ref="A1193:A1207"/>
    <mergeCell ref="B1193:B1207"/>
    <mergeCell ref="C1193:C1207"/>
    <mergeCell ref="D1193:D1207"/>
    <mergeCell ref="E1193:E1207"/>
    <mergeCell ref="AM1189:AM1190"/>
    <mergeCell ref="J1191:J1192"/>
    <mergeCell ref="M1191:M1192"/>
    <mergeCell ref="N1191:N1192"/>
    <mergeCell ref="O1191:O1192"/>
    <mergeCell ref="P1191:P1192"/>
    <mergeCell ref="R1191:R1192"/>
    <mergeCell ref="S1191:S1192"/>
    <mergeCell ref="T1191:T1192"/>
    <mergeCell ref="U1191:U1192"/>
    <mergeCell ref="AN1187:AN1192"/>
    <mergeCell ref="AO1187:AO1192"/>
    <mergeCell ref="AP1187:AP1192"/>
    <mergeCell ref="AQ1187:AQ1192"/>
    <mergeCell ref="M1189:M1190"/>
    <mergeCell ref="N1189:N1190"/>
    <mergeCell ref="O1189:O1190"/>
    <mergeCell ref="P1189:P1190"/>
    <mergeCell ref="R1189:R1190"/>
    <mergeCell ref="S1189:S1190"/>
    <mergeCell ref="AF1187:AF1188"/>
    <mergeCell ref="AI1187:AI1188"/>
    <mergeCell ref="AJ1187:AJ1192"/>
    <mergeCell ref="AK1187:AK1188"/>
    <mergeCell ref="AL1187:AL1188"/>
    <mergeCell ref="AM1187:AM1188"/>
    <mergeCell ref="AF1189:AF1190"/>
    <mergeCell ref="AI1189:AI1190"/>
    <mergeCell ref="AK1189:AK1190"/>
    <mergeCell ref="AL1189:AL1190"/>
    <mergeCell ref="S1187:S1188"/>
    <mergeCell ref="T1187:T1188"/>
    <mergeCell ref="U1187:U1188"/>
    <mergeCell ref="V1187:V1190"/>
    <mergeCell ref="W1187:W1192"/>
    <mergeCell ref="X1187:X1192"/>
    <mergeCell ref="T1189:T1190"/>
    <mergeCell ref="U1189:U1190"/>
    <mergeCell ref="V1191:V1192"/>
    <mergeCell ref="M1187:M1188"/>
    <mergeCell ref="N1187:N1188"/>
    <mergeCell ref="O1187:O1188"/>
    <mergeCell ref="P1187:P1188"/>
    <mergeCell ref="Q1187:Q1192"/>
    <mergeCell ref="R1187:R1188"/>
    <mergeCell ref="G1187:G1192"/>
    <mergeCell ref="H1187:H1192"/>
    <mergeCell ref="I1187:I1192"/>
    <mergeCell ref="J1187:J1190"/>
    <mergeCell ref="K1187:K1192"/>
    <mergeCell ref="L1187:L1192"/>
    <mergeCell ref="A1187:A1192"/>
    <mergeCell ref="B1187:B1192"/>
    <mergeCell ref="AO1193:AO1207"/>
    <mergeCell ref="G1210:G1213"/>
    <mergeCell ref="H1210:H1213"/>
    <mergeCell ref="I1210:I1213"/>
    <mergeCell ref="J1210:J1211"/>
    <mergeCell ref="K1210:K1213"/>
    <mergeCell ref="L1210:L1213"/>
    <mergeCell ref="A1210:A1213"/>
    <mergeCell ref="B1210:B1213"/>
    <mergeCell ref="C1210:C1213"/>
    <mergeCell ref="D1210:D1213"/>
    <mergeCell ref="E1210:E1213"/>
    <mergeCell ref="F1210:F1213"/>
    <mergeCell ref="T1205:T1207"/>
    <mergeCell ref="U1205:U1207"/>
    <mergeCell ref="V1205:V1207"/>
    <mergeCell ref="AF1205:AF1207"/>
    <mergeCell ref="AI1205:AI1207"/>
    <mergeCell ref="AK1205:AK1207"/>
    <mergeCell ref="M1205:M1207"/>
    <mergeCell ref="N1205:N1207"/>
    <mergeCell ref="O1205:O1207"/>
    <mergeCell ref="P1205:P1207"/>
    <mergeCell ref="R1205:R1207"/>
    <mergeCell ref="S1205:S1207"/>
    <mergeCell ref="V1199:V1204"/>
    <mergeCell ref="AF1199:AF1204"/>
    <mergeCell ref="AI1199:AI1204"/>
    <mergeCell ref="AK1199:AK1204"/>
    <mergeCell ref="AL1199:AL1204"/>
    <mergeCell ref="AM1199:AM1204"/>
    <mergeCell ref="AL1193:AL1198"/>
    <mergeCell ref="AM1193:AM1198"/>
    <mergeCell ref="AN1193:AN1207"/>
    <mergeCell ref="AL1205:AL1207"/>
    <mergeCell ref="AM1205:AM1207"/>
    <mergeCell ref="X1193:X1207"/>
    <mergeCell ref="AF1193:AF1198"/>
    <mergeCell ref="AG1193:AG1207"/>
    <mergeCell ref="AI1193:AI1198"/>
    <mergeCell ref="AJ1193:AJ1207"/>
    <mergeCell ref="AK1193:AK1198"/>
    <mergeCell ref="R1193:R1198"/>
    <mergeCell ref="S1193:S1198"/>
    <mergeCell ref="T1193:T1198"/>
    <mergeCell ref="U1193:U1198"/>
    <mergeCell ref="V1193:V1198"/>
    <mergeCell ref="W1193:W1207"/>
    <mergeCell ref="R1199:R1204"/>
    <mergeCell ref="S1199:S1204"/>
    <mergeCell ref="T1199:T1204"/>
    <mergeCell ref="U1199:U1204"/>
    <mergeCell ref="L1193:L1207"/>
    <mergeCell ref="M1193:M1198"/>
    <mergeCell ref="N1193:N1198"/>
    <mergeCell ref="O1193:O1198"/>
    <mergeCell ref="P1193:P1198"/>
    <mergeCell ref="Q1193:Q1207"/>
    <mergeCell ref="M1199:M1204"/>
    <mergeCell ref="N1199:N1204"/>
    <mergeCell ref="O1199:O1204"/>
    <mergeCell ref="P1199:P1204"/>
    <mergeCell ref="F1193:F1207"/>
    <mergeCell ref="G1193:G1207"/>
    <mergeCell ref="H1193:H1207"/>
    <mergeCell ref="AO1210:AO1213"/>
    <mergeCell ref="AP1210:AP1213"/>
    <mergeCell ref="AQ1210:AQ1213"/>
    <mergeCell ref="J1212:J1213"/>
    <mergeCell ref="M1212:M1213"/>
    <mergeCell ref="N1212:N1213"/>
    <mergeCell ref="O1212:O1213"/>
    <mergeCell ref="P1212:P1213"/>
    <mergeCell ref="R1212:R1213"/>
    <mergeCell ref="S1212:S1213"/>
    <mergeCell ref="AI1210:AI1211"/>
    <mergeCell ref="AJ1210:AJ1213"/>
    <mergeCell ref="AK1210:AK1211"/>
    <mergeCell ref="AL1210:AL1211"/>
    <mergeCell ref="AM1210:AM1211"/>
    <mergeCell ref="AN1210:AN1213"/>
    <mergeCell ref="AI1212:AI1213"/>
    <mergeCell ref="AK1212:AK1213"/>
    <mergeCell ref="AL1212:AL1213"/>
    <mergeCell ref="AM1212:AM1213"/>
    <mergeCell ref="S1210:S1211"/>
    <mergeCell ref="T1210:T1211"/>
    <mergeCell ref="U1210:U1211"/>
    <mergeCell ref="V1210:V1211"/>
    <mergeCell ref="W1210:W1213"/>
    <mergeCell ref="X1210:X1213"/>
    <mergeCell ref="T1212:T1213"/>
    <mergeCell ref="U1212:U1213"/>
    <mergeCell ref="V1212:V1213"/>
    <mergeCell ref="M1210:M1211"/>
    <mergeCell ref="N1210:N1211"/>
    <mergeCell ref="O1210:O1211"/>
    <mergeCell ref="P1210:P1211"/>
    <mergeCell ref="Q1210:Q1213"/>
    <mergeCell ref="R1210:R1211"/>
    <mergeCell ref="A1220:A1226"/>
    <mergeCell ref="B1220:B1226"/>
    <mergeCell ref="C1220:C1226"/>
    <mergeCell ref="D1220:D1226"/>
    <mergeCell ref="E1220:E1226"/>
    <mergeCell ref="AF1214:AF1218"/>
    <mergeCell ref="AG1214:AG1219"/>
    <mergeCell ref="AI1214:AI1218"/>
    <mergeCell ref="AJ1214:AJ1219"/>
    <mergeCell ref="AK1214:AK1218"/>
    <mergeCell ref="AL1214:AL1218"/>
    <mergeCell ref="S1214:S1218"/>
    <mergeCell ref="T1214:T1218"/>
    <mergeCell ref="U1214:U1218"/>
    <mergeCell ref="V1214:V1218"/>
    <mergeCell ref="W1214:W1219"/>
    <mergeCell ref="X1214:X1219"/>
    <mergeCell ref="M1214:M1218"/>
    <mergeCell ref="N1214:N1218"/>
    <mergeCell ref="O1214:O1218"/>
    <mergeCell ref="P1214:P1218"/>
    <mergeCell ref="Q1214:Q1219"/>
    <mergeCell ref="R1214:R1218"/>
    <mergeCell ref="G1214:G1219"/>
    <mergeCell ref="H1214:H1219"/>
    <mergeCell ref="I1214:I1219"/>
    <mergeCell ref="J1214:J1218"/>
    <mergeCell ref="K1214:K1219"/>
    <mergeCell ref="L1214:L1219"/>
    <mergeCell ref="A1214:A1219"/>
    <mergeCell ref="B1214:B1219"/>
    <mergeCell ref="C1214:C1219"/>
    <mergeCell ref="D1214:D1219"/>
    <mergeCell ref="E1214:E1219"/>
    <mergeCell ref="F1214:F1219"/>
    <mergeCell ref="AL1220:AL1226"/>
    <mergeCell ref="AM1220:AM1226"/>
    <mergeCell ref="AN1220:AN1226"/>
    <mergeCell ref="AO1220:AO1226"/>
    <mergeCell ref="AP1220:AP1226"/>
    <mergeCell ref="AQ1220:AQ1226"/>
    <mergeCell ref="X1220:X1226"/>
    <mergeCell ref="AF1220:AF1226"/>
    <mergeCell ref="AG1220:AG1226"/>
    <mergeCell ref="AI1220:AI1226"/>
    <mergeCell ref="AJ1220:AJ1226"/>
    <mergeCell ref="AK1220:AK1226"/>
    <mergeCell ref="R1220:R1226"/>
    <mergeCell ref="S1220:S1226"/>
    <mergeCell ref="T1220:T1226"/>
    <mergeCell ref="U1220:U1226"/>
    <mergeCell ref="V1220:V1226"/>
    <mergeCell ref="W1220:W1226"/>
    <mergeCell ref="L1220:L1226"/>
    <mergeCell ref="M1220:M1226"/>
    <mergeCell ref="N1220:N1226"/>
    <mergeCell ref="O1220:O1226"/>
    <mergeCell ref="P1220:P1226"/>
    <mergeCell ref="Q1220:Q1226"/>
    <mergeCell ref="F1220:F1226"/>
    <mergeCell ref="G1220:G1226"/>
    <mergeCell ref="H1220:H1226"/>
    <mergeCell ref="I1220:I1226"/>
    <mergeCell ref="J1220:J1226"/>
    <mergeCell ref="K1220:K1226"/>
    <mergeCell ref="AM1214:AM1218"/>
    <mergeCell ref="AN1214:AN1219"/>
    <mergeCell ref="AO1214:AO1219"/>
    <mergeCell ref="AP1214:AP1219"/>
    <mergeCell ref="AQ1214:AQ1219"/>
    <mergeCell ref="L1232:L1244"/>
    <mergeCell ref="M1232:M1241"/>
    <mergeCell ref="N1232:N1236"/>
    <mergeCell ref="O1232:O1236"/>
    <mergeCell ref="P1232:P1241"/>
    <mergeCell ref="Q1232:Q1244"/>
    <mergeCell ref="N1237:N1241"/>
    <mergeCell ref="O1237:O1241"/>
    <mergeCell ref="M1242:M1244"/>
    <mergeCell ref="N1242:N1244"/>
    <mergeCell ref="F1232:F1244"/>
    <mergeCell ref="G1232:G1244"/>
    <mergeCell ref="H1232:H1244"/>
    <mergeCell ref="I1232:I1244"/>
    <mergeCell ref="J1232:J1244"/>
    <mergeCell ref="K1232:K1244"/>
    <mergeCell ref="AM1228:AM1231"/>
    <mergeCell ref="AN1228:AN1231"/>
    <mergeCell ref="AO1228:AO1231"/>
    <mergeCell ref="AP1228:AP1231"/>
    <mergeCell ref="AQ1228:AQ1231"/>
    <mergeCell ref="A1232:A1244"/>
    <mergeCell ref="B1232:B1244"/>
    <mergeCell ref="C1232:C1244"/>
    <mergeCell ref="D1232:D1244"/>
    <mergeCell ref="E1232:E1244"/>
    <mergeCell ref="AF1228:AF1231"/>
    <mergeCell ref="AG1228:AG1231"/>
    <mergeCell ref="AI1228:AI1231"/>
    <mergeCell ref="AJ1228:AJ1231"/>
    <mergeCell ref="AK1228:AK1231"/>
    <mergeCell ref="AL1228:AL1231"/>
    <mergeCell ref="S1228:S1231"/>
    <mergeCell ref="T1228:T1231"/>
    <mergeCell ref="U1228:U1231"/>
    <mergeCell ref="V1228:V1231"/>
    <mergeCell ref="W1228:W1231"/>
    <mergeCell ref="X1228:X1231"/>
    <mergeCell ref="M1228:M1231"/>
    <mergeCell ref="N1228:N1231"/>
    <mergeCell ref="O1228:O1231"/>
    <mergeCell ref="P1228:P1231"/>
    <mergeCell ref="Q1228:Q1231"/>
    <mergeCell ref="R1228:R1231"/>
    <mergeCell ref="G1228:G1231"/>
    <mergeCell ref="H1228:H1231"/>
    <mergeCell ref="I1228:I1231"/>
    <mergeCell ref="J1228:J1231"/>
    <mergeCell ref="K1228:K1231"/>
    <mergeCell ref="L1228:L1231"/>
    <mergeCell ref="A1228:A1231"/>
    <mergeCell ref="B1228:B1231"/>
    <mergeCell ref="C1228:C1231"/>
    <mergeCell ref="D1228:D1231"/>
    <mergeCell ref="E1228:E1231"/>
    <mergeCell ref="F1228:F1231"/>
    <mergeCell ref="AI1242:AI1244"/>
    <mergeCell ref="AK1242:AK1244"/>
    <mergeCell ref="AL1242:AL1244"/>
    <mergeCell ref="AM1242:AM1244"/>
    <mergeCell ref="O1242:O1244"/>
    <mergeCell ref="P1242:P1244"/>
    <mergeCell ref="R1242:R1244"/>
    <mergeCell ref="S1242:S1244"/>
    <mergeCell ref="T1242:T1244"/>
    <mergeCell ref="U1242:U1244"/>
    <mergeCell ref="AP1232:AP1244"/>
    <mergeCell ref="AQ1232:AQ1244"/>
    <mergeCell ref="Y1234:Y1235"/>
    <mergeCell ref="AC1234:AC1235"/>
    <mergeCell ref="Y1236:Y1237"/>
    <mergeCell ref="AC1236:AC1237"/>
    <mergeCell ref="AI1237:AI1241"/>
    <mergeCell ref="AK1237:AK1241"/>
    <mergeCell ref="Y1238:Y1239"/>
    <mergeCell ref="AC1238:AC1239"/>
    <mergeCell ref="AJ1232:AJ1244"/>
    <mergeCell ref="AK1232:AK1236"/>
    <mergeCell ref="AL1232:AL1241"/>
    <mergeCell ref="AM1232:AM1241"/>
    <mergeCell ref="AN1232:AN1244"/>
    <mergeCell ref="AO1232:AO1244"/>
    <mergeCell ref="X1232:X1244"/>
    <mergeCell ref="Y1232:Y1233"/>
    <mergeCell ref="AC1232:AC1233"/>
    <mergeCell ref="AF1232:AF1241"/>
    <mergeCell ref="AG1232:AG1244"/>
    <mergeCell ref="AI1232:AI1236"/>
    <mergeCell ref="Y1240:Y1241"/>
    <mergeCell ref="AC1240:AC1241"/>
    <mergeCell ref="AE1242:AE1244"/>
    <mergeCell ref="AF1242:AF1244"/>
    <mergeCell ref="R1232:R1241"/>
    <mergeCell ref="S1232:S1241"/>
    <mergeCell ref="T1232:T1236"/>
    <mergeCell ref="U1232:U1236"/>
    <mergeCell ref="V1232:V1236"/>
    <mergeCell ref="W1232:W1244"/>
    <mergeCell ref="T1237:T1241"/>
    <mergeCell ref="U1237:U1241"/>
    <mergeCell ref="V1237:V1241"/>
    <mergeCell ref="V1242:V1244"/>
    <mergeCell ref="A1250:A1270"/>
    <mergeCell ref="B1250:B1270"/>
    <mergeCell ref="C1250:C1270"/>
    <mergeCell ref="D1250:D1270"/>
    <mergeCell ref="E1250:E1270"/>
    <mergeCell ref="F1250:F1270"/>
    <mergeCell ref="AC1248:AC1249"/>
    <mergeCell ref="AF1248:AF1249"/>
    <mergeCell ref="AI1248:AI1249"/>
    <mergeCell ref="AK1248:AK1249"/>
    <mergeCell ref="AL1248:AL1249"/>
    <mergeCell ref="AM1248:AM1249"/>
    <mergeCell ref="AM1245:AM1246"/>
    <mergeCell ref="AN1245:AN1249"/>
    <mergeCell ref="AO1245:AO1249"/>
    <mergeCell ref="AP1245:AP1249"/>
    <mergeCell ref="AQ1245:AQ1249"/>
    <mergeCell ref="J1248:J1249"/>
    <mergeCell ref="M1248:M1249"/>
    <mergeCell ref="N1248:N1249"/>
    <mergeCell ref="O1248:O1249"/>
    <mergeCell ref="P1248:P1249"/>
    <mergeCell ref="AF1245:AF1246"/>
    <mergeCell ref="AG1245:AG1249"/>
    <mergeCell ref="AI1245:AI1246"/>
    <mergeCell ref="AJ1245:AJ1249"/>
    <mergeCell ref="AK1245:AK1246"/>
    <mergeCell ref="AL1245:AL1246"/>
    <mergeCell ref="S1245:S1246"/>
    <mergeCell ref="T1245:T1246"/>
    <mergeCell ref="U1245:U1246"/>
    <mergeCell ref="V1245:V1246"/>
    <mergeCell ref="W1245:W1249"/>
    <mergeCell ref="X1245:X1249"/>
    <mergeCell ref="S1248:S1249"/>
    <mergeCell ref="T1248:T1249"/>
    <mergeCell ref="U1248:U1249"/>
    <mergeCell ref="V1248:V1249"/>
    <mergeCell ref="M1245:M1246"/>
    <mergeCell ref="N1245:N1246"/>
    <mergeCell ref="O1245:O1246"/>
    <mergeCell ref="P1245:P1246"/>
    <mergeCell ref="Q1245:Q1249"/>
    <mergeCell ref="R1245:R1246"/>
    <mergeCell ref="R1248:R1249"/>
    <mergeCell ref="G1245:G1249"/>
    <mergeCell ref="H1245:H1249"/>
    <mergeCell ref="I1245:I1249"/>
    <mergeCell ref="J1245:J1246"/>
    <mergeCell ref="K1245:K1249"/>
    <mergeCell ref="L1245:L1249"/>
    <mergeCell ref="A1245:A1249"/>
    <mergeCell ref="B1245:B1249"/>
    <mergeCell ref="C1245:C1249"/>
    <mergeCell ref="D1245:D1249"/>
    <mergeCell ref="E1245:E1249"/>
    <mergeCell ref="F1245:F1249"/>
    <mergeCell ref="A1271:A1276"/>
    <mergeCell ref="B1271:B1276"/>
    <mergeCell ref="C1271:C1276"/>
    <mergeCell ref="D1271:D1276"/>
    <mergeCell ref="E1271:E1276"/>
    <mergeCell ref="AC1262:AC1263"/>
    <mergeCell ref="M1264:M1270"/>
    <mergeCell ref="N1264:N1270"/>
    <mergeCell ref="O1264:O1270"/>
    <mergeCell ref="P1264:P1270"/>
    <mergeCell ref="R1264:R1270"/>
    <mergeCell ref="S1264:S1270"/>
    <mergeCell ref="T1264:T1270"/>
    <mergeCell ref="U1264:U1270"/>
    <mergeCell ref="V1264:V1270"/>
    <mergeCell ref="AQ1250:AQ1270"/>
    <mergeCell ref="Y1252:Y1253"/>
    <mergeCell ref="AC1252:AC1253"/>
    <mergeCell ref="Y1254:Y1255"/>
    <mergeCell ref="AC1254:AC1255"/>
    <mergeCell ref="Y1256:Y1257"/>
    <mergeCell ref="AC1256:AC1257"/>
    <mergeCell ref="AI1257:AI1263"/>
    <mergeCell ref="AK1257:AK1263"/>
    <mergeCell ref="Y1258:Y1259"/>
    <mergeCell ref="AK1250:AK1256"/>
    <mergeCell ref="AL1250:AL1263"/>
    <mergeCell ref="AM1250:AM1263"/>
    <mergeCell ref="AN1250:AN1270"/>
    <mergeCell ref="AO1250:AO1270"/>
    <mergeCell ref="AP1250:AP1270"/>
    <mergeCell ref="Y1250:Y1251"/>
    <mergeCell ref="AC1250:AC1251"/>
    <mergeCell ref="AF1250:AF1263"/>
    <mergeCell ref="AG1250:AG1270"/>
    <mergeCell ref="AI1250:AI1256"/>
    <mergeCell ref="AJ1250:AJ1270"/>
    <mergeCell ref="AC1258:AC1259"/>
    <mergeCell ref="Y1260:Y1261"/>
    <mergeCell ref="AC1260:AC1261"/>
    <mergeCell ref="Y1262:Y1263"/>
    <mergeCell ref="S1250:S1263"/>
    <mergeCell ref="T1250:T1256"/>
    <mergeCell ref="U1250:U1256"/>
    <mergeCell ref="V1250:V1256"/>
    <mergeCell ref="W1250:W1270"/>
    <mergeCell ref="X1250:X1270"/>
    <mergeCell ref="T1257:T1263"/>
    <mergeCell ref="U1257:U1263"/>
    <mergeCell ref="V1257:V1263"/>
    <mergeCell ref="M1250:M1263"/>
    <mergeCell ref="N1250:N1256"/>
    <mergeCell ref="O1250:O1256"/>
    <mergeCell ref="P1250:P1263"/>
    <mergeCell ref="Q1250:Q1270"/>
    <mergeCell ref="R1250:R1263"/>
    <mergeCell ref="N1257:N1263"/>
    <mergeCell ref="O1257:O1263"/>
    <mergeCell ref="G1250:G1270"/>
    <mergeCell ref="H1250:H1270"/>
    <mergeCell ref="I1250:I1270"/>
    <mergeCell ref="J1250:J1270"/>
    <mergeCell ref="K1250:K1270"/>
    <mergeCell ref="L1250:L1270"/>
    <mergeCell ref="AO1271:AO1276"/>
    <mergeCell ref="AP1271:AP1276"/>
    <mergeCell ref="AQ1271:AQ1276"/>
    <mergeCell ref="M1274:M1276"/>
    <mergeCell ref="N1274:N1276"/>
    <mergeCell ref="O1274:O1276"/>
    <mergeCell ref="P1274:P1276"/>
    <mergeCell ref="R1274:R1276"/>
    <mergeCell ref="V1274:V1276"/>
    <mergeCell ref="AE1274:AE1276"/>
    <mergeCell ref="R1271:R1273"/>
    <mergeCell ref="V1271:V1273"/>
    <mergeCell ref="W1271:W1276"/>
    <mergeCell ref="X1271:X1276"/>
    <mergeCell ref="AE1271:AE1273"/>
    <mergeCell ref="AN1271:AN1276"/>
    <mergeCell ref="L1271:L1276"/>
    <mergeCell ref="M1271:M1273"/>
    <mergeCell ref="N1271:N1273"/>
    <mergeCell ref="O1271:O1273"/>
    <mergeCell ref="P1271:P1273"/>
    <mergeCell ref="Q1271:Q1276"/>
    <mergeCell ref="F1271:F1276"/>
    <mergeCell ref="G1271:G1276"/>
    <mergeCell ref="H1271:H1276"/>
    <mergeCell ref="I1271:I1276"/>
    <mergeCell ref="J1271:J1276"/>
    <mergeCell ref="K1271:K1276"/>
    <mergeCell ref="AF1264:AF1270"/>
    <mergeCell ref="AI1264:AI1270"/>
    <mergeCell ref="AK1264:AK1270"/>
    <mergeCell ref="AL1264:AL1270"/>
    <mergeCell ref="AM1264:AM1270"/>
    <mergeCell ref="AM1277:AM1280"/>
    <mergeCell ref="AN1277:AN1280"/>
    <mergeCell ref="AO1277:AO1280"/>
    <mergeCell ref="AP1277:AP1280"/>
    <mergeCell ref="AQ1277:AQ1280"/>
    <mergeCell ref="A1282:A1293"/>
    <mergeCell ref="B1282:B1293"/>
    <mergeCell ref="C1282:C1293"/>
    <mergeCell ref="D1282:D1293"/>
    <mergeCell ref="E1282:E1293"/>
    <mergeCell ref="AF1277:AF1280"/>
    <mergeCell ref="AG1277:AG1280"/>
    <mergeCell ref="AI1277:AI1280"/>
    <mergeCell ref="AJ1277:AJ1280"/>
    <mergeCell ref="AK1277:AK1280"/>
    <mergeCell ref="AL1277:AL1280"/>
    <mergeCell ref="S1277:S1280"/>
    <mergeCell ref="T1277:T1280"/>
    <mergeCell ref="U1277:U1280"/>
    <mergeCell ref="V1277:V1280"/>
    <mergeCell ref="W1277:W1280"/>
    <mergeCell ref="X1277:X1280"/>
    <mergeCell ref="M1277:M1280"/>
    <mergeCell ref="N1277:N1280"/>
    <mergeCell ref="O1277:O1280"/>
    <mergeCell ref="P1277:P1280"/>
    <mergeCell ref="Q1277:Q1280"/>
    <mergeCell ref="R1277:R1280"/>
    <mergeCell ref="G1277:G1280"/>
    <mergeCell ref="H1277:H1280"/>
    <mergeCell ref="I1277:I1280"/>
    <mergeCell ref="J1277:J1280"/>
    <mergeCell ref="K1277:K1280"/>
    <mergeCell ref="L1277:L1280"/>
    <mergeCell ref="A1277:A1280"/>
    <mergeCell ref="B1277:B1280"/>
    <mergeCell ref="C1277:C1280"/>
    <mergeCell ref="D1277:D1280"/>
    <mergeCell ref="E1277:E1280"/>
    <mergeCell ref="F1277:F1280"/>
    <mergeCell ref="AF1290:AF1293"/>
    <mergeCell ref="AI1290:AI1293"/>
    <mergeCell ref="AK1290:AK1293"/>
    <mergeCell ref="AL1290:AL1293"/>
    <mergeCell ref="AM1290:AM1293"/>
    <mergeCell ref="A1294:A1295"/>
    <mergeCell ref="B1294:B1295"/>
    <mergeCell ref="C1294:C1295"/>
    <mergeCell ref="D1294:D1295"/>
    <mergeCell ref="E1294:E1295"/>
    <mergeCell ref="AI1286:AI1289"/>
    <mergeCell ref="Y1288:Y1289"/>
    <mergeCell ref="M1290:M1293"/>
    <mergeCell ref="N1290:N1293"/>
    <mergeCell ref="O1290:O1293"/>
    <mergeCell ref="P1290:P1293"/>
    <mergeCell ref="R1290:R1293"/>
    <mergeCell ref="S1290:S1293"/>
    <mergeCell ref="T1290:T1293"/>
    <mergeCell ref="U1290:U1293"/>
    <mergeCell ref="AL1282:AL1289"/>
    <mergeCell ref="AM1282:AM1289"/>
    <mergeCell ref="AN1282:AN1293"/>
    <mergeCell ref="AO1282:AO1293"/>
    <mergeCell ref="AP1282:AP1293"/>
    <mergeCell ref="AQ1282:AQ1293"/>
    <mergeCell ref="X1282:X1293"/>
    <mergeCell ref="Y1282:Y1283"/>
    <mergeCell ref="AC1282:AC1283"/>
    <mergeCell ref="AF1282:AF1289"/>
    <mergeCell ref="AI1282:AI1285"/>
    <mergeCell ref="AK1282:AK1289"/>
    <mergeCell ref="Y1284:Y1285"/>
    <mergeCell ref="AC1284:AC1285"/>
    <mergeCell ref="Y1286:Y1287"/>
    <mergeCell ref="AC1286:AC1287"/>
    <mergeCell ref="R1282:R1289"/>
    <mergeCell ref="S1282:S1289"/>
    <mergeCell ref="T1282:T1285"/>
    <mergeCell ref="U1282:U1285"/>
    <mergeCell ref="V1282:V1285"/>
    <mergeCell ref="W1282:W1293"/>
    <mergeCell ref="T1286:T1289"/>
    <mergeCell ref="U1286:U1289"/>
    <mergeCell ref="V1286:V1289"/>
    <mergeCell ref="V1290:V1293"/>
    <mergeCell ref="L1282:L1293"/>
    <mergeCell ref="M1282:M1289"/>
    <mergeCell ref="N1282:N1285"/>
    <mergeCell ref="O1282:O1285"/>
    <mergeCell ref="P1282:P1289"/>
    <mergeCell ref="Q1282:Q1293"/>
    <mergeCell ref="N1286:N1289"/>
    <mergeCell ref="O1286:O1289"/>
    <mergeCell ref="F1282:F1293"/>
    <mergeCell ref="G1282:G1293"/>
    <mergeCell ref="H1282:H1293"/>
    <mergeCell ref="I1282:I1293"/>
    <mergeCell ref="J1282:J1293"/>
    <mergeCell ref="K1282:K1293"/>
    <mergeCell ref="H1296:H1305"/>
    <mergeCell ref="I1296:I1305"/>
    <mergeCell ref="J1296:J1305"/>
    <mergeCell ref="K1296:K1305"/>
    <mergeCell ref="L1296:L1305"/>
    <mergeCell ref="M1296:M1301"/>
    <mergeCell ref="M1302:M1304"/>
    <mergeCell ref="AO1294:AO1295"/>
    <mergeCell ref="AP1294:AP1295"/>
    <mergeCell ref="AQ1294:AQ1295"/>
    <mergeCell ref="A1296:A1305"/>
    <mergeCell ref="B1296:B1305"/>
    <mergeCell ref="C1296:C1305"/>
    <mergeCell ref="D1296:D1305"/>
    <mergeCell ref="E1296:E1305"/>
    <mergeCell ref="F1296:F1305"/>
    <mergeCell ref="G1296:G1305"/>
    <mergeCell ref="X1294:X1295"/>
    <mergeCell ref="AJ1294:AJ1295"/>
    <mergeCell ref="AK1294:AK1295"/>
    <mergeCell ref="AL1294:AL1295"/>
    <mergeCell ref="AM1294:AM1295"/>
    <mergeCell ref="AN1294:AN1295"/>
    <mergeCell ref="R1294:R1295"/>
    <mergeCell ref="S1294:S1295"/>
    <mergeCell ref="T1294:T1295"/>
    <mergeCell ref="U1294:U1295"/>
    <mergeCell ref="V1294:V1295"/>
    <mergeCell ref="W1294:W1295"/>
    <mergeCell ref="L1294:L1295"/>
    <mergeCell ref="M1294:M1295"/>
    <mergeCell ref="N1294:N1295"/>
    <mergeCell ref="O1294:O1295"/>
    <mergeCell ref="P1294:P1295"/>
    <mergeCell ref="Q1294:Q1295"/>
    <mergeCell ref="F1294:F1295"/>
    <mergeCell ref="G1294:G1295"/>
    <mergeCell ref="H1294:H1295"/>
    <mergeCell ref="I1294:I1295"/>
    <mergeCell ref="J1294:J1295"/>
    <mergeCell ref="K1294:K1295"/>
    <mergeCell ref="P1302:P1304"/>
    <mergeCell ref="R1302:R1304"/>
    <mergeCell ref="S1302:S1304"/>
    <mergeCell ref="T1302:T1304"/>
    <mergeCell ref="U1302:U1304"/>
    <mergeCell ref="AE1302:AE1304"/>
    <mergeCell ref="AL1296:AL1305"/>
    <mergeCell ref="AM1296:AM1305"/>
    <mergeCell ref="AN1296:AN1305"/>
    <mergeCell ref="AO1296:AO1305"/>
    <mergeCell ref="AP1296:AP1305"/>
    <mergeCell ref="AQ1296:AQ1305"/>
    <mergeCell ref="AF1296:AF1301"/>
    <mergeCell ref="AG1296:AG1305"/>
    <mergeCell ref="AH1296:AH1305"/>
    <mergeCell ref="AI1296:AI1305"/>
    <mergeCell ref="AJ1296:AJ1305"/>
    <mergeCell ref="AK1296:AK1305"/>
    <mergeCell ref="AF1302:AF1305"/>
    <mergeCell ref="T1296:T1298"/>
    <mergeCell ref="U1296:U1298"/>
    <mergeCell ref="V1296:V1305"/>
    <mergeCell ref="W1296:W1305"/>
    <mergeCell ref="X1296:X1305"/>
    <mergeCell ref="AE1296:AE1298"/>
    <mergeCell ref="T1299:T1301"/>
    <mergeCell ref="U1299:U1301"/>
    <mergeCell ref="AE1299:AE1301"/>
    <mergeCell ref="N1296:N1298"/>
    <mergeCell ref="O1296:O1298"/>
    <mergeCell ref="P1296:P1301"/>
    <mergeCell ref="Q1296:Q1305"/>
    <mergeCell ref="R1296:R1301"/>
    <mergeCell ref="S1296:S1301"/>
    <mergeCell ref="N1299:N1301"/>
    <mergeCell ref="O1299:O1301"/>
    <mergeCell ref="N1302:N1304"/>
    <mergeCell ref="O1302:O1304"/>
    <mergeCell ref="F1311:F1316"/>
    <mergeCell ref="G1311:G1316"/>
    <mergeCell ref="H1311:H1316"/>
    <mergeCell ref="I1311:I1316"/>
    <mergeCell ref="J1311:J1314"/>
    <mergeCell ref="K1311:K1316"/>
    <mergeCell ref="J1315:J1316"/>
    <mergeCell ref="AM1306:AM1309"/>
    <mergeCell ref="AN1306:AN1310"/>
    <mergeCell ref="AO1306:AO1310"/>
    <mergeCell ref="AP1306:AP1310"/>
    <mergeCell ref="AQ1306:AQ1310"/>
    <mergeCell ref="A1311:A1316"/>
    <mergeCell ref="B1311:B1316"/>
    <mergeCell ref="C1311:C1316"/>
    <mergeCell ref="D1311:D1316"/>
    <mergeCell ref="E1311:E1316"/>
    <mergeCell ref="AF1306:AF1309"/>
    <mergeCell ref="AG1306:AG1310"/>
    <mergeCell ref="AI1306:AI1309"/>
    <mergeCell ref="AJ1306:AJ1310"/>
    <mergeCell ref="AK1306:AK1309"/>
    <mergeCell ref="AL1306:AL1309"/>
    <mergeCell ref="S1306:S1309"/>
    <mergeCell ref="T1306:T1309"/>
    <mergeCell ref="U1306:U1309"/>
    <mergeCell ref="V1306:V1309"/>
    <mergeCell ref="W1306:W1310"/>
    <mergeCell ref="X1306:X1310"/>
    <mergeCell ref="M1306:M1309"/>
    <mergeCell ref="N1306:N1309"/>
    <mergeCell ref="O1306:O1309"/>
    <mergeCell ref="P1306:P1309"/>
    <mergeCell ref="Q1306:Q1310"/>
    <mergeCell ref="R1306:R1309"/>
    <mergeCell ref="G1306:G1310"/>
    <mergeCell ref="H1306:H1310"/>
    <mergeCell ref="I1306:I1310"/>
    <mergeCell ref="J1306:J1309"/>
    <mergeCell ref="K1306:K1310"/>
    <mergeCell ref="L1306:L1310"/>
    <mergeCell ref="A1306:A1310"/>
    <mergeCell ref="B1306:B1310"/>
    <mergeCell ref="C1306:C1310"/>
    <mergeCell ref="D1306:D1310"/>
    <mergeCell ref="E1306:E1310"/>
    <mergeCell ref="F1306:F1310"/>
    <mergeCell ref="V1315:V1316"/>
    <mergeCell ref="AF1315:AF1316"/>
    <mergeCell ref="AI1315:AI1316"/>
    <mergeCell ref="AK1315:AK1316"/>
    <mergeCell ref="AL1315:AL1316"/>
    <mergeCell ref="AM1315:AM1316"/>
    <mergeCell ref="AL1311:AL1314"/>
    <mergeCell ref="AM1311:AM1314"/>
    <mergeCell ref="AN1311:AN1316"/>
    <mergeCell ref="AO1311:AO1316"/>
    <mergeCell ref="AP1311:AP1316"/>
    <mergeCell ref="AQ1311:AQ1316"/>
    <mergeCell ref="X1311:X1316"/>
    <mergeCell ref="AF1311:AF1314"/>
    <mergeCell ref="AG1311:AG1316"/>
    <mergeCell ref="AI1311:AI1314"/>
    <mergeCell ref="AJ1311:AJ1316"/>
    <mergeCell ref="AK1311:AK1314"/>
    <mergeCell ref="R1311:R1314"/>
    <mergeCell ref="S1311:S1314"/>
    <mergeCell ref="T1311:T1314"/>
    <mergeCell ref="U1311:U1314"/>
    <mergeCell ref="V1311:V1314"/>
    <mergeCell ref="W1311:W1316"/>
    <mergeCell ref="R1315:R1316"/>
    <mergeCell ref="S1315:S1316"/>
    <mergeCell ref="T1315:T1316"/>
    <mergeCell ref="U1315:U1316"/>
    <mergeCell ref="L1311:L1316"/>
    <mergeCell ref="M1311:M1314"/>
    <mergeCell ref="N1311:N1314"/>
    <mergeCell ref="O1311:O1314"/>
    <mergeCell ref="P1311:P1314"/>
    <mergeCell ref="Q1311:Q1316"/>
    <mergeCell ref="M1315:M1316"/>
    <mergeCell ref="N1315:N1316"/>
    <mergeCell ref="O1315:O1316"/>
    <mergeCell ref="P1315:P1316"/>
    <mergeCell ref="AM1318:AM1322"/>
    <mergeCell ref="AN1318:AN1322"/>
    <mergeCell ref="AO1318:AO1322"/>
    <mergeCell ref="AP1318:AP1322"/>
    <mergeCell ref="AQ1318:AQ1322"/>
    <mergeCell ref="A1323:A1325"/>
    <mergeCell ref="B1323:B1325"/>
    <mergeCell ref="C1323:C1325"/>
    <mergeCell ref="D1323:D1325"/>
    <mergeCell ref="E1323:E1325"/>
    <mergeCell ref="AF1318:AF1322"/>
    <mergeCell ref="AG1318:AG1322"/>
    <mergeCell ref="AI1318:AI1322"/>
    <mergeCell ref="AJ1318:AJ1322"/>
    <mergeCell ref="AK1318:AK1322"/>
    <mergeCell ref="AL1318:AL1322"/>
    <mergeCell ref="S1318:S1322"/>
    <mergeCell ref="T1318:T1322"/>
    <mergeCell ref="U1318:U1322"/>
    <mergeCell ref="V1318:V1322"/>
    <mergeCell ref="W1318:W1322"/>
    <mergeCell ref="X1318:X1322"/>
    <mergeCell ref="M1318:M1322"/>
    <mergeCell ref="N1318:N1322"/>
    <mergeCell ref="O1318:O1322"/>
    <mergeCell ref="P1318:P1322"/>
    <mergeCell ref="Q1318:Q1322"/>
    <mergeCell ref="R1318:R1322"/>
    <mergeCell ref="G1318:G1322"/>
    <mergeCell ref="H1318:H1322"/>
    <mergeCell ref="I1318:I1322"/>
    <mergeCell ref="J1318:J1322"/>
    <mergeCell ref="K1318:K1322"/>
    <mergeCell ref="L1318:L1322"/>
    <mergeCell ref="A1318:A1322"/>
    <mergeCell ref="B1318:B1322"/>
    <mergeCell ref="C1318:C1322"/>
    <mergeCell ref="D1318:D1322"/>
    <mergeCell ref="E1318:E1322"/>
    <mergeCell ref="F1318:F1322"/>
    <mergeCell ref="G1326:G1332"/>
    <mergeCell ref="H1326:H1332"/>
    <mergeCell ref="I1326:I1332"/>
    <mergeCell ref="J1326:J1328"/>
    <mergeCell ref="K1326:K1332"/>
    <mergeCell ref="L1326:L1332"/>
    <mergeCell ref="A1326:A1332"/>
    <mergeCell ref="B1326:B1332"/>
    <mergeCell ref="C1326:C1328"/>
    <mergeCell ref="D1326:D1332"/>
    <mergeCell ref="E1326:E1332"/>
    <mergeCell ref="F1326:F1332"/>
    <mergeCell ref="AL1323:AL1324"/>
    <mergeCell ref="AM1323:AM1324"/>
    <mergeCell ref="AN1323:AN1325"/>
    <mergeCell ref="AO1323:AO1325"/>
    <mergeCell ref="AP1323:AP1325"/>
    <mergeCell ref="AQ1323:AQ1325"/>
    <mergeCell ref="X1323:X1325"/>
    <mergeCell ref="AF1323:AF1324"/>
    <mergeCell ref="AG1323:AG1325"/>
    <mergeCell ref="AI1323:AI1324"/>
    <mergeCell ref="AJ1323:AJ1325"/>
    <mergeCell ref="AK1323:AK1324"/>
    <mergeCell ref="R1323:R1324"/>
    <mergeCell ref="S1323:S1324"/>
    <mergeCell ref="T1323:T1324"/>
    <mergeCell ref="U1323:U1324"/>
    <mergeCell ref="V1323:V1324"/>
    <mergeCell ref="W1323:W1325"/>
    <mergeCell ref="L1323:L1325"/>
    <mergeCell ref="M1323:M1324"/>
    <mergeCell ref="N1323:N1324"/>
    <mergeCell ref="O1323:O1324"/>
    <mergeCell ref="P1323:P1324"/>
    <mergeCell ref="Q1323:Q1325"/>
    <mergeCell ref="F1323:F1325"/>
    <mergeCell ref="G1323:G1325"/>
    <mergeCell ref="H1323:H1325"/>
    <mergeCell ref="I1323:I1325"/>
    <mergeCell ref="J1323:J1324"/>
    <mergeCell ref="K1323:K1325"/>
    <mergeCell ref="AL1331:AL1332"/>
    <mergeCell ref="AM1331:AM1332"/>
    <mergeCell ref="A1333:A1336"/>
    <mergeCell ref="B1333:B1336"/>
    <mergeCell ref="C1333:C1336"/>
    <mergeCell ref="D1333:D1336"/>
    <mergeCell ref="E1333:E1336"/>
    <mergeCell ref="F1333:F1336"/>
    <mergeCell ref="G1333:G1336"/>
    <mergeCell ref="H1333:H1336"/>
    <mergeCell ref="U1331:U1332"/>
    <mergeCell ref="V1331:V1332"/>
    <mergeCell ref="AF1331:AF1332"/>
    <mergeCell ref="AI1331:AI1332"/>
    <mergeCell ref="AJ1331:AJ1332"/>
    <mergeCell ref="AK1331:AK1332"/>
    <mergeCell ref="AL1329:AL1330"/>
    <mergeCell ref="AM1329:AM1330"/>
    <mergeCell ref="C1331:C1332"/>
    <mergeCell ref="M1331:M1332"/>
    <mergeCell ref="N1331:N1332"/>
    <mergeCell ref="O1331:O1332"/>
    <mergeCell ref="P1331:P1332"/>
    <mergeCell ref="R1331:R1332"/>
    <mergeCell ref="S1331:S1332"/>
    <mergeCell ref="T1331:T1332"/>
    <mergeCell ref="AM1326:AM1328"/>
    <mergeCell ref="AN1326:AN1332"/>
    <mergeCell ref="AO1326:AO1332"/>
    <mergeCell ref="AP1326:AP1332"/>
    <mergeCell ref="AQ1326:AQ1332"/>
    <mergeCell ref="C1329:C1330"/>
    <mergeCell ref="J1329:J1332"/>
    <mergeCell ref="M1329:M1330"/>
    <mergeCell ref="N1329:N1330"/>
    <mergeCell ref="O1329:O1330"/>
    <mergeCell ref="AF1326:AF1328"/>
    <mergeCell ref="AG1326:AG1332"/>
    <mergeCell ref="AI1326:AI1328"/>
    <mergeCell ref="AJ1326:AJ1328"/>
    <mergeCell ref="AK1326:AK1328"/>
    <mergeCell ref="AL1326:AL1328"/>
    <mergeCell ref="AF1329:AF1330"/>
    <mergeCell ref="AI1329:AI1330"/>
    <mergeCell ref="AJ1329:AJ1330"/>
    <mergeCell ref="AK1329:AK1330"/>
    <mergeCell ref="S1326:S1328"/>
    <mergeCell ref="T1326:T1328"/>
    <mergeCell ref="U1326:U1328"/>
    <mergeCell ref="V1326:V1328"/>
    <mergeCell ref="W1326:W1332"/>
    <mergeCell ref="X1326:X1332"/>
    <mergeCell ref="S1329:S1330"/>
    <mergeCell ref="T1329:T1330"/>
    <mergeCell ref="U1329:U1330"/>
    <mergeCell ref="V1329:V1330"/>
    <mergeCell ref="M1326:M1328"/>
    <mergeCell ref="N1326:N1328"/>
    <mergeCell ref="O1326:O1328"/>
    <mergeCell ref="P1326:P1328"/>
    <mergeCell ref="Q1326:Q1332"/>
    <mergeCell ref="R1326:R1328"/>
    <mergeCell ref="P1329:P1330"/>
    <mergeCell ref="R1329:R1330"/>
    <mergeCell ref="AO1333:AO1336"/>
    <mergeCell ref="AP1333:AP1336"/>
    <mergeCell ref="AQ1333:AQ1336"/>
    <mergeCell ref="A1337:A1358"/>
    <mergeCell ref="B1337:B1358"/>
    <mergeCell ref="C1337:C1338"/>
    <mergeCell ref="D1337:D1358"/>
    <mergeCell ref="E1337:E1358"/>
    <mergeCell ref="F1337:F1358"/>
    <mergeCell ref="G1337:G1358"/>
    <mergeCell ref="AI1333:AI1336"/>
    <mergeCell ref="AJ1333:AJ1336"/>
    <mergeCell ref="AK1333:AK1336"/>
    <mergeCell ref="AL1333:AL1336"/>
    <mergeCell ref="AM1333:AM1336"/>
    <mergeCell ref="AN1333:AN1336"/>
    <mergeCell ref="U1333:U1336"/>
    <mergeCell ref="V1333:V1336"/>
    <mergeCell ref="W1333:W1336"/>
    <mergeCell ref="X1333:X1336"/>
    <mergeCell ref="AF1333:AF1336"/>
    <mergeCell ref="AG1333:AG1336"/>
    <mergeCell ref="O1333:O1336"/>
    <mergeCell ref="P1333:P1336"/>
    <mergeCell ref="Q1333:Q1336"/>
    <mergeCell ref="R1333:R1336"/>
    <mergeCell ref="S1333:S1336"/>
    <mergeCell ref="T1333:T1336"/>
    <mergeCell ref="I1333:I1336"/>
    <mergeCell ref="J1333:J1336"/>
    <mergeCell ref="K1333:K1336"/>
    <mergeCell ref="L1333:L1336"/>
    <mergeCell ref="M1333:M1336"/>
    <mergeCell ref="N1333:N1336"/>
    <mergeCell ref="T1341:T1342"/>
    <mergeCell ref="U1341:U1342"/>
    <mergeCell ref="V1341:V1342"/>
    <mergeCell ref="AE1341:AE1342"/>
    <mergeCell ref="AF1341:AF1342"/>
    <mergeCell ref="AK1341:AK1342"/>
    <mergeCell ref="C1341:C1342"/>
    <mergeCell ref="M1341:M1342"/>
    <mergeCell ref="N1341:N1342"/>
    <mergeCell ref="O1341:O1342"/>
    <mergeCell ref="P1341:P1342"/>
    <mergeCell ref="R1341:R1342"/>
    <mergeCell ref="C1339:C1340"/>
    <mergeCell ref="M1339:M1340"/>
    <mergeCell ref="N1339:N1340"/>
    <mergeCell ref="O1339:O1340"/>
    <mergeCell ref="P1339:P1340"/>
    <mergeCell ref="R1339:R1340"/>
    <mergeCell ref="AL1337:AL1358"/>
    <mergeCell ref="AM1337:AM1358"/>
    <mergeCell ref="AN1337:AN1358"/>
    <mergeCell ref="AO1337:AO1358"/>
    <mergeCell ref="AP1337:AP1358"/>
    <mergeCell ref="AQ1337:AQ1358"/>
    <mergeCell ref="AF1337:AF1338"/>
    <mergeCell ref="AG1337:AG1358"/>
    <mergeCell ref="AH1337:AH1358"/>
    <mergeCell ref="AI1337:AI1358"/>
    <mergeCell ref="AJ1337:AJ1358"/>
    <mergeCell ref="AK1337:AK1338"/>
    <mergeCell ref="AF1339:AF1340"/>
    <mergeCell ref="AK1339:AK1340"/>
    <mergeCell ref="AK1347:AK1348"/>
    <mergeCell ref="AK1349:AK1350"/>
    <mergeCell ref="T1337:T1338"/>
    <mergeCell ref="U1337:U1338"/>
    <mergeCell ref="V1337:V1338"/>
    <mergeCell ref="W1337:W1358"/>
    <mergeCell ref="X1337:X1358"/>
    <mergeCell ref="AE1337:AE1338"/>
    <mergeCell ref="T1339:T1340"/>
    <mergeCell ref="U1339:U1340"/>
    <mergeCell ref="V1339:V1340"/>
    <mergeCell ref="AE1339:AE1340"/>
    <mergeCell ref="N1337:N1338"/>
    <mergeCell ref="O1337:O1338"/>
    <mergeCell ref="P1337:P1338"/>
    <mergeCell ref="Q1337:Q1358"/>
    <mergeCell ref="R1337:R1338"/>
    <mergeCell ref="S1337:S1338"/>
    <mergeCell ref="S1339:S1340"/>
    <mergeCell ref="S1341:S1342"/>
    <mergeCell ref="S1343:S1344"/>
    <mergeCell ref="S1345:S1346"/>
    <mergeCell ref="H1337:H1358"/>
    <mergeCell ref="I1337:I1358"/>
    <mergeCell ref="J1337:J1358"/>
    <mergeCell ref="K1337:K1358"/>
    <mergeCell ref="L1337:L1358"/>
    <mergeCell ref="M1337:M1338"/>
    <mergeCell ref="S1347:S1348"/>
    <mergeCell ref="T1347:T1348"/>
    <mergeCell ref="U1347:U1348"/>
    <mergeCell ref="V1347:V1348"/>
    <mergeCell ref="AE1347:AE1348"/>
    <mergeCell ref="AF1347:AF1348"/>
    <mergeCell ref="V1357:V1358"/>
    <mergeCell ref="AE1357:AE1358"/>
    <mergeCell ref="AF1357:AF1358"/>
    <mergeCell ref="AK1357:AK1358"/>
    <mergeCell ref="C1347:C1348"/>
    <mergeCell ref="M1347:M1348"/>
    <mergeCell ref="N1347:N1348"/>
    <mergeCell ref="O1347:O1348"/>
    <mergeCell ref="P1347:P1348"/>
    <mergeCell ref="R1347:R1348"/>
    <mergeCell ref="T1345:T1346"/>
    <mergeCell ref="U1345:U1346"/>
    <mergeCell ref="V1345:V1346"/>
    <mergeCell ref="AE1345:AE1346"/>
    <mergeCell ref="AF1345:AF1346"/>
    <mergeCell ref="AK1345:AK1346"/>
    <mergeCell ref="C1345:C1346"/>
    <mergeCell ref="M1345:M1346"/>
    <mergeCell ref="N1345:N1346"/>
    <mergeCell ref="O1345:O1346"/>
    <mergeCell ref="P1345:P1346"/>
    <mergeCell ref="R1345:R1346"/>
    <mergeCell ref="T1343:T1344"/>
    <mergeCell ref="U1343:U1344"/>
    <mergeCell ref="V1343:V1344"/>
    <mergeCell ref="AE1343:AE1344"/>
    <mergeCell ref="AF1343:AF1344"/>
    <mergeCell ref="AK1343:AK1344"/>
    <mergeCell ref="C1343:C1344"/>
    <mergeCell ref="M1343:M1344"/>
    <mergeCell ref="N1343:N1344"/>
    <mergeCell ref="O1343:O1344"/>
    <mergeCell ref="P1343:P1344"/>
    <mergeCell ref="R1343:R1344"/>
    <mergeCell ref="AK1351:AK1352"/>
    <mergeCell ref="C1353:C1354"/>
    <mergeCell ref="M1353:M1354"/>
    <mergeCell ref="N1353:N1354"/>
    <mergeCell ref="O1353:O1354"/>
    <mergeCell ref="P1353:P1354"/>
    <mergeCell ref="R1353:R1354"/>
    <mergeCell ref="S1353:S1354"/>
    <mergeCell ref="T1353:T1354"/>
    <mergeCell ref="U1353:U1354"/>
    <mergeCell ref="S1351:S1352"/>
    <mergeCell ref="T1351:T1352"/>
    <mergeCell ref="U1351:U1352"/>
    <mergeCell ref="V1351:V1352"/>
    <mergeCell ref="AE1351:AE1352"/>
    <mergeCell ref="AF1351:AF1352"/>
    <mergeCell ref="C1351:C1352"/>
    <mergeCell ref="M1351:M1352"/>
    <mergeCell ref="N1351:N1352"/>
    <mergeCell ref="O1351:O1352"/>
    <mergeCell ref="P1351:P1352"/>
    <mergeCell ref="R1351:R1352"/>
    <mergeCell ref="S1349:S1350"/>
    <mergeCell ref="T1349:T1350"/>
    <mergeCell ref="U1349:U1350"/>
    <mergeCell ref="V1349:V1350"/>
    <mergeCell ref="AE1349:AE1350"/>
    <mergeCell ref="AF1349:AF1350"/>
    <mergeCell ref="C1349:C1350"/>
    <mergeCell ref="M1349:M1350"/>
    <mergeCell ref="N1349:N1350"/>
    <mergeCell ref="O1349:O1350"/>
    <mergeCell ref="P1349:P1350"/>
    <mergeCell ref="R1349:R1350"/>
    <mergeCell ref="A1359:A1380"/>
    <mergeCell ref="B1359:B1380"/>
    <mergeCell ref="C1359:C1380"/>
    <mergeCell ref="D1359:D1380"/>
    <mergeCell ref="E1359:E1380"/>
    <mergeCell ref="F1359:F1380"/>
    <mergeCell ref="AK1355:AK1356"/>
    <mergeCell ref="C1357:C1358"/>
    <mergeCell ref="M1357:M1358"/>
    <mergeCell ref="N1357:N1358"/>
    <mergeCell ref="O1357:O1358"/>
    <mergeCell ref="P1357:P1358"/>
    <mergeCell ref="R1357:R1358"/>
    <mergeCell ref="S1357:S1358"/>
    <mergeCell ref="T1357:T1358"/>
    <mergeCell ref="U1357:U1358"/>
    <mergeCell ref="S1355:S1356"/>
    <mergeCell ref="T1355:T1356"/>
    <mergeCell ref="U1355:U1356"/>
    <mergeCell ref="V1355:V1356"/>
    <mergeCell ref="AE1355:AE1356"/>
    <mergeCell ref="AF1355:AF1356"/>
    <mergeCell ref="V1353:V1354"/>
    <mergeCell ref="AE1353:AE1354"/>
    <mergeCell ref="AF1353:AF1354"/>
    <mergeCell ref="AK1353:AK1354"/>
    <mergeCell ref="C1355:C1356"/>
    <mergeCell ref="M1355:M1356"/>
    <mergeCell ref="N1355:N1356"/>
    <mergeCell ref="O1355:O1356"/>
    <mergeCell ref="P1355:P1356"/>
    <mergeCell ref="R1355:R1356"/>
    <mergeCell ref="M1363:M1364"/>
    <mergeCell ref="N1363:N1364"/>
    <mergeCell ref="O1363:O1364"/>
    <mergeCell ref="P1363:P1364"/>
    <mergeCell ref="V1363:V1364"/>
    <mergeCell ref="M1365:M1366"/>
    <mergeCell ref="N1365:N1366"/>
    <mergeCell ref="O1365:O1366"/>
    <mergeCell ref="P1365:P1366"/>
    <mergeCell ref="V1365:V1366"/>
    <mergeCell ref="V1359:V1360"/>
    <mergeCell ref="W1359:W1380"/>
    <mergeCell ref="X1359:X1380"/>
    <mergeCell ref="AO1359:AO1380"/>
    <mergeCell ref="AP1359:AP1380"/>
    <mergeCell ref="AQ1359:AQ1380"/>
    <mergeCell ref="V1361:V1362"/>
    <mergeCell ref="M1359:M1360"/>
    <mergeCell ref="N1359:N1360"/>
    <mergeCell ref="O1359:O1360"/>
    <mergeCell ref="P1359:P1360"/>
    <mergeCell ref="Q1359:Q1380"/>
    <mergeCell ref="R1359:R1380"/>
    <mergeCell ref="M1361:M1362"/>
    <mergeCell ref="N1361:N1362"/>
    <mergeCell ref="O1361:O1362"/>
    <mergeCell ref="P1361:P1362"/>
    <mergeCell ref="G1359:G1380"/>
    <mergeCell ref="H1359:H1380"/>
    <mergeCell ref="I1359:I1380"/>
    <mergeCell ref="J1359:J1380"/>
    <mergeCell ref="K1359:K1380"/>
    <mergeCell ref="L1359:L1380"/>
    <mergeCell ref="M1379:M1380"/>
    <mergeCell ref="N1379:N1380"/>
    <mergeCell ref="O1379:O1380"/>
    <mergeCell ref="P1379:P1380"/>
    <mergeCell ref="V1379:V1380"/>
    <mergeCell ref="A1382:A1417"/>
    <mergeCell ref="B1382:B1417"/>
    <mergeCell ref="C1382:C1385"/>
    <mergeCell ref="D1382:D1417"/>
    <mergeCell ref="E1382:E1417"/>
    <mergeCell ref="M1375:M1376"/>
    <mergeCell ref="N1375:N1376"/>
    <mergeCell ref="O1375:O1376"/>
    <mergeCell ref="P1375:P1376"/>
    <mergeCell ref="V1375:V1376"/>
    <mergeCell ref="M1377:M1378"/>
    <mergeCell ref="N1377:N1378"/>
    <mergeCell ref="O1377:O1378"/>
    <mergeCell ref="P1377:P1378"/>
    <mergeCell ref="V1377:V1378"/>
    <mergeCell ref="M1371:M1372"/>
    <mergeCell ref="N1371:N1372"/>
    <mergeCell ref="O1371:O1372"/>
    <mergeCell ref="P1371:P1372"/>
    <mergeCell ref="V1371:V1372"/>
    <mergeCell ref="M1373:M1374"/>
    <mergeCell ref="N1373:N1374"/>
    <mergeCell ref="O1373:O1374"/>
    <mergeCell ref="P1373:P1374"/>
    <mergeCell ref="V1373:V1374"/>
    <mergeCell ref="M1367:M1368"/>
    <mergeCell ref="N1367:N1368"/>
    <mergeCell ref="O1367:O1368"/>
    <mergeCell ref="P1367:P1368"/>
    <mergeCell ref="V1367:V1368"/>
    <mergeCell ref="M1369:M1370"/>
    <mergeCell ref="N1369:N1370"/>
    <mergeCell ref="O1369:O1370"/>
    <mergeCell ref="P1369:P1370"/>
    <mergeCell ref="V1369:V1370"/>
    <mergeCell ref="C1386:C1389"/>
    <mergeCell ref="M1386:M1389"/>
    <mergeCell ref="N1386:N1389"/>
    <mergeCell ref="O1386:O1389"/>
    <mergeCell ref="P1386:P1389"/>
    <mergeCell ref="R1386:R1389"/>
    <mergeCell ref="AL1382:AL1385"/>
    <mergeCell ref="AM1382:AM1385"/>
    <mergeCell ref="AN1382:AN1417"/>
    <mergeCell ref="AO1382:AO1417"/>
    <mergeCell ref="AP1382:AP1417"/>
    <mergeCell ref="AQ1382:AQ1417"/>
    <mergeCell ref="AL1386:AL1389"/>
    <mergeCell ref="AM1386:AM1389"/>
    <mergeCell ref="AL1390:AL1393"/>
    <mergeCell ref="AM1390:AM1393"/>
    <mergeCell ref="X1382:X1417"/>
    <mergeCell ref="AF1382:AF1385"/>
    <mergeCell ref="AG1382:AG1417"/>
    <mergeCell ref="AI1382:AI1385"/>
    <mergeCell ref="AJ1382:AJ1417"/>
    <mergeCell ref="AK1382:AK1385"/>
    <mergeCell ref="AF1386:AF1389"/>
    <mergeCell ref="AI1386:AI1389"/>
    <mergeCell ref="AK1386:AK1389"/>
    <mergeCell ref="AK1390:AK1393"/>
    <mergeCell ref="R1382:R1385"/>
    <mergeCell ref="S1382:S1385"/>
    <mergeCell ref="T1382:T1385"/>
    <mergeCell ref="U1382:U1385"/>
    <mergeCell ref="V1382:V1385"/>
    <mergeCell ref="W1382:W1417"/>
    <mergeCell ref="S1386:S1389"/>
    <mergeCell ref="T1386:T1389"/>
    <mergeCell ref="U1386:U1389"/>
    <mergeCell ref="V1386:V1389"/>
    <mergeCell ref="L1382:L1417"/>
    <mergeCell ref="M1382:M1385"/>
    <mergeCell ref="N1382:N1385"/>
    <mergeCell ref="O1382:O1385"/>
    <mergeCell ref="P1382:P1385"/>
    <mergeCell ref="Q1382:Q1417"/>
    <mergeCell ref="O1398:O1401"/>
    <mergeCell ref="P1398:P1401"/>
    <mergeCell ref="R1398:R1401"/>
    <mergeCell ref="S1398:S1401"/>
    <mergeCell ref="S1394:S1397"/>
    <mergeCell ref="T1394:T1397"/>
    <mergeCell ref="U1394:U1397"/>
    <mergeCell ref="AI1390:AI1393"/>
    <mergeCell ref="AL1414:AL1417"/>
    <mergeCell ref="AM1414:AM1417"/>
    <mergeCell ref="N1390:N1393"/>
    <mergeCell ref="O1390:O1393"/>
    <mergeCell ref="P1390:P1393"/>
    <mergeCell ref="R1390:R1393"/>
    <mergeCell ref="V1406:V1409"/>
    <mergeCell ref="AF1406:AF1409"/>
    <mergeCell ref="AI1406:AI1409"/>
    <mergeCell ref="AK1406:AK1409"/>
    <mergeCell ref="AL1406:AL1409"/>
    <mergeCell ref="C1402:C1405"/>
    <mergeCell ref="M1402:M1405"/>
    <mergeCell ref="N1402:N1405"/>
    <mergeCell ref="O1402:O1405"/>
    <mergeCell ref="P1402:P1405"/>
    <mergeCell ref="R1402:R1405"/>
    <mergeCell ref="S1402:S1405"/>
    <mergeCell ref="T1402:T1405"/>
    <mergeCell ref="T1398:T1401"/>
    <mergeCell ref="U1398:U1401"/>
    <mergeCell ref="V1398:V1401"/>
    <mergeCell ref="AF1398:AF1401"/>
    <mergeCell ref="AI1398:AI1401"/>
    <mergeCell ref="AK1398:AK1401"/>
    <mergeCell ref="AM1406:AM1409"/>
    <mergeCell ref="AM1402:AM1405"/>
    <mergeCell ref="C1406:C1409"/>
    <mergeCell ref="M1406:M1409"/>
    <mergeCell ref="N1406:N1409"/>
    <mergeCell ref="O1406:O1409"/>
    <mergeCell ref="P1406:P1409"/>
    <mergeCell ref="R1406:R1409"/>
    <mergeCell ref="S1406:S1409"/>
    <mergeCell ref="T1406:T1409"/>
    <mergeCell ref="U1406:U1409"/>
    <mergeCell ref="U1402:U1405"/>
    <mergeCell ref="V1402:V1405"/>
    <mergeCell ref="AF1402:AF1405"/>
    <mergeCell ref="AI1402:AI1405"/>
    <mergeCell ref="AK1402:AK1405"/>
    <mergeCell ref="AL1402:AL1405"/>
    <mergeCell ref="AL1398:AL1401"/>
    <mergeCell ref="AM1398:AM1401"/>
    <mergeCell ref="A1418:A1421"/>
    <mergeCell ref="B1418:B1421"/>
    <mergeCell ref="C1418:C1421"/>
    <mergeCell ref="D1418:D1421"/>
    <mergeCell ref="E1418:E1421"/>
    <mergeCell ref="F1418:F1421"/>
    <mergeCell ref="G1418:G1421"/>
    <mergeCell ref="H1418:H1421"/>
    <mergeCell ref="T1414:T1417"/>
    <mergeCell ref="U1414:U1417"/>
    <mergeCell ref="V1414:V1417"/>
    <mergeCell ref="AF1414:AF1417"/>
    <mergeCell ref="AI1414:AI1417"/>
    <mergeCell ref="AK1414:AK1417"/>
    <mergeCell ref="AK1410:AK1413"/>
    <mergeCell ref="AL1410:AL1413"/>
    <mergeCell ref="AM1410:AM1413"/>
    <mergeCell ref="C1414:C1417"/>
    <mergeCell ref="M1414:M1417"/>
    <mergeCell ref="N1414:N1417"/>
    <mergeCell ref="O1414:O1417"/>
    <mergeCell ref="P1414:P1417"/>
    <mergeCell ref="R1414:R1417"/>
    <mergeCell ref="S1414:S1417"/>
    <mergeCell ref="S1410:S1413"/>
    <mergeCell ref="T1410:T1413"/>
    <mergeCell ref="U1410:U1413"/>
    <mergeCell ref="V1410:V1413"/>
    <mergeCell ref="AF1410:AF1413"/>
    <mergeCell ref="AI1410:AI1413"/>
    <mergeCell ref="C1410:C1413"/>
    <mergeCell ref="M1410:M1413"/>
    <mergeCell ref="N1410:N1413"/>
    <mergeCell ref="O1410:O1413"/>
    <mergeCell ref="P1410:P1413"/>
    <mergeCell ref="R1410:R1413"/>
    <mergeCell ref="F1382:F1417"/>
    <mergeCell ref="G1382:G1417"/>
    <mergeCell ref="H1382:H1417"/>
    <mergeCell ref="I1382:I1417"/>
    <mergeCell ref="J1382:J1417"/>
    <mergeCell ref="K1382:K1417"/>
    <mergeCell ref="AK1394:AK1397"/>
    <mergeCell ref="AL1394:AL1397"/>
    <mergeCell ref="AM1394:AM1397"/>
    <mergeCell ref="C1398:C1401"/>
    <mergeCell ref="M1398:M1401"/>
    <mergeCell ref="N1398:N1401"/>
    <mergeCell ref="V1394:V1397"/>
    <mergeCell ref="AF1394:AF1397"/>
    <mergeCell ref="AI1394:AI1397"/>
    <mergeCell ref="C1394:C1397"/>
    <mergeCell ref="M1394:M1397"/>
    <mergeCell ref="N1394:N1397"/>
    <mergeCell ref="O1394:O1397"/>
    <mergeCell ref="P1394:P1397"/>
    <mergeCell ref="R1394:R1397"/>
    <mergeCell ref="S1390:S1393"/>
    <mergeCell ref="T1390:T1393"/>
    <mergeCell ref="U1390:U1393"/>
    <mergeCell ref="V1390:V1393"/>
    <mergeCell ref="AF1390:AF1393"/>
    <mergeCell ref="C1390:C1393"/>
    <mergeCell ref="M1390:M1393"/>
    <mergeCell ref="H1422:H1425"/>
    <mergeCell ref="I1422:I1425"/>
    <mergeCell ref="J1422:J1425"/>
    <mergeCell ref="K1422:K1425"/>
    <mergeCell ref="L1422:L1425"/>
    <mergeCell ref="M1422:M1423"/>
    <mergeCell ref="AO1418:AO1421"/>
    <mergeCell ref="AP1418:AP1421"/>
    <mergeCell ref="AQ1418:AQ1421"/>
    <mergeCell ref="A1422:A1425"/>
    <mergeCell ref="B1422:B1425"/>
    <mergeCell ref="C1422:C1425"/>
    <mergeCell ref="D1422:D1425"/>
    <mergeCell ref="E1422:E1425"/>
    <mergeCell ref="F1422:F1425"/>
    <mergeCell ref="G1422:G1425"/>
    <mergeCell ref="AI1418:AI1421"/>
    <mergeCell ref="AJ1418:AJ1421"/>
    <mergeCell ref="AK1418:AK1421"/>
    <mergeCell ref="AL1418:AL1421"/>
    <mergeCell ref="AM1418:AM1421"/>
    <mergeCell ref="AN1418:AN1421"/>
    <mergeCell ref="U1418:U1421"/>
    <mergeCell ref="V1418:V1421"/>
    <mergeCell ref="W1418:W1421"/>
    <mergeCell ref="X1418:X1421"/>
    <mergeCell ref="AF1418:AF1421"/>
    <mergeCell ref="AG1418:AG1421"/>
    <mergeCell ref="O1418:O1421"/>
    <mergeCell ref="P1418:P1421"/>
    <mergeCell ref="Q1418:Q1421"/>
    <mergeCell ref="R1418:R1421"/>
    <mergeCell ref="S1418:S1421"/>
    <mergeCell ref="T1418:T1421"/>
    <mergeCell ref="I1418:I1421"/>
    <mergeCell ref="J1418:J1421"/>
    <mergeCell ref="K1418:K1421"/>
    <mergeCell ref="L1418:L1421"/>
    <mergeCell ref="M1418:M1421"/>
    <mergeCell ref="N1418:N1421"/>
    <mergeCell ref="AN1422:AN1425"/>
    <mergeCell ref="AO1422:AO1425"/>
    <mergeCell ref="AP1422:AP1425"/>
    <mergeCell ref="AQ1422:AQ1425"/>
    <mergeCell ref="M1424:M1425"/>
    <mergeCell ref="N1424:N1425"/>
    <mergeCell ref="O1424:O1425"/>
    <mergeCell ref="P1424:P1425"/>
    <mergeCell ref="R1424:R1425"/>
    <mergeCell ref="S1424:S1425"/>
    <mergeCell ref="AG1422:AG1425"/>
    <mergeCell ref="AI1422:AI1423"/>
    <mergeCell ref="AJ1422:AJ1425"/>
    <mergeCell ref="AK1422:AK1423"/>
    <mergeCell ref="AL1422:AL1423"/>
    <mergeCell ref="AM1422:AM1423"/>
    <mergeCell ref="AI1424:AI1425"/>
    <mergeCell ref="AK1424:AK1425"/>
    <mergeCell ref="AL1424:AL1425"/>
    <mergeCell ref="AM1424:AM1425"/>
    <mergeCell ref="T1422:T1423"/>
    <mergeCell ref="U1422:U1423"/>
    <mergeCell ref="V1422:V1423"/>
    <mergeCell ref="W1422:W1425"/>
    <mergeCell ref="X1422:X1425"/>
    <mergeCell ref="AF1422:AF1423"/>
    <mergeCell ref="T1424:T1425"/>
    <mergeCell ref="U1424:U1425"/>
    <mergeCell ref="V1424:V1425"/>
    <mergeCell ref="AF1424:AF1425"/>
    <mergeCell ref="N1422:N1423"/>
    <mergeCell ref="O1422:O1423"/>
    <mergeCell ref="P1422:P1423"/>
    <mergeCell ref="Q1422:Q1425"/>
    <mergeCell ref="R1422:R1423"/>
    <mergeCell ref="S1422:S1423"/>
    <mergeCell ref="G1429:G1437"/>
    <mergeCell ref="H1429:H1437"/>
    <mergeCell ref="I1429:I1437"/>
    <mergeCell ref="J1429:J1437"/>
    <mergeCell ref="K1429:K1437"/>
    <mergeCell ref="L1429:L1437"/>
    <mergeCell ref="A1429:A1437"/>
    <mergeCell ref="B1429:B1437"/>
    <mergeCell ref="C1429:C1437"/>
    <mergeCell ref="D1429:D1437"/>
    <mergeCell ref="E1429:E1437"/>
    <mergeCell ref="F1429:F1437"/>
    <mergeCell ref="AL1426:AL1427"/>
    <mergeCell ref="AM1426:AM1427"/>
    <mergeCell ref="AN1426:AN1428"/>
    <mergeCell ref="AO1426:AO1428"/>
    <mergeCell ref="AP1426:AP1428"/>
    <mergeCell ref="AQ1426:AQ1428"/>
    <mergeCell ref="AE1426:AE1427"/>
    <mergeCell ref="AF1426:AF1427"/>
    <mergeCell ref="AG1426:AG1428"/>
    <mergeCell ref="AI1426:AI1427"/>
    <mergeCell ref="AJ1426:AJ1428"/>
    <mergeCell ref="AK1426:AK1427"/>
    <mergeCell ref="S1426:S1427"/>
    <mergeCell ref="T1426:T1427"/>
    <mergeCell ref="U1426:U1427"/>
    <mergeCell ref="V1426:V1427"/>
    <mergeCell ref="W1426:W1428"/>
    <mergeCell ref="X1426:X1428"/>
    <mergeCell ref="M1426:M1427"/>
    <mergeCell ref="N1426:N1427"/>
    <mergeCell ref="O1426:O1427"/>
    <mergeCell ref="P1426:P1427"/>
    <mergeCell ref="Q1426:Q1428"/>
    <mergeCell ref="R1426:R1427"/>
    <mergeCell ref="G1426:G1428"/>
    <mergeCell ref="H1426:H1428"/>
    <mergeCell ref="I1426:I1428"/>
    <mergeCell ref="J1426:J1427"/>
    <mergeCell ref="K1426:K1428"/>
    <mergeCell ref="L1426:L1428"/>
    <mergeCell ref="A1426:A1428"/>
    <mergeCell ref="B1426:B1428"/>
    <mergeCell ref="C1426:C1428"/>
    <mergeCell ref="D1426:D1428"/>
    <mergeCell ref="E1426:E1428"/>
    <mergeCell ref="F1426:F1428"/>
    <mergeCell ref="AM1432:AM1437"/>
    <mergeCell ref="Y1434:Y1435"/>
    <mergeCell ref="N1435:N1437"/>
    <mergeCell ref="O1435:O1437"/>
    <mergeCell ref="T1435:T1437"/>
    <mergeCell ref="U1435:U1437"/>
    <mergeCell ref="V1435:V1437"/>
    <mergeCell ref="AI1435:AI1437"/>
    <mergeCell ref="AK1435:AK1437"/>
    <mergeCell ref="Y1436:Y1437"/>
    <mergeCell ref="Y1432:Y1433"/>
    <mergeCell ref="AF1432:AF1437"/>
    <mergeCell ref="AI1432:AI1434"/>
    <mergeCell ref="AJ1432:AJ1437"/>
    <mergeCell ref="AK1432:AK1434"/>
    <mergeCell ref="AL1432:AL1437"/>
    <mergeCell ref="AM1429:AM1431"/>
    <mergeCell ref="AN1429:AN1437"/>
    <mergeCell ref="AO1429:AO1437"/>
    <mergeCell ref="AP1429:AP1437"/>
    <mergeCell ref="AQ1429:AQ1437"/>
    <mergeCell ref="M1432:M1437"/>
    <mergeCell ref="N1432:N1434"/>
    <mergeCell ref="O1432:O1434"/>
    <mergeCell ref="P1432:P1437"/>
    <mergeCell ref="R1432:R1437"/>
    <mergeCell ref="AF1429:AF1431"/>
    <mergeCell ref="AG1429:AG1437"/>
    <mergeCell ref="AI1429:AI1431"/>
    <mergeCell ref="AJ1429:AJ1431"/>
    <mergeCell ref="AK1429:AK1431"/>
    <mergeCell ref="AL1429:AL1431"/>
    <mergeCell ref="S1429:S1431"/>
    <mergeCell ref="T1429:T1431"/>
    <mergeCell ref="U1429:U1431"/>
    <mergeCell ref="V1429:V1431"/>
    <mergeCell ref="W1429:W1437"/>
    <mergeCell ref="X1429:X1437"/>
    <mergeCell ref="S1432:S1437"/>
    <mergeCell ref="T1432:T1434"/>
    <mergeCell ref="U1432:U1434"/>
    <mergeCell ref="V1432:V1434"/>
    <mergeCell ref="M1429:M1431"/>
    <mergeCell ref="N1429:N1431"/>
    <mergeCell ref="O1429:O1431"/>
    <mergeCell ref="P1429:P1431"/>
    <mergeCell ref="Q1429:Q1437"/>
    <mergeCell ref="R1429:R1431"/>
    <mergeCell ref="L1441:L1455"/>
    <mergeCell ref="M1441:M1450"/>
    <mergeCell ref="N1441:N1445"/>
    <mergeCell ref="O1441:O1445"/>
    <mergeCell ref="P1441:P1450"/>
    <mergeCell ref="Q1441:Q1455"/>
    <mergeCell ref="N1446:N1450"/>
    <mergeCell ref="O1446:O1450"/>
    <mergeCell ref="M1451:M1455"/>
    <mergeCell ref="N1451:N1455"/>
    <mergeCell ref="F1441:F1455"/>
    <mergeCell ref="G1441:G1455"/>
    <mergeCell ref="H1441:H1455"/>
    <mergeCell ref="I1441:I1455"/>
    <mergeCell ref="J1441:J1455"/>
    <mergeCell ref="K1441:K1455"/>
    <mergeCell ref="AM1438:AM1439"/>
    <mergeCell ref="AN1438:AN1440"/>
    <mergeCell ref="AO1438:AO1440"/>
    <mergeCell ref="AP1438:AP1440"/>
    <mergeCell ref="AQ1438:AQ1440"/>
    <mergeCell ref="A1441:A1455"/>
    <mergeCell ref="B1441:B1455"/>
    <mergeCell ref="C1441:C1455"/>
    <mergeCell ref="D1441:D1455"/>
    <mergeCell ref="E1441:E1455"/>
    <mergeCell ref="AF1438:AF1439"/>
    <mergeCell ref="AG1438:AG1440"/>
    <mergeCell ref="AI1438:AI1439"/>
    <mergeCell ref="AJ1438:AJ1440"/>
    <mergeCell ref="AK1438:AK1439"/>
    <mergeCell ref="AL1438:AL1439"/>
    <mergeCell ref="S1438:S1439"/>
    <mergeCell ref="T1438:T1439"/>
    <mergeCell ref="U1438:U1439"/>
    <mergeCell ref="V1438:V1439"/>
    <mergeCell ref="W1438:W1440"/>
    <mergeCell ref="X1438:X1440"/>
    <mergeCell ref="M1438:M1439"/>
    <mergeCell ref="N1438:N1439"/>
    <mergeCell ref="O1438:O1439"/>
    <mergeCell ref="P1438:P1439"/>
    <mergeCell ref="Q1438:Q1440"/>
    <mergeCell ref="R1438:R1439"/>
    <mergeCell ref="G1438:G1440"/>
    <mergeCell ref="H1438:H1440"/>
    <mergeCell ref="I1438:I1440"/>
    <mergeCell ref="J1438:J1439"/>
    <mergeCell ref="K1438:K1440"/>
    <mergeCell ref="L1438:L1440"/>
    <mergeCell ref="A1438:A1440"/>
    <mergeCell ref="B1438:B1440"/>
    <mergeCell ref="C1438:C1440"/>
    <mergeCell ref="D1438:D1440"/>
    <mergeCell ref="E1438:E1440"/>
    <mergeCell ref="F1438:F1440"/>
    <mergeCell ref="O1451:O1455"/>
    <mergeCell ref="P1451:P1455"/>
    <mergeCell ref="R1451:R1455"/>
    <mergeCell ref="S1451:S1455"/>
    <mergeCell ref="T1451:T1455"/>
    <mergeCell ref="U1451:U1455"/>
    <mergeCell ref="AP1441:AP1455"/>
    <mergeCell ref="AQ1441:AQ1455"/>
    <mergeCell ref="Y1443:Y1444"/>
    <mergeCell ref="AC1443:AC1444"/>
    <mergeCell ref="Y1445:Y1446"/>
    <mergeCell ref="AC1445:AC1446"/>
    <mergeCell ref="AI1446:AI1450"/>
    <mergeCell ref="AK1446:AK1450"/>
    <mergeCell ref="Y1447:Y1448"/>
    <mergeCell ref="AC1447:AC1448"/>
    <mergeCell ref="AJ1441:AJ1455"/>
    <mergeCell ref="AK1441:AK1445"/>
    <mergeCell ref="AL1441:AL1450"/>
    <mergeCell ref="AM1441:AM1450"/>
    <mergeCell ref="AN1441:AN1455"/>
    <mergeCell ref="AO1441:AO1455"/>
    <mergeCell ref="AK1451:AK1455"/>
    <mergeCell ref="AL1451:AL1455"/>
    <mergeCell ref="AM1451:AM1455"/>
    <mergeCell ref="X1441:X1455"/>
    <mergeCell ref="Y1441:Y1442"/>
    <mergeCell ref="AC1441:AC1442"/>
    <mergeCell ref="AF1441:AF1450"/>
    <mergeCell ref="AG1441:AG1455"/>
    <mergeCell ref="AI1441:AI1445"/>
    <mergeCell ref="Y1449:Y1450"/>
    <mergeCell ref="AC1449:AC1450"/>
    <mergeCell ref="AF1451:AF1455"/>
    <mergeCell ref="AI1451:AI1455"/>
    <mergeCell ref="R1441:R1450"/>
    <mergeCell ref="S1441:S1450"/>
    <mergeCell ref="T1441:T1445"/>
    <mergeCell ref="U1441:U1445"/>
    <mergeCell ref="V1441:V1445"/>
    <mergeCell ref="W1441:W1455"/>
    <mergeCell ref="T1446:T1450"/>
    <mergeCell ref="U1446:U1450"/>
    <mergeCell ref="V1446:V1450"/>
    <mergeCell ref="V1451:V1455"/>
    <mergeCell ref="A1460:A1462"/>
    <mergeCell ref="B1460:B1462"/>
    <mergeCell ref="C1460:C1462"/>
    <mergeCell ref="D1460:D1462"/>
    <mergeCell ref="E1460:E1462"/>
    <mergeCell ref="AF1456:AF1458"/>
    <mergeCell ref="AG1456:AG1459"/>
    <mergeCell ref="AI1456:AI1458"/>
    <mergeCell ref="AJ1456:AJ1459"/>
    <mergeCell ref="AK1456:AK1458"/>
    <mergeCell ref="AL1456:AL1458"/>
    <mergeCell ref="S1456:S1458"/>
    <mergeCell ref="T1456:T1458"/>
    <mergeCell ref="U1456:U1458"/>
    <mergeCell ref="V1456:V1458"/>
    <mergeCell ref="W1456:W1459"/>
    <mergeCell ref="X1456:X1459"/>
    <mergeCell ref="M1456:M1458"/>
    <mergeCell ref="N1456:N1458"/>
    <mergeCell ref="O1456:O1458"/>
    <mergeCell ref="P1456:P1458"/>
    <mergeCell ref="Q1456:Q1459"/>
    <mergeCell ref="R1456:R1458"/>
    <mergeCell ref="G1456:G1459"/>
    <mergeCell ref="H1456:H1459"/>
    <mergeCell ref="I1456:I1459"/>
    <mergeCell ref="J1456:J1458"/>
    <mergeCell ref="K1456:K1459"/>
    <mergeCell ref="L1456:L1459"/>
    <mergeCell ref="A1456:A1459"/>
    <mergeCell ref="B1456:B1459"/>
    <mergeCell ref="C1456:C1459"/>
    <mergeCell ref="D1456:D1459"/>
    <mergeCell ref="E1456:E1459"/>
    <mergeCell ref="F1456:F1459"/>
    <mergeCell ref="AL1460:AL1462"/>
    <mergeCell ref="AM1460:AM1462"/>
    <mergeCell ref="AN1460:AN1462"/>
    <mergeCell ref="AO1460:AO1462"/>
    <mergeCell ref="AP1460:AP1462"/>
    <mergeCell ref="AQ1460:AQ1462"/>
    <mergeCell ref="X1460:X1462"/>
    <mergeCell ref="AF1460:AF1462"/>
    <mergeCell ref="AG1460:AG1462"/>
    <mergeCell ref="AI1460:AI1462"/>
    <mergeCell ref="AJ1460:AJ1462"/>
    <mergeCell ref="AK1460:AK1462"/>
    <mergeCell ref="R1460:R1462"/>
    <mergeCell ref="S1460:S1462"/>
    <mergeCell ref="T1460:T1462"/>
    <mergeCell ref="U1460:U1462"/>
    <mergeCell ref="V1460:V1462"/>
    <mergeCell ref="W1460:W1462"/>
    <mergeCell ref="L1460:L1462"/>
    <mergeCell ref="M1460:M1462"/>
    <mergeCell ref="N1460:N1462"/>
    <mergeCell ref="O1460:O1462"/>
    <mergeCell ref="P1460:P1462"/>
    <mergeCell ref="Q1460:Q1462"/>
    <mergeCell ref="F1460:F1462"/>
    <mergeCell ref="G1460:G1462"/>
    <mergeCell ref="H1460:H1462"/>
    <mergeCell ref="I1460:I1462"/>
    <mergeCell ref="J1460:J1462"/>
    <mergeCell ref="K1460:K1462"/>
    <mergeCell ref="AM1456:AM1458"/>
    <mergeCell ref="AN1456:AN1459"/>
    <mergeCell ref="AO1456:AO1459"/>
    <mergeCell ref="AP1456:AP1459"/>
    <mergeCell ref="AQ1456:AQ1459"/>
    <mergeCell ref="AM1463:AM1464"/>
    <mergeCell ref="AN1463:AN1464"/>
    <mergeCell ref="AO1463:AO1464"/>
    <mergeCell ref="AP1463:AP1464"/>
    <mergeCell ref="AQ1463:AQ1464"/>
    <mergeCell ref="A1465:A1500"/>
    <mergeCell ref="B1465:B1500"/>
    <mergeCell ref="C1465:C1468"/>
    <mergeCell ref="D1465:D1500"/>
    <mergeCell ref="E1465:E1500"/>
    <mergeCell ref="AF1463:AF1464"/>
    <mergeCell ref="AG1463:AG1464"/>
    <mergeCell ref="AI1463:AI1464"/>
    <mergeCell ref="AJ1463:AJ1464"/>
    <mergeCell ref="AK1463:AK1464"/>
    <mergeCell ref="AL1463:AL1464"/>
    <mergeCell ref="S1463:S1464"/>
    <mergeCell ref="T1463:T1464"/>
    <mergeCell ref="U1463:U1464"/>
    <mergeCell ref="V1463:V1464"/>
    <mergeCell ref="W1463:W1464"/>
    <mergeCell ref="X1463:X1464"/>
    <mergeCell ref="M1463:M1464"/>
    <mergeCell ref="N1463:N1464"/>
    <mergeCell ref="O1463:O1464"/>
    <mergeCell ref="P1463:P1464"/>
    <mergeCell ref="Q1463:Q1464"/>
    <mergeCell ref="R1463:R1464"/>
    <mergeCell ref="G1463:G1464"/>
    <mergeCell ref="H1463:H1464"/>
    <mergeCell ref="I1463:I1464"/>
    <mergeCell ref="J1463:J1464"/>
    <mergeCell ref="K1463:K1464"/>
    <mergeCell ref="L1463:L1464"/>
    <mergeCell ref="A1463:A1464"/>
    <mergeCell ref="B1463:B1464"/>
    <mergeCell ref="C1463:C1464"/>
    <mergeCell ref="D1463:D1464"/>
    <mergeCell ref="E1463:E1464"/>
    <mergeCell ref="F1463:F1464"/>
    <mergeCell ref="V1473:V1476"/>
    <mergeCell ref="AF1473:AF1476"/>
    <mergeCell ref="AI1473:AI1476"/>
    <mergeCell ref="AK1473:AK1476"/>
    <mergeCell ref="AL1473:AL1476"/>
    <mergeCell ref="AM1473:AM1476"/>
    <mergeCell ref="AC1474:AC1475"/>
    <mergeCell ref="AC1470:AC1471"/>
    <mergeCell ref="C1473:C1476"/>
    <mergeCell ref="M1473:M1476"/>
    <mergeCell ref="N1473:N1476"/>
    <mergeCell ref="O1473:O1476"/>
    <mergeCell ref="P1473:P1476"/>
    <mergeCell ref="R1473:R1476"/>
    <mergeCell ref="S1473:S1476"/>
    <mergeCell ref="T1473:T1476"/>
    <mergeCell ref="U1473:U1476"/>
    <mergeCell ref="C1469:C1472"/>
    <mergeCell ref="M1469:M1472"/>
    <mergeCell ref="N1469:N1472"/>
    <mergeCell ref="O1469:O1472"/>
    <mergeCell ref="P1469:P1472"/>
    <mergeCell ref="R1469:R1472"/>
    <mergeCell ref="AL1465:AL1468"/>
    <mergeCell ref="AK1497:AK1500"/>
    <mergeCell ref="AL1497:AL1500"/>
    <mergeCell ref="AM1497:AM1500"/>
    <mergeCell ref="AC1498:AC1499"/>
    <mergeCell ref="AM1465:AM1468"/>
    <mergeCell ref="AN1465:AN1500"/>
    <mergeCell ref="AO1465:AO1500"/>
    <mergeCell ref="AP1465:AP1500"/>
    <mergeCell ref="AQ1465:AQ1500"/>
    <mergeCell ref="AL1469:AL1472"/>
    <mergeCell ref="AM1469:AM1472"/>
    <mergeCell ref="X1465:X1500"/>
    <mergeCell ref="AF1465:AF1468"/>
    <mergeCell ref="AG1465:AG1500"/>
    <mergeCell ref="AI1465:AI1468"/>
    <mergeCell ref="AJ1465:AJ1500"/>
    <mergeCell ref="AK1465:AK1468"/>
    <mergeCell ref="AC1466:AC1467"/>
    <mergeCell ref="AF1469:AF1472"/>
    <mergeCell ref="AI1469:AI1472"/>
    <mergeCell ref="AK1469:AK1472"/>
    <mergeCell ref="R1465:R1468"/>
    <mergeCell ref="S1465:S1468"/>
    <mergeCell ref="T1465:T1468"/>
    <mergeCell ref="U1465:U1468"/>
    <mergeCell ref="V1465:V1468"/>
    <mergeCell ref="W1465:W1500"/>
    <mergeCell ref="S1469:S1472"/>
    <mergeCell ref="T1469:T1472"/>
    <mergeCell ref="U1469:U1472"/>
    <mergeCell ref="V1469:V1472"/>
    <mergeCell ref="L1465:L1500"/>
    <mergeCell ref="M1465:M1468"/>
    <mergeCell ref="N1465:N1468"/>
    <mergeCell ref="O1465:O1468"/>
    <mergeCell ref="P1465:P1468"/>
    <mergeCell ref="Q1465:Q1500"/>
    <mergeCell ref="AF1485:AF1488"/>
    <mergeCell ref="AI1485:AI1488"/>
    <mergeCell ref="AK1481:AK1484"/>
    <mergeCell ref="AL1481:AL1484"/>
    <mergeCell ref="AM1481:AM1484"/>
    <mergeCell ref="AC1482:AC1483"/>
    <mergeCell ref="C1485:C1488"/>
    <mergeCell ref="M1485:M1488"/>
    <mergeCell ref="N1485:N1488"/>
    <mergeCell ref="O1485:O1488"/>
    <mergeCell ref="P1485:P1488"/>
    <mergeCell ref="R1485:R1488"/>
    <mergeCell ref="S1481:S1484"/>
    <mergeCell ref="T1481:T1484"/>
    <mergeCell ref="U1481:U1484"/>
    <mergeCell ref="V1481:V1484"/>
    <mergeCell ref="AF1481:AF1484"/>
    <mergeCell ref="AI1481:AI1484"/>
    <mergeCell ref="AK1477:AK1480"/>
    <mergeCell ref="AL1477:AL1480"/>
    <mergeCell ref="AM1477:AM1480"/>
    <mergeCell ref="AC1478:AC1479"/>
    <mergeCell ref="C1481:C1484"/>
    <mergeCell ref="M1481:M1484"/>
    <mergeCell ref="N1481:N1484"/>
    <mergeCell ref="O1481:O1484"/>
    <mergeCell ref="P1481:P1484"/>
    <mergeCell ref="R1481:R1484"/>
    <mergeCell ref="S1477:S1480"/>
    <mergeCell ref="T1477:T1480"/>
    <mergeCell ref="U1477:U1480"/>
    <mergeCell ref="V1477:V1480"/>
    <mergeCell ref="AF1477:AF1480"/>
    <mergeCell ref="AI1477:AI1480"/>
    <mergeCell ref="C1477:C1480"/>
    <mergeCell ref="M1477:M1480"/>
    <mergeCell ref="N1477:N1480"/>
    <mergeCell ref="O1477:O1480"/>
    <mergeCell ref="P1477:P1480"/>
    <mergeCell ref="R1477:R1480"/>
    <mergeCell ref="A1501:A1502"/>
    <mergeCell ref="B1501:B1502"/>
    <mergeCell ref="C1501:C1502"/>
    <mergeCell ref="D1501:D1502"/>
    <mergeCell ref="E1501:E1502"/>
    <mergeCell ref="F1501:F1502"/>
    <mergeCell ref="S1497:S1500"/>
    <mergeCell ref="T1497:T1500"/>
    <mergeCell ref="U1497:U1500"/>
    <mergeCell ref="V1497:V1500"/>
    <mergeCell ref="AF1497:AF1500"/>
    <mergeCell ref="AI1497:AI1500"/>
    <mergeCell ref="AK1493:AK1496"/>
    <mergeCell ref="AL1493:AL1496"/>
    <mergeCell ref="AM1493:AM1496"/>
    <mergeCell ref="AC1494:AC1495"/>
    <mergeCell ref="C1497:C1500"/>
    <mergeCell ref="M1497:M1500"/>
    <mergeCell ref="N1497:N1500"/>
    <mergeCell ref="O1497:O1500"/>
    <mergeCell ref="P1497:P1500"/>
    <mergeCell ref="R1497:R1500"/>
    <mergeCell ref="S1493:S1496"/>
    <mergeCell ref="T1493:T1496"/>
    <mergeCell ref="U1493:U1496"/>
    <mergeCell ref="V1493:V1496"/>
    <mergeCell ref="AF1493:AF1496"/>
    <mergeCell ref="AI1493:AI1496"/>
    <mergeCell ref="AK1489:AK1492"/>
    <mergeCell ref="AL1489:AL1492"/>
    <mergeCell ref="AM1489:AM1492"/>
    <mergeCell ref="AC1490:AC1491"/>
    <mergeCell ref="C1493:C1496"/>
    <mergeCell ref="M1493:M1496"/>
    <mergeCell ref="N1493:N1496"/>
    <mergeCell ref="O1493:O1496"/>
    <mergeCell ref="P1493:P1496"/>
    <mergeCell ref="R1493:R1496"/>
    <mergeCell ref="S1489:S1492"/>
    <mergeCell ref="T1489:T1492"/>
    <mergeCell ref="U1489:U1492"/>
    <mergeCell ref="V1489:V1492"/>
    <mergeCell ref="AF1489:AF1492"/>
    <mergeCell ref="AI1489:AI1492"/>
    <mergeCell ref="F1465:F1500"/>
    <mergeCell ref="G1465:G1500"/>
    <mergeCell ref="H1465:H1500"/>
    <mergeCell ref="I1465:I1500"/>
    <mergeCell ref="J1465:J1500"/>
    <mergeCell ref="K1465:K1500"/>
    <mergeCell ref="AK1485:AK1488"/>
    <mergeCell ref="AL1485:AL1488"/>
    <mergeCell ref="AM1485:AM1488"/>
    <mergeCell ref="AC1486:AC1487"/>
    <mergeCell ref="C1489:C1492"/>
    <mergeCell ref="M1489:M1492"/>
    <mergeCell ref="N1489:N1492"/>
    <mergeCell ref="O1489:O1492"/>
    <mergeCell ref="P1489:P1492"/>
    <mergeCell ref="R1489:R1492"/>
    <mergeCell ref="S1485:S1488"/>
    <mergeCell ref="T1485:T1488"/>
    <mergeCell ref="U1485:U1488"/>
    <mergeCell ref="V1485:V1488"/>
    <mergeCell ref="L1503:L1514"/>
    <mergeCell ref="M1503:M1506"/>
    <mergeCell ref="N1503:N1506"/>
    <mergeCell ref="O1503:O1506"/>
    <mergeCell ref="P1503:P1506"/>
    <mergeCell ref="Q1503:Q1514"/>
    <mergeCell ref="M1507:M1514"/>
    <mergeCell ref="N1507:N1510"/>
    <mergeCell ref="O1507:O1510"/>
    <mergeCell ref="P1507:P1514"/>
    <mergeCell ref="F1503:F1514"/>
    <mergeCell ref="G1503:G1514"/>
    <mergeCell ref="H1503:H1514"/>
    <mergeCell ref="I1503:I1514"/>
    <mergeCell ref="J1503:J1514"/>
    <mergeCell ref="K1503:K1514"/>
    <mergeCell ref="AM1501:AM1502"/>
    <mergeCell ref="AN1501:AN1502"/>
    <mergeCell ref="AO1501:AO1502"/>
    <mergeCell ref="AP1501:AP1502"/>
    <mergeCell ref="AQ1501:AQ1502"/>
    <mergeCell ref="A1503:A1514"/>
    <mergeCell ref="B1503:B1514"/>
    <mergeCell ref="C1503:C1514"/>
    <mergeCell ref="D1503:D1514"/>
    <mergeCell ref="E1503:E1514"/>
    <mergeCell ref="AF1501:AF1502"/>
    <mergeCell ref="AG1501:AG1502"/>
    <mergeCell ref="AI1501:AI1502"/>
    <mergeCell ref="AJ1501:AJ1502"/>
    <mergeCell ref="AK1501:AK1502"/>
    <mergeCell ref="AL1501:AL1502"/>
    <mergeCell ref="S1501:S1502"/>
    <mergeCell ref="T1501:T1502"/>
    <mergeCell ref="U1501:U1502"/>
    <mergeCell ref="V1501:V1502"/>
    <mergeCell ref="W1501:W1502"/>
    <mergeCell ref="X1501:X1502"/>
    <mergeCell ref="M1501:M1502"/>
    <mergeCell ref="N1501:N1502"/>
    <mergeCell ref="O1501:O1502"/>
    <mergeCell ref="P1501:P1502"/>
    <mergeCell ref="Q1501:Q1502"/>
    <mergeCell ref="R1501:R1502"/>
    <mergeCell ref="G1501:G1502"/>
    <mergeCell ref="H1501:H1502"/>
    <mergeCell ref="I1501:I1502"/>
    <mergeCell ref="J1501:J1502"/>
    <mergeCell ref="K1501:K1502"/>
    <mergeCell ref="L1501:L1502"/>
    <mergeCell ref="N1511:N1514"/>
    <mergeCell ref="O1511:O1514"/>
    <mergeCell ref="T1511:T1514"/>
    <mergeCell ref="U1511:U1514"/>
    <mergeCell ref="V1511:V1514"/>
    <mergeCell ref="Y1511:Y1512"/>
    <mergeCell ref="Y1513:Y1514"/>
    <mergeCell ref="V1507:V1510"/>
    <mergeCell ref="Y1507:Y1508"/>
    <mergeCell ref="AC1507:AC1508"/>
    <mergeCell ref="AF1507:AF1514"/>
    <mergeCell ref="AI1507:AI1510"/>
    <mergeCell ref="AK1507:AK1510"/>
    <mergeCell ref="Y1509:Y1510"/>
    <mergeCell ref="A1515:A1523"/>
    <mergeCell ref="B1515:B1523"/>
    <mergeCell ref="C1515:C1523"/>
    <mergeCell ref="D1515:D1523"/>
    <mergeCell ref="E1515:E1523"/>
    <mergeCell ref="F1515:F1523"/>
    <mergeCell ref="U1532:U1534"/>
    <mergeCell ref="V1532:V1534"/>
    <mergeCell ref="AF1532:AF1534"/>
    <mergeCell ref="AI1532:AI1534"/>
    <mergeCell ref="AK1532:AK1534"/>
    <mergeCell ref="AL1532:AL1534"/>
    <mergeCell ref="AF1529:AF1531"/>
    <mergeCell ref="AI1529:AI1531"/>
    <mergeCell ref="AK1529:AK1531"/>
    <mergeCell ref="AL1529:AL1531"/>
    <mergeCell ref="AM1529:AM1531"/>
    <mergeCell ref="C1532:C1534"/>
    <mergeCell ref="M1532:M1534"/>
    <mergeCell ref="N1532:N1534"/>
    <mergeCell ref="O1532:O1534"/>
    <mergeCell ref="AC1509:AC1510"/>
    <mergeCell ref="AC1511:AC1512"/>
    <mergeCell ref="AI1511:AI1514"/>
    <mergeCell ref="AL1503:AL1506"/>
    <mergeCell ref="AM1503:AM1506"/>
    <mergeCell ref="AN1503:AN1514"/>
    <mergeCell ref="AO1503:AO1514"/>
    <mergeCell ref="AP1503:AP1514"/>
    <mergeCell ref="AQ1503:AQ1514"/>
    <mergeCell ref="AL1507:AL1514"/>
    <mergeCell ref="AM1507:AM1514"/>
    <mergeCell ref="X1503:X1514"/>
    <mergeCell ref="AF1503:AF1506"/>
    <mergeCell ref="AG1503:AG1514"/>
    <mergeCell ref="AI1503:AI1506"/>
    <mergeCell ref="AJ1503:AJ1514"/>
    <mergeCell ref="AK1503:AK1506"/>
    <mergeCell ref="AK1511:AK1514"/>
    <mergeCell ref="AC1513:AC1514"/>
    <mergeCell ref="R1503:R1506"/>
    <mergeCell ref="S1503:S1506"/>
    <mergeCell ref="T1503:T1506"/>
    <mergeCell ref="U1503:U1506"/>
    <mergeCell ref="V1503:V1506"/>
    <mergeCell ref="W1503:W1514"/>
    <mergeCell ref="R1507:R1514"/>
    <mergeCell ref="S1507:S1514"/>
    <mergeCell ref="T1507:T1510"/>
    <mergeCell ref="U1507:U1510"/>
    <mergeCell ref="S1532:S1534"/>
    <mergeCell ref="T1532:T1534"/>
    <mergeCell ref="J1524:J1574"/>
    <mergeCell ref="K1524:K1574"/>
    <mergeCell ref="L1524:L1574"/>
    <mergeCell ref="M1524:M1526"/>
    <mergeCell ref="N1524:N1526"/>
    <mergeCell ref="O1524:O1526"/>
    <mergeCell ref="AK1521:AK1523"/>
    <mergeCell ref="P1532:P1534"/>
    <mergeCell ref="AK1535:AK1537"/>
    <mergeCell ref="AL1535:AL1537"/>
    <mergeCell ref="AM1535:AM1537"/>
    <mergeCell ref="AL1554:AL1556"/>
    <mergeCell ref="AK1515:AK1517"/>
    <mergeCell ref="AO1515:AO1523"/>
    <mergeCell ref="AP1515:AP1523"/>
    <mergeCell ref="AQ1515:AQ1523"/>
    <mergeCell ref="N1518:N1520"/>
    <mergeCell ref="O1518:O1520"/>
    <mergeCell ref="AE1518:AE1520"/>
    <mergeCell ref="AF1518:AF1520"/>
    <mergeCell ref="AK1518:AK1520"/>
    <mergeCell ref="N1521:N1523"/>
    <mergeCell ref="AE1515:AE1517"/>
    <mergeCell ref="AF1515:AF1517"/>
    <mergeCell ref="AG1515:AG1523"/>
    <mergeCell ref="AH1515:AH1523"/>
    <mergeCell ref="AI1515:AI1523"/>
    <mergeCell ref="AJ1515:AJ1523"/>
    <mergeCell ref="AE1521:AE1523"/>
    <mergeCell ref="AF1521:AF1523"/>
    <mergeCell ref="N1515:N1517"/>
    <mergeCell ref="O1515:O1517"/>
    <mergeCell ref="P1515:P1520"/>
    <mergeCell ref="Q1515:Q1522"/>
    <mergeCell ref="R1515:R1520"/>
    <mergeCell ref="W1515:W1523"/>
    <mergeCell ref="O1521:O1522"/>
    <mergeCell ref="P1521:P1522"/>
    <mergeCell ref="R1521:R1523"/>
    <mergeCell ref="G1515:G1523"/>
    <mergeCell ref="H1515:H1523"/>
    <mergeCell ref="I1515:I1523"/>
    <mergeCell ref="J1515:J1523"/>
    <mergeCell ref="K1515:K1523"/>
    <mergeCell ref="M1515:M1520"/>
    <mergeCell ref="M1521:M1523"/>
    <mergeCell ref="AR1527:AR1528"/>
    <mergeCell ref="C1529:C1531"/>
    <mergeCell ref="M1529:M1531"/>
    <mergeCell ref="N1529:N1531"/>
    <mergeCell ref="O1529:O1531"/>
    <mergeCell ref="P1529:P1531"/>
    <mergeCell ref="R1529:R1531"/>
    <mergeCell ref="S1529:S1531"/>
    <mergeCell ref="T1529:T1531"/>
    <mergeCell ref="U1529:U1531"/>
    <mergeCell ref="AP1524:AP1574"/>
    <mergeCell ref="AQ1524:AQ1574"/>
    <mergeCell ref="C1527:C1528"/>
    <mergeCell ref="M1527:M1528"/>
    <mergeCell ref="N1527:N1528"/>
    <mergeCell ref="O1527:O1528"/>
    <mergeCell ref="P1527:P1528"/>
    <mergeCell ref="R1527:R1528"/>
    <mergeCell ref="S1527:S1528"/>
    <mergeCell ref="T1527:T1528"/>
    <mergeCell ref="AJ1524:AJ1574"/>
    <mergeCell ref="AK1524:AK1526"/>
    <mergeCell ref="AL1524:AL1526"/>
    <mergeCell ref="AM1524:AM1526"/>
    <mergeCell ref="AN1524:AN1574"/>
    <mergeCell ref="AO1524:AO1574"/>
    <mergeCell ref="AK1527:AK1528"/>
    <mergeCell ref="AL1527:AL1528"/>
    <mergeCell ref="AM1527:AM1528"/>
    <mergeCell ref="AM1532:AM1534"/>
    <mergeCell ref="V1524:V1526"/>
    <mergeCell ref="W1524:W1574"/>
    <mergeCell ref="X1524:X1574"/>
    <mergeCell ref="AF1524:AF1526"/>
    <mergeCell ref="AG1524:AG1574"/>
    <mergeCell ref="AI1524:AI1526"/>
    <mergeCell ref="V1527:V1528"/>
    <mergeCell ref="AF1527:AF1528"/>
    <mergeCell ref="AI1527:AI1528"/>
    <mergeCell ref="V1529:V1531"/>
    <mergeCell ref="P1524:P1526"/>
    <mergeCell ref="Q1524:Q1574"/>
    <mergeCell ref="R1524:R1526"/>
    <mergeCell ref="S1524:S1526"/>
    <mergeCell ref="T1524:T1526"/>
    <mergeCell ref="U1524:U1526"/>
    <mergeCell ref="U1527:U1528"/>
    <mergeCell ref="R1532:R1534"/>
    <mergeCell ref="AL1538:AL1540"/>
    <mergeCell ref="AM1538:AM1540"/>
    <mergeCell ref="C1541:C1542"/>
    <mergeCell ref="M1541:M1542"/>
    <mergeCell ref="N1541:N1542"/>
    <mergeCell ref="O1541:O1542"/>
    <mergeCell ref="P1541:P1542"/>
    <mergeCell ref="R1541:R1542"/>
    <mergeCell ref="S1541:S1542"/>
    <mergeCell ref="T1541:T1542"/>
    <mergeCell ref="T1538:T1540"/>
    <mergeCell ref="U1538:U1540"/>
    <mergeCell ref="V1538:V1540"/>
    <mergeCell ref="AF1538:AF1540"/>
    <mergeCell ref="AI1538:AI1540"/>
    <mergeCell ref="AK1538:AK1540"/>
    <mergeCell ref="C1538:C1540"/>
    <mergeCell ref="M1538:M1540"/>
    <mergeCell ref="N1538:N1540"/>
    <mergeCell ref="O1538:O1540"/>
    <mergeCell ref="P1538:P1540"/>
    <mergeCell ref="R1538:R1540"/>
    <mergeCell ref="S1538:S1540"/>
    <mergeCell ref="S1535:S1537"/>
    <mergeCell ref="T1535:T1537"/>
    <mergeCell ref="U1535:U1537"/>
    <mergeCell ref="V1535:V1537"/>
    <mergeCell ref="AF1535:AF1537"/>
    <mergeCell ref="AI1535:AI1537"/>
    <mergeCell ref="C1535:C1537"/>
    <mergeCell ref="M1535:M1537"/>
    <mergeCell ref="N1535:N1537"/>
    <mergeCell ref="O1535:O1537"/>
    <mergeCell ref="P1535:P1537"/>
    <mergeCell ref="R1535:R1537"/>
    <mergeCell ref="V1545:V1547"/>
    <mergeCell ref="AF1545:AF1547"/>
    <mergeCell ref="AI1545:AI1547"/>
    <mergeCell ref="AK1545:AK1547"/>
    <mergeCell ref="AL1545:AL1547"/>
    <mergeCell ref="AM1545:AM1547"/>
    <mergeCell ref="AR1543:AR1544"/>
    <mergeCell ref="C1545:C1547"/>
    <mergeCell ref="M1545:M1547"/>
    <mergeCell ref="N1545:N1547"/>
    <mergeCell ref="O1545:O1547"/>
    <mergeCell ref="P1545:P1547"/>
    <mergeCell ref="R1545:R1547"/>
    <mergeCell ref="S1545:S1547"/>
    <mergeCell ref="T1545:T1547"/>
    <mergeCell ref="U1545:U1547"/>
    <mergeCell ref="V1543:V1544"/>
    <mergeCell ref="AF1543:AF1544"/>
    <mergeCell ref="AI1543:AI1544"/>
    <mergeCell ref="AK1543:AK1544"/>
    <mergeCell ref="AL1543:AL1544"/>
    <mergeCell ref="AM1543:AM1544"/>
    <mergeCell ref="AM1541:AM1542"/>
    <mergeCell ref="C1543:C1544"/>
    <mergeCell ref="M1543:M1544"/>
    <mergeCell ref="N1543:N1544"/>
    <mergeCell ref="O1543:O1544"/>
    <mergeCell ref="P1543:P1544"/>
    <mergeCell ref="R1543:R1544"/>
    <mergeCell ref="S1543:S1544"/>
    <mergeCell ref="T1543:T1544"/>
    <mergeCell ref="U1543:U1544"/>
    <mergeCell ref="U1541:U1542"/>
    <mergeCell ref="V1541:V1542"/>
    <mergeCell ref="AF1541:AF1542"/>
    <mergeCell ref="AI1541:AI1542"/>
    <mergeCell ref="AK1541:AK1542"/>
    <mergeCell ref="AL1541:AL1542"/>
    <mergeCell ref="D1524:D1574"/>
    <mergeCell ref="E1524:E1574"/>
    <mergeCell ref="F1524:F1574"/>
    <mergeCell ref="G1524:G1574"/>
    <mergeCell ref="H1524:H1574"/>
    <mergeCell ref="I1524:I1574"/>
    <mergeCell ref="AM1554:AM1556"/>
    <mergeCell ref="AR1554:AR1556"/>
    <mergeCell ref="C1557:C1559"/>
    <mergeCell ref="M1557:M1559"/>
    <mergeCell ref="N1557:N1559"/>
    <mergeCell ref="O1557:O1559"/>
    <mergeCell ref="P1557:P1559"/>
    <mergeCell ref="R1557:R1559"/>
    <mergeCell ref="S1557:S1559"/>
    <mergeCell ref="T1554:T1556"/>
    <mergeCell ref="U1554:U1556"/>
    <mergeCell ref="V1554:V1556"/>
    <mergeCell ref="AF1554:AF1556"/>
    <mergeCell ref="AI1554:AI1556"/>
    <mergeCell ref="AK1554:AK1556"/>
    <mergeCell ref="AL1551:AL1553"/>
    <mergeCell ref="AM1551:AM1553"/>
    <mergeCell ref="AR1551:AR1553"/>
    <mergeCell ref="C1554:C1556"/>
    <mergeCell ref="M1554:M1556"/>
    <mergeCell ref="N1554:N1556"/>
    <mergeCell ref="O1554:O1556"/>
    <mergeCell ref="P1554:P1556"/>
    <mergeCell ref="R1554:R1556"/>
    <mergeCell ref="S1554:S1556"/>
    <mergeCell ref="T1551:T1553"/>
    <mergeCell ref="U1551:U1553"/>
    <mergeCell ref="V1551:V1553"/>
    <mergeCell ref="AF1551:AF1553"/>
    <mergeCell ref="AI1551:AI1553"/>
    <mergeCell ref="AK1551:AK1553"/>
    <mergeCell ref="AK1548:AK1550"/>
    <mergeCell ref="AL1548:AL1550"/>
    <mergeCell ref="AM1548:AM1550"/>
    <mergeCell ref="C1551:C1553"/>
    <mergeCell ref="M1551:M1553"/>
    <mergeCell ref="N1551:N1553"/>
    <mergeCell ref="O1551:O1553"/>
    <mergeCell ref="P1551:P1553"/>
    <mergeCell ref="R1551:R1553"/>
    <mergeCell ref="S1551:S1553"/>
    <mergeCell ref="S1548:S1550"/>
    <mergeCell ref="T1548:T1550"/>
    <mergeCell ref="U1548:U1550"/>
    <mergeCell ref="V1548:V1550"/>
    <mergeCell ref="AF1548:AF1550"/>
    <mergeCell ref="AI1548:AI1550"/>
    <mergeCell ref="C1548:C1550"/>
    <mergeCell ref="M1548:M1550"/>
    <mergeCell ref="N1548:N1550"/>
    <mergeCell ref="O1548:O1550"/>
    <mergeCell ref="P1548:P1550"/>
    <mergeCell ref="R1548:R1550"/>
    <mergeCell ref="T1563:T1565"/>
    <mergeCell ref="U1563:U1565"/>
    <mergeCell ref="V1563:V1565"/>
    <mergeCell ref="AF1563:AF1565"/>
    <mergeCell ref="AI1563:AI1565"/>
    <mergeCell ref="AL1560:AL1562"/>
    <mergeCell ref="AM1560:AM1562"/>
    <mergeCell ref="AR1560:AR1562"/>
    <mergeCell ref="AT1560:AT1562"/>
    <mergeCell ref="C1563:C1565"/>
    <mergeCell ref="M1563:M1565"/>
    <mergeCell ref="N1563:N1565"/>
    <mergeCell ref="O1563:O1565"/>
    <mergeCell ref="P1563:P1565"/>
    <mergeCell ref="R1563:R1565"/>
    <mergeCell ref="T1560:T1562"/>
    <mergeCell ref="U1560:U1562"/>
    <mergeCell ref="V1560:V1562"/>
    <mergeCell ref="AF1560:AF1562"/>
    <mergeCell ref="AI1560:AI1562"/>
    <mergeCell ref="AK1560:AK1562"/>
    <mergeCell ref="AL1557:AL1559"/>
    <mergeCell ref="AM1557:AM1559"/>
    <mergeCell ref="AR1557:AR1559"/>
    <mergeCell ref="C1560:C1562"/>
    <mergeCell ref="M1560:M1562"/>
    <mergeCell ref="N1560:N1562"/>
    <mergeCell ref="O1560:O1562"/>
    <mergeCell ref="P1560:P1562"/>
    <mergeCell ref="R1560:R1562"/>
    <mergeCell ref="S1560:S1562"/>
    <mergeCell ref="T1557:T1559"/>
    <mergeCell ref="U1557:U1559"/>
    <mergeCell ref="V1557:V1559"/>
    <mergeCell ref="AF1557:AF1559"/>
    <mergeCell ref="AI1557:AI1559"/>
    <mergeCell ref="AK1557:AK1559"/>
    <mergeCell ref="AK1563:AK1565"/>
    <mergeCell ref="AL1563:AL1565"/>
    <mergeCell ref="AM1563:AM1565"/>
    <mergeCell ref="AR1572:AR1574"/>
    <mergeCell ref="A1576:A1578"/>
    <mergeCell ref="B1576:B1578"/>
    <mergeCell ref="C1576:C1578"/>
    <mergeCell ref="D1576:D1578"/>
    <mergeCell ref="E1576:E1578"/>
    <mergeCell ref="F1576:F1578"/>
    <mergeCell ref="S1572:S1574"/>
    <mergeCell ref="T1572:T1574"/>
    <mergeCell ref="U1572:U1574"/>
    <mergeCell ref="V1572:V1574"/>
    <mergeCell ref="AF1572:AF1574"/>
    <mergeCell ref="AI1572:AI1574"/>
    <mergeCell ref="AK1569:AK1571"/>
    <mergeCell ref="AL1569:AL1571"/>
    <mergeCell ref="AM1569:AM1571"/>
    <mergeCell ref="AR1569:AR1571"/>
    <mergeCell ref="C1572:C1574"/>
    <mergeCell ref="M1572:M1574"/>
    <mergeCell ref="N1572:N1574"/>
    <mergeCell ref="O1572:O1574"/>
    <mergeCell ref="P1572:P1574"/>
    <mergeCell ref="R1572:R1574"/>
    <mergeCell ref="S1569:S1571"/>
    <mergeCell ref="T1569:T1571"/>
    <mergeCell ref="U1569:U1571"/>
    <mergeCell ref="V1569:V1571"/>
    <mergeCell ref="AF1569:AF1571"/>
    <mergeCell ref="AI1569:AI1571"/>
    <mergeCell ref="AK1566:AK1568"/>
    <mergeCell ref="AL1566:AL1568"/>
    <mergeCell ref="AM1566:AM1568"/>
    <mergeCell ref="AR1566:AR1568"/>
    <mergeCell ref="C1569:C1571"/>
    <mergeCell ref="M1569:M1571"/>
    <mergeCell ref="N1569:N1571"/>
    <mergeCell ref="O1569:O1571"/>
    <mergeCell ref="P1569:P1571"/>
    <mergeCell ref="R1569:R1571"/>
    <mergeCell ref="S1566:S1568"/>
    <mergeCell ref="T1566:T1568"/>
    <mergeCell ref="U1566:U1568"/>
    <mergeCell ref="V1566:V1568"/>
    <mergeCell ref="AF1566:AF1568"/>
    <mergeCell ref="AI1566:AI1568"/>
    <mergeCell ref="AM1576:AM1578"/>
    <mergeCell ref="AN1576:AN1578"/>
    <mergeCell ref="AO1576:AO1578"/>
    <mergeCell ref="AP1576:AP1578"/>
    <mergeCell ref="AQ1576:AQ1578"/>
    <mergeCell ref="A1524:A1574"/>
    <mergeCell ref="B1524:B1574"/>
    <mergeCell ref="C1524:C1526"/>
    <mergeCell ref="AK1572:AK1574"/>
    <mergeCell ref="AL1572:AL1574"/>
    <mergeCell ref="AM1572:AM1574"/>
    <mergeCell ref="AR1563:AR1565"/>
    <mergeCell ref="C1566:C1568"/>
    <mergeCell ref="M1566:M1568"/>
    <mergeCell ref="N1566:N1568"/>
    <mergeCell ref="O1566:O1568"/>
    <mergeCell ref="P1566:P1568"/>
    <mergeCell ref="R1566:R1568"/>
    <mergeCell ref="S1563:S1565"/>
    <mergeCell ref="A1579:A1581"/>
    <mergeCell ref="B1579:B1581"/>
    <mergeCell ref="C1579:C1581"/>
    <mergeCell ref="D1579:D1581"/>
    <mergeCell ref="E1579:E1581"/>
    <mergeCell ref="AF1576:AF1578"/>
    <mergeCell ref="AG1576:AG1578"/>
    <mergeCell ref="AI1576:AI1578"/>
    <mergeCell ref="AJ1576:AJ1578"/>
    <mergeCell ref="AK1576:AK1578"/>
    <mergeCell ref="AL1576:AL1578"/>
    <mergeCell ref="S1576:S1578"/>
    <mergeCell ref="T1576:T1578"/>
    <mergeCell ref="U1576:U1578"/>
    <mergeCell ref="V1576:V1578"/>
    <mergeCell ref="W1576:W1578"/>
    <mergeCell ref="X1576:X1578"/>
    <mergeCell ref="M1576:M1578"/>
    <mergeCell ref="N1576:N1578"/>
    <mergeCell ref="O1576:O1578"/>
    <mergeCell ref="P1576:P1578"/>
    <mergeCell ref="Q1576:Q1578"/>
    <mergeCell ref="R1576:R1578"/>
    <mergeCell ref="G1576:G1578"/>
    <mergeCell ref="H1576:H1578"/>
    <mergeCell ref="I1576:I1578"/>
    <mergeCell ref="J1576:J1578"/>
    <mergeCell ref="K1576:K1578"/>
    <mergeCell ref="L1576:L1578"/>
    <mergeCell ref="AR1579:AR1581"/>
    <mergeCell ref="A1582:A1584"/>
    <mergeCell ref="B1582:B1584"/>
    <mergeCell ref="C1582:C1584"/>
    <mergeCell ref="D1582:D1584"/>
    <mergeCell ref="E1582:E1584"/>
    <mergeCell ref="F1582:F1584"/>
    <mergeCell ref="G1582:G1584"/>
    <mergeCell ref="H1582:H1584"/>
    <mergeCell ref="I1582:I1584"/>
    <mergeCell ref="AL1579:AL1581"/>
    <mergeCell ref="AM1579:AM1581"/>
    <mergeCell ref="AN1579:AN1581"/>
    <mergeCell ref="AO1579:AO1581"/>
    <mergeCell ref="AP1579:AP1581"/>
    <mergeCell ref="AQ1579:AQ1581"/>
    <mergeCell ref="X1579:X1581"/>
    <mergeCell ref="AF1579:AF1581"/>
    <mergeCell ref="AG1579:AG1581"/>
    <mergeCell ref="AI1579:AI1581"/>
    <mergeCell ref="AJ1579:AJ1581"/>
    <mergeCell ref="AK1579:AK1581"/>
    <mergeCell ref="R1579:R1581"/>
    <mergeCell ref="S1579:S1581"/>
    <mergeCell ref="T1579:T1581"/>
    <mergeCell ref="U1579:U1581"/>
    <mergeCell ref="V1579:V1581"/>
    <mergeCell ref="W1579:W1581"/>
    <mergeCell ref="L1579:L1581"/>
    <mergeCell ref="M1579:M1581"/>
    <mergeCell ref="N1579:N1581"/>
    <mergeCell ref="O1579:O1581"/>
    <mergeCell ref="P1579:P1581"/>
    <mergeCell ref="Q1579:Q1581"/>
    <mergeCell ref="F1579:F1581"/>
    <mergeCell ref="G1579:G1581"/>
    <mergeCell ref="H1579:H1581"/>
    <mergeCell ref="I1579:I1581"/>
    <mergeCell ref="J1579:J1581"/>
    <mergeCell ref="K1579:K1581"/>
    <mergeCell ref="I1585:I1590"/>
    <mergeCell ref="J1585:J1590"/>
    <mergeCell ref="K1585:K1590"/>
    <mergeCell ref="L1585:L1590"/>
    <mergeCell ref="M1585:M1587"/>
    <mergeCell ref="N1585:N1587"/>
    <mergeCell ref="AP1582:AP1584"/>
    <mergeCell ref="AQ1582:AQ1584"/>
    <mergeCell ref="A1585:A1590"/>
    <mergeCell ref="B1585:B1590"/>
    <mergeCell ref="C1585:C1590"/>
    <mergeCell ref="D1585:D1590"/>
    <mergeCell ref="E1585:E1590"/>
    <mergeCell ref="F1585:F1590"/>
    <mergeCell ref="G1585:G1590"/>
    <mergeCell ref="H1585:H1590"/>
    <mergeCell ref="AJ1582:AJ1584"/>
    <mergeCell ref="AK1582:AK1584"/>
    <mergeCell ref="AL1582:AL1584"/>
    <mergeCell ref="AM1582:AM1584"/>
    <mergeCell ref="AN1582:AN1584"/>
    <mergeCell ref="AO1582:AO1584"/>
    <mergeCell ref="V1582:V1584"/>
    <mergeCell ref="W1582:W1584"/>
    <mergeCell ref="X1582:X1584"/>
    <mergeCell ref="AF1582:AF1584"/>
    <mergeCell ref="AG1582:AG1584"/>
    <mergeCell ref="AI1582:AI1584"/>
    <mergeCell ref="P1582:P1584"/>
    <mergeCell ref="Q1582:Q1584"/>
    <mergeCell ref="R1582:R1584"/>
    <mergeCell ref="S1582:S1584"/>
    <mergeCell ref="T1582:T1584"/>
    <mergeCell ref="U1582:U1584"/>
    <mergeCell ref="J1582:J1584"/>
    <mergeCell ref="K1582:K1584"/>
    <mergeCell ref="L1582:L1584"/>
    <mergeCell ref="M1582:M1584"/>
    <mergeCell ref="N1582:N1584"/>
    <mergeCell ref="O1582:O1584"/>
    <mergeCell ref="AO1585:AO1590"/>
    <mergeCell ref="AP1585:AP1590"/>
    <mergeCell ref="AQ1585:AQ1590"/>
    <mergeCell ref="M1588:M1590"/>
    <mergeCell ref="N1588:N1590"/>
    <mergeCell ref="O1588:O1590"/>
    <mergeCell ref="P1588:P1590"/>
    <mergeCell ref="R1588:R1590"/>
    <mergeCell ref="S1588:S1590"/>
    <mergeCell ref="T1588:T1590"/>
    <mergeCell ref="AI1585:AI1587"/>
    <mergeCell ref="AJ1585:AJ1587"/>
    <mergeCell ref="AK1585:AK1587"/>
    <mergeCell ref="AL1585:AL1587"/>
    <mergeCell ref="AM1585:AM1590"/>
    <mergeCell ref="AN1585:AN1590"/>
    <mergeCell ref="AI1588:AI1590"/>
    <mergeCell ref="AJ1588:AJ1590"/>
    <mergeCell ref="AK1588:AK1590"/>
    <mergeCell ref="AL1588:AL1590"/>
    <mergeCell ref="U1585:U1587"/>
    <mergeCell ref="V1585:V1587"/>
    <mergeCell ref="W1585:W1590"/>
    <mergeCell ref="X1585:X1590"/>
    <mergeCell ref="AF1585:AF1587"/>
    <mergeCell ref="AG1585:AG1590"/>
    <mergeCell ref="U1588:U1590"/>
    <mergeCell ref="V1588:V1590"/>
    <mergeCell ref="AF1588:AF1590"/>
    <mergeCell ref="O1585:O1587"/>
    <mergeCell ref="P1585:P1587"/>
    <mergeCell ref="Q1585:Q1590"/>
    <mergeCell ref="R1585:R1587"/>
    <mergeCell ref="S1585:S1587"/>
    <mergeCell ref="T1585:T1587"/>
    <mergeCell ref="AM1592:AM1593"/>
    <mergeCell ref="AN1592:AN1593"/>
    <mergeCell ref="AO1592:AO1593"/>
    <mergeCell ref="AP1592:AP1593"/>
    <mergeCell ref="AQ1592:AQ1593"/>
    <mergeCell ref="A1594:A1597"/>
    <mergeCell ref="B1594:B1597"/>
    <mergeCell ref="C1594:C1597"/>
    <mergeCell ref="D1594:D1597"/>
    <mergeCell ref="E1594:E1597"/>
    <mergeCell ref="AF1592:AF1593"/>
    <mergeCell ref="AG1592:AG1593"/>
    <mergeCell ref="AI1592:AI1593"/>
    <mergeCell ref="AJ1592:AJ1593"/>
    <mergeCell ref="AK1592:AK1593"/>
    <mergeCell ref="AL1592:AL1593"/>
    <mergeCell ref="S1592:S1593"/>
    <mergeCell ref="T1592:T1593"/>
    <mergeCell ref="U1592:U1593"/>
    <mergeCell ref="V1592:V1593"/>
    <mergeCell ref="W1592:W1593"/>
    <mergeCell ref="X1592:X1593"/>
    <mergeCell ref="M1592:M1593"/>
    <mergeCell ref="N1592:N1593"/>
    <mergeCell ref="O1592:O1593"/>
    <mergeCell ref="P1592:P1593"/>
    <mergeCell ref="Q1592:Q1593"/>
    <mergeCell ref="R1592:R1593"/>
    <mergeCell ref="G1592:G1593"/>
    <mergeCell ref="H1592:H1593"/>
    <mergeCell ref="I1592:I1593"/>
    <mergeCell ref="J1592:J1593"/>
    <mergeCell ref="K1592:K1593"/>
    <mergeCell ref="L1592:L1593"/>
    <mergeCell ref="A1592:A1593"/>
    <mergeCell ref="B1592:B1593"/>
    <mergeCell ref="C1592:C1593"/>
    <mergeCell ref="D1592:D1593"/>
    <mergeCell ref="E1592:E1593"/>
    <mergeCell ref="F1592:F1593"/>
    <mergeCell ref="R1598:R1613"/>
    <mergeCell ref="N1608:N1613"/>
    <mergeCell ref="O1608:O1613"/>
    <mergeCell ref="G1598:G1621"/>
    <mergeCell ref="H1598:H1621"/>
    <mergeCell ref="I1598:I1621"/>
    <mergeCell ref="J1598:J1621"/>
    <mergeCell ref="K1598:K1621"/>
    <mergeCell ref="L1598:L1621"/>
    <mergeCell ref="A1598:A1621"/>
    <mergeCell ref="B1598:B1621"/>
    <mergeCell ref="C1598:C1621"/>
    <mergeCell ref="D1598:D1621"/>
    <mergeCell ref="E1598:E1621"/>
    <mergeCell ref="F1598:F1621"/>
    <mergeCell ref="AL1594:AL1597"/>
    <mergeCell ref="AM1594:AM1597"/>
    <mergeCell ref="AN1594:AN1597"/>
    <mergeCell ref="AO1594:AO1597"/>
    <mergeCell ref="AP1594:AP1597"/>
    <mergeCell ref="AQ1594:AQ1597"/>
    <mergeCell ref="X1594:X1597"/>
    <mergeCell ref="AF1594:AF1597"/>
    <mergeCell ref="AG1594:AG1597"/>
    <mergeCell ref="AI1594:AI1597"/>
    <mergeCell ref="AJ1594:AJ1597"/>
    <mergeCell ref="AK1594:AK1597"/>
    <mergeCell ref="R1594:R1597"/>
    <mergeCell ref="S1594:S1597"/>
    <mergeCell ref="T1594:T1597"/>
    <mergeCell ref="U1594:U1597"/>
    <mergeCell ref="V1594:V1597"/>
    <mergeCell ref="W1594:W1597"/>
    <mergeCell ref="L1594:L1597"/>
    <mergeCell ref="M1594:M1597"/>
    <mergeCell ref="N1594:N1597"/>
    <mergeCell ref="O1594:O1597"/>
    <mergeCell ref="P1594:P1597"/>
    <mergeCell ref="Q1594:Q1597"/>
    <mergeCell ref="F1594:F1597"/>
    <mergeCell ref="G1594:G1597"/>
    <mergeCell ref="H1594:H1597"/>
    <mergeCell ref="I1594:I1597"/>
    <mergeCell ref="J1594:J1597"/>
    <mergeCell ref="K1594:K1597"/>
    <mergeCell ref="A1622:A1625"/>
    <mergeCell ref="B1622:B1625"/>
    <mergeCell ref="C1622:C1625"/>
    <mergeCell ref="D1622:D1625"/>
    <mergeCell ref="E1622:E1625"/>
    <mergeCell ref="F1622:F1625"/>
    <mergeCell ref="AF1614:AF1621"/>
    <mergeCell ref="AI1614:AI1621"/>
    <mergeCell ref="AJ1614:AJ1621"/>
    <mergeCell ref="AK1614:AK1621"/>
    <mergeCell ref="AL1614:AL1621"/>
    <mergeCell ref="AM1614:AM1621"/>
    <mergeCell ref="Y1612:Y1613"/>
    <mergeCell ref="AC1612:AC1613"/>
    <mergeCell ref="M1614:M1621"/>
    <mergeCell ref="N1614:N1621"/>
    <mergeCell ref="O1614:O1621"/>
    <mergeCell ref="P1614:P1621"/>
    <mergeCell ref="R1614:R1621"/>
    <mergeCell ref="S1614:S1621"/>
    <mergeCell ref="T1614:T1621"/>
    <mergeCell ref="U1614:U1621"/>
    <mergeCell ref="AQ1598:AQ1621"/>
    <mergeCell ref="Y1600:Y1601"/>
    <mergeCell ref="AC1600:AC1601"/>
    <mergeCell ref="Y1602:Y1603"/>
    <mergeCell ref="AC1602:AC1603"/>
    <mergeCell ref="Y1604:Y1605"/>
    <mergeCell ref="AC1604:AC1605"/>
    <mergeCell ref="Y1606:Y1607"/>
    <mergeCell ref="AC1606:AC1607"/>
    <mergeCell ref="Y1608:Y1609"/>
    <mergeCell ref="AK1598:AK1607"/>
    <mergeCell ref="AL1598:AL1613"/>
    <mergeCell ref="AM1598:AM1613"/>
    <mergeCell ref="AN1598:AN1621"/>
    <mergeCell ref="AO1598:AO1621"/>
    <mergeCell ref="AP1598:AP1621"/>
    <mergeCell ref="AK1608:AK1613"/>
    <mergeCell ref="Y1598:Y1599"/>
    <mergeCell ref="AC1598:AC1599"/>
    <mergeCell ref="AF1598:AF1613"/>
    <mergeCell ref="AG1598:AG1621"/>
    <mergeCell ref="AI1598:AI1607"/>
    <mergeCell ref="AJ1598:AJ1613"/>
    <mergeCell ref="AC1608:AC1609"/>
    <mergeCell ref="AI1608:AI1613"/>
    <mergeCell ref="Y1610:Y1611"/>
    <mergeCell ref="AC1610:AC1611"/>
    <mergeCell ref="S1598:S1613"/>
    <mergeCell ref="T1598:T1607"/>
    <mergeCell ref="U1598:U1607"/>
    <mergeCell ref="V1598:V1607"/>
    <mergeCell ref="W1598:W1621"/>
    <mergeCell ref="X1598:X1621"/>
    <mergeCell ref="T1608:T1613"/>
    <mergeCell ref="U1608:U1613"/>
    <mergeCell ref="V1608:V1613"/>
    <mergeCell ref="V1614:V1621"/>
    <mergeCell ref="M1598:M1613"/>
    <mergeCell ref="N1598:N1607"/>
    <mergeCell ref="O1598:O1607"/>
    <mergeCell ref="P1598:P1613"/>
    <mergeCell ref="Q1598:Q1621"/>
    <mergeCell ref="N1626:N1628"/>
    <mergeCell ref="O1626:O1628"/>
    <mergeCell ref="P1626:P1628"/>
    <mergeCell ref="AO1626:AO1632"/>
    <mergeCell ref="J1629:J1631"/>
    <mergeCell ref="M1629:M1630"/>
    <mergeCell ref="N1629:N1630"/>
    <mergeCell ref="O1629:O1630"/>
    <mergeCell ref="P1629:P1630"/>
    <mergeCell ref="G1626:G1631"/>
    <mergeCell ref="H1626:H1631"/>
    <mergeCell ref="I1626:I1631"/>
    <mergeCell ref="J1626:J1628"/>
    <mergeCell ref="K1626:K1631"/>
    <mergeCell ref="M1626:M1628"/>
    <mergeCell ref="A1626:A1631"/>
    <mergeCell ref="B1626:B1631"/>
    <mergeCell ref="C1626:C1631"/>
    <mergeCell ref="D1626:D1631"/>
    <mergeCell ref="E1626:E1631"/>
    <mergeCell ref="F1626:F1631"/>
    <mergeCell ref="AM1622:AM1625"/>
    <mergeCell ref="AN1622:AN1625"/>
    <mergeCell ref="AO1622:AO1625"/>
    <mergeCell ref="AP1622:AP1625"/>
    <mergeCell ref="AQ1622:AQ1625"/>
    <mergeCell ref="J1624:J1625"/>
    <mergeCell ref="M1624:M1625"/>
    <mergeCell ref="N1624:N1625"/>
    <mergeCell ref="O1624:O1625"/>
    <mergeCell ref="P1624:P1625"/>
    <mergeCell ref="AF1622:AF1623"/>
    <mergeCell ref="AG1622:AG1625"/>
    <mergeCell ref="AI1622:AI1623"/>
    <mergeCell ref="AJ1622:AJ1625"/>
    <mergeCell ref="AK1622:AK1623"/>
    <mergeCell ref="AL1622:AL1623"/>
    <mergeCell ref="AF1624:AF1625"/>
    <mergeCell ref="AI1624:AI1625"/>
    <mergeCell ref="AK1624:AK1625"/>
    <mergeCell ref="AL1624:AL1625"/>
    <mergeCell ref="S1622:S1623"/>
    <mergeCell ref="T1622:T1623"/>
    <mergeCell ref="U1622:U1623"/>
    <mergeCell ref="V1622:V1623"/>
    <mergeCell ref="W1622:W1625"/>
    <mergeCell ref="X1622:X1625"/>
    <mergeCell ref="S1624:S1625"/>
    <mergeCell ref="T1624:T1625"/>
    <mergeCell ref="U1624:U1625"/>
    <mergeCell ref="V1624:V1625"/>
    <mergeCell ref="M1622:M1623"/>
    <mergeCell ref="N1622:N1623"/>
    <mergeCell ref="O1622:O1623"/>
    <mergeCell ref="P1622:P1623"/>
    <mergeCell ref="Q1622:Q1625"/>
    <mergeCell ref="R1622:R1623"/>
    <mergeCell ref="R1624:R1625"/>
    <mergeCell ref="G1622:G1625"/>
    <mergeCell ref="H1622:H1625"/>
    <mergeCell ref="I1622:I1625"/>
    <mergeCell ref="J1622:J1623"/>
    <mergeCell ref="K1622:K1625"/>
    <mergeCell ref="L1622:L1625"/>
    <mergeCell ref="AU1636:AU1640"/>
    <mergeCell ref="AV1636:AV1640"/>
    <mergeCell ref="AO1636:AO1640"/>
    <mergeCell ref="AP1636:AP1640"/>
    <mergeCell ref="AQ1636:AQ1640"/>
    <mergeCell ref="AR1636:AR1640"/>
    <mergeCell ref="AS1636:AS1640"/>
    <mergeCell ref="AT1636:AT1640"/>
    <mergeCell ref="AI1636:AI1640"/>
    <mergeCell ref="AJ1636:AJ1640"/>
    <mergeCell ref="AK1636:AK1640"/>
    <mergeCell ref="AL1636:AL1640"/>
    <mergeCell ref="AM1636:AM1640"/>
    <mergeCell ref="AN1636:AN1640"/>
    <mergeCell ref="N1636:N1641"/>
    <mergeCell ref="O1636:O1641"/>
    <mergeCell ref="V1636:V1641"/>
    <mergeCell ref="AF1636:AF1640"/>
    <mergeCell ref="AG1636:AG1640"/>
    <mergeCell ref="AH1636:AH1640"/>
    <mergeCell ref="O1633:O1635"/>
    <mergeCell ref="R1633:R1635"/>
    <mergeCell ref="V1633:V1635"/>
    <mergeCell ref="AO1633:AO1635"/>
    <mergeCell ref="A1636:A1641"/>
    <mergeCell ref="B1636:B1641"/>
    <mergeCell ref="C1636:C1641"/>
    <mergeCell ref="D1636:D1641"/>
    <mergeCell ref="E1636:E1641"/>
    <mergeCell ref="M1636:M1641"/>
    <mergeCell ref="H1633:H1635"/>
    <mergeCell ref="I1633:I1635"/>
    <mergeCell ref="J1633:J1635"/>
    <mergeCell ref="K1633:K1635"/>
    <mergeCell ref="M1633:M1635"/>
    <mergeCell ref="N1633:N1635"/>
    <mergeCell ref="A1633:A1635"/>
    <mergeCell ref="B1633:B1635"/>
    <mergeCell ref="C1633:C1635"/>
    <mergeCell ref="D1633:D1635"/>
    <mergeCell ref="E1633:E1635"/>
    <mergeCell ref="G1633:G1635"/>
  </mergeCells>
  <hyperlinks>
    <hyperlink ref="AD9" r:id="rId1" display="http://consorciofia.info/cdr/ver_fuentes_w.php?NumCDR=001&amp;codEntidad=19999"/>
    <hyperlink ref="AD10" r:id="rId2" display="http://consorciofia.info/cdr/ver_fuentes_w.php?NumCDR=001&amp;codEntidad=19999"/>
    <hyperlink ref="AD11" r:id="rId3" display="http://consorciofia.info/cdr/ver_fuentes_w.php?NumCDR=001&amp;codEntidad=19999"/>
    <hyperlink ref="AD12" r:id="rId4" display="http://consorciofia.info/cdr/ver_fuentes_w.php?NumCDR=174&amp;codEntidad=19999"/>
    <hyperlink ref="AD13" r:id="rId5" display="http://consorciofia.info/cdr/ver_fuentes_w.php?NumCDR=174&amp;codEntidad=19999"/>
    <hyperlink ref="AD15" r:id="rId6" display="http://consorciofia.info/cdr/ver_fuentes_w.php?NumCDR=002&amp;codEntidad=19999"/>
    <hyperlink ref="AD16" r:id="rId7" display="http://consorciofia.info/cdr/ver_fuentes_w.php?NumCDR=187&amp;codEntidad=19999"/>
    <hyperlink ref="AD4" r:id="rId8" display="http://consorciofia.info/cdr/ver_fuentes_w.php?NumCDR=029&amp;codEntidad=19999"/>
    <hyperlink ref="AD5" r:id="rId9" display="http://consorciofia.info/cdr/ver_fuentes_w.php?NumCDR=029&amp;codEntidad=19999"/>
    <hyperlink ref="AD6" r:id="rId10" display="http://consorciofia.info/cdr/ver_fuentes_w.php?NumCDR=029&amp;codEntidad=19999"/>
    <hyperlink ref="AD7" r:id="rId11" display="http://consorciofia.info/cdr/ver_fuentes_w.php?NumCDR=190&amp;codEntidad=19999"/>
    <hyperlink ref="AD8" r:id="rId12" display="http://consorciofia.info/cdr/ver_fuentes_w.php?NumCDR=190&amp;codEntidad=19999"/>
    <hyperlink ref="AD22" r:id="rId13" display="http://consorciofia.info/cdr/ver_fuentes_w.php?NumCDR=005&amp;codEntidad=19999"/>
    <hyperlink ref="AD23" r:id="rId14" display="http://consorciofia.info/cdr/ver_fuentes_w.php?NumCDR=005&amp;codEntidad=19999"/>
    <hyperlink ref="AD24" r:id="rId15" display="http://consorciofia.info/cdr/ver_fuentes_w.php?NumCDR=193&amp;codEntidad=19999"/>
    <hyperlink ref="AD25" r:id="rId16" display="http://consorciofia.info/cdr/ver_fuentes_w.php?NumCDR=008&amp;codEntidad=19999"/>
    <hyperlink ref="AD26" r:id="rId17" display="http://consorciofia.info/cdr/ver_fuentes_w.php?NumCDR=008&amp;codEntidad=19999"/>
    <hyperlink ref="AD27" r:id="rId18" display="http://consorciofia.info/cdr/ver_fuentes_w.php?NumCDR=008&amp;codEntidad=19999"/>
    <hyperlink ref="AD28" r:id="rId19" display="http://consorciofia.info/cdr/ver_fuentes_w.php?NumCDR=164&amp;codEntidad=19999"/>
    <hyperlink ref="AD44" r:id="rId20" display="http://consorciofia.info/cdr/ver_fuentes_w.php?NumCDR=014&amp;codEntidad=19999"/>
    <hyperlink ref="AD45" r:id="rId21" display="http://consorciofia.info/cdr/ver_fuentes_w.php?NumCDR=014&amp;codEntidad=19999"/>
    <hyperlink ref="AD46" r:id="rId22" display="http://consorciofia.info/cdr/ver_fuentes_w.php?NumCDR=014&amp;codEntidad=19999"/>
    <hyperlink ref="AD47" r:id="rId23" display="http://consorciofia.info/cdr/ver_fuentes_w.php?NumCDR=014&amp;codEntidad=19999"/>
    <hyperlink ref="AD51" r:id="rId24" display="http://consorciofia.info/cdr/ver_fuentes_w.php?NumCDR=019&amp;codEntidad=19999"/>
    <hyperlink ref="AD52" r:id="rId25" display="http://consorciofia.info/cdr/ver_fuentes_w.php?NumCDR=019&amp;codEntidad=19999"/>
    <hyperlink ref="AD14" r:id="rId26" display="http://consorciofia.info/cdr/ver_fuentes_w.php?NumCDR=002&amp;codEntidad=19999"/>
    <hyperlink ref="AD43" r:id="rId27" display="http://consorciofia.info/cdr/ver_fuentes_w.php?NumCDR=012&amp;codEntidad=19999"/>
    <hyperlink ref="AD49" r:id="rId28" display="http://consorciofia.info/cdr/ver_fuentes_w.php?NumCDR=017&amp;codEntidad=19999"/>
    <hyperlink ref="AD53" r:id="rId29" display="http://consorciofia.info/cdr/ver_fuentes_w.php?NumCDR=020&amp;codEntidad=19999"/>
    <hyperlink ref="AD54" r:id="rId30" display="http://consorciofia.info/cdr/ver_fuentes_w.php?NumCDR=020&amp;codEntidad=19999"/>
    <hyperlink ref="AD55" r:id="rId31" display="http://consorciofia.info/cdr/ver_fuentes_w.php?NumCDR=020&amp;codEntidad=19999"/>
    <hyperlink ref="AD69" r:id="rId32" display="http://consorciofia.info/cdr/ver_fuentes_w.php?NumCDR=013&amp;codEntidad=19999"/>
    <hyperlink ref="AD70" r:id="rId33" display="http://consorciofia.info/cdr/ver_fuentes_w.php?NumCDR=013&amp;codEntidad=19999"/>
    <hyperlink ref="AD3" r:id="rId34" display="http://consorciofia.info/cdr/ver_fuentes_w.php?NumCDR=029&amp;codEntidad=19999"/>
    <hyperlink ref="AD72" r:id="rId35" display="http://consorciofia.info/cdr/ver_fuentes_w.php?NumCDR=021&amp;codEntidad=19999"/>
    <hyperlink ref="AD73" r:id="rId36" display="http://consorciofia.info/cdr/ver_fuentes_w.php?NumCDR=021&amp;codEntidad=19999"/>
    <hyperlink ref="AD74" r:id="rId37" display="http://consorciofia.info/cdr/ver_fuentes_w.php?NumCDR=021&amp;codEntidad=19999"/>
    <hyperlink ref="AD75" r:id="rId38" display="http://consorciofia.info/cdr/ver_fuentes_w.php?NumCDR=224&amp;codEntidad=19999"/>
    <hyperlink ref="AD76" r:id="rId39" display="http://consorciofia.info/cdr/ver_fuentes_w.php?NumCDR=224&amp;codEntidad=19999"/>
    <hyperlink ref="AD77" r:id="rId40" display="http://consorciofia.info/cdr/ver_fuentes_w.php?NumCDR=025&amp;codEntidad=19999"/>
    <hyperlink ref="AD78" r:id="rId41" display="http://consorciofia.info/cdr/ver_fuentes_w.php?NumCDR=025&amp;codEntidad=19999"/>
    <hyperlink ref="AD71" r:id="rId42" display="http://consorciofia.info/cdr/ver_fuentes_w.php?NumCDR=016&amp;codEntidad=19999"/>
    <hyperlink ref="AD96" r:id="rId43" display="http://consorciofia.info/cdr/ver_fuentes_w.php?NumCDR=036&amp;codEntidad=19999"/>
    <hyperlink ref="AD91" r:id="rId44" display="http://consorciofia.info/cdr/ver_fuentes_w.php?NumCDR=037&amp;codEntidad=19999"/>
    <hyperlink ref="AD92" r:id="rId45" display="http://consorciofia.info/cdr/ver_fuentes_w.php?NumCDR=037&amp;codEntidad=19999"/>
    <hyperlink ref="AD93" r:id="rId46" display="http://consorciofia.info/cdr/ver_fuentes_w.php?NumCDR=037&amp;codEntidad=19999"/>
    <hyperlink ref="AD94" r:id="rId47" display="http://consorciofia.info/cdr/ver_fuentes_w.php?NumCDR=037&amp;codEntidad=19999"/>
    <hyperlink ref="AD95" r:id="rId48" display="http://consorciofia.info/cdr/ver_fuentes_w.php?NumCDR=037&amp;codEntidad=19999"/>
    <hyperlink ref="AD97" r:id="rId49" display="http://consorciofia.info/cdr/ver_fuentes_w.php?NumCDR=036&amp;codEntidad=19999"/>
    <hyperlink ref="AD98" r:id="rId50" display="http://consorciofia.info/cdr/ver_fuentes_w.php?NumCDR=036&amp;codEntidad=19999"/>
    <hyperlink ref="AD99" r:id="rId51" display="http://consorciofia.info/cdr/ver_fuentes_w.php?NumCDR=036&amp;codEntidad=19999"/>
    <hyperlink ref="AD100" r:id="rId52" display="http://consorciofia.info/cdr/ver_fuentes_w.php?NumCDR=036&amp;codEntidad=19999"/>
    <hyperlink ref="AD101" r:id="rId53" display="http://consorciofia.info/cdr/ver_fuentes_w.php?NumCDR=165&amp;codEntidad=19999"/>
    <hyperlink ref="AD102" r:id="rId54" display="http://consorciofia.info/cdr/ver_fuentes_w.php?NumCDR=165&amp;codEntidad=19999"/>
    <hyperlink ref="AD103" r:id="rId55" display="http://consorciofia.info/cdr/ver_fuentes_w.php?NumCDR=038&amp;codEntidad=19999"/>
    <hyperlink ref="AD104" r:id="rId56" display="http://consorciofia.info/cdr/ver_fuentes_w.php?NumCDR=038&amp;codEntidad=19999"/>
    <hyperlink ref="AD105" r:id="rId57" display="http://consorciofia.info/cdr/ver_fuentes_w.php?NumCDR=038&amp;codEntidad=19999"/>
    <hyperlink ref="AD106" r:id="rId58" display="http://consorciofia.info/cdr/ver_fuentes_w.php?NumCDR=038&amp;codEntidad=19999"/>
    <hyperlink ref="AD107" r:id="rId59" display="http://consorciofia.info/cdr/ver_fuentes_w.php?NumCDR=038&amp;codEntidad=19999"/>
    <hyperlink ref="AD108" r:id="rId60" display="http://consorciofia.info/cdr/ver_fuentes_w.php?NumCDR=038&amp;codEntidad=19999"/>
    <hyperlink ref="AD109" r:id="rId61" display="http://consorciofia.info/cdr/ver_fuentes_w.php?NumCDR=038&amp;codEntidad=19999"/>
    <hyperlink ref="AD110" r:id="rId62" display="http://consorciofia.info/cdr/ver_fuentes_w.php?NumCDR=038&amp;codEntidad=19999"/>
    <hyperlink ref="AD111" r:id="rId63" display="http://consorciofia.info/cdr/ver_fuentes_w.php?NumCDR=040&amp;codEntidad=19999"/>
    <hyperlink ref="AD112" r:id="rId64" display="http://consorciofia.info/cdr/ver_fuentes_w.php?NumCDR=040&amp;codEntidad=19999"/>
    <hyperlink ref="AD113" r:id="rId65" display="http://consorciofia.info/cdr/ver_fuentes_w.php?NumCDR=040&amp;codEntidad=19999"/>
    <hyperlink ref="AD114" r:id="rId66" display="http://consorciofia.info/cdr/ver_fuentes_w.php?NumCDR=040&amp;codEntidad=19999"/>
    <hyperlink ref="AD115" r:id="rId67" display="http://consorciofia.info/cdr/ver_fuentes_w.php?NumCDR=158&amp;codEntidad=19999"/>
    <hyperlink ref="AD152" r:id="rId68" display="http://consorciofia.info/cdr/ver_fuentes_w.php?NumCDR=049&amp;codEntidad=19999"/>
    <hyperlink ref="AD153" r:id="rId69" display="http://consorciofia.info/cdr/ver_fuentes_w.php?NumCDR=049&amp;codEntidad=19999"/>
    <hyperlink ref="AD154" r:id="rId70" display="http://consorciofia.info/cdr/ver_fuentes_w.php?NumCDR=049&amp;codEntidad=19999"/>
    <hyperlink ref="AD155" r:id="rId71" display="http://consorciofia.info/cdr/ver_fuentes_w.php?NumCDR=049&amp;codEntidad=19999"/>
    <hyperlink ref="AD156" r:id="rId72" display="http://consorciofia.info/cdr/ver_fuentes_w.php?NumCDR=140&amp;codEntidad=19999"/>
    <hyperlink ref="AD158" r:id="rId73" display="http://consorciofia.info/cdr/ver_fuentes_w.php?NumCDR=051&amp;codEntidad=19999"/>
    <hyperlink ref="AD159" r:id="rId74" display="http://consorciofia.info/cdr/ver_fuentes_w.php?NumCDR=051&amp;codEntidad=19999"/>
    <hyperlink ref="AD160" r:id="rId75" display="http://consorciofia.info/cdr/ver_fuentes_w.php?NumCDR=051&amp;codEntidad=19999"/>
    <hyperlink ref="AD161" r:id="rId76" display="http://consorciofia.info/cdr/ver_fuentes_w.php?NumCDR=051&amp;codEntidad=19999"/>
    <hyperlink ref="AD162" r:id="rId77" display="http://consorciofia.info/cdr/ver_fuentes_w.php?NumCDR=051&amp;codEntidad=19999"/>
    <hyperlink ref="AD163" r:id="rId78" display="http://consorciofia.info/cdr/ver_fuentes_w.php?NumCDR=051&amp;codEntidad=19999"/>
    <hyperlink ref="AD164" r:id="rId79" display="http://consorciofia.info/cdr/ver_fuentes_w.php?NumCDR=051&amp;codEntidad=19999"/>
    <hyperlink ref="AD165" r:id="rId80" display="http://consorciofia.info/cdr/ver_fuentes_w.php?NumCDR=207&amp;codEntidad=19999"/>
    <hyperlink ref="AD166" r:id="rId81" display="http://consorciofia.info/cdr/ver_fuentes_w.php?NumCDR=208&amp;codEntidad=19999"/>
    <hyperlink ref="AD48" r:id="rId82" display="http://consorciofia.info/cdr/ver_fuentes_w.php?NumCDR=017&amp;codEntidad=19999"/>
    <hyperlink ref="AD50" r:id="rId83" display="http://consorciofia.info/cdr/ver_fuentes_w.php?NumCDR=160&amp;codEntidad=19999"/>
    <hyperlink ref="AD157" r:id="rId84" display="http://consorciofia.info/cdr/ver_fuentes_w.php?NumCDR=051&amp;codEntidad=19999"/>
    <hyperlink ref="M167:M174" r:id="rId85" display="http://consorciofia.info/cdr/ver_fuentes_w.php?NumCDR=033&amp;codEntidad=19999"/>
    <hyperlink ref="M175:M182" r:id="rId86" display="http://consorciofia.info/cdr/ver_fuentes_w.php?NumCDR=034&amp;codEntidad=19999"/>
    <hyperlink ref="M183:M190" r:id="rId87" display="http://consorciofia.info/cdr/ver_fuentes_w.php?NumCDR=035&amp;codEntidad=19999"/>
    <hyperlink ref="M191" r:id="rId88" display="http://consorciofia.info/cdr/ver_fuentes_w.php?NumCDR=192&amp;codEntidad=19999"/>
    <hyperlink ref="M192" r:id="rId89" display="http://consorciofia.info/cdr/ver_fuentes_w.php?NumCDR=194&amp;codEntidad=19999"/>
    <hyperlink ref="M116" r:id="rId90" display="http://consorciofia.info/cdr/ver_fuentes_w.php?NumCDR=039&amp;codEntidad=19999"/>
    <hyperlink ref="M120" r:id="rId91" display="http://consorciofia.info/cdr/ver_fuentes_w.php?NumCDR=041&amp;codEntidad=19999"/>
    <hyperlink ref="M123" r:id="rId92" display="http://consorciofia.info/cdr/ver_fuentes_w.php?NumCDR=042&amp;codEntidad=19999"/>
    <hyperlink ref="M127" r:id="rId93" display="http://consorciofia.info/cdr/ver_fuentes_w.php?NumCDR=043&amp;codEntidad=19999"/>
    <hyperlink ref="M131" r:id="rId94" display="http://consorciofia.info/cdr/ver_fuentes_w.php?NumCDR=044&amp;codEntidad=19999"/>
    <hyperlink ref="M135" r:id="rId95" display="http://consorciofia.info/cdr/ver_fuentes_w.php?NumCDR=050&amp;codEntidad=19999"/>
    <hyperlink ref="M193" r:id="rId96" display="http://consorciofia.info/cdr/ver_fuentes_w.php?NumCDR=065&amp;codEntidad=19999"/>
    <hyperlink ref="M195:M196" r:id="rId97" display="http://consorciofia.info/cdr/ver_fuentes_w.php?NumCDR=066&amp;codEntidad=19999"/>
    <hyperlink ref="M197:M198" r:id="rId98" display="http://consorciofia.info/cdr/ver_fuentes_w.php?NumCDR=067&amp;codEntidad=19999"/>
    <hyperlink ref="M199" r:id="rId99" display="http://consorciofia.info/cdr/ver_fuentes_w.php?NumCDR=163&amp;codEntidad=19999"/>
    <hyperlink ref="M200:M201" r:id="rId100" display="http://consorciofia.info/cdr/ver_fuentes_w.php?NumCDR=058&amp;codEntidad=19999"/>
    <hyperlink ref="M204:M205" r:id="rId101" display="http://consorciofia.info/cdr/ver_fuentes_w.php?NumCDR=059&amp;codEntidad=19999"/>
    <hyperlink ref="M208:M209" r:id="rId102" display="http://consorciofia.info/cdr/ver_fuentes_w.php?NumCDR=060&amp;codEntidad=19999"/>
    <hyperlink ref="M212:M213" r:id="rId103" display="http://consorciofia.info/cdr/ver_fuentes_w.php?NumCDR=061&amp;codEntidad=19999"/>
    <hyperlink ref="M216:M217" r:id="rId104" display="http://consorciofia.info/cdr/ver_fuentes_w.php?NumCDR=062&amp;codEntidad=19999"/>
    <hyperlink ref="M220:M222" r:id="rId105" display="http://consorciofia.info/cdr/ver_fuentes_w.php?NumCDR=063&amp;codEntidad=19999"/>
    <hyperlink ref="M224:M226" r:id="rId106" display="http://consorciofia.info/cdr/ver_fuentes_w.php?NumCDR=064&amp;codEntidad=19999"/>
    <hyperlink ref="M228" r:id="rId107" display="http://consorciofia.info/cdr/ver_fuentes_w.php?NumCDR=196&amp;codEntidad=19999"/>
    <hyperlink ref="M229" r:id="rId108" display="http://consorciofia.info/cdr/ver_fuentes_w.php?NumCDR=174&amp;codEntidad=19999"/>
    <hyperlink ref="M235:M237" r:id="rId109" display="http://consorciofia.info/cdr/ver_fuentes_w.php?NumCDR=053&amp;codEntidad=19999"/>
    <hyperlink ref="M232:M234" r:id="rId110" display="http://consorciofia.info/cdr/ver_fuentes_w.php?NumCDR=052&amp;codEntidad=19999"/>
    <hyperlink ref="M238:M240" r:id="rId111" display="http://consorciofia.info/cdr/ver_fuentes_w.php?NumCDR=054&amp;codEntidad=19999"/>
    <hyperlink ref="M241:M243" r:id="rId112" display="http://consorciofia.info/cdr/ver_fuentes_w.php?NumCDR=055&amp;codEntidad=19999"/>
    <hyperlink ref="M244:M246" r:id="rId113" display="http://consorciofia.info/cdr/ver_fuentes_w.php?NumCDR=056&amp;codEntidad=19999"/>
    <hyperlink ref="M247:M249" r:id="rId114" display="http://consorciofia.info/cdr/ver_fuentes_w.php?NumCDR=057&amp;codEntidad=19999"/>
    <hyperlink ref="M250" r:id="rId115" display="http://consorciofia.info/cdr/ver_fuentes_w.php?NumCDR=197&amp;codEntidad=19999"/>
    <hyperlink ref="M323:M328" r:id="rId116" display="http://consorciofia.info/cdr/ver_fuentes_w.php?NumCDR=081&amp;codEntidad=19999"/>
    <hyperlink ref="M329" r:id="rId117" display="http://consorciofia.info/cdr/ver_fuentes_w.php?NumCDR=174&amp;codEntidad=19999"/>
    <hyperlink ref="M293" r:id="rId118" display="http://consorciofia.info/cdr/ver_fuentes_w.php?NumCDR=200&amp;codEntidad=19999"/>
    <hyperlink ref="M290:M291" r:id="rId119" display="http://consorciofia.info/cdr/ver_fuentes_w.php?NumCDR=075&amp;codEntidad=19999"/>
    <hyperlink ref="M287:M288" r:id="rId120" display="http://consorciofia.info/cdr/ver_fuentes_w.php?NumCDR=074&amp;codEntidad=19999"/>
    <hyperlink ref="M281:M282" r:id="rId121" display="http://consorciofia.info/cdr/ver_fuentes_w.php?NumCDR=072&amp;codEntidad=19999"/>
    <hyperlink ref="M284:M285" r:id="rId122" display="http://consorciofia.info/cdr/ver_fuentes_w.php?NumCDR=073&amp;codEntidad=19999"/>
    <hyperlink ref="AD18" r:id="rId123" display="Pagos CDRs FIA\CDR 004 - Contrato 008-2010.jpg"/>
    <hyperlink ref="AD19" r:id="rId124" display="Pagos CDRs FIA\CDR 004 - Contrato 008-2010.jpg"/>
    <hyperlink ref="AD20" r:id="rId125" display="Pagos CDRs FIA\CDR 004 - Contrato 008-2010.jpg"/>
    <hyperlink ref="AD21" r:id="rId126" display="Pagos CDRs FIA\CDR 191 - Contrato 008-2010.jpg"/>
    <hyperlink ref="M18:M20" r:id="rId127" display="http://consorciofia.info/cdr/ver_fuentes_w.php?NumCDR=004&amp;codEntidad=19999"/>
    <hyperlink ref="M21" r:id="rId128" display="http://consorciofia.info/cdr/ver_fuentes_w.php?NumCDR=191&amp;codEntidad=19999"/>
    <hyperlink ref="AD17" r:id="rId129" display="Pagos CDRs FIA\CDR 003 - Contrato 007-2010.jpg"/>
    <hyperlink ref="M17" r:id="rId130" display="http://consorciofia.info/cdr/ver_fuentes_w.php?NumCDR=003&amp;codEntidad=19999"/>
    <hyperlink ref="M330" r:id="rId131" display="http://consorciofia.info/cdr/ver_fuentes_w.php?NumCDR=084&amp;codEntidad=19999"/>
    <hyperlink ref="M338" r:id="rId132" display="http://consorciofia.info/cdr/ver_fuentes_w.php?NumCDR=085&amp;codEntidad=19999"/>
    <hyperlink ref="M346" r:id="rId133" display="http://consorciofia.info/cdr/ver_fuentes_w.php?NumCDR=087&amp;codEntidad=19999"/>
    <hyperlink ref="M351" r:id="rId134" display="http://consorciofia.info/cdr/ver_fuentes_w.php?NumCDR=162&amp;codEntidad=19999"/>
    <hyperlink ref="M352:M353" r:id="rId135" display="http://consorciofia.info/cdr/ver_fuentes_w.php?NumCDR=088&amp;codEntidad=19999"/>
    <hyperlink ref="M391:M394" r:id="rId136" display="http://consorciofia.info/cdr/ver_fuentes_w.php?NumCDR=095&amp;codEntidad=19999"/>
    <hyperlink ref="M354:M355" r:id="rId137" display="http://consorciofia.info/cdr/ver_fuentes_w.php?NumCDR=089&amp;codEntidad=19999"/>
    <hyperlink ref="M397" r:id="rId138" display="http://consorciofia.info/cdr/ver_fuentes_w.php?NumCDR=097&amp;codEntidad=19999"/>
    <hyperlink ref="M401" r:id="rId139" display="http://consorciofia.info/cdr/ver_fuentes_w.php?NumCDR=201&amp;codEntidad=19999"/>
    <hyperlink ref="M395:M396" r:id="rId140" display="http://consorciofia.info/cdr/ver_fuentes_w.php?NumCDR=096&amp;codEntidad=19999"/>
    <hyperlink ref="M408" r:id="rId141" display="http://consorciofia.info/cdr/ver_fuentes_w.php?NumCDR=099&amp;codEntidad=19999"/>
    <hyperlink ref="M416" r:id="rId142" display="http://consorciofia.info/cdr/ver_fuentes_w.php?NumCDR=101&amp;codEntidad=19999"/>
    <hyperlink ref="M412" r:id="rId143" display="http://consorciofia.info/cdr/ver_fuentes_w.php?NumCDR=100&amp;codEntidad=19999"/>
    <hyperlink ref="M425" r:id="rId144" display="http://consorciofia.info/cdr/ver_fuentes_w.php?NumCDR=205&amp;codEntidad=19999"/>
    <hyperlink ref="M421:M424" r:id="rId145" display="http://consorciofia.info/cdr/ver_fuentes_w.php?NumCDR=102&amp;codEntidad=19999"/>
    <hyperlink ref="M426:M429" r:id="rId146" display="http://consorciofia.info/cdr/ver_fuentes_w.php?NumCDR=103&amp;codEntidad=19999"/>
    <hyperlink ref="M432" r:id="rId147" display="http://consorciofia.info/cdr/ver_fuentes_w.php?NumCDR=104&amp;codEntidad=19999"/>
    <hyperlink ref="M342:M345" r:id="rId148" display="http://consorciofia.info/cdr/ver_fuentes_w.php?NumCDR=086&amp;codEntidad=19999"/>
    <hyperlink ref="M493:M495" r:id="rId149" display="http://consorciofia.info/cdr/ver_fuentes_w.php?NumCDR=022&amp;codEntidad=19999"/>
    <hyperlink ref="M466:M473" r:id="rId150" display="http://consorciofia.info/cdr/ver_fuentes_w.php?NumCDR=110&amp;codEntidad=19999"/>
    <hyperlink ref="M481:M482" r:id="rId151" display="http://consorciofia.info/cdr/ver_fuentes_w.php?NumCDR=174&amp;codEntidad=19999"/>
    <hyperlink ref="M475:M480" r:id="rId152" display="http://consorciofia.info/cdr/ver_fuentes_w.php?NumCDR=111&amp;codEntidad=19999"/>
    <hyperlink ref="M474" r:id="rId153" display="http://consorciofia.info/cdr/ver_fuentes_w.php?NumCDR=202&amp;codEntidad=19999"/>
    <hyperlink ref="M461:M465" r:id="rId154" display="http://consorciofia.info/cdr/ver_fuentes_w.php?NumCDR=109&amp;codEntidad=19999"/>
    <hyperlink ref="M459:M460" r:id="rId155" display="http://consorciofia.info/cdr/ver_fuentes_w.php?NumCDR=203&amp;codEntidad=19999"/>
    <hyperlink ref="M451:M458" r:id="rId156" display="http://consorciofia.info/cdr/ver_fuentes_w.php?NumCDR=108&amp;codEntidad=19999"/>
    <hyperlink ref="M447:M450" r:id="rId157" display="http://consorciofia.info/cdr/ver_fuentes_w.php?NumCDR=107&amp;codEntidad=19999"/>
    <hyperlink ref="M445:M446" r:id="rId158" display="http://consorciofia.info/cdr/ver_fuentes_w.php?NumCDR=188&amp;codEntidad=19999"/>
    <hyperlink ref="M440:M444" r:id="rId159" display="http://consorciofia.info/cdr/ver_fuentes_w.php?NumCDR=106&amp;codEntidad=19999"/>
    <hyperlink ref="M436:M439" r:id="rId160" display="http://consorciofia.info/cdr/ver_fuentes_w.php?NumCDR=105&amp;codEntidad=19999"/>
    <hyperlink ref="M483:M490" r:id="rId161" display="http://consorciofia.info/cdr/ver_fuentes_w.php?NumCDR=112&amp;codEntidad=19999%7d"/>
    <hyperlink ref="M491:M492" r:id="rId162" display="http://consorciofia.info/cdr/ver_fuentes_w.php?NumCDR=174&amp;codEntidad=19999"/>
    <hyperlink ref="M361" r:id="rId163" display="http://consorciofia.info/cdr/ver_fuentes_w.php?NumCDR=090&amp;codEntidad=19999"/>
    <hyperlink ref="M357" r:id="rId164" display="http://consorciofia.info/cdr/ver_fuentes_w.php?NumCDR=113&amp;codEntidad=19999"/>
    <hyperlink ref="M373" r:id="rId165" display="http://consorciofia.info/cdr/ver_fuentes_w.php?NumCDR=167&amp;codEntidad=19999"/>
    <hyperlink ref="M367:M372" r:id="rId166" display="http://consorciofia.info/cdr/ver_fuentes_w.php?NumCDR=091&amp;codEntidad=19999"/>
    <hyperlink ref="M375:M376" r:id="rId167" display="http://consorciofia.info/cdr/ver_fuentes_w.php?NumCDR=174&amp;codEntidad=19999"/>
    <hyperlink ref="M377" r:id="rId168" display="http://consorciofia.info/cdr/ver_fuentes_w.php?NumCDR=092&amp;codEntidad=19999"/>
    <hyperlink ref="M386" r:id="rId169" display="http://consorciofia.info/cdr/ver_fuentes_w.php?NumCDR=094&amp;codEntidad=19999"/>
    <hyperlink ref="M381:M382" r:id="rId170" display="http://consorciofia.info/cdr/ver_fuentes_w.php?NumCDR=093&amp;codEntidad=19999"/>
    <hyperlink ref="M384:M385" r:id="rId171" display="http://consorciofia.info/cdr/ver_fuentes_w.php?NumCDR=174&amp;codEntidad=19999"/>
    <hyperlink ref="M390" r:id="rId172" display="http://consorciofia.info/cdr/ver_fuentes_w.php?NumCDR=204&amp;codEntidad=19999"/>
    <hyperlink ref="M139:M144" r:id="rId173" display="http://consorciofia.info/cdr/ver_fuentes_w.php?NumCDR=045&amp;codEntidad=19999"/>
    <hyperlink ref="M147:M149" r:id="rId174" display="http://consorciofia.info/cdr/ver_fuentes_w.php?NumCDR=046&amp;codEntidad=19999"/>
    <hyperlink ref="M151" r:id="rId175" display="http://consorciofia.info/cdr/ver_fuentes_w.php?NumCDR=161&amp;codEntidad=19999"/>
    <hyperlink ref="M402:M407" r:id="rId176" display="http://consorciofia.info/cdr/ver_fuentes_w.php?NumCDR=098&amp;codEntidad=19999"/>
    <hyperlink ref="M496" r:id="rId177" display="http://consorciofia.info/cdr/ver_fuentes_w.php?NumCDR=001&amp;codEntidad=19397"/>
    <hyperlink ref="M505" r:id="rId178" display="http://consorciofia.info/cdr/ver_fuentes_w.php?NumCDR=002&amp;codEntidad=19397"/>
    <hyperlink ref="M499" r:id="rId179" display="http://consorciofia.info/cdr/ver_fuentes_w.php?NumCDR=118&amp;codEntidad=19999"/>
    <hyperlink ref="M508:M513" r:id="rId180" display="http://consorciofia.info/cdr/ver_fuentes_w.php?NumCDR=150&amp;codEntidad=19999"/>
    <hyperlink ref="M514:M515" r:id="rId181" display="http://consorciofia.info/cdr/ver_fuentes_w.php?NumCDR=233&amp;codEntidad=19999"/>
    <hyperlink ref="M552" r:id="rId182" display="http://consorciofia.info/cdr/ver_fuentes_w.php?NumCDR=003&amp;codEntidad=19050"/>
    <hyperlink ref="M558:M559" r:id="rId183" display="http://consorciofia.info/cdr/ver_fuentes_w.php?NumCDR=003&amp;codEntidad=19397"/>
    <hyperlink ref="M560:M563" r:id="rId184" display="http://consorciofia.info/cdr/ver_fuentes_w.php?NumCDR=157&amp;codEntidad=19999"/>
    <hyperlink ref="M564:M565" r:id="rId185" display="http://consorciofia.info/cdr/ver_fuentes_w.php?NumCDR=003&amp;codEntidad=19585"/>
    <hyperlink ref="M566" r:id="rId186" display="http://consorciofia.info/cdr/ver_fuentes_w.php?NumCDR=005&amp;codEntidad=19585"/>
    <hyperlink ref="M567" r:id="rId187" display="http://consorciofia.info/cdr/ver_fuentes_w.php?NumCDR=237&amp;codEntidad=19999"/>
    <hyperlink ref="M568" r:id="rId188" display="http://consorciofia.info/cdr/ver_fuentes_w.php?NumCDR=234&amp;codEntidad=19999"/>
    <hyperlink ref="M554:M557" r:id="rId189" display="http://consorciofia.info/cdr/ver_fuentes_w.php?NumCDR=156&amp;codEntidad=19999"/>
    <hyperlink ref="M569:M570" r:id="rId190" display="http://consorciofia.info/cdr/ver_fuentes_w.php?NumCDR=223&amp;codEntidad=19999"/>
    <hyperlink ref="M572:M574" r:id="rId191" display="http://consorciofia.info/cdr/ver_fuentes_w.php?NumCDR=002&amp;codEntidad=19698"/>
    <hyperlink ref="M575:M580" r:id="rId192" display="http://consorciofia.info/cdr/ver_fuentes_w.php?NumCDR=175&amp;codEntidad=19999"/>
    <hyperlink ref="M581:M586" r:id="rId193" display="http://consorciofia.info/cdr/ver_fuentes_w.php?NumCDR=124&amp;codEntidad=19999"/>
    <hyperlink ref="M589" r:id="rId194" display="http://consorciofia.info/cdr/ver_fuentes_w.php?NumCDR=144&amp;codEntidad=19999"/>
    <hyperlink ref="M592:M593" r:id="rId195" display="http://consorciofia.info/cdr/ver_fuentes_w.php?NumCDR=174&amp;codEntidad=19999"/>
    <hyperlink ref="M599:M601" r:id="rId196" display="http://consorciofia.info/cdr/ver_fuentes_w.php?NumCDR=149&amp;codEntidad=19999"/>
    <hyperlink ref="M602" r:id="rId197" display="http://consorciofia.info/cdr/ver_fuentes_w.php?NumCDR=141&amp;codEntidad=19999"/>
    <hyperlink ref="M606:M608" r:id="rId198" display="http://consorciofia.info/cdr/ver_fuentes_w.php?NumCDR=142&amp;codEntidad=19999"/>
    <hyperlink ref="M609:M611" r:id="rId199" display="http://consorciofia.info/cdr/ver_fuentes_w.php?NumCDR=170&amp;codEntidad=19999"/>
    <hyperlink ref="M612:M614" r:id="rId200" display="http://consorciofia.info/cdr/ver_fuentes_w.php?NumCDR=171&amp;codEntidad=19999"/>
    <hyperlink ref="M615:M617" r:id="rId201" display="http://consorciofia.info/cdr/ver_fuentes_w.php?NumCDR=172&amp;codEntidad=19999"/>
    <hyperlink ref="M618:M622" r:id="rId202" display="http://consorciofia.info/cdr/ver_fuentes_w.php?NumCDR=138&amp;codEntidad=19999"/>
    <hyperlink ref="M623:M625" r:id="rId203" display="http://consorciofia.info/cdr/ver_fuentes_w.php?NumCDR=189&amp;codEntidad=19999"/>
    <hyperlink ref="M626:M627" r:id="rId204" display="http://consorciofia.info/cdr/ver_fuentes_w.php?NumCDR=173&amp;codEntidad=19999"/>
    <hyperlink ref="M628:M633" r:id="rId205" display="http://consorciofia.info/cdr/ver_fuentes_w.php?NumCDR=047&amp;codEntidad=19999"/>
    <hyperlink ref="M634:M636" r:id="rId206" display="http://consorciofia.info/cdr/ver_fuentes_w.php?NumCDR=195&amp;codEntidad=19999"/>
    <hyperlink ref="M637:M639" r:id="rId207" display="http://consorciofia.info/cdr/ver_fuentes_w.php?NumCDR=210&amp;codEntidad=19999"/>
    <hyperlink ref="M640:M642" r:id="rId208" display="http://consorciofia.info/cdr/ver_fuentes_w.php?NumCDR=209&amp;codEntidad=19999"/>
    <hyperlink ref="M643:M645" r:id="rId209" display="http://consorciofia.info/cdr/ver_fuentes_w.php?NumCDR=145&amp;codEntidad=19999"/>
    <hyperlink ref="M646:M648" r:id="rId210" display="http://consorciofia.info/cdr/ver_fuentes_w.php?NumCDR=169&amp;codEntidad=19999"/>
    <hyperlink ref="M649:M653" r:id="rId211" display="http://consorciofia.info/cdr/ver_fuentes_w.php?NumCDR=137&amp;codEntidad=19999"/>
    <hyperlink ref="M33:M36" r:id="rId212" display="http://consorciofia.info/cdr/ver_fuentes_w.php?NumCDR=010&amp;codEntidad=19999"/>
    <hyperlink ref="M37:M40" r:id="rId213" display="http://consorciofia.info/cdr/ver_fuentes_w.php?NumCDR=011&amp;codEntidad=19999"/>
    <hyperlink ref="M41:M42" r:id="rId214" display="http://consorciofia.info/cdr/ver_fuentes_w.php?NumCDR=159&amp;codEntidad=19999"/>
    <hyperlink ref="AD37" r:id="rId215" display="http://consorciofia.info/cdr/ver_fuentes_w.php?NumCDR=011&amp;codEntidad=19999"/>
    <hyperlink ref="AD41" r:id="rId216" display="Documentos soportes para la conciliación"/>
    <hyperlink ref="AD39" r:id="rId217" display="http://consorciofia.info/cdr/ver_fuentes_w.php?NumCDR=0011&amp;codEntidad=19999"/>
    <hyperlink ref="AD38" r:id="rId218" display="http://consorciofia.info/cdr/ver_fuentes_w.php?NumCDR=023&amp;codEntidad=19999"/>
    <hyperlink ref="M56" r:id="rId219" display="http://consorciofia.info/cdr/ver_fuentes_w.php?NumCDR=023&amp;codEntidad=19999"/>
    <hyperlink ref="M60:M62" r:id="rId220" display="http://consorciofia.info/cdr/ver_fuentes_w.php?NumCDR=139&amp;codEntidad=19999"/>
    <hyperlink ref="AD56" r:id="rId221" display="http://consorciofia.info/cdr/ver_fuentes_w.php?NumCDR=023&amp;codEntidad=19999"/>
    <hyperlink ref="AD57" r:id="rId222" display="http://consorciofia.info/cdr/ver_fuentes_w.php?NumCDR=0011&amp;codEntidad=19999"/>
    <hyperlink ref="AD58" r:id="rId223" display="http://consorciofia.info/cdr/ver_fuentes_w.php?NumCDR=0011&amp;codEntidad=19999"/>
    <hyperlink ref="M63:M65" r:id="rId224" display="http://consorciofia.info/cdr/ver_fuentes_w.php?NumCDR=028&amp;codEntidad=19999"/>
    <hyperlink ref="M66" r:id="rId225" display="http://consorciofia.info/cdr/ver_fuentes_w.php?NumCDR=206&amp;codEntidad=19999"/>
    <hyperlink ref="M67:M68" r:id="rId226" display="http://consorciofia.info/cdr/ver_fuentes_w.php?NumCDR=006&amp;codEntidad=19999"/>
    <hyperlink ref="M79:M82" r:id="rId227" display="http://consorciofia.info/cdr/ver_fuentes_w.php?NumCDR=031&amp;codEntidad=19999"/>
    <hyperlink ref="M83:M86" r:id="rId228" display="http://consorciofia.info/cdr/ver_fuentes_w.php?NumCDR=032&amp;codEntidad=19999"/>
    <hyperlink ref="M87:M90" r:id="rId229" display="http://consorciofia.info/cdr/ver_fuentes_w.php?NumCDR=048&amp;codEntidad=19999"/>
    <hyperlink ref="M516:M523" r:id="rId230" display="http://consorciofia.info/cdr/ver_fuentes_w.php?NumCDR=117&amp;codEntidad=19999"/>
    <hyperlink ref="M524:M527" r:id="rId231" display="http://consorciofia.info/cdr/ver_fuentes_w.php?NumCDR=001&amp;codEntidad=19050"/>
    <hyperlink ref="M528:M530" r:id="rId232" display="http://consorciofia.info/cdr/ver_fuentes_w.php?NumCDR=005&amp;codEntidad=19050"/>
    <hyperlink ref="M531:M536" r:id="rId233" display="http://consorciofia.info/cdr/ver_fuentes_w.php?NumCDR=227&amp;codEntidad=19999"/>
    <hyperlink ref="M537" r:id="rId234" display="http://consorciofia.info/cdr/ver_fuentes_w.php?NumCDR=236&amp;codEntidad=19999"/>
    <hyperlink ref="M654:M655" r:id="rId235" display="http://consorciofia.info/cdr/ver_fuentes_w.php?NumCDR=001&amp;codEntidad=19110"/>
    <hyperlink ref="M656:M658" r:id="rId236" display="133"/>
    <hyperlink ref="M659:M661" r:id="rId237" display="http://consorciofia.info/cdr/ver_fuentes_w.php?NumCDR=131&amp;codEntidad=19999"/>
    <hyperlink ref="M665:M668" r:id="rId238" display="http://consorciofia.info/cdr/ver_fuentes_w.php?NumCDR=127&amp;codEntidad=19999"/>
    <hyperlink ref="M669:M670" r:id="rId239" display="http://consorciofia.info/cdr/ver_fuentes_w.php?NumCDR=241&amp;codEntidad=19999"/>
    <hyperlink ref="M662:M664" r:id="rId240" display="http://consorciofia.info/cdr/ver_fuentes_w.php?NumCDR=135&amp;codEntidad=19999"/>
    <hyperlink ref="M698:M699" r:id="rId241" display="http://consorciofia.info/cdr/ver_fuentes_w.php?NumCDR=136&amp;codEntidad=19999"/>
    <hyperlink ref="M700:M701" r:id="rId242" display="http://consorciofia.info/cdr/ver_fuentes_w.php?NumCDR=132&amp;codEntidad=19999"/>
    <hyperlink ref="M712:M714" r:id="rId243" display="http://consorciofia.info/cdr/ver_fuentes_w.php?NumCDR=002&amp;codEntidad=19110"/>
    <hyperlink ref="M702:M704" r:id="rId244" display="http://consorciofia.info/cdr/ver_fuentes_w.php?NumCDR=134&amp;codEntidad=19999"/>
    <hyperlink ref="M29:M32" r:id="rId245" display="http://consorciofia.info/cdr/ver_fuentes_w.php?NumCDR=009&amp;codEntidad=19999"/>
    <hyperlink ref="M687:M691" r:id="rId246" display="http://consorciofia.info/cdr/ver_fuentes_w.php?NumCDR=129&amp;codEntidad=19999"/>
    <hyperlink ref="M692:M693" r:id="rId247" display="http://consorciofia.info/cdr/ver_fuentes_w.php?NumCDR=243&amp;codEntidad=19999"/>
    <hyperlink ref="M708:M710" r:id="rId248" display="http://consorciofia.info/cdr/ver_fuentes_w.php?NumCDR=130&amp;codEntidad=19999"/>
    <hyperlink ref="M711" r:id="rId249" display="http://consorciofia.info/cdr/ver_fuentes_w.php?NumCDR=244&amp;codEntidad=19999"/>
    <hyperlink ref="M705:M706" r:id="rId250" display="http://consorciofia.info/cdr/ver_fuentes_w.php?NumCDR=128&amp;codEntidad=19999"/>
    <hyperlink ref="M707" r:id="rId251" display="http://consorciofia.info/cdr/ver_fuentes_w.php?NumCDR=242&amp;codEntidad=19999"/>
    <hyperlink ref="M251:M255" r:id="rId252" display="http://consorciofia.info/cdr/ver_fuentes_w.php?NumCDR=068&amp;codEntidad=19999"/>
    <hyperlink ref="M256:M262" r:id="rId253" display="http://consorciofia.info/cdr/ver_fuentes_w.php?NumCDR=069&amp;codEntidad=19999"/>
    <hyperlink ref="M263:M269" r:id="rId254" display="http://consorciofia.info/cdr/ver_fuentes_w.php?NumCDR=070&amp;codEntidad=19999"/>
    <hyperlink ref="M270:M276" r:id="rId255" display="http://consorciofia.info/cdr/ver_fuentes_w.php?NumCDR=071&amp;codEntidad=19999"/>
    <hyperlink ref="M277:M278" r:id="rId256" display="http://consorciofia.info/cdr/ver_fuentes_w.php?NumCDR=168&amp;codEntidad=19999"/>
    <hyperlink ref="M279:M280" r:id="rId257" display="http://consorciofia.info/cdr/ver_fuentes_w.php?NumCDR=174&amp;codEntidad=19999"/>
    <hyperlink ref="M550" r:id="rId258" display="http://consorciofia.info/cdr/ver_fuentes_w.php?NumCDR=006&amp;codEntidad=19585"/>
    <hyperlink ref="M548:M549" r:id="rId259" display="http://consorciofia.info/cdr/ver_fuentes_w.php?NumCDR=119&amp;codEntidad=19999"/>
    <hyperlink ref="M539:M544" r:id="rId260" display="http://consorciofia.info/cdr/ver_fuentes_w.php?NumCDR=151&amp;codEntidad=19999"/>
    <hyperlink ref="M545" r:id="rId261" display="http://consorciofia.info/cdr/ver_fuentes_w.php?NumCDR=001&amp;codEntidad=19585"/>
    <hyperlink ref="M546:M547" r:id="rId262" display="http://consorciofia.info/cdr/ver_fuentes_w.php?NumCDR=002&amp;codEntidad=19585"/>
    <hyperlink ref="M551" r:id="rId263" display="http://consorciofia.info/cdr/ver_fuentes_w.php?NumCDR=004&amp;codEntidad=19585"/>
    <hyperlink ref="M671" r:id="rId264" display="http://consorciofia.info/cdr/ver_fuentes_w.php?NumCDR=125&amp;codEntidad=19999"/>
    <hyperlink ref="M685" r:id="rId265" display="http://consorciofia.info/cdr/ver_fuentes_w.php?NumCDR=001&amp;codEntidad=19513"/>
    <hyperlink ref="M671:M682" r:id="rId266" display="http://consorciofia.info/cdr/ver_fuentes_w.php?NumCDR=125&amp;codEntidad=19999"/>
    <hyperlink ref="M715:M722" r:id="rId267" display="http://consorciofia.info/cdr/ver_fuentes_w.php?NumCDR=152&amp;codEntidad=19999"/>
    <hyperlink ref="M723:M726" r:id="rId268" display="http://consorciofia.info/cdr/ver_fuentes_w.php?NumCDR=002&amp;codEntidad=19050"/>
    <hyperlink ref="M730:M732" r:id="rId269" display="http://consorciofia.info/cdr/ver_fuentes_w.php?NumCDR=176&amp;codEntidad=19999"/>
    <hyperlink ref="M727:M729" r:id="rId270" display="http://consorciofia.info/cdr/ver_fuentes_w.php?NumCDR=001&amp;codEntidad=19318"/>
    <hyperlink ref="M749:M754" r:id="rId271" display="http://consorciofia.info/cdr/ver_fuentes_w.php?NumCDR=001&amp;codEntidad=19821"/>
    <hyperlink ref="M755:M764" r:id="rId272" display="http://consorciofia.info/cdr/ver_fuentes_w.php?NumCDR=180&amp;codEntidad=19999"/>
    <hyperlink ref="M765:M768" r:id="rId273" display="http://consorciofia.info/cdr/ver_fuentes_w.php?NumCDR=298&amp;codEntidad=19999"/>
    <hyperlink ref="M777" r:id="rId274" display="http://consorciofia.info/cdr/ver_fuentes_w.php?NumCDR=178&amp;codEntidad=19999"/>
    <hyperlink ref="M743" r:id="rId275" display="http://consorciofia.info/cdr/ver_fuentes_w.php?NumCDR=001&amp;codEntidad=19824"/>
    <hyperlink ref="M748" r:id="rId276" display="http://consorciofia.info/cdr/ver_fuentes_w.php?NumCDR=005&amp;codEntidad=19824"/>
    <hyperlink ref="M733:M742" r:id="rId277" display="http://consorciofia.info/cdr/ver_fuentes_w.php?NumCDR=183&amp;codEntidad=19999"/>
    <hyperlink ref="M769:M776" r:id="rId278" display="http://consorciofia.info/cdr/ver_fuentes_w.php?NumCDR=177&amp;codEntidad=19999"/>
    <hyperlink ref="M805" r:id="rId279" display="http://consorciofia.info/cdr/ver_fuentes_w.php?NumCDR=221&amp;codEntidad=19999"/>
    <hyperlink ref="M785:M792" r:id="rId280" display="http://consorciofia.info/cdr/ver_fuentes_w.php?NumCDR=181&amp;codEntidad=19999"/>
    <hyperlink ref="M793:M800" r:id="rId281" display="http://consorciofia.info/cdr/ver_fuentes_w.php?NumCDR=182&amp;codEntidad=19999"/>
    <hyperlink ref="M801:M802" r:id="rId282" display="http://consorciofia.info/cdr/ver_fuentes_w.php?NumCDR=006&amp;codEntidad=19824"/>
    <hyperlink ref="M803:M804" r:id="rId283" display="http://consorciofia.info/cdr/ver_fuentes_w.php?NumCDR=299&amp;codEntidad=19999"/>
    <hyperlink ref="M819" r:id="rId284" display="http://consorciofia.info/cdr/ver_fuentes_w.php?NumCDR=174&amp;codEntidad=19999"/>
    <hyperlink ref="M807" r:id="rId285" display="http://consorciofia.info/cdr/ver_fuentes_w.php?NumCDR=219&amp;codEntidad=19999"/>
    <hyperlink ref="M810:M812" r:id="rId286" display="http://consorciofia.info/cdr/ver_fuentes_w.php?NumCDR=213&amp;codEntidad=19999"/>
    <hyperlink ref="M813" r:id="rId287" display="http://consorciofia.info/cdr/ver_fuentes_w.php?NumCDR=211&amp;codEntidad=19999"/>
    <hyperlink ref="M815" r:id="rId288" display="http://consorciofia.info/cdr/ver_fuentes_w.php?NumCDR=215&amp;codEntidad=19999"/>
    <hyperlink ref="M817" r:id="rId289" display="http://consorciofia.info/cdr/ver_fuentes_w.php?NumCDR=306&amp;codEntidad=19999"/>
    <hyperlink ref="M822" r:id="rId290" display="http://consorciofia.info/cdr/ver_fuentes_w.php?NumCDR=174&amp;codEntidad=19999"/>
    <hyperlink ref="M824" r:id="rId291" display="http://consorciofia.info/cdr/ver_fuentes_w.php?NumCDR=174&amp;codEntidad=19999"/>
    <hyperlink ref="M818" r:id="rId292" display="http://consorciofia.info/cdr/ver_fuentes_w.php?NumCDR=174&amp;codEntidad=19999"/>
    <hyperlink ref="M832" r:id="rId293" display="http://consorciofia.info/cdr/ver_fuentes_w.php?NumCDR=174&amp;codEntidad=19999"/>
    <hyperlink ref="M836" r:id="rId294" display="http://consorciofia.info/cdr/ver_fuentes_w.php?NumCDR=174&amp;codEntidad=19999"/>
    <hyperlink ref="M840" r:id="rId295" display="http://consorciofia.info/cdr/ver_fuentes_w.php?NumCDR=174&amp;codEntidad=19999"/>
    <hyperlink ref="M843" r:id="rId296" display="https://www.youtube.com/watch?v=cdLhtafylgE&amp;index=2&amp;list=RDMMnt1d8X_meEg"/>
    <hyperlink ref="M846" r:id="rId297" display="http://consorciofia.info/cdr/ver_fuentes_w.php?NumCDR=174&amp;codEntidad=19999"/>
    <hyperlink ref="M849" r:id="rId298" display="http://consorciofia.info/cdr/ver_fuentes_w.php?NumCDR=174&amp;codEntidad=19999"/>
    <hyperlink ref="M861:M865" r:id="rId299" display="http://consorciofia.info/cdr/ver_fuentes_w.php?NumCDR=001&amp;codEntidad=19392"/>
    <hyperlink ref="M866:M870" r:id="rId300" display="http://consorciofia.info/cdr/ver_fuentes_w.php?NumCDR=235&amp;codEntidad=19999"/>
    <hyperlink ref="M871:M873" r:id="rId301" display="http://consorciofia.info/cdr/ver_fuentes_w.php?NumCDR=212&amp;codEntidad=19999"/>
    <hyperlink ref="M874:M876" r:id="rId302" display="http://consorciofia.info/cdr/ver_fuentes_w.php?NumCDR=214&amp;codEntidad=19999"/>
    <hyperlink ref="M877:M879" r:id="rId303" display="http://consorciofia.info/cdr/ver_fuentes_w.php?NumCDR=220&amp;codEntidad=19999"/>
    <hyperlink ref="M859:M860" r:id="rId304" display="http://consorciofia.info/cdr/ver_fuentes_w.php?NumCDR=12&amp;codEntidad=19532"/>
    <hyperlink ref="M850:M852" r:id="rId305" display="http://consorciofia.info/cdr/ver_fuentes_w.php?NumCDR=001&amp;codEntidad=19532"/>
    <hyperlink ref="M853:M858" r:id="rId306" display="http://consorciofia.info/cdr/ver_fuentes_w.php?NumCDR=185&amp;codEntidad=19999"/>
    <hyperlink ref="M884" r:id="rId307" display="http://consorciofia.info/cdr/ver_fuentes_w.php?NumCDR=307&amp;codEntidad=19999"/>
    <hyperlink ref="M880:M881" r:id="rId308" display="http://consorciofia.info/cdr/ver_fuentes_w.php?NumCDR=216&amp;codEntidad=19999"/>
    <hyperlink ref="M882:M883" r:id="rId309" display="http://consorciofia.info/cdr/ver_fuentes_w.php?NumCDR=222&amp;codEntidad=19999"/>
    <hyperlink ref="M885" r:id="rId310" display="http://consorciofia.info/cdr/ver_fuentes_w.php?NumCDR=002&amp;codEntidad=19001"/>
    <hyperlink ref="M888:M896" r:id="rId311" display="http://consorciofia.info/cdr/ver_fuentes_w.php?NumCDR=230&amp;codEntidad=19999"/>
    <hyperlink ref="M897:M904" r:id="rId312" display="http://consorciofia.info/cdr/ver_fuentes_w.php?NumCDR=004&amp;codEntidad=19473"/>
    <hyperlink ref="M905:M906" r:id="rId313" display="http://consorciofia.info/cdr/ver_fuentes_w.php?NumCDR=228&amp;codEntidad=19999"/>
    <hyperlink ref="M907:M908" r:id="rId314" display="http://consorciofia.info/cdr/ver_fuentes_w.php?NumCDR=003&amp;codEntidad=19473"/>
    <hyperlink ref="M909:M914" r:id="rId315" display="http://consorciofia.info/cdr/ver_fuentes_w.php?NumCDR=229&amp;codEntidad=19999"/>
    <hyperlink ref="M915" r:id="rId316" display="http://consorciofia.info/cdr/ver_fuentes_w.php?NumCDR=174&amp;codEntidad=19999"/>
    <hyperlink ref="M942" r:id="rId317" display="http://consorciofia.info/cdr/ver_fuentes_w.php?NumCDR=186&amp;codEntidad=19999"/>
    <hyperlink ref="M946" r:id="rId318" display="http://consorciofia.info/cdr/ver_fuentes_w.php?NumCDR=13&amp;codEntidad=19532"/>
    <hyperlink ref="M948:M952" r:id="rId319" display="http://consorciofia.info/cdr/ver_fuentes_w.php?NumCDR=002&amp;codEntidad=19392"/>
    <hyperlink ref="M953:M959" r:id="rId320" display="http://consorciofia.info/cdr/ver_fuentes_w.php?NumCDR=261&amp;codEntidad=19999"/>
    <hyperlink ref="M960:M966" r:id="rId321" display="http://consorciofia.info/cdr/ver_fuentes_w.php?NumCDR=004&amp;codEntidad=19780"/>
    <hyperlink ref="M967:M968" r:id="rId322" display="http://consorciofia.info/cdr/ver_fuentes_w.php?NumCDR=5&amp;codEntidad=19780"/>
    <hyperlink ref="M969" r:id="rId323" display="http://consorciofia.info/cdr/ver_fuentes_w.php?NumCDR=253&amp;codEntidad=19999"/>
    <hyperlink ref="M973:M974" r:id="rId324" display="http://consorciofia.info/cdr/ver_fuentes_w.php?NumCDR=003&amp;codEntidad=19100"/>
    <hyperlink ref="M981:M982" r:id="rId325" display="http://consorciofia.info/cdr/ver_fuentes_w.php?NumCDR=251&amp;codEntidad=19999"/>
    <hyperlink ref="M989:M990" r:id="rId326" display="http://consorciofia.info/cdr/ver_fuentes_w.php?NumCDR=259&amp;codEntidad=19999"/>
    <hyperlink ref="M991" r:id="rId327" display="http://consorciofia.info/cdr/ver_fuentes_w.php?NumCDR=10&amp;codEntidad=19450"/>
    <hyperlink ref="M992:M1001" r:id="rId328" display="http://consorciofia.info/cdr/ver_fuentes_w.php?NumCDR=240&amp;codEntidad=19999"/>
    <hyperlink ref="M1002:M1011" r:id="rId329" display="http://consorciofia.info/cdr/ver_fuentes_w.php?NumCDR=239&amp;codEntidad=19999"/>
    <hyperlink ref="M1012:M1016" r:id="rId330" display="http://consorciofia.info/cdr/ver_fuentes_w.php?NumCDR=004&amp;codEntidad=19532"/>
    <hyperlink ref="M1017:M1019" r:id="rId331" display="http://consorciofia.info/cdr/ver_fuentes_w.php?NumCDR=310&amp;codEntidad=19999"/>
    <hyperlink ref="M983" r:id="rId332" display="http://consorciofia.info/cdr/ver_fuentes_w.php?NumCDR=263&amp;codEntidad=19999"/>
    <hyperlink ref="M987:M988" r:id="rId333" display="http://consorciofia.info/cdr/ver_fuentes_w.php?NumCDR=14&amp;codEntidad=19050"/>
    <hyperlink ref="M1020:M1021" r:id="rId334" display="http://consorciofia.info/cdr/ver_fuentes_w.php?NumCDR=257&amp;codEntidad=19999"/>
    <hyperlink ref="M1022:M1024" r:id="rId335" display="http://consorciofia.info/cdr/ver_fuentes_w.php?NumCDR=255&amp;codEntidad=19999"/>
    <hyperlink ref="M1050:M1051" r:id="rId336" display="http://consorciofia.info/cdr/ver_fuentes_w.php?NumCDR=275&amp;codEntidad=19999"/>
    <hyperlink ref="M1052:M1053" r:id="rId337" display="http://consorciofia.info/cdr/ver_fuentes_w.php?NumCDR=249&amp;codEntidad=19999"/>
    <hyperlink ref="M1054" r:id="rId338" display="http://consorciofia.info/cdr/ver_fuentes_w.php?NumCDR=7&amp;codEntidad=19392"/>
    <hyperlink ref="M1025:M1027" r:id="rId339" display="http://consorciofia.info/cdr/ver_fuentes_w.php?NumCDR=254&amp;codEntidad=19999"/>
    <hyperlink ref="M1028:M1032" r:id="rId340" display="http://consorciofia.info/cdr/ver_fuentes_w.php?NumCDR=232&amp;codEntidad=19999"/>
    <hyperlink ref="M1033:M1036" r:id="rId341" display="http://consorciofia.info/cdr/ver_fuentes_w.php?NumCDR=260&amp;codEntidad=19999"/>
    <hyperlink ref="M1037:M1041" r:id="rId342" display="http://consorciofia.info/cdr/ver_fuentes_w.php?NumCDR=005&amp;codEntidad=19532"/>
    <hyperlink ref="M1042:M1045" r:id="rId343" display="http://consorciofia.info/cdr/ver_fuentes_w.php?NumCDR=258&amp;codEntidad=19999"/>
    <hyperlink ref="M1046" r:id="rId344" display="http://consorciofia.info/cdr/ver_fuentes_w.php?NumCDR=004&amp;codEntidad=19100"/>
    <hyperlink ref="M1047:M1048" r:id="rId345" display="http://consorciofia.info/cdr/ver_fuentes_w.php?NumCDR=311&amp;codEntidad=19999"/>
    <hyperlink ref="M1105:M1107" r:id="rId346" display="http://consorciofia.info/cdr/ver_fuentes_w.php?NumCDR=290&amp;codEntidad=19999"/>
    <hyperlink ref="M1108:M1110" r:id="rId347" display="http://consorciofia.info/cdr/ver_fuentes_w.php?NumCDR=004&amp;codEntidad=19513"/>
    <hyperlink ref="M1111" r:id="rId348" display="http://consorciofia.info/cdr/ver_fuentes_w.php?NumCDR=8&amp;codEntidad=19513"/>
    <hyperlink ref="M1087:M1096" r:id="rId349" display="http://consorciofia.info/cdr/ver_fuentes_w.php?NumCDR=271&amp;codEntidad=19999"/>
    <hyperlink ref="M1097:M1101" r:id="rId350" display="http://consorciofia.info/cdr/ver_fuentes_w.php?NumCDR=007&amp;codEntidad=19050"/>
    <hyperlink ref="M1102:M1104" r:id="rId351" display="http://consorciofia.info/cdr/ver_fuentes_w.php?NumCDR=20&amp;codEntidad=19050"/>
    <hyperlink ref="M1076" r:id="rId352" display="http://consorciofia.info/cdr/ver_fuentes_w.php?NumCDR=252&amp;codEntidad=19999"/>
    <hyperlink ref="M1072" r:id="rId353" display="http://consorciofia.info/cdr/ver_fuentes_w.php?NumCDR=262&amp;codEntidad=19999"/>
    <hyperlink ref="M1070" r:id="rId354" display="http://consorciofia.info/cdr/ver_fuentes_w.php?NumCDR=250&amp;codEntidad=19999"/>
    <hyperlink ref="M1067" r:id="rId355" display="http://consorciofia.info/cdr/ver_fuentes_w.php?NumCDR=256&amp;codEntidad=19999"/>
    <hyperlink ref="M1065" r:id="rId356" display="http://consorciofia.info/cdr/ver_fuentes_w.php?NumCDR=278&amp;codEntidad=19999"/>
    <hyperlink ref="M1062" r:id="rId357" display="http://consorciofia.info/cdr/ver_fuentes_w.php?NumCDR=276&amp;codEntidad=19999"/>
    <hyperlink ref="M1083" r:id="rId358" display="http://consorciofia.info/cdr/ver_fuentes_w.php?NumCDR=6&amp;codEntidad=19780"/>
    <hyperlink ref="M1085" r:id="rId359" display="http://consorciofia.info/cdr/ver_fuentes_w.php?NumCDR=9&amp;codEntidad=19513"/>
    <hyperlink ref="M1086" r:id="rId360" display="http://consorciofia.info/cdr/ver_fuentes_w.php?NumCDR=8&amp;codEntidad=19392"/>
    <hyperlink ref="M1112:M1119" r:id="rId361" display="http://consorciofia.info/cdr/ver_fuentes_w.php?NumCDR=264&amp;codEntidad=19999"/>
    <hyperlink ref="M1120:M1127" r:id="rId362" display="http://consorciofia.info/cdr/ver_fuentes_w.php?NumCDR=272&amp;codEntidad=19999"/>
    <hyperlink ref="M1128:M1130" r:id="rId363" display="http://consorciofia.info/cdr/ver_fuentes_w.php?NumCDR=15&amp;codEntidad=19050"/>
    <hyperlink ref="M1131:M1132" r:id="rId364" display="http://consorciofia.info/cdr/ver_fuentes_w.php?NumCDR=21&amp;codEntidad=19050"/>
    <hyperlink ref="M1133:M1134" r:id="rId365" display="http://consorciofia.info/cdr/ver_fuentes_w.php?NumCDR=277&amp;codEntidad=19999"/>
    <hyperlink ref="M1159:M1166" r:id="rId366" display="http://consorciofia.info/cdr/ver_fuentes_w.php?NumCDR=283&amp;codEntidad=19999"/>
    <hyperlink ref="M1167:M1170" r:id="rId367" display="http://consorciofia.info/cdr/ver_fuentes_w.php?NumCDR=002&amp;codEntidad=19450"/>
    <hyperlink ref="M1171:M1173" r:id="rId368" display="http://consorciofia.info/cdr/ver_fuentes_w.php?NumCDR=317&amp;codEntidad=19999"/>
    <hyperlink ref="M1135" r:id="rId369" display="http://consorciofia.info/cdr/ver_fuentes_w.php?NumCDR=288&amp;codEntidad=19999"/>
    <hyperlink ref="M1147" r:id="rId370" display="http://consorciofia.info/cdr/ver_fuentes_w.php?NumCDR=003&amp;codEntidad=19743"/>
    <hyperlink ref="M1153:M1155" r:id="rId371" display="http://consorciofia.info/cdr/ver_fuentes_w.php?NumCDR=341&amp;codEntidad=19999"/>
    <hyperlink ref="M1156:M1158" r:id="rId372" display="http://consorciofia.info/cdr/ver_fuentes_w.php?NumCDR=12&amp;codEntidad=19743"/>
    <hyperlink ref="M1174:M1175" r:id="rId373" display="http://consorciofia.info/cdr/ver_fuentes_w.php?NumCDR=296&amp;codEntidad=19999"/>
    <hyperlink ref="M1193:M1198" r:id="rId374" display="http://consorciofia.info/cdr/ver_fuentes_w.php?NumCDR=284&amp;codEntidad=19999"/>
    <hyperlink ref="M1199:M1204" r:id="rId375" display="http://consorciofia.info/cdr/ver_fuentes_w.php?NumCDR=285&amp;codEntidad=19999"/>
    <hyperlink ref="M1205:M1207" r:id="rId376" display="http://consorciofia.info/cdr/ver_fuentes_w.php?NumCDR=318&amp;codEntidad=19999"/>
    <hyperlink ref="M1208" r:id="rId377" display="http://consorciofia.info/cdr/ver_fuentes_w.php?NumCDR=269&amp;codEntidad=19999"/>
    <hyperlink ref="M1214:M1218" r:id="rId378" display="http://consorciofia.info/cdr/ver_fuentes_w.php?NumCDR=005&amp;codEntidad=19807"/>
    <hyperlink ref="M1219" r:id="rId379" display="http://consorciofia.info/cdr/ver_fuentes_w.php?NumCDR=14&amp;codEntidad=19807"/>
    <hyperlink ref="M1209" r:id="rId380" display="http://consorciofia.info/cdr/ver_fuentes_w.php?NumCDR=297&amp;codEntidad=19999"/>
    <hyperlink ref="M1210" r:id="rId381" display="http://consorciofia.info/cdr/ver_fuentes_w.php?NumCDR=292&amp;codEntidad=19999"/>
    <hyperlink ref="M1212" r:id="rId382" display="http://consorciofia.info/cdr/ver_fuentes_w.php?NumCDR=2647&amp;codEntidad=19693"/>
    <hyperlink ref="M1176:M1180" r:id="rId383" display="http://consorciofia.info/cdr/ver_fuentes_w.php?NumCDR=004&amp;codEntidad=19743"/>
    <hyperlink ref="M1181:M1184" r:id="rId384" display="http://consorciofia.info/cdr/ver_fuentes_w.php?NumCDR=289&amp;codEntidad=19999"/>
    <hyperlink ref="M1185:M1186" r:id="rId385" display="http://consorciofia.info/cdr/ver_fuentes_w.php?NumCDR=342&amp;codEntidad=19999"/>
    <hyperlink ref="M1220:M1226" r:id="rId386" display="http://consorciofia.info/cdr/ver_fuentes_w.php?NumCDR=294&amp;codEntidad=19999"/>
    <hyperlink ref="M1227" r:id="rId387" display="http://consorciofia.info/cdr/ver_fuentes_w.php?NumCDR=301&amp;codEntidad=19999"/>
    <hyperlink ref="M1228" r:id="rId388" display="http://consorciofia.info/cdr/ver_fuentes_w.php?NumCDR=267&amp;codEntidad=19999"/>
    <hyperlink ref="M1250:M1263" r:id="rId389" display="http://consorciofia.info/cdr/ver_fuentes_w.php?NumCDR=293&amp;codEntidad=19999"/>
    <hyperlink ref="M1264:M1270" r:id="rId390" display="http://consorciofia.info/cdr/ver_fuentes_w.php?NumCDR=002&amp;codEntidad=19075"/>
    <hyperlink ref="M1271" r:id="rId391" display="http://consorciofia.info/cdr/ver_fuentes_w.php?NumCDR=300&amp;codEntidad=19999"/>
    <hyperlink ref="M1274" r:id="rId392" display="http://consorciofia.info/cdr/ver_fuentes_w.php?NumCDR=002&amp;codEntidad=19100"/>
    <hyperlink ref="M1281" r:id="rId393" display="http://consorciofia.info/cdr/ver_fuentes_w.php?NumCDR=268&amp;codEntidad=19999"/>
    <hyperlink ref="M1282:M1289" r:id="rId394" display="http://consorciofia.info/cdr/ver_fuentes_w.php?NumCDR=304&amp;codEntidad=19999"/>
    <hyperlink ref="M1290:M1293" r:id="rId395" display="http://consorciofia.info/cdr/ver_fuentes_w.php?NumCDR=008&amp;codEntidad=19585"/>
    <hyperlink ref="M1306" r:id="rId396" display="http://consorciofia.info/cdr/ver_fuentes_w.php?NumCDR=004&amp;codEntidad=19418"/>
    <hyperlink ref="M1310" r:id="rId397" display="http://consorciofia.info/cdr/ver_fuentes_w.php?NumCDR=174&amp;codEntidad=19999"/>
    <hyperlink ref="M1311" r:id="rId398" display="http://consorciofia.info/cdr/ver_fuentes_w.php?NumCDR=005&amp;codEntidad=19318"/>
    <hyperlink ref="M1315:M1316" r:id="rId399" display="http://consorciofia.info/cdr/ver_fuentes_w.php?NumCDR=2295&amp;codEntidad=19318"/>
    <hyperlink ref="M1323:M1324" r:id="rId400" display="http://consorciofia.info/cdr/ver_fuentes_w.php?NumCDR=005&amp;codEntidad=19418"/>
    <hyperlink ref="M1325" r:id="rId401" display="http://consorciofia.info/cdr/ver_fuentes_w.php?NumCDR=174&amp;codEntidad=19999"/>
    <hyperlink ref="M1333:M1336" r:id="rId402" display="http://consorciofia.info/cdr/ver_fuentes_w.php?NumCDR=009&amp;codEntidad=19698"/>
    <hyperlink ref="M1460" r:id="rId403" display="http://consorciofia.info/cdr/ver_fuentes_w.php?NumCDR=9&amp;codEntidad=19100"/>
    <hyperlink ref="M1302:M1304" r:id="rId404" display="http://consorciofia.info/cdr/ver_fuentes_w.php?NumCDR=007&amp;codEntidad=19807"/>
    <hyperlink ref="M1296:M1301" r:id="rId405" display="http://consorciofia.info/cdr/ver_fuentes_w.php?NumCDR=308&amp;codEntidad=19999"/>
    <hyperlink ref="M1305" r:id="rId406" display="http://consorciofia.info/cdr/ver_fuentes_w.php?NumCDR=3562&amp;codEntidad=19807"/>
    <hyperlink ref="M1317" r:id="rId407" display="http://consorciofia.info/cdr/ver_fuentes_w.php?NumCDR=309&amp;codEntidad=19999"/>
    <hyperlink ref="M1361" r:id="rId408" display="http://consorciofia.info/cdr/ver_fuentes_w.php?NumCDR=7&amp;codEntidad=19355"/>
    <hyperlink ref="M1359" r:id="rId409" display="http://consorciofia.info/cdr/ver_fuentes_w.php?NumCDR=17&amp;codEntidad=19050"/>
    <hyperlink ref="M1363" r:id="rId410" display="http://consorciofia.info/cdr/ver_fuentes_w.php?NumCDR=6&amp;codEntidad=19760"/>
    <hyperlink ref="M1365" r:id="rId411" display="http://consorciofia.info/cdr/ver_fuentes_w.php?NumCDR=16&amp;codEntidad=19585"/>
    <hyperlink ref="M1367" r:id="rId412" display="http://consorciofia.info/cdr/ver_fuentes_w.php?NumCDR=13&amp;codEntidad=19450"/>
    <hyperlink ref="M1379" r:id="rId413" display="http://consorciofia.info/cdr/ver_fuentes_w.php?NumCDR=15&amp;codEntidad=19450"/>
    <hyperlink ref="M1369" r:id="rId414" display="http://consorciofia.info/cdr/ver_fuentes_w.php?NumCDR=8&amp;codEntidad=19397"/>
    <hyperlink ref="M1371" r:id="rId415" display="http://consorciofia.info/cdr/ver_fuentes_w.php?NumCDR=5&amp;codEntidad=19142"/>
    <hyperlink ref="M1373" r:id="rId416" display="http://consorciofia.info/cdr/ver_fuentes_w.php?NumCDR=5&amp;codEntidad=19573"/>
    <hyperlink ref="M1375" r:id="rId417" display="http://consorciofia.info/cdr/ver_fuentes_w.php?NumCDR=6&amp;codEntidad=19364"/>
    <hyperlink ref="M1377" r:id="rId418" display="http://consorciofia.info/cdr/ver_fuentes_w.php?NumCDR=15&amp;codEntidad=19532"/>
    <hyperlink ref="M294:M297" r:id="rId419" display="http://consorciofia.info/cdr/ver_fuentes_w.php?NumCDR=076&amp;codEntidad=19999"/>
    <hyperlink ref="M298:M301" r:id="rId420" display="http://consorciofia.info/cdr/ver_fuentes_w.php?NumCDR=077&amp;codEntidad=19999"/>
    <hyperlink ref="M302:M305" r:id="rId421" display="http://consorciofia.info/cdr/ver_fuentes_w.php?NumCDR=078&amp;codEntidad=19999"/>
    <hyperlink ref="M306:M309" r:id="rId422" display="http://consorciofia.info/cdr/ver_fuentes_w.php?NumCDR=079&amp;codEntidad=19999"/>
    <hyperlink ref="M310:M313" r:id="rId423" display="http://consorciofia.info/cdr/ver_fuentes_w.php?NumCDR=080&amp;codEntidad=19999"/>
    <hyperlink ref="M314:M317" r:id="rId424" display="http://consorciofia.info/cdr/ver_fuentes_w.php?NumCDR=083&amp;codEntidad=19999"/>
    <hyperlink ref="M319:M320" r:id="rId425" display="http://consorciofia.info/cdr/ver_fuentes_w.php?NumCDR=199&amp;codEntidad=19999"/>
    <hyperlink ref="M321:M322" r:id="rId426" display="http://consorciofia.info/cdr/ver_fuentes_w.php?NumCDR=198&amp;codEntidad=19999"/>
    <hyperlink ref="M587:M588" r:id="rId427" display="http://consorciofia.info/cdr/ver_fuentes_w.php?NumCDR=143&amp;codEntidad=19999"/>
    <hyperlink ref="M594:M596" r:id="rId428" display="http://consorciofia.info/cdr/ver_fuentes_w.php?NumCDR=166&amp;codEntidad=19999"/>
    <hyperlink ref="M597" r:id="rId429" display="http://consorciofia.info/cdr/ver_fuentes_w.php?NumCDR=174&amp;codEntidad=19999"/>
    <hyperlink ref="M694:M697" r:id="rId430" display="http://consorciofia.info/cdr/ver_fuentes_w.php?NumCDR=126&amp;codEntidad=19999"/>
    <hyperlink ref="M975:M980" r:id="rId431" display="http://consorciofia.info/cdr/ver_fuentes_w.php?NumCDR=231&amp;codEntidad=19999"/>
    <hyperlink ref="M1055:M1061" r:id="rId432" display="http://consorciofia.info/cdr/ver_fuentes_w.php?NumCDR=273&amp;codEntidad=19999"/>
    <hyperlink ref="M1187:M1188" r:id="rId433" display="http://consorciofia.info/cdr/ver_fuentes_w.php?NumCDR=291&amp;codEntidad=19999"/>
    <hyperlink ref="M1189:M1190" r:id="rId434" display="http://consorciofia.info/cdr/ver_fuentes_w.php?NumCDR=003&amp;codEntidad=19693"/>
    <hyperlink ref="M1191:M1192" r:id="rId435" display="http://consorciofia.info/cdr/ver_fuentes_w.php?NumCDR=2646&amp;codEntidad=19693"/>
    <hyperlink ref="M1232:M1240" r:id="rId436" display="http://consorciofia.info/cdr/ver_fuentes_w.php?NumCDR=273&amp;codEntidad=19999"/>
    <hyperlink ref="M1242:M1244" r:id="rId437" display="http://consorciofia.info/cdr/ver_fuentes_w.php?NumCDR=6&amp;codEntidad=19001"/>
    <hyperlink ref="M1247" r:id="rId438" display="http://consorciofia.info/cdr/ver_fuentes_w.php?NumCDR=6&amp;codEntidad=19001"/>
    <hyperlink ref="M1248:M1249" r:id="rId439" display="http://consorciofia.info/cdr/ver_fuentes_w.php?NumCDR=7&amp;codEntidad=19001%7d"/>
    <hyperlink ref="M1277:M1280" r:id="rId440" display="http://consorciofia.info/cdr/ver_fuentes_w.php?NumCDR=009&amp;codEntidad=19585"/>
    <hyperlink ref="M1318" r:id="rId441" display="http://consorciofia.info/cdr/ver_fuentes_w.php?NumCDR=313&amp;codEntidad=19999"/>
    <hyperlink ref="M1326:M1328" r:id="rId442" display="http://consorciofia.info/cdr/ver_fuentes_w.php?NumCDR=6&amp;codEntidad=19473"/>
    <hyperlink ref="M1329:M1330" r:id="rId443" display="http://consorciofia.info/cdr/ver_fuentes_w.php?NumCDR=8&amp;codEntidad=19548"/>
    <hyperlink ref="M1331:M1332" r:id="rId444" display="http://consorciofia.info/cdr/ver_fuentes_w.php?NumCDR=13&amp;codEntidad=19780"/>
    <hyperlink ref="M1337:M1338" r:id="rId445" display="http://consorciofia.info/cdr/ver_fuentes_w.php?NumCDR=16&amp;codEntidad=19050"/>
    <hyperlink ref="M1339:M1340" r:id="rId446" display="http://consorciofia.info/cdr/ver_fuentes_w.php?NumCDR=5&amp;codEntidad=19364"/>
    <hyperlink ref="M1341:M1342" r:id="rId447" display="http://consorciofia.info/cdr/ver_fuentes_w.php?NumCDR=14&amp;codEntidad=19450"/>
    <hyperlink ref="M1343:M1344" r:id="rId448" display="http://consorciofia.info/cdr/ver_fuentes_w.php?NumCDR=12&amp;codEntidad=19450"/>
    <hyperlink ref="M1345:M1346" r:id="rId449" display="http://consorciofia.info/cdr/ver_fuentes_w.php?NumCDR=15&amp;codEntidad=19585"/>
    <hyperlink ref="M1347:M1348" r:id="rId450" display="http://consorciofia.info/cdr/ver_fuentes_w.php?NumCDR=5&amp;codEntidad=19760"/>
    <hyperlink ref="M1349:M1350" r:id="rId451" display="http://consorciofia.info/cdr/ver_fuentes_w.php?NumCDR=6&amp;codEntidad=19355"/>
    <hyperlink ref="M1351:M1352" r:id="rId452" display="http://consorciofia.info/cdr/ver_fuentes_w.php?NumCDR=4&amp;codEntidad=19142"/>
    <hyperlink ref="M1353:M1354" r:id="rId453" display="http://consorciofia.info/cdr/ver_fuentes_w.php?NumCDR=14&amp;codEntidad=19532"/>
    <hyperlink ref="M1355:M1356" r:id="rId454" display="http://consorciofia.info/cdr/ver_fuentes_w.php?NumCDR=4&amp;codEntidad=19573"/>
    <hyperlink ref="M1357:M1358" r:id="rId455" display="http://consorciofia.info/cdr/ver_fuentes_w.php?NumCDR=7&amp;codEntidad=19397"/>
    <hyperlink ref="M1382:M1385" r:id="rId456" display="http://consorciofia.info/cdr/ver_fuentes_w.php?NumCDR=9&amp;codEntidad=19780"/>
    <hyperlink ref="M1386:M1389" r:id="rId457" display="http://consorciofia.info/cdr/ver_fuentes_w.php?NumCDR=8&amp;codEntidad=19418"/>
    <hyperlink ref="M1390:M1393" r:id="rId458" display="http://consorciofia.info/cdr/ver_fuentes_w.php?NumCDR=10&amp;codEntidad=19110"/>
    <hyperlink ref="M1394:M1397" r:id="rId459" display="http://consorciofia.info/cdr/ver_fuentes_w.php?NumCDR=7&amp;codEntidad=19130"/>
    <hyperlink ref="M1398:M1401" r:id="rId460" display="http://consorciofia.info/cdr/ver_fuentes_w.php?NumCDR=2&amp;codEntidad=19548"/>
    <hyperlink ref="M1402:M1405" r:id="rId461" display="http://consorciofia.info/cdr/ver_fuentes_w.php?NumCDR=10&amp;codEntidad=19355"/>
    <hyperlink ref="M1406:M1409" r:id="rId462" display="http://consorciofia.info/cdr/ver_fuentes_w.php?NumCDR=6&amp;codEntidad=19533"/>
    <hyperlink ref="M1410:M1413" r:id="rId463" display="http://consorciofia.info/cdr/ver_fuentes_w.php?NumCDR=9&amp;codEntidad=19130"/>
    <hyperlink ref="M1414:M1417" r:id="rId464" display="http://consorciofia.info/cdr/ver_fuentes_w.php?NumCDR=9&amp;codEntidad=19318"/>
    <hyperlink ref="M1418:M1421" r:id="rId465" display="http://consorciofia.info/cdr/ver_fuentes_w.php?NumCDR=6&amp;codEntidad=19821"/>
    <hyperlink ref="M1422" r:id="rId466" display="http://consorciofia.info/cdr/ver_fuentes_w.php?NumCDR=325&amp;codEntidad=19999"/>
    <hyperlink ref="M1424:M1425" r:id="rId467" display="http://consorciofia.info/cdr/ver_fuentes_w.php?NumCDR=8&amp;codEntidad=19364"/>
    <hyperlink ref="M1428" r:id="rId468" display="http://consorciofia.info/cdr/ver_fuentes_w.php?NumCDR=2296&amp;codEntidad=19318"/>
    <hyperlink ref="M1426:M1427" r:id="rId469" display="http://consorciofia.info/cdr/ver_fuentes_w.php?NumCDR=13&amp;codEntidad=19318"/>
    <hyperlink ref="M1438:M1439" r:id="rId470" display="http://consorciofia.info/cdr/ver_fuentes_w.php?NumCDR=12&amp;codEntidad=19318"/>
    <hyperlink ref="M1440" r:id="rId471" display="http://consorciofia.info/cdr/ver_fuentes_w.php?NumCDR=15&amp;codEntidad=19318"/>
    <hyperlink ref="M1429:M1431" r:id="rId472" display="http://consorciofia.info/cdr/ver_fuentes_w.php?NumCDR=5&amp;codEntidad=19821"/>
    <hyperlink ref="M1432" r:id="rId473" display="http://consorciofia.info/cdr/ver_fuentes_w.php?NumCDR=316&amp;codEntidad=19999"/>
    <hyperlink ref="M1441:M1450" r:id="rId474" display="http://consorciofia.info/cdr/ver_fuentes_w.php?NumCDR=322&amp;codEntidad=19999"/>
    <hyperlink ref="M1451:M1455" r:id="rId475" display="http://consorciofia.info/cdr/ver_fuentes_w.php?NumCDR=6&amp;codEntidad=19100"/>
    <hyperlink ref="M1463:M1464" r:id="rId476" display="http://consorciofia.info/cdr/ver_fuentes_w.php?NumCDR=11&amp;codEntidad=19698"/>
    <hyperlink ref="M1456:M1458" r:id="rId477" display="http://consorciofia.info/cdr/ver_fuentes_w.php?NumCDR=11&amp;codEntidad=19318"/>
    <hyperlink ref="M1459" r:id="rId478" display="http://consorciofia.info/cdr/ver_fuentes_w.php?NumCDR=14&amp;codEntidad=19318"/>
    <hyperlink ref="M1465:M1468" r:id="rId479" display="http://consorciofia.info/cdr/ver_fuentes_w.php?NumCDR=10&amp;codEntidad=19780"/>
    <hyperlink ref="M1469:M1472" r:id="rId480" display="http://consorciofia.info/cdr/ver_fuentes_w.php?NumCDR=9&amp;codEntidad=19418"/>
    <hyperlink ref="M1473:M1476" r:id="rId481" display="http://consorciofia.info/cdr/ver_fuentes_w.php?NumCDR=11&amp;codEntidad=19110"/>
    <hyperlink ref="M1477:M1480" r:id="rId482" display="http://consorciofia.info/cdr/ver_fuentes_w.php?NumCDR=8&amp;codEntidad=19130"/>
    <hyperlink ref="M1481:M1484" r:id="rId483" display="http://consorciofia.info/cdr/ver_fuentes_w.php?NumCDR=3&amp;codEntidad=19548"/>
    <hyperlink ref="M1485:M1488" r:id="rId484" display="http://consorciofia.info/cdr/ver_fuentes_w.php?NumCDR=11&amp;codEntidad=19355"/>
    <hyperlink ref="M1489:M1492" r:id="rId485" display="http://consorciofia.info/cdr/ver_fuentes_w.php?NumCDR=7&amp;codEntidad=19533"/>
    <hyperlink ref="M1493:M1496" r:id="rId486" display="http://consorciofia.info/cdr/ver_fuentes_w.php?NumCDR=10&amp;codEntidad=19130"/>
    <hyperlink ref="M1497:M1500" r:id="rId487" display="http://consorciofia.info/cdr/ver_fuentes_w.php?NumCDR=10&amp;codEntidad=19318"/>
    <hyperlink ref="M1501" r:id="rId488" display="http://consorciofia.info/cdr/ver_fuentes_w.php?NumCDR=4&amp;codEntidad=19701"/>
    <hyperlink ref="M1507:M1513" r:id="rId489" display="http://consorciofia.info/cdr/ver_fuentes_w.php?NumCDR=324&amp;codEntidad=19999"/>
    <hyperlink ref="M1503" r:id="rId490" display="http://consorciofia.info/cdr/ver_fuentes_w.php?NumCDR=7&amp;codEntidad=19364"/>
    <hyperlink ref="M1575" r:id="rId491" display="http://consorciofia.info/cdr/ver_fuentes_w.php?NumCDR=5&amp;codEntidad=19701"/>
    <hyperlink ref="M1515:M1520" r:id="rId492" display="http://consorciofia.info/cdr/ver_fuentes_w.php?NumCDR=333&amp;codEntidad=19999"/>
    <hyperlink ref="M1521:M1522" r:id="rId493" display="http://consorciofia.info/cdr/ver_fuentes_w.php?NumCDR=9&amp;codEntidad=19392"/>
    <hyperlink ref="M1524:M1526" r:id="rId494" display="http://consorciofia.info/cdr/ver_fuentes_w.php?NumCDR=6&amp;codEntidad=19701"/>
    <hyperlink ref="M1527:M1528" r:id="rId495" display="http://consorciofia.info/cdr/ver_fuentes_w.php?NumCDR=5&amp;codEntidad=19130"/>
    <hyperlink ref="M1529:M1531" r:id="rId496" display="http://consorciofia.info/cdr/ver_fuentes_w.php?NumCDR=6&amp;codEntidad=19418"/>
    <hyperlink ref="M1532:M1534" r:id="rId497" display="http://consorciofia.info/cdr/ver_fuentes_w.php?NumCDR=7&amp;codEntidad=19780"/>
    <hyperlink ref="M1535:M1537" r:id="rId498" display="http://consorciofia.info/cdr/ver_fuentes_w.php?NumCDR=8&amp;codEntidad=19807"/>
    <hyperlink ref="M1538:M1540" r:id="rId499" display="http://consorciofia.info/cdr/ver_fuentes_w.php?NumCDR=8&amp;codEntidad=19110"/>
    <hyperlink ref="M1541:M1542" r:id="rId500" display="http://consorciofia.info/cdr/ver_fuentes_w.php?NumCDR=3&amp;codEntidad=19622"/>
    <hyperlink ref="M1543:M1544" r:id="rId501" display="http://consorciofia.info/cdr/ver_fuentes_w.php?NumCDR=8&amp;codEntidad=19743"/>
    <hyperlink ref="M1545:M1547" r:id="rId502" display="http://consorciofia.info/cdr/ver_fuentes_w.php?NumCDR=16&amp;codEntidad=19532"/>
    <hyperlink ref="M1548:M1550" r:id="rId503" display="http://consorciofia.info/cdr/ver_fuentes_w.php?NumCDR=16&amp;codEntidad=19450"/>
    <hyperlink ref="M1551:M1553" r:id="rId504" display="http://consorciofia.info/cdr/ver_fuentes_w.php?NumCDR=4&amp;codEntidad=19533"/>
    <hyperlink ref="M1554:M1556" r:id="rId505" display="http://consorciofia.info/cdr/ver_fuentes_w.php?NumCDR=6&amp;codEntidad=19142"/>
    <hyperlink ref="M1557:M1559" r:id="rId506" display="http://consorciofia.info/cdr/ver_fuentes_w.php?NumCDR=18&amp;codEntidad=19050"/>
    <hyperlink ref="M1560:M1562" r:id="rId507" display="http://consorciofia.info/cdr/ver_fuentes_w.php?NumCDR=10&amp;codEntidad=19824"/>
    <hyperlink ref="M1563:M1565" r:id="rId508" display="http://consorciofia.info/cdr/ver_fuentes_w.php?NumCDR=9&amp;codEntidad=19397"/>
    <hyperlink ref="M1566:M1568" r:id="rId509" display="http://consorciofia.info/cdr/ver_fuentes_w.php?NumCDR=8&amp;codEntidad=19355"/>
    <hyperlink ref="M1569:M1571" r:id="rId510" display="http://consorciofia.info/cdr/ver_fuentes_w.php?NumCDR=7&amp;codEntidad=19760"/>
    <hyperlink ref="M1572:M1574" r:id="rId511" display="http://consorciofia.info/cdr/ver_fuentes_w.php?NumCDR=7&amp;codEntidad=19318"/>
    <hyperlink ref="M1576:M1578" r:id="rId512" display="http://consorciofia.info/cdr/ver_fuentes_w.php?NumCDR=7&amp;codEntidad=19573"/>
    <hyperlink ref="M1579:M1581" r:id="rId513" display="http://consorciofia.info/cdr/ver_fuentes_w.php?NumCDR=337&amp;codEntidad=19999"/>
    <hyperlink ref="M1582:M1584" r:id="rId514" display="http://consorciofia.info/cdr/ver_fuentes_w.php?NumCDR=15&amp;codEntidad=19110"/>
    <hyperlink ref="M1585:M1587" r:id="rId515" display="http://consorciofia.info/cdr/ver_fuentes_w.php?NumCDR=340&amp;codEntidad=19999"/>
    <hyperlink ref="M1588:M1590" r:id="rId516" display="http://consorciofia.info/cdr/ver_fuentes_w.php?NumCDR=8&amp;codEntidad=19573"/>
    <hyperlink ref="M1591" r:id="rId517" display="http://consorciofia.info/cdr/ver_fuentes_w.php?NumCDR=338&amp;codEntidad=19999"/>
    <hyperlink ref="M1592:M1593" r:id="rId518" display="http://consorciofia.info/cdr/ver_fuentes_w.php?NumCDR=16&amp;codEntidad=19110"/>
    <hyperlink ref="M1594" r:id="rId519" display="http://consorciofia.info/cdr/ver_fuentes_w.php?NumCDR=10&amp;codEntidad=19142"/>
    <hyperlink ref="M1598:M1613" r:id="rId520" display="http://consorciofia.info/cdr/ver_fuentes_w.php?NumCDR=343&amp;codEntidad=19999"/>
    <hyperlink ref="M1614" r:id="rId521" display="http://consorciofia.info/cdr/ver_fuentes_w.php?NumCDR=9&amp;codEntidad=19142"/>
    <hyperlink ref="M1622:M1623" r:id="rId522" display="http://consorciofia.info/cdr/ver_fuentes_w.php?NumCDR=11&amp;codEntidad=19397"/>
    <hyperlink ref="M1624:M1625" r:id="rId523" display="http://consorciofia.info/cdr/ver_fuentes_w.php?NumCDR=3564&amp;codEntidad=19397"/>
    <hyperlink ref="M1626:M1628" r:id="rId524" display="http://consorciofia.info/cdr/ver_fuentes_w.php?NumCDR=6&amp;codEntidad=19473"/>
    <hyperlink ref="M1629:M1630" r:id="rId525" display="http://consorciofia.info/cdr/ver_fuentes_w.php?NumCDR=9&amp;codEntidad=19548"/>
    <hyperlink ref="M1631" r:id="rId526" display="http://consorciofia.info/cdr/ver_fuentes_w.php?NumCDR=14&amp;codEntidad=19780"/>
    <hyperlink ref="M1633" r:id="rId527" display="http://consorciofia.info/cdr/ver_fuentes_w.php?NumCDR=10&amp;codEntidad=19392"/>
    <hyperlink ref="M43" r:id="rId528" display="http://consorciofia.info/cdr/ver_fuentes_w.php?NumCDR=012&amp;codEntidad=19999"/>
  </hyperlinks>
  <pageMargins left="0.37" right="0.17" top="0.74803149606299213" bottom="0.74803149606299213" header="0.31496062992125984" footer="0.31496062992125984"/>
  <pageSetup scale="24" orientation="landscape" r:id="rId529"/>
  <legacyDrawing r:id="rId530"/>
  <extLst>
    <ext xmlns:x14="http://schemas.microsoft.com/office/spreadsheetml/2009/9/main" uri="{CCE6A557-97BC-4b89-ADB6-D9C93CAAB3DF}">
      <x14:dataValidations xmlns:xm="http://schemas.microsoft.com/office/excel/2006/main" count="9">
        <x14:dataValidation type="list" allowBlank="1" showInputMessage="1" showErrorMessage="1">
          <x14:formula1>
            <xm:f>[5]Listas!#REF!</xm:f>
          </x14:formula1>
          <xm:sqref>AE1456:AE1459 C1456 H1456 J1459 J1456 N1459 N1456</xm:sqref>
        </x14:dataValidation>
        <x14:dataValidation type="list" allowBlank="1" showInputMessage="1" showErrorMessage="1">
          <x14:formula1>
            <xm:f>[4]Listas!#REF!</xm:f>
          </x14:formula1>
          <xm:sqref>J594:J598 N587 C587 J587 H587 AE587:AE588 N594:N598 C594:C598 H1594 H594:H598 AE594:AE598 J975:J980 AE694:AE697 H694 J694 C694 N694 N975:N980 C975:C980 J1055:J1061 H975:H980 AE975:AE980 J1187:J1192 AE1055:AE1061 H1055:H1061 C1055:C1061 N1055:N1061 N1187:N1192 C1187:C1192 H1598 H1187:H1192 AE1187:AE1192 N1242:N1245 N1247:N1248 C1245 J1247 H1622:H1625 AE1232:AE1249 H1232:H1245 J1232:J1245 C1232 N1232:N1237 N1277 C1277 J1277 H1277 AE1277:AE1280 AE1524:AE1574 AE1441:AE1455 N1446 N1451 N1441 C1441 J1441 H1441 AE1576:AE1625 N1527 N1529 N1532 N1535 N1538 N1541 N1543 N1545 N1548 N1551 N1554 N1557 N1560 N1563 N1566 N1569 N1572 N1524 N1576 N1579 N1591:N1592 N1594 N1598 N1608:N1625 C1527 C1529 C1532 C1535 C1538 C1541 C1543 C1545 C1548 C1551 C1554 C1557 C1560 C1563 C1566 C1569 C1572 C1524 C1576 C1579 C1591:C1592 C1594 C1598 C1622:C1625 J1524 J1576 J1579 J1591:J1592 J1594 J1598 J1622:J1625 H1524 H1576 H1579 H1591:H1592</xm:sqref>
        </x14:dataValidation>
        <x14:dataValidation type="list" allowBlank="1" showInputMessage="1" showErrorMessage="1">
          <x14:formula1>
            <xm:f>[3]Listas!#REF!</xm:f>
          </x14:formula1>
          <xm:sqref>H818 H822:H826 H1626 H1633:H1635 J1626 J1629 J1633:J1635 C1626 C1632:C1633 N1626 N1629 N1631:N1633 AE1626:AE1635</xm:sqref>
        </x14:dataValidation>
        <x14:dataValidation type="list" allowBlank="1" showInputMessage="1" showErrorMessage="1">
          <x14:formula1>
            <xm:f>Listas!$D$2:$D$10</xm:f>
          </x14:formula1>
          <xm:sqref>K1:K1048576</xm:sqref>
        </x14:dataValidation>
        <x14:dataValidation type="list" allowBlank="1" showInputMessage="1" showErrorMessage="1">
          <x14:formula1>
            <xm:f>Listas!$B$2:$B$5</xm:f>
          </x14:formula1>
          <xm:sqref>H705 H412:H426 H432 H408 H342 H1337 H436:H498 H552 H569 H575 H581 H589 H599 H602 H606 H609 H618 H623 H626 H628 H646 H649 H33 H37 H63 H67 H516 H654:H665 H698 H700 H702 H712 H671:H687 H708 H1:H29 H43:H56 H69:H80 H152:H200 H91:H139 H346:H402 H232:H251 H715:H785 H1025 H805 H819 H807:H817 H827 H832 H836 H840 H843 H846 H849:H861 H871 H880:H888 H905 H909:H915 H942 H948 H953 H969 H981 H989 H992 H983 H1020 H1022 H1050 H1460 H1105 H1087 H1112 H1159 H1133:H1135 H1174 H1193 H1214 H1208:H1210 H1176 H1220 H1227:H1228 H1250 H281:H338 H1311 H1333 H1296:H1306 H1294 H1271:H1276 H1281:H1282 H1317:H1323 H1326 H1418 H1359:H1382 H1422:H1438 H1463 H1575 H1465 H1501:H1503 H1515:H1523 H1636:H1048576</xm:sqref>
        </x14:dataValidation>
        <x14:dataValidation type="list" allowBlank="1" showInputMessage="1" showErrorMessage="1">
          <x14:formula1>
            <xm:f>Listas!$C$2:$C$6</xm:f>
          </x14:formula1>
          <xm:sqref>J707:J708 J412:J426 J432 J228:J229 J408 J1337 J342 J539 J436:J498 J514 J552 J566 J569 J575 J581 J589 J592 J599 J384:J386 J602 J606 J609 J618 J623 J626 J628 J646 J649 J33 J41 J37 J60 J63 J66:J67 J516 J528 J537 J669 J654:J665 J698 J700 J702 J671:J687 J711:J712 J705 J1:J29 J43:J56 J69:J80 J91:J139 J151:J200 J346:J381 J390:J402 J231:J281 J548 J319 J1046:J1047 J981:J1025 J1440 J1102 J1105 J1111:J1112 J1128 J1131 J1159 J1171 J1153 J1133:J1135 J1174 J1193 J1205 J1212 J1214 J1208:J1210 J1185 J1176 J1219:J1220 J1227:J1228 J1250 J1062:J1087 J1310:J1311 J1315 J1317:J1323 J1296:J1306 J1294 J293:J294 J323:J338 J715:J974 J1049:J1054 J1271:J1276 J1281:J1282 J1325:J1326 J1333 J1329 J1418 J1359:J1382 J1422:J1438 J1460 J1463 J1575 J1501:J1503 J1465 J1515:J1523 J1636:J1048576</xm:sqref>
        </x14:dataValidation>
        <x14:dataValidation type="list" allowBlank="1" showInputMessage="1" showErrorMessage="1">
          <x14:formula1>
            <xm:f>Listas!$E$2:$E$45</xm:f>
          </x14:formula1>
          <xm:sqref>N707:N708 N412:N429 N432 N434 N204:N206 N208:N210 N212:N214 N216:N218 N220:N222 N224:N226 N228:N229 N408 N284:N285 N287:N288 N290:N291 N1379 N340 N342 N344 N410 N232:N282 N508 N143 N404 N149 N512 N502 N147 N514 N505 N436:N497 N499 N539:N552 N560:N561 N564 N558 N566:N569 N572 N575 N578 N581 N589 N592 N599 N384:N386 N388 N602 N606 N609 N612 N615 N618 N623 N626 N628 N631 N634 N637 N640 N643 N646 N649 N33 N37 N41 N60 N63 N66:N67 N82:N84 N86:N88 N516 N520 N524 N528 N531 N534 N537 N654:N665 N669 N698 N700 N702 N671:N687 N692 N711:N712 N705 N1:N29 N43:N56 N69:N80 N90:N139 N151:N202 N346:N382 N390:N402 N293:N338 N1046:N1047 N1028 N1033 N1037 N1042 N981:N1025 N1440 N1108 N1093 N1097 N1102 N1105 N1111:N1112 N1120 N1128 N1131 N1159 N1167 N1171 N1163 N1141 N1147 N1153 N1156 N1133:N1135 N1174 N1193 N1199 N1205 N1212 N1214 N1208:N1210 N1181 N1185 N1176 N1219:N1220 N1227:N1228 N1250 N1257 N1264 N1062:N1087 N1286 N1290 N1310:N1311 N1315 N1317:N1323 N1418 N1296:N1306 N1294 N1361 N1337:N1359 N1363 N1365 N1367 N1369 N1371 N1373 N1375 N1377 N715:N974 N1049:N1054 N1271:N1276 N1281:N1282 N1325:N1326 N1333 N1329 N1331 N1386 N1390 N1394 N1398 N1402 N1406 N1410 N1414 N1381:N1382 N1422:N1438 N1460 N1463 N1575 N1469 N1473 N1477 N1481 N1485 N1489 N1493 N1497 N1501:N1503 N1507:N1511 N1465 N1515:N1523 N1636 N1642:N1048576</xm:sqref>
        </x14:dataValidation>
        <x14:dataValidation type="list" allowBlank="1" showInputMessage="1" showErrorMessage="1">
          <x14:formula1>
            <xm:f>Listas!$A$2:$A$43</xm:f>
          </x14:formula1>
          <xm:sqref>C705 C412:C426 C432 C204 C208 C212 C224 C436:C516 C1326 C342 C228:C281 C558:C569 C575 C581 C589 C599 C602 C606 C609 C612 C618 C623 C626 C628 C634 C643 C646 C649 C33 C37 C63 C539:C552 C66:C67 C87:C88 C654:C665 C698 C700 C702 C712 C671:C687 C708 C1:C29 C43:C56 C69:C80 C91:C200 C346:C408 C323:C338 C1046:C1047 C1028 C1033 C1037 C1042 C981:C1025 C1460 C1085:C1087 C1105 C1065 C1067 C1070 C1072 C1076 C1079 C1083 C1112 C1159 C1133:C1135 C1174 C1193 C1214 C1208:C1210 C1176 C1220 C1227:C1228 C1250 C1062 C1311 C1333 C1296:C1306 C1294 C287:C314 C715:C974 C1049:C1054 C1271:C1276 C1281:C1282 C1317:C1323 C1329 C1331 C1418 C1337:C1382 C1386 C1390 C1394 C1398 C1402 C1406 C1410 C1414 C1422:C1438 C1463 C1575 C1469 C1473 C1477 C1481 C1485 C1489 C1493 C1497 C1465 C1501:C1503 C1515:C1523 C1636:C1048576</xm:sqref>
        </x14:dataValidation>
        <x14:dataValidation type="list" allowBlank="1" showInputMessage="1" showErrorMessage="1">
          <x14:formula1>
            <xm:f>Listas!$G$2:$G$45</xm:f>
          </x14:formula1>
          <xm:sqref>AE85:AE87 AE81:AE83 AE1:AE79 AE89:AE586 AE589:AE593 AE599:AE693 AE698:AE974 AE981:AE1054 AE1062:AE1186 AE1193:AE1231 AE1250:AE1276 AE1281:AE1440 AE1460:AE1523 AE1575 AE1636:AE1048576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D13"/>
  <sheetViews>
    <sheetView workbookViewId="0"/>
  </sheetViews>
  <sheetFormatPr baseColWidth="10" defaultRowHeight="15"/>
  <sheetData>
    <row r="1" spans="1:4" ht="45">
      <c r="A1" s="319" t="s">
        <v>2398</v>
      </c>
    </row>
    <row r="2" spans="1:4">
      <c r="A2" s="318"/>
    </row>
    <row r="3" spans="1:4">
      <c r="A3" s="320" t="s">
        <v>2399</v>
      </c>
    </row>
    <row r="4" spans="1:4" ht="24.75" thickBot="1">
      <c r="A4" s="321" t="s">
        <v>2400</v>
      </c>
      <c r="B4" s="321" t="s">
        <v>2401</v>
      </c>
      <c r="C4" s="321" t="s">
        <v>2402</v>
      </c>
      <c r="D4" s="321" t="s">
        <v>2403</v>
      </c>
    </row>
    <row r="5" spans="1:4" ht="24">
      <c r="A5" s="321" t="s">
        <v>2404</v>
      </c>
      <c r="B5" s="322"/>
      <c r="C5" s="323" t="s">
        <v>2483</v>
      </c>
      <c r="D5" s="323" t="s">
        <v>2484</v>
      </c>
    </row>
    <row r="6" spans="1:4" ht="48">
      <c r="A6" s="324">
        <v>337</v>
      </c>
      <c r="B6" s="324" t="s">
        <v>74</v>
      </c>
      <c r="C6" s="325" t="s">
        <v>2483</v>
      </c>
      <c r="D6" s="325" t="s">
        <v>2484</v>
      </c>
    </row>
    <row r="7" spans="1:4">
      <c r="A7" s="326" t="s">
        <v>2406</v>
      </c>
    </row>
    <row r="8" spans="1:4">
      <c r="A8" s="326" t="s">
        <v>2407</v>
      </c>
    </row>
    <row r="9" spans="1:4">
      <c r="A9" s="327" t="s">
        <v>2408</v>
      </c>
    </row>
    <row r="10" spans="1:4" ht="15.75" thickBot="1">
      <c r="A10" s="328" t="s">
        <v>2409</v>
      </c>
      <c r="B10" s="328" t="s">
        <v>2410</v>
      </c>
      <c r="C10" s="328" t="s">
        <v>2401</v>
      </c>
      <c r="D10" s="328" t="s">
        <v>2411</v>
      </c>
    </row>
    <row r="11" spans="1:4">
      <c r="A11" s="1475"/>
      <c r="B11" s="1475"/>
      <c r="C11" s="1475"/>
      <c r="D11" s="329"/>
    </row>
    <row r="12" spans="1:4" ht="72.75" thickBot="1">
      <c r="A12" s="330">
        <v>43007</v>
      </c>
      <c r="B12" s="331" t="s">
        <v>2485</v>
      </c>
      <c r="C12" s="332" t="s">
        <v>74</v>
      </c>
      <c r="D12" s="333" t="s">
        <v>2486</v>
      </c>
    </row>
    <row r="13" spans="1:4" ht="60">
      <c r="A13" s="334">
        <v>43095</v>
      </c>
      <c r="B13" s="335" t="s">
        <v>2487</v>
      </c>
      <c r="C13" s="336" t="s">
        <v>74</v>
      </c>
      <c r="D13" s="337" t="s">
        <v>2488</v>
      </c>
    </row>
  </sheetData>
  <mergeCells count="1">
    <mergeCell ref="A11:C11"/>
  </mergeCells>
  <hyperlinks>
    <hyperlink ref="A3" r:id="rId1" display="http://consorciofia.info/cdr/ver_cdrs_w.php?municipios=19999"/>
  </hyperlinks>
  <pageMargins left="0.7" right="0.7" top="0.75" bottom="0.75" header="0.3" footer="0.3"/>
  <drawing r:id="rId2"/>
  <legacyDrawing r:id="rId3"/>
  <controls>
    <mc:AlternateContent xmlns:mc="http://schemas.openxmlformats.org/markup-compatibility/2006">
      <mc:Choice Requires="x14">
        <control shapeId="25601" r:id="rId4" name="Control 1">
          <controlPr defaultSize="0" autoPict="0" r:id="rId5">
            <anchor moveWithCells="1">
              <from>
                <xdr:col>0</xdr:col>
                <xdr:colOff>0</xdr:colOff>
                <xdr:row>7</xdr:row>
                <xdr:rowOff>0</xdr:rowOff>
              </from>
              <to>
                <xdr:col>0</xdr:col>
                <xdr:colOff>704850</xdr:colOff>
                <xdr:row>8</xdr:row>
                <xdr:rowOff>38100</xdr:rowOff>
              </to>
            </anchor>
          </controlPr>
        </control>
      </mc:Choice>
      <mc:Fallback>
        <control shapeId="25601" r:id="rId4" name="Control 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E38"/>
  <sheetViews>
    <sheetView workbookViewId="0"/>
  </sheetViews>
  <sheetFormatPr baseColWidth="10" defaultRowHeight="15"/>
  <cols>
    <col min="5" max="5" width="21.5703125" bestFit="1" customWidth="1"/>
  </cols>
  <sheetData>
    <row r="1" spans="1:5" ht="45">
      <c r="A1" s="319" t="s">
        <v>2398</v>
      </c>
    </row>
    <row r="2" spans="1:5">
      <c r="A2" s="318"/>
    </row>
    <row r="3" spans="1:5">
      <c r="A3" s="320" t="s">
        <v>2399</v>
      </c>
      <c r="E3" t="s">
        <v>2479</v>
      </c>
    </row>
    <row r="4" spans="1:5" ht="24.75" thickBot="1">
      <c r="A4" s="321" t="s">
        <v>2400</v>
      </c>
      <c r="B4" s="321" t="s">
        <v>2401</v>
      </c>
      <c r="C4" s="321" t="s">
        <v>2402</v>
      </c>
      <c r="D4" s="321" t="s">
        <v>2403</v>
      </c>
    </row>
    <row r="5" spans="1:5">
      <c r="A5" s="321" t="s">
        <v>2404</v>
      </c>
      <c r="B5" s="322"/>
      <c r="C5" s="323">
        <v>66155932</v>
      </c>
      <c r="D5" s="323">
        <v>61436368.289999999</v>
      </c>
    </row>
    <row r="6" spans="1:5" ht="24">
      <c r="A6" s="324">
        <v>223</v>
      </c>
      <c r="B6" s="324" t="s">
        <v>2405</v>
      </c>
      <c r="C6" s="325">
        <v>66155932</v>
      </c>
      <c r="D6" s="325">
        <v>61436368.289999999</v>
      </c>
      <c r="E6" s="338">
        <f>C6-D6</f>
        <v>4719563.7100000009</v>
      </c>
    </row>
    <row r="7" spans="1:5">
      <c r="A7" s="326" t="s">
        <v>2406</v>
      </c>
    </row>
    <row r="8" spans="1:5">
      <c r="A8" s="326" t="s">
        <v>2407</v>
      </c>
    </row>
    <row r="9" spans="1:5">
      <c r="A9" s="327" t="s">
        <v>2408</v>
      </c>
    </row>
    <row r="10" spans="1:5" ht="15.75" thickBot="1">
      <c r="A10" s="328" t="s">
        <v>2409</v>
      </c>
      <c r="B10" s="328" t="s">
        <v>2410</v>
      </c>
      <c r="C10" s="328" t="s">
        <v>2401</v>
      </c>
      <c r="D10" s="328" t="s">
        <v>2411</v>
      </c>
    </row>
    <row r="11" spans="1:5">
      <c r="A11" s="1475"/>
      <c r="B11" s="1475"/>
      <c r="C11" s="1475"/>
      <c r="D11" s="329"/>
    </row>
    <row r="12" spans="1:5" ht="72.75" thickBot="1">
      <c r="A12" s="330">
        <v>41941</v>
      </c>
      <c r="B12" s="331" t="s">
        <v>2477</v>
      </c>
      <c r="C12" s="332" t="s">
        <v>2405</v>
      </c>
      <c r="D12" s="333">
        <v>34973995.289999999</v>
      </c>
    </row>
    <row r="13" spans="1:5" ht="156">
      <c r="A13" s="334">
        <v>40910</v>
      </c>
      <c r="B13" s="335" t="s">
        <v>2478</v>
      </c>
      <c r="C13" s="336" t="s">
        <v>2405</v>
      </c>
      <c r="D13" s="337">
        <v>26462373</v>
      </c>
    </row>
    <row r="15" spans="1:5" ht="24.75" thickBot="1">
      <c r="A15" s="321" t="s">
        <v>2400</v>
      </c>
      <c r="B15" s="321" t="s">
        <v>2401</v>
      </c>
      <c r="C15" s="321" t="s">
        <v>2402</v>
      </c>
      <c r="D15" s="321" t="s">
        <v>2403</v>
      </c>
    </row>
    <row r="16" spans="1:5">
      <c r="A16" s="321" t="s">
        <v>2404</v>
      </c>
      <c r="B16" s="322"/>
      <c r="C16" s="323">
        <v>88935483</v>
      </c>
      <c r="D16" s="323">
        <v>82440554.709999993</v>
      </c>
    </row>
    <row r="17" spans="1:4" ht="36">
      <c r="A17" s="324">
        <v>2</v>
      </c>
      <c r="B17" s="324" t="s">
        <v>2481</v>
      </c>
      <c r="C17" s="325">
        <v>88935483</v>
      </c>
      <c r="D17" s="325">
        <v>82440554.709999993</v>
      </c>
    </row>
    <row r="18" spans="1:4">
      <c r="A18" s="326" t="s">
        <v>2406</v>
      </c>
    </row>
    <row r="19" spans="1:4">
      <c r="A19" s="326" t="s">
        <v>2407</v>
      </c>
    </row>
    <row r="20" spans="1:4">
      <c r="A20" s="327" t="s">
        <v>2408</v>
      </c>
    </row>
    <row r="21" spans="1:4" ht="15.75" thickBot="1">
      <c r="A21" s="328" t="s">
        <v>2409</v>
      </c>
      <c r="B21" s="328" t="s">
        <v>2410</v>
      </c>
      <c r="C21" s="328" t="s">
        <v>2401</v>
      </c>
      <c r="D21" s="328" t="s">
        <v>2411</v>
      </c>
    </row>
    <row r="22" spans="1:4">
      <c r="A22" s="1475"/>
      <c r="B22" s="1475"/>
      <c r="C22" s="1475"/>
      <c r="D22" s="329"/>
    </row>
    <row r="23" spans="1:4" ht="72.75" thickBot="1">
      <c r="A23" s="330">
        <v>41941</v>
      </c>
      <c r="B23" s="331" t="s">
        <v>2477</v>
      </c>
      <c r="C23" s="332" t="s">
        <v>2405</v>
      </c>
      <c r="D23" s="333">
        <v>46931087.710000001</v>
      </c>
    </row>
    <row r="24" spans="1:4" ht="24">
      <c r="A24" s="334">
        <v>40910</v>
      </c>
      <c r="B24" s="335" t="s">
        <v>2480</v>
      </c>
      <c r="C24" s="336" t="s">
        <v>2405</v>
      </c>
      <c r="D24" s="337">
        <v>35509467</v>
      </c>
    </row>
    <row r="26" spans="1:4">
      <c r="A26" s="319"/>
    </row>
    <row r="27" spans="1:4">
      <c r="A27" s="318"/>
    </row>
    <row r="28" spans="1:4">
      <c r="A28" s="320"/>
    </row>
    <row r="29" spans="1:4" ht="15.75" thickBot="1">
      <c r="A29" s="321"/>
      <c r="B29" s="321"/>
      <c r="C29" s="321"/>
      <c r="D29" s="321"/>
    </row>
    <row r="30" spans="1:4">
      <c r="A30" s="321"/>
      <c r="B30" s="322"/>
      <c r="C30" s="323"/>
      <c r="D30" s="323"/>
    </row>
    <row r="31" spans="1:4">
      <c r="A31" s="324"/>
      <c r="B31" s="324"/>
      <c r="C31" s="325"/>
      <c r="D31" s="325"/>
    </row>
    <row r="32" spans="1:4">
      <c r="A32" s="326"/>
    </row>
    <row r="33" spans="1:4">
      <c r="A33" s="326"/>
    </row>
    <row r="34" spans="1:4">
      <c r="A34" s="327"/>
    </row>
    <row r="35" spans="1:4" ht="15.75" thickBot="1">
      <c r="A35" s="328"/>
      <c r="B35" s="328"/>
      <c r="C35" s="328"/>
      <c r="D35" s="328"/>
    </row>
    <row r="36" spans="1:4">
      <c r="A36" s="1475"/>
      <c r="B36" s="1475"/>
      <c r="C36" s="1475"/>
      <c r="D36" s="329"/>
    </row>
    <row r="37" spans="1:4" ht="15.75" thickBot="1">
      <c r="A37" s="330"/>
      <c r="B37" s="331"/>
      <c r="C37" s="332"/>
      <c r="D37" s="333"/>
    </row>
    <row r="38" spans="1:4">
      <c r="A38" s="334"/>
      <c r="B38" s="335"/>
      <c r="C38" s="336"/>
      <c r="D38" s="337"/>
    </row>
  </sheetData>
  <mergeCells count="3">
    <mergeCell ref="A11:C11"/>
    <mergeCell ref="A22:C22"/>
    <mergeCell ref="A36:C36"/>
  </mergeCells>
  <hyperlinks>
    <hyperlink ref="A3" r:id="rId1" display="http://consorciofia.info/cdr/ver_cdrs_w.php?municipios=19999"/>
  </hyperlinks>
  <pageMargins left="0.7" right="0.7" top="0.75" bottom="0.75" header="0.3" footer="0.3"/>
  <pageSetup orientation="portrait" r:id="rId2"/>
  <drawing r:id="rId3"/>
  <legacyDrawing r:id="rId4"/>
  <controls>
    <mc:AlternateContent xmlns:mc="http://schemas.openxmlformats.org/markup-compatibility/2006">
      <mc:Choice Requires="x14">
        <control shapeId="24579" r:id="rId5" name="Control 3">
          <controlPr defaultSize="0" autoPict="0" r:id="rId6">
            <anchor moveWithCells="1">
              <from>
                <xdr:col>0</xdr:col>
                <xdr:colOff>0</xdr:colOff>
                <xdr:row>32</xdr:row>
                <xdr:rowOff>0</xdr:rowOff>
              </from>
              <to>
                <xdr:col>0</xdr:col>
                <xdr:colOff>704850</xdr:colOff>
                <xdr:row>33</xdr:row>
                <xdr:rowOff>38100</xdr:rowOff>
              </to>
            </anchor>
          </controlPr>
        </control>
      </mc:Choice>
      <mc:Fallback>
        <control shapeId="24579" r:id="rId5" name="Control 3"/>
      </mc:Fallback>
    </mc:AlternateContent>
    <mc:AlternateContent xmlns:mc="http://schemas.openxmlformats.org/markup-compatibility/2006">
      <mc:Choice Requires="x14">
        <control shapeId="24578" r:id="rId7" name="Control 2">
          <controlPr defaultSize="0" autoPict="0" r:id="rId6">
            <anchor moveWithCells="1">
              <from>
                <xdr:col>0</xdr:col>
                <xdr:colOff>0</xdr:colOff>
                <xdr:row>18</xdr:row>
                <xdr:rowOff>0</xdr:rowOff>
              </from>
              <to>
                <xdr:col>0</xdr:col>
                <xdr:colOff>704850</xdr:colOff>
                <xdr:row>19</xdr:row>
                <xdr:rowOff>38100</xdr:rowOff>
              </to>
            </anchor>
          </controlPr>
        </control>
      </mc:Choice>
      <mc:Fallback>
        <control shapeId="24578" r:id="rId7" name="Control 2"/>
      </mc:Fallback>
    </mc:AlternateContent>
    <mc:AlternateContent xmlns:mc="http://schemas.openxmlformats.org/markup-compatibility/2006">
      <mc:Choice Requires="x14">
        <control shapeId="24577" r:id="rId8" name="Control 1">
          <controlPr defaultSize="0" autoPict="0" r:id="rId6">
            <anchor moveWithCells="1">
              <from>
                <xdr:col>0</xdr:col>
                <xdr:colOff>0</xdr:colOff>
                <xdr:row>7</xdr:row>
                <xdr:rowOff>0</xdr:rowOff>
              </from>
              <to>
                <xdr:col>0</xdr:col>
                <xdr:colOff>704850</xdr:colOff>
                <xdr:row>8</xdr:row>
                <xdr:rowOff>38100</xdr:rowOff>
              </to>
            </anchor>
          </controlPr>
        </control>
      </mc:Choice>
      <mc:Fallback>
        <control shapeId="24577" r:id="rId8" name="Control 1"/>
      </mc:Fallback>
    </mc:AlternateContent>
  </control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workbookViewId="0"/>
  </sheetViews>
  <sheetFormatPr baseColWidth="10" defaultRowHeight="15"/>
  <cols>
    <col min="2" max="2" width="36.28515625" customWidth="1"/>
    <col min="3" max="3" width="15.85546875" customWidth="1"/>
    <col min="4" max="4" width="15.5703125" customWidth="1"/>
    <col min="14" max="14" width="16.28515625" bestFit="1" customWidth="1"/>
    <col min="15" max="16" width="14.5703125" bestFit="1" customWidth="1"/>
    <col min="17" max="17" width="16.85546875" bestFit="1" customWidth="1"/>
    <col min="18" max="18" width="16.28515625" bestFit="1" customWidth="1"/>
    <col min="23" max="23" width="16.28515625" bestFit="1" customWidth="1"/>
  </cols>
  <sheetData>
    <row r="1" spans="1:5" ht="15.75">
      <c r="A1" s="240" t="s">
        <v>2397</v>
      </c>
    </row>
    <row r="2" spans="1:5">
      <c r="A2" s="239"/>
    </row>
    <row r="3" spans="1:5">
      <c r="A3" s="241" t="s">
        <v>2398</v>
      </c>
    </row>
    <row r="6" spans="1:5">
      <c r="A6" s="242" t="s">
        <v>2399</v>
      </c>
    </row>
    <row r="7" spans="1:5" ht="30">
      <c r="A7" s="243" t="s">
        <v>2400</v>
      </c>
      <c r="B7" s="243" t="s">
        <v>2401</v>
      </c>
      <c r="C7" s="243" t="s">
        <v>2402</v>
      </c>
      <c r="D7" s="243" t="s">
        <v>2403</v>
      </c>
    </row>
    <row r="8" spans="1:5">
      <c r="A8" s="243" t="s">
        <v>2404</v>
      </c>
      <c r="B8" s="243"/>
      <c r="C8" s="245">
        <v>3999000000</v>
      </c>
      <c r="D8" s="245">
        <v>2940636633</v>
      </c>
      <c r="E8">
        <f>C8-D8</f>
        <v>1058363367</v>
      </c>
    </row>
    <row r="9" spans="1:5">
      <c r="A9" s="246">
        <v>116</v>
      </c>
      <c r="B9" s="246" t="s">
        <v>2405</v>
      </c>
      <c r="C9" s="244">
        <v>3999000000</v>
      </c>
      <c r="D9" s="244">
        <v>2940636633</v>
      </c>
    </row>
    <row r="10" spans="1:5">
      <c r="A10" s="247" t="s">
        <v>2406</v>
      </c>
    </row>
    <row r="11" spans="1:5">
      <c r="A11" t="s">
        <v>2407</v>
      </c>
    </row>
    <row r="12" spans="1:5">
      <c r="A12" t="s">
        <v>2408</v>
      </c>
    </row>
    <row r="13" spans="1:5">
      <c r="A13" s="243" t="s">
        <v>2409</v>
      </c>
      <c r="B13" s="243" t="s">
        <v>2410</v>
      </c>
      <c r="C13" s="243" t="s">
        <v>2401</v>
      </c>
      <c r="D13" s="243" t="s">
        <v>2411</v>
      </c>
    </row>
    <row r="14" spans="1:5">
      <c r="A14" s="1476"/>
      <c r="B14" s="1476"/>
      <c r="C14" s="1476"/>
      <c r="D14" s="243"/>
    </row>
    <row r="15" spans="1:5" ht="35.1" customHeight="1">
      <c r="A15" s="248">
        <v>40506</v>
      </c>
      <c r="B15" s="246" t="s">
        <v>2412</v>
      </c>
      <c r="C15" s="239" t="s">
        <v>2405</v>
      </c>
      <c r="D15" s="244">
        <v>1995432000</v>
      </c>
    </row>
    <row r="16" spans="1:5" ht="35.1" customHeight="1">
      <c r="A16" s="248">
        <v>40807</v>
      </c>
      <c r="B16" s="246" t="s">
        <v>2414</v>
      </c>
      <c r="C16" s="239" t="s">
        <v>2405</v>
      </c>
      <c r="D16" s="244">
        <v>105022737</v>
      </c>
    </row>
    <row r="17" spans="1:24" ht="35.1" customHeight="1">
      <c r="A17" s="248">
        <v>40807</v>
      </c>
      <c r="B17" s="246" t="s">
        <v>2395</v>
      </c>
      <c r="C17" s="239" t="s">
        <v>2405</v>
      </c>
      <c r="D17" s="244">
        <v>105022737</v>
      </c>
    </row>
    <row r="18" spans="1:24" ht="35.1" customHeight="1">
      <c r="A18" s="248">
        <v>40807</v>
      </c>
      <c r="B18" s="246" t="s">
        <v>2415</v>
      </c>
      <c r="C18" s="239" t="s">
        <v>2405</v>
      </c>
      <c r="D18" s="244">
        <v>105022737</v>
      </c>
    </row>
    <row r="19" spans="1:24" ht="35.1" customHeight="1">
      <c r="A19" s="248">
        <v>41255</v>
      </c>
      <c r="B19" s="246" t="s">
        <v>2413</v>
      </c>
      <c r="C19" s="239" t="s">
        <v>2405</v>
      </c>
      <c r="D19" s="244">
        <v>630136422</v>
      </c>
    </row>
    <row r="20" spans="1:24">
      <c r="Q20" s="253">
        <f>Q22*2</f>
        <v>3990864000</v>
      </c>
    </row>
    <row r="21" spans="1:24" s="249" customFormat="1" ht="45">
      <c r="B21" s="250" t="s">
        <v>2429</v>
      </c>
      <c r="C21" s="250" t="s">
        <v>2430</v>
      </c>
      <c r="D21" s="250" t="s">
        <v>2330</v>
      </c>
      <c r="E21" s="250" t="s">
        <v>2431</v>
      </c>
      <c r="F21" s="250" t="s">
        <v>2432</v>
      </c>
      <c r="G21" s="250" t="s">
        <v>2433</v>
      </c>
      <c r="H21" s="250" t="s">
        <v>2377</v>
      </c>
      <c r="I21" s="250" t="s">
        <v>2434</v>
      </c>
      <c r="J21" s="250" t="s">
        <v>2435</v>
      </c>
      <c r="K21" s="250" t="s">
        <v>2436</v>
      </c>
      <c r="L21" s="250" t="s">
        <v>2437</v>
      </c>
      <c r="M21" s="250" t="s">
        <v>2438</v>
      </c>
      <c r="N21" s="251" t="s">
        <v>2439</v>
      </c>
      <c r="O21" s="251" t="s">
        <v>2440</v>
      </c>
      <c r="P21" s="251" t="s">
        <v>2441</v>
      </c>
      <c r="Q21" s="251" t="s">
        <v>2442</v>
      </c>
      <c r="R21" s="252" t="s">
        <v>2443</v>
      </c>
      <c r="S21" s="250" t="s">
        <v>2444</v>
      </c>
      <c r="T21" s="250" t="s">
        <v>2445</v>
      </c>
      <c r="U21" s="250" t="s">
        <v>2446</v>
      </c>
      <c r="V21" s="250" t="s">
        <v>2447</v>
      </c>
      <c r="W21" s="251" t="s">
        <v>2448</v>
      </c>
      <c r="X21" s="250" t="s">
        <v>2449</v>
      </c>
    </row>
    <row r="22" spans="1:24" s="235" customFormat="1" ht="24.95" customHeight="1">
      <c r="B22" s="236">
        <v>184</v>
      </c>
      <c r="C22" s="236" t="s">
        <v>2384</v>
      </c>
      <c r="D22" s="236">
        <v>19999</v>
      </c>
      <c r="E22" s="236" t="s">
        <v>2384</v>
      </c>
      <c r="F22" s="236" t="s">
        <v>2385</v>
      </c>
      <c r="G22" s="236" t="s">
        <v>2386</v>
      </c>
      <c r="H22" s="236" t="s">
        <v>2387</v>
      </c>
      <c r="I22" s="236">
        <v>900380353</v>
      </c>
      <c r="J22" s="236" t="s">
        <v>2388</v>
      </c>
      <c r="K22" s="236">
        <v>900380353</v>
      </c>
      <c r="L22" s="236" t="s">
        <v>2388</v>
      </c>
      <c r="M22" s="236" t="s">
        <v>2389</v>
      </c>
      <c r="N22" s="237">
        <v>1995432000</v>
      </c>
      <c r="O22" s="237">
        <v>0</v>
      </c>
      <c r="P22" s="237">
        <v>0</v>
      </c>
      <c r="Q22" s="237">
        <v>1995432000</v>
      </c>
      <c r="R22" s="237">
        <v>1995432000</v>
      </c>
      <c r="S22" s="238">
        <v>40506</v>
      </c>
      <c r="T22" s="236" t="s">
        <v>2390</v>
      </c>
      <c r="U22" s="236">
        <v>116</v>
      </c>
      <c r="V22" s="236" t="s">
        <v>2391</v>
      </c>
      <c r="W22" s="237">
        <v>3999000000</v>
      </c>
      <c r="X22" s="238">
        <v>40441</v>
      </c>
    </row>
    <row r="23" spans="1:24" s="235" customFormat="1" ht="24.95" customHeight="1">
      <c r="B23" s="236">
        <v>341</v>
      </c>
      <c r="C23" s="236" t="s">
        <v>2384</v>
      </c>
      <c r="D23" s="236">
        <v>19999</v>
      </c>
      <c r="E23" s="236" t="s">
        <v>2384</v>
      </c>
      <c r="F23" s="236" t="s">
        <v>2385</v>
      </c>
      <c r="G23" s="236" t="s">
        <v>2386</v>
      </c>
      <c r="H23" s="236" t="s">
        <v>2387</v>
      </c>
      <c r="I23" s="236">
        <v>900380353</v>
      </c>
      <c r="J23" s="236" t="s">
        <v>2388</v>
      </c>
      <c r="K23" s="236">
        <v>900380353</v>
      </c>
      <c r="L23" s="236" t="s">
        <v>2388</v>
      </c>
      <c r="M23" s="236" t="s">
        <v>2392</v>
      </c>
      <c r="N23" s="237">
        <v>210045474</v>
      </c>
      <c r="O23" s="237">
        <v>44544126.380000003</v>
      </c>
      <c r="P23" s="237">
        <v>105022737</v>
      </c>
      <c r="Q23" s="237">
        <v>60478610.619999997</v>
      </c>
      <c r="R23" s="237">
        <v>105022737</v>
      </c>
      <c r="S23" s="238">
        <v>40807</v>
      </c>
      <c r="T23" s="236" t="s">
        <v>2393</v>
      </c>
      <c r="U23" s="236">
        <v>116</v>
      </c>
      <c r="V23" s="236" t="s">
        <v>2391</v>
      </c>
      <c r="W23" s="237">
        <v>3999000000</v>
      </c>
      <c r="X23" s="238">
        <v>40441</v>
      </c>
    </row>
    <row r="24" spans="1:24" s="235" customFormat="1" ht="24.95" customHeight="1">
      <c r="B24" s="236">
        <v>342</v>
      </c>
      <c r="C24" s="236" t="s">
        <v>2384</v>
      </c>
      <c r="D24" s="236">
        <v>19999</v>
      </c>
      <c r="E24" s="236" t="s">
        <v>2384</v>
      </c>
      <c r="F24" s="236" t="s">
        <v>2385</v>
      </c>
      <c r="G24" s="236" t="s">
        <v>2386</v>
      </c>
      <c r="H24" s="236" t="s">
        <v>2387</v>
      </c>
      <c r="I24" s="236">
        <v>900380353</v>
      </c>
      <c r="J24" s="236" t="s">
        <v>2388</v>
      </c>
      <c r="K24" s="236">
        <v>900380353</v>
      </c>
      <c r="L24" s="236" t="s">
        <v>2388</v>
      </c>
      <c r="M24" s="236" t="s">
        <v>2394</v>
      </c>
      <c r="N24" s="237">
        <v>210045474</v>
      </c>
      <c r="O24" s="237">
        <v>44544126.380000003</v>
      </c>
      <c r="P24" s="237">
        <v>105022737</v>
      </c>
      <c r="Q24" s="237">
        <v>60478610.619999997</v>
      </c>
      <c r="R24" s="237">
        <v>105022737</v>
      </c>
      <c r="S24" s="238">
        <v>40807</v>
      </c>
      <c r="T24" s="236" t="s">
        <v>2393</v>
      </c>
      <c r="U24" s="236">
        <v>116</v>
      </c>
      <c r="V24" s="236" t="s">
        <v>2391</v>
      </c>
      <c r="W24" s="237">
        <v>3999000000</v>
      </c>
      <c r="X24" s="238">
        <v>40441</v>
      </c>
    </row>
    <row r="25" spans="1:24" s="235" customFormat="1" ht="24.95" customHeight="1">
      <c r="B25" s="236">
        <v>343</v>
      </c>
      <c r="C25" s="236" t="s">
        <v>2384</v>
      </c>
      <c r="D25" s="236">
        <v>19999</v>
      </c>
      <c r="E25" s="236" t="s">
        <v>2384</v>
      </c>
      <c r="F25" s="236" t="s">
        <v>2385</v>
      </c>
      <c r="G25" s="236" t="s">
        <v>2386</v>
      </c>
      <c r="H25" s="236" t="s">
        <v>2387</v>
      </c>
      <c r="I25" s="236">
        <v>900380353</v>
      </c>
      <c r="J25" s="236" t="s">
        <v>2388</v>
      </c>
      <c r="K25" s="236">
        <v>900380353</v>
      </c>
      <c r="L25" s="236" t="s">
        <v>2388</v>
      </c>
      <c r="M25" s="236" t="s">
        <v>2395</v>
      </c>
      <c r="N25" s="237">
        <v>210045474</v>
      </c>
      <c r="O25" s="237">
        <v>44544126.380000003</v>
      </c>
      <c r="P25" s="237">
        <v>105022737</v>
      </c>
      <c r="Q25" s="237">
        <v>60478610.619999997</v>
      </c>
      <c r="R25" s="237">
        <v>105022737</v>
      </c>
      <c r="S25" s="238">
        <v>40807</v>
      </c>
      <c r="T25" s="236" t="s">
        <v>2393</v>
      </c>
      <c r="U25" s="236">
        <v>116</v>
      </c>
      <c r="V25" s="236" t="s">
        <v>2391</v>
      </c>
      <c r="W25" s="237">
        <v>3999000000</v>
      </c>
      <c r="X25" s="238">
        <v>40441</v>
      </c>
    </row>
    <row r="26" spans="1:24" s="235" customFormat="1" ht="24.95" customHeight="1">
      <c r="B26" s="236">
        <v>632</v>
      </c>
      <c r="C26" s="236" t="s">
        <v>2384</v>
      </c>
      <c r="D26" s="236">
        <v>19999</v>
      </c>
      <c r="E26" s="236" t="s">
        <v>2384</v>
      </c>
      <c r="F26" s="236" t="s">
        <v>2385</v>
      </c>
      <c r="G26" s="236" t="s">
        <v>2386</v>
      </c>
      <c r="H26" s="236" t="s">
        <v>2387</v>
      </c>
      <c r="I26" s="236">
        <v>900380353</v>
      </c>
      <c r="J26" s="236" t="s">
        <v>2388</v>
      </c>
      <c r="K26" s="236">
        <v>900380353</v>
      </c>
      <c r="L26" s="236" t="s">
        <v>2388</v>
      </c>
      <c r="M26" s="236" t="s">
        <v>2396</v>
      </c>
      <c r="N26" s="237">
        <v>1260272844</v>
      </c>
      <c r="O26" s="237">
        <v>267264758.30000001</v>
      </c>
      <c r="P26" s="237">
        <v>630136422</v>
      </c>
      <c r="Q26" s="237">
        <v>362871663.69999999</v>
      </c>
      <c r="R26" s="237">
        <v>630136422</v>
      </c>
      <c r="S26" s="238">
        <v>41255</v>
      </c>
      <c r="T26" s="236" t="s">
        <v>2393</v>
      </c>
      <c r="U26" s="236">
        <v>116</v>
      </c>
      <c r="V26" s="236" t="s">
        <v>2391</v>
      </c>
      <c r="W26" s="237">
        <v>3999000000</v>
      </c>
      <c r="X26" s="238">
        <v>40441</v>
      </c>
    </row>
  </sheetData>
  <mergeCells count="1">
    <mergeCell ref="A14:C14"/>
  </mergeCells>
  <hyperlinks>
    <hyperlink ref="A6" r:id="rId1" display="http://consorciofia.info/cdr/ver_cdrs_w.php?municipios=1999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RowHeight="15"/>
  <cols>
    <col min="1" max="1" width="12.85546875" customWidth="1"/>
    <col min="2" max="2" width="64.5703125" customWidth="1"/>
    <col min="3" max="4" width="13" style="264" bestFit="1" customWidth="1"/>
    <col min="5" max="5" width="12.5703125" bestFit="1" customWidth="1"/>
  </cols>
  <sheetData>
    <row r="1" spans="1:5" ht="15.75">
      <c r="A1" s="240" t="s">
        <v>2397</v>
      </c>
    </row>
    <row r="2" spans="1:5">
      <c r="A2" s="239"/>
    </row>
    <row r="3" spans="1:5">
      <c r="A3" s="241" t="s">
        <v>2398</v>
      </c>
    </row>
    <row r="6" spans="1:5">
      <c r="A6" s="242" t="s">
        <v>2399</v>
      </c>
    </row>
    <row r="7" spans="1:5">
      <c r="A7" s="243" t="s">
        <v>2400</v>
      </c>
      <c r="B7" s="243" t="s">
        <v>2401</v>
      </c>
      <c r="C7" s="265" t="s">
        <v>2402</v>
      </c>
      <c r="D7" s="265" t="s">
        <v>2403</v>
      </c>
      <c r="E7" s="265" t="s">
        <v>2457</v>
      </c>
    </row>
    <row r="8" spans="1:5">
      <c r="A8" s="263" t="s">
        <v>2404</v>
      </c>
      <c r="B8" s="263"/>
      <c r="C8" s="270">
        <v>120996417</v>
      </c>
      <c r="D8" s="270">
        <v>106417228</v>
      </c>
      <c r="E8" s="270">
        <f>C8-D8</f>
        <v>14579189</v>
      </c>
    </row>
    <row r="9" spans="1:5" ht="36">
      <c r="A9" s="269" t="s">
        <v>2456</v>
      </c>
      <c r="B9" s="262" t="s">
        <v>2405</v>
      </c>
      <c r="C9" s="268">
        <v>120996417</v>
      </c>
      <c r="D9" s="268">
        <v>106417228</v>
      </c>
      <c r="E9" s="268">
        <f>C9-D9</f>
        <v>14579189</v>
      </c>
    </row>
    <row r="10" spans="1:5">
      <c r="A10" s="247" t="s">
        <v>2406</v>
      </c>
    </row>
    <row r="11" spans="1:5">
      <c r="A11" t="s">
        <v>2407</v>
      </c>
    </row>
    <row r="12" spans="1:5">
      <c r="A12" t="s">
        <v>2408</v>
      </c>
    </row>
    <row r="13" spans="1:5">
      <c r="A13" s="263" t="s">
        <v>2409</v>
      </c>
      <c r="B13" s="263" t="s">
        <v>2410</v>
      </c>
      <c r="C13" s="266" t="s">
        <v>2401</v>
      </c>
      <c r="D13" s="266" t="s">
        <v>2411</v>
      </c>
    </row>
    <row r="14" spans="1:5">
      <c r="A14" s="1476"/>
      <c r="B14" s="1476"/>
      <c r="C14" s="1476"/>
      <c r="D14" s="265"/>
    </row>
    <row r="15" spans="1:5" ht="24.95" customHeight="1">
      <c r="A15" s="261">
        <v>40707</v>
      </c>
      <c r="B15" s="262" t="s">
        <v>2454</v>
      </c>
      <c r="C15" s="267" t="s">
        <v>2405</v>
      </c>
      <c r="D15" s="268">
        <v>71721903</v>
      </c>
    </row>
    <row r="16" spans="1:5" ht="24.95" customHeight="1">
      <c r="A16" s="261">
        <v>41583</v>
      </c>
      <c r="B16" s="262" t="s">
        <v>2452</v>
      </c>
      <c r="C16" s="267" t="s">
        <v>2405</v>
      </c>
      <c r="D16" s="268">
        <v>20491937</v>
      </c>
    </row>
    <row r="17" spans="1:4" ht="24.95" customHeight="1">
      <c r="A17" s="261">
        <v>43097</v>
      </c>
      <c r="B17" s="262" t="s">
        <v>2453</v>
      </c>
      <c r="C17" s="267" t="s">
        <v>2405</v>
      </c>
      <c r="D17" s="268">
        <v>8521800</v>
      </c>
    </row>
    <row r="18" spans="1:4" ht="24.95" customHeight="1">
      <c r="A18" s="261">
        <v>41019</v>
      </c>
      <c r="B18" s="262" t="s">
        <v>2455</v>
      </c>
      <c r="C18" s="267" t="s">
        <v>2405</v>
      </c>
      <c r="D18" s="268">
        <v>5681588</v>
      </c>
    </row>
  </sheetData>
  <mergeCells count="1">
    <mergeCell ref="A14:C14"/>
  </mergeCells>
  <hyperlinks>
    <hyperlink ref="A6" r:id="rId1" display="http://consorciofia.info/cdr/ver_cdrs_w.php?municipios=19999"/>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0"/>
  <sheetViews>
    <sheetView workbookViewId="0"/>
  </sheetViews>
  <sheetFormatPr baseColWidth="10" defaultRowHeight="15"/>
  <sheetData>
    <row r="1" spans="1:1">
      <c r="A1" t="s">
        <v>57</v>
      </c>
    </row>
    <row r="2" spans="1:1">
      <c r="A2">
        <v>1</v>
      </c>
    </row>
    <row r="3" spans="1:1">
      <c r="A3">
        <v>1</v>
      </c>
    </row>
    <row r="4" spans="1:1">
      <c r="A4">
        <v>1</v>
      </c>
    </row>
    <row r="5" spans="1:1">
      <c r="A5">
        <v>1</v>
      </c>
    </row>
    <row r="6" spans="1:1">
      <c r="A6">
        <v>1</v>
      </c>
    </row>
    <row r="7" spans="1:1">
      <c r="A7">
        <v>1</v>
      </c>
    </row>
    <row r="8" spans="1:1">
      <c r="A8">
        <v>1</v>
      </c>
    </row>
    <row r="9" spans="1:1">
      <c r="A9">
        <v>1</v>
      </c>
    </row>
    <row r="10" spans="1:1">
      <c r="A10">
        <v>1</v>
      </c>
    </row>
    <row r="11" spans="1:1">
      <c r="A11">
        <v>1</v>
      </c>
    </row>
    <row r="12" spans="1:1">
      <c r="A12">
        <v>1</v>
      </c>
    </row>
    <row r="13" spans="1:1">
      <c r="A13">
        <v>2</v>
      </c>
    </row>
    <row r="14" spans="1:1">
      <c r="A14">
        <v>2</v>
      </c>
    </row>
    <row r="15" spans="1:1">
      <c r="A15">
        <v>2</v>
      </c>
    </row>
    <row r="16" spans="1:1">
      <c r="A16">
        <v>2</v>
      </c>
    </row>
    <row r="17" spans="1:1">
      <c r="A17">
        <v>2</v>
      </c>
    </row>
    <row r="18" spans="1:1">
      <c r="A18">
        <v>2</v>
      </c>
    </row>
    <row r="19" spans="1:1">
      <c r="A19">
        <v>2</v>
      </c>
    </row>
    <row r="20" spans="1:1">
      <c r="A20">
        <v>2</v>
      </c>
    </row>
    <row r="21" spans="1:1">
      <c r="A21">
        <v>2</v>
      </c>
    </row>
    <row r="22" spans="1:1">
      <c r="A22">
        <v>2</v>
      </c>
    </row>
    <row r="23" spans="1:1">
      <c r="A23">
        <v>2</v>
      </c>
    </row>
    <row r="24" spans="1:1">
      <c r="A24">
        <v>2</v>
      </c>
    </row>
    <row r="25" spans="1:1">
      <c r="A25">
        <v>3</v>
      </c>
    </row>
    <row r="26" spans="1:1">
      <c r="A26">
        <v>3</v>
      </c>
    </row>
    <row r="27" spans="1:1">
      <c r="A27">
        <v>3</v>
      </c>
    </row>
    <row r="28" spans="1:1">
      <c r="A28">
        <v>3</v>
      </c>
    </row>
    <row r="29" spans="1:1">
      <c r="A29">
        <v>3</v>
      </c>
    </row>
    <row r="30" spans="1:1">
      <c r="A30">
        <v>3</v>
      </c>
    </row>
    <row r="31" spans="1:1">
      <c r="A31">
        <v>3</v>
      </c>
    </row>
    <row r="32" spans="1:1">
      <c r="A32">
        <v>3</v>
      </c>
    </row>
    <row r="33" spans="1:1">
      <c r="A33">
        <v>3</v>
      </c>
    </row>
    <row r="34" spans="1:1">
      <c r="A34">
        <v>3</v>
      </c>
    </row>
    <row r="35" spans="1:1">
      <c r="A35">
        <v>4</v>
      </c>
    </row>
    <row r="36" spans="1:1">
      <c r="A36">
        <v>4</v>
      </c>
    </row>
    <row r="37" spans="1:1">
      <c r="A37">
        <v>4</v>
      </c>
    </row>
    <row r="38" spans="1:1">
      <c r="A38">
        <v>4</v>
      </c>
    </row>
    <row r="39" spans="1:1">
      <c r="A39">
        <v>4</v>
      </c>
    </row>
    <row r="40" spans="1:1">
      <c r="A40">
        <v>4</v>
      </c>
    </row>
    <row r="41" spans="1:1">
      <c r="A41">
        <v>4</v>
      </c>
    </row>
    <row r="42" spans="1:1">
      <c r="A42">
        <v>4</v>
      </c>
    </row>
    <row r="43" spans="1:1">
      <c r="A43">
        <v>4</v>
      </c>
    </row>
    <row r="44" spans="1:1">
      <c r="A44">
        <v>4</v>
      </c>
    </row>
    <row r="45" spans="1:1">
      <c r="A45">
        <v>4</v>
      </c>
    </row>
    <row r="46" spans="1:1">
      <c r="A46">
        <v>4</v>
      </c>
    </row>
    <row r="47" spans="1:1">
      <c r="A47">
        <v>4</v>
      </c>
    </row>
    <row r="48" spans="1:1">
      <c r="A48">
        <v>5</v>
      </c>
    </row>
    <row r="49" spans="1:1">
      <c r="A49">
        <v>5</v>
      </c>
    </row>
    <row r="50" spans="1:1">
      <c r="A50">
        <v>5</v>
      </c>
    </row>
    <row r="51" spans="1:1">
      <c r="A51">
        <v>5</v>
      </c>
    </row>
    <row r="52" spans="1:1">
      <c r="A52">
        <v>5</v>
      </c>
    </row>
    <row r="53" spans="1:1">
      <c r="A53">
        <v>5</v>
      </c>
    </row>
    <row r="54" spans="1:1">
      <c r="A54">
        <v>5</v>
      </c>
    </row>
    <row r="55" spans="1:1">
      <c r="A55">
        <v>5</v>
      </c>
    </row>
    <row r="56" spans="1:1">
      <c r="A56">
        <v>5</v>
      </c>
    </row>
    <row r="57" spans="1:1">
      <c r="A57">
        <v>5</v>
      </c>
    </row>
    <row r="58" spans="1:1">
      <c r="A58">
        <v>5</v>
      </c>
    </row>
    <row r="59" spans="1:1">
      <c r="A59">
        <v>5</v>
      </c>
    </row>
    <row r="60" spans="1:1">
      <c r="A60">
        <v>5</v>
      </c>
    </row>
    <row r="61" spans="1:1">
      <c r="A61">
        <v>5</v>
      </c>
    </row>
    <row r="62" spans="1:1">
      <c r="A62">
        <v>5</v>
      </c>
    </row>
    <row r="63" spans="1:1">
      <c r="A63">
        <v>5</v>
      </c>
    </row>
    <row r="64" spans="1:1">
      <c r="A64">
        <v>5</v>
      </c>
    </row>
    <row r="65" spans="1:1">
      <c r="A65">
        <v>6</v>
      </c>
    </row>
    <row r="66" spans="1:1">
      <c r="A66">
        <v>6</v>
      </c>
    </row>
    <row r="67" spans="1:1">
      <c r="A67">
        <v>6</v>
      </c>
    </row>
    <row r="68" spans="1:1">
      <c r="A68">
        <v>6</v>
      </c>
    </row>
    <row r="69" spans="1:1">
      <c r="A69">
        <v>6</v>
      </c>
    </row>
    <row r="70" spans="1:1">
      <c r="A70">
        <v>6</v>
      </c>
    </row>
    <row r="71" spans="1:1">
      <c r="A71">
        <v>6</v>
      </c>
    </row>
    <row r="72" spans="1:1">
      <c r="A72">
        <v>6</v>
      </c>
    </row>
    <row r="73" spans="1:1">
      <c r="A73">
        <v>6</v>
      </c>
    </row>
    <row r="74" spans="1:1">
      <c r="A74">
        <v>6</v>
      </c>
    </row>
    <row r="75" spans="1:1">
      <c r="A75">
        <v>6</v>
      </c>
    </row>
    <row r="76" spans="1:1">
      <c r="A76">
        <v>6</v>
      </c>
    </row>
    <row r="77" spans="1:1">
      <c r="A77">
        <v>6</v>
      </c>
    </row>
    <row r="78" spans="1:1">
      <c r="A78">
        <v>6</v>
      </c>
    </row>
    <row r="79" spans="1:1">
      <c r="A79">
        <v>6</v>
      </c>
    </row>
    <row r="80" spans="1:1">
      <c r="A80">
        <v>6</v>
      </c>
    </row>
    <row r="81" spans="1:1">
      <c r="A81">
        <v>6</v>
      </c>
    </row>
    <row r="82" spans="1:1">
      <c r="A82">
        <v>7</v>
      </c>
    </row>
    <row r="83" spans="1:1">
      <c r="A83">
        <v>7</v>
      </c>
    </row>
    <row r="84" spans="1:1">
      <c r="A84">
        <v>7</v>
      </c>
    </row>
    <row r="85" spans="1:1">
      <c r="A85">
        <v>7</v>
      </c>
    </row>
    <row r="86" spans="1:1">
      <c r="A86">
        <v>7</v>
      </c>
    </row>
    <row r="87" spans="1:1">
      <c r="A87">
        <v>7</v>
      </c>
    </row>
    <row r="88" spans="1:1">
      <c r="A88">
        <v>7</v>
      </c>
    </row>
    <row r="89" spans="1:1">
      <c r="A89">
        <v>7</v>
      </c>
    </row>
    <row r="90" spans="1:1">
      <c r="A90">
        <v>7</v>
      </c>
    </row>
    <row r="91" spans="1:1">
      <c r="A91">
        <v>7</v>
      </c>
    </row>
    <row r="92" spans="1:1">
      <c r="A92">
        <v>7</v>
      </c>
    </row>
    <row r="93" spans="1:1">
      <c r="A93">
        <v>7</v>
      </c>
    </row>
    <row r="94" spans="1:1">
      <c r="A94">
        <v>7</v>
      </c>
    </row>
    <row r="95" spans="1:1">
      <c r="A95">
        <v>8</v>
      </c>
    </row>
    <row r="96" spans="1:1">
      <c r="A96">
        <v>8</v>
      </c>
    </row>
    <row r="97" spans="1:1">
      <c r="A97">
        <v>8</v>
      </c>
    </row>
    <row r="98" spans="1:1">
      <c r="A98">
        <v>8</v>
      </c>
    </row>
    <row r="99" spans="1:1">
      <c r="A99">
        <v>8</v>
      </c>
    </row>
    <row r="100" spans="1:1">
      <c r="A100">
        <v>8</v>
      </c>
    </row>
    <row r="101" spans="1:1">
      <c r="A101">
        <v>8</v>
      </c>
    </row>
    <row r="102" spans="1:1">
      <c r="A102">
        <v>8</v>
      </c>
    </row>
    <row r="103" spans="1:1">
      <c r="A103">
        <v>8</v>
      </c>
    </row>
    <row r="104" spans="1:1">
      <c r="A104">
        <v>8</v>
      </c>
    </row>
    <row r="105" spans="1:1">
      <c r="A105">
        <v>8</v>
      </c>
    </row>
    <row r="106" spans="1:1">
      <c r="A106">
        <v>8</v>
      </c>
    </row>
    <row r="107" spans="1:1">
      <c r="A107">
        <v>8</v>
      </c>
    </row>
    <row r="108" spans="1:1">
      <c r="A108">
        <v>8</v>
      </c>
    </row>
    <row r="109" spans="1:1">
      <c r="A109">
        <v>9</v>
      </c>
    </row>
    <row r="110" spans="1:1">
      <c r="A110">
        <v>9</v>
      </c>
    </row>
    <row r="111" spans="1:1">
      <c r="A111">
        <v>9</v>
      </c>
    </row>
    <row r="112" spans="1:1">
      <c r="A112">
        <v>9</v>
      </c>
    </row>
    <row r="113" spans="1:1">
      <c r="A113">
        <v>9</v>
      </c>
    </row>
    <row r="114" spans="1:1">
      <c r="A114">
        <v>9</v>
      </c>
    </row>
    <row r="115" spans="1:1">
      <c r="A115">
        <v>9</v>
      </c>
    </row>
    <row r="116" spans="1:1">
      <c r="A116">
        <v>9</v>
      </c>
    </row>
    <row r="117" spans="1:1">
      <c r="A117">
        <v>9</v>
      </c>
    </row>
    <row r="118" spans="1:1">
      <c r="A118">
        <v>9</v>
      </c>
    </row>
    <row r="119" spans="1:1">
      <c r="A119">
        <v>9</v>
      </c>
    </row>
    <row r="120" spans="1:1">
      <c r="A120">
        <v>9</v>
      </c>
    </row>
    <row r="121" spans="1:1">
      <c r="A121">
        <v>9</v>
      </c>
    </row>
    <row r="122" spans="1:1">
      <c r="A122">
        <v>10</v>
      </c>
    </row>
    <row r="123" spans="1:1">
      <c r="A123">
        <v>10</v>
      </c>
    </row>
    <row r="124" spans="1:1">
      <c r="A124">
        <v>10</v>
      </c>
    </row>
    <row r="125" spans="1:1">
      <c r="A125">
        <v>10</v>
      </c>
    </row>
    <row r="126" spans="1:1">
      <c r="A126">
        <v>10</v>
      </c>
    </row>
    <row r="127" spans="1:1">
      <c r="A127">
        <v>10</v>
      </c>
    </row>
    <row r="128" spans="1:1">
      <c r="A128">
        <v>10</v>
      </c>
    </row>
    <row r="129" spans="1:1">
      <c r="A129">
        <v>10</v>
      </c>
    </row>
    <row r="130" spans="1:1">
      <c r="A130">
        <v>10</v>
      </c>
    </row>
    <row r="131" spans="1:1">
      <c r="A131">
        <v>10</v>
      </c>
    </row>
    <row r="132" spans="1:1">
      <c r="A132">
        <v>11</v>
      </c>
    </row>
    <row r="133" spans="1:1">
      <c r="A133">
        <v>11</v>
      </c>
    </row>
    <row r="134" spans="1:1">
      <c r="A134">
        <v>11</v>
      </c>
    </row>
    <row r="135" spans="1:1">
      <c r="A135">
        <v>11</v>
      </c>
    </row>
    <row r="136" spans="1:1">
      <c r="A136">
        <v>11</v>
      </c>
    </row>
    <row r="137" spans="1:1">
      <c r="A137">
        <v>11</v>
      </c>
    </row>
    <row r="138" spans="1:1">
      <c r="A138">
        <v>11</v>
      </c>
    </row>
    <row r="139" spans="1:1">
      <c r="A139">
        <v>12</v>
      </c>
    </row>
    <row r="140" spans="1:1">
      <c r="A140">
        <v>12</v>
      </c>
    </row>
    <row r="141" spans="1:1">
      <c r="A141">
        <v>12</v>
      </c>
    </row>
    <row r="142" spans="1:1">
      <c r="A142">
        <v>12</v>
      </c>
    </row>
    <row r="143" spans="1:1">
      <c r="A143">
        <v>12</v>
      </c>
    </row>
    <row r="144" spans="1:1">
      <c r="A144">
        <v>13</v>
      </c>
    </row>
    <row r="145" spans="1:1">
      <c r="A145">
        <v>13</v>
      </c>
    </row>
    <row r="146" spans="1:1">
      <c r="A146">
        <v>13</v>
      </c>
    </row>
    <row r="147" spans="1:1">
      <c r="A147">
        <v>13</v>
      </c>
    </row>
    <row r="148" spans="1:1">
      <c r="A148">
        <v>13</v>
      </c>
    </row>
    <row r="149" spans="1:1">
      <c r="A149">
        <v>14</v>
      </c>
    </row>
    <row r="150" spans="1:1">
      <c r="A150">
        <v>14</v>
      </c>
    </row>
    <row r="151" spans="1:1">
      <c r="A151">
        <v>14</v>
      </c>
    </row>
    <row r="152" spans="1:1">
      <c r="A152">
        <v>14</v>
      </c>
    </row>
    <row r="153" spans="1:1">
      <c r="A153">
        <v>14</v>
      </c>
    </row>
    <row r="154" spans="1:1">
      <c r="A154">
        <v>14</v>
      </c>
    </row>
    <row r="155" spans="1:1">
      <c r="A155">
        <v>14</v>
      </c>
    </row>
    <row r="156" spans="1:1">
      <c r="A156">
        <v>15</v>
      </c>
    </row>
    <row r="157" spans="1:1">
      <c r="A157">
        <v>15</v>
      </c>
    </row>
    <row r="158" spans="1:1">
      <c r="A158">
        <v>15</v>
      </c>
    </row>
    <row r="159" spans="1:1">
      <c r="A159">
        <v>15</v>
      </c>
    </row>
    <row r="160" spans="1:1">
      <c r="A160">
        <v>15</v>
      </c>
    </row>
    <row r="161" spans="1:1">
      <c r="A161">
        <v>15</v>
      </c>
    </row>
    <row r="162" spans="1:1">
      <c r="A162">
        <v>16</v>
      </c>
    </row>
    <row r="163" spans="1:1">
      <c r="A163">
        <v>16</v>
      </c>
    </row>
    <row r="164" spans="1:1">
      <c r="A164">
        <v>16</v>
      </c>
    </row>
    <row r="165" spans="1:1">
      <c r="A165">
        <v>16</v>
      </c>
    </row>
    <row r="166" spans="1:1">
      <c r="A166">
        <v>16</v>
      </c>
    </row>
    <row r="167" spans="1:1">
      <c r="A167">
        <v>16</v>
      </c>
    </row>
    <row r="168" spans="1:1">
      <c r="A168">
        <v>17</v>
      </c>
    </row>
    <row r="169" spans="1:1">
      <c r="A169">
        <v>17</v>
      </c>
    </row>
    <row r="170" spans="1:1">
      <c r="A170">
        <v>18</v>
      </c>
    </row>
    <row r="171" spans="1:1">
      <c r="A171">
        <v>19</v>
      </c>
    </row>
    <row r="172" spans="1:1">
      <c r="A172">
        <v>20</v>
      </c>
    </row>
    <row r="173" spans="1:1">
      <c r="A173">
        <v>20</v>
      </c>
    </row>
    <row r="174" spans="1:1">
      <c r="A174">
        <v>21</v>
      </c>
    </row>
    <row r="175" spans="1:1">
      <c r="A175">
        <v>21</v>
      </c>
    </row>
    <row r="176" spans="1:1">
      <c r="A176">
        <v>22</v>
      </c>
    </row>
    <row r="177" spans="1:1">
      <c r="A177">
        <v>23</v>
      </c>
    </row>
    <row r="178" spans="1:1">
      <c r="A178">
        <v>25</v>
      </c>
    </row>
    <row r="179" spans="1:1">
      <c r="A179">
        <v>28</v>
      </c>
    </row>
    <row r="180" spans="1:1">
      <c r="A180">
        <v>29</v>
      </c>
    </row>
    <row r="181" spans="1:1">
      <c r="A181">
        <v>31</v>
      </c>
    </row>
    <row r="182" spans="1:1">
      <c r="A182">
        <v>32</v>
      </c>
    </row>
    <row r="183" spans="1:1">
      <c r="A183">
        <v>33</v>
      </c>
    </row>
    <row r="184" spans="1:1">
      <c r="A184">
        <v>34</v>
      </c>
    </row>
    <row r="185" spans="1:1">
      <c r="A185">
        <v>35</v>
      </c>
    </row>
    <row r="186" spans="1:1">
      <c r="A186">
        <v>36</v>
      </c>
    </row>
    <row r="187" spans="1:1">
      <c r="A187">
        <v>37</v>
      </c>
    </row>
    <row r="188" spans="1:1">
      <c r="A188">
        <v>38</v>
      </c>
    </row>
    <row r="189" spans="1:1">
      <c r="A189">
        <v>39</v>
      </c>
    </row>
    <row r="190" spans="1:1">
      <c r="A190">
        <v>40</v>
      </c>
    </row>
    <row r="191" spans="1:1">
      <c r="A191">
        <v>41</v>
      </c>
    </row>
    <row r="192" spans="1:1">
      <c r="A192">
        <v>42</v>
      </c>
    </row>
    <row r="193" spans="1:1">
      <c r="A193">
        <v>43</v>
      </c>
    </row>
    <row r="194" spans="1:1">
      <c r="A194">
        <v>44</v>
      </c>
    </row>
    <row r="195" spans="1:1">
      <c r="A195">
        <v>45</v>
      </c>
    </row>
    <row r="196" spans="1:1">
      <c r="A196">
        <v>46</v>
      </c>
    </row>
    <row r="197" spans="1:1">
      <c r="A197">
        <v>47</v>
      </c>
    </row>
    <row r="198" spans="1:1">
      <c r="A198">
        <v>48</v>
      </c>
    </row>
    <row r="199" spans="1:1">
      <c r="A199">
        <v>49</v>
      </c>
    </row>
    <row r="200" spans="1:1">
      <c r="A200">
        <v>50</v>
      </c>
    </row>
    <row r="201" spans="1:1">
      <c r="A201">
        <v>51</v>
      </c>
    </row>
    <row r="202" spans="1:1">
      <c r="A202">
        <v>52</v>
      </c>
    </row>
    <row r="203" spans="1:1">
      <c r="A203">
        <v>53</v>
      </c>
    </row>
    <row r="204" spans="1:1">
      <c r="A204">
        <v>54</v>
      </c>
    </row>
    <row r="205" spans="1:1">
      <c r="A205">
        <v>55</v>
      </c>
    </row>
    <row r="206" spans="1:1">
      <c r="A206">
        <v>56</v>
      </c>
    </row>
    <row r="207" spans="1:1">
      <c r="A207">
        <v>57</v>
      </c>
    </row>
    <row r="208" spans="1:1">
      <c r="A208">
        <v>58</v>
      </c>
    </row>
    <row r="209" spans="1:1">
      <c r="A209">
        <v>59</v>
      </c>
    </row>
    <row r="210" spans="1:1">
      <c r="A210">
        <v>60</v>
      </c>
    </row>
    <row r="211" spans="1:1">
      <c r="A211">
        <v>61</v>
      </c>
    </row>
    <row r="212" spans="1:1">
      <c r="A212">
        <v>62</v>
      </c>
    </row>
    <row r="213" spans="1:1">
      <c r="A213">
        <v>63</v>
      </c>
    </row>
    <row r="214" spans="1:1">
      <c r="A214">
        <v>64</v>
      </c>
    </row>
    <row r="215" spans="1:1">
      <c r="A215">
        <v>65</v>
      </c>
    </row>
    <row r="216" spans="1:1">
      <c r="A216">
        <v>66</v>
      </c>
    </row>
    <row r="217" spans="1:1">
      <c r="A217">
        <v>67</v>
      </c>
    </row>
    <row r="218" spans="1:1">
      <c r="A218">
        <v>68</v>
      </c>
    </row>
    <row r="219" spans="1:1">
      <c r="A219">
        <v>69</v>
      </c>
    </row>
    <row r="220" spans="1:1">
      <c r="A220">
        <v>70</v>
      </c>
    </row>
    <row r="221" spans="1:1">
      <c r="A221">
        <v>71</v>
      </c>
    </row>
    <row r="222" spans="1:1">
      <c r="A222">
        <v>72</v>
      </c>
    </row>
    <row r="223" spans="1:1">
      <c r="A223">
        <v>73</v>
      </c>
    </row>
    <row r="224" spans="1:1">
      <c r="A224">
        <v>74</v>
      </c>
    </row>
    <row r="225" spans="1:1">
      <c r="A225">
        <v>75</v>
      </c>
    </row>
    <row r="226" spans="1:1">
      <c r="A226">
        <v>76</v>
      </c>
    </row>
    <row r="227" spans="1:1">
      <c r="A227">
        <v>77</v>
      </c>
    </row>
    <row r="228" spans="1:1">
      <c r="A228">
        <v>78</v>
      </c>
    </row>
    <row r="229" spans="1:1">
      <c r="A229">
        <v>79</v>
      </c>
    </row>
    <row r="230" spans="1:1">
      <c r="A230">
        <v>80</v>
      </c>
    </row>
    <row r="231" spans="1:1">
      <c r="A231">
        <v>81</v>
      </c>
    </row>
    <row r="232" spans="1:1">
      <c r="A232">
        <v>83</v>
      </c>
    </row>
    <row r="233" spans="1:1">
      <c r="A233">
        <v>84</v>
      </c>
    </row>
    <row r="234" spans="1:1">
      <c r="A234">
        <v>85</v>
      </c>
    </row>
    <row r="235" spans="1:1">
      <c r="A235">
        <v>86</v>
      </c>
    </row>
    <row r="236" spans="1:1">
      <c r="A236">
        <v>87</v>
      </c>
    </row>
    <row r="237" spans="1:1">
      <c r="A237">
        <v>88</v>
      </c>
    </row>
    <row r="238" spans="1:1">
      <c r="A238">
        <v>89</v>
      </c>
    </row>
    <row r="239" spans="1:1">
      <c r="A239">
        <v>90</v>
      </c>
    </row>
    <row r="240" spans="1:1">
      <c r="A240">
        <v>91</v>
      </c>
    </row>
    <row r="241" spans="1:1">
      <c r="A241">
        <v>92</v>
      </c>
    </row>
    <row r="242" spans="1:1">
      <c r="A242">
        <v>93</v>
      </c>
    </row>
    <row r="243" spans="1:1">
      <c r="A243">
        <v>94</v>
      </c>
    </row>
    <row r="244" spans="1:1">
      <c r="A244">
        <v>95</v>
      </c>
    </row>
    <row r="245" spans="1:1">
      <c r="A245">
        <v>96</v>
      </c>
    </row>
    <row r="246" spans="1:1">
      <c r="A246">
        <v>97</v>
      </c>
    </row>
    <row r="247" spans="1:1">
      <c r="A247">
        <v>98</v>
      </c>
    </row>
    <row r="248" spans="1:1">
      <c r="A248">
        <v>99</v>
      </c>
    </row>
    <row r="249" spans="1:1">
      <c r="A249">
        <v>100</v>
      </c>
    </row>
    <row r="250" spans="1:1">
      <c r="A250">
        <v>101</v>
      </c>
    </row>
    <row r="251" spans="1:1">
      <c r="A251">
        <v>102</v>
      </c>
    </row>
    <row r="252" spans="1:1">
      <c r="A252">
        <v>103</v>
      </c>
    </row>
    <row r="253" spans="1:1">
      <c r="A253">
        <v>104</v>
      </c>
    </row>
    <row r="254" spans="1:1">
      <c r="A254">
        <v>105</v>
      </c>
    </row>
    <row r="255" spans="1:1">
      <c r="A255">
        <v>106</v>
      </c>
    </row>
    <row r="256" spans="1:1">
      <c r="A256">
        <v>107</v>
      </c>
    </row>
    <row r="257" spans="1:1">
      <c r="A257">
        <v>108</v>
      </c>
    </row>
    <row r="258" spans="1:1">
      <c r="A258">
        <v>109</v>
      </c>
    </row>
    <row r="259" spans="1:1">
      <c r="A259">
        <v>110</v>
      </c>
    </row>
    <row r="260" spans="1:1">
      <c r="A260">
        <v>111</v>
      </c>
    </row>
    <row r="261" spans="1:1">
      <c r="A261">
        <v>112</v>
      </c>
    </row>
    <row r="262" spans="1:1">
      <c r="A262">
        <v>113</v>
      </c>
    </row>
    <row r="263" spans="1:1">
      <c r="A263">
        <v>117</v>
      </c>
    </row>
    <row r="264" spans="1:1">
      <c r="A264">
        <v>118</v>
      </c>
    </row>
    <row r="265" spans="1:1">
      <c r="A265">
        <v>119</v>
      </c>
    </row>
    <row r="266" spans="1:1">
      <c r="A266">
        <v>124</v>
      </c>
    </row>
    <row r="267" spans="1:1">
      <c r="A267">
        <v>125</v>
      </c>
    </row>
    <row r="268" spans="1:1">
      <c r="A268">
        <v>126</v>
      </c>
    </row>
    <row r="269" spans="1:1">
      <c r="A269">
        <v>127</v>
      </c>
    </row>
    <row r="270" spans="1:1">
      <c r="A270">
        <v>128</v>
      </c>
    </row>
    <row r="271" spans="1:1">
      <c r="A271">
        <v>129</v>
      </c>
    </row>
    <row r="272" spans="1:1">
      <c r="A272">
        <v>130</v>
      </c>
    </row>
    <row r="273" spans="1:1">
      <c r="A273">
        <v>131</v>
      </c>
    </row>
    <row r="274" spans="1:1">
      <c r="A274">
        <v>132</v>
      </c>
    </row>
    <row r="275" spans="1:1">
      <c r="A275">
        <v>134</v>
      </c>
    </row>
    <row r="276" spans="1:1">
      <c r="A276">
        <v>135</v>
      </c>
    </row>
    <row r="277" spans="1:1">
      <c r="A277">
        <v>136</v>
      </c>
    </row>
    <row r="278" spans="1:1">
      <c r="A278">
        <v>137</v>
      </c>
    </row>
    <row r="279" spans="1:1">
      <c r="A279">
        <v>138</v>
      </c>
    </row>
    <row r="280" spans="1:1">
      <c r="A280">
        <v>139</v>
      </c>
    </row>
    <row r="281" spans="1:1">
      <c r="A281">
        <v>140</v>
      </c>
    </row>
    <row r="282" spans="1:1">
      <c r="A282">
        <v>141</v>
      </c>
    </row>
    <row r="283" spans="1:1">
      <c r="A283">
        <v>142</v>
      </c>
    </row>
    <row r="284" spans="1:1">
      <c r="A284">
        <v>143</v>
      </c>
    </row>
    <row r="285" spans="1:1">
      <c r="A285">
        <v>144</v>
      </c>
    </row>
    <row r="286" spans="1:1">
      <c r="A286">
        <v>145</v>
      </c>
    </row>
    <row r="287" spans="1:1">
      <c r="A287">
        <v>149</v>
      </c>
    </row>
    <row r="288" spans="1:1">
      <c r="A288">
        <v>150</v>
      </c>
    </row>
    <row r="289" spans="1:1">
      <c r="A289">
        <v>151</v>
      </c>
    </row>
    <row r="290" spans="1:1">
      <c r="A290">
        <v>152</v>
      </c>
    </row>
    <row r="291" spans="1:1">
      <c r="A291">
        <v>156</v>
      </c>
    </row>
    <row r="292" spans="1:1">
      <c r="A292">
        <v>157</v>
      </c>
    </row>
    <row r="293" spans="1:1">
      <c r="A293">
        <v>158</v>
      </c>
    </row>
    <row r="294" spans="1:1">
      <c r="A294">
        <v>159</v>
      </c>
    </row>
    <row r="295" spans="1:1">
      <c r="A295">
        <v>160</v>
      </c>
    </row>
    <row r="296" spans="1:1">
      <c r="A296">
        <v>161</v>
      </c>
    </row>
    <row r="297" spans="1:1">
      <c r="A297">
        <v>162</v>
      </c>
    </row>
    <row r="298" spans="1:1">
      <c r="A298">
        <v>163</v>
      </c>
    </row>
    <row r="299" spans="1:1">
      <c r="A299">
        <v>164</v>
      </c>
    </row>
    <row r="300" spans="1:1">
      <c r="A300">
        <v>165</v>
      </c>
    </row>
    <row r="301" spans="1:1">
      <c r="A301">
        <v>166</v>
      </c>
    </row>
    <row r="302" spans="1:1">
      <c r="A302">
        <v>167</v>
      </c>
    </row>
    <row r="303" spans="1:1">
      <c r="A303">
        <v>168</v>
      </c>
    </row>
    <row r="304" spans="1:1">
      <c r="A304">
        <v>169</v>
      </c>
    </row>
    <row r="305" spans="1:1">
      <c r="A305">
        <v>170</v>
      </c>
    </row>
    <row r="306" spans="1:1">
      <c r="A306">
        <v>171</v>
      </c>
    </row>
    <row r="307" spans="1:1">
      <c r="A307">
        <v>172</v>
      </c>
    </row>
    <row r="308" spans="1:1">
      <c r="A308">
        <v>173</v>
      </c>
    </row>
    <row r="309" spans="1:1">
      <c r="A309">
        <v>174</v>
      </c>
    </row>
    <row r="310" spans="1:1">
      <c r="A310">
        <v>174</v>
      </c>
    </row>
    <row r="311" spans="1:1">
      <c r="A311">
        <v>174</v>
      </c>
    </row>
    <row r="312" spans="1:1">
      <c r="A312">
        <v>174</v>
      </c>
    </row>
    <row r="313" spans="1:1">
      <c r="A313">
        <v>174</v>
      </c>
    </row>
    <row r="314" spans="1:1">
      <c r="A314">
        <v>174</v>
      </c>
    </row>
    <row r="315" spans="1:1">
      <c r="A315">
        <v>174</v>
      </c>
    </row>
    <row r="316" spans="1:1">
      <c r="A316">
        <v>174</v>
      </c>
    </row>
    <row r="317" spans="1:1">
      <c r="A317">
        <v>174</v>
      </c>
    </row>
    <row r="318" spans="1:1">
      <c r="A318">
        <v>174</v>
      </c>
    </row>
    <row r="319" spans="1:1">
      <c r="A319">
        <v>174</v>
      </c>
    </row>
    <row r="320" spans="1:1">
      <c r="A320">
        <v>174</v>
      </c>
    </row>
    <row r="321" spans="1:1">
      <c r="A321">
        <v>174</v>
      </c>
    </row>
    <row r="322" spans="1:1">
      <c r="A322">
        <v>174</v>
      </c>
    </row>
    <row r="323" spans="1:1">
      <c r="A323">
        <v>174</v>
      </c>
    </row>
    <row r="324" spans="1:1">
      <c r="A324">
        <v>174</v>
      </c>
    </row>
    <row r="325" spans="1:1">
      <c r="A325">
        <v>174</v>
      </c>
    </row>
    <row r="326" spans="1:1">
      <c r="A326">
        <v>174</v>
      </c>
    </row>
    <row r="327" spans="1:1">
      <c r="A327">
        <v>174</v>
      </c>
    </row>
    <row r="328" spans="1:1">
      <c r="A328">
        <v>174</v>
      </c>
    </row>
    <row r="329" spans="1:1">
      <c r="A329">
        <v>174</v>
      </c>
    </row>
    <row r="330" spans="1:1">
      <c r="A330">
        <v>174</v>
      </c>
    </row>
    <row r="331" spans="1:1">
      <c r="A331">
        <v>174</v>
      </c>
    </row>
    <row r="332" spans="1:1">
      <c r="A332">
        <v>174</v>
      </c>
    </row>
    <row r="333" spans="1:1">
      <c r="A333">
        <v>174</v>
      </c>
    </row>
    <row r="334" spans="1:1">
      <c r="A334">
        <v>174</v>
      </c>
    </row>
    <row r="335" spans="1:1">
      <c r="A335">
        <v>175</v>
      </c>
    </row>
    <row r="336" spans="1:1">
      <c r="A336">
        <v>176</v>
      </c>
    </row>
    <row r="337" spans="1:1">
      <c r="A337">
        <v>177</v>
      </c>
    </row>
    <row r="338" spans="1:1">
      <c r="A338">
        <v>178</v>
      </c>
    </row>
    <row r="339" spans="1:1">
      <c r="A339">
        <v>180</v>
      </c>
    </row>
    <row r="340" spans="1:1">
      <c r="A340">
        <v>181</v>
      </c>
    </row>
    <row r="341" spans="1:1">
      <c r="A341">
        <v>182</v>
      </c>
    </row>
    <row r="342" spans="1:1">
      <c r="A342">
        <v>183</v>
      </c>
    </row>
    <row r="343" spans="1:1">
      <c r="A343">
        <v>185</v>
      </c>
    </row>
    <row r="344" spans="1:1">
      <c r="A344">
        <v>186</v>
      </c>
    </row>
    <row r="345" spans="1:1">
      <c r="A345">
        <v>187</v>
      </c>
    </row>
    <row r="346" spans="1:1">
      <c r="A346">
        <v>188</v>
      </c>
    </row>
    <row r="347" spans="1:1">
      <c r="A347">
        <v>189</v>
      </c>
    </row>
    <row r="348" spans="1:1">
      <c r="A348">
        <v>190</v>
      </c>
    </row>
    <row r="349" spans="1:1">
      <c r="A349">
        <v>191</v>
      </c>
    </row>
    <row r="350" spans="1:1">
      <c r="A350">
        <v>192</v>
      </c>
    </row>
    <row r="351" spans="1:1">
      <c r="A351">
        <v>193</v>
      </c>
    </row>
    <row r="352" spans="1:1">
      <c r="A352">
        <v>194</v>
      </c>
    </row>
    <row r="353" spans="1:1">
      <c r="A353">
        <v>195</v>
      </c>
    </row>
    <row r="354" spans="1:1">
      <c r="A354">
        <v>196</v>
      </c>
    </row>
    <row r="355" spans="1:1">
      <c r="A355">
        <v>197</v>
      </c>
    </row>
    <row r="356" spans="1:1">
      <c r="A356">
        <v>198</v>
      </c>
    </row>
    <row r="357" spans="1:1">
      <c r="A357">
        <v>199</v>
      </c>
    </row>
    <row r="358" spans="1:1">
      <c r="A358">
        <v>200</v>
      </c>
    </row>
    <row r="359" spans="1:1">
      <c r="A359">
        <v>201</v>
      </c>
    </row>
    <row r="360" spans="1:1">
      <c r="A360">
        <v>202</v>
      </c>
    </row>
    <row r="361" spans="1:1">
      <c r="A361">
        <v>203</v>
      </c>
    </row>
    <row r="362" spans="1:1">
      <c r="A362">
        <v>204</v>
      </c>
    </row>
    <row r="363" spans="1:1">
      <c r="A363">
        <v>205</v>
      </c>
    </row>
    <row r="364" spans="1:1">
      <c r="A364">
        <v>206</v>
      </c>
    </row>
    <row r="365" spans="1:1">
      <c r="A365">
        <v>207</v>
      </c>
    </row>
    <row r="366" spans="1:1">
      <c r="A366">
        <v>208</v>
      </c>
    </row>
    <row r="367" spans="1:1">
      <c r="A367">
        <v>209</v>
      </c>
    </row>
    <row r="368" spans="1:1">
      <c r="A368">
        <v>210</v>
      </c>
    </row>
    <row r="369" spans="1:1">
      <c r="A369">
        <v>211</v>
      </c>
    </row>
    <row r="370" spans="1:1">
      <c r="A370">
        <v>212</v>
      </c>
    </row>
    <row r="371" spans="1:1">
      <c r="A371">
        <v>213</v>
      </c>
    </row>
    <row r="372" spans="1:1">
      <c r="A372">
        <v>214</v>
      </c>
    </row>
    <row r="373" spans="1:1">
      <c r="A373">
        <v>215</v>
      </c>
    </row>
    <row r="374" spans="1:1">
      <c r="A374">
        <v>216</v>
      </c>
    </row>
    <row r="375" spans="1:1">
      <c r="A375">
        <v>219</v>
      </c>
    </row>
    <row r="376" spans="1:1">
      <c r="A376">
        <v>220</v>
      </c>
    </row>
    <row r="377" spans="1:1">
      <c r="A377">
        <v>221</v>
      </c>
    </row>
    <row r="378" spans="1:1">
      <c r="A378">
        <v>222</v>
      </c>
    </row>
    <row r="379" spans="1:1">
      <c r="A379">
        <v>223</v>
      </c>
    </row>
    <row r="380" spans="1:1">
      <c r="A380">
        <v>224</v>
      </c>
    </row>
    <row r="381" spans="1:1">
      <c r="A381">
        <v>227</v>
      </c>
    </row>
    <row r="382" spans="1:1">
      <c r="A382">
        <v>228</v>
      </c>
    </row>
    <row r="383" spans="1:1">
      <c r="A383">
        <v>229</v>
      </c>
    </row>
    <row r="384" spans="1:1">
      <c r="A384">
        <v>230</v>
      </c>
    </row>
    <row r="385" spans="1:1">
      <c r="A385">
        <v>231</v>
      </c>
    </row>
    <row r="386" spans="1:1">
      <c r="A386">
        <v>232</v>
      </c>
    </row>
    <row r="387" spans="1:1">
      <c r="A387">
        <v>233</v>
      </c>
    </row>
    <row r="388" spans="1:1">
      <c r="A388">
        <v>234</v>
      </c>
    </row>
    <row r="389" spans="1:1">
      <c r="A389">
        <v>235</v>
      </c>
    </row>
    <row r="390" spans="1:1">
      <c r="A390">
        <v>236</v>
      </c>
    </row>
    <row r="391" spans="1:1">
      <c r="A391">
        <v>237</v>
      </c>
    </row>
    <row r="392" spans="1:1">
      <c r="A392">
        <v>239</v>
      </c>
    </row>
    <row r="393" spans="1:1">
      <c r="A393">
        <v>240</v>
      </c>
    </row>
    <row r="394" spans="1:1">
      <c r="A394">
        <v>241</v>
      </c>
    </row>
    <row r="395" spans="1:1">
      <c r="A395">
        <v>242</v>
      </c>
    </row>
    <row r="396" spans="1:1">
      <c r="A396">
        <v>243</v>
      </c>
    </row>
    <row r="397" spans="1:1">
      <c r="A397">
        <v>244</v>
      </c>
    </row>
    <row r="398" spans="1:1">
      <c r="A398">
        <v>249</v>
      </c>
    </row>
    <row r="399" spans="1:1">
      <c r="A399">
        <v>250</v>
      </c>
    </row>
    <row r="400" spans="1:1">
      <c r="A400">
        <v>251</v>
      </c>
    </row>
    <row r="401" spans="1:1">
      <c r="A401">
        <v>252</v>
      </c>
    </row>
    <row r="402" spans="1:1">
      <c r="A402">
        <v>253</v>
      </c>
    </row>
    <row r="403" spans="1:1">
      <c r="A403">
        <v>254</v>
      </c>
    </row>
    <row r="404" spans="1:1">
      <c r="A404">
        <v>255</v>
      </c>
    </row>
    <row r="405" spans="1:1">
      <c r="A405">
        <v>256</v>
      </c>
    </row>
    <row r="406" spans="1:1">
      <c r="A406">
        <v>257</v>
      </c>
    </row>
    <row r="407" spans="1:1">
      <c r="A407">
        <v>258</v>
      </c>
    </row>
    <row r="408" spans="1:1">
      <c r="A408">
        <v>259</v>
      </c>
    </row>
    <row r="409" spans="1:1">
      <c r="A409">
        <v>260</v>
      </c>
    </row>
    <row r="410" spans="1:1">
      <c r="A410">
        <v>261</v>
      </c>
    </row>
    <row r="411" spans="1:1">
      <c r="A411">
        <v>262</v>
      </c>
    </row>
    <row r="412" spans="1:1">
      <c r="A412">
        <v>263</v>
      </c>
    </row>
    <row r="413" spans="1:1">
      <c r="A413">
        <v>264</v>
      </c>
    </row>
    <row r="414" spans="1:1">
      <c r="A414">
        <v>267</v>
      </c>
    </row>
    <row r="415" spans="1:1">
      <c r="A415">
        <v>268</v>
      </c>
    </row>
    <row r="416" spans="1:1">
      <c r="A416">
        <v>269</v>
      </c>
    </row>
    <row r="417" spans="1:1">
      <c r="A417">
        <v>271</v>
      </c>
    </row>
    <row r="418" spans="1:1">
      <c r="A418">
        <v>272</v>
      </c>
    </row>
    <row r="419" spans="1:1">
      <c r="A419">
        <v>273</v>
      </c>
    </row>
    <row r="420" spans="1:1">
      <c r="A420">
        <v>273</v>
      </c>
    </row>
    <row r="421" spans="1:1">
      <c r="A421">
        <v>274</v>
      </c>
    </row>
    <row r="422" spans="1:1">
      <c r="A422">
        <v>275</v>
      </c>
    </row>
    <row r="423" spans="1:1">
      <c r="A423">
        <v>276</v>
      </c>
    </row>
    <row r="424" spans="1:1">
      <c r="A424">
        <v>277</v>
      </c>
    </row>
    <row r="425" spans="1:1">
      <c r="A425">
        <v>278</v>
      </c>
    </row>
    <row r="426" spans="1:1">
      <c r="A426">
        <v>283</v>
      </c>
    </row>
    <row r="427" spans="1:1">
      <c r="A427">
        <v>284</v>
      </c>
    </row>
    <row r="428" spans="1:1">
      <c r="A428">
        <v>285</v>
      </c>
    </row>
    <row r="429" spans="1:1">
      <c r="A429">
        <v>288</v>
      </c>
    </row>
    <row r="430" spans="1:1">
      <c r="A430">
        <v>289</v>
      </c>
    </row>
    <row r="431" spans="1:1">
      <c r="A431">
        <v>290</v>
      </c>
    </row>
    <row r="432" spans="1:1">
      <c r="A432">
        <v>291</v>
      </c>
    </row>
    <row r="433" spans="1:1">
      <c r="A433">
        <v>292</v>
      </c>
    </row>
    <row r="434" spans="1:1">
      <c r="A434">
        <v>293</v>
      </c>
    </row>
    <row r="435" spans="1:1">
      <c r="A435">
        <v>294</v>
      </c>
    </row>
    <row r="436" spans="1:1">
      <c r="A436">
        <v>296</v>
      </c>
    </row>
    <row r="437" spans="1:1">
      <c r="A437">
        <v>297</v>
      </c>
    </row>
    <row r="438" spans="1:1">
      <c r="A438">
        <v>298</v>
      </c>
    </row>
    <row r="439" spans="1:1">
      <c r="A439">
        <v>299</v>
      </c>
    </row>
    <row r="440" spans="1:1">
      <c r="A440">
        <v>300</v>
      </c>
    </row>
    <row r="441" spans="1:1">
      <c r="A441">
        <v>301</v>
      </c>
    </row>
    <row r="442" spans="1:1">
      <c r="A442">
        <v>304</v>
      </c>
    </row>
    <row r="443" spans="1:1">
      <c r="A443">
        <v>306</v>
      </c>
    </row>
    <row r="444" spans="1:1">
      <c r="A444">
        <v>307</v>
      </c>
    </row>
    <row r="445" spans="1:1">
      <c r="A445">
        <v>308</v>
      </c>
    </row>
    <row r="446" spans="1:1">
      <c r="A446">
        <v>309</v>
      </c>
    </row>
    <row r="447" spans="1:1">
      <c r="A447">
        <v>310</v>
      </c>
    </row>
    <row r="448" spans="1:1">
      <c r="A448">
        <v>311</v>
      </c>
    </row>
    <row r="449" spans="1:1">
      <c r="A449">
        <v>313</v>
      </c>
    </row>
    <row r="450" spans="1:1">
      <c r="A450">
        <v>316</v>
      </c>
    </row>
    <row r="451" spans="1:1">
      <c r="A451">
        <v>317</v>
      </c>
    </row>
    <row r="452" spans="1:1">
      <c r="A452">
        <v>318</v>
      </c>
    </row>
    <row r="453" spans="1:1">
      <c r="A453">
        <v>322</v>
      </c>
    </row>
    <row r="454" spans="1:1">
      <c r="A454">
        <v>324</v>
      </c>
    </row>
    <row r="455" spans="1:1">
      <c r="A455">
        <v>325</v>
      </c>
    </row>
    <row r="456" spans="1:1">
      <c r="A456">
        <v>333</v>
      </c>
    </row>
    <row r="457" spans="1:1">
      <c r="A457">
        <v>337</v>
      </c>
    </row>
    <row r="458" spans="1:1">
      <c r="A458">
        <v>338</v>
      </c>
    </row>
    <row r="459" spans="1:1">
      <c r="A459">
        <v>340</v>
      </c>
    </row>
    <row r="460" spans="1:1">
      <c r="A460">
        <v>341</v>
      </c>
    </row>
    <row r="461" spans="1:1">
      <c r="A461">
        <v>342</v>
      </c>
    </row>
    <row r="462" spans="1:1">
      <c r="A462">
        <v>343</v>
      </c>
    </row>
    <row r="463" spans="1:1">
      <c r="A463">
        <v>2295</v>
      </c>
    </row>
    <row r="464" spans="1:1">
      <c r="A464">
        <v>2296</v>
      </c>
    </row>
    <row r="465" spans="1:2">
      <c r="A465">
        <v>2646</v>
      </c>
    </row>
    <row r="466" spans="1:2">
      <c r="A466">
        <v>2647</v>
      </c>
    </row>
    <row r="467" spans="1:2">
      <c r="A467">
        <v>3562</v>
      </c>
    </row>
    <row r="468" spans="1:2">
      <c r="A468">
        <v>3564</v>
      </c>
    </row>
    <row r="469" spans="1:2">
      <c r="A469" t="s">
        <v>973</v>
      </c>
    </row>
    <row r="470" spans="1:2" ht="33.75">
      <c r="A470" s="228">
        <v>468</v>
      </c>
      <c r="B470" t="s">
        <v>2373</v>
      </c>
    </row>
  </sheetData>
  <sortState ref="A2:A1635">
    <sortCondition ref="A2:A1635"/>
  </sortStat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4"/>
  <sheetViews>
    <sheetView workbookViewId="0">
      <selection sqref="A1:A3"/>
    </sheetView>
  </sheetViews>
  <sheetFormatPr baseColWidth="10" defaultRowHeight="15"/>
  <cols>
    <col min="3" max="3" width="22.5703125" bestFit="1" customWidth="1"/>
    <col min="4" max="4" width="15.42578125" bestFit="1" customWidth="1"/>
    <col min="5" max="5" width="28.5703125" customWidth="1"/>
    <col min="6" max="6" width="19" bestFit="1" customWidth="1"/>
    <col min="7" max="7" width="12.7109375" bestFit="1" customWidth="1"/>
    <col min="9" max="9" width="20.28515625" bestFit="1" customWidth="1"/>
    <col min="11" max="11" width="23.85546875" customWidth="1"/>
  </cols>
  <sheetData>
    <row r="1" spans="1:12">
      <c r="A1" s="1480" t="s">
        <v>2320</v>
      </c>
      <c r="B1" s="1483" t="s">
        <v>2321</v>
      </c>
      <c r="C1" s="1483" t="s">
        <v>2322</v>
      </c>
      <c r="D1" s="1483" t="s">
        <v>3</v>
      </c>
      <c r="E1" s="1483" t="s">
        <v>2323</v>
      </c>
      <c r="F1" s="1477" t="s">
        <v>2324</v>
      </c>
      <c r="G1" s="1485" t="s">
        <v>2325</v>
      </c>
      <c r="H1" s="1485" t="s">
        <v>2326</v>
      </c>
      <c r="I1" s="1477" t="s">
        <v>2327</v>
      </c>
      <c r="J1" s="1486" t="s">
        <v>2328</v>
      </c>
      <c r="K1" s="1487"/>
      <c r="L1" s="1490" t="s">
        <v>2329</v>
      </c>
    </row>
    <row r="2" spans="1:12">
      <c r="A2" s="1481"/>
      <c r="B2" s="1484"/>
      <c r="C2" s="1484"/>
      <c r="D2" s="1484"/>
      <c r="E2" s="1484"/>
      <c r="F2" s="1478"/>
      <c r="G2" s="1478"/>
      <c r="H2" s="1478"/>
      <c r="I2" s="1478"/>
      <c r="J2" s="1488"/>
      <c r="K2" s="1489"/>
      <c r="L2" s="1491"/>
    </row>
    <row r="3" spans="1:12" ht="31.5">
      <c r="A3" s="1482"/>
      <c r="B3" s="1477"/>
      <c r="C3" s="1477"/>
      <c r="D3" s="1477"/>
      <c r="E3" s="1477"/>
      <c r="F3" s="1479"/>
      <c r="G3" s="1479"/>
      <c r="H3" s="1479"/>
      <c r="I3" s="1479"/>
      <c r="J3" s="209" t="s">
        <v>2330</v>
      </c>
      <c r="K3" s="209" t="s">
        <v>2331</v>
      </c>
      <c r="L3" s="1492"/>
    </row>
    <row r="4" spans="1:12" ht="15" customHeight="1">
      <c r="A4" s="210">
        <v>1</v>
      </c>
      <c r="B4" s="211" t="s">
        <v>233</v>
      </c>
      <c r="C4" s="212">
        <v>92855436</v>
      </c>
      <c r="D4" s="211">
        <v>900346392</v>
      </c>
      <c r="E4" s="213" t="s">
        <v>175</v>
      </c>
      <c r="F4" s="214"/>
      <c r="G4" s="215">
        <v>40211</v>
      </c>
      <c r="H4" s="216">
        <v>1</v>
      </c>
      <c r="I4" s="217">
        <v>12064</v>
      </c>
      <c r="J4" s="218">
        <v>19999</v>
      </c>
      <c r="K4" s="219" t="s">
        <v>2336</v>
      </c>
      <c r="L4" s="216" t="s">
        <v>2332</v>
      </c>
    </row>
    <row r="5" spans="1:12" ht="15" customHeight="1">
      <c r="A5" s="210">
        <v>2</v>
      </c>
      <c r="B5" s="211" t="s">
        <v>234</v>
      </c>
      <c r="C5" s="212">
        <v>138932500</v>
      </c>
      <c r="D5" s="211">
        <v>900342899</v>
      </c>
      <c r="E5" s="213" t="s">
        <v>6</v>
      </c>
      <c r="F5" s="214">
        <v>91</v>
      </c>
      <c r="G5" s="215">
        <v>40211</v>
      </c>
      <c r="H5" s="216">
        <v>2</v>
      </c>
      <c r="I5" s="217">
        <v>91</v>
      </c>
      <c r="J5" s="218">
        <v>19999</v>
      </c>
      <c r="K5" s="219" t="s">
        <v>2336</v>
      </c>
      <c r="L5" s="216" t="s">
        <v>2332</v>
      </c>
    </row>
    <row r="6" spans="1:12" ht="15" customHeight="1">
      <c r="A6" s="210">
        <v>3</v>
      </c>
      <c r="B6" s="211" t="s">
        <v>2333</v>
      </c>
      <c r="C6" s="212">
        <v>210275520</v>
      </c>
      <c r="D6" s="211">
        <v>900346392</v>
      </c>
      <c r="E6" s="213" t="s">
        <v>175</v>
      </c>
      <c r="F6" s="214"/>
      <c r="G6" s="215">
        <v>40211</v>
      </c>
      <c r="H6" s="216">
        <v>28</v>
      </c>
      <c r="I6" s="217">
        <v>6380</v>
      </c>
      <c r="J6" s="218">
        <v>19999</v>
      </c>
      <c r="K6" s="219" t="s">
        <v>2336</v>
      </c>
      <c r="L6" s="216" t="s">
        <v>2332</v>
      </c>
    </row>
    <row r="7" spans="1:12" ht="15" customHeight="1">
      <c r="A7" s="210">
        <v>4</v>
      </c>
      <c r="B7" s="211" t="s">
        <v>2333</v>
      </c>
      <c r="C7" s="212">
        <v>210275520</v>
      </c>
      <c r="D7" s="211">
        <v>900346392</v>
      </c>
      <c r="E7" s="213" t="s">
        <v>175</v>
      </c>
      <c r="F7" s="214">
        <v>300</v>
      </c>
      <c r="G7" s="215">
        <v>40779</v>
      </c>
      <c r="H7" s="216">
        <v>206</v>
      </c>
      <c r="I7" s="217">
        <v>300</v>
      </c>
      <c r="J7" s="218">
        <v>19999</v>
      </c>
      <c r="K7" s="219" t="s">
        <v>2336</v>
      </c>
      <c r="L7" s="216" t="s">
        <v>2334</v>
      </c>
    </row>
    <row r="8" spans="1:12" ht="15" customHeight="1">
      <c r="A8" s="210">
        <v>5</v>
      </c>
      <c r="B8" s="211" t="s">
        <v>2335</v>
      </c>
      <c r="C8" s="212">
        <v>50000000</v>
      </c>
      <c r="D8" s="211">
        <v>900346831</v>
      </c>
      <c r="E8" s="213" t="s">
        <v>260</v>
      </c>
      <c r="F8" s="214">
        <v>3000000</v>
      </c>
      <c r="G8" s="215">
        <v>40211</v>
      </c>
      <c r="H8" s="216">
        <v>25</v>
      </c>
      <c r="I8" s="217">
        <v>3046750</v>
      </c>
      <c r="J8" s="218">
        <v>19999</v>
      </c>
      <c r="K8" s="219" t="s">
        <v>2336</v>
      </c>
      <c r="L8" s="216" t="s">
        <v>2332</v>
      </c>
    </row>
    <row r="9" spans="1:12" ht="15" customHeight="1">
      <c r="A9" s="210">
        <v>6</v>
      </c>
      <c r="B9" s="211" t="s">
        <v>2337</v>
      </c>
      <c r="C9" s="212">
        <v>190449007</v>
      </c>
      <c r="D9" s="211">
        <v>900670956</v>
      </c>
      <c r="E9" s="213" t="s">
        <v>2338</v>
      </c>
      <c r="F9" s="214">
        <v>415</v>
      </c>
      <c r="G9" s="215">
        <v>41310</v>
      </c>
      <c r="H9" s="216">
        <v>277</v>
      </c>
      <c r="I9" s="217">
        <v>1676258</v>
      </c>
      <c r="J9" s="218">
        <v>19999</v>
      </c>
      <c r="K9" s="219" t="s">
        <v>2336</v>
      </c>
      <c r="L9" s="216" t="s">
        <v>2334</v>
      </c>
    </row>
    <row r="10" spans="1:12" ht="15" customHeight="1">
      <c r="A10" s="210">
        <v>7</v>
      </c>
      <c r="B10" s="211" t="s">
        <v>639</v>
      </c>
      <c r="C10" s="212">
        <v>148844385</v>
      </c>
      <c r="D10" s="211">
        <v>900368928</v>
      </c>
      <c r="E10" s="213" t="s">
        <v>641</v>
      </c>
      <c r="F10" s="214">
        <v>0</v>
      </c>
      <c r="G10" s="215">
        <v>40707</v>
      </c>
      <c r="H10" s="216">
        <v>91</v>
      </c>
      <c r="I10" s="217">
        <v>75029.429999999702</v>
      </c>
      <c r="J10" s="218">
        <v>19999</v>
      </c>
      <c r="K10" s="219" t="s">
        <v>2336</v>
      </c>
      <c r="L10" s="216" t="s">
        <v>2332</v>
      </c>
    </row>
    <row r="11" spans="1:12" ht="15" customHeight="1">
      <c r="A11" s="210">
        <v>8</v>
      </c>
      <c r="B11" s="211" t="s">
        <v>639</v>
      </c>
      <c r="C11" s="212">
        <v>148844385</v>
      </c>
      <c r="D11" s="211">
        <v>900368928</v>
      </c>
      <c r="E11" s="213" t="s">
        <v>641</v>
      </c>
      <c r="F11" s="214"/>
      <c r="G11" s="215">
        <v>40707</v>
      </c>
      <c r="H11" s="216">
        <v>91</v>
      </c>
      <c r="I11" s="217">
        <v>112542.5700000003</v>
      </c>
      <c r="J11" s="218">
        <v>19999</v>
      </c>
      <c r="K11" s="219" t="s">
        <v>2336</v>
      </c>
      <c r="L11" s="216" t="s">
        <v>2334</v>
      </c>
    </row>
    <row r="12" spans="1:12" ht="15" customHeight="1">
      <c r="A12" s="210">
        <v>9</v>
      </c>
      <c r="B12" s="211" t="s">
        <v>680</v>
      </c>
      <c r="C12" s="212">
        <v>61799726</v>
      </c>
      <c r="D12" s="211">
        <v>900342899</v>
      </c>
      <c r="E12" s="213" t="s">
        <v>6</v>
      </c>
      <c r="F12" s="214"/>
      <c r="G12" s="215">
        <v>40413</v>
      </c>
      <c r="H12" s="216">
        <v>98</v>
      </c>
      <c r="I12" s="217">
        <v>11646.599999997765</v>
      </c>
      <c r="J12" s="218">
        <v>19999</v>
      </c>
      <c r="K12" s="219" t="s">
        <v>2336</v>
      </c>
      <c r="L12" s="216" t="s">
        <v>2332</v>
      </c>
    </row>
    <row r="13" spans="1:12" ht="15" customHeight="1">
      <c r="A13" s="210">
        <v>10</v>
      </c>
      <c r="B13" s="211" t="s">
        <v>680</v>
      </c>
      <c r="C13" s="212">
        <v>61799726</v>
      </c>
      <c r="D13" s="211">
        <v>900342899</v>
      </c>
      <c r="E13" s="213" t="s">
        <v>6</v>
      </c>
      <c r="F13" s="214"/>
      <c r="G13" s="215">
        <v>40413</v>
      </c>
      <c r="H13" s="216">
        <v>98</v>
      </c>
      <c r="I13" s="217">
        <v>17470.39999999851</v>
      </c>
      <c r="J13" s="218">
        <v>19999</v>
      </c>
      <c r="K13" s="219" t="s">
        <v>2336</v>
      </c>
      <c r="L13" s="216" t="s">
        <v>2334</v>
      </c>
    </row>
    <row r="14" spans="1:12" ht="15" customHeight="1">
      <c r="A14" s="210">
        <v>11</v>
      </c>
      <c r="B14" s="211" t="s">
        <v>525</v>
      </c>
      <c r="C14" s="212">
        <v>89612419.200000003</v>
      </c>
      <c r="D14" s="211">
        <v>10528780</v>
      </c>
      <c r="E14" s="213" t="s">
        <v>526</v>
      </c>
      <c r="F14" s="214"/>
      <c r="G14" s="215">
        <v>40413</v>
      </c>
      <c r="H14" s="216">
        <v>100</v>
      </c>
      <c r="I14" s="217">
        <v>73139.929999999702</v>
      </c>
      <c r="J14" s="218">
        <v>19999</v>
      </c>
      <c r="K14" s="219" t="s">
        <v>2336</v>
      </c>
      <c r="L14" s="216" t="s">
        <v>2332</v>
      </c>
    </row>
    <row r="15" spans="1:12" ht="15" customHeight="1">
      <c r="A15" s="210">
        <v>12</v>
      </c>
      <c r="B15" s="211" t="s">
        <v>525</v>
      </c>
      <c r="C15" s="212">
        <v>89612419.200000003</v>
      </c>
      <c r="D15" s="211">
        <v>10528780</v>
      </c>
      <c r="E15" s="213" t="s">
        <v>526</v>
      </c>
      <c r="F15" s="214"/>
      <c r="G15" s="215">
        <v>40413</v>
      </c>
      <c r="H15" s="216">
        <v>100</v>
      </c>
      <c r="I15" s="217">
        <v>109709.86999999732</v>
      </c>
      <c r="J15" s="218">
        <v>19999</v>
      </c>
      <c r="K15" s="219" t="s">
        <v>2336</v>
      </c>
      <c r="L15" s="216" t="s">
        <v>2332</v>
      </c>
    </row>
    <row r="16" spans="1:12" ht="15" customHeight="1">
      <c r="A16" s="210">
        <v>13</v>
      </c>
      <c r="B16" s="211" t="s">
        <v>853</v>
      </c>
      <c r="C16" s="212">
        <v>23000000</v>
      </c>
      <c r="D16" s="211">
        <v>76308120</v>
      </c>
      <c r="E16" s="213" t="s">
        <v>854</v>
      </c>
      <c r="F16" s="214">
        <v>1380000</v>
      </c>
      <c r="G16" s="215">
        <v>40718</v>
      </c>
      <c r="H16" s="216">
        <v>173</v>
      </c>
      <c r="I16" s="217">
        <v>1380000</v>
      </c>
      <c r="J16" s="218">
        <v>19999</v>
      </c>
      <c r="K16" s="219" t="s">
        <v>2336</v>
      </c>
      <c r="L16" s="216" t="s">
        <v>2334</v>
      </c>
    </row>
    <row r="17" spans="1:12" ht="15" customHeight="1">
      <c r="A17" s="210">
        <v>14</v>
      </c>
      <c r="B17" s="211" t="s">
        <v>1056</v>
      </c>
      <c r="C17" s="212">
        <v>660040239</v>
      </c>
      <c r="D17" s="211">
        <v>900423055</v>
      </c>
      <c r="E17" s="213" t="s">
        <v>1057</v>
      </c>
      <c r="F17" s="214">
        <v>69402</v>
      </c>
      <c r="G17" s="215">
        <v>41081</v>
      </c>
      <c r="H17" s="216">
        <v>243</v>
      </c>
      <c r="I17" s="217">
        <v>69402</v>
      </c>
      <c r="J17" s="218">
        <v>19999</v>
      </c>
      <c r="K17" s="219" t="s">
        <v>2336</v>
      </c>
      <c r="L17" s="216" t="s">
        <v>2334</v>
      </c>
    </row>
    <row r="18" spans="1:12" ht="15" customHeight="1">
      <c r="A18" s="210">
        <v>15</v>
      </c>
      <c r="B18" s="211" t="s">
        <v>1076</v>
      </c>
      <c r="C18" s="212">
        <v>35009299</v>
      </c>
      <c r="D18" s="211">
        <v>10536762</v>
      </c>
      <c r="E18" s="213" t="s">
        <v>385</v>
      </c>
      <c r="F18" s="214">
        <v>0</v>
      </c>
      <c r="G18" s="215">
        <v>40637</v>
      </c>
      <c r="H18" s="216">
        <v>128</v>
      </c>
      <c r="I18" s="217">
        <v>63600</v>
      </c>
      <c r="J18" s="218">
        <v>19999</v>
      </c>
      <c r="K18" s="219" t="s">
        <v>2336</v>
      </c>
      <c r="L18" s="216" t="s">
        <v>2334</v>
      </c>
    </row>
    <row r="19" spans="1:12" ht="15" customHeight="1">
      <c r="A19" s="210">
        <v>16</v>
      </c>
      <c r="B19" s="211" t="s">
        <v>1076</v>
      </c>
      <c r="C19" s="212">
        <v>35009299</v>
      </c>
      <c r="D19" s="211">
        <v>10536762</v>
      </c>
      <c r="E19" s="213" t="s">
        <v>385</v>
      </c>
      <c r="F19" s="214">
        <v>1804133.05</v>
      </c>
      <c r="G19" s="215">
        <v>41081</v>
      </c>
      <c r="H19" s="216">
        <v>242</v>
      </c>
      <c r="I19" s="217">
        <v>1804133.05</v>
      </c>
      <c r="J19" s="218">
        <v>19999</v>
      </c>
      <c r="K19" s="219" t="s">
        <v>2336</v>
      </c>
      <c r="L19" s="216" t="s">
        <v>2334</v>
      </c>
    </row>
    <row r="20" spans="1:12" ht="15" customHeight="1">
      <c r="A20" s="210">
        <v>17</v>
      </c>
      <c r="B20" s="211" t="s">
        <v>2339</v>
      </c>
      <c r="C20" s="212">
        <v>487926297</v>
      </c>
      <c r="D20" s="211">
        <v>900470501</v>
      </c>
      <c r="E20" s="213" t="s">
        <v>2340</v>
      </c>
      <c r="F20" s="214">
        <v>0</v>
      </c>
      <c r="G20" s="215">
        <v>40753</v>
      </c>
      <c r="H20" s="216">
        <v>183</v>
      </c>
      <c r="I20" s="217">
        <v>371238</v>
      </c>
      <c r="J20" s="218">
        <v>19999</v>
      </c>
      <c r="K20" s="219" t="s">
        <v>2336</v>
      </c>
      <c r="L20" s="216" t="s">
        <v>2332</v>
      </c>
    </row>
    <row r="21" spans="1:12" ht="15" customHeight="1">
      <c r="A21" s="210">
        <v>18</v>
      </c>
      <c r="B21" s="211" t="s">
        <v>2339</v>
      </c>
      <c r="C21" s="212">
        <v>487926297</v>
      </c>
      <c r="D21" s="211">
        <v>900470501</v>
      </c>
      <c r="E21" s="213" t="s">
        <v>2340</v>
      </c>
      <c r="F21" s="214">
        <v>0</v>
      </c>
      <c r="G21" s="215">
        <v>40753</v>
      </c>
      <c r="H21" s="216">
        <v>183</v>
      </c>
      <c r="I21" s="217">
        <v>1041299</v>
      </c>
      <c r="J21" s="218">
        <v>19999</v>
      </c>
      <c r="K21" s="219" t="s">
        <v>2336</v>
      </c>
      <c r="L21" s="216" t="s">
        <v>2334</v>
      </c>
    </row>
    <row r="22" spans="1:12" ht="15" customHeight="1">
      <c r="A22" s="210">
        <v>19</v>
      </c>
      <c r="B22" s="211" t="s">
        <v>2339</v>
      </c>
      <c r="C22" s="212">
        <v>487926297</v>
      </c>
      <c r="D22" s="211">
        <v>900470501</v>
      </c>
      <c r="E22" s="213" t="s">
        <v>2340</v>
      </c>
      <c r="F22" s="214">
        <v>0</v>
      </c>
      <c r="G22" s="215">
        <v>40641</v>
      </c>
      <c r="H22" s="216">
        <v>1</v>
      </c>
      <c r="I22" s="217">
        <v>4058795</v>
      </c>
      <c r="J22" s="218">
        <v>19824</v>
      </c>
      <c r="K22" s="219" t="s">
        <v>2341</v>
      </c>
      <c r="L22" s="216" t="s">
        <v>2332</v>
      </c>
    </row>
    <row r="23" spans="1:12" ht="15" customHeight="1">
      <c r="A23" s="210">
        <v>20</v>
      </c>
      <c r="B23" s="211" t="s">
        <v>2342</v>
      </c>
      <c r="C23" s="212">
        <v>110988170</v>
      </c>
      <c r="D23" s="211">
        <v>900471403</v>
      </c>
      <c r="E23" s="213" t="s">
        <v>1136</v>
      </c>
      <c r="F23" s="214">
        <v>1.5</v>
      </c>
      <c r="G23" s="215">
        <v>40753</v>
      </c>
      <c r="H23" s="216">
        <v>177</v>
      </c>
      <c r="I23" s="217">
        <v>1.5</v>
      </c>
      <c r="J23" s="218">
        <v>19999</v>
      </c>
      <c r="K23" s="219" t="s">
        <v>2336</v>
      </c>
      <c r="L23" s="216" t="s">
        <v>2332</v>
      </c>
    </row>
    <row r="24" spans="1:12" ht="15" customHeight="1">
      <c r="A24" s="210">
        <v>21</v>
      </c>
      <c r="B24" s="211" t="s">
        <v>2343</v>
      </c>
      <c r="C24" s="212">
        <v>1566678737</v>
      </c>
      <c r="D24" s="211">
        <v>72222176</v>
      </c>
      <c r="E24" s="213" t="s">
        <v>1110</v>
      </c>
      <c r="F24" s="214">
        <v>50.9</v>
      </c>
      <c r="G24" s="215">
        <v>40753</v>
      </c>
      <c r="H24" s="216">
        <v>1</v>
      </c>
      <c r="I24" s="217">
        <v>50.9</v>
      </c>
      <c r="J24" s="218">
        <v>19318</v>
      </c>
      <c r="K24" s="219" t="s">
        <v>2344</v>
      </c>
      <c r="L24" s="216" t="s">
        <v>2332</v>
      </c>
    </row>
    <row r="25" spans="1:12" ht="15" customHeight="1">
      <c r="A25" s="210">
        <v>22</v>
      </c>
      <c r="B25" s="211" t="s">
        <v>2343</v>
      </c>
      <c r="C25" s="212">
        <v>1566678737</v>
      </c>
      <c r="D25" s="211">
        <v>72222176</v>
      </c>
      <c r="E25" s="213" t="s">
        <v>1110</v>
      </c>
      <c r="F25" s="214">
        <v>114.6</v>
      </c>
      <c r="G25" s="215">
        <v>40753</v>
      </c>
      <c r="H25" s="216">
        <v>176</v>
      </c>
      <c r="I25" s="217">
        <v>114.6</v>
      </c>
      <c r="J25" s="218">
        <v>19999</v>
      </c>
      <c r="K25" s="219" t="s">
        <v>2336</v>
      </c>
      <c r="L25" s="216" t="s">
        <v>2334</v>
      </c>
    </row>
    <row r="26" spans="1:12" ht="15" customHeight="1">
      <c r="A26" s="210">
        <v>23</v>
      </c>
      <c r="B26" s="211" t="s">
        <v>1135</v>
      </c>
      <c r="C26" s="212">
        <v>62465292</v>
      </c>
      <c r="D26" s="211">
        <v>900471403</v>
      </c>
      <c r="E26" s="213" t="s">
        <v>1136</v>
      </c>
      <c r="F26" s="214"/>
      <c r="G26" s="215">
        <v>40753</v>
      </c>
      <c r="H26" s="216">
        <v>178</v>
      </c>
      <c r="I26" s="217">
        <v>2</v>
      </c>
      <c r="J26" s="218">
        <v>19999</v>
      </c>
      <c r="K26" s="219" t="s">
        <v>2336</v>
      </c>
      <c r="L26" s="216" t="s">
        <v>2332</v>
      </c>
    </row>
    <row r="27" spans="1:12" ht="15" customHeight="1">
      <c r="A27" s="210">
        <v>24</v>
      </c>
      <c r="B27" s="211" t="s">
        <v>1180</v>
      </c>
      <c r="C27" s="212">
        <v>142336878</v>
      </c>
      <c r="D27" s="211">
        <v>900471400</v>
      </c>
      <c r="E27" s="213" t="s">
        <v>1186</v>
      </c>
      <c r="F27" s="214"/>
      <c r="G27" s="215">
        <v>40753</v>
      </c>
      <c r="H27" s="216">
        <v>181</v>
      </c>
      <c r="I27" s="217">
        <v>89393</v>
      </c>
      <c r="J27" s="218">
        <v>19999</v>
      </c>
      <c r="K27" s="219" t="s">
        <v>2336</v>
      </c>
      <c r="L27" s="216" t="s">
        <v>2332</v>
      </c>
    </row>
    <row r="28" spans="1:12" ht="15" customHeight="1">
      <c r="A28" s="210">
        <v>25</v>
      </c>
      <c r="B28" s="211" t="s">
        <v>1167</v>
      </c>
      <c r="C28" s="212">
        <v>209738150</v>
      </c>
      <c r="D28" s="211">
        <v>900480276</v>
      </c>
      <c r="E28" s="213" t="s">
        <v>1168</v>
      </c>
      <c r="F28" s="214"/>
      <c r="G28" s="215">
        <v>40851</v>
      </c>
      <c r="H28" s="216">
        <v>221</v>
      </c>
      <c r="I28" s="217">
        <v>168</v>
      </c>
      <c r="J28" s="218">
        <v>19999</v>
      </c>
      <c r="K28" s="219" t="s">
        <v>2336</v>
      </c>
      <c r="L28" s="216" t="s">
        <v>2332</v>
      </c>
    </row>
    <row r="29" spans="1:12" ht="15" customHeight="1">
      <c r="A29" s="210">
        <v>26</v>
      </c>
      <c r="B29" s="211" t="s">
        <v>1222</v>
      </c>
      <c r="C29" s="212">
        <v>63321180</v>
      </c>
      <c r="D29" s="211">
        <v>900483768</v>
      </c>
      <c r="E29" s="213" t="s">
        <v>1226</v>
      </c>
      <c r="F29" s="214"/>
      <c r="G29" s="215">
        <v>40851</v>
      </c>
      <c r="H29" s="216">
        <v>219</v>
      </c>
      <c r="I29" s="217">
        <v>790979</v>
      </c>
      <c r="J29" s="218">
        <v>19999</v>
      </c>
      <c r="K29" s="219" t="s">
        <v>2336</v>
      </c>
      <c r="L29" s="216" t="s">
        <v>2332</v>
      </c>
    </row>
    <row r="30" spans="1:12" ht="15" customHeight="1">
      <c r="A30" s="210">
        <v>27</v>
      </c>
      <c r="B30" s="211" t="s">
        <v>1399</v>
      </c>
      <c r="C30" s="212">
        <v>403048040</v>
      </c>
      <c r="D30" s="211">
        <v>900487481</v>
      </c>
      <c r="E30" s="213" t="s">
        <v>1400</v>
      </c>
      <c r="F30" s="214">
        <v>1735629</v>
      </c>
      <c r="G30" s="215">
        <v>40899</v>
      </c>
      <c r="H30" s="216">
        <v>228</v>
      </c>
      <c r="I30" s="217">
        <v>1735629</v>
      </c>
      <c r="J30" s="218">
        <v>19999</v>
      </c>
      <c r="K30" s="219" t="s">
        <v>2336</v>
      </c>
      <c r="L30" s="216" t="s">
        <v>2334</v>
      </c>
    </row>
    <row r="31" spans="1:12" ht="15" customHeight="1">
      <c r="A31" s="210">
        <v>28</v>
      </c>
      <c r="B31" s="211" t="s">
        <v>1399</v>
      </c>
      <c r="C31" s="212">
        <v>403048040</v>
      </c>
      <c r="D31" s="211">
        <v>900487481</v>
      </c>
      <c r="E31" s="213" t="s">
        <v>1400</v>
      </c>
      <c r="F31" s="214">
        <v>432544</v>
      </c>
      <c r="G31" s="215">
        <v>40899</v>
      </c>
      <c r="H31" s="216">
        <v>3</v>
      </c>
      <c r="I31" s="217">
        <v>432544</v>
      </c>
      <c r="J31" s="218">
        <v>19473</v>
      </c>
      <c r="K31" s="219" t="s">
        <v>2345</v>
      </c>
      <c r="L31" s="216" t="s">
        <v>2332</v>
      </c>
    </row>
    <row r="32" spans="1:12" ht="15" customHeight="1">
      <c r="A32" s="210">
        <v>29</v>
      </c>
      <c r="B32" s="211" t="s">
        <v>1408</v>
      </c>
      <c r="C32" s="212">
        <v>759036147.48000002</v>
      </c>
      <c r="D32" s="211">
        <v>10538292</v>
      </c>
      <c r="E32" s="213" t="s">
        <v>1233</v>
      </c>
      <c r="F32" s="214">
        <v>134333.48000001907</v>
      </c>
      <c r="G32" s="215">
        <v>40899</v>
      </c>
      <c r="H32" s="216">
        <v>229</v>
      </c>
      <c r="I32" s="217">
        <v>8813466</v>
      </c>
      <c r="J32" s="218">
        <v>19999</v>
      </c>
      <c r="K32" s="219" t="s">
        <v>2336</v>
      </c>
      <c r="L32" s="216" t="s">
        <v>2334</v>
      </c>
    </row>
    <row r="33" spans="1:12" ht="15" customHeight="1">
      <c r="A33" s="210">
        <v>30</v>
      </c>
      <c r="B33" s="211" t="s">
        <v>1457</v>
      </c>
      <c r="C33" s="212">
        <v>1514447709</v>
      </c>
      <c r="D33" s="211">
        <v>10538292</v>
      </c>
      <c r="E33" s="213" t="s">
        <v>1233</v>
      </c>
      <c r="F33" s="214">
        <v>129</v>
      </c>
      <c r="G33" s="215">
        <v>41893</v>
      </c>
      <c r="H33" s="216">
        <v>5</v>
      </c>
      <c r="I33" s="217">
        <v>129</v>
      </c>
      <c r="J33" s="218">
        <v>19780</v>
      </c>
      <c r="K33" s="219" t="s">
        <v>2346</v>
      </c>
      <c r="L33" s="216" t="s">
        <v>2332</v>
      </c>
    </row>
    <row r="34" spans="1:12" ht="15" customHeight="1">
      <c r="A34" s="210">
        <v>31</v>
      </c>
      <c r="B34" s="211" t="s">
        <v>1471</v>
      </c>
      <c r="C34" s="212">
        <v>138893767</v>
      </c>
      <c r="D34" s="211">
        <v>76308097</v>
      </c>
      <c r="E34" s="213" t="s">
        <v>1472</v>
      </c>
      <c r="F34" s="214"/>
      <c r="G34" s="215">
        <v>41165</v>
      </c>
      <c r="H34" s="216">
        <v>253</v>
      </c>
      <c r="I34" s="217">
        <v>422508</v>
      </c>
      <c r="J34" s="218">
        <v>19999</v>
      </c>
      <c r="K34" s="219" t="s">
        <v>2336</v>
      </c>
      <c r="L34" s="216" t="s">
        <v>2347</v>
      </c>
    </row>
    <row r="35" spans="1:12" ht="15" customHeight="1">
      <c r="A35" s="210">
        <v>32</v>
      </c>
      <c r="B35" s="211" t="s">
        <v>1471</v>
      </c>
      <c r="C35" s="212">
        <v>138893767</v>
      </c>
      <c r="D35" s="211">
        <v>76308097</v>
      </c>
      <c r="E35" s="213" t="s">
        <v>1472</v>
      </c>
      <c r="F35" s="214"/>
      <c r="G35" s="215">
        <v>41165</v>
      </c>
      <c r="H35" s="216">
        <v>253</v>
      </c>
      <c r="I35" s="217">
        <v>459991</v>
      </c>
      <c r="J35" s="218">
        <v>19999</v>
      </c>
      <c r="K35" s="219" t="s">
        <v>2336</v>
      </c>
      <c r="L35" s="216" t="s">
        <v>2332</v>
      </c>
    </row>
    <row r="36" spans="1:12" ht="15" customHeight="1">
      <c r="A36" s="210">
        <v>33</v>
      </c>
      <c r="B36" s="211" t="s">
        <v>1471</v>
      </c>
      <c r="C36" s="212">
        <v>138893767</v>
      </c>
      <c r="D36" s="211">
        <v>76308097</v>
      </c>
      <c r="E36" s="213" t="s">
        <v>1472</v>
      </c>
      <c r="F36" s="214">
        <v>12561.36</v>
      </c>
      <c r="G36" s="215">
        <v>41795</v>
      </c>
      <c r="H36" s="216">
        <v>3</v>
      </c>
      <c r="I36" s="217">
        <v>12561.36</v>
      </c>
      <c r="J36" s="218">
        <v>19100</v>
      </c>
      <c r="K36" s="219" t="s">
        <v>2348</v>
      </c>
      <c r="L36" s="216" t="s">
        <v>2332</v>
      </c>
    </row>
    <row r="37" spans="1:12" ht="15" customHeight="1">
      <c r="A37" s="210">
        <v>34</v>
      </c>
      <c r="B37" s="211" t="s">
        <v>2143</v>
      </c>
      <c r="C37" s="212">
        <v>455759154</v>
      </c>
      <c r="D37" s="211">
        <v>76307421</v>
      </c>
      <c r="E37" s="213" t="s">
        <v>2142</v>
      </c>
      <c r="F37" s="214"/>
      <c r="G37" s="215">
        <v>40899</v>
      </c>
      <c r="H37" s="216">
        <v>231</v>
      </c>
      <c r="I37" s="217">
        <v>6618386.5999999996</v>
      </c>
      <c r="J37" s="218">
        <v>19999</v>
      </c>
      <c r="K37" s="219" t="s">
        <v>2336</v>
      </c>
      <c r="L37" s="216" t="s">
        <v>2347</v>
      </c>
    </row>
    <row r="38" spans="1:12" ht="15" customHeight="1">
      <c r="A38" s="210">
        <v>35</v>
      </c>
      <c r="B38" s="211" t="s">
        <v>1480</v>
      </c>
      <c r="C38" s="212">
        <v>81536567</v>
      </c>
      <c r="D38" s="211">
        <v>76305303</v>
      </c>
      <c r="E38" s="213" t="s">
        <v>1481</v>
      </c>
      <c r="F38" s="214">
        <v>16</v>
      </c>
      <c r="G38" s="215">
        <v>41165</v>
      </c>
      <c r="H38" s="216">
        <v>251</v>
      </c>
      <c r="I38" s="217">
        <v>16</v>
      </c>
      <c r="J38" s="218">
        <v>19999</v>
      </c>
      <c r="K38" s="219" t="s">
        <v>2336</v>
      </c>
      <c r="L38" s="216" t="s">
        <v>2332</v>
      </c>
    </row>
    <row r="39" spans="1:12" ht="15" customHeight="1">
      <c r="A39" s="210">
        <v>36</v>
      </c>
      <c r="B39" s="211" t="s">
        <v>1493</v>
      </c>
      <c r="C39" s="212">
        <v>181607054</v>
      </c>
      <c r="D39" s="211">
        <v>10536855</v>
      </c>
      <c r="E39" s="213" t="s">
        <v>1494</v>
      </c>
      <c r="F39" s="214">
        <v>87.16</v>
      </c>
      <c r="G39" s="215">
        <v>42043</v>
      </c>
      <c r="H39" s="216">
        <v>10</v>
      </c>
      <c r="I39" s="217">
        <v>87.16</v>
      </c>
      <c r="J39" s="218">
        <v>19450</v>
      </c>
      <c r="K39" s="219" t="s">
        <v>2349</v>
      </c>
      <c r="L39" s="216" t="s">
        <v>2332</v>
      </c>
    </row>
    <row r="40" spans="1:12" ht="15" customHeight="1">
      <c r="A40" s="210">
        <v>37</v>
      </c>
      <c r="B40" s="211" t="s">
        <v>1493</v>
      </c>
      <c r="C40" s="212">
        <v>181607054</v>
      </c>
      <c r="D40" s="211">
        <v>10536855</v>
      </c>
      <c r="E40" s="213" t="s">
        <v>1494</v>
      </c>
      <c r="F40" s="214"/>
      <c r="G40" s="215">
        <v>41214</v>
      </c>
      <c r="H40" s="216">
        <v>259</v>
      </c>
      <c r="I40" s="217">
        <v>1719736</v>
      </c>
      <c r="J40" s="218">
        <v>19999</v>
      </c>
      <c r="K40" s="219" t="s">
        <v>2336</v>
      </c>
      <c r="L40" s="216" t="s">
        <v>2347</v>
      </c>
    </row>
    <row r="41" spans="1:12" ht="15" customHeight="1">
      <c r="A41" s="210">
        <v>38</v>
      </c>
      <c r="B41" s="211" t="s">
        <v>1502</v>
      </c>
      <c r="C41" s="212">
        <v>3547077145</v>
      </c>
      <c r="D41" s="211">
        <v>900577309</v>
      </c>
      <c r="E41" s="213" t="s">
        <v>1503</v>
      </c>
      <c r="F41" s="214">
        <v>17627.740000000002</v>
      </c>
      <c r="G41" s="215">
        <v>41080</v>
      </c>
      <c r="H41" s="216">
        <v>240</v>
      </c>
      <c r="I41" s="217">
        <v>17627.740000000002</v>
      </c>
      <c r="J41" s="218">
        <v>19999</v>
      </c>
      <c r="K41" s="219" t="s">
        <v>2336</v>
      </c>
      <c r="L41" s="216" t="s">
        <v>2332</v>
      </c>
    </row>
    <row r="42" spans="1:12" ht="15" customHeight="1">
      <c r="A42" s="210">
        <v>39</v>
      </c>
      <c r="B42" s="211" t="s">
        <v>1502</v>
      </c>
      <c r="C42" s="212">
        <v>3547077145</v>
      </c>
      <c r="D42" s="211">
        <v>900577309</v>
      </c>
      <c r="E42" s="213" t="s">
        <v>1503</v>
      </c>
      <c r="F42" s="214">
        <v>7921.29</v>
      </c>
      <c r="G42" s="215">
        <v>41080</v>
      </c>
      <c r="H42" s="216">
        <v>239</v>
      </c>
      <c r="I42" s="217">
        <v>7921.29</v>
      </c>
      <c r="J42" s="218">
        <v>19999</v>
      </c>
      <c r="K42" s="219" t="s">
        <v>2336</v>
      </c>
      <c r="L42" s="216" t="s">
        <v>2332</v>
      </c>
    </row>
    <row r="43" spans="1:12" ht="15" customHeight="1">
      <c r="A43" s="210">
        <v>40</v>
      </c>
      <c r="B43" s="211" t="s">
        <v>1502</v>
      </c>
      <c r="C43" s="212">
        <v>3547077145</v>
      </c>
      <c r="D43" s="211">
        <v>900577309</v>
      </c>
      <c r="E43" s="213" t="s">
        <v>1503</v>
      </c>
      <c r="F43" s="214">
        <v>11322.8</v>
      </c>
      <c r="G43" s="215">
        <v>41080</v>
      </c>
      <c r="H43" s="216">
        <v>239</v>
      </c>
      <c r="I43" s="217">
        <v>11322.8</v>
      </c>
      <c r="J43" s="218">
        <v>19999</v>
      </c>
      <c r="K43" s="219" t="s">
        <v>2336</v>
      </c>
      <c r="L43" s="216" t="s">
        <v>2347</v>
      </c>
    </row>
    <row r="44" spans="1:12" ht="15" customHeight="1">
      <c r="A44" s="210">
        <v>41</v>
      </c>
      <c r="B44" s="211" t="s">
        <v>1502</v>
      </c>
      <c r="C44" s="212">
        <v>3547077145</v>
      </c>
      <c r="D44" s="211">
        <v>900577309</v>
      </c>
      <c r="E44" s="213" t="s">
        <v>1503</v>
      </c>
      <c r="F44" s="214">
        <v>2021.16</v>
      </c>
      <c r="G44" s="215">
        <v>41080</v>
      </c>
      <c r="H44" s="216">
        <v>4</v>
      </c>
      <c r="I44" s="217">
        <v>2021.16</v>
      </c>
      <c r="J44" s="218">
        <v>19532</v>
      </c>
      <c r="K44" s="219" t="s">
        <v>2350</v>
      </c>
      <c r="L44" s="216" t="s">
        <v>2332</v>
      </c>
    </row>
    <row r="45" spans="1:12" ht="15" customHeight="1">
      <c r="A45" s="210">
        <v>42</v>
      </c>
      <c r="B45" s="211" t="s">
        <v>1532</v>
      </c>
      <c r="C45" s="212">
        <v>63903840</v>
      </c>
      <c r="D45" s="211">
        <v>10482754</v>
      </c>
      <c r="E45" s="213" t="s">
        <v>1533</v>
      </c>
      <c r="F45" s="214">
        <v>479210</v>
      </c>
      <c r="G45" s="215">
        <v>41212</v>
      </c>
      <c r="H45" s="216">
        <v>257</v>
      </c>
      <c r="I45" s="217">
        <v>849961</v>
      </c>
      <c r="J45" s="218">
        <v>19999</v>
      </c>
      <c r="K45" s="219" t="s">
        <v>2336</v>
      </c>
      <c r="L45" s="216" t="s">
        <v>2347</v>
      </c>
    </row>
    <row r="46" spans="1:12" ht="15" customHeight="1">
      <c r="A46" s="210">
        <v>43</v>
      </c>
      <c r="B46" s="211" t="s">
        <v>1539</v>
      </c>
      <c r="C46" s="212">
        <v>255010855</v>
      </c>
      <c r="D46" s="211">
        <v>19130521</v>
      </c>
      <c r="E46" s="213" t="s">
        <v>1540</v>
      </c>
      <c r="F46" s="214">
        <v>3900</v>
      </c>
      <c r="G46" s="215">
        <v>41186</v>
      </c>
      <c r="H46" s="216">
        <v>255</v>
      </c>
      <c r="I46" s="217">
        <v>3326806</v>
      </c>
      <c r="J46" s="218">
        <v>19999</v>
      </c>
      <c r="K46" s="219" t="s">
        <v>2336</v>
      </c>
      <c r="L46" s="216" t="s">
        <v>2347</v>
      </c>
    </row>
    <row r="47" spans="1:12" ht="15" customHeight="1">
      <c r="A47" s="210">
        <v>44</v>
      </c>
      <c r="B47" s="211" t="s">
        <v>2351</v>
      </c>
      <c r="C47" s="212">
        <v>15995000</v>
      </c>
      <c r="D47" s="211">
        <v>8300610</v>
      </c>
      <c r="E47" s="213" t="s">
        <v>1733</v>
      </c>
      <c r="F47" s="214"/>
      <c r="G47" s="215">
        <v>41234</v>
      </c>
      <c r="H47" s="216">
        <v>269</v>
      </c>
      <c r="I47" s="217">
        <v>95005000</v>
      </c>
      <c r="J47" s="218">
        <v>19999</v>
      </c>
      <c r="K47" s="219" t="s">
        <v>2336</v>
      </c>
      <c r="L47" s="216" t="s">
        <v>2347</v>
      </c>
    </row>
    <row r="48" spans="1:12" ht="15" customHeight="1">
      <c r="A48" s="210">
        <v>45</v>
      </c>
      <c r="B48" s="211" t="s">
        <v>1746</v>
      </c>
      <c r="C48" s="212">
        <v>8672717</v>
      </c>
      <c r="D48" s="211">
        <v>98572671</v>
      </c>
      <c r="E48" s="213" t="s">
        <v>1747</v>
      </c>
      <c r="F48" s="214"/>
      <c r="G48" s="215">
        <v>41598</v>
      </c>
      <c r="H48" s="216">
        <v>297</v>
      </c>
      <c r="I48" s="217">
        <v>456459</v>
      </c>
      <c r="J48" s="218">
        <v>19999</v>
      </c>
      <c r="K48" s="219" t="s">
        <v>2336</v>
      </c>
      <c r="L48" s="216" t="s">
        <v>2347</v>
      </c>
    </row>
    <row r="49" spans="1:12" ht="15" customHeight="1">
      <c r="A49" s="210">
        <v>46</v>
      </c>
      <c r="B49" s="211" t="s">
        <v>1557</v>
      </c>
      <c r="C49" s="212">
        <v>241352608</v>
      </c>
      <c r="D49" s="211">
        <v>900618452</v>
      </c>
      <c r="E49" s="213" t="s">
        <v>1558</v>
      </c>
      <c r="F49" s="214">
        <v>2133.13</v>
      </c>
      <c r="G49" s="215">
        <v>41165</v>
      </c>
      <c r="H49" s="216">
        <v>254</v>
      </c>
      <c r="I49" s="217">
        <v>7415.92</v>
      </c>
      <c r="J49" s="218">
        <v>19999</v>
      </c>
      <c r="K49" s="219" t="s">
        <v>2336</v>
      </c>
      <c r="L49" s="216" t="s">
        <v>2347</v>
      </c>
    </row>
    <row r="50" spans="1:12" ht="15" customHeight="1">
      <c r="A50" s="210">
        <v>47</v>
      </c>
      <c r="B50" s="211" t="s">
        <v>1557</v>
      </c>
      <c r="C50" s="212">
        <v>241352608</v>
      </c>
      <c r="D50" s="211">
        <v>900618452</v>
      </c>
      <c r="E50" s="213" t="s">
        <v>1558</v>
      </c>
      <c r="F50" s="214"/>
      <c r="G50" s="215">
        <v>40899</v>
      </c>
      <c r="H50" s="216">
        <v>232</v>
      </c>
      <c r="I50" s="217">
        <v>25166.329999998212</v>
      </c>
      <c r="J50" s="218">
        <v>19999</v>
      </c>
      <c r="K50" s="219" t="s">
        <v>2336</v>
      </c>
      <c r="L50" s="216" t="s">
        <v>2347</v>
      </c>
    </row>
    <row r="51" spans="1:12" ht="15" customHeight="1">
      <c r="A51" s="210">
        <v>48</v>
      </c>
      <c r="B51" s="211" t="s">
        <v>1557</v>
      </c>
      <c r="C51" s="212">
        <v>241352608</v>
      </c>
      <c r="D51" s="211">
        <v>900618452</v>
      </c>
      <c r="E51" s="213" t="s">
        <v>1558</v>
      </c>
      <c r="F51" s="214">
        <v>6701.47</v>
      </c>
      <c r="G51" s="215">
        <v>41214</v>
      </c>
      <c r="H51" s="216">
        <v>260</v>
      </c>
      <c r="I51" s="217">
        <v>15716.160000000971</v>
      </c>
      <c r="J51" s="218">
        <v>19999</v>
      </c>
      <c r="K51" s="219" t="s">
        <v>2336</v>
      </c>
      <c r="L51" s="216" t="s">
        <v>2347</v>
      </c>
    </row>
    <row r="52" spans="1:12" ht="15" customHeight="1">
      <c r="A52" s="210">
        <v>49</v>
      </c>
      <c r="B52" s="211" t="s">
        <v>1557</v>
      </c>
      <c r="C52" s="212">
        <v>241352608</v>
      </c>
      <c r="D52" s="211">
        <v>900618452</v>
      </c>
      <c r="E52" s="213" t="s">
        <v>1558</v>
      </c>
      <c r="F52" s="214"/>
      <c r="G52" s="215">
        <v>41080</v>
      </c>
      <c r="H52" s="216">
        <v>5</v>
      </c>
      <c r="I52" s="217">
        <v>104930.48000000417</v>
      </c>
      <c r="J52" s="218">
        <v>19532</v>
      </c>
      <c r="K52" s="219" t="s">
        <v>2350</v>
      </c>
      <c r="L52" s="216" t="s">
        <v>2332</v>
      </c>
    </row>
    <row r="53" spans="1:12" ht="15" customHeight="1">
      <c r="A53" s="210">
        <v>50</v>
      </c>
      <c r="B53" s="211" t="s">
        <v>1557</v>
      </c>
      <c r="C53" s="212">
        <v>241352608</v>
      </c>
      <c r="D53" s="211">
        <v>900618452</v>
      </c>
      <c r="E53" s="213" t="s">
        <v>1558</v>
      </c>
      <c r="F53" s="214"/>
      <c r="G53" s="215">
        <v>41212</v>
      </c>
      <c r="H53" s="216">
        <v>258</v>
      </c>
      <c r="I53" s="217">
        <v>3539.7099999999627</v>
      </c>
      <c r="J53" s="218">
        <v>19999</v>
      </c>
      <c r="K53" s="219" t="s">
        <v>2336</v>
      </c>
      <c r="L53" s="216" t="s">
        <v>2347</v>
      </c>
    </row>
    <row r="54" spans="1:12" ht="15" customHeight="1">
      <c r="A54" s="210">
        <v>51</v>
      </c>
      <c r="B54" s="211" t="s">
        <v>1557</v>
      </c>
      <c r="C54" s="212">
        <v>241352608</v>
      </c>
      <c r="D54" s="211">
        <v>900618452</v>
      </c>
      <c r="E54" s="213" t="s">
        <v>1558</v>
      </c>
      <c r="F54" s="214">
        <v>1</v>
      </c>
      <c r="G54" s="215">
        <v>41955</v>
      </c>
      <c r="H54" s="216">
        <v>311</v>
      </c>
      <c r="I54" s="217">
        <v>1</v>
      </c>
      <c r="J54" s="218">
        <v>19999</v>
      </c>
      <c r="K54" s="219" t="s">
        <v>2336</v>
      </c>
      <c r="L54" s="216" t="s">
        <v>2332</v>
      </c>
    </row>
    <row r="55" spans="1:12" ht="15" customHeight="1">
      <c r="A55" s="210">
        <v>52</v>
      </c>
      <c r="B55" s="211" t="s">
        <v>1548</v>
      </c>
      <c r="C55" s="212">
        <v>259231023</v>
      </c>
      <c r="D55" s="211">
        <v>76305303</v>
      </c>
      <c r="E55" s="213" t="s">
        <v>1481</v>
      </c>
      <c r="F55" s="214">
        <v>151148</v>
      </c>
      <c r="G55" s="215">
        <v>41309</v>
      </c>
      <c r="H55" s="216">
        <v>275</v>
      </c>
      <c r="I55" s="217">
        <v>1774114</v>
      </c>
      <c r="J55" s="218">
        <v>19999</v>
      </c>
      <c r="K55" s="219" t="s">
        <v>2336</v>
      </c>
      <c r="L55" s="216" t="s">
        <v>2347</v>
      </c>
    </row>
    <row r="56" spans="1:12" ht="15" customHeight="1">
      <c r="A56" s="210">
        <v>53</v>
      </c>
      <c r="B56" s="211" t="s">
        <v>1548</v>
      </c>
      <c r="C56" s="212">
        <v>259231023</v>
      </c>
      <c r="D56" s="211">
        <v>76305303</v>
      </c>
      <c r="E56" s="213" t="s">
        <v>1481</v>
      </c>
      <c r="F56" s="214"/>
      <c r="G56" s="215">
        <v>41165</v>
      </c>
      <c r="H56" s="216">
        <v>249</v>
      </c>
      <c r="I56" s="217">
        <v>1133331</v>
      </c>
      <c r="J56" s="218">
        <v>19999</v>
      </c>
      <c r="K56" s="219" t="s">
        <v>2336</v>
      </c>
      <c r="L56" s="216" t="s">
        <v>2332</v>
      </c>
    </row>
    <row r="57" spans="1:12" ht="15" customHeight="1">
      <c r="A57" s="210">
        <v>54</v>
      </c>
      <c r="B57" s="211" t="s">
        <v>1548</v>
      </c>
      <c r="C57" s="212">
        <v>259231023</v>
      </c>
      <c r="D57" s="211">
        <v>76305303</v>
      </c>
      <c r="E57" s="213" t="s">
        <v>1481</v>
      </c>
      <c r="F57" s="214">
        <v>5942533</v>
      </c>
      <c r="G57" s="215">
        <v>42173</v>
      </c>
      <c r="H57" s="216">
        <v>7</v>
      </c>
      <c r="I57" s="217">
        <v>5942533</v>
      </c>
      <c r="J57" s="218">
        <v>19392</v>
      </c>
      <c r="K57" s="219" t="s">
        <v>2352</v>
      </c>
      <c r="L57" s="216" t="s">
        <v>2332</v>
      </c>
    </row>
    <row r="58" spans="1:12" ht="15" customHeight="1">
      <c r="A58" s="210">
        <v>55</v>
      </c>
      <c r="B58" s="211" t="s">
        <v>1616</v>
      </c>
      <c r="C58" s="212">
        <v>848755219</v>
      </c>
      <c r="D58" s="211">
        <v>10537006</v>
      </c>
      <c r="E58" s="213" t="s">
        <v>1617</v>
      </c>
      <c r="F58" s="214"/>
      <c r="G58" s="215">
        <v>41533</v>
      </c>
      <c r="H58" s="216">
        <v>290</v>
      </c>
      <c r="I58" s="217">
        <v>4349292</v>
      </c>
      <c r="J58" s="218">
        <v>19999</v>
      </c>
      <c r="K58" s="219" t="s">
        <v>2336</v>
      </c>
      <c r="L58" s="216" t="s">
        <v>2347</v>
      </c>
    </row>
    <row r="59" spans="1:12" ht="15" customHeight="1">
      <c r="A59" s="210">
        <v>56</v>
      </c>
      <c r="B59" s="211" t="s">
        <v>1616</v>
      </c>
      <c r="C59" s="212">
        <v>848755219</v>
      </c>
      <c r="D59" s="211">
        <v>10537006</v>
      </c>
      <c r="E59" s="213" t="s">
        <v>1617</v>
      </c>
      <c r="F59" s="214"/>
      <c r="G59" s="215">
        <v>41533</v>
      </c>
      <c r="H59" s="216">
        <v>4</v>
      </c>
      <c r="I59" s="217">
        <v>909292</v>
      </c>
      <c r="J59" s="218">
        <v>19513</v>
      </c>
      <c r="K59" s="219" t="s">
        <v>2353</v>
      </c>
      <c r="L59" s="216" t="s">
        <v>2332</v>
      </c>
    </row>
    <row r="60" spans="1:12" ht="15" customHeight="1">
      <c r="A60" s="210">
        <v>57</v>
      </c>
      <c r="B60" s="211" t="s">
        <v>1616</v>
      </c>
      <c r="C60" s="212">
        <v>848755219</v>
      </c>
      <c r="D60" s="211">
        <v>10537006</v>
      </c>
      <c r="E60" s="213" t="s">
        <v>1617</v>
      </c>
      <c r="F60" s="214">
        <v>3840269</v>
      </c>
      <c r="G60" s="215">
        <v>42048</v>
      </c>
      <c r="H60" s="216">
        <v>8</v>
      </c>
      <c r="I60" s="217">
        <v>3840269</v>
      </c>
      <c r="J60" s="218">
        <v>19513</v>
      </c>
      <c r="K60" s="219" t="s">
        <v>2353</v>
      </c>
      <c r="L60" s="216" t="s">
        <v>2332</v>
      </c>
    </row>
    <row r="61" spans="1:12" ht="15" customHeight="1">
      <c r="A61" s="210">
        <v>58</v>
      </c>
      <c r="B61" s="211" t="s">
        <v>1920</v>
      </c>
      <c r="C61" s="212">
        <v>189575641</v>
      </c>
      <c r="D61" s="211">
        <v>10534582</v>
      </c>
      <c r="E61" s="213" t="s">
        <v>1713</v>
      </c>
      <c r="F61" s="214">
        <v>8119560</v>
      </c>
      <c r="G61" s="215">
        <v>42151</v>
      </c>
      <c r="H61" s="216">
        <v>4</v>
      </c>
      <c r="I61" s="217">
        <v>10410079</v>
      </c>
      <c r="J61" s="218">
        <v>19701</v>
      </c>
      <c r="K61" s="219" t="s">
        <v>2354</v>
      </c>
      <c r="L61" s="216" t="s">
        <v>2332</v>
      </c>
    </row>
    <row r="62" spans="1:12" ht="15" customHeight="1">
      <c r="A62" s="210">
        <v>59</v>
      </c>
      <c r="B62" s="211" t="s">
        <v>2102</v>
      </c>
      <c r="C62" s="212">
        <v>13000000</v>
      </c>
      <c r="D62" s="211">
        <v>34545066</v>
      </c>
      <c r="E62" s="213" t="s">
        <v>2101</v>
      </c>
      <c r="F62" s="214"/>
      <c r="G62" s="215">
        <v>42151</v>
      </c>
      <c r="H62" s="216">
        <v>5</v>
      </c>
      <c r="I62" s="217">
        <v>430631</v>
      </c>
      <c r="J62" s="218">
        <v>19701</v>
      </c>
      <c r="K62" s="219" t="s">
        <v>2354</v>
      </c>
      <c r="L62" s="216" t="s">
        <v>2332</v>
      </c>
    </row>
    <row r="63" spans="1:12" ht="15" customHeight="1">
      <c r="A63" s="210">
        <v>60</v>
      </c>
      <c r="B63" s="211" t="s">
        <v>2243</v>
      </c>
      <c r="C63" s="212">
        <v>122925748</v>
      </c>
      <c r="D63" s="211">
        <v>901017440</v>
      </c>
      <c r="E63" s="213" t="s">
        <v>2258</v>
      </c>
      <c r="F63" s="214"/>
      <c r="G63" s="215">
        <v>42579</v>
      </c>
      <c r="H63" s="216">
        <v>15</v>
      </c>
      <c r="I63" s="217">
        <v>1116481</v>
      </c>
      <c r="J63" s="218">
        <v>19110</v>
      </c>
      <c r="K63" s="219" t="s">
        <v>2355</v>
      </c>
      <c r="L63" s="216" t="s">
        <v>2332</v>
      </c>
    </row>
    <row r="64" spans="1:12" ht="15" customHeight="1">
      <c r="A64" s="210">
        <v>61</v>
      </c>
      <c r="B64" s="211" t="s">
        <v>2228</v>
      </c>
      <c r="C64" s="212">
        <v>1079635200</v>
      </c>
      <c r="D64" s="211">
        <v>900922061</v>
      </c>
      <c r="E64" s="213" t="s">
        <v>2227</v>
      </c>
      <c r="F64" s="214"/>
      <c r="G64" s="215">
        <v>42164</v>
      </c>
      <c r="H64" s="216">
        <v>6</v>
      </c>
      <c r="I64" s="217">
        <v>20266.669999999998</v>
      </c>
      <c r="J64" s="218">
        <v>19701</v>
      </c>
      <c r="K64" s="219" t="s">
        <v>2354</v>
      </c>
      <c r="L64" s="216" t="s">
        <v>2332</v>
      </c>
    </row>
    <row r="65" spans="1:12" ht="15" customHeight="1">
      <c r="A65" s="210">
        <v>62</v>
      </c>
      <c r="B65" s="211" t="s">
        <v>2228</v>
      </c>
      <c r="C65" s="212">
        <v>1079635200</v>
      </c>
      <c r="D65" s="211">
        <v>900922061</v>
      </c>
      <c r="E65" s="213" t="s">
        <v>2227</v>
      </c>
      <c r="F65" s="214">
        <v>27962551.619999997</v>
      </c>
      <c r="G65" s="215">
        <v>42164</v>
      </c>
      <c r="H65" s="216">
        <v>5</v>
      </c>
      <c r="I65" s="217">
        <v>27982818.289999999</v>
      </c>
      <c r="J65" s="218">
        <v>19130</v>
      </c>
      <c r="K65" s="219" t="s">
        <v>2356</v>
      </c>
      <c r="L65" s="216" t="s">
        <v>2332</v>
      </c>
    </row>
    <row r="66" spans="1:12" ht="15" customHeight="1">
      <c r="A66" s="210">
        <v>63</v>
      </c>
      <c r="B66" s="211" t="s">
        <v>2228</v>
      </c>
      <c r="C66" s="212">
        <v>1079635200</v>
      </c>
      <c r="D66" s="211">
        <v>900922061</v>
      </c>
      <c r="E66" s="213" t="s">
        <v>2227</v>
      </c>
      <c r="F66" s="214"/>
      <c r="G66" s="215">
        <v>42164</v>
      </c>
      <c r="H66" s="216">
        <v>6</v>
      </c>
      <c r="I66" s="217">
        <v>20266.669999999998</v>
      </c>
      <c r="J66" s="218">
        <v>19418</v>
      </c>
      <c r="K66" s="219" t="s">
        <v>2357</v>
      </c>
      <c r="L66" s="216" t="s">
        <v>2332</v>
      </c>
    </row>
    <row r="67" spans="1:12" ht="15" customHeight="1">
      <c r="A67" s="210">
        <v>64</v>
      </c>
      <c r="B67" s="211" t="s">
        <v>2228</v>
      </c>
      <c r="C67" s="212">
        <v>1079635200</v>
      </c>
      <c r="D67" s="211">
        <v>900922061</v>
      </c>
      <c r="E67" s="213" t="s">
        <v>2227</v>
      </c>
      <c r="F67" s="214"/>
      <c r="G67" s="215">
        <v>42164</v>
      </c>
      <c r="H67" s="216">
        <v>7</v>
      </c>
      <c r="I67" s="217">
        <v>20266.669999999998</v>
      </c>
      <c r="J67" s="218">
        <v>19780</v>
      </c>
      <c r="K67" s="219" t="s">
        <v>2346</v>
      </c>
      <c r="L67" s="216" t="s">
        <v>2332</v>
      </c>
    </row>
    <row r="68" spans="1:12" ht="15" customHeight="1">
      <c r="A68" s="210">
        <v>65</v>
      </c>
      <c r="B68" s="211" t="s">
        <v>2228</v>
      </c>
      <c r="C68" s="212">
        <v>1079635200</v>
      </c>
      <c r="D68" s="211">
        <v>900922061</v>
      </c>
      <c r="E68" s="213" t="s">
        <v>2227</v>
      </c>
      <c r="F68" s="214"/>
      <c r="G68" s="215">
        <v>42164</v>
      </c>
      <c r="H68" s="216">
        <v>8</v>
      </c>
      <c r="I68" s="217">
        <v>20266.669999999998</v>
      </c>
      <c r="J68" s="218">
        <v>19807</v>
      </c>
      <c r="K68" s="219" t="s">
        <v>2358</v>
      </c>
      <c r="L68" s="216" t="s">
        <v>2332</v>
      </c>
    </row>
    <row r="69" spans="1:12" ht="15" customHeight="1">
      <c r="A69" s="210">
        <v>66</v>
      </c>
      <c r="B69" s="211" t="s">
        <v>2228</v>
      </c>
      <c r="C69" s="212">
        <v>1079635200</v>
      </c>
      <c r="D69" s="211">
        <v>900922061</v>
      </c>
      <c r="E69" s="213" t="s">
        <v>2227</v>
      </c>
      <c r="F69" s="214"/>
      <c r="G69" s="215">
        <v>42164</v>
      </c>
      <c r="H69" s="216">
        <v>8</v>
      </c>
      <c r="I69" s="217">
        <v>20266.669999999998</v>
      </c>
      <c r="J69" s="218">
        <v>19110</v>
      </c>
      <c r="K69" s="219" t="s">
        <v>2355</v>
      </c>
      <c r="L69" s="216" t="s">
        <v>2332</v>
      </c>
    </row>
    <row r="70" spans="1:12" ht="15" customHeight="1">
      <c r="A70" s="210">
        <v>67</v>
      </c>
      <c r="B70" s="211" t="s">
        <v>2228</v>
      </c>
      <c r="C70" s="212">
        <v>1079635200</v>
      </c>
      <c r="D70" s="211">
        <v>900922061</v>
      </c>
      <c r="E70" s="213" t="s">
        <v>2227</v>
      </c>
      <c r="F70" s="214"/>
      <c r="G70" s="215">
        <v>42164</v>
      </c>
      <c r="H70" s="216">
        <v>3</v>
      </c>
      <c r="I70" s="217">
        <v>20266.669999999998</v>
      </c>
      <c r="J70" s="218">
        <v>19622</v>
      </c>
      <c r="K70" s="219" t="s">
        <v>2359</v>
      </c>
      <c r="L70" s="216" t="s">
        <v>2332</v>
      </c>
    </row>
    <row r="71" spans="1:12" ht="15" customHeight="1">
      <c r="A71" s="210">
        <v>68</v>
      </c>
      <c r="B71" s="211" t="s">
        <v>2228</v>
      </c>
      <c r="C71" s="212">
        <v>1079635200</v>
      </c>
      <c r="D71" s="211">
        <v>900922061</v>
      </c>
      <c r="E71" s="213" t="s">
        <v>2227</v>
      </c>
      <c r="F71" s="214">
        <v>323890.56</v>
      </c>
      <c r="G71" s="215">
        <v>42164</v>
      </c>
      <c r="H71" s="216">
        <v>8</v>
      </c>
      <c r="I71" s="217">
        <v>344157.23</v>
      </c>
      <c r="J71" s="218">
        <v>19743</v>
      </c>
      <c r="K71" s="219" t="s">
        <v>2360</v>
      </c>
      <c r="L71" s="216" t="s">
        <v>2332</v>
      </c>
    </row>
    <row r="72" spans="1:12" ht="15" customHeight="1">
      <c r="A72" s="210">
        <v>69</v>
      </c>
      <c r="B72" s="211" t="s">
        <v>2228</v>
      </c>
      <c r="C72" s="212">
        <v>1079635200</v>
      </c>
      <c r="D72" s="211">
        <v>900922061</v>
      </c>
      <c r="E72" s="213" t="s">
        <v>2227</v>
      </c>
      <c r="F72" s="214"/>
      <c r="G72" s="215">
        <v>42164</v>
      </c>
      <c r="H72" s="216">
        <v>16</v>
      </c>
      <c r="I72" s="217">
        <v>20266.669999999998</v>
      </c>
      <c r="J72" s="218">
        <v>19532</v>
      </c>
      <c r="K72" s="219" t="s">
        <v>2350</v>
      </c>
      <c r="L72" s="216" t="s">
        <v>2332</v>
      </c>
    </row>
    <row r="73" spans="1:12" ht="15" customHeight="1">
      <c r="A73" s="210">
        <v>70</v>
      </c>
      <c r="B73" s="211" t="s">
        <v>2228</v>
      </c>
      <c r="C73" s="212">
        <v>1079635200</v>
      </c>
      <c r="D73" s="211">
        <v>900922061</v>
      </c>
      <c r="E73" s="213" t="s">
        <v>2227</v>
      </c>
      <c r="F73" s="214"/>
      <c r="G73" s="215">
        <v>42164</v>
      </c>
      <c r="H73" s="216">
        <v>16</v>
      </c>
      <c r="I73" s="217">
        <v>20266.669999999998</v>
      </c>
      <c r="J73" s="218">
        <v>19450</v>
      </c>
      <c r="K73" s="219" t="s">
        <v>2349</v>
      </c>
      <c r="L73" s="216" t="s">
        <v>2332</v>
      </c>
    </row>
    <row r="74" spans="1:12" ht="15" customHeight="1">
      <c r="A74" s="210">
        <v>71</v>
      </c>
      <c r="B74" s="211" t="s">
        <v>2228</v>
      </c>
      <c r="C74" s="212">
        <v>1079635200</v>
      </c>
      <c r="D74" s="211">
        <v>900922061</v>
      </c>
      <c r="E74" s="213" t="s">
        <v>2227</v>
      </c>
      <c r="F74" s="214"/>
      <c r="G74" s="215">
        <v>42164</v>
      </c>
      <c r="H74" s="216">
        <v>4</v>
      </c>
      <c r="I74" s="217">
        <v>20266.669999999998</v>
      </c>
      <c r="J74" s="218">
        <v>19533</v>
      </c>
      <c r="K74" s="219" t="s">
        <v>2361</v>
      </c>
      <c r="L74" s="216" t="s">
        <v>2332</v>
      </c>
    </row>
    <row r="75" spans="1:12" ht="15" customHeight="1">
      <c r="A75" s="210">
        <v>72</v>
      </c>
      <c r="B75" s="211" t="s">
        <v>2228</v>
      </c>
      <c r="C75" s="212">
        <v>1079635200</v>
      </c>
      <c r="D75" s="211">
        <v>900922061</v>
      </c>
      <c r="E75" s="213" t="s">
        <v>2227</v>
      </c>
      <c r="F75" s="214"/>
      <c r="G75" s="215">
        <v>42164</v>
      </c>
      <c r="H75" s="216">
        <v>6</v>
      </c>
      <c r="I75" s="217">
        <v>20266.669999999998</v>
      </c>
      <c r="J75" s="218">
        <v>19142</v>
      </c>
      <c r="K75" s="219" t="s">
        <v>2362</v>
      </c>
      <c r="L75" s="216" t="s">
        <v>2332</v>
      </c>
    </row>
    <row r="76" spans="1:12" ht="15" customHeight="1">
      <c r="A76" s="210">
        <v>73</v>
      </c>
      <c r="B76" s="211" t="s">
        <v>2228</v>
      </c>
      <c r="C76" s="212">
        <v>1079635200</v>
      </c>
      <c r="D76" s="211">
        <v>900922061</v>
      </c>
      <c r="E76" s="213" t="s">
        <v>2227</v>
      </c>
      <c r="F76" s="214"/>
      <c r="G76" s="215">
        <v>42164</v>
      </c>
      <c r="H76" s="216">
        <v>18</v>
      </c>
      <c r="I76" s="217">
        <v>20266.669999999998</v>
      </c>
      <c r="J76" s="218">
        <v>19050</v>
      </c>
      <c r="K76" s="219" t="s">
        <v>2363</v>
      </c>
      <c r="L76" s="216" t="s">
        <v>2332</v>
      </c>
    </row>
    <row r="77" spans="1:12" ht="15" customHeight="1">
      <c r="A77" s="210">
        <v>74</v>
      </c>
      <c r="B77" s="211" t="s">
        <v>2228</v>
      </c>
      <c r="C77" s="212">
        <v>1079635200</v>
      </c>
      <c r="D77" s="211">
        <v>900922061</v>
      </c>
      <c r="E77" s="213" t="s">
        <v>2227</v>
      </c>
      <c r="F77" s="214"/>
      <c r="G77" s="215">
        <v>42164</v>
      </c>
      <c r="H77" s="216">
        <v>10</v>
      </c>
      <c r="I77" s="217">
        <v>20266.669999999998</v>
      </c>
      <c r="J77" s="218">
        <v>19824</v>
      </c>
      <c r="K77" s="219" t="s">
        <v>2341</v>
      </c>
      <c r="L77" s="216" t="s">
        <v>2332</v>
      </c>
    </row>
    <row r="78" spans="1:12" ht="15" customHeight="1">
      <c r="A78" s="210">
        <v>75</v>
      </c>
      <c r="B78" s="211" t="s">
        <v>2228</v>
      </c>
      <c r="C78" s="212">
        <v>1079635200</v>
      </c>
      <c r="D78" s="211">
        <v>900922061</v>
      </c>
      <c r="E78" s="213" t="s">
        <v>2227</v>
      </c>
      <c r="F78" s="214"/>
      <c r="G78" s="215">
        <v>42164</v>
      </c>
      <c r="H78" s="216">
        <v>9</v>
      </c>
      <c r="I78" s="217">
        <v>20266.669999999998</v>
      </c>
      <c r="J78" s="218">
        <v>19397</v>
      </c>
      <c r="K78" s="219" t="s">
        <v>2364</v>
      </c>
      <c r="L78" s="216" t="s">
        <v>2332</v>
      </c>
    </row>
    <row r="79" spans="1:12" ht="15" customHeight="1">
      <c r="A79" s="210">
        <v>76</v>
      </c>
      <c r="B79" s="211" t="s">
        <v>2228</v>
      </c>
      <c r="C79" s="212">
        <v>1079635200</v>
      </c>
      <c r="D79" s="211">
        <v>900922061</v>
      </c>
      <c r="E79" s="213" t="s">
        <v>2227</v>
      </c>
      <c r="F79" s="214"/>
      <c r="G79" s="215">
        <v>42164</v>
      </c>
      <c r="H79" s="216">
        <v>8</v>
      </c>
      <c r="I79" s="217">
        <v>20266.669999999998</v>
      </c>
      <c r="J79" s="218">
        <v>19355</v>
      </c>
      <c r="K79" s="219" t="s">
        <v>2365</v>
      </c>
      <c r="L79" s="216" t="s">
        <v>2332</v>
      </c>
    </row>
    <row r="80" spans="1:12" ht="15" customHeight="1">
      <c r="A80" s="210">
        <v>77</v>
      </c>
      <c r="B80" s="211" t="s">
        <v>2228</v>
      </c>
      <c r="C80" s="212">
        <v>1079635200</v>
      </c>
      <c r="D80" s="211">
        <v>900922061</v>
      </c>
      <c r="E80" s="213" t="s">
        <v>2227</v>
      </c>
      <c r="F80" s="214"/>
      <c r="G80" s="215">
        <v>42164</v>
      </c>
      <c r="H80" s="216">
        <v>7</v>
      </c>
      <c r="I80" s="217">
        <v>20266.669999999998</v>
      </c>
      <c r="J80" s="218">
        <v>19760</v>
      </c>
      <c r="K80" s="219" t="s">
        <v>2366</v>
      </c>
      <c r="L80" s="216" t="s">
        <v>2332</v>
      </c>
    </row>
    <row r="81" spans="1:12" ht="15" customHeight="1">
      <c r="A81" s="210">
        <v>78</v>
      </c>
      <c r="B81" s="211" t="s">
        <v>2228</v>
      </c>
      <c r="C81" s="212">
        <v>1079635200</v>
      </c>
      <c r="D81" s="211">
        <v>900922061</v>
      </c>
      <c r="E81" s="213" t="s">
        <v>2227</v>
      </c>
      <c r="F81" s="214"/>
      <c r="G81" s="215">
        <v>42164</v>
      </c>
      <c r="H81" s="216">
        <v>7</v>
      </c>
      <c r="I81" s="217">
        <v>20266.669999999998</v>
      </c>
      <c r="J81" s="218">
        <v>19318</v>
      </c>
      <c r="K81" s="219" t="s">
        <v>2344</v>
      </c>
      <c r="L81" s="216" t="s">
        <v>2332</v>
      </c>
    </row>
    <row r="82" spans="1:12" ht="15" customHeight="1">
      <c r="A82" s="210">
        <v>79</v>
      </c>
      <c r="B82" s="211" t="s">
        <v>2266</v>
      </c>
      <c r="C82" s="212">
        <v>8000000</v>
      </c>
      <c r="D82" s="211">
        <v>10292075</v>
      </c>
      <c r="E82" s="213" t="s">
        <v>2265</v>
      </c>
      <c r="F82" s="214"/>
      <c r="G82" s="215">
        <v>42577</v>
      </c>
      <c r="H82" s="216">
        <v>16</v>
      </c>
      <c r="I82" s="217">
        <v>682956</v>
      </c>
      <c r="J82" s="218">
        <v>19110</v>
      </c>
      <c r="K82" s="219" t="s">
        <v>2355</v>
      </c>
      <c r="L82" s="216" t="s">
        <v>2332</v>
      </c>
    </row>
    <row r="83" spans="1:12">
      <c r="A83" s="210"/>
      <c r="B83" s="211"/>
      <c r="C83" s="212"/>
      <c r="D83" s="211"/>
      <c r="E83" s="213"/>
      <c r="F83" s="217">
        <f>SUM(F4:F82)</f>
        <v>55440598.820000023</v>
      </c>
      <c r="G83" s="215"/>
      <c r="H83" s="216"/>
      <c r="I83" s="217">
        <f>SUM(I4:I82)</f>
        <v>194099720.79999974</v>
      </c>
      <c r="J83" s="218"/>
      <c r="K83" s="219"/>
      <c r="L83" s="216"/>
    </row>
    <row r="84" spans="1:12">
      <c r="A84" s="210"/>
      <c r="B84" s="211"/>
      <c r="C84" s="212"/>
      <c r="D84" s="211"/>
      <c r="E84" s="213"/>
      <c r="F84" s="214"/>
      <c r="G84" s="215"/>
      <c r="H84" s="216"/>
      <c r="I84" s="217"/>
      <c r="J84" s="218"/>
      <c r="K84" s="219"/>
      <c r="L84" s="216"/>
    </row>
    <row r="85" spans="1:12">
      <c r="A85" s="210"/>
      <c r="B85" s="211"/>
      <c r="C85" s="212"/>
      <c r="D85" s="211"/>
      <c r="E85" s="213"/>
      <c r="F85" s="214"/>
      <c r="G85" s="215"/>
      <c r="H85" s="216"/>
      <c r="I85" s="217"/>
      <c r="J85" s="218"/>
      <c r="K85" s="219"/>
      <c r="L85" s="216"/>
    </row>
    <row r="86" spans="1:12">
      <c r="A86" s="210"/>
      <c r="B86" s="211"/>
      <c r="C86" s="212"/>
      <c r="D86" s="211"/>
      <c r="E86" s="213"/>
      <c r="F86" s="214"/>
      <c r="G86" s="215"/>
      <c r="H86" s="216"/>
      <c r="I86" s="217"/>
      <c r="J86" s="218"/>
      <c r="K86" s="219"/>
      <c r="L86" s="216"/>
    </row>
    <row r="87" spans="1:12">
      <c r="A87" s="210"/>
      <c r="B87" s="211"/>
      <c r="C87" s="212"/>
      <c r="D87" s="211"/>
      <c r="E87" s="213"/>
      <c r="F87" s="214"/>
      <c r="G87" s="215"/>
      <c r="H87" s="216"/>
      <c r="I87" s="217"/>
      <c r="J87" s="218"/>
      <c r="K87" s="219"/>
      <c r="L87" s="216"/>
    </row>
    <row r="88" spans="1:12">
      <c r="A88" s="210"/>
      <c r="B88" s="211"/>
      <c r="C88" s="212"/>
      <c r="D88" s="211"/>
      <c r="E88" s="213"/>
      <c r="F88" s="214"/>
      <c r="G88" s="215"/>
      <c r="H88" s="216"/>
      <c r="I88" s="217"/>
      <c r="J88" s="218"/>
      <c r="K88" s="219"/>
      <c r="L88" s="216"/>
    </row>
    <row r="89" spans="1:12">
      <c r="A89" s="210"/>
      <c r="B89" s="211"/>
      <c r="C89" s="212"/>
      <c r="D89" s="211"/>
      <c r="E89" s="213"/>
      <c r="F89" s="214"/>
      <c r="G89" s="215"/>
      <c r="H89" s="216"/>
      <c r="I89" s="217"/>
      <c r="J89" s="218"/>
      <c r="K89" s="219"/>
      <c r="L89" s="216"/>
    </row>
    <row r="90" spans="1:12">
      <c r="A90" s="210"/>
      <c r="B90" s="211"/>
      <c r="C90" s="212"/>
      <c r="D90" s="211"/>
      <c r="E90" s="213"/>
      <c r="F90" s="214"/>
      <c r="G90" s="215"/>
      <c r="H90" s="216"/>
      <c r="I90" s="217"/>
      <c r="J90" s="218"/>
      <c r="K90" s="219"/>
      <c r="L90" s="216"/>
    </row>
    <row r="91" spans="1:12">
      <c r="A91" s="210"/>
      <c r="B91" s="211"/>
      <c r="C91" s="212"/>
      <c r="D91" s="211"/>
      <c r="E91" s="213"/>
      <c r="F91" s="214"/>
      <c r="G91" s="215"/>
      <c r="H91" s="216"/>
      <c r="I91" s="217"/>
      <c r="J91" s="218"/>
      <c r="K91" s="219"/>
      <c r="L91" s="216"/>
    </row>
    <row r="92" spans="1:12">
      <c r="A92" s="210"/>
      <c r="B92" s="211"/>
      <c r="C92" s="212"/>
      <c r="D92" s="211"/>
      <c r="E92" s="213"/>
      <c r="F92" s="214"/>
      <c r="G92" s="215"/>
      <c r="H92" s="216"/>
      <c r="I92" s="217"/>
      <c r="J92" s="218"/>
      <c r="K92" s="219"/>
      <c r="L92" s="216"/>
    </row>
    <row r="93" spans="1:12">
      <c r="A93" s="210"/>
      <c r="B93" s="211"/>
      <c r="C93" s="212"/>
      <c r="D93" s="211"/>
      <c r="E93" s="213"/>
      <c r="F93" s="214"/>
      <c r="G93" s="215"/>
      <c r="H93" s="216"/>
      <c r="I93" s="217"/>
      <c r="J93" s="218"/>
      <c r="K93" s="219"/>
      <c r="L93" s="216"/>
    </row>
    <row r="94" spans="1:12">
      <c r="A94" s="210"/>
      <c r="B94" s="211"/>
      <c r="C94" s="212"/>
      <c r="D94" s="211"/>
      <c r="E94" s="213"/>
      <c r="F94" s="214"/>
      <c r="G94" s="215"/>
      <c r="H94" s="216"/>
      <c r="I94" s="217"/>
      <c r="J94" s="218"/>
      <c r="K94" s="219"/>
      <c r="L94" s="216"/>
    </row>
    <row r="95" spans="1:12">
      <c r="A95" s="210"/>
      <c r="B95" s="211"/>
      <c r="C95" s="212"/>
      <c r="D95" s="211"/>
      <c r="E95" s="213"/>
      <c r="F95" s="214"/>
      <c r="G95" s="215"/>
      <c r="H95" s="216"/>
      <c r="I95" s="217"/>
      <c r="J95" s="218"/>
      <c r="K95" s="219"/>
      <c r="L95" s="216"/>
    </row>
    <row r="96" spans="1:12">
      <c r="A96" s="210"/>
      <c r="B96" s="211"/>
      <c r="C96" s="212"/>
      <c r="D96" s="211"/>
      <c r="E96" s="213"/>
      <c r="F96" s="214"/>
      <c r="G96" s="215"/>
      <c r="H96" s="216"/>
      <c r="I96" s="217"/>
      <c r="J96" s="218"/>
      <c r="K96" s="219"/>
      <c r="L96" s="216"/>
    </row>
    <row r="97" spans="1:12">
      <c r="A97" s="210"/>
      <c r="B97" s="211"/>
      <c r="C97" s="212"/>
      <c r="D97" s="211"/>
      <c r="E97" s="213"/>
      <c r="F97" s="214"/>
      <c r="G97" s="215"/>
      <c r="H97" s="216"/>
      <c r="I97" s="217"/>
      <c r="J97" s="218"/>
      <c r="K97" s="219"/>
      <c r="L97" s="216"/>
    </row>
    <row r="98" spans="1:12">
      <c r="A98" s="210"/>
      <c r="B98" s="211"/>
      <c r="C98" s="212"/>
      <c r="D98" s="211"/>
      <c r="E98" s="213"/>
      <c r="F98" s="214"/>
      <c r="G98" s="215"/>
      <c r="H98" s="216"/>
      <c r="I98" s="217"/>
      <c r="J98" s="218"/>
      <c r="K98" s="219"/>
      <c r="L98" s="216"/>
    </row>
    <row r="99" spans="1:12">
      <c r="A99" s="210"/>
      <c r="B99" s="211"/>
      <c r="C99" s="212"/>
      <c r="D99" s="211"/>
      <c r="E99" s="213"/>
      <c r="F99" s="214"/>
      <c r="G99" s="215"/>
      <c r="H99" s="216"/>
      <c r="I99" s="217"/>
      <c r="J99" s="218"/>
      <c r="K99" s="219"/>
      <c r="L99" s="216"/>
    </row>
    <row r="100" spans="1:12">
      <c r="A100" s="210"/>
      <c r="B100" s="211"/>
      <c r="C100" s="212"/>
      <c r="D100" s="211"/>
      <c r="E100" s="213"/>
      <c r="F100" s="214"/>
      <c r="G100" s="215"/>
      <c r="H100" s="216"/>
      <c r="I100" s="217"/>
      <c r="J100" s="218"/>
      <c r="K100" s="219"/>
      <c r="L100" s="216"/>
    </row>
    <row r="101" spans="1:12">
      <c r="A101" s="210"/>
      <c r="B101" s="211"/>
      <c r="C101" s="212"/>
      <c r="D101" s="211"/>
      <c r="E101" s="213"/>
      <c r="F101" s="214"/>
      <c r="G101" s="215"/>
      <c r="H101" s="216"/>
      <c r="I101" s="217"/>
      <c r="J101" s="218"/>
      <c r="K101" s="219"/>
      <c r="L101" s="216"/>
    </row>
    <row r="102" spans="1:12">
      <c r="A102" s="210"/>
      <c r="B102" s="211"/>
      <c r="C102" s="212"/>
      <c r="D102" s="211"/>
      <c r="E102" s="213"/>
      <c r="F102" s="214"/>
      <c r="G102" s="215"/>
      <c r="H102" s="216"/>
      <c r="I102" s="217"/>
      <c r="J102" s="218"/>
      <c r="K102" s="219"/>
      <c r="L102" s="216"/>
    </row>
    <row r="103" spans="1:12">
      <c r="A103" s="210"/>
      <c r="B103" s="211"/>
      <c r="C103" s="212"/>
      <c r="D103" s="211"/>
      <c r="E103" s="213"/>
      <c r="F103" s="214"/>
      <c r="G103" s="215"/>
      <c r="H103" s="216"/>
      <c r="I103" s="217"/>
      <c r="J103" s="218"/>
      <c r="K103" s="219"/>
      <c r="L103" s="216"/>
    </row>
    <row r="104" spans="1:12">
      <c r="A104" s="210"/>
      <c r="B104" s="211"/>
      <c r="C104" s="212"/>
      <c r="D104" s="211"/>
      <c r="E104" s="213"/>
      <c r="F104" s="214"/>
      <c r="G104" s="215"/>
      <c r="H104" s="216"/>
      <c r="I104" s="217"/>
      <c r="J104" s="218"/>
      <c r="K104" s="219"/>
      <c r="L104" s="216"/>
    </row>
    <row r="105" spans="1:12">
      <c r="A105" s="210"/>
      <c r="B105" s="211"/>
      <c r="C105" s="212"/>
      <c r="D105" s="211"/>
      <c r="E105" s="213"/>
      <c r="F105" s="214"/>
      <c r="G105" s="215"/>
      <c r="H105" s="216"/>
      <c r="I105" s="217"/>
      <c r="J105" s="218"/>
      <c r="K105" s="219"/>
      <c r="L105" s="216"/>
    </row>
    <row r="106" spans="1:12">
      <c r="A106" s="210"/>
      <c r="B106" s="211"/>
      <c r="C106" s="212"/>
      <c r="D106" s="211"/>
      <c r="E106" s="213"/>
      <c r="F106" s="214"/>
      <c r="G106" s="215"/>
      <c r="H106" s="216"/>
      <c r="I106" s="217"/>
      <c r="J106" s="218"/>
      <c r="K106" s="219"/>
      <c r="L106" s="216"/>
    </row>
    <row r="107" spans="1:12">
      <c r="A107" s="210"/>
      <c r="B107" s="211"/>
      <c r="C107" s="212"/>
      <c r="D107" s="211"/>
      <c r="E107" s="213"/>
      <c r="F107" s="214"/>
      <c r="G107" s="215"/>
      <c r="H107" s="216"/>
      <c r="I107" s="217"/>
      <c r="J107" s="218"/>
      <c r="K107" s="219"/>
      <c r="L107" s="216"/>
    </row>
    <row r="108" spans="1:12">
      <c r="A108" s="210"/>
      <c r="B108" s="211"/>
      <c r="C108" s="212"/>
      <c r="D108" s="211"/>
      <c r="E108" s="213"/>
      <c r="F108" s="214"/>
      <c r="G108" s="215"/>
      <c r="H108" s="216"/>
      <c r="I108" s="217"/>
      <c r="J108" s="218"/>
      <c r="K108" s="219"/>
      <c r="L108" s="216"/>
    </row>
    <row r="109" spans="1:12">
      <c r="A109" s="210"/>
      <c r="B109" s="211"/>
      <c r="C109" s="212"/>
      <c r="D109" s="211"/>
      <c r="E109" s="213"/>
      <c r="F109" s="214"/>
      <c r="G109" s="215"/>
      <c r="H109" s="216"/>
      <c r="I109" s="217"/>
      <c r="J109" s="218"/>
      <c r="K109" s="219"/>
      <c r="L109" s="216"/>
    </row>
    <row r="110" spans="1:12">
      <c r="A110" s="210"/>
      <c r="B110" s="211"/>
      <c r="C110" s="212"/>
      <c r="D110" s="211"/>
      <c r="E110" s="213"/>
      <c r="F110" s="214"/>
      <c r="G110" s="215"/>
      <c r="H110" s="216"/>
      <c r="I110" s="217"/>
      <c r="J110" s="218"/>
      <c r="K110" s="219"/>
      <c r="L110" s="216"/>
    </row>
    <row r="111" spans="1:12">
      <c r="A111" s="210"/>
      <c r="B111" s="211"/>
      <c r="C111" s="212"/>
      <c r="D111" s="211"/>
      <c r="E111" s="213"/>
      <c r="F111" s="214"/>
      <c r="G111" s="215"/>
      <c r="H111" s="216"/>
      <c r="I111" s="217"/>
      <c r="J111" s="218"/>
      <c r="K111" s="219"/>
      <c r="L111" s="216"/>
    </row>
    <row r="112" spans="1:12">
      <c r="A112" s="210"/>
      <c r="B112" s="211"/>
      <c r="C112" s="212"/>
      <c r="D112" s="211"/>
      <c r="E112" s="213"/>
      <c r="F112" s="214"/>
      <c r="G112" s="215"/>
      <c r="H112" s="216"/>
      <c r="I112" s="217"/>
      <c r="J112" s="218"/>
      <c r="K112" s="219"/>
      <c r="L112" s="216"/>
    </row>
    <row r="113" spans="1:12">
      <c r="A113" s="210"/>
      <c r="B113" s="211"/>
      <c r="C113" s="212"/>
      <c r="D113" s="211"/>
      <c r="E113" s="213"/>
      <c r="F113" s="214"/>
      <c r="G113" s="215"/>
      <c r="H113" s="216"/>
      <c r="I113" s="217"/>
      <c r="J113" s="218"/>
      <c r="K113" s="219"/>
      <c r="L113" s="216"/>
    </row>
    <row r="114" spans="1:12">
      <c r="A114" s="210"/>
      <c r="B114" s="211"/>
      <c r="C114" s="212"/>
      <c r="D114" s="211"/>
      <c r="E114" s="213"/>
      <c r="F114" s="214"/>
      <c r="G114" s="215"/>
      <c r="H114" s="216"/>
      <c r="I114" s="217"/>
      <c r="J114" s="218"/>
      <c r="K114" s="219"/>
      <c r="L114" s="216"/>
    </row>
    <row r="115" spans="1:12">
      <c r="A115" s="210"/>
      <c r="B115" s="211"/>
      <c r="C115" s="212"/>
      <c r="D115" s="211"/>
      <c r="E115" s="213"/>
      <c r="F115" s="214"/>
      <c r="G115" s="215"/>
      <c r="H115" s="216"/>
      <c r="I115" s="217"/>
      <c r="J115" s="218"/>
      <c r="K115" s="219"/>
      <c r="L115" s="216"/>
    </row>
    <row r="116" spans="1:12">
      <c r="A116" s="210"/>
      <c r="B116" s="211"/>
      <c r="C116" s="212"/>
      <c r="D116" s="211"/>
      <c r="E116" s="213"/>
      <c r="F116" s="214"/>
      <c r="G116" s="215"/>
      <c r="H116" s="216"/>
      <c r="I116" s="217"/>
      <c r="J116" s="218"/>
      <c r="K116" s="219"/>
      <c r="L116" s="216"/>
    </row>
    <row r="117" spans="1:12">
      <c r="A117" s="210"/>
      <c r="B117" s="211"/>
      <c r="C117" s="212"/>
      <c r="D117" s="211"/>
      <c r="E117" s="213"/>
      <c r="F117" s="214"/>
      <c r="G117" s="215"/>
      <c r="H117" s="216"/>
      <c r="I117" s="217"/>
      <c r="J117" s="218"/>
      <c r="K117" s="219"/>
      <c r="L117" s="216"/>
    </row>
    <row r="118" spans="1:12">
      <c r="A118" s="210"/>
      <c r="B118" s="211"/>
      <c r="C118" s="212"/>
      <c r="D118" s="211"/>
      <c r="E118" s="213"/>
      <c r="F118" s="214"/>
      <c r="G118" s="215"/>
      <c r="H118" s="216"/>
      <c r="I118" s="217"/>
      <c r="J118" s="218"/>
      <c r="K118" s="219"/>
      <c r="L118" s="216"/>
    </row>
    <row r="119" spans="1:12">
      <c r="A119" s="210"/>
      <c r="B119" s="211"/>
      <c r="C119" s="212"/>
      <c r="D119" s="211"/>
      <c r="E119" s="213"/>
      <c r="F119" s="214"/>
      <c r="G119" s="215"/>
      <c r="H119" s="216"/>
      <c r="I119" s="217"/>
      <c r="J119" s="218"/>
      <c r="K119" s="219"/>
      <c r="L119" s="216"/>
    </row>
    <row r="120" spans="1:12">
      <c r="A120" s="210"/>
      <c r="B120" s="211"/>
      <c r="C120" s="212"/>
      <c r="D120" s="211"/>
      <c r="E120" s="213"/>
      <c r="F120" s="214"/>
      <c r="G120" s="215"/>
      <c r="H120" s="216"/>
      <c r="I120" s="217"/>
      <c r="J120" s="218"/>
      <c r="K120" s="219"/>
      <c r="L120" s="216"/>
    </row>
    <row r="121" spans="1:12">
      <c r="A121" s="210"/>
      <c r="B121" s="211"/>
      <c r="C121" s="212"/>
      <c r="D121" s="211"/>
      <c r="E121" s="213"/>
      <c r="F121" s="214"/>
      <c r="G121" s="215"/>
      <c r="H121" s="216"/>
      <c r="I121" s="217"/>
      <c r="J121" s="218"/>
      <c r="K121" s="219"/>
      <c r="L121" s="216"/>
    </row>
    <row r="122" spans="1:12">
      <c r="A122" s="210"/>
      <c r="B122" s="211"/>
      <c r="C122" s="212"/>
      <c r="D122" s="211"/>
      <c r="E122" s="213"/>
      <c r="F122" s="214"/>
      <c r="G122" s="215"/>
      <c r="H122" s="216"/>
      <c r="I122" s="217"/>
      <c r="J122" s="218"/>
      <c r="K122" s="219"/>
      <c r="L122" s="216"/>
    </row>
    <row r="123" spans="1:12">
      <c r="A123" s="210"/>
      <c r="B123" s="211"/>
      <c r="C123" s="212"/>
      <c r="D123" s="211"/>
      <c r="E123" s="213"/>
      <c r="F123" s="214"/>
      <c r="G123" s="215"/>
      <c r="H123" s="216"/>
      <c r="I123" s="217"/>
      <c r="J123" s="218"/>
      <c r="K123" s="219"/>
      <c r="L123" s="216"/>
    </row>
    <row r="124" spans="1:12">
      <c r="A124" s="210"/>
      <c r="B124" s="211"/>
      <c r="C124" s="212"/>
      <c r="D124" s="211"/>
      <c r="E124" s="213"/>
      <c r="F124" s="214"/>
      <c r="G124" s="215"/>
      <c r="H124" s="216"/>
      <c r="I124" s="217"/>
      <c r="J124" s="218"/>
      <c r="K124" s="219"/>
      <c r="L124" s="216"/>
    </row>
    <row r="125" spans="1:12">
      <c r="A125" s="210"/>
      <c r="B125" s="211"/>
      <c r="C125" s="212"/>
      <c r="D125" s="211"/>
      <c r="E125" s="213"/>
      <c r="F125" s="214"/>
      <c r="G125" s="215"/>
      <c r="H125" s="216"/>
      <c r="I125" s="217"/>
      <c r="J125" s="218"/>
      <c r="K125" s="219"/>
      <c r="L125" s="216"/>
    </row>
    <row r="126" spans="1:12">
      <c r="A126" s="210"/>
      <c r="B126" s="211"/>
      <c r="C126" s="212"/>
      <c r="D126" s="211"/>
      <c r="E126" s="213"/>
      <c r="F126" s="214"/>
      <c r="G126" s="215"/>
      <c r="H126" s="216"/>
      <c r="I126" s="217"/>
      <c r="J126" s="218"/>
      <c r="K126" s="219"/>
      <c r="L126" s="216"/>
    </row>
    <row r="127" spans="1:12">
      <c r="A127" s="210"/>
      <c r="B127" s="211"/>
      <c r="C127" s="212"/>
      <c r="D127" s="211"/>
      <c r="E127" s="213"/>
      <c r="F127" s="214"/>
      <c r="G127" s="215"/>
      <c r="H127" s="216"/>
      <c r="I127" s="217"/>
      <c r="J127" s="218"/>
      <c r="K127" s="219"/>
      <c r="L127" s="216"/>
    </row>
    <row r="128" spans="1:12">
      <c r="A128" s="210"/>
      <c r="B128" s="211"/>
      <c r="C128" s="212"/>
      <c r="D128" s="211"/>
      <c r="E128" s="213"/>
      <c r="F128" s="214"/>
      <c r="G128" s="215"/>
      <c r="H128" s="216"/>
      <c r="I128" s="217"/>
      <c r="J128" s="218"/>
      <c r="K128" s="219"/>
      <c r="L128" s="216"/>
    </row>
    <row r="129" spans="1:12">
      <c r="A129" s="210"/>
      <c r="B129" s="211"/>
      <c r="C129" s="212"/>
      <c r="D129" s="211"/>
      <c r="E129" s="213"/>
      <c r="F129" s="214"/>
      <c r="G129" s="215"/>
      <c r="H129" s="216"/>
      <c r="I129" s="217"/>
      <c r="J129" s="218"/>
      <c r="K129" s="219"/>
      <c r="L129" s="216"/>
    </row>
    <row r="130" spans="1:12">
      <c r="A130" s="210"/>
      <c r="B130" s="211"/>
      <c r="C130" s="212"/>
      <c r="D130" s="211"/>
      <c r="E130" s="213"/>
      <c r="F130" s="214"/>
      <c r="G130" s="215"/>
      <c r="H130" s="216"/>
      <c r="I130" s="217"/>
      <c r="J130" s="218"/>
      <c r="K130" s="219"/>
      <c r="L130" s="216"/>
    </row>
    <row r="131" spans="1:12">
      <c r="A131" s="210"/>
      <c r="B131" s="211"/>
      <c r="C131" s="212"/>
      <c r="D131" s="211"/>
      <c r="E131" s="213"/>
      <c r="F131" s="214"/>
      <c r="G131" s="215"/>
      <c r="H131" s="216"/>
      <c r="I131" s="217"/>
      <c r="J131" s="218"/>
      <c r="K131" s="219"/>
      <c r="L131" s="216"/>
    </row>
    <row r="132" spans="1:12">
      <c r="A132" s="210"/>
      <c r="B132" s="211"/>
      <c r="C132" s="212"/>
      <c r="D132" s="211"/>
      <c r="E132" s="213"/>
      <c r="F132" s="214"/>
      <c r="G132" s="215"/>
      <c r="H132" s="216"/>
      <c r="I132" s="217"/>
      <c r="J132" s="218"/>
      <c r="K132" s="219"/>
      <c r="L132" s="216"/>
    </row>
    <row r="133" spans="1:12">
      <c r="A133" s="210"/>
      <c r="B133" s="211"/>
      <c r="C133" s="212"/>
      <c r="D133" s="211"/>
      <c r="E133" s="213"/>
      <c r="F133" s="214"/>
      <c r="G133" s="215"/>
      <c r="H133" s="216"/>
      <c r="I133" s="217"/>
      <c r="J133" s="218"/>
      <c r="K133" s="219"/>
      <c r="L133" s="216"/>
    </row>
    <row r="134" spans="1:12">
      <c r="A134" s="210"/>
      <c r="B134" s="211"/>
      <c r="C134" s="212"/>
      <c r="D134" s="211"/>
      <c r="E134" s="213"/>
      <c r="F134" s="214"/>
      <c r="G134" s="215"/>
      <c r="H134" s="216"/>
      <c r="I134" s="217"/>
      <c r="J134" s="218"/>
      <c r="K134" s="219"/>
      <c r="L134" s="216"/>
    </row>
    <row r="135" spans="1:12">
      <c r="A135" s="210"/>
      <c r="B135" s="211"/>
      <c r="C135" s="212"/>
      <c r="D135" s="211"/>
      <c r="E135" s="213"/>
      <c r="F135" s="214"/>
      <c r="G135" s="215"/>
      <c r="H135" s="216"/>
      <c r="I135" s="217"/>
      <c r="J135" s="218"/>
      <c r="K135" s="219"/>
      <c r="L135" s="216"/>
    </row>
    <row r="136" spans="1:12">
      <c r="A136" s="210"/>
      <c r="B136" s="211"/>
      <c r="C136" s="212"/>
      <c r="D136" s="211"/>
      <c r="E136" s="213"/>
      <c r="F136" s="214"/>
      <c r="G136" s="215"/>
      <c r="H136" s="216"/>
      <c r="I136" s="217"/>
      <c r="J136" s="218"/>
      <c r="K136" s="219"/>
      <c r="L136" s="216"/>
    </row>
    <row r="137" spans="1:12">
      <c r="A137" s="210"/>
      <c r="B137" s="211"/>
      <c r="C137" s="212"/>
      <c r="D137" s="211"/>
      <c r="E137" s="213"/>
      <c r="F137" s="214"/>
      <c r="G137" s="215"/>
      <c r="H137" s="216"/>
      <c r="I137" s="217"/>
      <c r="J137" s="218"/>
      <c r="K137" s="219"/>
      <c r="L137" s="216"/>
    </row>
    <row r="138" spans="1:12">
      <c r="A138" s="210"/>
      <c r="B138" s="211"/>
      <c r="C138" s="212"/>
      <c r="D138" s="211"/>
      <c r="E138" s="213"/>
      <c r="F138" s="214"/>
      <c r="G138" s="215"/>
      <c r="H138" s="216"/>
      <c r="I138" s="217"/>
      <c r="J138" s="218"/>
      <c r="K138" s="219"/>
      <c r="L138" s="216"/>
    </row>
    <row r="139" spans="1:12">
      <c r="A139" s="210"/>
      <c r="B139" s="211"/>
      <c r="C139" s="212"/>
      <c r="D139" s="211"/>
      <c r="E139" s="213"/>
      <c r="F139" s="214"/>
      <c r="G139" s="215"/>
      <c r="H139" s="216"/>
      <c r="I139" s="217"/>
      <c r="J139" s="218"/>
      <c r="K139" s="219"/>
      <c r="L139" s="216"/>
    </row>
    <row r="140" spans="1:12">
      <c r="A140" s="210"/>
      <c r="B140" s="211"/>
      <c r="C140" s="212"/>
      <c r="D140" s="211"/>
      <c r="E140" s="213"/>
      <c r="F140" s="214"/>
      <c r="G140" s="215"/>
      <c r="H140" s="216"/>
      <c r="I140" s="217"/>
      <c r="J140" s="218"/>
      <c r="K140" s="219"/>
      <c r="L140" s="216"/>
    </row>
    <row r="141" spans="1:12">
      <c r="A141" s="210"/>
      <c r="B141" s="211"/>
      <c r="C141" s="212"/>
      <c r="D141" s="211"/>
      <c r="E141" s="213"/>
      <c r="F141" s="214"/>
      <c r="G141" s="215"/>
      <c r="H141" s="216"/>
      <c r="I141" s="217"/>
      <c r="J141" s="218"/>
      <c r="K141" s="219"/>
      <c r="L141" s="216"/>
    </row>
    <row r="142" spans="1:12">
      <c r="A142" s="210"/>
      <c r="B142" s="211"/>
      <c r="C142" s="212"/>
      <c r="D142" s="211"/>
      <c r="E142" s="213"/>
      <c r="F142" s="214"/>
      <c r="G142" s="215"/>
      <c r="H142" s="216"/>
      <c r="I142" s="217"/>
      <c r="J142" s="218"/>
      <c r="K142" s="219"/>
      <c r="L142" s="216"/>
    </row>
    <row r="143" spans="1:12">
      <c r="A143" s="210"/>
      <c r="B143" s="211"/>
      <c r="C143" s="212"/>
      <c r="D143" s="211"/>
      <c r="E143" s="213"/>
      <c r="F143" s="214"/>
      <c r="G143" s="215"/>
      <c r="H143" s="216"/>
      <c r="I143" s="217"/>
      <c r="J143" s="218"/>
      <c r="K143" s="219"/>
      <c r="L143" s="216"/>
    </row>
    <row r="144" spans="1:12">
      <c r="A144" s="210"/>
      <c r="B144" s="211"/>
      <c r="C144" s="212"/>
      <c r="D144" s="211"/>
      <c r="E144" s="213"/>
      <c r="F144" s="214"/>
      <c r="G144" s="215"/>
      <c r="H144" s="216"/>
      <c r="I144" s="217"/>
      <c r="J144" s="218"/>
      <c r="K144" s="219"/>
      <c r="L144" s="216"/>
    </row>
    <row r="145" spans="1:12">
      <c r="A145" s="210"/>
      <c r="B145" s="211"/>
      <c r="C145" s="212"/>
      <c r="D145" s="211"/>
      <c r="E145" s="213"/>
      <c r="F145" s="214"/>
      <c r="G145" s="215"/>
      <c r="H145" s="216"/>
      <c r="I145" s="217"/>
      <c r="J145" s="218"/>
      <c r="K145" s="219"/>
      <c r="L145" s="216"/>
    </row>
    <row r="146" spans="1:12">
      <c r="A146" s="210"/>
      <c r="B146" s="211"/>
      <c r="C146" s="212"/>
      <c r="D146" s="211"/>
      <c r="E146" s="213"/>
      <c r="F146" s="214"/>
      <c r="G146" s="215"/>
      <c r="H146" s="216"/>
      <c r="I146" s="217"/>
      <c r="J146" s="218"/>
      <c r="K146" s="219"/>
      <c r="L146" s="216"/>
    </row>
    <row r="147" spans="1:12">
      <c r="A147" s="210"/>
      <c r="B147" s="211"/>
      <c r="C147" s="212"/>
      <c r="D147" s="211"/>
      <c r="E147" s="213"/>
      <c r="F147" s="214"/>
      <c r="G147" s="215"/>
      <c r="H147" s="216"/>
      <c r="I147" s="217"/>
      <c r="J147" s="218"/>
      <c r="K147" s="219"/>
      <c r="L147" s="216"/>
    </row>
    <row r="148" spans="1:12">
      <c r="A148" s="210"/>
      <c r="B148" s="211"/>
      <c r="C148" s="212"/>
      <c r="D148" s="211"/>
      <c r="E148" s="213"/>
      <c r="F148" s="214"/>
      <c r="G148" s="215"/>
      <c r="H148" s="216"/>
      <c r="I148" s="217"/>
      <c r="J148" s="218"/>
      <c r="K148" s="219"/>
      <c r="L148" s="216"/>
    </row>
    <row r="149" spans="1:12">
      <c r="A149" s="210"/>
      <c r="B149" s="211"/>
      <c r="C149" s="212"/>
      <c r="D149" s="211"/>
      <c r="E149" s="213"/>
      <c r="F149" s="214"/>
      <c r="G149" s="215"/>
      <c r="H149" s="216"/>
      <c r="I149" s="217"/>
      <c r="J149" s="218"/>
      <c r="K149" s="219"/>
      <c r="L149" s="216"/>
    </row>
    <row r="150" spans="1:12">
      <c r="A150" s="210"/>
      <c r="B150" s="211"/>
      <c r="C150" s="212"/>
      <c r="D150" s="211"/>
      <c r="E150" s="213"/>
      <c r="F150" s="214"/>
      <c r="G150" s="215"/>
      <c r="H150" s="216"/>
      <c r="I150" s="217"/>
      <c r="J150" s="218"/>
      <c r="K150" s="219"/>
      <c r="L150" s="216"/>
    </row>
    <row r="151" spans="1:12">
      <c r="A151" s="210"/>
      <c r="B151" s="211"/>
      <c r="C151" s="212"/>
      <c r="D151" s="211"/>
      <c r="E151" s="213"/>
      <c r="F151" s="214"/>
      <c r="G151" s="215"/>
      <c r="H151" s="216"/>
      <c r="I151" s="217"/>
      <c r="J151" s="218"/>
      <c r="K151" s="219"/>
      <c r="L151" s="216"/>
    </row>
    <row r="152" spans="1:12">
      <c r="A152" s="210"/>
      <c r="B152" s="211"/>
      <c r="C152" s="212"/>
      <c r="D152" s="211"/>
      <c r="E152" s="213"/>
      <c r="F152" s="214"/>
      <c r="G152" s="215"/>
      <c r="H152" s="216"/>
      <c r="I152" s="217"/>
      <c r="J152" s="218"/>
      <c r="K152" s="219"/>
      <c r="L152" s="216"/>
    </row>
    <row r="153" spans="1:12">
      <c r="A153" s="210"/>
      <c r="B153" s="211"/>
      <c r="C153" s="212"/>
      <c r="D153" s="211"/>
      <c r="E153" s="213"/>
      <c r="F153" s="214"/>
      <c r="G153" s="215"/>
      <c r="H153" s="216"/>
      <c r="I153" s="217"/>
      <c r="J153" s="218"/>
      <c r="K153" s="219"/>
      <c r="L153" s="216"/>
    </row>
    <row r="154" spans="1:12">
      <c r="A154" s="210"/>
      <c r="B154" s="211"/>
      <c r="C154" s="212"/>
      <c r="D154" s="211"/>
      <c r="E154" s="213"/>
      <c r="F154" s="214"/>
      <c r="G154" s="215"/>
      <c r="H154" s="216"/>
      <c r="I154" s="217"/>
      <c r="J154" s="218"/>
      <c r="K154" s="219"/>
      <c r="L154" s="216"/>
    </row>
    <row r="155" spans="1:12">
      <c r="A155" s="210"/>
      <c r="B155" s="211"/>
      <c r="C155" s="212"/>
      <c r="D155" s="211"/>
      <c r="E155" s="213"/>
      <c r="F155" s="214"/>
      <c r="G155" s="215"/>
      <c r="H155" s="216"/>
      <c r="I155" s="217"/>
      <c r="J155" s="218"/>
      <c r="K155" s="219"/>
      <c r="L155" s="216"/>
    </row>
    <row r="156" spans="1:12">
      <c r="A156" s="210"/>
      <c r="B156" s="211"/>
      <c r="C156" s="212"/>
      <c r="D156" s="211"/>
      <c r="E156" s="213"/>
      <c r="F156" s="214"/>
      <c r="G156" s="215"/>
      <c r="H156" s="216"/>
      <c r="I156" s="217"/>
      <c r="J156" s="218"/>
      <c r="K156" s="219"/>
      <c r="L156" s="216"/>
    </row>
    <row r="157" spans="1:12">
      <c r="A157" s="210"/>
      <c r="B157" s="211"/>
      <c r="C157" s="212"/>
      <c r="D157" s="211"/>
      <c r="E157" s="213"/>
      <c r="F157" s="214"/>
      <c r="G157" s="215"/>
      <c r="H157" s="216"/>
      <c r="I157" s="217"/>
      <c r="J157" s="218"/>
      <c r="K157" s="219"/>
      <c r="L157" s="216"/>
    </row>
    <row r="158" spans="1:12">
      <c r="A158" s="210"/>
      <c r="B158" s="211"/>
      <c r="C158" s="212"/>
      <c r="D158" s="211"/>
      <c r="E158" s="213"/>
      <c r="F158" s="214"/>
      <c r="G158" s="215"/>
      <c r="H158" s="216"/>
      <c r="I158" s="217"/>
      <c r="J158" s="218"/>
      <c r="K158" s="219"/>
      <c r="L158" s="216"/>
    </row>
    <row r="159" spans="1:12">
      <c r="A159" s="210"/>
      <c r="B159" s="211"/>
      <c r="C159" s="212"/>
      <c r="D159" s="211"/>
      <c r="E159" s="213"/>
      <c r="F159" s="214"/>
      <c r="G159" s="215"/>
      <c r="H159" s="216"/>
      <c r="I159" s="217"/>
      <c r="J159" s="218"/>
      <c r="K159" s="219"/>
      <c r="L159" s="216"/>
    </row>
    <row r="160" spans="1:12">
      <c r="A160" s="210"/>
      <c r="B160" s="211"/>
      <c r="C160" s="212"/>
      <c r="D160" s="211"/>
      <c r="E160" s="213"/>
      <c r="F160" s="214"/>
      <c r="G160" s="215"/>
      <c r="H160" s="216"/>
      <c r="I160" s="217"/>
      <c r="J160" s="218"/>
      <c r="K160" s="219"/>
      <c r="L160" s="216"/>
    </row>
    <row r="161" spans="1:12">
      <c r="A161" s="210"/>
      <c r="B161" s="211"/>
      <c r="C161" s="212"/>
      <c r="D161" s="211"/>
      <c r="E161" s="213"/>
      <c r="F161" s="214"/>
      <c r="G161" s="215"/>
      <c r="H161" s="216"/>
      <c r="I161" s="217"/>
      <c r="J161" s="218"/>
      <c r="K161" s="219"/>
      <c r="L161" s="216"/>
    </row>
    <row r="162" spans="1:12">
      <c r="A162" s="210"/>
      <c r="B162" s="211"/>
      <c r="C162" s="212"/>
      <c r="D162" s="211"/>
      <c r="E162" s="213"/>
      <c r="F162" s="214"/>
      <c r="G162" s="215"/>
      <c r="H162" s="216"/>
      <c r="I162" s="217"/>
      <c r="J162" s="218"/>
      <c r="K162" s="219"/>
      <c r="L162" s="216"/>
    </row>
    <row r="163" spans="1:12">
      <c r="A163" s="210"/>
      <c r="B163" s="211"/>
      <c r="C163" s="212"/>
      <c r="D163" s="211"/>
      <c r="E163" s="213"/>
      <c r="F163" s="214"/>
      <c r="G163" s="215"/>
      <c r="H163" s="216"/>
      <c r="I163" s="217"/>
      <c r="J163" s="218"/>
      <c r="K163" s="219"/>
      <c r="L163" s="216"/>
    </row>
    <row r="164" spans="1:12">
      <c r="A164" s="210"/>
      <c r="B164" s="211"/>
      <c r="C164" s="212"/>
      <c r="D164" s="211"/>
      <c r="E164" s="213"/>
      <c r="F164" s="214"/>
      <c r="G164" s="215"/>
      <c r="H164" s="216"/>
      <c r="I164" s="217"/>
      <c r="J164" s="218"/>
      <c r="K164" s="219"/>
      <c r="L164" s="216"/>
    </row>
    <row r="165" spans="1:12">
      <c r="A165" s="210"/>
      <c r="B165" s="211"/>
      <c r="C165" s="212"/>
      <c r="D165" s="211"/>
      <c r="E165" s="213"/>
      <c r="F165" s="214"/>
      <c r="G165" s="215"/>
      <c r="H165" s="216"/>
      <c r="I165" s="217"/>
      <c r="J165" s="218"/>
      <c r="K165" s="219"/>
      <c r="L165" s="216"/>
    </row>
    <row r="166" spans="1:12">
      <c r="A166" s="210"/>
      <c r="B166" s="211"/>
      <c r="C166" s="212"/>
      <c r="D166" s="211"/>
      <c r="E166" s="213"/>
      <c r="F166" s="214"/>
      <c r="G166" s="215"/>
      <c r="H166" s="216"/>
      <c r="I166" s="217"/>
      <c r="J166" s="218"/>
      <c r="K166" s="219"/>
      <c r="L166" s="216"/>
    </row>
    <row r="167" spans="1:12">
      <c r="A167" s="210"/>
      <c r="B167" s="211"/>
      <c r="C167" s="212"/>
      <c r="D167" s="211"/>
      <c r="E167" s="213"/>
      <c r="F167" s="214"/>
      <c r="G167" s="215"/>
      <c r="H167" s="216"/>
      <c r="I167" s="217"/>
      <c r="J167" s="218"/>
      <c r="K167" s="219"/>
      <c r="L167" s="216"/>
    </row>
    <row r="168" spans="1:12">
      <c r="A168" s="210"/>
      <c r="B168" s="211"/>
      <c r="C168" s="212"/>
      <c r="D168" s="211"/>
      <c r="E168" s="213"/>
      <c r="F168" s="214"/>
      <c r="G168" s="215"/>
      <c r="H168" s="216"/>
      <c r="I168" s="217"/>
      <c r="J168" s="218"/>
      <c r="K168" s="219"/>
      <c r="L168" s="216"/>
    </row>
    <row r="169" spans="1:12">
      <c r="A169" s="210"/>
      <c r="B169" s="211"/>
      <c r="C169" s="212"/>
      <c r="D169" s="211"/>
      <c r="E169" s="213"/>
      <c r="F169" s="214"/>
      <c r="G169" s="215"/>
      <c r="H169" s="216"/>
      <c r="I169" s="217"/>
      <c r="J169" s="218"/>
      <c r="K169" s="219"/>
      <c r="L169" s="216"/>
    </row>
    <row r="170" spans="1:12">
      <c r="A170" s="210"/>
      <c r="B170" s="211"/>
      <c r="C170" s="212"/>
      <c r="D170" s="211"/>
      <c r="E170" s="213"/>
      <c r="F170" s="214"/>
      <c r="G170" s="215"/>
      <c r="H170" s="216"/>
      <c r="I170" s="217"/>
      <c r="J170" s="218"/>
      <c r="K170" s="219"/>
      <c r="L170" s="216"/>
    </row>
    <row r="171" spans="1:12">
      <c r="A171" s="210"/>
      <c r="B171" s="211"/>
      <c r="C171" s="212"/>
      <c r="D171" s="211"/>
      <c r="E171" s="213"/>
      <c r="F171" s="214"/>
      <c r="G171" s="215"/>
      <c r="H171" s="216"/>
      <c r="I171" s="217"/>
      <c r="J171" s="218"/>
      <c r="K171" s="219"/>
      <c r="L171" s="216"/>
    </row>
    <row r="172" spans="1:12">
      <c r="A172" s="210"/>
      <c r="B172" s="211"/>
      <c r="C172" s="212"/>
      <c r="D172" s="211"/>
      <c r="E172" s="213"/>
      <c r="F172" s="214"/>
      <c r="G172" s="215"/>
      <c r="H172" s="216"/>
      <c r="I172" s="217"/>
      <c r="J172" s="218"/>
      <c r="K172" s="219"/>
      <c r="L172" s="216"/>
    </row>
    <row r="173" spans="1:12">
      <c r="A173" s="210"/>
      <c r="B173" s="211"/>
      <c r="C173" s="212"/>
      <c r="D173" s="211"/>
      <c r="E173" s="213"/>
      <c r="F173" s="214"/>
      <c r="G173" s="215"/>
      <c r="H173" s="216"/>
      <c r="I173" s="217"/>
      <c r="J173" s="218"/>
      <c r="K173" s="219"/>
      <c r="L173" s="216"/>
    </row>
    <row r="174" spans="1:12">
      <c r="A174" s="210"/>
      <c r="B174" s="211"/>
      <c r="C174" s="212"/>
      <c r="D174" s="211"/>
      <c r="E174" s="213"/>
      <c r="F174" s="214"/>
      <c r="G174" s="215"/>
      <c r="H174" s="216"/>
      <c r="I174" s="217"/>
      <c r="J174" s="218"/>
      <c r="K174" s="219"/>
      <c r="L174" s="216"/>
    </row>
    <row r="175" spans="1:12">
      <c r="A175" s="210"/>
      <c r="B175" s="211"/>
      <c r="C175" s="212"/>
      <c r="D175" s="211"/>
      <c r="E175" s="213"/>
      <c r="F175" s="214"/>
      <c r="G175" s="215"/>
      <c r="H175" s="216"/>
      <c r="I175" s="217"/>
      <c r="J175" s="218"/>
      <c r="K175" s="219"/>
      <c r="L175" s="216"/>
    </row>
    <row r="176" spans="1:12">
      <c r="A176" s="210"/>
      <c r="B176" s="211"/>
      <c r="C176" s="212"/>
      <c r="D176" s="211"/>
      <c r="E176" s="213"/>
      <c r="F176" s="214"/>
      <c r="G176" s="215"/>
      <c r="H176" s="216"/>
      <c r="I176" s="217"/>
      <c r="J176" s="218"/>
      <c r="K176" s="219"/>
      <c r="L176" s="216"/>
    </row>
    <row r="177" spans="1:12">
      <c r="A177" s="210"/>
      <c r="B177" s="211"/>
      <c r="C177" s="212"/>
      <c r="D177" s="211"/>
      <c r="E177" s="213"/>
      <c r="F177" s="214"/>
      <c r="G177" s="215"/>
      <c r="H177" s="216"/>
      <c r="I177" s="217"/>
      <c r="J177" s="218"/>
      <c r="K177" s="219"/>
      <c r="L177" s="216"/>
    </row>
    <row r="178" spans="1:12">
      <c r="A178" s="210"/>
      <c r="B178" s="211"/>
      <c r="C178" s="212"/>
      <c r="D178" s="211"/>
      <c r="E178" s="213"/>
      <c r="F178" s="214"/>
      <c r="G178" s="215"/>
      <c r="H178" s="216"/>
      <c r="I178" s="217"/>
      <c r="J178" s="218"/>
      <c r="K178" s="219"/>
      <c r="L178" s="216"/>
    </row>
    <row r="179" spans="1:12">
      <c r="A179" s="210"/>
      <c r="B179" s="211"/>
      <c r="C179" s="212"/>
      <c r="D179" s="211"/>
      <c r="E179" s="213"/>
      <c r="F179" s="214"/>
      <c r="G179" s="215"/>
      <c r="H179" s="216"/>
      <c r="I179" s="217"/>
      <c r="J179" s="218"/>
      <c r="K179" s="219"/>
      <c r="L179" s="216"/>
    </row>
    <row r="180" spans="1:12">
      <c r="A180" s="210"/>
      <c r="B180" s="211"/>
      <c r="C180" s="212"/>
      <c r="D180" s="211"/>
      <c r="E180" s="213"/>
      <c r="F180" s="214"/>
      <c r="G180" s="215"/>
      <c r="H180" s="216"/>
      <c r="I180" s="217"/>
      <c r="J180" s="218"/>
      <c r="K180" s="219"/>
      <c r="L180" s="216"/>
    </row>
    <row r="181" spans="1:12">
      <c r="A181" s="210"/>
      <c r="B181" s="211"/>
      <c r="C181" s="212"/>
      <c r="D181" s="211"/>
      <c r="E181" s="213"/>
      <c r="F181" s="214"/>
      <c r="G181" s="215"/>
      <c r="H181" s="216"/>
      <c r="I181" s="217"/>
      <c r="J181" s="218"/>
      <c r="K181" s="219"/>
      <c r="L181" s="216"/>
    </row>
    <row r="182" spans="1:12">
      <c r="A182" s="210"/>
      <c r="B182" s="211"/>
      <c r="C182" s="212"/>
      <c r="D182" s="211"/>
      <c r="E182" s="213"/>
      <c r="F182" s="214"/>
      <c r="G182" s="215"/>
      <c r="H182" s="216"/>
      <c r="I182" s="217"/>
      <c r="J182" s="218"/>
      <c r="K182" s="219"/>
      <c r="L182" s="216"/>
    </row>
    <row r="183" spans="1:12">
      <c r="A183" s="210"/>
      <c r="B183" s="211"/>
      <c r="C183" s="212"/>
      <c r="D183" s="211"/>
      <c r="E183" s="213"/>
      <c r="F183" s="214"/>
      <c r="G183" s="215"/>
      <c r="H183" s="216"/>
      <c r="I183" s="217"/>
      <c r="J183" s="218"/>
      <c r="K183" s="219"/>
      <c r="L183" s="216"/>
    </row>
    <row r="184" spans="1:12">
      <c r="A184" s="210"/>
      <c r="B184" s="211"/>
      <c r="C184" s="212"/>
      <c r="D184" s="211"/>
      <c r="E184" s="213"/>
      <c r="F184" s="214"/>
      <c r="G184" s="215"/>
      <c r="H184" s="216"/>
      <c r="I184" s="217"/>
      <c r="J184" s="218"/>
      <c r="K184" s="219"/>
      <c r="L184" s="216"/>
    </row>
    <row r="185" spans="1:12">
      <c r="A185" s="210"/>
      <c r="B185" s="211"/>
      <c r="C185" s="212"/>
      <c r="D185" s="211"/>
      <c r="E185" s="213"/>
      <c r="F185" s="214"/>
      <c r="G185" s="215"/>
      <c r="H185" s="216"/>
      <c r="I185" s="217"/>
      <c r="J185" s="218"/>
      <c r="K185" s="219"/>
      <c r="L185" s="216"/>
    </row>
    <row r="186" spans="1:12">
      <c r="A186" s="210"/>
      <c r="B186" s="211"/>
      <c r="C186" s="212"/>
      <c r="D186" s="211"/>
      <c r="E186" s="213"/>
      <c r="F186" s="214"/>
      <c r="G186" s="215"/>
      <c r="H186" s="216"/>
      <c r="I186" s="217"/>
      <c r="J186" s="218"/>
      <c r="K186" s="219"/>
      <c r="L186" s="216"/>
    </row>
    <row r="187" spans="1:12">
      <c r="A187" s="210"/>
      <c r="B187" s="211"/>
      <c r="C187" s="212"/>
      <c r="D187" s="211"/>
      <c r="E187" s="213"/>
      <c r="F187" s="214"/>
      <c r="G187" s="215"/>
      <c r="H187" s="216"/>
      <c r="I187" s="217"/>
      <c r="J187" s="218"/>
      <c r="K187" s="219"/>
      <c r="L187" s="216"/>
    </row>
    <row r="188" spans="1:12">
      <c r="A188" s="210"/>
      <c r="B188" s="211"/>
      <c r="C188" s="212"/>
      <c r="D188" s="211"/>
      <c r="E188" s="213"/>
      <c r="F188" s="214"/>
      <c r="G188" s="215"/>
      <c r="H188" s="216"/>
      <c r="I188" s="217"/>
      <c r="J188" s="218"/>
      <c r="K188" s="219"/>
      <c r="L188" s="216"/>
    </row>
    <row r="189" spans="1:12">
      <c r="A189" s="210"/>
      <c r="B189" s="211"/>
      <c r="C189" s="212"/>
      <c r="D189" s="211"/>
      <c r="E189" s="213"/>
      <c r="F189" s="214"/>
      <c r="G189" s="215"/>
      <c r="H189" s="216"/>
      <c r="I189" s="217"/>
      <c r="J189" s="218"/>
      <c r="K189" s="219"/>
      <c r="L189" s="216"/>
    </row>
    <row r="190" spans="1:12">
      <c r="A190" s="210"/>
      <c r="B190" s="211"/>
      <c r="C190" s="212"/>
      <c r="D190" s="211"/>
      <c r="E190" s="213"/>
      <c r="F190" s="214"/>
      <c r="G190" s="215"/>
      <c r="H190" s="216"/>
      <c r="I190" s="217"/>
      <c r="J190" s="218"/>
      <c r="K190" s="219"/>
      <c r="L190" s="216"/>
    </row>
    <row r="191" spans="1:12">
      <c r="A191" s="210"/>
      <c r="B191" s="211"/>
      <c r="C191" s="212"/>
      <c r="D191" s="211"/>
      <c r="E191" s="213"/>
      <c r="F191" s="214"/>
      <c r="G191" s="215"/>
      <c r="H191" s="216"/>
      <c r="I191" s="217"/>
      <c r="J191" s="218"/>
      <c r="K191" s="219"/>
      <c r="L191" s="216"/>
    </row>
    <row r="192" spans="1:12">
      <c r="A192" s="210"/>
      <c r="B192" s="211"/>
      <c r="C192" s="212"/>
      <c r="D192" s="211"/>
      <c r="E192" s="213"/>
      <c r="F192" s="214"/>
      <c r="G192" s="215"/>
      <c r="H192" s="216"/>
      <c r="I192" s="217"/>
      <c r="J192" s="218"/>
      <c r="K192" s="219"/>
      <c r="L192" s="216"/>
    </row>
    <row r="193" spans="1:12">
      <c r="A193" s="210"/>
      <c r="B193" s="211"/>
      <c r="C193" s="212"/>
      <c r="D193" s="211"/>
      <c r="E193" s="213"/>
      <c r="F193" s="214"/>
      <c r="G193" s="215"/>
      <c r="H193" s="216"/>
      <c r="I193" s="217"/>
      <c r="J193" s="218"/>
      <c r="K193" s="219"/>
      <c r="L193" s="216"/>
    </row>
    <row r="194" spans="1:12">
      <c r="A194" s="210"/>
      <c r="B194" s="211"/>
      <c r="C194" s="212"/>
      <c r="D194" s="211"/>
      <c r="E194" s="213"/>
      <c r="F194" s="214"/>
      <c r="G194" s="215"/>
      <c r="H194" s="216"/>
      <c r="I194" s="217"/>
      <c r="J194" s="218"/>
      <c r="K194" s="219"/>
      <c r="L194" s="216"/>
    </row>
    <row r="195" spans="1:12">
      <c r="A195" s="210"/>
      <c r="B195" s="211"/>
      <c r="C195" s="212"/>
      <c r="D195" s="211"/>
      <c r="E195" s="213"/>
      <c r="F195" s="214"/>
      <c r="G195" s="215"/>
      <c r="H195" s="216"/>
      <c r="I195" s="217"/>
      <c r="J195" s="218"/>
      <c r="K195" s="219"/>
      <c r="L195" s="216"/>
    </row>
    <row r="196" spans="1:12">
      <c r="A196" s="210"/>
      <c r="B196" s="211"/>
      <c r="C196" s="212"/>
      <c r="D196" s="211"/>
      <c r="E196" s="213"/>
      <c r="F196" s="214"/>
      <c r="G196" s="215"/>
      <c r="H196" s="216"/>
      <c r="I196" s="217"/>
      <c r="J196" s="218"/>
      <c r="K196" s="219"/>
      <c r="L196" s="216"/>
    </row>
    <row r="197" spans="1:12">
      <c r="A197" s="210"/>
      <c r="B197" s="211"/>
      <c r="C197" s="212"/>
      <c r="D197" s="211"/>
      <c r="E197" s="213"/>
      <c r="F197" s="214"/>
      <c r="G197" s="215"/>
      <c r="H197" s="216"/>
      <c r="I197" s="217"/>
      <c r="J197" s="218"/>
      <c r="K197" s="219"/>
      <c r="L197" s="216"/>
    </row>
    <row r="198" spans="1:12">
      <c r="A198" s="210"/>
      <c r="B198" s="211"/>
      <c r="C198" s="212"/>
      <c r="D198" s="211"/>
      <c r="E198" s="213"/>
      <c r="F198" s="214"/>
      <c r="G198" s="215"/>
      <c r="H198" s="216"/>
      <c r="I198" s="217"/>
      <c r="J198" s="218"/>
      <c r="K198" s="219"/>
      <c r="L198" s="216"/>
    </row>
    <row r="199" spans="1:12">
      <c r="A199" s="210"/>
      <c r="B199" s="211"/>
      <c r="C199" s="212"/>
      <c r="D199" s="211"/>
      <c r="E199" s="213"/>
      <c r="F199" s="214"/>
      <c r="G199" s="215"/>
      <c r="H199" s="216"/>
      <c r="I199" s="217"/>
      <c r="J199" s="218"/>
      <c r="K199" s="219"/>
      <c r="L199" s="216"/>
    </row>
    <row r="200" spans="1:12">
      <c r="A200" s="210"/>
      <c r="B200" s="211"/>
      <c r="C200" s="212"/>
      <c r="D200" s="211"/>
      <c r="E200" s="213"/>
      <c r="F200" s="214"/>
      <c r="G200" s="215"/>
      <c r="H200" s="216"/>
      <c r="I200" s="217"/>
      <c r="J200" s="218"/>
      <c r="K200" s="219"/>
      <c r="L200" s="216"/>
    </row>
    <row r="201" spans="1:12">
      <c r="A201" s="210"/>
      <c r="B201" s="211"/>
      <c r="C201" s="212"/>
      <c r="D201" s="211"/>
      <c r="E201" s="213"/>
      <c r="F201" s="214"/>
      <c r="G201" s="215"/>
      <c r="H201" s="216"/>
      <c r="I201" s="217"/>
      <c r="J201" s="218"/>
      <c r="K201" s="219"/>
      <c r="L201" s="216"/>
    </row>
    <row r="202" spans="1:12">
      <c r="A202" s="210"/>
      <c r="B202" s="211"/>
      <c r="C202" s="212"/>
      <c r="D202" s="211"/>
      <c r="E202" s="213"/>
      <c r="F202" s="214"/>
      <c r="G202" s="215"/>
      <c r="H202" s="216"/>
      <c r="I202" s="217"/>
      <c r="J202" s="218"/>
      <c r="K202" s="219"/>
      <c r="L202" s="216"/>
    </row>
    <row r="203" spans="1:12">
      <c r="A203" s="210"/>
      <c r="B203" s="211"/>
      <c r="C203" s="212"/>
      <c r="D203" s="211"/>
      <c r="E203" s="213"/>
      <c r="F203" s="214"/>
      <c r="G203" s="215"/>
      <c r="H203" s="216"/>
      <c r="I203" s="217"/>
      <c r="J203" s="218"/>
      <c r="K203" s="219"/>
      <c r="L203" s="216"/>
    </row>
    <row r="204" spans="1:12">
      <c r="A204" s="210"/>
      <c r="B204" s="211"/>
      <c r="C204" s="212"/>
      <c r="D204" s="211"/>
      <c r="E204" s="213"/>
      <c r="F204" s="214"/>
      <c r="G204" s="215"/>
      <c r="H204" s="216"/>
      <c r="I204" s="217"/>
      <c r="J204" s="218"/>
      <c r="K204" s="219"/>
      <c r="L204" s="216"/>
    </row>
    <row r="205" spans="1:12">
      <c r="A205" s="210"/>
      <c r="B205" s="211"/>
      <c r="C205" s="212"/>
      <c r="D205" s="211"/>
      <c r="E205" s="213"/>
      <c r="F205" s="214"/>
      <c r="G205" s="215"/>
      <c r="H205" s="216"/>
      <c r="I205" s="217"/>
      <c r="J205" s="218"/>
      <c r="K205" s="219"/>
      <c r="L205" s="216"/>
    </row>
    <row r="206" spans="1:12">
      <c r="A206" s="210"/>
      <c r="B206" s="211"/>
      <c r="C206" s="212"/>
      <c r="D206" s="211"/>
      <c r="E206" s="213"/>
      <c r="F206" s="214"/>
      <c r="G206" s="215"/>
      <c r="H206" s="216"/>
      <c r="I206" s="217"/>
      <c r="J206" s="218"/>
      <c r="K206" s="219"/>
      <c r="L206" s="216"/>
    </row>
    <row r="207" spans="1:12">
      <c r="A207" s="210"/>
      <c r="B207" s="211"/>
      <c r="C207" s="212"/>
      <c r="D207" s="211"/>
      <c r="E207" s="213"/>
      <c r="F207" s="214"/>
      <c r="G207" s="215"/>
      <c r="H207" s="216"/>
      <c r="I207" s="217"/>
      <c r="J207" s="218"/>
      <c r="K207" s="219"/>
      <c r="L207" s="216"/>
    </row>
    <row r="208" spans="1:12">
      <c r="A208" s="210"/>
      <c r="B208" s="211"/>
      <c r="C208" s="212"/>
      <c r="D208" s="211"/>
      <c r="E208" s="213"/>
      <c r="F208" s="214"/>
      <c r="G208" s="215"/>
      <c r="H208" s="216"/>
      <c r="I208" s="217"/>
      <c r="J208" s="218"/>
      <c r="K208" s="219"/>
      <c r="L208" s="216"/>
    </row>
    <row r="209" spans="1:12">
      <c r="A209" s="210"/>
      <c r="B209" s="211"/>
      <c r="C209" s="212"/>
      <c r="D209" s="211"/>
      <c r="E209" s="213"/>
      <c r="F209" s="214"/>
      <c r="G209" s="215"/>
      <c r="H209" s="216"/>
      <c r="I209" s="217"/>
      <c r="J209" s="218"/>
      <c r="K209" s="219"/>
      <c r="L209" s="216"/>
    </row>
    <row r="210" spans="1:12">
      <c r="A210" s="210"/>
      <c r="B210" s="211"/>
      <c r="C210" s="212"/>
      <c r="D210" s="211"/>
      <c r="E210" s="213"/>
      <c r="F210" s="214"/>
      <c r="G210" s="215"/>
      <c r="H210" s="216"/>
      <c r="I210" s="217"/>
      <c r="J210" s="218"/>
      <c r="K210" s="219"/>
      <c r="L210" s="216"/>
    </row>
    <row r="211" spans="1:12">
      <c r="A211" s="210"/>
      <c r="B211" s="211"/>
      <c r="C211" s="212"/>
      <c r="D211" s="211"/>
      <c r="E211" s="213"/>
      <c r="F211" s="214"/>
      <c r="G211" s="215"/>
      <c r="H211" s="216"/>
      <c r="I211" s="217"/>
      <c r="J211" s="218"/>
      <c r="K211" s="219"/>
      <c r="L211" s="216"/>
    </row>
    <row r="212" spans="1:12">
      <c r="A212" s="210"/>
      <c r="B212" s="211"/>
      <c r="C212" s="212"/>
      <c r="D212" s="211"/>
      <c r="E212" s="213"/>
      <c r="F212" s="214"/>
      <c r="G212" s="215"/>
      <c r="H212" s="216"/>
      <c r="I212" s="217"/>
      <c r="J212" s="218"/>
      <c r="K212" s="219"/>
      <c r="L212" s="216"/>
    </row>
    <row r="213" spans="1:12">
      <c r="A213" s="210"/>
      <c r="B213" s="211"/>
      <c r="C213" s="212"/>
      <c r="D213" s="211"/>
      <c r="E213" s="213"/>
      <c r="F213" s="214"/>
      <c r="G213" s="215"/>
      <c r="H213" s="216"/>
      <c r="I213" s="217"/>
      <c r="J213" s="218"/>
      <c r="K213" s="219"/>
      <c r="L213" s="216"/>
    </row>
    <row r="214" spans="1:12">
      <c r="A214" s="210"/>
      <c r="B214" s="211"/>
      <c r="C214" s="212"/>
      <c r="D214" s="211"/>
      <c r="E214" s="213"/>
      <c r="F214" s="214"/>
      <c r="G214" s="215"/>
      <c r="H214" s="216"/>
      <c r="I214" s="217"/>
      <c r="J214" s="218"/>
      <c r="K214" s="219"/>
      <c r="L214" s="216"/>
    </row>
    <row r="215" spans="1:12">
      <c r="A215" s="210"/>
      <c r="B215" s="211"/>
      <c r="C215" s="212"/>
      <c r="D215" s="211"/>
      <c r="E215" s="213"/>
      <c r="F215" s="214"/>
      <c r="G215" s="215"/>
      <c r="H215" s="216"/>
      <c r="I215" s="217"/>
      <c r="J215" s="218"/>
      <c r="K215" s="219"/>
      <c r="L215" s="216"/>
    </row>
    <row r="216" spans="1:12">
      <c r="A216" s="210"/>
      <c r="B216" s="211"/>
      <c r="C216" s="212"/>
      <c r="D216" s="211"/>
      <c r="E216" s="213"/>
      <c r="F216" s="214"/>
      <c r="G216" s="215"/>
      <c r="H216" s="216"/>
      <c r="I216" s="217"/>
      <c r="J216" s="218"/>
      <c r="K216" s="219"/>
      <c r="L216" s="216"/>
    </row>
    <row r="217" spans="1:12">
      <c r="A217" s="210"/>
      <c r="B217" s="211"/>
      <c r="C217" s="212"/>
      <c r="D217" s="211"/>
      <c r="E217" s="213"/>
      <c r="F217" s="214"/>
      <c r="G217" s="215"/>
      <c r="H217" s="216"/>
      <c r="I217" s="217"/>
      <c r="J217" s="218"/>
      <c r="K217" s="219"/>
      <c r="L217" s="216"/>
    </row>
    <row r="218" spans="1:12">
      <c r="A218" s="210"/>
      <c r="B218" s="211"/>
      <c r="C218" s="212"/>
      <c r="D218" s="211"/>
      <c r="E218" s="213"/>
      <c r="F218" s="214"/>
      <c r="G218" s="215"/>
      <c r="H218" s="216"/>
      <c r="I218" s="217"/>
      <c r="J218" s="218"/>
      <c r="K218" s="219"/>
      <c r="L218" s="216"/>
    </row>
    <row r="219" spans="1:12">
      <c r="A219" s="210"/>
      <c r="B219" s="211"/>
      <c r="C219" s="212"/>
      <c r="D219" s="211"/>
      <c r="E219" s="213"/>
      <c r="F219" s="214"/>
      <c r="G219" s="215"/>
      <c r="H219" s="216"/>
      <c r="I219" s="217"/>
      <c r="J219" s="218"/>
      <c r="K219" s="219"/>
      <c r="L219" s="216"/>
    </row>
    <row r="220" spans="1:12">
      <c r="A220" s="210"/>
      <c r="B220" s="211"/>
      <c r="C220" s="212"/>
      <c r="D220" s="211"/>
      <c r="E220" s="213"/>
      <c r="F220" s="214"/>
      <c r="G220" s="215"/>
      <c r="H220" s="216"/>
      <c r="I220" s="217"/>
      <c r="J220" s="218"/>
      <c r="K220" s="219"/>
      <c r="L220" s="216"/>
    </row>
    <row r="221" spans="1:12">
      <c r="A221" s="210"/>
      <c r="B221" s="211"/>
      <c r="C221" s="212"/>
      <c r="D221" s="211"/>
      <c r="E221" s="213"/>
      <c r="F221" s="214"/>
      <c r="G221" s="215"/>
      <c r="H221" s="216"/>
      <c r="I221" s="217"/>
      <c r="J221" s="218"/>
      <c r="K221" s="219"/>
      <c r="L221" s="216"/>
    </row>
    <row r="222" spans="1:12">
      <c r="A222" s="210"/>
      <c r="B222" s="211"/>
      <c r="C222" s="212"/>
      <c r="D222" s="211"/>
      <c r="E222" s="213"/>
      <c r="F222" s="214"/>
      <c r="G222" s="215"/>
      <c r="H222" s="216"/>
      <c r="I222" s="217"/>
      <c r="J222" s="218"/>
      <c r="K222" s="219"/>
      <c r="L222" s="216"/>
    </row>
    <row r="223" spans="1:12">
      <c r="A223" s="210"/>
      <c r="B223" s="211"/>
      <c r="C223" s="212"/>
      <c r="D223" s="211"/>
      <c r="E223" s="213"/>
      <c r="F223" s="214"/>
      <c r="G223" s="215"/>
      <c r="H223" s="216"/>
      <c r="I223" s="217"/>
      <c r="J223" s="218"/>
      <c r="K223" s="219"/>
      <c r="L223" s="216"/>
    </row>
    <row r="224" spans="1:12">
      <c r="A224" s="210"/>
      <c r="B224" s="211"/>
      <c r="C224" s="212"/>
      <c r="D224" s="211"/>
      <c r="E224" s="213"/>
      <c r="F224" s="214"/>
      <c r="G224" s="215"/>
      <c r="H224" s="216"/>
      <c r="I224" s="217"/>
      <c r="J224" s="218"/>
      <c r="K224" s="219"/>
      <c r="L224" s="216"/>
    </row>
    <row r="225" spans="1:12">
      <c r="A225" s="210"/>
      <c r="B225" s="211"/>
      <c r="C225" s="212"/>
      <c r="D225" s="211"/>
      <c r="E225" s="213"/>
      <c r="F225" s="214"/>
      <c r="G225" s="215"/>
      <c r="H225" s="216"/>
      <c r="I225" s="217"/>
      <c r="J225" s="218"/>
      <c r="K225" s="219"/>
      <c r="L225" s="216"/>
    </row>
    <row r="226" spans="1:12">
      <c r="A226" s="210"/>
      <c r="B226" s="211"/>
      <c r="C226" s="212"/>
      <c r="D226" s="211"/>
      <c r="E226" s="213"/>
      <c r="F226" s="214"/>
      <c r="G226" s="215"/>
      <c r="H226" s="216"/>
      <c r="I226" s="217"/>
      <c r="J226" s="218"/>
      <c r="K226" s="219"/>
      <c r="L226" s="216"/>
    </row>
    <row r="227" spans="1:12">
      <c r="A227" s="210"/>
      <c r="B227" s="211"/>
      <c r="C227" s="212"/>
      <c r="D227" s="211"/>
      <c r="E227" s="213"/>
      <c r="F227" s="214"/>
      <c r="G227" s="215"/>
      <c r="H227" s="216"/>
      <c r="I227" s="217"/>
      <c r="J227" s="218"/>
      <c r="K227" s="219"/>
      <c r="L227" s="216"/>
    </row>
    <row r="228" spans="1:12">
      <c r="A228" s="210"/>
      <c r="B228" s="211"/>
      <c r="C228" s="212"/>
      <c r="D228" s="211"/>
      <c r="E228" s="213"/>
      <c r="F228" s="214"/>
      <c r="G228" s="215"/>
      <c r="H228" s="216"/>
      <c r="I228" s="217"/>
      <c r="J228" s="218"/>
      <c r="K228" s="219"/>
      <c r="L228" s="216"/>
    </row>
    <row r="229" spans="1:12">
      <c r="A229" s="210"/>
      <c r="B229" s="211"/>
      <c r="C229" s="212"/>
      <c r="D229" s="211"/>
      <c r="E229" s="213"/>
      <c r="F229" s="214"/>
      <c r="G229" s="215"/>
      <c r="H229" s="216"/>
      <c r="I229" s="217"/>
      <c r="J229" s="218"/>
      <c r="K229" s="219"/>
      <c r="L229" s="216"/>
    </row>
    <row r="230" spans="1:12">
      <c r="A230" s="210"/>
      <c r="B230" s="211"/>
      <c r="C230" s="212"/>
      <c r="D230" s="211"/>
      <c r="E230" s="213"/>
      <c r="F230" s="214"/>
      <c r="G230" s="215"/>
      <c r="H230" s="216"/>
      <c r="I230" s="217"/>
      <c r="J230" s="218"/>
      <c r="K230" s="219"/>
      <c r="L230" s="216"/>
    </row>
    <row r="231" spans="1:12">
      <c r="A231" s="210"/>
      <c r="B231" s="211"/>
      <c r="C231" s="212"/>
      <c r="D231" s="211"/>
      <c r="E231" s="213"/>
      <c r="F231" s="214"/>
      <c r="G231" s="215"/>
      <c r="H231" s="216"/>
      <c r="I231" s="217"/>
      <c r="J231" s="218"/>
      <c r="K231" s="219"/>
      <c r="L231" s="216"/>
    </row>
    <row r="232" spans="1:12">
      <c r="A232" s="210"/>
      <c r="B232" s="211"/>
      <c r="C232" s="212"/>
      <c r="D232" s="211"/>
      <c r="E232" s="213"/>
      <c r="F232" s="214"/>
      <c r="G232" s="215"/>
      <c r="H232" s="216"/>
      <c r="I232" s="217"/>
      <c r="J232" s="218"/>
      <c r="K232" s="219"/>
      <c r="L232" s="216"/>
    </row>
    <row r="233" spans="1:12">
      <c r="A233" s="210"/>
      <c r="B233" s="211"/>
      <c r="C233" s="212"/>
      <c r="D233" s="211"/>
      <c r="E233" s="213"/>
      <c r="F233" s="214"/>
      <c r="G233" s="215"/>
      <c r="H233" s="216"/>
      <c r="I233" s="217"/>
      <c r="J233" s="218"/>
      <c r="K233" s="219"/>
      <c r="L233" s="216"/>
    </row>
    <row r="234" spans="1:12">
      <c r="A234" s="210"/>
      <c r="B234" s="211"/>
      <c r="C234" s="212"/>
      <c r="D234" s="211"/>
      <c r="E234" s="213"/>
      <c r="F234" s="214"/>
      <c r="G234" s="215"/>
      <c r="H234" s="216"/>
      <c r="I234" s="217"/>
      <c r="J234" s="218"/>
      <c r="K234" s="219"/>
      <c r="L234" s="216"/>
    </row>
    <row r="235" spans="1:12">
      <c r="A235" s="210"/>
      <c r="B235" s="211"/>
      <c r="C235" s="212"/>
      <c r="D235" s="211"/>
      <c r="E235" s="213"/>
      <c r="F235" s="214"/>
      <c r="G235" s="215"/>
      <c r="H235" s="216"/>
      <c r="I235" s="217"/>
      <c r="J235" s="218"/>
      <c r="K235" s="219"/>
      <c r="L235" s="216"/>
    </row>
    <row r="236" spans="1:12">
      <c r="A236" s="210"/>
      <c r="B236" s="211"/>
      <c r="C236" s="212"/>
      <c r="D236" s="211"/>
      <c r="E236" s="213"/>
      <c r="F236" s="214"/>
      <c r="G236" s="215"/>
      <c r="H236" s="216"/>
      <c r="I236" s="217"/>
      <c r="J236" s="218"/>
      <c r="K236" s="219"/>
      <c r="L236" s="216"/>
    </row>
    <row r="237" spans="1:12">
      <c r="A237" s="210"/>
      <c r="B237" s="211"/>
      <c r="C237" s="212"/>
      <c r="D237" s="211"/>
      <c r="E237" s="213"/>
      <c r="F237" s="214"/>
      <c r="G237" s="215"/>
      <c r="H237" s="216"/>
      <c r="I237" s="217"/>
      <c r="J237" s="218"/>
      <c r="K237" s="219"/>
      <c r="L237" s="216"/>
    </row>
    <row r="238" spans="1:12">
      <c r="A238" s="210"/>
      <c r="B238" s="211"/>
      <c r="C238" s="212"/>
      <c r="D238" s="211"/>
      <c r="E238" s="213"/>
      <c r="F238" s="214"/>
      <c r="G238" s="215"/>
      <c r="H238" s="216"/>
      <c r="I238" s="217"/>
      <c r="J238" s="218"/>
      <c r="K238" s="219"/>
      <c r="L238" s="216"/>
    </row>
    <row r="239" spans="1:12">
      <c r="A239" s="210"/>
      <c r="B239" s="211"/>
      <c r="C239" s="212"/>
      <c r="D239" s="211"/>
      <c r="E239" s="213"/>
      <c r="F239" s="214"/>
      <c r="G239" s="215"/>
      <c r="H239" s="216"/>
      <c r="I239" s="217"/>
      <c r="J239" s="218"/>
      <c r="K239" s="219"/>
      <c r="L239" s="216"/>
    </row>
    <row r="240" spans="1:12">
      <c r="A240" s="210"/>
      <c r="B240" s="211"/>
      <c r="C240" s="212"/>
      <c r="D240" s="211"/>
      <c r="E240" s="213"/>
      <c r="F240" s="214"/>
      <c r="G240" s="215"/>
      <c r="H240" s="216"/>
      <c r="I240" s="217"/>
      <c r="J240" s="218"/>
      <c r="K240" s="219"/>
      <c r="L240" s="216"/>
    </row>
    <row r="241" spans="1:12">
      <c r="A241" s="210"/>
      <c r="B241" s="211"/>
      <c r="C241" s="212"/>
      <c r="D241" s="211"/>
      <c r="E241" s="213"/>
      <c r="F241" s="214"/>
      <c r="G241" s="215"/>
      <c r="H241" s="216"/>
      <c r="I241" s="217"/>
      <c r="J241" s="218"/>
      <c r="K241" s="219"/>
      <c r="L241" s="216"/>
    </row>
    <row r="242" spans="1:12">
      <c r="A242" s="210"/>
      <c r="B242" s="211"/>
      <c r="C242" s="212"/>
      <c r="D242" s="211"/>
      <c r="E242" s="213"/>
      <c r="F242" s="214"/>
      <c r="G242" s="215"/>
      <c r="H242" s="216"/>
      <c r="I242" s="217"/>
      <c r="J242" s="218"/>
      <c r="K242" s="219"/>
      <c r="L242" s="216"/>
    </row>
    <row r="243" spans="1:12">
      <c r="A243" s="210"/>
      <c r="B243" s="211"/>
      <c r="C243" s="212"/>
      <c r="D243" s="211"/>
      <c r="E243" s="213"/>
      <c r="F243" s="214"/>
      <c r="G243" s="215"/>
      <c r="H243" s="216"/>
      <c r="I243" s="217"/>
      <c r="J243" s="218"/>
      <c r="K243" s="219"/>
      <c r="L243" s="216"/>
    </row>
    <row r="244" spans="1:12">
      <c r="A244" s="210"/>
      <c r="B244" s="211"/>
      <c r="C244" s="212"/>
      <c r="D244" s="211"/>
      <c r="E244" s="213"/>
      <c r="F244" s="214"/>
      <c r="G244" s="215"/>
      <c r="H244" s="216"/>
      <c r="I244" s="217"/>
      <c r="J244" s="218"/>
      <c r="K244" s="219"/>
      <c r="L244" s="216"/>
    </row>
  </sheetData>
  <mergeCells count="11">
    <mergeCell ref="G1:G3"/>
    <mergeCell ref="H1:H3"/>
    <mergeCell ref="I1:I3"/>
    <mergeCell ref="J1:K2"/>
    <mergeCell ref="L1:L3"/>
    <mergeCell ref="F1:F3"/>
    <mergeCell ref="A1:A3"/>
    <mergeCell ref="B1:B3"/>
    <mergeCell ref="C1:C3"/>
    <mergeCell ref="D1:D3"/>
    <mergeCell ref="E1:E3"/>
  </mergeCells>
  <dataValidations count="1">
    <dataValidation type="list" allowBlank="1" showInputMessage="1" showErrorMessage="1" sqref="L4:L8">
      <formula1>$E$103:$E$115</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M253"/>
  <sheetViews>
    <sheetView workbookViewId="0"/>
  </sheetViews>
  <sheetFormatPr baseColWidth="10" defaultRowHeight="15" outlineLevelRow="2"/>
  <cols>
    <col min="3" max="3" width="22.5703125" hidden="1" customWidth="1"/>
    <col min="4" max="4" width="15.42578125" hidden="1" customWidth="1"/>
    <col min="5" max="5" width="28.5703125" hidden="1" customWidth="1"/>
    <col min="6" max="6" width="19" hidden="1" customWidth="1"/>
    <col min="7" max="7" width="12.7109375" hidden="1" customWidth="1"/>
    <col min="9" max="9" width="20.28515625" bestFit="1" customWidth="1"/>
    <col min="11" max="11" width="23.85546875" customWidth="1"/>
    <col min="13" max="13" width="11.42578125" hidden="1" customWidth="1"/>
  </cols>
  <sheetData>
    <row r="4" spans="1:13" ht="23.25">
      <c r="A4" s="1493" t="s">
        <v>2370</v>
      </c>
      <c r="B4" s="1493"/>
      <c r="C4" s="1493"/>
      <c r="D4" s="1493"/>
      <c r="E4" s="1493"/>
      <c r="F4" s="1493"/>
      <c r="G4" s="1493"/>
      <c r="H4" s="1493"/>
      <c r="I4" s="1493"/>
      <c r="J4" s="1493"/>
      <c r="K4" s="1493"/>
      <c r="L4" s="1493"/>
    </row>
    <row r="5" spans="1:13" ht="28.5" customHeight="1">
      <c r="A5" s="1494" t="s">
        <v>2371</v>
      </c>
      <c r="B5" s="1494"/>
      <c r="C5" s="1494"/>
      <c r="D5" s="1494"/>
      <c r="E5" s="1494"/>
      <c r="F5" s="1494"/>
      <c r="G5" s="1494"/>
      <c r="H5" s="1494"/>
      <c r="I5" s="1494"/>
      <c r="J5" s="1494"/>
      <c r="K5" s="227">
        <v>43138</v>
      </c>
    </row>
    <row r="6" spans="1:13" ht="15" customHeight="1">
      <c r="A6" s="224" t="s">
        <v>2320</v>
      </c>
      <c r="B6" s="223" t="s">
        <v>2512</v>
      </c>
      <c r="C6" s="223" t="s">
        <v>2322</v>
      </c>
      <c r="D6" s="223" t="s">
        <v>3</v>
      </c>
      <c r="E6" s="223" t="s">
        <v>2323</v>
      </c>
      <c r="F6" s="223" t="s">
        <v>2324</v>
      </c>
      <c r="G6" s="223" t="s">
        <v>2325</v>
      </c>
      <c r="H6" s="223" t="s">
        <v>2326</v>
      </c>
      <c r="I6" s="223" t="s">
        <v>2327</v>
      </c>
      <c r="J6" s="223" t="s">
        <v>2330</v>
      </c>
      <c r="K6" s="223" t="s">
        <v>2331</v>
      </c>
      <c r="L6" s="223" t="s">
        <v>2329</v>
      </c>
      <c r="M6" s="223" t="s">
        <v>2368</v>
      </c>
    </row>
    <row r="7" spans="1:13" ht="15" customHeight="1" outlineLevel="2">
      <c r="A7" s="210">
        <v>1</v>
      </c>
      <c r="B7" s="211" t="s">
        <v>233</v>
      </c>
      <c r="C7" s="212">
        <v>92855436</v>
      </c>
      <c r="D7" s="211">
        <v>900346392</v>
      </c>
      <c r="E7" s="213" t="s">
        <v>175</v>
      </c>
      <c r="F7" s="214"/>
      <c r="G7" s="215">
        <v>40211</v>
      </c>
      <c r="H7" s="216">
        <v>1</v>
      </c>
      <c r="I7" s="448">
        <v>12064</v>
      </c>
      <c r="J7" s="218">
        <v>19999</v>
      </c>
      <c r="K7" s="219" t="s">
        <v>2336</v>
      </c>
      <c r="L7" s="216" t="s">
        <v>2332</v>
      </c>
      <c r="M7" s="218" t="s">
        <v>2417</v>
      </c>
    </row>
    <row r="8" spans="1:13" ht="15" customHeight="1" outlineLevel="2">
      <c r="A8" s="210">
        <v>2</v>
      </c>
      <c r="B8" s="211" t="s">
        <v>234</v>
      </c>
      <c r="C8" s="212">
        <v>138932500</v>
      </c>
      <c r="D8" s="211">
        <v>900342899</v>
      </c>
      <c r="E8" s="213" t="s">
        <v>6</v>
      </c>
      <c r="F8" s="214">
        <v>91</v>
      </c>
      <c r="G8" s="215">
        <v>40211</v>
      </c>
      <c r="H8" s="216">
        <v>2</v>
      </c>
      <c r="I8" s="448">
        <v>91</v>
      </c>
      <c r="J8" s="218">
        <v>19999</v>
      </c>
      <c r="K8" s="219" t="s">
        <v>2336</v>
      </c>
      <c r="L8" s="216" t="s">
        <v>2332</v>
      </c>
      <c r="M8" s="218" t="s">
        <v>2417</v>
      </c>
    </row>
    <row r="9" spans="1:13" ht="15" customHeight="1" outlineLevel="2">
      <c r="A9" s="210">
        <v>3</v>
      </c>
      <c r="B9" s="211" t="s">
        <v>929</v>
      </c>
      <c r="C9" s="212">
        <v>210275520</v>
      </c>
      <c r="D9" s="211">
        <v>900346392</v>
      </c>
      <c r="E9" s="213" t="s">
        <v>175</v>
      </c>
      <c r="F9" s="214"/>
      <c r="G9" s="215">
        <v>40211</v>
      </c>
      <c r="H9" s="216">
        <v>28</v>
      </c>
      <c r="I9" s="448">
        <v>6380</v>
      </c>
      <c r="J9" s="218">
        <v>19999</v>
      </c>
      <c r="K9" s="219" t="s">
        <v>2336</v>
      </c>
      <c r="L9" s="216" t="s">
        <v>2332</v>
      </c>
      <c r="M9" s="218" t="s">
        <v>2417</v>
      </c>
    </row>
    <row r="10" spans="1:13" ht="15" customHeight="1" outlineLevel="2">
      <c r="A10" s="210">
        <v>4</v>
      </c>
      <c r="B10" s="211" t="s">
        <v>929</v>
      </c>
      <c r="C10" s="212">
        <v>210275520</v>
      </c>
      <c r="D10" s="211">
        <v>900346392</v>
      </c>
      <c r="E10" s="213" t="s">
        <v>175</v>
      </c>
      <c r="F10" s="214">
        <v>300</v>
      </c>
      <c r="G10" s="215">
        <v>40779</v>
      </c>
      <c r="H10" s="216">
        <v>206</v>
      </c>
      <c r="I10" s="448">
        <v>300</v>
      </c>
      <c r="J10" s="218">
        <v>19999</v>
      </c>
      <c r="K10" s="219" t="s">
        <v>2336</v>
      </c>
      <c r="L10" s="216" t="s">
        <v>2334</v>
      </c>
      <c r="M10" s="218" t="s">
        <v>2417</v>
      </c>
    </row>
    <row r="11" spans="1:13" ht="15" customHeight="1" outlineLevel="2">
      <c r="A11" s="210">
        <v>5</v>
      </c>
      <c r="B11" s="211" t="s">
        <v>259</v>
      </c>
      <c r="C11" s="212">
        <v>50000000</v>
      </c>
      <c r="D11" s="211">
        <v>900346831</v>
      </c>
      <c r="E11" s="213" t="s">
        <v>260</v>
      </c>
      <c r="F11" s="214">
        <v>3000000</v>
      </c>
      <c r="G11" s="215">
        <v>40211</v>
      </c>
      <c r="H11" s="216">
        <v>25</v>
      </c>
      <c r="I11" s="448">
        <v>3046750</v>
      </c>
      <c r="J11" s="218">
        <v>19999</v>
      </c>
      <c r="K11" s="219" t="s">
        <v>2336</v>
      </c>
      <c r="L11" s="216" t="s">
        <v>2332</v>
      </c>
      <c r="M11" s="218" t="s">
        <v>2417</v>
      </c>
    </row>
    <row r="12" spans="1:13" ht="15" customHeight="1" outlineLevel="2">
      <c r="A12" s="210">
        <v>7</v>
      </c>
      <c r="B12" s="211" t="s">
        <v>639</v>
      </c>
      <c r="C12" s="212">
        <v>148844385</v>
      </c>
      <c r="D12" s="211">
        <v>900368928</v>
      </c>
      <c r="E12" s="213" t="s">
        <v>641</v>
      </c>
      <c r="F12" s="214">
        <v>0</v>
      </c>
      <c r="G12" s="215">
        <v>40707</v>
      </c>
      <c r="H12" s="216">
        <v>91</v>
      </c>
      <c r="I12" s="448">
        <v>75029.429999999702</v>
      </c>
      <c r="J12" s="218">
        <v>19999</v>
      </c>
      <c r="K12" s="219" t="s">
        <v>2336</v>
      </c>
      <c r="L12" s="216" t="s">
        <v>2332</v>
      </c>
      <c r="M12" s="218" t="s">
        <v>2417</v>
      </c>
    </row>
    <row r="13" spans="1:13" ht="15" customHeight="1" outlineLevel="2">
      <c r="A13" s="210">
        <v>8</v>
      </c>
      <c r="B13" s="211" t="s">
        <v>639</v>
      </c>
      <c r="C13" s="212">
        <v>148844385</v>
      </c>
      <c r="D13" s="211">
        <v>900368928</v>
      </c>
      <c r="E13" s="213" t="s">
        <v>641</v>
      </c>
      <c r="F13" s="214"/>
      <c r="G13" s="215">
        <v>40707</v>
      </c>
      <c r="H13" s="216">
        <v>91</v>
      </c>
      <c r="I13" s="448">
        <v>112542.5700000003</v>
      </c>
      <c r="J13" s="218">
        <v>19999</v>
      </c>
      <c r="K13" s="219" t="s">
        <v>2336</v>
      </c>
      <c r="L13" s="216" t="s">
        <v>2334</v>
      </c>
      <c r="M13" s="218" t="s">
        <v>2417</v>
      </c>
    </row>
    <row r="14" spans="1:13" ht="15" customHeight="1" outlineLevel="2">
      <c r="A14" s="210">
        <v>9</v>
      </c>
      <c r="B14" s="211" t="s">
        <v>680</v>
      </c>
      <c r="C14" s="212">
        <v>61799726</v>
      </c>
      <c r="D14" s="211">
        <v>900342899</v>
      </c>
      <c r="E14" s="213" t="s">
        <v>6</v>
      </c>
      <c r="F14" s="214"/>
      <c r="G14" s="215">
        <v>40413</v>
      </c>
      <c r="H14" s="216">
        <v>98</v>
      </c>
      <c r="I14" s="448">
        <v>11646.599999997765</v>
      </c>
      <c r="J14" s="218">
        <v>19999</v>
      </c>
      <c r="K14" s="219" t="s">
        <v>2336</v>
      </c>
      <c r="L14" s="216" t="s">
        <v>2332</v>
      </c>
      <c r="M14" s="218" t="s">
        <v>2417</v>
      </c>
    </row>
    <row r="15" spans="1:13" ht="15" customHeight="1" outlineLevel="2">
      <c r="A15" s="210">
        <v>10</v>
      </c>
      <c r="B15" s="211" t="s">
        <v>680</v>
      </c>
      <c r="C15" s="212">
        <v>61799726</v>
      </c>
      <c r="D15" s="211">
        <v>900342899</v>
      </c>
      <c r="E15" s="213" t="s">
        <v>6</v>
      </c>
      <c r="F15" s="214"/>
      <c r="G15" s="215">
        <v>40413</v>
      </c>
      <c r="H15" s="216">
        <v>98</v>
      </c>
      <c r="I15" s="448">
        <v>17470.39999999851</v>
      </c>
      <c r="J15" s="218">
        <v>19999</v>
      </c>
      <c r="K15" s="219" t="s">
        <v>2336</v>
      </c>
      <c r="L15" s="216" t="s">
        <v>2334</v>
      </c>
      <c r="M15" s="218" t="s">
        <v>2417</v>
      </c>
    </row>
    <row r="16" spans="1:13" ht="15" customHeight="1" outlineLevel="2">
      <c r="A16" s="210">
        <v>11</v>
      </c>
      <c r="B16" s="211" t="s">
        <v>525</v>
      </c>
      <c r="C16" s="212">
        <v>89612419.200000003</v>
      </c>
      <c r="D16" s="211">
        <v>10528780</v>
      </c>
      <c r="E16" s="213" t="s">
        <v>526</v>
      </c>
      <c r="F16" s="214"/>
      <c r="G16" s="215">
        <v>40413</v>
      </c>
      <c r="H16" s="216">
        <v>100</v>
      </c>
      <c r="I16" s="448">
        <v>73139.929999999702</v>
      </c>
      <c r="J16" s="218">
        <v>19999</v>
      </c>
      <c r="K16" s="219" t="s">
        <v>2336</v>
      </c>
      <c r="L16" s="216" t="s">
        <v>2332</v>
      </c>
      <c r="M16" s="218" t="s">
        <v>2417</v>
      </c>
    </row>
    <row r="17" spans="1:13" ht="15" customHeight="1" outlineLevel="2">
      <c r="A17" s="210">
        <v>12</v>
      </c>
      <c r="B17" s="211" t="s">
        <v>525</v>
      </c>
      <c r="C17" s="212">
        <v>89612419.200000003</v>
      </c>
      <c r="D17" s="211">
        <v>10528780</v>
      </c>
      <c r="E17" s="213" t="s">
        <v>526</v>
      </c>
      <c r="F17" s="214"/>
      <c r="G17" s="215">
        <v>40413</v>
      </c>
      <c r="H17" s="216">
        <v>100</v>
      </c>
      <c r="I17" s="448">
        <v>109709.86999999732</v>
      </c>
      <c r="J17" s="218">
        <v>19999</v>
      </c>
      <c r="K17" s="219" t="s">
        <v>2336</v>
      </c>
      <c r="L17" s="216" t="s">
        <v>2332</v>
      </c>
      <c r="M17" s="218" t="s">
        <v>2417</v>
      </c>
    </row>
    <row r="18" spans="1:13" ht="15" customHeight="1" outlineLevel="2">
      <c r="A18" s="210">
        <v>13</v>
      </c>
      <c r="B18" s="211" t="s">
        <v>853</v>
      </c>
      <c r="C18" s="212">
        <v>23000000</v>
      </c>
      <c r="D18" s="211">
        <v>76308120</v>
      </c>
      <c r="E18" s="213" t="s">
        <v>854</v>
      </c>
      <c r="F18" s="214">
        <v>1380000</v>
      </c>
      <c r="G18" s="215">
        <v>40718</v>
      </c>
      <c r="H18" s="216">
        <v>173</v>
      </c>
      <c r="I18" s="448">
        <v>1380000</v>
      </c>
      <c r="J18" s="218">
        <v>19999</v>
      </c>
      <c r="K18" s="219" t="s">
        <v>2336</v>
      </c>
      <c r="L18" s="216" t="s">
        <v>2334</v>
      </c>
      <c r="M18" s="218" t="s">
        <v>2417</v>
      </c>
    </row>
    <row r="19" spans="1:13" ht="15" customHeight="1" outlineLevel="1">
      <c r="A19" s="210"/>
      <c r="B19" s="211"/>
      <c r="C19" s="212"/>
      <c r="D19" s="211"/>
      <c r="E19" s="213"/>
      <c r="F19" s="214">
        <f>SUBTOTAL(9,F7:F18)</f>
        <v>4380391</v>
      </c>
      <c r="G19" s="215"/>
      <c r="H19" s="216">
        <v>10</v>
      </c>
      <c r="I19" s="448">
        <f>SUBTOTAL(9,I7:I18)</f>
        <v>4845123.7999999933</v>
      </c>
      <c r="J19" s="218"/>
      <c r="K19" s="219"/>
      <c r="L19" s="222" t="s">
        <v>2423</v>
      </c>
      <c r="M19" s="218">
        <f>SUBTOTAL(9,M7:M18)</f>
        <v>0</v>
      </c>
    </row>
    <row r="20" spans="1:13" ht="15" customHeight="1" outlineLevel="2">
      <c r="A20" s="210">
        <v>14</v>
      </c>
      <c r="B20" s="211" t="s">
        <v>1056</v>
      </c>
      <c r="C20" s="212">
        <v>660040239</v>
      </c>
      <c r="D20" s="211">
        <v>900423055</v>
      </c>
      <c r="E20" s="213" t="s">
        <v>1057</v>
      </c>
      <c r="F20" s="214">
        <v>69402</v>
      </c>
      <c r="G20" s="215">
        <v>41081</v>
      </c>
      <c r="H20" s="216">
        <v>243</v>
      </c>
      <c r="I20" s="448">
        <v>69402</v>
      </c>
      <c r="J20" s="218">
        <v>19999</v>
      </c>
      <c r="K20" s="219" t="s">
        <v>2336</v>
      </c>
      <c r="L20" s="216" t="s">
        <v>2334</v>
      </c>
      <c r="M20" s="218" t="s">
        <v>2418</v>
      </c>
    </row>
    <row r="21" spans="1:13" ht="15" customHeight="1" outlineLevel="2">
      <c r="A21" s="210">
        <v>15</v>
      </c>
      <c r="B21" s="211" t="s">
        <v>1076</v>
      </c>
      <c r="C21" s="212">
        <v>35009299</v>
      </c>
      <c r="D21" s="211">
        <v>10536762</v>
      </c>
      <c r="E21" s="213" t="s">
        <v>385</v>
      </c>
      <c r="F21" s="214">
        <v>0</v>
      </c>
      <c r="G21" s="215">
        <v>40637</v>
      </c>
      <c r="H21" s="216">
        <v>128</v>
      </c>
      <c r="I21" s="448">
        <v>63600</v>
      </c>
      <c r="J21" s="218">
        <v>19999</v>
      </c>
      <c r="K21" s="219" t="s">
        <v>2336</v>
      </c>
      <c r="L21" s="216" t="s">
        <v>2334</v>
      </c>
      <c r="M21" s="218" t="s">
        <v>2418</v>
      </c>
    </row>
    <row r="22" spans="1:13" ht="15" customHeight="1" outlineLevel="2">
      <c r="A22" s="210">
        <v>16</v>
      </c>
      <c r="B22" s="211" t="s">
        <v>1076</v>
      </c>
      <c r="C22" s="212">
        <v>35009299</v>
      </c>
      <c r="D22" s="211">
        <v>10536762</v>
      </c>
      <c r="E22" s="213" t="s">
        <v>385</v>
      </c>
      <c r="F22" s="214">
        <v>1804133.05</v>
      </c>
      <c r="G22" s="215">
        <v>41081</v>
      </c>
      <c r="H22" s="216">
        <v>242</v>
      </c>
      <c r="I22" s="448">
        <v>1804133.05</v>
      </c>
      <c r="J22" s="218">
        <v>19999</v>
      </c>
      <c r="K22" s="219" t="s">
        <v>2336</v>
      </c>
      <c r="L22" s="216" t="s">
        <v>2334</v>
      </c>
      <c r="M22" s="218" t="s">
        <v>2418</v>
      </c>
    </row>
    <row r="23" spans="1:13" ht="15" customHeight="1" outlineLevel="2">
      <c r="A23" s="210">
        <v>21</v>
      </c>
      <c r="B23" s="211" t="s">
        <v>1109</v>
      </c>
      <c r="C23" s="212">
        <v>1566678737</v>
      </c>
      <c r="D23" s="211">
        <v>72222176</v>
      </c>
      <c r="E23" s="213" t="s">
        <v>1110</v>
      </c>
      <c r="F23" s="214">
        <v>50.9</v>
      </c>
      <c r="G23" s="215">
        <v>40753</v>
      </c>
      <c r="H23" s="216">
        <v>1</v>
      </c>
      <c r="I23" s="448">
        <v>50.9</v>
      </c>
      <c r="J23" s="218">
        <v>19318</v>
      </c>
      <c r="K23" s="219" t="s">
        <v>2344</v>
      </c>
      <c r="L23" s="216" t="s">
        <v>2332</v>
      </c>
      <c r="M23" s="218" t="s">
        <v>2418</v>
      </c>
    </row>
    <row r="24" spans="1:13" ht="15" customHeight="1" outlineLevel="2">
      <c r="A24" s="210">
        <v>22</v>
      </c>
      <c r="B24" s="211" t="s">
        <v>1109</v>
      </c>
      <c r="C24" s="212">
        <v>1566678737</v>
      </c>
      <c r="D24" s="211">
        <v>72222176</v>
      </c>
      <c r="E24" s="213" t="s">
        <v>1110</v>
      </c>
      <c r="F24" s="214">
        <v>114.6</v>
      </c>
      <c r="G24" s="215">
        <v>40753</v>
      </c>
      <c r="H24" s="216">
        <v>176</v>
      </c>
      <c r="I24" s="448">
        <v>114.6</v>
      </c>
      <c r="J24" s="218">
        <v>19999</v>
      </c>
      <c r="K24" s="219" t="s">
        <v>2336</v>
      </c>
      <c r="L24" s="216" t="s">
        <v>2334</v>
      </c>
      <c r="M24" s="218" t="s">
        <v>2418</v>
      </c>
    </row>
    <row r="25" spans="1:13" ht="15" customHeight="1" outlineLevel="2">
      <c r="A25" s="210">
        <v>19</v>
      </c>
      <c r="B25" s="211" t="s">
        <v>1149</v>
      </c>
      <c r="C25" s="212">
        <v>487926297</v>
      </c>
      <c r="D25" s="211">
        <v>900470501</v>
      </c>
      <c r="E25" s="213" t="s">
        <v>2340</v>
      </c>
      <c r="F25" s="214">
        <v>0</v>
      </c>
      <c r="G25" s="215">
        <v>40641</v>
      </c>
      <c r="H25" s="216">
        <v>1</v>
      </c>
      <c r="I25" s="448">
        <v>4058795</v>
      </c>
      <c r="J25" s="218">
        <v>19824</v>
      </c>
      <c r="K25" s="219" t="s">
        <v>2341</v>
      </c>
      <c r="L25" s="216" t="s">
        <v>2332</v>
      </c>
      <c r="M25" s="218" t="s">
        <v>2418</v>
      </c>
    </row>
    <row r="26" spans="1:13" ht="15" customHeight="1" outlineLevel="2">
      <c r="A26" s="210">
        <v>17</v>
      </c>
      <c r="B26" s="211" t="s">
        <v>1149</v>
      </c>
      <c r="C26" s="212">
        <v>487926297</v>
      </c>
      <c r="D26" s="211">
        <v>900470501</v>
      </c>
      <c r="E26" s="213" t="s">
        <v>2340</v>
      </c>
      <c r="F26" s="214">
        <v>0</v>
      </c>
      <c r="G26" s="215">
        <v>40753</v>
      </c>
      <c r="H26" s="216">
        <v>183</v>
      </c>
      <c r="I26" s="448">
        <v>371238</v>
      </c>
      <c r="J26" s="218">
        <v>19999</v>
      </c>
      <c r="K26" s="219" t="s">
        <v>2336</v>
      </c>
      <c r="L26" s="216" t="s">
        <v>2332</v>
      </c>
      <c r="M26" s="218" t="s">
        <v>2418</v>
      </c>
    </row>
    <row r="27" spans="1:13" ht="15" customHeight="1" outlineLevel="2">
      <c r="A27" s="210">
        <v>18</v>
      </c>
      <c r="B27" s="211" t="s">
        <v>1149</v>
      </c>
      <c r="C27" s="212">
        <v>487926297</v>
      </c>
      <c r="D27" s="211">
        <v>900470501</v>
      </c>
      <c r="E27" s="213" t="s">
        <v>2340</v>
      </c>
      <c r="F27" s="214">
        <v>0</v>
      </c>
      <c r="G27" s="215">
        <v>40753</v>
      </c>
      <c r="H27" s="216">
        <v>183</v>
      </c>
      <c r="I27" s="448">
        <v>1041299</v>
      </c>
      <c r="J27" s="218">
        <v>19999</v>
      </c>
      <c r="K27" s="219" t="s">
        <v>2336</v>
      </c>
      <c r="L27" s="216" t="s">
        <v>2334</v>
      </c>
      <c r="M27" s="218" t="s">
        <v>2418</v>
      </c>
    </row>
    <row r="28" spans="1:13" ht="15" customHeight="1" outlineLevel="2">
      <c r="A28" s="210">
        <v>20</v>
      </c>
      <c r="B28" s="211" t="s">
        <v>1166</v>
      </c>
      <c r="C28" s="212">
        <v>110988170</v>
      </c>
      <c r="D28" s="211">
        <v>900471403</v>
      </c>
      <c r="E28" s="213" t="s">
        <v>1136</v>
      </c>
      <c r="F28" s="214">
        <v>1.5</v>
      </c>
      <c r="G28" s="215">
        <v>40753</v>
      </c>
      <c r="H28" s="216">
        <v>177</v>
      </c>
      <c r="I28" s="448">
        <v>1.5</v>
      </c>
      <c r="J28" s="218">
        <v>19999</v>
      </c>
      <c r="K28" s="219" t="s">
        <v>2336</v>
      </c>
      <c r="L28" s="216" t="s">
        <v>2332</v>
      </c>
      <c r="M28" s="218" t="s">
        <v>2418</v>
      </c>
    </row>
    <row r="29" spans="1:13" ht="15" customHeight="1" outlineLevel="2">
      <c r="A29" s="210">
        <v>23</v>
      </c>
      <c r="B29" s="211" t="s">
        <v>1135</v>
      </c>
      <c r="C29" s="212">
        <v>62465292</v>
      </c>
      <c r="D29" s="211">
        <v>900471403</v>
      </c>
      <c r="E29" s="213" t="s">
        <v>1136</v>
      </c>
      <c r="F29" s="214"/>
      <c r="G29" s="215">
        <v>40753</v>
      </c>
      <c r="H29" s="216">
        <v>178</v>
      </c>
      <c r="I29" s="448">
        <v>2</v>
      </c>
      <c r="J29" s="218">
        <v>19999</v>
      </c>
      <c r="K29" s="219" t="s">
        <v>2336</v>
      </c>
      <c r="L29" s="216" t="s">
        <v>2332</v>
      </c>
      <c r="M29" s="218" t="s">
        <v>2418</v>
      </c>
    </row>
    <row r="30" spans="1:13" ht="15" customHeight="1" outlineLevel="2">
      <c r="A30" s="210">
        <v>24</v>
      </c>
      <c r="B30" s="211" t="s">
        <v>1180</v>
      </c>
      <c r="C30" s="212">
        <v>142336878</v>
      </c>
      <c r="D30" s="211">
        <v>900471400</v>
      </c>
      <c r="E30" s="213" t="s">
        <v>1186</v>
      </c>
      <c r="F30" s="214"/>
      <c r="G30" s="215">
        <v>40753</v>
      </c>
      <c r="H30" s="216">
        <v>181</v>
      </c>
      <c r="I30" s="448">
        <v>89393</v>
      </c>
      <c r="J30" s="218">
        <v>19999</v>
      </c>
      <c r="K30" s="219" t="s">
        <v>2336</v>
      </c>
      <c r="L30" s="216" t="s">
        <v>2332</v>
      </c>
      <c r="M30" s="218" t="s">
        <v>2418</v>
      </c>
    </row>
    <row r="31" spans="1:13" ht="15" customHeight="1" outlineLevel="2">
      <c r="A31" s="210">
        <v>25</v>
      </c>
      <c r="B31" s="211" t="s">
        <v>1167</v>
      </c>
      <c r="C31" s="212">
        <v>209738150</v>
      </c>
      <c r="D31" s="211">
        <v>900480276</v>
      </c>
      <c r="E31" s="213" t="s">
        <v>1168</v>
      </c>
      <c r="F31" s="214"/>
      <c r="G31" s="215">
        <v>40851</v>
      </c>
      <c r="H31" s="216">
        <v>221</v>
      </c>
      <c r="I31" s="448">
        <v>168</v>
      </c>
      <c r="J31" s="218">
        <v>19999</v>
      </c>
      <c r="K31" s="219" t="s">
        <v>2336</v>
      </c>
      <c r="L31" s="216" t="s">
        <v>2332</v>
      </c>
      <c r="M31" s="218" t="s">
        <v>2418</v>
      </c>
    </row>
    <row r="32" spans="1:13" ht="15" customHeight="1" outlineLevel="2">
      <c r="A32" s="210">
        <v>26</v>
      </c>
      <c r="B32" s="211" t="s">
        <v>1222</v>
      </c>
      <c r="C32" s="212">
        <v>63321180</v>
      </c>
      <c r="D32" s="211">
        <v>900483768</v>
      </c>
      <c r="E32" s="213" t="s">
        <v>1226</v>
      </c>
      <c r="F32" s="214"/>
      <c r="G32" s="215">
        <v>40851</v>
      </c>
      <c r="H32" s="216">
        <v>219</v>
      </c>
      <c r="I32" s="448">
        <v>790979</v>
      </c>
      <c r="J32" s="218">
        <v>19999</v>
      </c>
      <c r="K32" s="219" t="s">
        <v>2336</v>
      </c>
      <c r="L32" s="216" t="s">
        <v>2332</v>
      </c>
      <c r="M32" s="218" t="s">
        <v>2418</v>
      </c>
    </row>
    <row r="33" spans="1:13" ht="15" customHeight="1" outlineLevel="2">
      <c r="A33" s="210">
        <v>28</v>
      </c>
      <c r="B33" s="211" t="s">
        <v>1399</v>
      </c>
      <c r="C33" s="212">
        <v>403048040</v>
      </c>
      <c r="D33" s="211">
        <v>900487481</v>
      </c>
      <c r="E33" s="213" t="s">
        <v>1400</v>
      </c>
      <c r="F33" s="214">
        <v>432544</v>
      </c>
      <c r="G33" s="215">
        <v>40899</v>
      </c>
      <c r="H33" s="216">
        <v>3</v>
      </c>
      <c r="I33" s="448">
        <v>432544</v>
      </c>
      <c r="J33" s="218">
        <v>19473</v>
      </c>
      <c r="K33" s="219" t="s">
        <v>2345</v>
      </c>
      <c r="L33" s="216" t="s">
        <v>2332</v>
      </c>
      <c r="M33" s="218" t="s">
        <v>2418</v>
      </c>
    </row>
    <row r="34" spans="1:13" ht="15" customHeight="1" outlineLevel="2">
      <c r="A34" s="210">
        <v>27</v>
      </c>
      <c r="B34" s="211" t="s">
        <v>1399</v>
      </c>
      <c r="C34" s="212">
        <v>403048040</v>
      </c>
      <c r="D34" s="211">
        <v>900487481</v>
      </c>
      <c r="E34" s="213" t="s">
        <v>1400</v>
      </c>
      <c r="F34" s="214">
        <v>1735629</v>
      </c>
      <c r="G34" s="215">
        <v>40899</v>
      </c>
      <c r="H34" s="216">
        <v>228</v>
      </c>
      <c r="I34" s="448">
        <v>1735629</v>
      </c>
      <c r="J34" s="218">
        <v>19999</v>
      </c>
      <c r="K34" s="219" t="s">
        <v>2336</v>
      </c>
      <c r="L34" s="216" t="s">
        <v>2334</v>
      </c>
      <c r="M34" s="218" t="s">
        <v>2418</v>
      </c>
    </row>
    <row r="35" spans="1:13" ht="15" customHeight="1" outlineLevel="2">
      <c r="A35" s="210">
        <v>29</v>
      </c>
      <c r="B35" s="211" t="s">
        <v>1408</v>
      </c>
      <c r="C35" s="212">
        <v>759036147.48000002</v>
      </c>
      <c r="D35" s="211">
        <v>10538292</v>
      </c>
      <c r="E35" s="213" t="s">
        <v>1233</v>
      </c>
      <c r="F35" s="214">
        <v>134333.48000001907</v>
      </c>
      <c r="G35" s="215">
        <v>40899</v>
      </c>
      <c r="H35" s="216">
        <v>229</v>
      </c>
      <c r="I35" s="448">
        <v>8813466</v>
      </c>
      <c r="J35" s="218">
        <v>19999</v>
      </c>
      <c r="K35" s="219" t="s">
        <v>2336</v>
      </c>
      <c r="L35" s="216" t="s">
        <v>2334</v>
      </c>
      <c r="M35" s="218" t="s">
        <v>2418</v>
      </c>
    </row>
    <row r="36" spans="1:13" ht="15" customHeight="1" outlineLevel="1">
      <c r="A36" s="210"/>
      <c r="B36" s="211"/>
      <c r="C36" s="212"/>
      <c r="D36" s="211"/>
      <c r="E36" s="213"/>
      <c r="F36" s="214">
        <f>SUBTOTAL(9,F20:F35)</f>
        <v>4176208.5300000189</v>
      </c>
      <c r="G36" s="215"/>
      <c r="H36" s="216"/>
      <c r="I36" s="448">
        <f>SUBTOTAL(9,I20:I35)</f>
        <v>19270815.050000001</v>
      </c>
      <c r="J36" s="218"/>
      <c r="K36" s="219"/>
      <c r="L36" s="222" t="s">
        <v>2424</v>
      </c>
      <c r="M36" s="218">
        <f>SUBTOTAL(9,M20:M35)</f>
        <v>0</v>
      </c>
    </row>
    <row r="37" spans="1:13" ht="15" customHeight="1" outlineLevel="2">
      <c r="A37" s="210">
        <v>30</v>
      </c>
      <c r="B37" s="211" t="s">
        <v>1457</v>
      </c>
      <c r="C37" s="212">
        <v>1514447709</v>
      </c>
      <c r="D37" s="211">
        <v>10538292</v>
      </c>
      <c r="E37" s="213" t="s">
        <v>1233</v>
      </c>
      <c r="F37" s="214">
        <v>129</v>
      </c>
      <c r="G37" s="215">
        <v>41893</v>
      </c>
      <c r="H37" s="216">
        <v>5</v>
      </c>
      <c r="I37" s="448">
        <v>129</v>
      </c>
      <c r="J37" s="218">
        <v>19780</v>
      </c>
      <c r="K37" s="219" t="s">
        <v>2346</v>
      </c>
      <c r="L37" s="216" t="s">
        <v>2332</v>
      </c>
      <c r="M37" s="218" t="s">
        <v>2419</v>
      </c>
    </row>
    <row r="38" spans="1:13" ht="15" customHeight="1" outlineLevel="2">
      <c r="A38" s="210">
        <v>33</v>
      </c>
      <c r="B38" s="211" t="s">
        <v>1471</v>
      </c>
      <c r="C38" s="212">
        <v>138893767</v>
      </c>
      <c r="D38" s="211">
        <v>76308097</v>
      </c>
      <c r="E38" s="213" t="s">
        <v>1472</v>
      </c>
      <c r="F38" s="214">
        <v>12561.36</v>
      </c>
      <c r="G38" s="215">
        <v>41795</v>
      </c>
      <c r="H38" s="216">
        <v>3</v>
      </c>
      <c r="I38" s="448">
        <v>12561.36</v>
      </c>
      <c r="J38" s="218">
        <v>19100</v>
      </c>
      <c r="K38" s="219" t="s">
        <v>2348</v>
      </c>
      <c r="L38" s="216" t="s">
        <v>2332</v>
      </c>
      <c r="M38" s="218" t="s">
        <v>2419</v>
      </c>
    </row>
    <row r="39" spans="1:13" ht="15" customHeight="1" outlineLevel="2">
      <c r="A39" s="210">
        <v>31</v>
      </c>
      <c r="B39" s="211" t="s">
        <v>1471</v>
      </c>
      <c r="C39" s="212">
        <v>138893767</v>
      </c>
      <c r="D39" s="211">
        <v>76308097</v>
      </c>
      <c r="E39" s="213" t="s">
        <v>1472</v>
      </c>
      <c r="F39" s="214"/>
      <c r="G39" s="215">
        <v>41165</v>
      </c>
      <c r="H39" s="216">
        <v>253</v>
      </c>
      <c r="I39" s="448">
        <v>422508</v>
      </c>
      <c r="J39" s="218">
        <v>19999</v>
      </c>
      <c r="K39" s="219" t="s">
        <v>2336</v>
      </c>
      <c r="L39" s="216" t="s">
        <v>2347</v>
      </c>
      <c r="M39" s="218" t="s">
        <v>2419</v>
      </c>
    </row>
    <row r="40" spans="1:13" ht="15" customHeight="1" outlineLevel="2">
      <c r="A40" s="210">
        <v>32</v>
      </c>
      <c r="B40" s="211" t="s">
        <v>1471</v>
      </c>
      <c r="C40" s="212">
        <v>138893767</v>
      </c>
      <c r="D40" s="211">
        <v>76308097</v>
      </c>
      <c r="E40" s="213" t="s">
        <v>1472</v>
      </c>
      <c r="F40" s="214"/>
      <c r="G40" s="215">
        <v>41165</v>
      </c>
      <c r="H40" s="216">
        <v>253</v>
      </c>
      <c r="I40" s="448">
        <v>459991</v>
      </c>
      <c r="J40" s="218">
        <v>19999</v>
      </c>
      <c r="K40" s="219" t="s">
        <v>2336</v>
      </c>
      <c r="L40" s="216" t="s">
        <v>2332</v>
      </c>
      <c r="M40" s="218" t="s">
        <v>2419</v>
      </c>
    </row>
    <row r="41" spans="1:13" ht="15" customHeight="1" outlineLevel="2">
      <c r="A41" s="210">
        <v>34</v>
      </c>
      <c r="B41" s="211" t="s">
        <v>2143</v>
      </c>
      <c r="C41" s="212">
        <v>455759154</v>
      </c>
      <c r="D41" s="211">
        <v>76307421</v>
      </c>
      <c r="E41" s="213" t="s">
        <v>2142</v>
      </c>
      <c r="F41" s="214"/>
      <c r="G41" s="215">
        <v>40899</v>
      </c>
      <c r="H41" s="216">
        <v>231</v>
      </c>
      <c r="I41" s="448">
        <v>6618386.5999999996</v>
      </c>
      <c r="J41" s="218">
        <v>19999</v>
      </c>
      <c r="K41" s="219" t="s">
        <v>2336</v>
      </c>
      <c r="L41" s="216" t="s">
        <v>2347</v>
      </c>
      <c r="M41" s="218" t="s">
        <v>2419</v>
      </c>
    </row>
    <row r="42" spans="1:13" ht="15" customHeight="1" outlineLevel="2">
      <c r="A42" s="210">
        <v>35</v>
      </c>
      <c r="B42" s="211" t="s">
        <v>1480</v>
      </c>
      <c r="C42" s="212">
        <v>81536567</v>
      </c>
      <c r="D42" s="211">
        <v>76305303</v>
      </c>
      <c r="E42" s="213" t="s">
        <v>1481</v>
      </c>
      <c r="F42" s="214">
        <v>16</v>
      </c>
      <c r="G42" s="215">
        <v>41165</v>
      </c>
      <c r="H42" s="216">
        <v>251</v>
      </c>
      <c r="I42" s="448">
        <v>16</v>
      </c>
      <c r="J42" s="218">
        <v>19999</v>
      </c>
      <c r="K42" s="219" t="s">
        <v>2336</v>
      </c>
      <c r="L42" s="216" t="s">
        <v>2332</v>
      </c>
      <c r="M42" s="218" t="s">
        <v>2419</v>
      </c>
    </row>
    <row r="43" spans="1:13" ht="15" customHeight="1" outlineLevel="2">
      <c r="A43" s="210">
        <v>36</v>
      </c>
      <c r="B43" s="211" t="s">
        <v>1493</v>
      </c>
      <c r="C43" s="212">
        <v>181607054</v>
      </c>
      <c r="D43" s="211">
        <v>10536855</v>
      </c>
      <c r="E43" s="213" t="s">
        <v>1494</v>
      </c>
      <c r="F43" s="214">
        <v>87.16</v>
      </c>
      <c r="G43" s="215">
        <v>42043</v>
      </c>
      <c r="H43" s="216">
        <v>10</v>
      </c>
      <c r="I43" s="448">
        <v>87.16</v>
      </c>
      <c r="J43" s="218">
        <v>19450</v>
      </c>
      <c r="K43" s="219" t="s">
        <v>2349</v>
      </c>
      <c r="L43" s="216" t="s">
        <v>2332</v>
      </c>
      <c r="M43" s="218" t="s">
        <v>2419</v>
      </c>
    </row>
    <row r="44" spans="1:13" ht="15" customHeight="1" outlineLevel="2">
      <c r="A44" s="210">
        <v>37</v>
      </c>
      <c r="B44" s="211" t="s">
        <v>1493</v>
      </c>
      <c r="C44" s="212">
        <v>181607054</v>
      </c>
      <c r="D44" s="211">
        <v>10536855</v>
      </c>
      <c r="E44" s="213" t="s">
        <v>1494</v>
      </c>
      <c r="F44" s="214"/>
      <c r="G44" s="215">
        <v>41214</v>
      </c>
      <c r="H44" s="216">
        <v>259</v>
      </c>
      <c r="I44" s="448">
        <v>1719736</v>
      </c>
      <c r="J44" s="218">
        <v>19999</v>
      </c>
      <c r="K44" s="219" t="s">
        <v>2336</v>
      </c>
      <c r="L44" s="216" t="s">
        <v>2347</v>
      </c>
      <c r="M44" s="218" t="s">
        <v>2419</v>
      </c>
    </row>
    <row r="45" spans="1:13" ht="15" customHeight="1" outlineLevel="2">
      <c r="A45" s="210">
        <v>41</v>
      </c>
      <c r="B45" s="211" t="s">
        <v>1502</v>
      </c>
      <c r="C45" s="212">
        <v>3547077145</v>
      </c>
      <c r="D45" s="211">
        <v>900577309</v>
      </c>
      <c r="E45" s="213" t="s">
        <v>1503</v>
      </c>
      <c r="F45" s="214">
        <v>2021.16</v>
      </c>
      <c r="G45" s="215">
        <v>41080</v>
      </c>
      <c r="H45" s="216">
        <v>4</v>
      </c>
      <c r="I45" s="448">
        <v>2021.16</v>
      </c>
      <c r="J45" s="218">
        <v>19532</v>
      </c>
      <c r="K45" s="219" t="s">
        <v>2350</v>
      </c>
      <c r="L45" s="216" t="s">
        <v>2332</v>
      </c>
      <c r="M45" s="218" t="s">
        <v>2419</v>
      </c>
    </row>
    <row r="46" spans="1:13" ht="15" customHeight="1" outlineLevel="2">
      <c r="A46" s="210">
        <v>39</v>
      </c>
      <c r="B46" s="211" t="s">
        <v>1502</v>
      </c>
      <c r="C46" s="212">
        <v>3547077145</v>
      </c>
      <c r="D46" s="211">
        <v>900577309</v>
      </c>
      <c r="E46" s="213" t="s">
        <v>1503</v>
      </c>
      <c r="F46" s="214">
        <v>7921.29</v>
      </c>
      <c r="G46" s="215">
        <v>41080</v>
      </c>
      <c r="H46" s="216">
        <v>239</v>
      </c>
      <c r="I46" s="448">
        <v>7921.29</v>
      </c>
      <c r="J46" s="218">
        <v>19999</v>
      </c>
      <c r="K46" s="219" t="s">
        <v>2336</v>
      </c>
      <c r="L46" s="216" t="s">
        <v>2332</v>
      </c>
      <c r="M46" s="218" t="s">
        <v>2419</v>
      </c>
    </row>
    <row r="47" spans="1:13" ht="15" customHeight="1" outlineLevel="2">
      <c r="A47" s="210">
        <v>40</v>
      </c>
      <c r="B47" s="211" t="s">
        <v>1502</v>
      </c>
      <c r="C47" s="212">
        <v>3547077145</v>
      </c>
      <c r="D47" s="211">
        <v>900577309</v>
      </c>
      <c r="E47" s="213" t="s">
        <v>1503</v>
      </c>
      <c r="F47" s="214">
        <v>11322.8</v>
      </c>
      <c r="G47" s="215">
        <v>41080</v>
      </c>
      <c r="H47" s="216">
        <v>239</v>
      </c>
      <c r="I47" s="448">
        <v>11322.8</v>
      </c>
      <c r="J47" s="218">
        <v>19999</v>
      </c>
      <c r="K47" s="219" t="s">
        <v>2336</v>
      </c>
      <c r="L47" s="216" t="s">
        <v>2347</v>
      </c>
      <c r="M47" s="218" t="s">
        <v>2419</v>
      </c>
    </row>
    <row r="48" spans="1:13" ht="15" customHeight="1" outlineLevel="2">
      <c r="A48" s="210">
        <v>38</v>
      </c>
      <c r="B48" s="211" t="s">
        <v>1502</v>
      </c>
      <c r="C48" s="212">
        <v>3547077145</v>
      </c>
      <c r="D48" s="211">
        <v>900577309</v>
      </c>
      <c r="E48" s="213" t="s">
        <v>1503</v>
      </c>
      <c r="F48" s="214">
        <v>17627.740000000002</v>
      </c>
      <c r="G48" s="215">
        <v>41080</v>
      </c>
      <c r="H48" s="216">
        <v>240</v>
      </c>
      <c r="I48" s="448">
        <v>17627.740000000002</v>
      </c>
      <c r="J48" s="218">
        <v>19999</v>
      </c>
      <c r="K48" s="219" t="s">
        <v>2336</v>
      </c>
      <c r="L48" s="216" t="s">
        <v>2332</v>
      </c>
      <c r="M48" s="218" t="s">
        <v>2419</v>
      </c>
    </row>
    <row r="49" spans="1:13" ht="15" customHeight="1" outlineLevel="2">
      <c r="A49" s="210">
        <v>42</v>
      </c>
      <c r="B49" s="211" t="s">
        <v>1532</v>
      </c>
      <c r="C49" s="212">
        <v>63903840</v>
      </c>
      <c r="D49" s="211">
        <v>10482754</v>
      </c>
      <c r="E49" s="213" t="s">
        <v>1533</v>
      </c>
      <c r="F49" s="214">
        <v>479210</v>
      </c>
      <c r="G49" s="215">
        <v>41212</v>
      </c>
      <c r="H49" s="216">
        <v>257</v>
      </c>
      <c r="I49" s="448">
        <v>849961</v>
      </c>
      <c r="J49" s="218">
        <v>19999</v>
      </c>
      <c r="K49" s="219" t="s">
        <v>2336</v>
      </c>
      <c r="L49" s="216" t="s">
        <v>2347</v>
      </c>
      <c r="M49" s="218" t="s">
        <v>2419</v>
      </c>
    </row>
    <row r="50" spans="1:13" ht="15" customHeight="1" outlineLevel="2">
      <c r="A50" s="210">
        <v>43</v>
      </c>
      <c r="B50" s="211" t="s">
        <v>1539</v>
      </c>
      <c r="C50" s="212">
        <v>255010855</v>
      </c>
      <c r="D50" s="211">
        <v>19130521</v>
      </c>
      <c r="E50" s="213" t="s">
        <v>1540</v>
      </c>
      <c r="F50" s="214">
        <v>3900</v>
      </c>
      <c r="G50" s="215">
        <v>41186</v>
      </c>
      <c r="H50" s="216">
        <v>255</v>
      </c>
      <c r="I50" s="448">
        <v>3326806</v>
      </c>
      <c r="J50" s="218">
        <v>19999</v>
      </c>
      <c r="K50" s="219" t="s">
        <v>2336</v>
      </c>
      <c r="L50" s="216" t="s">
        <v>2347</v>
      </c>
      <c r="M50" s="218" t="s">
        <v>2419</v>
      </c>
    </row>
    <row r="51" spans="1:13" ht="15" customHeight="1" outlineLevel="2">
      <c r="A51" s="210">
        <v>49</v>
      </c>
      <c r="B51" s="211" t="s">
        <v>1557</v>
      </c>
      <c r="C51" s="212">
        <v>241352608</v>
      </c>
      <c r="D51" s="211">
        <v>900618452</v>
      </c>
      <c r="E51" s="213" t="s">
        <v>1558</v>
      </c>
      <c r="F51" s="214"/>
      <c r="G51" s="215">
        <v>41080</v>
      </c>
      <c r="H51" s="216">
        <v>5</v>
      </c>
      <c r="I51" s="448">
        <v>104930.48000000417</v>
      </c>
      <c r="J51" s="218">
        <v>19532</v>
      </c>
      <c r="K51" s="219" t="s">
        <v>2350</v>
      </c>
      <c r="L51" s="216" t="s">
        <v>2332</v>
      </c>
      <c r="M51" s="218" t="s">
        <v>2419</v>
      </c>
    </row>
    <row r="52" spans="1:13" ht="15" customHeight="1" outlineLevel="2">
      <c r="A52" s="210">
        <v>47</v>
      </c>
      <c r="B52" s="211" t="s">
        <v>1557</v>
      </c>
      <c r="C52" s="212">
        <v>241352608</v>
      </c>
      <c r="D52" s="211">
        <v>900618452</v>
      </c>
      <c r="E52" s="213" t="s">
        <v>1558</v>
      </c>
      <c r="F52" s="214"/>
      <c r="G52" s="215">
        <v>40899</v>
      </c>
      <c r="H52" s="216">
        <v>232</v>
      </c>
      <c r="I52" s="448">
        <v>25166.329999998212</v>
      </c>
      <c r="J52" s="218">
        <v>19999</v>
      </c>
      <c r="K52" s="219" t="s">
        <v>2336</v>
      </c>
      <c r="L52" s="216" t="s">
        <v>2347</v>
      </c>
      <c r="M52" s="218" t="s">
        <v>2419</v>
      </c>
    </row>
    <row r="53" spans="1:13" ht="15" customHeight="1" outlineLevel="2">
      <c r="A53" s="210">
        <v>46</v>
      </c>
      <c r="B53" s="211" t="s">
        <v>1557</v>
      </c>
      <c r="C53" s="212">
        <v>241352608</v>
      </c>
      <c r="D53" s="211">
        <v>900618452</v>
      </c>
      <c r="E53" s="213" t="s">
        <v>1558</v>
      </c>
      <c r="F53" s="214">
        <v>2133.13</v>
      </c>
      <c r="G53" s="215">
        <v>41165</v>
      </c>
      <c r="H53" s="216">
        <v>254</v>
      </c>
      <c r="I53" s="448">
        <v>7415.92</v>
      </c>
      <c r="J53" s="218">
        <v>19999</v>
      </c>
      <c r="K53" s="219" t="s">
        <v>2336</v>
      </c>
      <c r="L53" s="216" t="s">
        <v>2347</v>
      </c>
      <c r="M53" s="218" t="s">
        <v>2419</v>
      </c>
    </row>
    <row r="54" spans="1:13" ht="15" customHeight="1" outlineLevel="2">
      <c r="A54" s="210">
        <v>50</v>
      </c>
      <c r="B54" s="211" t="s">
        <v>1557</v>
      </c>
      <c r="C54" s="212">
        <v>241352608</v>
      </c>
      <c r="D54" s="211">
        <v>900618452</v>
      </c>
      <c r="E54" s="213" t="s">
        <v>1558</v>
      </c>
      <c r="F54" s="214"/>
      <c r="G54" s="215">
        <v>41212</v>
      </c>
      <c r="H54" s="216">
        <v>258</v>
      </c>
      <c r="I54" s="448">
        <v>3539.7099999999627</v>
      </c>
      <c r="J54" s="218">
        <v>19999</v>
      </c>
      <c r="K54" s="219" t="s">
        <v>2336</v>
      </c>
      <c r="L54" s="216" t="s">
        <v>2347</v>
      </c>
      <c r="M54" s="218" t="s">
        <v>2419</v>
      </c>
    </row>
    <row r="55" spans="1:13" ht="15" customHeight="1" outlineLevel="2">
      <c r="A55" s="210">
        <v>48</v>
      </c>
      <c r="B55" s="211" t="s">
        <v>1557</v>
      </c>
      <c r="C55" s="212">
        <v>241352608</v>
      </c>
      <c r="D55" s="211">
        <v>900618452</v>
      </c>
      <c r="E55" s="213" t="s">
        <v>1558</v>
      </c>
      <c r="F55" s="214">
        <v>6701.47</v>
      </c>
      <c r="G55" s="215">
        <v>41214</v>
      </c>
      <c r="H55" s="216">
        <v>260</v>
      </c>
      <c r="I55" s="448">
        <v>15716.160000000971</v>
      </c>
      <c r="J55" s="218">
        <v>19999</v>
      </c>
      <c r="K55" s="219" t="s">
        <v>2336</v>
      </c>
      <c r="L55" s="216" t="s">
        <v>2347</v>
      </c>
      <c r="M55" s="218" t="s">
        <v>2419</v>
      </c>
    </row>
    <row r="56" spans="1:13" ht="15" customHeight="1" outlineLevel="2">
      <c r="A56" s="210">
        <v>51</v>
      </c>
      <c r="B56" s="211" t="s">
        <v>1557</v>
      </c>
      <c r="C56" s="212">
        <v>241352608</v>
      </c>
      <c r="D56" s="211">
        <v>900618452</v>
      </c>
      <c r="E56" s="213" t="s">
        <v>1558</v>
      </c>
      <c r="F56" s="214">
        <v>1</v>
      </c>
      <c r="G56" s="215">
        <v>41955</v>
      </c>
      <c r="H56" s="216">
        <v>311</v>
      </c>
      <c r="I56" s="448">
        <v>1</v>
      </c>
      <c r="J56" s="218">
        <v>19999</v>
      </c>
      <c r="K56" s="219" t="s">
        <v>2336</v>
      </c>
      <c r="L56" s="216" t="s">
        <v>2332</v>
      </c>
      <c r="M56" s="218" t="s">
        <v>2419</v>
      </c>
    </row>
    <row r="57" spans="1:13" ht="15" customHeight="1" outlineLevel="2">
      <c r="A57" s="210">
        <v>54</v>
      </c>
      <c r="B57" s="211" t="s">
        <v>1548</v>
      </c>
      <c r="C57" s="212">
        <v>259231023</v>
      </c>
      <c r="D57" s="211">
        <v>76305303</v>
      </c>
      <c r="E57" s="213" t="s">
        <v>1481</v>
      </c>
      <c r="F57" s="214">
        <v>5942533</v>
      </c>
      <c r="G57" s="215">
        <v>42173</v>
      </c>
      <c r="H57" s="216">
        <v>7</v>
      </c>
      <c r="I57" s="448">
        <v>5942533</v>
      </c>
      <c r="J57" s="218">
        <v>19392</v>
      </c>
      <c r="K57" s="219" t="s">
        <v>2352</v>
      </c>
      <c r="L57" s="216" t="s">
        <v>2332</v>
      </c>
      <c r="M57" s="218" t="s">
        <v>2419</v>
      </c>
    </row>
    <row r="58" spans="1:13" ht="15" customHeight="1" outlineLevel="2">
      <c r="A58" s="210">
        <v>53</v>
      </c>
      <c r="B58" s="211" t="s">
        <v>1548</v>
      </c>
      <c r="C58" s="212">
        <v>259231023</v>
      </c>
      <c r="D58" s="211">
        <v>76305303</v>
      </c>
      <c r="E58" s="213" t="s">
        <v>1481</v>
      </c>
      <c r="F58" s="214"/>
      <c r="G58" s="215">
        <v>41165</v>
      </c>
      <c r="H58" s="216">
        <v>249</v>
      </c>
      <c r="I58" s="448">
        <v>1133331</v>
      </c>
      <c r="J58" s="218">
        <v>19999</v>
      </c>
      <c r="K58" s="219" t="s">
        <v>2336</v>
      </c>
      <c r="L58" s="216" t="s">
        <v>2332</v>
      </c>
      <c r="M58" s="218" t="s">
        <v>2419</v>
      </c>
    </row>
    <row r="59" spans="1:13" ht="15" customHeight="1" outlineLevel="2">
      <c r="A59" s="210">
        <v>52</v>
      </c>
      <c r="B59" s="211" t="s">
        <v>1548</v>
      </c>
      <c r="C59" s="212">
        <v>259231023</v>
      </c>
      <c r="D59" s="211">
        <v>76305303</v>
      </c>
      <c r="E59" s="213" t="s">
        <v>1481</v>
      </c>
      <c r="F59" s="214">
        <v>151148</v>
      </c>
      <c r="G59" s="215">
        <v>41309</v>
      </c>
      <c r="H59" s="216">
        <v>275</v>
      </c>
      <c r="I59" s="448">
        <v>1774114</v>
      </c>
      <c r="J59" s="218">
        <v>19999</v>
      </c>
      <c r="K59" s="219" t="s">
        <v>2336</v>
      </c>
      <c r="L59" s="216" t="s">
        <v>2347</v>
      </c>
      <c r="M59" s="218" t="s">
        <v>2419</v>
      </c>
    </row>
    <row r="60" spans="1:13" ht="15" customHeight="1" outlineLevel="2">
      <c r="A60" s="210">
        <v>56</v>
      </c>
      <c r="B60" s="211" t="s">
        <v>1616</v>
      </c>
      <c r="C60" s="212">
        <v>848755219</v>
      </c>
      <c r="D60" s="211">
        <v>10537006</v>
      </c>
      <c r="E60" s="213" t="s">
        <v>1617</v>
      </c>
      <c r="F60" s="214"/>
      <c r="G60" s="215">
        <v>41533</v>
      </c>
      <c r="H60" s="216">
        <v>4</v>
      </c>
      <c r="I60" s="448">
        <v>909292</v>
      </c>
      <c r="J60" s="218">
        <v>19513</v>
      </c>
      <c r="K60" s="219" t="s">
        <v>2353</v>
      </c>
      <c r="L60" s="216" t="s">
        <v>2332</v>
      </c>
      <c r="M60" s="218" t="s">
        <v>2419</v>
      </c>
    </row>
    <row r="61" spans="1:13" ht="15" customHeight="1" outlineLevel="2">
      <c r="A61" s="210">
        <v>44</v>
      </c>
      <c r="B61" s="211" t="s">
        <v>2351</v>
      </c>
      <c r="C61" s="212">
        <v>15995000</v>
      </c>
      <c r="D61" s="211">
        <v>8300610</v>
      </c>
      <c r="E61" s="213" t="s">
        <v>1733</v>
      </c>
      <c r="F61" s="214"/>
      <c r="G61" s="215">
        <v>41234</v>
      </c>
      <c r="H61" s="216">
        <v>269</v>
      </c>
      <c r="I61" s="448">
        <v>95005000</v>
      </c>
      <c r="J61" s="218">
        <v>19999</v>
      </c>
      <c r="K61" s="219" t="s">
        <v>2336</v>
      </c>
      <c r="L61" s="216" t="s">
        <v>2347</v>
      </c>
      <c r="M61" s="218" t="s">
        <v>2419</v>
      </c>
    </row>
    <row r="62" spans="1:13" ht="15" customHeight="1" outlineLevel="2">
      <c r="A62" s="210">
        <v>57</v>
      </c>
      <c r="B62" s="211" t="s">
        <v>1616</v>
      </c>
      <c r="C62" s="212">
        <v>848755219</v>
      </c>
      <c r="D62" s="211">
        <v>10537006</v>
      </c>
      <c r="E62" s="213" t="s">
        <v>1617</v>
      </c>
      <c r="F62" s="214">
        <v>3840269</v>
      </c>
      <c r="G62" s="215">
        <v>42048</v>
      </c>
      <c r="H62" s="216">
        <v>8</v>
      </c>
      <c r="I62" s="448">
        <v>3840269</v>
      </c>
      <c r="J62" s="218">
        <v>19513</v>
      </c>
      <c r="K62" s="219" t="s">
        <v>2353</v>
      </c>
      <c r="L62" s="216" t="s">
        <v>2332</v>
      </c>
      <c r="M62" s="218" t="s">
        <v>2419</v>
      </c>
    </row>
    <row r="63" spans="1:13" ht="15" customHeight="1" outlineLevel="2">
      <c r="A63" s="210">
        <v>55</v>
      </c>
      <c r="B63" s="211" t="s">
        <v>1616</v>
      </c>
      <c r="C63" s="212">
        <v>848755219</v>
      </c>
      <c r="D63" s="211">
        <v>10537006</v>
      </c>
      <c r="E63" s="213" t="s">
        <v>1617</v>
      </c>
      <c r="F63" s="214"/>
      <c r="G63" s="215">
        <v>41533</v>
      </c>
      <c r="H63" s="216">
        <v>290</v>
      </c>
      <c r="I63" s="448">
        <v>4349292</v>
      </c>
      <c r="J63" s="218">
        <v>19999</v>
      </c>
      <c r="K63" s="219" t="s">
        <v>2336</v>
      </c>
      <c r="L63" s="216" t="s">
        <v>2347</v>
      </c>
      <c r="M63" s="218" t="s">
        <v>2419</v>
      </c>
    </row>
    <row r="64" spans="1:13" ht="15" customHeight="1" outlineLevel="2">
      <c r="A64" s="210">
        <v>6</v>
      </c>
      <c r="B64" s="211" t="s">
        <v>1680</v>
      </c>
      <c r="C64" s="212">
        <v>190449007</v>
      </c>
      <c r="D64" s="211">
        <v>900670956</v>
      </c>
      <c r="E64" s="213" t="s">
        <v>2338</v>
      </c>
      <c r="F64" s="214">
        <v>415</v>
      </c>
      <c r="G64" s="215">
        <v>41310</v>
      </c>
      <c r="H64" s="216">
        <v>277</v>
      </c>
      <c r="I64" s="448">
        <v>1676258</v>
      </c>
      <c r="J64" s="218">
        <v>19999</v>
      </c>
      <c r="K64" s="219" t="s">
        <v>2336</v>
      </c>
      <c r="L64" s="216" t="s">
        <v>2334</v>
      </c>
      <c r="M64" s="218" t="s">
        <v>2419</v>
      </c>
    </row>
    <row r="65" spans="1:13" ht="15" customHeight="1" outlineLevel="1">
      <c r="A65" s="210"/>
      <c r="B65" s="211"/>
      <c r="C65" s="212"/>
      <c r="D65" s="211"/>
      <c r="E65" s="213"/>
      <c r="F65" s="214">
        <f>SUBTOTAL(9,F37:F64)</f>
        <v>10477997.109999999</v>
      </c>
      <c r="G65" s="215"/>
      <c r="H65" s="216"/>
      <c r="I65" s="448">
        <f>SUBTOTAL(9,I37:I64)</f>
        <v>128235933.71000001</v>
      </c>
      <c r="J65" s="218"/>
      <c r="K65" s="219"/>
      <c r="L65" s="222" t="s">
        <v>2425</v>
      </c>
      <c r="M65" s="218">
        <f>SUBTOTAL(9,M37:M64)</f>
        <v>0</v>
      </c>
    </row>
    <row r="66" spans="1:13" ht="15" customHeight="1" outlineLevel="2">
      <c r="A66" s="210">
        <v>45</v>
      </c>
      <c r="B66" s="211" t="s">
        <v>1746</v>
      </c>
      <c r="C66" s="212">
        <v>8672717</v>
      </c>
      <c r="D66" s="211">
        <v>98572671</v>
      </c>
      <c r="E66" s="213" t="s">
        <v>1747</v>
      </c>
      <c r="F66" s="214"/>
      <c r="G66" s="215">
        <v>41598</v>
      </c>
      <c r="H66" s="216">
        <v>297</v>
      </c>
      <c r="I66" s="448">
        <v>456459</v>
      </c>
      <c r="J66" s="218">
        <v>19999</v>
      </c>
      <c r="K66" s="219" t="s">
        <v>2336</v>
      </c>
      <c r="L66" s="216" t="s">
        <v>2347</v>
      </c>
      <c r="M66" s="218" t="s">
        <v>2420</v>
      </c>
    </row>
    <row r="67" spans="1:13" ht="15" customHeight="1" outlineLevel="1">
      <c r="A67" s="210"/>
      <c r="B67" s="211"/>
      <c r="C67" s="212"/>
      <c r="D67" s="211"/>
      <c r="E67" s="213"/>
      <c r="F67" s="214">
        <f>SUBTOTAL(9,F66:F66)</f>
        <v>0</v>
      </c>
      <c r="G67" s="215"/>
      <c r="H67" s="216"/>
      <c r="I67" s="448">
        <f>SUBTOTAL(9,I66:I66)</f>
        <v>456459</v>
      </c>
      <c r="J67" s="218"/>
      <c r="K67" s="219"/>
      <c r="L67" s="222" t="s">
        <v>2426</v>
      </c>
      <c r="M67" s="218">
        <f>SUBTOTAL(9,M66:M66)</f>
        <v>0</v>
      </c>
    </row>
    <row r="68" spans="1:13" ht="15" customHeight="1" outlineLevel="2">
      <c r="A68" s="210">
        <v>58</v>
      </c>
      <c r="B68" s="211" t="s">
        <v>1920</v>
      </c>
      <c r="C68" s="212">
        <v>189575641</v>
      </c>
      <c r="D68" s="211">
        <v>10534582</v>
      </c>
      <c r="E68" s="213" t="s">
        <v>1713</v>
      </c>
      <c r="F68" s="214">
        <v>8119560</v>
      </c>
      <c r="G68" s="215">
        <v>42151</v>
      </c>
      <c r="H68" s="216">
        <v>4</v>
      </c>
      <c r="I68" s="448">
        <v>10410079</v>
      </c>
      <c r="J68" s="218">
        <v>19701</v>
      </c>
      <c r="K68" s="219" t="s">
        <v>2354</v>
      </c>
      <c r="L68" s="216" t="s">
        <v>2332</v>
      </c>
      <c r="M68" s="218" t="s">
        <v>2421</v>
      </c>
    </row>
    <row r="69" spans="1:13" ht="15" customHeight="1" outlineLevel="1">
      <c r="A69" s="210"/>
      <c r="B69" s="211"/>
      <c r="C69" s="212"/>
      <c r="D69" s="211"/>
      <c r="E69" s="213"/>
      <c r="F69" s="214">
        <f>SUBTOTAL(9,F68:F68)</f>
        <v>8119560</v>
      </c>
      <c r="G69" s="215"/>
      <c r="H69" s="216"/>
      <c r="I69" s="448">
        <f>SUBTOTAL(9,I68:I68)</f>
        <v>10410079</v>
      </c>
      <c r="J69" s="218"/>
      <c r="K69" s="219"/>
      <c r="L69" s="222" t="s">
        <v>2427</v>
      </c>
      <c r="M69" s="218">
        <f>SUBTOTAL(9,M68:M68)</f>
        <v>0</v>
      </c>
    </row>
    <row r="70" spans="1:13" ht="15" customHeight="1" outlineLevel="2">
      <c r="A70" s="210">
        <v>67</v>
      </c>
      <c r="B70" s="211" t="s">
        <v>2228</v>
      </c>
      <c r="C70" s="212">
        <v>1079635200</v>
      </c>
      <c r="D70" s="211">
        <v>900922061</v>
      </c>
      <c r="E70" s="213" t="s">
        <v>2227</v>
      </c>
      <c r="F70" s="214"/>
      <c r="G70" s="215">
        <v>42164</v>
      </c>
      <c r="H70" s="216">
        <v>3</v>
      </c>
      <c r="I70" s="448">
        <v>20266.669999999998</v>
      </c>
      <c r="J70" s="218">
        <v>19622</v>
      </c>
      <c r="K70" s="219" t="s">
        <v>2359</v>
      </c>
      <c r="L70" s="216" t="s">
        <v>2332</v>
      </c>
      <c r="M70" s="218" t="s">
        <v>2422</v>
      </c>
    </row>
    <row r="71" spans="1:13" ht="15" customHeight="1" outlineLevel="2">
      <c r="A71" s="210">
        <v>71</v>
      </c>
      <c r="B71" s="211" t="s">
        <v>2228</v>
      </c>
      <c r="C71" s="212">
        <v>1079635200</v>
      </c>
      <c r="D71" s="211">
        <v>900922061</v>
      </c>
      <c r="E71" s="213" t="s">
        <v>2227</v>
      </c>
      <c r="F71" s="214"/>
      <c r="G71" s="215">
        <v>42164</v>
      </c>
      <c r="H71" s="216">
        <v>4</v>
      </c>
      <c r="I71" s="448">
        <v>20266.669999999998</v>
      </c>
      <c r="J71" s="218">
        <v>19533</v>
      </c>
      <c r="K71" s="219" t="s">
        <v>2361</v>
      </c>
      <c r="L71" s="216" t="s">
        <v>2332</v>
      </c>
      <c r="M71" s="218" t="s">
        <v>2422</v>
      </c>
    </row>
    <row r="72" spans="1:13" ht="15" customHeight="1" outlineLevel="2">
      <c r="A72" s="210">
        <v>62</v>
      </c>
      <c r="B72" s="211" t="s">
        <v>2228</v>
      </c>
      <c r="C72" s="212">
        <v>1079635200</v>
      </c>
      <c r="D72" s="211">
        <v>900922061</v>
      </c>
      <c r="E72" s="213" t="s">
        <v>2227</v>
      </c>
      <c r="F72" s="214">
        <v>27962551.619999997</v>
      </c>
      <c r="G72" s="215">
        <v>42164</v>
      </c>
      <c r="H72" s="216">
        <v>5</v>
      </c>
      <c r="I72" s="448">
        <v>27982818.289999999</v>
      </c>
      <c r="J72" s="218">
        <v>19130</v>
      </c>
      <c r="K72" s="219" t="s">
        <v>2356</v>
      </c>
      <c r="L72" s="216" t="s">
        <v>2332</v>
      </c>
      <c r="M72" s="218" t="s">
        <v>2422</v>
      </c>
    </row>
    <row r="73" spans="1:13" ht="15" customHeight="1" outlineLevel="2">
      <c r="A73" s="210">
        <v>61</v>
      </c>
      <c r="B73" s="211" t="s">
        <v>2228</v>
      </c>
      <c r="C73" s="212">
        <v>1079635200</v>
      </c>
      <c r="D73" s="211">
        <v>900922061</v>
      </c>
      <c r="E73" s="213" t="s">
        <v>2227</v>
      </c>
      <c r="F73" s="214"/>
      <c r="G73" s="215">
        <v>42164</v>
      </c>
      <c r="H73" s="216">
        <v>6</v>
      </c>
      <c r="I73" s="448">
        <v>20266.669999999998</v>
      </c>
      <c r="J73" s="218">
        <v>19701</v>
      </c>
      <c r="K73" s="219" t="s">
        <v>2354</v>
      </c>
      <c r="L73" s="216" t="s">
        <v>2332</v>
      </c>
      <c r="M73" s="218" t="s">
        <v>2422</v>
      </c>
    </row>
    <row r="74" spans="1:13" ht="15" customHeight="1" outlineLevel="2">
      <c r="A74" s="210">
        <v>63</v>
      </c>
      <c r="B74" s="211" t="s">
        <v>2228</v>
      </c>
      <c r="C74" s="212">
        <v>1079635200</v>
      </c>
      <c r="D74" s="211">
        <v>900922061</v>
      </c>
      <c r="E74" s="213" t="s">
        <v>2227</v>
      </c>
      <c r="F74" s="214"/>
      <c r="G74" s="215">
        <v>42164</v>
      </c>
      <c r="H74" s="216">
        <v>6</v>
      </c>
      <c r="I74" s="448">
        <v>20266.669999999998</v>
      </c>
      <c r="J74" s="218">
        <v>19418</v>
      </c>
      <c r="K74" s="219" t="s">
        <v>2357</v>
      </c>
      <c r="L74" s="216" t="s">
        <v>2332</v>
      </c>
      <c r="M74" s="218" t="s">
        <v>2422</v>
      </c>
    </row>
    <row r="75" spans="1:13" ht="15" customHeight="1" outlineLevel="2">
      <c r="A75" s="210">
        <v>72</v>
      </c>
      <c r="B75" s="211" t="s">
        <v>2228</v>
      </c>
      <c r="C75" s="212">
        <v>1079635200</v>
      </c>
      <c r="D75" s="211">
        <v>900922061</v>
      </c>
      <c r="E75" s="213" t="s">
        <v>2227</v>
      </c>
      <c r="F75" s="214"/>
      <c r="G75" s="215">
        <v>42164</v>
      </c>
      <c r="H75" s="216">
        <v>6</v>
      </c>
      <c r="I75" s="448">
        <v>20266.669999999998</v>
      </c>
      <c r="J75" s="218">
        <v>19142</v>
      </c>
      <c r="K75" s="219" t="s">
        <v>2362</v>
      </c>
      <c r="L75" s="216" t="s">
        <v>2332</v>
      </c>
      <c r="M75" s="218" t="s">
        <v>2422</v>
      </c>
    </row>
    <row r="76" spans="1:13" ht="15" customHeight="1" outlineLevel="2">
      <c r="A76" s="210">
        <v>64</v>
      </c>
      <c r="B76" s="211" t="s">
        <v>2228</v>
      </c>
      <c r="C76" s="212">
        <v>1079635200</v>
      </c>
      <c r="D76" s="211">
        <v>900922061</v>
      </c>
      <c r="E76" s="213" t="s">
        <v>2227</v>
      </c>
      <c r="F76" s="214"/>
      <c r="G76" s="215">
        <v>42164</v>
      </c>
      <c r="H76" s="216">
        <v>7</v>
      </c>
      <c r="I76" s="448">
        <v>20266.669999999998</v>
      </c>
      <c r="J76" s="218">
        <v>19780</v>
      </c>
      <c r="K76" s="219" t="s">
        <v>2346</v>
      </c>
      <c r="L76" s="216" t="s">
        <v>2332</v>
      </c>
      <c r="M76" s="218" t="s">
        <v>2422</v>
      </c>
    </row>
    <row r="77" spans="1:13" ht="15" customHeight="1" outlineLevel="2">
      <c r="A77" s="210">
        <v>77</v>
      </c>
      <c r="B77" s="211" t="s">
        <v>2228</v>
      </c>
      <c r="C77" s="212">
        <v>1079635200</v>
      </c>
      <c r="D77" s="211">
        <v>900922061</v>
      </c>
      <c r="E77" s="213" t="s">
        <v>2227</v>
      </c>
      <c r="F77" s="214"/>
      <c r="G77" s="215">
        <v>42164</v>
      </c>
      <c r="H77" s="216">
        <v>7</v>
      </c>
      <c r="I77" s="448">
        <v>20266.669999999998</v>
      </c>
      <c r="J77" s="218">
        <v>19760</v>
      </c>
      <c r="K77" s="219" t="s">
        <v>2366</v>
      </c>
      <c r="L77" s="216" t="s">
        <v>2332</v>
      </c>
      <c r="M77" s="218" t="s">
        <v>2422</v>
      </c>
    </row>
    <row r="78" spans="1:13" ht="15" customHeight="1" outlineLevel="2">
      <c r="A78" s="210">
        <v>78</v>
      </c>
      <c r="B78" s="211" t="s">
        <v>2228</v>
      </c>
      <c r="C78" s="212">
        <v>1079635200</v>
      </c>
      <c r="D78" s="211">
        <v>900922061</v>
      </c>
      <c r="E78" s="213" t="s">
        <v>2227</v>
      </c>
      <c r="F78" s="214"/>
      <c r="G78" s="215">
        <v>42164</v>
      </c>
      <c r="H78" s="216">
        <v>7</v>
      </c>
      <c r="I78" s="448">
        <v>20266.669999999998</v>
      </c>
      <c r="J78" s="218">
        <v>19318</v>
      </c>
      <c r="K78" s="219" t="s">
        <v>2344</v>
      </c>
      <c r="L78" s="216" t="s">
        <v>2332</v>
      </c>
      <c r="M78" s="218" t="s">
        <v>2422</v>
      </c>
    </row>
    <row r="79" spans="1:13" ht="15" customHeight="1" outlineLevel="2">
      <c r="A79" s="210">
        <v>65</v>
      </c>
      <c r="B79" s="211" t="s">
        <v>2228</v>
      </c>
      <c r="C79" s="212">
        <v>1079635200</v>
      </c>
      <c r="D79" s="211">
        <v>900922061</v>
      </c>
      <c r="E79" s="213" t="s">
        <v>2227</v>
      </c>
      <c r="F79" s="214"/>
      <c r="G79" s="215">
        <v>42164</v>
      </c>
      <c r="H79" s="216">
        <v>8</v>
      </c>
      <c r="I79" s="448">
        <v>20266.669999999998</v>
      </c>
      <c r="J79" s="218">
        <v>19807</v>
      </c>
      <c r="K79" s="219" t="s">
        <v>2358</v>
      </c>
      <c r="L79" s="216" t="s">
        <v>2332</v>
      </c>
      <c r="M79" s="218" t="s">
        <v>2422</v>
      </c>
    </row>
    <row r="80" spans="1:13" ht="15" customHeight="1" outlineLevel="2">
      <c r="A80" s="210">
        <v>66</v>
      </c>
      <c r="B80" s="211" t="s">
        <v>2228</v>
      </c>
      <c r="C80" s="212">
        <v>1079635200</v>
      </c>
      <c r="D80" s="211">
        <v>900922061</v>
      </c>
      <c r="E80" s="213" t="s">
        <v>2227</v>
      </c>
      <c r="F80" s="214"/>
      <c r="G80" s="215">
        <v>42164</v>
      </c>
      <c r="H80" s="216">
        <v>8</v>
      </c>
      <c r="I80" s="448">
        <v>20266.669999999998</v>
      </c>
      <c r="J80" s="218">
        <v>19110</v>
      </c>
      <c r="K80" s="219" t="s">
        <v>2355</v>
      </c>
      <c r="L80" s="216" t="s">
        <v>2332</v>
      </c>
      <c r="M80" s="218" t="s">
        <v>2422</v>
      </c>
    </row>
    <row r="81" spans="1:13" ht="15" customHeight="1" outlineLevel="2">
      <c r="A81" s="210">
        <v>68</v>
      </c>
      <c r="B81" s="211" t="s">
        <v>2228</v>
      </c>
      <c r="C81" s="212">
        <v>1079635200</v>
      </c>
      <c r="D81" s="211">
        <v>900922061</v>
      </c>
      <c r="E81" s="213" t="s">
        <v>2227</v>
      </c>
      <c r="F81" s="214">
        <v>323890.56</v>
      </c>
      <c r="G81" s="215">
        <v>42164</v>
      </c>
      <c r="H81" s="216">
        <v>8</v>
      </c>
      <c r="I81" s="448">
        <v>344157.23</v>
      </c>
      <c r="J81" s="218">
        <v>19743</v>
      </c>
      <c r="K81" s="219" t="s">
        <v>2360</v>
      </c>
      <c r="L81" s="216" t="s">
        <v>2332</v>
      </c>
      <c r="M81" s="218" t="s">
        <v>2422</v>
      </c>
    </row>
    <row r="82" spans="1:13" ht="15" customHeight="1" outlineLevel="2">
      <c r="A82" s="210">
        <v>76</v>
      </c>
      <c r="B82" s="211" t="s">
        <v>2228</v>
      </c>
      <c r="C82" s="212">
        <v>1079635200</v>
      </c>
      <c r="D82" s="211">
        <v>900922061</v>
      </c>
      <c r="E82" s="213" t="s">
        <v>2227</v>
      </c>
      <c r="F82" s="214"/>
      <c r="G82" s="215">
        <v>42164</v>
      </c>
      <c r="H82" s="216">
        <v>8</v>
      </c>
      <c r="I82" s="448">
        <v>20266.669999999998</v>
      </c>
      <c r="J82" s="218">
        <v>19355</v>
      </c>
      <c r="K82" s="219" t="s">
        <v>2365</v>
      </c>
      <c r="L82" s="216" t="s">
        <v>2332</v>
      </c>
      <c r="M82" s="218" t="s">
        <v>2422</v>
      </c>
    </row>
    <row r="83" spans="1:13" ht="15" customHeight="1" outlineLevel="2">
      <c r="A83" s="210">
        <v>75</v>
      </c>
      <c r="B83" s="211" t="s">
        <v>2228</v>
      </c>
      <c r="C83" s="212">
        <v>1079635200</v>
      </c>
      <c r="D83" s="211">
        <v>900922061</v>
      </c>
      <c r="E83" s="213" t="s">
        <v>2227</v>
      </c>
      <c r="F83" s="214"/>
      <c r="G83" s="215">
        <v>42164</v>
      </c>
      <c r="H83" s="216">
        <v>9</v>
      </c>
      <c r="I83" s="448">
        <v>20266.669999999998</v>
      </c>
      <c r="J83" s="218">
        <v>19397</v>
      </c>
      <c r="K83" s="219" t="s">
        <v>2364</v>
      </c>
      <c r="L83" s="216" t="s">
        <v>2332</v>
      </c>
      <c r="M83" s="218" t="s">
        <v>2422</v>
      </c>
    </row>
    <row r="84" spans="1:13" ht="15" customHeight="1" outlineLevel="2">
      <c r="A84" s="210">
        <v>74</v>
      </c>
      <c r="B84" s="211" t="s">
        <v>2228</v>
      </c>
      <c r="C84" s="212">
        <v>1079635200</v>
      </c>
      <c r="D84" s="211">
        <v>900922061</v>
      </c>
      <c r="E84" s="213" t="s">
        <v>2227</v>
      </c>
      <c r="F84" s="214"/>
      <c r="G84" s="215">
        <v>42164</v>
      </c>
      <c r="H84" s="216">
        <v>10</v>
      </c>
      <c r="I84" s="448">
        <v>20266.669999999998</v>
      </c>
      <c r="J84" s="218">
        <v>19824</v>
      </c>
      <c r="K84" s="219" t="s">
        <v>2341</v>
      </c>
      <c r="L84" s="216" t="s">
        <v>2332</v>
      </c>
      <c r="M84" s="218" t="s">
        <v>2422</v>
      </c>
    </row>
    <row r="85" spans="1:13" ht="15" customHeight="1" outlineLevel="2">
      <c r="A85" s="210">
        <v>69</v>
      </c>
      <c r="B85" s="211" t="s">
        <v>2228</v>
      </c>
      <c r="C85" s="212">
        <v>1079635200</v>
      </c>
      <c r="D85" s="211">
        <v>900922061</v>
      </c>
      <c r="E85" s="213" t="s">
        <v>2227</v>
      </c>
      <c r="F85" s="214"/>
      <c r="G85" s="215">
        <v>42164</v>
      </c>
      <c r="H85" s="216">
        <v>16</v>
      </c>
      <c r="I85" s="448">
        <v>20266.669999999998</v>
      </c>
      <c r="J85" s="218">
        <v>19532</v>
      </c>
      <c r="K85" s="219" t="s">
        <v>2350</v>
      </c>
      <c r="L85" s="216" t="s">
        <v>2332</v>
      </c>
      <c r="M85" s="218" t="s">
        <v>2422</v>
      </c>
    </row>
    <row r="86" spans="1:13" ht="15" customHeight="1" outlineLevel="2">
      <c r="A86" s="210">
        <v>70</v>
      </c>
      <c r="B86" s="211" t="s">
        <v>2228</v>
      </c>
      <c r="C86" s="212">
        <v>1079635200</v>
      </c>
      <c r="D86" s="211">
        <v>900922061</v>
      </c>
      <c r="E86" s="213" t="s">
        <v>2227</v>
      </c>
      <c r="F86" s="214"/>
      <c r="G86" s="215">
        <v>42164</v>
      </c>
      <c r="H86" s="216">
        <v>16</v>
      </c>
      <c r="I86" s="448">
        <v>20266.669999999998</v>
      </c>
      <c r="J86" s="218">
        <v>19450</v>
      </c>
      <c r="K86" s="219" t="s">
        <v>2349</v>
      </c>
      <c r="L86" s="216" t="s">
        <v>2332</v>
      </c>
      <c r="M86" s="218" t="s">
        <v>2422</v>
      </c>
    </row>
    <row r="87" spans="1:13" ht="15" customHeight="1" outlineLevel="2">
      <c r="A87" s="210">
        <v>73</v>
      </c>
      <c r="B87" s="211" t="s">
        <v>2228</v>
      </c>
      <c r="C87" s="212">
        <v>1079635200</v>
      </c>
      <c r="D87" s="211">
        <v>900922061</v>
      </c>
      <c r="E87" s="213" t="s">
        <v>2227</v>
      </c>
      <c r="F87" s="214"/>
      <c r="G87" s="215">
        <v>42164</v>
      </c>
      <c r="H87" s="216">
        <v>18</v>
      </c>
      <c r="I87" s="448">
        <v>20266.669999999998</v>
      </c>
      <c r="J87" s="218">
        <v>19050</v>
      </c>
      <c r="K87" s="219" t="s">
        <v>2363</v>
      </c>
      <c r="L87" s="216" t="s">
        <v>2332</v>
      </c>
      <c r="M87" s="218" t="s">
        <v>2422</v>
      </c>
    </row>
    <row r="88" spans="1:13" ht="15" customHeight="1" outlineLevel="2">
      <c r="A88" s="210">
        <v>59</v>
      </c>
      <c r="B88" s="211" t="s">
        <v>2102</v>
      </c>
      <c r="C88" s="212">
        <v>13000000</v>
      </c>
      <c r="D88" s="211">
        <v>34545066</v>
      </c>
      <c r="E88" s="213" t="s">
        <v>2101</v>
      </c>
      <c r="F88" s="214"/>
      <c r="G88" s="215">
        <v>42151</v>
      </c>
      <c r="H88" s="216">
        <v>5</v>
      </c>
      <c r="I88" s="448">
        <v>430631</v>
      </c>
      <c r="J88" s="218">
        <v>19701</v>
      </c>
      <c r="K88" s="219" t="s">
        <v>2354</v>
      </c>
      <c r="L88" s="216" t="s">
        <v>2332</v>
      </c>
      <c r="M88" s="218" t="s">
        <v>2422</v>
      </c>
    </row>
    <row r="89" spans="1:13" ht="15" customHeight="1" outlineLevel="2">
      <c r="A89" s="210">
        <v>60</v>
      </c>
      <c r="B89" s="211" t="s">
        <v>2243</v>
      </c>
      <c r="C89" s="212">
        <v>122925748</v>
      </c>
      <c r="D89" s="211">
        <v>901017440</v>
      </c>
      <c r="E89" s="213" t="s">
        <v>2258</v>
      </c>
      <c r="F89" s="214"/>
      <c r="G89" s="215">
        <v>42579</v>
      </c>
      <c r="H89" s="216">
        <v>15</v>
      </c>
      <c r="I89" s="448">
        <v>1116481</v>
      </c>
      <c r="J89" s="218">
        <v>19110</v>
      </c>
      <c r="K89" s="219" t="s">
        <v>2355</v>
      </c>
      <c r="L89" s="216" t="s">
        <v>2332</v>
      </c>
      <c r="M89" s="218" t="s">
        <v>2422</v>
      </c>
    </row>
    <row r="90" spans="1:13" ht="15" customHeight="1" outlineLevel="2">
      <c r="A90" s="210">
        <v>79</v>
      </c>
      <c r="B90" s="211" t="s">
        <v>2266</v>
      </c>
      <c r="C90" s="212">
        <v>8000000</v>
      </c>
      <c r="D90" s="211">
        <v>10292075</v>
      </c>
      <c r="E90" s="213" t="s">
        <v>2265</v>
      </c>
      <c r="F90" s="214"/>
      <c r="G90" s="215">
        <v>42577</v>
      </c>
      <c r="H90" s="216">
        <v>16</v>
      </c>
      <c r="I90" s="448">
        <v>682956</v>
      </c>
      <c r="J90" s="218">
        <v>19110</v>
      </c>
      <c r="K90" s="219" t="s">
        <v>2355</v>
      </c>
      <c r="L90" s="216" t="s">
        <v>2332</v>
      </c>
      <c r="M90" s="218" t="s">
        <v>2422</v>
      </c>
    </row>
    <row r="91" spans="1:13" ht="15" customHeight="1" outlineLevel="1">
      <c r="A91" s="210"/>
      <c r="B91" s="211"/>
      <c r="C91" s="212"/>
      <c r="D91" s="211"/>
      <c r="E91" s="213"/>
      <c r="F91" s="214">
        <f>SUBTOTAL(9,F70:F90)</f>
        <v>28286442.179999996</v>
      </c>
      <c r="G91" s="215"/>
      <c r="H91" s="216"/>
      <c r="I91" s="448">
        <f>SUBTOTAL(9,I70:I90)</f>
        <v>30881310.240000024</v>
      </c>
      <c r="J91" s="218"/>
      <c r="K91" s="219"/>
      <c r="L91" s="222" t="s">
        <v>2428</v>
      </c>
      <c r="M91" s="225">
        <f>SUBTOTAL(9,M70:M90)</f>
        <v>0</v>
      </c>
    </row>
    <row r="92" spans="1:13" ht="15" customHeight="1">
      <c r="A92" s="210"/>
      <c r="B92" s="211"/>
      <c r="C92" s="212"/>
      <c r="D92" s="211"/>
      <c r="E92" s="213"/>
      <c r="F92" s="214">
        <f>SUBTOTAL(9,F7:F90)</f>
        <v>55440598.820000023</v>
      </c>
      <c r="G92" s="215"/>
      <c r="H92" s="216"/>
      <c r="I92" s="448">
        <f>SUBTOTAL(9,I7:I90)</f>
        <v>194099720.79999977</v>
      </c>
      <c r="J92" s="218"/>
      <c r="K92" s="219"/>
      <c r="L92" s="222" t="s">
        <v>2416</v>
      </c>
      <c r="M92" s="225">
        <f>SUBTOTAL(9,M7:M90)</f>
        <v>0</v>
      </c>
    </row>
    <row r="93" spans="1:13">
      <c r="A93" s="210"/>
      <c r="B93" s="211"/>
      <c r="C93" s="212"/>
      <c r="D93" s="211"/>
      <c r="E93" s="213"/>
      <c r="F93" s="214"/>
      <c r="G93" s="215"/>
      <c r="H93" s="216"/>
      <c r="I93" s="217"/>
      <c r="J93" s="218"/>
      <c r="K93" s="219"/>
      <c r="L93" s="216"/>
    </row>
    <row r="94" spans="1:13">
      <c r="A94" s="210"/>
      <c r="B94" s="211"/>
      <c r="C94" s="212"/>
      <c r="D94" s="211"/>
      <c r="E94" s="213"/>
      <c r="F94" s="214"/>
      <c r="G94" s="215"/>
      <c r="H94" s="216"/>
      <c r="I94" s="217"/>
      <c r="J94" s="218"/>
      <c r="K94" s="219"/>
      <c r="L94" s="216"/>
    </row>
    <row r="95" spans="1:13">
      <c r="A95" s="210"/>
      <c r="B95" s="211"/>
      <c r="C95" s="212"/>
      <c r="D95" s="211"/>
      <c r="E95" s="213"/>
      <c r="F95" s="214"/>
      <c r="G95" s="215"/>
      <c r="H95" s="216"/>
      <c r="I95" s="217"/>
      <c r="J95" s="218"/>
      <c r="K95" s="219"/>
      <c r="L95" s="216"/>
    </row>
    <row r="96" spans="1:13">
      <c r="A96" s="210"/>
      <c r="B96" s="211"/>
      <c r="C96" s="212"/>
      <c r="D96" s="211"/>
      <c r="E96" s="213"/>
      <c r="F96" s="214"/>
      <c r="G96" s="215"/>
      <c r="H96" s="216"/>
      <c r="I96" s="217"/>
      <c r="J96" s="218"/>
      <c r="K96" s="219"/>
      <c r="L96" s="216"/>
    </row>
    <row r="97" spans="1:12">
      <c r="A97" s="210"/>
      <c r="B97" s="211"/>
      <c r="C97" s="212"/>
      <c r="D97" s="211"/>
      <c r="E97" s="213"/>
      <c r="F97" s="214"/>
      <c r="G97" s="215"/>
      <c r="H97" s="216"/>
      <c r="I97" s="217"/>
      <c r="J97" s="218"/>
      <c r="K97" s="219"/>
      <c r="L97" s="216"/>
    </row>
    <row r="98" spans="1:12">
      <c r="A98" s="210"/>
      <c r="B98" s="211"/>
      <c r="C98" s="212"/>
      <c r="D98" s="211"/>
      <c r="E98" s="213"/>
      <c r="F98" s="214"/>
      <c r="G98" s="215"/>
      <c r="H98" s="216"/>
      <c r="I98" s="217"/>
      <c r="J98" s="218"/>
      <c r="K98" s="219"/>
      <c r="L98" s="216"/>
    </row>
    <row r="99" spans="1:12">
      <c r="A99" s="210"/>
      <c r="B99" s="211"/>
      <c r="C99" s="212"/>
      <c r="D99" s="211"/>
      <c r="E99" s="213"/>
      <c r="F99" s="214"/>
      <c r="G99" s="215"/>
      <c r="H99" s="216"/>
      <c r="I99" s="217"/>
      <c r="J99" s="218"/>
      <c r="K99" s="219"/>
      <c r="L99" s="216"/>
    </row>
    <row r="100" spans="1:12">
      <c r="A100" s="210"/>
      <c r="B100" s="211"/>
      <c r="C100" s="212"/>
      <c r="D100" s="211"/>
      <c r="E100" s="213"/>
      <c r="F100" s="214"/>
      <c r="G100" s="215"/>
      <c r="H100" s="216"/>
      <c r="I100" s="217"/>
      <c r="J100" s="218"/>
      <c r="K100" s="219"/>
      <c r="L100" s="216"/>
    </row>
    <row r="101" spans="1:12">
      <c r="A101" s="210"/>
      <c r="B101" s="211"/>
      <c r="C101" s="212"/>
      <c r="D101" s="211"/>
      <c r="E101" s="213"/>
      <c r="F101" s="214"/>
      <c r="G101" s="215"/>
      <c r="H101" s="216"/>
      <c r="I101" s="217"/>
      <c r="J101" s="218"/>
      <c r="K101" s="219"/>
      <c r="L101" s="216"/>
    </row>
    <row r="102" spans="1:12">
      <c r="A102" s="210"/>
      <c r="B102" s="211"/>
      <c r="C102" s="212"/>
      <c r="D102" s="211"/>
      <c r="E102" s="213"/>
      <c r="F102" s="214"/>
      <c r="G102" s="215"/>
      <c r="H102" s="216"/>
      <c r="I102" s="217"/>
      <c r="J102" s="218"/>
      <c r="K102" s="219"/>
      <c r="L102" s="216"/>
    </row>
    <row r="103" spans="1:12">
      <c r="A103" s="210"/>
      <c r="B103" s="211"/>
      <c r="C103" s="212"/>
      <c r="D103" s="211"/>
      <c r="E103" s="213"/>
      <c r="F103" s="214"/>
      <c r="G103" s="215"/>
      <c r="H103" s="216"/>
      <c r="I103" s="217"/>
      <c r="J103" s="218"/>
      <c r="K103" s="219"/>
      <c r="L103" s="216"/>
    </row>
    <row r="104" spans="1:12">
      <c r="A104" s="210"/>
      <c r="B104" s="211"/>
      <c r="C104" s="212"/>
      <c r="D104" s="211"/>
      <c r="E104" s="213"/>
      <c r="F104" s="214"/>
      <c r="G104" s="215"/>
      <c r="H104" s="216"/>
      <c r="I104" s="217"/>
      <c r="J104" s="218"/>
      <c r="K104" s="219"/>
      <c r="L104" s="216"/>
    </row>
    <row r="105" spans="1:12">
      <c r="A105" s="210"/>
      <c r="B105" s="211"/>
      <c r="C105" s="212"/>
      <c r="D105" s="211"/>
      <c r="E105" s="213"/>
      <c r="F105" s="214"/>
      <c r="G105" s="215"/>
      <c r="H105" s="216"/>
      <c r="I105" s="217"/>
      <c r="J105" s="218"/>
      <c r="K105" s="219"/>
      <c r="L105" s="216"/>
    </row>
    <row r="106" spans="1:12">
      <c r="A106" s="210"/>
      <c r="B106" s="211"/>
      <c r="C106" s="212"/>
      <c r="D106" s="211"/>
      <c r="E106" s="213"/>
      <c r="F106" s="214"/>
      <c r="G106" s="215"/>
      <c r="H106" s="216"/>
      <c r="I106" s="217"/>
      <c r="J106" s="218"/>
      <c r="K106" s="219"/>
      <c r="L106" s="216"/>
    </row>
    <row r="107" spans="1:12">
      <c r="A107" s="210"/>
      <c r="B107" s="211"/>
      <c r="C107" s="212"/>
      <c r="D107" s="211"/>
      <c r="E107" s="213"/>
      <c r="F107" s="214"/>
      <c r="G107" s="215"/>
      <c r="H107" s="216"/>
      <c r="I107" s="217"/>
      <c r="J107" s="218"/>
      <c r="K107" s="219"/>
      <c r="L107" s="216"/>
    </row>
    <row r="108" spans="1:12">
      <c r="A108" s="210"/>
      <c r="B108" s="211"/>
      <c r="C108" s="212"/>
      <c r="D108" s="211"/>
      <c r="E108" s="213"/>
      <c r="F108" s="214"/>
      <c r="G108" s="215"/>
      <c r="H108" s="216"/>
      <c r="I108" s="217"/>
      <c r="J108" s="218"/>
      <c r="K108" s="219"/>
      <c r="L108" s="216"/>
    </row>
    <row r="109" spans="1:12">
      <c r="A109" s="210"/>
      <c r="B109" s="211"/>
      <c r="C109" s="212"/>
      <c r="D109" s="211"/>
      <c r="E109" s="213"/>
      <c r="F109" s="214"/>
      <c r="G109" s="215"/>
      <c r="H109" s="216"/>
      <c r="I109" s="217"/>
      <c r="J109" s="218"/>
      <c r="K109" s="219"/>
      <c r="L109" s="216"/>
    </row>
    <row r="110" spans="1:12">
      <c r="A110" s="210"/>
      <c r="B110" s="211"/>
      <c r="C110" s="212"/>
      <c r="D110" s="211"/>
      <c r="E110" s="213"/>
      <c r="F110" s="214"/>
      <c r="G110" s="215"/>
      <c r="H110" s="216"/>
      <c r="I110" s="217"/>
      <c r="J110" s="218"/>
      <c r="K110" s="219"/>
      <c r="L110" s="216"/>
    </row>
    <row r="111" spans="1:12">
      <c r="A111" s="210"/>
      <c r="B111" s="211"/>
      <c r="C111" s="212"/>
      <c r="D111" s="211"/>
      <c r="E111" s="213"/>
      <c r="F111" s="214"/>
      <c r="G111" s="215"/>
      <c r="H111" s="216"/>
      <c r="I111" s="217"/>
      <c r="J111" s="218"/>
      <c r="K111" s="219"/>
      <c r="L111" s="216"/>
    </row>
    <row r="112" spans="1:12">
      <c r="A112" s="210"/>
      <c r="B112" s="211"/>
      <c r="C112" s="212"/>
      <c r="D112" s="211"/>
      <c r="E112" s="213"/>
      <c r="F112" s="214"/>
      <c r="G112" s="215"/>
      <c r="H112" s="216"/>
      <c r="I112" s="217"/>
      <c r="J112" s="218"/>
      <c r="K112" s="219"/>
      <c r="L112" s="216"/>
    </row>
    <row r="113" spans="1:12">
      <c r="A113" s="210"/>
      <c r="B113" s="211"/>
      <c r="C113" s="212"/>
      <c r="D113" s="211"/>
      <c r="E113" s="213"/>
      <c r="F113" s="214"/>
      <c r="G113" s="215"/>
      <c r="H113" s="216"/>
      <c r="I113" s="217"/>
      <c r="J113" s="218"/>
      <c r="K113" s="219"/>
      <c r="L113" s="216"/>
    </row>
    <row r="114" spans="1:12">
      <c r="A114" s="210"/>
      <c r="B114" s="211"/>
      <c r="C114" s="212"/>
      <c r="D114" s="211"/>
      <c r="E114" s="213"/>
      <c r="F114" s="214"/>
      <c r="G114" s="215"/>
      <c r="H114" s="216"/>
      <c r="I114" s="217"/>
      <c r="J114" s="218"/>
      <c r="K114" s="219"/>
      <c r="L114" s="216"/>
    </row>
    <row r="115" spans="1:12">
      <c r="A115" s="210"/>
      <c r="B115" s="211"/>
      <c r="C115" s="212"/>
      <c r="D115" s="211"/>
      <c r="E115" s="213"/>
      <c r="F115" s="214"/>
      <c r="G115" s="215"/>
      <c r="H115" s="216"/>
      <c r="I115" s="217"/>
      <c r="J115" s="218"/>
      <c r="K115" s="219"/>
      <c r="L115" s="216"/>
    </row>
    <row r="116" spans="1:12">
      <c r="A116" s="210"/>
      <c r="B116" s="211"/>
      <c r="C116" s="212"/>
      <c r="D116" s="211"/>
      <c r="E116" s="213"/>
      <c r="F116" s="214"/>
      <c r="G116" s="215"/>
      <c r="H116" s="216"/>
      <c r="I116" s="217"/>
      <c r="J116" s="218"/>
      <c r="K116" s="219"/>
      <c r="L116" s="216"/>
    </row>
    <row r="117" spans="1:12">
      <c r="A117" s="210"/>
      <c r="B117" s="211"/>
      <c r="C117" s="212"/>
      <c r="D117" s="211"/>
      <c r="E117" s="213"/>
      <c r="F117" s="214"/>
      <c r="G117" s="215"/>
      <c r="H117" s="216"/>
      <c r="I117" s="217"/>
      <c r="J117" s="218"/>
      <c r="K117" s="219"/>
      <c r="L117" s="216"/>
    </row>
    <row r="118" spans="1:12">
      <c r="A118" s="210"/>
      <c r="B118" s="211"/>
      <c r="C118" s="212"/>
      <c r="D118" s="211"/>
      <c r="E118" s="213"/>
      <c r="F118" s="214"/>
      <c r="G118" s="215"/>
      <c r="H118" s="216"/>
      <c r="I118" s="217"/>
      <c r="J118" s="218"/>
      <c r="K118" s="219"/>
      <c r="L118" s="216"/>
    </row>
    <row r="119" spans="1:12">
      <c r="A119" s="210"/>
      <c r="B119" s="211"/>
      <c r="C119" s="212"/>
      <c r="D119" s="211"/>
      <c r="E119" s="213"/>
      <c r="F119" s="214"/>
      <c r="G119" s="215"/>
      <c r="H119" s="216"/>
      <c r="I119" s="217"/>
      <c r="J119" s="218"/>
      <c r="K119" s="219"/>
      <c r="L119" s="216"/>
    </row>
    <row r="120" spans="1:12">
      <c r="A120" s="210"/>
      <c r="B120" s="211"/>
      <c r="C120" s="212"/>
      <c r="D120" s="211"/>
      <c r="E120" s="213"/>
      <c r="F120" s="214"/>
      <c r="G120" s="215"/>
      <c r="H120" s="216"/>
      <c r="I120" s="217"/>
      <c r="J120" s="218"/>
      <c r="K120" s="219"/>
      <c r="L120" s="216"/>
    </row>
    <row r="121" spans="1:12">
      <c r="A121" s="210"/>
      <c r="B121" s="211"/>
      <c r="C121" s="212"/>
      <c r="D121" s="211"/>
      <c r="E121" s="213"/>
      <c r="F121" s="214"/>
      <c r="G121" s="215"/>
      <c r="H121" s="216"/>
      <c r="I121" s="217"/>
      <c r="J121" s="218"/>
      <c r="K121" s="219"/>
      <c r="L121" s="216"/>
    </row>
    <row r="122" spans="1:12">
      <c r="A122" s="210"/>
      <c r="B122" s="211"/>
      <c r="C122" s="212"/>
      <c r="D122" s="211"/>
      <c r="E122" s="213"/>
      <c r="F122" s="214"/>
      <c r="G122" s="215"/>
      <c r="H122" s="216"/>
      <c r="I122" s="217"/>
      <c r="J122" s="218"/>
      <c r="K122" s="219"/>
      <c r="L122" s="216"/>
    </row>
    <row r="123" spans="1:12">
      <c r="A123" s="210"/>
      <c r="B123" s="211"/>
      <c r="C123" s="212"/>
      <c r="D123" s="211"/>
      <c r="E123" s="213"/>
      <c r="F123" s="214"/>
      <c r="G123" s="215"/>
      <c r="H123" s="216"/>
      <c r="I123" s="217"/>
      <c r="J123" s="218"/>
      <c r="K123" s="219"/>
      <c r="L123" s="216"/>
    </row>
    <row r="124" spans="1:12">
      <c r="A124" s="210"/>
      <c r="B124" s="211"/>
      <c r="C124" s="212"/>
      <c r="D124" s="211"/>
      <c r="E124" s="213"/>
      <c r="F124" s="214"/>
      <c r="G124" s="215"/>
      <c r="H124" s="216"/>
      <c r="I124" s="217"/>
      <c r="J124" s="218"/>
      <c r="K124" s="219"/>
      <c r="L124" s="216"/>
    </row>
    <row r="125" spans="1:12">
      <c r="A125" s="210"/>
      <c r="B125" s="211"/>
      <c r="C125" s="212"/>
      <c r="D125" s="211"/>
      <c r="E125" s="213"/>
      <c r="F125" s="214"/>
      <c r="G125" s="215"/>
      <c r="H125" s="216"/>
      <c r="I125" s="217"/>
      <c r="J125" s="218"/>
      <c r="K125" s="219"/>
      <c r="L125" s="216"/>
    </row>
    <row r="126" spans="1:12">
      <c r="A126" s="210"/>
      <c r="B126" s="211"/>
      <c r="C126" s="212"/>
      <c r="D126" s="211"/>
      <c r="E126" s="213"/>
      <c r="F126" s="214"/>
      <c r="G126" s="215"/>
      <c r="H126" s="216"/>
      <c r="I126" s="217"/>
      <c r="J126" s="218"/>
      <c r="K126" s="219"/>
      <c r="L126" s="216"/>
    </row>
    <row r="127" spans="1:12">
      <c r="A127" s="210"/>
      <c r="B127" s="211"/>
      <c r="C127" s="212"/>
      <c r="D127" s="211"/>
      <c r="E127" s="213"/>
      <c r="F127" s="214"/>
      <c r="G127" s="215"/>
      <c r="H127" s="216"/>
      <c r="I127" s="217"/>
      <c r="J127" s="218"/>
      <c r="K127" s="219"/>
      <c r="L127" s="216"/>
    </row>
    <row r="128" spans="1:12">
      <c r="A128" s="210"/>
      <c r="B128" s="211"/>
      <c r="C128" s="212"/>
      <c r="D128" s="211"/>
      <c r="E128" s="213"/>
      <c r="F128" s="214"/>
      <c r="G128" s="215"/>
      <c r="H128" s="216"/>
      <c r="I128" s="217"/>
      <c r="J128" s="218"/>
      <c r="K128" s="219"/>
      <c r="L128" s="216"/>
    </row>
    <row r="129" spans="1:12">
      <c r="A129" s="210"/>
      <c r="B129" s="211"/>
      <c r="C129" s="212"/>
      <c r="D129" s="211"/>
      <c r="E129" s="213"/>
      <c r="F129" s="214"/>
      <c r="G129" s="215"/>
      <c r="H129" s="216"/>
      <c r="I129" s="217"/>
      <c r="J129" s="218"/>
      <c r="K129" s="219"/>
      <c r="L129" s="216"/>
    </row>
    <row r="130" spans="1:12">
      <c r="A130" s="210"/>
      <c r="B130" s="211"/>
      <c r="C130" s="212"/>
      <c r="D130" s="211"/>
      <c r="E130" s="213"/>
      <c r="F130" s="214"/>
      <c r="G130" s="215"/>
      <c r="H130" s="216"/>
      <c r="I130" s="217"/>
      <c r="J130" s="218"/>
      <c r="K130" s="219"/>
      <c r="L130" s="216"/>
    </row>
    <row r="131" spans="1:12">
      <c r="A131" s="210"/>
      <c r="B131" s="211"/>
      <c r="C131" s="212"/>
      <c r="D131" s="211"/>
      <c r="E131" s="213"/>
      <c r="F131" s="214"/>
      <c r="G131" s="215"/>
      <c r="H131" s="216"/>
      <c r="I131" s="217"/>
      <c r="J131" s="218"/>
      <c r="K131" s="219"/>
      <c r="L131" s="216"/>
    </row>
    <row r="132" spans="1:12">
      <c r="A132" s="210"/>
      <c r="B132" s="211"/>
      <c r="C132" s="212"/>
      <c r="D132" s="211"/>
      <c r="E132" s="213"/>
      <c r="F132" s="214"/>
      <c r="G132" s="215"/>
      <c r="H132" s="216"/>
      <c r="I132" s="217"/>
      <c r="J132" s="218"/>
      <c r="K132" s="219"/>
      <c r="L132" s="216"/>
    </row>
    <row r="133" spans="1:12">
      <c r="A133" s="210"/>
      <c r="B133" s="211"/>
      <c r="C133" s="212"/>
      <c r="D133" s="211"/>
      <c r="E133" s="213"/>
      <c r="F133" s="214"/>
      <c r="G133" s="215"/>
      <c r="H133" s="216"/>
      <c r="I133" s="217"/>
      <c r="J133" s="218"/>
      <c r="K133" s="219"/>
      <c r="L133" s="216"/>
    </row>
    <row r="134" spans="1:12">
      <c r="A134" s="210"/>
      <c r="B134" s="211"/>
      <c r="C134" s="212"/>
      <c r="D134" s="211"/>
      <c r="E134" s="213"/>
      <c r="F134" s="214"/>
      <c r="G134" s="215"/>
      <c r="H134" s="216"/>
      <c r="I134" s="217"/>
      <c r="J134" s="218"/>
      <c r="K134" s="219"/>
      <c r="L134" s="216"/>
    </row>
    <row r="135" spans="1:12">
      <c r="A135" s="210"/>
      <c r="B135" s="211"/>
      <c r="C135" s="212"/>
      <c r="D135" s="211"/>
      <c r="E135" s="213"/>
      <c r="F135" s="214"/>
      <c r="G135" s="215"/>
      <c r="H135" s="216"/>
      <c r="I135" s="217"/>
      <c r="J135" s="218"/>
      <c r="K135" s="219"/>
      <c r="L135" s="216"/>
    </row>
    <row r="136" spans="1:12">
      <c r="A136" s="210"/>
      <c r="B136" s="211"/>
      <c r="C136" s="212"/>
      <c r="D136" s="211"/>
      <c r="E136" s="213"/>
      <c r="F136" s="214"/>
      <c r="G136" s="215"/>
      <c r="H136" s="216"/>
      <c r="I136" s="217"/>
      <c r="J136" s="218"/>
      <c r="K136" s="219"/>
      <c r="L136" s="216"/>
    </row>
    <row r="137" spans="1:12">
      <c r="A137" s="210"/>
      <c r="B137" s="211"/>
      <c r="C137" s="212"/>
      <c r="D137" s="211"/>
      <c r="E137" s="213"/>
      <c r="F137" s="214"/>
      <c r="G137" s="215"/>
      <c r="H137" s="216"/>
      <c r="I137" s="217"/>
      <c r="J137" s="218"/>
      <c r="K137" s="219"/>
      <c r="L137" s="216"/>
    </row>
    <row r="138" spans="1:12">
      <c r="A138" s="210"/>
      <c r="B138" s="211"/>
      <c r="C138" s="212"/>
      <c r="D138" s="211"/>
      <c r="E138" s="213"/>
      <c r="F138" s="214"/>
      <c r="G138" s="215"/>
      <c r="H138" s="216"/>
      <c r="I138" s="217"/>
      <c r="J138" s="218"/>
      <c r="K138" s="219"/>
      <c r="L138" s="216"/>
    </row>
    <row r="139" spans="1:12">
      <c r="A139" s="210"/>
      <c r="B139" s="211"/>
      <c r="C139" s="212"/>
      <c r="D139" s="211"/>
      <c r="E139" s="213"/>
      <c r="F139" s="214"/>
      <c r="G139" s="215"/>
      <c r="H139" s="216"/>
      <c r="I139" s="217"/>
      <c r="J139" s="218"/>
      <c r="K139" s="219"/>
      <c r="L139" s="216"/>
    </row>
    <row r="140" spans="1:12">
      <c r="A140" s="210"/>
      <c r="B140" s="211"/>
      <c r="C140" s="212"/>
      <c r="D140" s="211"/>
      <c r="E140" s="213"/>
      <c r="F140" s="214"/>
      <c r="G140" s="215"/>
      <c r="H140" s="216"/>
      <c r="I140" s="217"/>
      <c r="J140" s="218"/>
      <c r="K140" s="219"/>
      <c r="L140" s="216"/>
    </row>
    <row r="141" spans="1:12">
      <c r="A141" s="210"/>
      <c r="B141" s="211"/>
      <c r="C141" s="212"/>
      <c r="D141" s="211"/>
      <c r="E141" s="213"/>
      <c r="F141" s="214"/>
      <c r="G141" s="215"/>
      <c r="H141" s="216"/>
      <c r="I141" s="217"/>
      <c r="J141" s="218"/>
      <c r="K141" s="219"/>
      <c r="L141" s="216"/>
    </row>
    <row r="142" spans="1:12">
      <c r="A142" s="210"/>
      <c r="B142" s="211"/>
      <c r="C142" s="212"/>
      <c r="D142" s="211"/>
      <c r="E142" s="213"/>
      <c r="F142" s="214"/>
      <c r="G142" s="215"/>
      <c r="H142" s="216"/>
      <c r="I142" s="217"/>
      <c r="J142" s="218"/>
      <c r="K142" s="219"/>
      <c r="L142" s="216"/>
    </row>
    <row r="143" spans="1:12">
      <c r="A143" s="210"/>
      <c r="B143" s="211"/>
      <c r="C143" s="212"/>
      <c r="D143" s="211"/>
      <c r="E143" s="213"/>
      <c r="F143" s="214"/>
      <c r="G143" s="215"/>
      <c r="H143" s="216"/>
      <c r="I143" s="217"/>
      <c r="J143" s="218"/>
      <c r="K143" s="219"/>
      <c r="L143" s="216"/>
    </row>
    <row r="144" spans="1:12">
      <c r="A144" s="210"/>
      <c r="B144" s="211"/>
      <c r="C144" s="212"/>
      <c r="D144" s="211"/>
      <c r="E144" s="213"/>
      <c r="F144" s="214"/>
      <c r="G144" s="215"/>
      <c r="H144" s="216"/>
      <c r="I144" s="217"/>
      <c r="J144" s="218"/>
      <c r="K144" s="219"/>
      <c r="L144" s="216"/>
    </row>
    <row r="145" spans="1:12">
      <c r="A145" s="210"/>
      <c r="B145" s="211"/>
      <c r="C145" s="212"/>
      <c r="D145" s="211"/>
      <c r="E145" s="213"/>
      <c r="F145" s="214"/>
      <c r="G145" s="215"/>
      <c r="H145" s="216"/>
      <c r="I145" s="217"/>
      <c r="J145" s="218"/>
      <c r="K145" s="219"/>
      <c r="L145" s="216"/>
    </row>
    <row r="146" spans="1:12">
      <c r="A146" s="210"/>
      <c r="B146" s="211"/>
      <c r="C146" s="212"/>
      <c r="D146" s="211"/>
      <c r="E146" s="213"/>
      <c r="F146" s="214"/>
      <c r="G146" s="215"/>
      <c r="H146" s="216"/>
      <c r="I146" s="217"/>
      <c r="J146" s="218"/>
      <c r="K146" s="219"/>
      <c r="L146" s="216"/>
    </row>
    <row r="147" spans="1:12">
      <c r="A147" s="210"/>
      <c r="B147" s="211"/>
      <c r="C147" s="212"/>
      <c r="D147" s="211"/>
      <c r="E147" s="213"/>
      <c r="F147" s="214"/>
      <c r="G147" s="215"/>
      <c r="H147" s="216"/>
      <c r="I147" s="217"/>
      <c r="J147" s="218"/>
      <c r="K147" s="219"/>
      <c r="L147" s="216"/>
    </row>
    <row r="148" spans="1:12">
      <c r="A148" s="210"/>
      <c r="B148" s="211"/>
      <c r="C148" s="212"/>
      <c r="D148" s="211"/>
      <c r="E148" s="213"/>
      <c r="F148" s="214"/>
      <c r="G148" s="215"/>
      <c r="H148" s="216"/>
      <c r="I148" s="217"/>
      <c r="J148" s="218"/>
      <c r="K148" s="219"/>
      <c r="L148" s="216"/>
    </row>
    <row r="149" spans="1:12">
      <c r="A149" s="210"/>
      <c r="B149" s="211"/>
      <c r="C149" s="212"/>
      <c r="D149" s="211"/>
      <c r="E149" s="213"/>
      <c r="F149" s="214"/>
      <c r="G149" s="215"/>
      <c r="H149" s="216"/>
      <c r="I149" s="217"/>
      <c r="J149" s="218"/>
      <c r="K149" s="219"/>
      <c r="L149" s="216"/>
    </row>
    <row r="150" spans="1:12">
      <c r="A150" s="210"/>
      <c r="B150" s="211"/>
      <c r="C150" s="212"/>
      <c r="D150" s="211"/>
      <c r="E150" s="213"/>
      <c r="F150" s="214"/>
      <c r="G150" s="215"/>
      <c r="H150" s="216"/>
      <c r="I150" s="217"/>
      <c r="J150" s="218"/>
      <c r="K150" s="219"/>
      <c r="L150" s="216"/>
    </row>
    <row r="151" spans="1:12">
      <c r="A151" s="210"/>
      <c r="B151" s="211"/>
      <c r="C151" s="212"/>
      <c r="D151" s="211"/>
      <c r="E151" s="213"/>
      <c r="F151" s="214"/>
      <c r="G151" s="215"/>
      <c r="H151" s="216"/>
      <c r="I151" s="217"/>
      <c r="J151" s="218"/>
      <c r="K151" s="219"/>
      <c r="L151" s="216"/>
    </row>
    <row r="152" spans="1:12">
      <c r="A152" s="210"/>
      <c r="B152" s="211"/>
      <c r="C152" s="212"/>
      <c r="D152" s="211"/>
      <c r="E152" s="213"/>
      <c r="F152" s="214"/>
      <c r="G152" s="215"/>
      <c r="H152" s="216"/>
      <c r="I152" s="217"/>
      <c r="J152" s="218"/>
      <c r="K152" s="219"/>
      <c r="L152" s="216"/>
    </row>
    <row r="153" spans="1:12">
      <c r="A153" s="210"/>
      <c r="B153" s="211"/>
      <c r="C153" s="212"/>
      <c r="D153" s="211"/>
      <c r="E153" s="213"/>
      <c r="F153" s="214"/>
      <c r="G153" s="215"/>
      <c r="H153" s="216"/>
      <c r="I153" s="217"/>
      <c r="J153" s="218"/>
      <c r="K153" s="219"/>
      <c r="L153" s="216"/>
    </row>
    <row r="154" spans="1:12">
      <c r="A154" s="210"/>
      <c r="B154" s="211"/>
      <c r="C154" s="212"/>
      <c r="D154" s="211"/>
      <c r="E154" s="213"/>
      <c r="F154" s="214"/>
      <c r="G154" s="215"/>
      <c r="H154" s="216"/>
      <c r="I154" s="217"/>
      <c r="J154" s="218"/>
      <c r="K154" s="219"/>
      <c r="L154" s="216"/>
    </row>
    <row r="155" spans="1:12">
      <c r="A155" s="210"/>
      <c r="B155" s="211"/>
      <c r="C155" s="212"/>
      <c r="D155" s="211"/>
      <c r="E155" s="213"/>
      <c r="F155" s="214"/>
      <c r="G155" s="215"/>
      <c r="H155" s="216"/>
      <c r="I155" s="217"/>
      <c r="J155" s="218"/>
      <c r="K155" s="219"/>
      <c r="L155" s="216"/>
    </row>
    <row r="156" spans="1:12">
      <c r="A156" s="210"/>
      <c r="B156" s="211"/>
      <c r="C156" s="212"/>
      <c r="D156" s="211"/>
      <c r="E156" s="213"/>
      <c r="F156" s="214"/>
      <c r="G156" s="215"/>
      <c r="H156" s="216"/>
      <c r="I156" s="217"/>
      <c r="J156" s="218"/>
      <c r="K156" s="219"/>
      <c r="L156" s="216"/>
    </row>
    <row r="157" spans="1:12">
      <c r="A157" s="210"/>
      <c r="B157" s="211"/>
      <c r="C157" s="212"/>
      <c r="D157" s="211"/>
      <c r="E157" s="213"/>
      <c r="F157" s="214"/>
      <c r="G157" s="215"/>
      <c r="H157" s="216"/>
      <c r="I157" s="217"/>
      <c r="J157" s="218"/>
      <c r="K157" s="219"/>
      <c r="L157" s="216"/>
    </row>
    <row r="158" spans="1:12">
      <c r="A158" s="210"/>
      <c r="B158" s="211"/>
      <c r="C158" s="212"/>
      <c r="D158" s="211"/>
      <c r="E158" s="213"/>
      <c r="F158" s="214"/>
      <c r="G158" s="215"/>
      <c r="H158" s="216"/>
      <c r="I158" s="217"/>
      <c r="J158" s="218"/>
      <c r="K158" s="219"/>
      <c r="L158" s="216"/>
    </row>
    <row r="159" spans="1:12">
      <c r="A159" s="210"/>
      <c r="B159" s="211"/>
      <c r="C159" s="212"/>
      <c r="D159" s="211"/>
      <c r="E159" s="213"/>
      <c r="F159" s="214"/>
      <c r="G159" s="215"/>
      <c r="H159" s="216"/>
      <c r="I159" s="217"/>
      <c r="J159" s="218"/>
      <c r="K159" s="219"/>
      <c r="L159" s="216"/>
    </row>
    <row r="160" spans="1:12">
      <c r="A160" s="210"/>
      <c r="B160" s="211"/>
      <c r="C160" s="212"/>
      <c r="D160" s="211"/>
      <c r="E160" s="213"/>
      <c r="F160" s="214"/>
      <c r="G160" s="215"/>
      <c r="H160" s="216"/>
      <c r="I160" s="217"/>
      <c r="J160" s="218"/>
      <c r="K160" s="219"/>
      <c r="L160" s="216"/>
    </row>
    <row r="161" spans="1:12">
      <c r="A161" s="210"/>
      <c r="B161" s="211"/>
      <c r="C161" s="212"/>
      <c r="D161" s="211"/>
      <c r="E161" s="213"/>
      <c r="F161" s="214"/>
      <c r="G161" s="215"/>
      <c r="H161" s="216"/>
      <c r="I161" s="217"/>
      <c r="J161" s="218"/>
      <c r="K161" s="219"/>
      <c r="L161" s="216"/>
    </row>
    <row r="162" spans="1:12">
      <c r="A162" s="210"/>
      <c r="B162" s="211"/>
      <c r="C162" s="212"/>
      <c r="D162" s="211"/>
      <c r="E162" s="213"/>
      <c r="F162" s="214"/>
      <c r="G162" s="215"/>
      <c r="H162" s="216"/>
      <c r="I162" s="217"/>
      <c r="J162" s="218"/>
      <c r="K162" s="219"/>
      <c r="L162" s="216"/>
    </row>
    <row r="163" spans="1:12">
      <c r="A163" s="210"/>
      <c r="B163" s="211"/>
      <c r="C163" s="212"/>
      <c r="D163" s="211"/>
      <c r="E163" s="213"/>
      <c r="F163" s="214"/>
      <c r="G163" s="215"/>
      <c r="H163" s="216"/>
      <c r="I163" s="217"/>
      <c r="J163" s="218"/>
      <c r="K163" s="219"/>
      <c r="L163" s="216"/>
    </row>
    <row r="164" spans="1:12">
      <c r="A164" s="210"/>
      <c r="B164" s="211"/>
      <c r="C164" s="212"/>
      <c r="D164" s="211"/>
      <c r="E164" s="213"/>
      <c r="F164" s="214"/>
      <c r="G164" s="215"/>
      <c r="H164" s="216"/>
      <c r="I164" s="217"/>
      <c r="J164" s="218"/>
      <c r="K164" s="219"/>
      <c r="L164" s="216"/>
    </row>
    <row r="165" spans="1:12">
      <c r="A165" s="210"/>
      <c r="B165" s="211"/>
      <c r="C165" s="212"/>
      <c r="D165" s="211"/>
      <c r="E165" s="213"/>
      <c r="F165" s="214"/>
      <c r="G165" s="215"/>
      <c r="H165" s="216"/>
      <c r="I165" s="217"/>
      <c r="J165" s="218"/>
      <c r="K165" s="219"/>
      <c r="L165" s="216"/>
    </row>
    <row r="166" spans="1:12">
      <c r="A166" s="210"/>
      <c r="B166" s="211"/>
      <c r="C166" s="212"/>
      <c r="D166" s="211"/>
      <c r="E166" s="213"/>
      <c r="F166" s="214"/>
      <c r="G166" s="215"/>
      <c r="H166" s="216"/>
      <c r="I166" s="217"/>
      <c r="J166" s="218"/>
      <c r="K166" s="219"/>
      <c r="L166" s="216"/>
    </row>
    <row r="167" spans="1:12">
      <c r="A167" s="210"/>
      <c r="B167" s="211"/>
      <c r="C167" s="212"/>
      <c r="D167" s="211"/>
      <c r="E167" s="213"/>
      <c r="F167" s="214"/>
      <c r="G167" s="215"/>
      <c r="H167" s="216"/>
      <c r="I167" s="217"/>
      <c r="J167" s="218"/>
      <c r="K167" s="219"/>
      <c r="L167" s="216"/>
    </row>
    <row r="168" spans="1:12">
      <c r="A168" s="210"/>
      <c r="B168" s="211"/>
      <c r="C168" s="212"/>
      <c r="D168" s="211"/>
      <c r="E168" s="213"/>
      <c r="F168" s="214"/>
      <c r="G168" s="215"/>
      <c r="H168" s="216"/>
      <c r="I168" s="217"/>
      <c r="J168" s="218"/>
      <c r="K168" s="219"/>
      <c r="L168" s="216"/>
    </row>
    <row r="169" spans="1:12">
      <c r="A169" s="210"/>
      <c r="B169" s="211"/>
      <c r="C169" s="212"/>
      <c r="D169" s="211"/>
      <c r="E169" s="213"/>
      <c r="F169" s="214"/>
      <c r="G169" s="215"/>
      <c r="H169" s="216"/>
      <c r="I169" s="217"/>
      <c r="J169" s="218"/>
      <c r="K169" s="219"/>
      <c r="L169" s="216"/>
    </row>
    <row r="170" spans="1:12">
      <c r="A170" s="210"/>
      <c r="B170" s="211"/>
      <c r="C170" s="212"/>
      <c r="D170" s="211"/>
      <c r="E170" s="213"/>
      <c r="F170" s="214"/>
      <c r="G170" s="215"/>
      <c r="H170" s="216"/>
      <c r="I170" s="217"/>
      <c r="J170" s="218"/>
      <c r="K170" s="219"/>
      <c r="L170" s="216"/>
    </row>
    <row r="171" spans="1:12">
      <c r="A171" s="210"/>
      <c r="B171" s="211"/>
      <c r="C171" s="212"/>
      <c r="D171" s="211"/>
      <c r="E171" s="213"/>
      <c r="F171" s="214"/>
      <c r="G171" s="215"/>
      <c r="H171" s="216"/>
      <c r="I171" s="217"/>
      <c r="J171" s="218"/>
      <c r="K171" s="219"/>
      <c r="L171" s="216"/>
    </row>
    <row r="172" spans="1:12">
      <c r="A172" s="210"/>
      <c r="B172" s="211"/>
      <c r="C172" s="212"/>
      <c r="D172" s="211"/>
      <c r="E172" s="213"/>
      <c r="F172" s="214"/>
      <c r="G172" s="215"/>
      <c r="H172" s="216"/>
      <c r="I172" s="217"/>
      <c r="J172" s="218"/>
      <c r="K172" s="219"/>
      <c r="L172" s="216"/>
    </row>
    <row r="173" spans="1:12">
      <c r="A173" s="210"/>
      <c r="B173" s="211"/>
      <c r="C173" s="212"/>
      <c r="D173" s="211"/>
      <c r="E173" s="213"/>
      <c r="F173" s="214"/>
      <c r="G173" s="215"/>
      <c r="H173" s="216"/>
      <c r="I173" s="217"/>
      <c r="J173" s="218"/>
      <c r="K173" s="219"/>
      <c r="L173" s="216"/>
    </row>
    <row r="174" spans="1:12">
      <c r="A174" s="210"/>
      <c r="B174" s="211"/>
      <c r="C174" s="212"/>
      <c r="D174" s="211"/>
      <c r="E174" s="213"/>
      <c r="F174" s="214"/>
      <c r="G174" s="215"/>
      <c r="H174" s="216"/>
      <c r="I174" s="217"/>
      <c r="J174" s="218"/>
      <c r="K174" s="219"/>
      <c r="L174" s="216"/>
    </row>
    <row r="175" spans="1:12">
      <c r="A175" s="210"/>
      <c r="B175" s="211"/>
      <c r="C175" s="212"/>
      <c r="D175" s="211"/>
      <c r="E175" s="213"/>
      <c r="F175" s="214"/>
      <c r="G175" s="215"/>
      <c r="H175" s="216"/>
      <c r="I175" s="217"/>
      <c r="J175" s="218"/>
      <c r="K175" s="219"/>
      <c r="L175" s="216"/>
    </row>
    <row r="176" spans="1:12">
      <c r="A176" s="210"/>
      <c r="B176" s="211"/>
      <c r="C176" s="212"/>
      <c r="D176" s="211"/>
      <c r="E176" s="213"/>
      <c r="F176" s="214"/>
      <c r="G176" s="215"/>
      <c r="H176" s="216"/>
      <c r="I176" s="217"/>
      <c r="J176" s="218"/>
      <c r="K176" s="219"/>
      <c r="L176" s="216"/>
    </row>
    <row r="177" spans="1:12">
      <c r="A177" s="210"/>
      <c r="B177" s="211"/>
      <c r="C177" s="212"/>
      <c r="D177" s="211"/>
      <c r="E177" s="213"/>
      <c r="F177" s="214"/>
      <c r="G177" s="215"/>
      <c r="H177" s="216"/>
      <c r="I177" s="217"/>
      <c r="J177" s="218"/>
      <c r="K177" s="219"/>
      <c r="L177" s="216"/>
    </row>
    <row r="178" spans="1:12">
      <c r="A178" s="210"/>
      <c r="B178" s="211"/>
      <c r="C178" s="212"/>
      <c r="D178" s="211"/>
      <c r="E178" s="213"/>
      <c r="F178" s="214"/>
      <c r="G178" s="215"/>
      <c r="H178" s="216"/>
      <c r="I178" s="217"/>
      <c r="J178" s="218"/>
      <c r="K178" s="219"/>
      <c r="L178" s="216"/>
    </row>
    <row r="179" spans="1:12">
      <c r="A179" s="210"/>
      <c r="B179" s="211"/>
      <c r="C179" s="212"/>
      <c r="D179" s="211"/>
      <c r="E179" s="213"/>
      <c r="F179" s="214"/>
      <c r="G179" s="215"/>
      <c r="H179" s="216"/>
      <c r="I179" s="217"/>
      <c r="J179" s="218"/>
      <c r="K179" s="219"/>
      <c r="L179" s="216"/>
    </row>
    <row r="180" spans="1:12">
      <c r="A180" s="210"/>
      <c r="B180" s="211"/>
      <c r="C180" s="212"/>
      <c r="D180" s="211"/>
      <c r="E180" s="213"/>
      <c r="F180" s="214"/>
      <c r="G180" s="215"/>
      <c r="H180" s="216"/>
      <c r="I180" s="217"/>
      <c r="J180" s="218"/>
      <c r="K180" s="219"/>
      <c r="L180" s="216"/>
    </row>
    <row r="181" spans="1:12">
      <c r="A181" s="210"/>
      <c r="B181" s="211"/>
      <c r="C181" s="212"/>
      <c r="D181" s="211"/>
      <c r="E181" s="213"/>
      <c r="F181" s="214"/>
      <c r="G181" s="215"/>
      <c r="H181" s="216"/>
      <c r="I181" s="217"/>
      <c r="J181" s="218"/>
      <c r="K181" s="219"/>
      <c r="L181" s="216"/>
    </row>
    <row r="182" spans="1:12">
      <c r="A182" s="210"/>
      <c r="B182" s="211"/>
      <c r="C182" s="212"/>
      <c r="D182" s="211"/>
      <c r="E182" s="213"/>
      <c r="F182" s="214"/>
      <c r="G182" s="215"/>
      <c r="H182" s="216"/>
      <c r="I182" s="217"/>
      <c r="J182" s="218"/>
      <c r="K182" s="219"/>
      <c r="L182" s="216"/>
    </row>
    <row r="183" spans="1:12">
      <c r="A183" s="210"/>
      <c r="B183" s="211"/>
      <c r="C183" s="212"/>
      <c r="D183" s="211"/>
      <c r="E183" s="213"/>
      <c r="F183" s="214"/>
      <c r="G183" s="215"/>
      <c r="H183" s="216"/>
      <c r="I183" s="217"/>
      <c r="J183" s="218"/>
      <c r="K183" s="219"/>
      <c r="L183" s="216"/>
    </row>
    <row r="184" spans="1:12">
      <c r="A184" s="210"/>
      <c r="B184" s="211"/>
      <c r="C184" s="212"/>
      <c r="D184" s="211"/>
      <c r="E184" s="213"/>
      <c r="F184" s="214"/>
      <c r="G184" s="215"/>
      <c r="H184" s="216"/>
      <c r="I184" s="217"/>
      <c r="J184" s="218"/>
      <c r="K184" s="219"/>
      <c r="L184" s="216"/>
    </row>
    <row r="185" spans="1:12">
      <c r="A185" s="210"/>
      <c r="B185" s="211"/>
      <c r="C185" s="212"/>
      <c r="D185" s="211"/>
      <c r="E185" s="213"/>
      <c r="F185" s="214"/>
      <c r="G185" s="215"/>
      <c r="H185" s="216"/>
      <c r="I185" s="217"/>
      <c r="J185" s="218"/>
      <c r="K185" s="219"/>
      <c r="L185" s="216"/>
    </row>
    <row r="186" spans="1:12">
      <c r="A186" s="210"/>
      <c r="B186" s="211"/>
      <c r="C186" s="212"/>
      <c r="D186" s="211"/>
      <c r="E186" s="213"/>
      <c r="F186" s="214"/>
      <c r="G186" s="215"/>
      <c r="H186" s="216"/>
      <c r="I186" s="217"/>
      <c r="J186" s="218"/>
      <c r="K186" s="219"/>
      <c r="L186" s="216"/>
    </row>
    <row r="187" spans="1:12">
      <c r="A187" s="210"/>
      <c r="B187" s="211"/>
      <c r="C187" s="212"/>
      <c r="D187" s="211"/>
      <c r="E187" s="213"/>
      <c r="F187" s="214"/>
      <c r="G187" s="215"/>
      <c r="H187" s="216"/>
      <c r="I187" s="217"/>
      <c r="J187" s="218"/>
      <c r="K187" s="219"/>
      <c r="L187" s="216"/>
    </row>
    <row r="188" spans="1:12">
      <c r="A188" s="210"/>
      <c r="B188" s="211"/>
      <c r="C188" s="212"/>
      <c r="D188" s="211"/>
      <c r="E188" s="213"/>
      <c r="F188" s="214"/>
      <c r="G188" s="215"/>
      <c r="H188" s="216"/>
      <c r="I188" s="217"/>
      <c r="J188" s="218"/>
      <c r="K188" s="219"/>
      <c r="L188" s="216"/>
    </row>
    <row r="189" spans="1:12">
      <c r="A189" s="210"/>
      <c r="B189" s="211"/>
      <c r="C189" s="212"/>
      <c r="D189" s="211"/>
      <c r="E189" s="213"/>
      <c r="F189" s="214"/>
      <c r="G189" s="215"/>
      <c r="H189" s="216"/>
      <c r="I189" s="217"/>
      <c r="J189" s="218"/>
      <c r="K189" s="219"/>
      <c r="L189" s="216"/>
    </row>
    <row r="190" spans="1:12">
      <c r="A190" s="210"/>
      <c r="B190" s="211"/>
      <c r="C190" s="212"/>
      <c r="D190" s="211"/>
      <c r="E190" s="213"/>
      <c r="F190" s="214"/>
      <c r="G190" s="215"/>
      <c r="H190" s="216"/>
      <c r="I190" s="217"/>
      <c r="J190" s="218"/>
      <c r="K190" s="219"/>
      <c r="L190" s="216"/>
    </row>
    <row r="191" spans="1:12">
      <c r="A191" s="210"/>
      <c r="B191" s="211"/>
      <c r="C191" s="212"/>
      <c r="D191" s="211"/>
      <c r="E191" s="213"/>
      <c r="F191" s="214"/>
      <c r="G191" s="215"/>
      <c r="H191" s="216"/>
      <c r="I191" s="217"/>
      <c r="J191" s="218"/>
      <c r="K191" s="219"/>
      <c r="L191" s="216"/>
    </row>
    <row r="192" spans="1:12">
      <c r="A192" s="210"/>
      <c r="B192" s="211"/>
      <c r="C192" s="212"/>
      <c r="D192" s="211"/>
      <c r="E192" s="213"/>
      <c r="F192" s="214"/>
      <c r="G192" s="215"/>
      <c r="H192" s="216"/>
      <c r="I192" s="217"/>
      <c r="J192" s="218"/>
      <c r="K192" s="219"/>
      <c r="L192" s="216"/>
    </row>
    <row r="193" spans="1:12">
      <c r="A193" s="210"/>
      <c r="B193" s="211"/>
      <c r="C193" s="212"/>
      <c r="D193" s="211"/>
      <c r="E193" s="213"/>
      <c r="F193" s="214"/>
      <c r="G193" s="215"/>
      <c r="H193" s="216"/>
      <c r="I193" s="217"/>
      <c r="J193" s="218"/>
      <c r="K193" s="219"/>
      <c r="L193" s="216"/>
    </row>
    <row r="194" spans="1:12">
      <c r="A194" s="210"/>
      <c r="B194" s="211"/>
      <c r="C194" s="212"/>
      <c r="D194" s="211"/>
      <c r="E194" s="213"/>
      <c r="F194" s="214"/>
      <c r="G194" s="215"/>
      <c r="H194" s="216"/>
      <c r="I194" s="217"/>
      <c r="J194" s="218"/>
      <c r="K194" s="219"/>
      <c r="L194" s="216"/>
    </row>
    <row r="195" spans="1:12">
      <c r="A195" s="210"/>
      <c r="B195" s="211"/>
      <c r="C195" s="212"/>
      <c r="D195" s="211"/>
      <c r="E195" s="213"/>
      <c r="F195" s="214"/>
      <c r="G195" s="215"/>
      <c r="H195" s="216"/>
      <c r="I195" s="217"/>
      <c r="J195" s="218"/>
      <c r="K195" s="219"/>
      <c r="L195" s="216"/>
    </row>
    <row r="196" spans="1:12">
      <c r="A196" s="210"/>
      <c r="B196" s="211"/>
      <c r="C196" s="212"/>
      <c r="D196" s="211"/>
      <c r="E196" s="213"/>
      <c r="F196" s="214"/>
      <c r="G196" s="215"/>
      <c r="H196" s="216"/>
      <c r="I196" s="217"/>
      <c r="J196" s="218"/>
      <c r="K196" s="219"/>
      <c r="L196" s="216"/>
    </row>
    <row r="197" spans="1:12">
      <c r="A197" s="210"/>
      <c r="B197" s="211"/>
      <c r="C197" s="212"/>
      <c r="D197" s="211"/>
      <c r="E197" s="213"/>
      <c r="F197" s="214"/>
      <c r="G197" s="215"/>
      <c r="H197" s="216"/>
      <c r="I197" s="217"/>
      <c r="J197" s="218"/>
      <c r="K197" s="219"/>
      <c r="L197" s="216"/>
    </row>
    <row r="198" spans="1:12">
      <c r="A198" s="210"/>
      <c r="B198" s="211"/>
      <c r="C198" s="212"/>
      <c r="D198" s="211"/>
      <c r="E198" s="213"/>
      <c r="F198" s="214"/>
      <c r="G198" s="215"/>
      <c r="H198" s="216"/>
      <c r="I198" s="217"/>
      <c r="J198" s="218"/>
      <c r="K198" s="219"/>
      <c r="L198" s="216"/>
    </row>
    <row r="199" spans="1:12">
      <c r="A199" s="210"/>
      <c r="B199" s="211"/>
      <c r="C199" s="212"/>
      <c r="D199" s="211"/>
      <c r="E199" s="213"/>
      <c r="F199" s="214"/>
      <c r="G199" s="215"/>
      <c r="H199" s="216"/>
      <c r="I199" s="217"/>
      <c r="J199" s="218"/>
      <c r="K199" s="219"/>
      <c r="L199" s="216"/>
    </row>
    <row r="200" spans="1:12">
      <c r="A200" s="210"/>
      <c r="B200" s="211"/>
      <c r="C200" s="212"/>
      <c r="D200" s="211"/>
      <c r="E200" s="213"/>
      <c r="F200" s="214"/>
      <c r="G200" s="215"/>
      <c r="H200" s="216"/>
      <c r="I200" s="217"/>
      <c r="J200" s="218"/>
      <c r="K200" s="219"/>
      <c r="L200" s="216"/>
    </row>
    <row r="201" spans="1:12">
      <c r="A201" s="210"/>
      <c r="B201" s="211"/>
      <c r="C201" s="212"/>
      <c r="D201" s="211"/>
      <c r="E201" s="213"/>
      <c r="F201" s="214"/>
      <c r="G201" s="215"/>
      <c r="H201" s="216"/>
      <c r="I201" s="217"/>
      <c r="J201" s="218"/>
      <c r="K201" s="219"/>
      <c r="L201" s="216"/>
    </row>
    <row r="202" spans="1:12">
      <c r="A202" s="210"/>
      <c r="B202" s="211"/>
      <c r="C202" s="212"/>
      <c r="D202" s="211"/>
      <c r="E202" s="213"/>
      <c r="F202" s="214"/>
      <c r="G202" s="215"/>
      <c r="H202" s="216"/>
      <c r="I202" s="217"/>
      <c r="J202" s="218"/>
      <c r="K202" s="219"/>
      <c r="L202" s="216"/>
    </row>
    <row r="203" spans="1:12">
      <c r="A203" s="210"/>
      <c r="B203" s="211"/>
      <c r="C203" s="212"/>
      <c r="D203" s="211"/>
      <c r="E203" s="213"/>
      <c r="F203" s="214"/>
      <c r="G203" s="215"/>
      <c r="H203" s="216"/>
      <c r="I203" s="217"/>
      <c r="J203" s="218"/>
      <c r="K203" s="219"/>
      <c r="L203" s="216"/>
    </row>
    <row r="204" spans="1:12">
      <c r="A204" s="210"/>
      <c r="B204" s="211"/>
      <c r="C204" s="212"/>
      <c r="D204" s="211"/>
      <c r="E204" s="213"/>
      <c r="F204" s="214"/>
      <c r="G204" s="215"/>
      <c r="H204" s="216"/>
      <c r="I204" s="217"/>
      <c r="J204" s="218"/>
      <c r="K204" s="219"/>
      <c r="L204" s="216"/>
    </row>
    <row r="205" spans="1:12">
      <c r="A205" s="210"/>
      <c r="B205" s="211"/>
      <c r="C205" s="212"/>
      <c r="D205" s="211"/>
      <c r="E205" s="213"/>
      <c r="F205" s="214"/>
      <c r="G205" s="215"/>
      <c r="H205" s="216"/>
      <c r="I205" s="217"/>
      <c r="J205" s="218"/>
      <c r="K205" s="219"/>
      <c r="L205" s="216"/>
    </row>
    <row r="206" spans="1:12">
      <c r="A206" s="210"/>
      <c r="B206" s="211"/>
      <c r="C206" s="212"/>
      <c r="D206" s="211"/>
      <c r="E206" s="213"/>
      <c r="F206" s="214"/>
      <c r="G206" s="215"/>
      <c r="H206" s="216"/>
      <c r="I206" s="217"/>
      <c r="J206" s="218"/>
      <c r="K206" s="219"/>
      <c r="L206" s="216"/>
    </row>
    <row r="207" spans="1:12">
      <c r="A207" s="210"/>
      <c r="B207" s="211"/>
      <c r="C207" s="212"/>
      <c r="D207" s="211"/>
      <c r="E207" s="213"/>
      <c r="F207" s="214"/>
      <c r="G207" s="215"/>
      <c r="H207" s="216"/>
      <c r="I207" s="217"/>
      <c r="J207" s="218"/>
      <c r="K207" s="219"/>
      <c r="L207" s="216"/>
    </row>
    <row r="208" spans="1:12">
      <c r="A208" s="210"/>
      <c r="B208" s="211"/>
      <c r="C208" s="212"/>
      <c r="D208" s="211"/>
      <c r="E208" s="213"/>
      <c r="F208" s="214"/>
      <c r="G208" s="215"/>
      <c r="H208" s="216"/>
      <c r="I208" s="217"/>
      <c r="J208" s="218"/>
      <c r="K208" s="219"/>
      <c r="L208" s="216"/>
    </row>
    <row r="209" spans="1:12">
      <c r="A209" s="210"/>
      <c r="B209" s="211"/>
      <c r="C209" s="212"/>
      <c r="D209" s="211"/>
      <c r="E209" s="213"/>
      <c r="F209" s="214"/>
      <c r="G209" s="215"/>
      <c r="H209" s="216"/>
      <c r="I209" s="217"/>
      <c r="J209" s="218"/>
      <c r="K209" s="219"/>
      <c r="L209" s="216"/>
    </row>
    <row r="210" spans="1:12">
      <c r="A210" s="210"/>
      <c r="B210" s="211"/>
      <c r="C210" s="212"/>
      <c r="D210" s="211"/>
      <c r="E210" s="213"/>
      <c r="F210" s="214"/>
      <c r="G210" s="215"/>
      <c r="H210" s="216"/>
      <c r="I210" s="217"/>
      <c r="J210" s="218"/>
      <c r="K210" s="219"/>
      <c r="L210" s="216"/>
    </row>
    <row r="211" spans="1:12">
      <c r="A211" s="210"/>
      <c r="B211" s="211"/>
      <c r="C211" s="212"/>
      <c r="D211" s="211"/>
      <c r="E211" s="213"/>
      <c r="F211" s="214"/>
      <c r="G211" s="215"/>
      <c r="H211" s="216"/>
      <c r="I211" s="217"/>
      <c r="J211" s="218"/>
      <c r="K211" s="219"/>
      <c r="L211" s="216"/>
    </row>
    <row r="212" spans="1:12">
      <c r="A212" s="210"/>
      <c r="B212" s="211"/>
      <c r="C212" s="212"/>
      <c r="D212" s="211"/>
      <c r="E212" s="213"/>
      <c r="F212" s="214"/>
      <c r="G212" s="215"/>
      <c r="H212" s="216"/>
      <c r="I212" s="217"/>
      <c r="J212" s="218"/>
      <c r="K212" s="219"/>
      <c r="L212" s="216"/>
    </row>
    <row r="213" spans="1:12">
      <c r="A213" s="210"/>
      <c r="B213" s="211"/>
      <c r="C213" s="212"/>
      <c r="D213" s="211"/>
      <c r="E213" s="213"/>
      <c r="F213" s="214"/>
      <c r="G213" s="215"/>
      <c r="H213" s="216"/>
      <c r="I213" s="217"/>
      <c r="J213" s="218"/>
      <c r="K213" s="219"/>
      <c r="L213" s="216"/>
    </row>
    <row r="214" spans="1:12">
      <c r="A214" s="210"/>
      <c r="B214" s="211"/>
      <c r="C214" s="212"/>
      <c r="D214" s="211"/>
      <c r="E214" s="213"/>
      <c r="F214" s="214"/>
      <c r="G214" s="215"/>
      <c r="H214" s="216"/>
      <c r="I214" s="217"/>
      <c r="J214" s="218"/>
      <c r="K214" s="219"/>
      <c r="L214" s="216"/>
    </row>
    <row r="215" spans="1:12">
      <c r="A215" s="210"/>
      <c r="B215" s="211"/>
      <c r="C215" s="212"/>
      <c r="D215" s="211"/>
      <c r="E215" s="213"/>
      <c r="F215" s="214"/>
      <c r="G215" s="215"/>
      <c r="H215" s="216"/>
      <c r="I215" s="217"/>
      <c r="J215" s="218"/>
      <c r="K215" s="219"/>
      <c r="L215" s="216"/>
    </row>
    <row r="216" spans="1:12">
      <c r="A216" s="210"/>
      <c r="B216" s="211"/>
      <c r="C216" s="212"/>
      <c r="D216" s="211"/>
      <c r="E216" s="213"/>
      <c r="F216" s="214"/>
      <c r="G216" s="215"/>
      <c r="H216" s="216"/>
      <c r="I216" s="217"/>
      <c r="J216" s="218"/>
      <c r="K216" s="219"/>
      <c r="L216" s="216"/>
    </row>
    <row r="217" spans="1:12">
      <c r="A217" s="210"/>
      <c r="B217" s="211"/>
      <c r="C217" s="212"/>
      <c r="D217" s="211"/>
      <c r="E217" s="213"/>
      <c r="F217" s="214"/>
      <c r="G217" s="215"/>
      <c r="H217" s="216"/>
      <c r="I217" s="217"/>
      <c r="J217" s="218"/>
      <c r="K217" s="219"/>
      <c r="L217" s="216"/>
    </row>
    <row r="218" spans="1:12">
      <c r="A218" s="210"/>
      <c r="B218" s="211"/>
      <c r="C218" s="212"/>
      <c r="D218" s="211"/>
      <c r="E218" s="213"/>
      <c r="F218" s="214"/>
      <c r="G218" s="215"/>
      <c r="H218" s="216"/>
      <c r="I218" s="217"/>
      <c r="J218" s="218"/>
      <c r="K218" s="219"/>
      <c r="L218" s="216"/>
    </row>
    <row r="219" spans="1:12">
      <c r="A219" s="210"/>
      <c r="B219" s="211"/>
      <c r="C219" s="212"/>
      <c r="D219" s="211"/>
      <c r="E219" s="213"/>
      <c r="F219" s="214"/>
      <c r="G219" s="215"/>
      <c r="H219" s="216"/>
      <c r="I219" s="217"/>
      <c r="J219" s="218"/>
      <c r="K219" s="219"/>
      <c r="L219" s="216"/>
    </row>
    <row r="220" spans="1:12">
      <c r="A220" s="210"/>
      <c r="B220" s="211"/>
      <c r="C220" s="212"/>
      <c r="D220" s="211"/>
      <c r="E220" s="213"/>
      <c r="F220" s="214"/>
      <c r="G220" s="215"/>
      <c r="H220" s="216"/>
      <c r="I220" s="217"/>
      <c r="J220" s="218"/>
      <c r="K220" s="219"/>
      <c r="L220" s="216"/>
    </row>
    <row r="221" spans="1:12">
      <c r="A221" s="210"/>
      <c r="B221" s="211"/>
      <c r="C221" s="212"/>
      <c r="D221" s="211"/>
      <c r="E221" s="213"/>
      <c r="F221" s="214"/>
      <c r="G221" s="215"/>
      <c r="H221" s="216"/>
      <c r="I221" s="217"/>
      <c r="J221" s="218"/>
      <c r="K221" s="219"/>
      <c r="L221" s="216"/>
    </row>
    <row r="222" spans="1:12">
      <c r="A222" s="210"/>
      <c r="B222" s="211"/>
      <c r="C222" s="212"/>
      <c r="D222" s="211"/>
      <c r="E222" s="213"/>
      <c r="F222" s="214"/>
      <c r="G222" s="215"/>
      <c r="H222" s="216"/>
      <c r="I222" s="217"/>
      <c r="J222" s="218"/>
      <c r="K222" s="219"/>
      <c r="L222" s="216"/>
    </row>
    <row r="223" spans="1:12">
      <c r="A223" s="210"/>
      <c r="B223" s="211"/>
      <c r="C223" s="212"/>
      <c r="D223" s="211"/>
      <c r="E223" s="213"/>
      <c r="F223" s="214"/>
      <c r="G223" s="215"/>
      <c r="H223" s="216"/>
      <c r="I223" s="217"/>
      <c r="J223" s="218"/>
      <c r="K223" s="219"/>
      <c r="L223" s="216"/>
    </row>
    <row r="224" spans="1:12">
      <c r="A224" s="210"/>
      <c r="B224" s="211"/>
      <c r="C224" s="212"/>
      <c r="D224" s="211"/>
      <c r="E224" s="213"/>
      <c r="F224" s="214"/>
      <c r="G224" s="215"/>
      <c r="H224" s="216"/>
      <c r="I224" s="217"/>
      <c r="J224" s="218"/>
      <c r="K224" s="219"/>
      <c r="L224" s="216"/>
    </row>
    <row r="225" spans="1:12">
      <c r="A225" s="210"/>
      <c r="B225" s="211"/>
      <c r="C225" s="212"/>
      <c r="D225" s="211"/>
      <c r="E225" s="213"/>
      <c r="F225" s="214"/>
      <c r="G225" s="215"/>
      <c r="H225" s="216"/>
      <c r="I225" s="217"/>
      <c r="J225" s="218"/>
      <c r="K225" s="219"/>
      <c r="L225" s="216"/>
    </row>
    <row r="226" spans="1:12">
      <c r="A226" s="210"/>
      <c r="B226" s="211"/>
      <c r="C226" s="212"/>
      <c r="D226" s="211"/>
      <c r="E226" s="213"/>
      <c r="F226" s="214"/>
      <c r="G226" s="215"/>
      <c r="H226" s="216"/>
      <c r="I226" s="217"/>
      <c r="J226" s="218"/>
      <c r="K226" s="219"/>
      <c r="L226" s="216"/>
    </row>
    <row r="227" spans="1:12">
      <c r="A227" s="210"/>
      <c r="B227" s="211"/>
      <c r="C227" s="212"/>
      <c r="D227" s="211"/>
      <c r="E227" s="213"/>
      <c r="F227" s="214"/>
      <c r="G227" s="215"/>
      <c r="H227" s="216"/>
      <c r="I227" s="217"/>
      <c r="J227" s="218"/>
      <c r="K227" s="219"/>
      <c r="L227" s="216"/>
    </row>
    <row r="228" spans="1:12">
      <c r="A228" s="210"/>
      <c r="B228" s="211"/>
      <c r="C228" s="212"/>
      <c r="D228" s="211"/>
      <c r="E228" s="213"/>
      <c r="F228" s="214"/>
      <c r="G228" s="215"/>
      <c r="H228" s="216"/>
      <c r="I228" s="217"/>
      <c r="J228" s="218"/>
      <c r="K228" s="219"/>
      <c r="L228" s="216"/>
    </row>
    <row r="229" spans="1:12">
      <c r="A229" s="210"/>
      <c r="B229" s="211"/>
      <c r="C229" s="212"/>
      <c r="D229" s="211"/>
      <c r="E229" s="213"/>
      <c r="F229" s="214"/>
      <c r="G229" s="215"/>
      <c r="H229" s="216"/>
      <c r="I229" s="217"/>
      <c r="J229" s="218"/>
      <c r="K229" s="219"/>
      <c r="L229" s="216"/>
    </row>
    <row r="230" spans="1:12">
      <c r="A230" s="210"/>
      <c r="B230" s="211"/>
      <c r="C230" s="212"/>
      <c r="D230" s="211"/>
      <c r="E230" s="213"/>
      <c r="F230" s="214"/>
      <c r="G230" s="215"/>
      <c r="H230" s="216"/>
      <c r="I230" s="217"/>
      <c r="J230" s="218"/>
      <c r="K230" s="219"/>
      <c r="L230" s="216"/>
    </row>
    <row r="231" spans="1:12">
      <c r="A231" s="210"/>
      <c r="B231" s="211"/>
      <c r="C231" s="212"/>
      <c r="D231" s="211"/>
      <c r="E231" s="213"/>
      <c r="F231" s="214"/>
      <c r="G231" s="215"/>
      <c r="H231" s="216"/>
      <c r="I231" s="217"/>
      <c r="J231" s="218"/>
      <c r="K231" s="219"/>
      <c r="L231" s="216"/>
    </row>
    <row r="232" spans="1:12">
      <c r="A232" s="210"/>
      <c r="B232" s="211"/>
      <c r="C232" s="212"/>
      <c r="D232" s="211"/>
      <c r="E232" s="213"/>
      <c r="F232" s="214"/>
      <c r="G232" s="215"/>
      <c r="H232" s="216"/>
      <c r="I232" s="217"/>
      <c r="J232" s="218"/>
      <c r="K232" s="219"/>
      <c r="L232" s="216"/>
    </row>
    <row r="233" spans="1:12">
      <c r="A233" s="210"/>
      <c r="B233" s="211"/>
      <c r="C233" s="212"/>
      <c r="D233" s="211"/>
      <c r="E233" s="213"/>
      <c r="F233" s="214"/>
      <c r="G233" s="215"/>
      <c r="H233" s="216"/>
      <c r="I233" s="217"/>
      <c r="J233" s="218"/>
      <c r="K233" s="219"/>
      <c r="L233" s="216"/>
    </row>
    <row r="234" spans="1:12">
      <c r="A234" s="210"/>
      <c r="B234" s="211"/>
      <c r="C234" s="212"/>
      <c r="D234" s="211"/>
      <c r="E234" s="213"/>
      <c r="F234" s="214"/>
      <c r="G234" s="215"/>
      <c r="H234" s="216"/>
      <c r="I234" s="217"/>
      <c r="J234" s="218"/>
      <c r="K234" s="219"/>
      <c r="L234" s="216"/>
    </row>
    <row r="235" spans="1:12">
      <c r="A235" s="210"/>
      <c r="B235" s="211"/>
      <c r="C235" s="212"/>
      <c r="D235" s="211"/>
      <c r="E235" s="213"/>
      <c r="F235" s="214"/>
      <c r="G235" s="215"/>
      <c r="H235" s="216"/>
      <c r="I235" s="217"/>
      <c r="J235" s="218"/>
      <c r="K235" s="219"/>
      <c r="L235" s="216"/>
    </row>
    <row r="236" spans="1:12">
      <c r="A236" s="210"/>
      <c r="B236" s="211"/>
      <c r="C236" s="212"/>
      <c r="D236" s="211"/>
      <c r="E236" s="213"/>
      <c r="F236" s="214"/>
      <c r="G236" s="215"/>
      <c r="H236" s="216"/>
      <c r="I236" s="217"/>
      <c r="J236" s="218"/>
      <c r="K236" s="219"/>
      <c r="L236" s="216"/>
    </row>
    <row r="237" spans="1:12">
      <c r="A237" s="210"/>
      <c r="B237" s="211"/>
      <c r="C237" s="212"/>
      <c r="D237" s="211"/>
      <c r="E237" s="213"/>
      <c r="F237" s="214"/>
      <c r="G237" s="215"/>
      <c r="H237" s="216"/>
      <c r="I237" s="217"/>
      <c r="J237" s="218"/>
      <c r="K237" s="219"/>
      <c r="L237" s="216"/>
    </row>
    <row r="238" spans="1:12">
      <c r="A238" s="210"/>
      <c r="B238" s="211"/>
      <c r="C238" s="212"/>
      <c r="D238" s="211"/>
      <c r="E238" s="213"/>
      <c r="F238" s="214"/>
      <c r="G238" s="215"/>
      <c r="H238" s="216"/>
      <c r="I238" s="217"/>
      <c r="J238" s="218"/>
      <c r="K238" s="219"/>
      <c r="L238" s="216"/>
    </row>
    <row r="239" spans="1:12">
      <c r="A239" s="210"/>
      <c r="B239" s="211"/>
      <c r="C239" s="212"/>
      <c r="D239" s="211"/>
      <c r="E239" s="213"/>
      <c r="F239" s="214"/>
      <c r="G239" s="215"/>
      <c r="H239" s="216"/>
      <c r="I239" s="217"/>
      <c r="J239" s="218"/>
      <c r="K239" s="219"/>
      <c r="L239" s="216"/>
    </row>
    <row r="240" spans="1:12">
      <c r="A240" s="210"/>
      <c r="B240" s="211"/>
      <c r="C240" s="212"/>
      <c r="D240" s="211"/>
      <c r="E240" s="213"/>
      <c r="F240" s="214"/>
      <c r="G240" s="215"/>
      <c r="H240" s="216"/>
      <c r="I240" s="217"/>
      <c r="J240" s="218"/>
      <c r="K240" s="219"/>
      <c r="L240" s="216"/>
    </row>
    <row r="241" spans="1:12">
      <c r="A241" s="210"/>
      <c r="B241" s="211"/>
      <c r="C241" s="212"/>
      <c r="D241" s="211"/>
      <c r="E241" s="213"/>
      <c r="F241" s="214"/>
      <c r="G241" s="215"/>
      <c r="H241" s="216"/>
      <c r="I241" s="217"/>
      <c r="J241" s="218"/>
      <c r="K241" s="219"/>
      <c r="L241" s="216"/>
    </row>
    <row r="242" spans="1:12">
      <c r="A242" s="210"/>
      <c r="B242" s="211"/>
      <c r="C242" s="212"/>
      <c r="D242" s="211"/>
      <c r="E242" s="213"/>
      <c r="F242" s="214"/>
      <c r="G242" s="215"/>
      <c r="H242" s="216"/>
      <c r="I242" s="217"/>
      <c r="J242" s="218"/>
      <c r="K242" s="219"/>
      <c r="L242" s="216"/>
    </row>
    <row r="243" spans="1:12">
      <c r="A243" s="210"/>
      <c r="B243" s="211"/>
      <c r="C243" s="212"/>
      <c r="D243" s="211"/>
      <c r="E243" s="213"/>
      <c r="F243" s="214"/>
      <c r="G243" s="215"/>
      <c r="H243" s="216"/>
      <c r="I243" s="217"/>
      <c r="J243" s="218"/>
      <c r="K243" s="219"/>
      <c r="L243" s="216"/>
    </row>
    <row r="244" spans="1:12">
      <c r="A244" s="210"/>
      <c r="B244" s="211"/>
      <c r="C244" s="212"/>
      <c r="D244" s="211"/>
      <c r="E244" s="213"/>
      <c r="F244" s="214"/>
      <c r="G244" s="215"/>
      <c r="H244" s="216"/>
      <c r="I244" s="217"/>
      <c r="J244" s="218"/>
      <c r="K244" s="219"/>
      <c r="L244" s="216"/>
    </row>
    <row r="245" spans="1:12">
      <c r="A245" s="210"/>
      <c r="B245" s="211"/>
      <c r="C245" s="212"/>
      <c r="D245" s="211"/>
      <c r="E245" s="213"/>
      <c r="F245" s="214"/>
      <c r="G245" s="215"/>
      <c r="H245" s="216"/>
      <c r="I245" s="217"/>
      <c r="J245" s="218"/>
      <c r="K245" s="219"/>
      <c r="L245" s="216"/>
    </row>
    <row r="246" spans="1:12">
      <c r="A246" s="210"/>
      <c r="B246" s="211"/>
      <c r="C246" s="212"/>
      <c r="D246" s="211"/>
      <c r="E246" s="213"/>
      <c r="F246" s="214"/>
      <c r="G246" s="215"/>
      <c r="H246" s="216"/>
      <c r="I246" s="217"/>
      <c r="J246" s="218"/>
      <c r="K246" s="219"/>
      <c r="L246" s="216"/>
    </row>
    <row r="247" spans="1:12">
      <c r="A247" s="210"/>
      <c r="B247" s="211"/>
      <c r="C247" s="212"/>
      <c r="D247" s="211"/>
      <c r="E247" s="213"/>
      <c r="F247" s="214"/>
      <c r="G247" s="215"/>
      <c r="H247" s="216"/>
      <c r="I247" s="217"/>
      <c r="J247" s="218"/>
      <c r="K247" s="219"/>
      <c r="L247" s="216"/>
    </row>
    <row r="248" spans="1:12">
      <c r="A248" s="210"/>
      <c r="B248" s="211"/>
      <c r="C248" s="212"/>
      <c r="D248" s="211"/>
      <c r="E248" s="213"/>
      <c r="F248" s="214"/>
      <c r="G248" s="215"/>
      <c r="H248" s="216"/>
      <c r="I248" s="217"/>
      <c r="J248" s="218"/>
      <c r="K248" s="219"/>
      <c r="L248" s="216"/>
    </row>
    <row r="249" spans="1:12">
      <c r="A249" s="210"/>
      <c r="B249" s="211"/>
      <c r="C249" s="212"/>
      <c r="D249" s="211"/>
      <c r="E249" s="213"/>
      <c r="F249" s="214"/>
      <c r="G249" s="215"/>
      <c r="H249" s="216"/>
      <c r="I249" s="217"/>
      <c r="J249" s="218"/>
      <c r="K249" s="219"/>
      <c r="L249" s="216"/>
    </row>
    <row r="250" spans="1:12">
      <c r="A250" s="210"/>
      <c r="B250" s="211"/>
      <c r="C250" s="212"/>
      <c r="D250" s="211"/>
      <c r="E250" s="213"/>
      <c r="F250" s="214"/>
      <c r="G250" s="215"/>
      <c r="H250" s="216"/>
      <c r="I250" s="217"/>
      <c r="J250" s="218"/>
      <c r="K250" s="219"/>
      <c r="L250" s="216"/>
    </row>
    <row r="251" spans="1:12">
      <c r="A251" s="210"/>
      <c r="B251" s="211"/>
      <c r="C251" s="212"/>
      <c r="D251" s="211"/>
      <c r="E251" s="213"/>
      <c r="F251" s="214"/>
      <c r="G251" s="215"/>
      <c r="H251" s="216"/>
      <c r="I251" s="217"/>
      <c r="J251" s="218"/>
      <c r="K251" s="219"/>
      <c r="L251" s="216"/>
    </row>
    <row r="252" spans="1:12">
      <c r="A252" s="210"/>
      <c r="B252" s="211"/>
      <c r="C252" s="212"/>
      <c r="D252" s="211"/>
      <c r="E252" s="213"/>
      <c r="F252" s="214"/>
      <c r="G252" s="215"/>
      <c r="H252" s="216"/>
      <c r="I252" s="217"/>
      <c r="J252" s="218"/>
      <c r="K252" s="219"/>
      <c r="L252" s="216"/>
    </row>
    <row r="253" spans="1:12">
      <c r="A253" s="210"/>
      <c r="B253" s="211"/>
      <c r="C253" s="212"/>
      <c r="D253" s="211"/>
      <c r="E253" s="213"/>
      <c r="F253" s="214"/>
      <c r="G253" s="215"/>
      <c r="H253" s="216"/>
      <c r="I253" s="217"/>
      <c r="J253" s="218"/>
      <c r="K253" s="219"/>
      <c r="L253" s="216"/>
    </row>
  </sheetData>
  <sortState ref="A7:M85">
    <sortCondition ref="M7:M85"/>
    <sortCondition ref="B7:B85"/>
  </sortState>
  <mergeCells count="2">
    <mergeCell ref="A4:L4"/>
    <mergeCell ref="A5:J5"/>
  </mergeCells>
  <dataValidations count="1">
    <dataValidation type="list" allowBlank="1" showInputMessage="1" showErrorMessage="1" sqref="L61 L7:L10">
      <formula1>$E$112:$E$124</formula1>
    </dataValidation>
  </dataValidations>
  <pageMargins left="0.70866141732283472" right="0.70866141732283472" top="0.74803149606299213" bottom="0.74803149606299213" header="0.31496062992125984" footer="0.31496062992125984"/>
  <pageSetup scale="61" fitToHeight="6" orientation="landscape" r:id="rId1"/>
  <headerFooter>
    <oddHeader>&amp;L&amp;14&amp;P</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8"/>
  <sheetViews>
    <sheetView workbookViewId="0"/>
  </sheetViews>
  <sheetFormatPr baseColWidth="10" defaultRowHeight="15"/>
  <cols>
    <col min="1" max="1" width="57" customWidth="1"/>
    <col min="2" max="2" width="50.85546875" customWidth="1"/>
  </cols>
  <sheetData>
    <row r="1" spans="1:4" ht="39.950000000000003" customHeight="1"/>
    <row r="2" spans="1:4" ht="39.950000000000003" customHeight="1"/>
    <row r="3" spans="1:4" ht="53.25" customHeight="1">
      <c r="A3" s="1495" t="s">
        <v>2374</v>
      </c>
      <c r="B3" s="1495"/>
    </row>
    <row r="4" spans="1:4" ht="36" customHeight="1">
      <c r="A4" s="232" t="s">
        <v>2375</v>
      </c>
      <c r="B4" s="232" t="s">
        <v>2464</v>
      </c>
    </row>
    <row r="5" spans="1:4" ht="28.5" customHeight="1">
      <c r="A5" s="232" t="s">
        <v>2463</v>
      </c>
      <c r="B5" s="229" t="s">
        <v>2376</v>
      </c>
    </row>
    <row r="6" spans="1:4" ht="25.5" customHeight="1">
      <c r="A6" s="1496" t="s">
        <v>2462</v>
      </c>
      <c r="B6" s="1496"/>
    </row>
    <row r="7" spans="1:4" ht="34.5" customHeight="1">
      <c r="A7" s="230" t="s">
        <v>2377</v>
      </c>
      <c r="B7" s="230" t="s">
        <v>2459</v>
      </c>
    </row>
    <row r="8" spans="1:4" ht="30" customHeight="1">
      <c r="A8" s="232" t="s">
        <v>2378</v>
      </c>
      <c r="B8" s="231">
        <f>+'liberacion ordenada (2)'!I88</f>
        <v>1064568847.36</v>
      </c>
      <c r="D8">
        <v>1064568847.36</v>
      </c>
    </row>
    <row r="9" spans="1:4" ht="30" customHeight="1">
      <c r="A9" s="232" t="s">
        <v>2379</v>
      </c>
      <c r="B9" s="231">
        <f>+'liberacion ordenada (2)'!I89</f>
        <v>131299638.13999999</v>
      </c>
    </row>
    <row r="10" spans="1:4" ht="30" customHeight="1">
      <c r="A10" s="232" t="s">
        <v>2380</v>
      </c>
      <c r="B10" s="231">
        <f>+'liberacion ordenada (2)'!I90</f>
        <v>56594602.300000012</v>
      </c>
    </row>
    <row r="11" spans="1:4" ht="30" customHeight="1">
      <c r="A11" s="233" t="s">
        <v>2460</v>
      </c>
      <c r="B11" s="234">
        <f>+'liberacion ordenada (2)'!I91</f>
        <v>1252463087.8</v>
      </c>
      <c r="D11">
        <v>1252463087</v>
      </c>
    </row>
    <row r="12" spans="1:4">
      <c r="A12" s="210"/>
      <c r="B12" s="213"/>
    </row>
    <row r="13" spans="1:4" ht="33.75" customHeight="1">
      <c r="A13" s="1497" t="s">
        <v>2461</v>
      </c>
      <c r="B13" s="1498"/>
    </row>
    <row r="14" spans="1:4">
      <c r="A14" s="210"/>
      <c r="B14" s="213"/>
    </row>
    <row r="15" spans="1:4">
      <c r="A15" s="210"/>
      <c r="B15" s="213"/>
    </row>
    <row r="16" spans="1:4">
      <c r="A16" s="210"/>
      <c r="B16" s="213"/>
    </row>
    <row r="17" spans="1:2">
      <c r="A17" s="210"/>
      <c r="B17" s="213"/>
    </row>
    <row r="18" spans="1:2">
      <c r="A18" s="210"/>
      <c r="B18" s="213"/>
    </row>
    <row r="19" spans="1:2">
      <c r="A19" s="210"/>
      <c r="B19" s="213"/>
    </row>
    <row r="20" spans="1:2">
      <c r="A20" s="210"/>
      <c r="B20" s="213"/>
    </row>
    <row r="21" spans="1:2">
      <c r="A21" s="210"/>
      <c r="B21" s="213"/>
    </row>
    <row r="22" spans="1:2">
      <c r="A22" s="210"/>
      <c r="B22" s="213"/>
    </row>
    <row r="23" spans="1:2">
      <c r="A23" s="210"/>
      <c r="B23" s="213"/>
    </row>
    <row r="24" spans="1:2">
      <c r="A24" s="210"/>
      <c r="B24" s="213"/>
    </row>
    <row r="25" spans="1:2">
      <c r="A25" s="210"/>
      <c r="B25" s="213"/>
    </row>
    <row r="26" spans="1:2">
      <c r="A26" s="210"/>
      <c r="B26" s="213"/>
    </row>
    <row r="27" spans="1:2">
      <c r="A27" s="210"/>
      <c r="B27" s="213"/>
    </row>
    <row r="28" spans="1:2">
      <c r="A28" s="210"/>
      <c r="B28" s="213"/>
    </row>
    <row r="29" spans="1:2">
      <c r="A29" s="210"/>
      <c r="B29" s="213"/>
    </row>
    <row r="30" spans="1:2">
      <c r="A30" s="210"/>
      <c r="B30" s="213"/>
    </row>
    <row r="31" spans="1:2">
      <c r="A31" s="210"/>
      <c r="B31" s="213"/>
    </row>
    <row r="32" spans="1:2">
      <c r="A32" s="210"/>
      <c r="B32" s="213"/>
    </row>
    <row r="33" spans="1:2">
      <c r="A33" s="210"/>
      <c r="B33" s="213"/>
    </row>
    <row r="34" spans="1:2">
      <c r="A34" s="210"/>
      <c r="B34" s="213"/>
    </row>
    <row r="35" spans="1:2">
      <c r="A35" s="210"/>
      <c r="B35" s="213"/>
    </row>
    <row r="36" spans="1:2">
      <c r="A36" s="210"/>
      <c r="B36" s="213"/>
    </row>
    <row r="37" spans="1:2">
      <c r="A37" s="210"/>
      <c r="B37" s="213"/>
    </row>
    <row r="38" spans="1:2">
      <c r="A38" s="210"/>
      <c r="B38" s="213"/>
    </row>
    <row r="39" spans="1:2">
      <c r="A39" s="210"/>
      <c r="B39" s="213"/>
    </row>
    <row r="40" spans="1:2">
      <c r="A40" s="210"/>
      <c r="B40" s="213"/>
    </row>
    <row r="41" spans="1:2">
      <c r="A41" s="210"/>
      <c r="B41" s="213"/>
    </row>
    <row r="42" spans="1:2">
      <c r="A42" s="210"/>
      <c r="B42" s="213"/>
    </row>
    <row r="43" spans="1:2">
      <c r="A43" s="210"/>
      <c r="B43" s="213"/>
    </row>
    <row r="44" spans="1:2">
      <c r="A44" s="210"/>
      <c r="B44" s="213"/>
    </row>
    <row r="45" spans="1:2">
      <c r="A45" s="210"/>
      <c r="B45" s="213"/>
    </row>
    <row r="46" spans="1:2">
      <c r="A46" s="210"/>
      <c r="B46" s="213"/>
    </row>
    <row r="47" spans="1:2">
      <c r="A47" s="210"/>
      <c r="B47" s="213"/>
    </row>
    <row r="48" spans="1:2">
      <c r="A48" s="210"/>
      <c r="B48" s="213"/>
    </row>
    <row r="49" spans="1:2">
      <c r="A49" s="210"/>
      <c r="B49" s="213"/>
    </row>
    <row r="50" spans="1:2">
      <c r="A50" s="210"/>
      <c r="B50" s="213"/>
    </row>
    <row r="51" spans="1:2">
      <c r="A51" s="210"/>
      <c r="B51" s="213"/>
    </row>
    <row r="52" spans="1:2">
      <c r="A52" s="210"/>
      <c r="B52" s="213"/>
    </row>
    <row r="53" spans="1:2">
      <c r="A53" s="210"/>
      <c r="B53" s="213"/>
    </row>
    <row r="54" spans="1:2">
      <c r="A54" s="210"/>
      <c r="B54" s="213"/>
    </row>
    <row r="55" spans="1:2">
      <c r="A55" s="210"/>
      <c r="B55" s="213"/>
    </row>
    <row r="56" spans="1:2">
      <c r="A56" s="210"/>
      <c r="B56" s="213"/>
    </row>
    <row r="57" spans="1:2">
      <c r="A57" s="210"/>
      <c r="B57" s="213"/>
    </row>
    <row r="58" spans="1:2">
      <c r="A58" s="210"/>
      <c r="B58" s="213"/>
    </row>
    <row r="59" spans="1:2">
      <c r="A59" s="210"/>
      <c r="B59" s="213"/>
    </row>
    <row r="60" spans="1:2">
      <c r="A60" s="210"/>
      <c r="B60" s="213"/>
    </row>
    <row r="61" spans="1:2">
      <c r="A61" s="210"/>
      <c r="B61" s="213"/>
    </row>
    <row r="62" spans="1:2">
      <c r="A62" s="210"/>
      <c r="B62" s="213"/>
    </row>
    <row r="63" spans="1:2">
      <c r="A63" s="210"/>
      <c r="B63" s="213"/>
    </row>
    <row r="64" spans="1:2">
      <c r="A64" s="210"/>
      <c r="B64" s="213"/>
    </row>
    <row r="65" spans="1:2">
      <c r="A65" s="210"/>
      <c r="B65" s="213"/>
    </row>
    <row r="66" spans="1:2">
      <c r="A66" s="210"/>
      <c r="B66" s="213"/>
    </row>
    <row r="67" spans="1:2">
      <c r="A67" s="210"/>
      <c r="B67" s="213"/>
    </row>
    <row r="68" spans="1:2">
      <c r="A68" s="210"/>
      <c r="B68" s="213"/>
    </row>
    <row r="69" spans="1:2">
      <c r="A69" s="210"/>
      <c r="B69" s="213"/>
    </row>
    <row r="70" spans="1:2">
      <c r="A70" s="210"/>
      <c r="B70" s="213"/>
    </row>
    <row r="71" spans="1:2">
      <c r="A71" s="210"/>
      <c r="B71" s="213"/>
    </row>
    <row r="72" spans="1:2">
      <c r="A72" s="210"/>
      <c r="B72" s="213"/>
    </row>
    <row r="73" spans="1:2">
      <c r="A73" s="210"/>
      <c r="B73" s="213"/>
    </row>
    <row r="74" spans="1:2">
      <c r="A74" s="210"/>
      <c r="B74" s="213"/>
    </row>
    <row r="75" spans="1:2">
      <c r="A75" s="210"/>
      <c r="B75" s="213"/>
    </row>
    <row r="76" spans="1:2">
      <c r="A76" s="210"/>
      <c r="B76" s="213"/>
    </row>
    <row r="77" spans="1:2">
      <c r="A77" s="210"/>
      <c r="B77" s="213"/>
    </row>
    <row r="78" spans="1:2">
      <c r="A78" s="210"/>
      <c r="B78" s="213"/>
    </row>
    <row r="79" spans="1:2">
      <c r="A79" s="210"/>
      <c r="B79" s="213"/>
    </row>
    <row r="80" spans="1:2">
      <c r="A80" s="210"/>
      <c r="B80" s="213"/>
    </row>
    <row r="81" spans="1:2">
      <c r="A81" s="210"/>
      <c r="B81" s="213"/>
    </row>
    <row r="82" spans="1:2">
      <c r="A82" s="210"/>
      <c r="B82" s="213"/>
    </row>
    <row r="83" spans="1:2">
      <c r="A83" s="210"/>
      <c r="B83" s="213"/>
    </row>
    <row r="84" spans="1:2">
      <c r="A84" s="210"/>
      <c r="B84" s="213"/>
    </row>
    <row r="85" spans="1:2">
      <c r="A85" s="210"/>
      <c r="B85" s="213"/>
    </row>
    <row r="86" spans="1:2">
      <c r="A86" s="210"/>
      <c r="B86" s="213"/>
    </row>
    <row r="87" spans="1:2">
      <c r="A87" s="210"/>
      <c r="B87" s="213"/>
    </row>
    <row r="88" spans="1:2">
      <c r="A88" s="210"/>
      <c r="B88" s="213"/>
    </row>
    <row r="89" spans="1:2">
      <c r="A89" s="210"/>
      <c r="B89" s="213"/>
    </row>
    <row r="90" spans="1:2">
      <c r="A90" s="210"/>
      <c r="B90" s="213"/>
    </row>
    <row r="91" spans="1:2">
      <c r="A91" s="210"/>
      <c r="B91" s="213"/>
    </row>
    <row r="92" spans="1:2">
      <c r="A92" s="210"/>
      <c r="B92" s="213"/>
    </row>
    <row r="93" spans="1:2">
      <c r="A93" s="210"/>
      <c r="B93" s="213"/>
    </row>
    <row r="94" spans="1:2">
      <c r="A94" s="210"/>
      <c r="B94" s="213"/>
    </row>
    <row r="95" spans="1:2">
      <c r="A95" s="210"/>
      <c r="B95" s="213"/>
    </row>
    <row r="96" spans="1:2">
      <c r="A96" s="210"/>
      <c r="B96" s="213"/>
    </row>
    <row r="97" spans="1:2">
      <c r="A97" s="210"/>
      <c r="B97" s="213"/>
    </row>
    <row r="98" spans="1:2">
      <c r="A98" s="210"/>
      <c r="B98" s="213"/>
    </row>
    <row r="99" spans="1:2">
      <c r="A99" s="210"/>
      <c r="B99" s="213"/>
    </row>
    <row r="100" spans="1:2">
      <c r="A100" s="210"/>
      <c r="B100" s="213"/>
    </row>
    <row r="101" spans="1:2">
      <c r="A101" s="210"/>
      <c r="B101" s="213"/>
    </row>
    <row r="102" spans="1:2">
      <c r="A102" s="210"/>
      <c r="B102" s="213"/>
    </row>
    <row r="103" spans="1:2">
      <c r="A103" s="210"/>
      <c r="B103" s="213"/>
    </row>
    <row r="104" spans="1:2">
      <c r="A104" s="210"/>
      <c r="B104" s="213"/>
    </row>
    <row r="105" spans="1:2">
      <c r="A105" s="210"/>
      <c r="B105" s="213"/>
    </row>
    <row r="106" spans="1:2">
      <c r="A106" s="210"/>
      <c r="B106" s="213"/>
    </row>
    <row r="107" spans="1:2">
      <c r="A107" s="210"/>
      <c r="B107" s="213"/>
    </row>
    <row r="108" spans="1:2">
      <c r="A108" s="210"/>
      <c r="B108" s="213"/>
    </row>
    <row r="109" spans="1:2">
      <c r="A109" s="210"/>
      <c r="B109" s="213"/>
    </row>
    <row r="110" spans="1:2">
      <c r="A110" s="210"/>
      <c r="B110" s="213"/>
    </row>
    <row r="111" spans="1:2">
      <c r="A111" s="210"/>
      <c r="B111" s="213"/>
    </row>
    <row r="112" spans="1:2">
      <c r="A112" s="210"/>
      <c r="B112" s="213"/>
    </row>
    <row r="113" spans="1:2">
      <c r="A113" s="210"/>
      <c r="B113" s="213"/>
    </row>
    <row r="114" spans="1:2">
      <c r="A114" s="210"/>
      <c r="B114" s="213"/>
    </row>
    <row r="115" spans="1:2">
      <c r="A115" s="210"/>
      <c r="B115" s="213"/>
    </row>
    <row r="116" spans="1:2">
      <c r="A116" s="210"/>
      <c r="B116" s="213"/>
    </row>
    <row r="117" spans="1:2">
      <c r="A117" s="210"/>
      <c r="B117" s="213"/>
    </row>
    <row r="118" spans="1:2">
      <c r="A118" s="210"/>
      <c r="B118" s="213"/>
    </row>
    <row r="119" spans="1:2">
      <c r="A119" s="210"/>
      <c r="B119" s="213"/>
    </row>
    <row r="120" spans="1:2">
      <c r="A120" s="210"/>
      <c r="B120" s="213"/>
    </row>
    <row r="121" spans="1:2">
      <c r="A121" s="210"/>
      <c r="B121" s="213"/>
    </row>
    <row r="122" spans="1:2">
      <c r="A122" s="210"/>
      <c r="B122" s="213"/>
    </row>
    <row r="123" spans="1:2">
      <c r="A123" s="210"/>
      <c r="B123" s="213"/>
    </row>
    <row r="124" spans="1:2">
      <c r="A124" s="210"/>
      <c r="B124" s="213"/>
    </row>
    <row r="125" spans="1:2">
      <c r="A125" s="210"/>
      <c r="B125" s="213"/>
    </row>
    <row r="126" spans="1:2">
      <c r="A126" s="210"/>
      <c r="B126" s="213"/>
    </row>
    <row r="127" spans="1:2">
      <c r="A127" s="210"/>
      <c r="B127" s="213"/>
    </row>
    <row r="128" spans="1:2">
      <c r="A128" s="210"/>
      <c r="B128" s="213"/>
    </row>
    <row r="129" spans="1:2">
      <c r="A129" s="210"/>
      <c r="B129" s="213"/>
    </row>
    <row r="130" spans="1:2">
      <c r="A130" s="210"/>
      <c r="B130" s="213"/>
    </row>
    <row r="131" spans="1:2">
      <c r="A131" s="210"/>
      <c r="B131" s="213"/>
    </row>
    <row r="132" spans="1:2">
      <c r="A132" s="210"/>
      <c r="B132" s="213"/>
    </row>
    <row r="133" spans="1:2">
      <c r="A133" s="210"/>
      <c r="B133" s="213"/>
    </row>
    <row r="134" spans="1:2">
      <c r="A134" s="210"/>
      <c r="B134" s="213"/>
    </row>
    <row r="135" spans="1:2">
      <c r="A135" s="210"/>
      <c r="B135" s="213"/>
    </row>
    <row r="136" spans="1:2">
      <c r="A136" s="210"/>
      <c r="B136" s="213"/>
    </row>
    <row r="137" spans="1:2">
      <c r="A137" s="210"/>
      <c r="B137" s="213"/>
    </row>
    <row r="138" spans="1:2">
      <c r="A138" s="210"/>
      <c r="B138" s="213"/>
    </row>
    <row r="139" spans="1:2">
      <c r="A139" s="210"/>
      <c r="B139" s="213"/>
    </row>
    <row r="140" spans="1:2">
      <c r="A140" s="210"/>
      <c r="B140" s="213"/>
    </row>
    <row r="141" spans="1:2">
      <c r="A141" s="210"/>
      <c r="B141" s="213"/>
    </row>
    <row r="142" spans="1:2">
      <c r="A142" s="210"/>
      <c r="B142" s="213"/>
    </row>
    <row r="143" spans="1:2">
      <c r="A143" s="210"/>
      <c r="B143" s="213"/>
    </row>
    <row r="144" spans="1:2">
      <c r="A144" s="210"/>
      <c r="B144" s="213"/>
    </row>
    <row r="145" spans="1:2">
      <c r="A145" s="210"/>
      <c r="B145" s="213"/>
    </row>
    <row r="146" spans="1:2">
      <c r="A146" s="210"/>
      <c r="B146" s="213"/>
    </row>
    <row r="147" spans="1:2">
      <c r="A147" s="210"/>
      <c r="B147" s="213"/>
    </row>
    <row r="148" spans="1:2">
      <c r="A148" s="210"/>
      <c r="B148" s="213"/>
    </row>
    <row r="149" spans="1:2">
      <c r="A149" s="210"/>
      <c r="B149" s="213"/>
    </row>
    <row r="150" spans="1:2">
      <c r="A150" s="210"/>
      <c r="B150" s="213"/>
    </row>
    <row r="151" spans="1:2">
      <c r="A151" s="210"/>
      <c r="B151" s="213"/>
    </row>
    <row r="152" spans="1:2">
      <c r="A152" s="210"/>
      <c r="B152" s="213"/>
    </row>
    <row r="153" spans="1:2">
      <c r="A153" s="210"/>
      <c r="B153" s="213"/>
    </row>
    <row r="154" spans="1:2">
      <c r="A154" s="210"/>
      <c r="B154" s="213"/>
    </row>
    <row r="155" spans="1:2">
      <c r="A155" s="210"/>
      <c r="B155" s="213"/>
    </row>
    <row r="156" spans="1:2">
      <c r="A156" s="210"/>
      <c r="B156" s="213"/>
    </row>
    <row r="157" spans="1:2">
      <c r="A157" s="210"/>
      <c r="B157" s="213"/>
    </row>
    <row r="158" spans="1:2">
      <c r="A158" s="210"/>
      <c r="B158" s="213"/>
    </row>
    <row r="159" spans="1:2">
      <c r="A159" s="210"/>
      <c r="B159" s="213"/>
    </row>
    <row r="160" spans="1:2">
      <c r="A160" s="210"/>
      <c r="B160" s="213"/>
    </row>
    <row r="161" spans="1:2">
      <c r="A161" s="210"/>
      <c r="B161" s="213"/>
    </row>
    <row r="162" spans="1:2">
      <c r="A162" s="210"/>
      <c r="B162" s="213"/>
    </row>
    <row r="163" spans="1:2">
      <c r="A163" s="210"/>
      <c r="B163" s="213"/>
    </row>
    <row r="164" spans="1:2">
      <c r="A164" s="210"/>
      <c r="B164" s="213"/>
    </row>
    <row r="165" spans="1:2">
      <c r="A165" s="210"/>
      <c r="B165" s="213"/>
    </row>
    <row r="166" spans="1:2">
      <c r="A166" s="210"/>
      <c r="B166" s="213"/>
    </row>
    <row r="167" spans="1:2">
      <c r="A167" s="210"/>
      <c r="B167" s="213"/>
    </row>
    <row r="168" spans="1:2">
      <c r="A168" s="210"/>
      <c r="B168" s="213"/>
    </row>
  </sheetData>
  <mergeCells count="3">
    <mergeCell ref="A3:B3"/>
    <mergeCell ref="A6:B6"/>
    <mergeCell ref="A13:B13"/>
  </mergeCells>
  <pageMargins left="0.70866141732283472" right="0.70866141732283472" top="0.74803149606299213" bottom="0.74803149606299213" header="0.31496062992125984" footer="0.31496062992125984"/>
  <pageSetup scale="65" fitToHeight="6" orientation="landscape" r:id="rId1"/>
  <headerFooter>
    <oddHeader>&amp;L&amp;14&amp;P</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248"/>
  <sheetViews>
    <sheetView workbookViewId="0"/>
  </sheetViews>
  <sheetFormatPr baseColWidth="10" defaultRowHeight="15"/>
  <cols>
    <col min="3" max="3" width="22.5703125" bestFit="1" customWidth="1"/>
    <col min="4" max="4" width="15.42578125" bestFit="1" customWidth="1"/>
    <col min="5" max="5" width="28.5703125" customWidth="1"/>
    <col min="6" max="6" width="19" bestFit="1" customWidth="1"/>
    <col min="7" max="7" width="12.7109375" bestFit="1" customWidth="1"/>
    <col min="9" max="9" width="23" customWidth="1"/>
    <col min="11" max="11" width="23.85546875" customWidth="1"/>
    <col min="13" max="13" width="11.42578125" customWidth="1"/>
  </cols>
  <sheetData>
    <row r="4" spans="1:13" ht="23.25">
      <c r="A4" s="1493" t="s">
        <v>2370</v>
      </c>
      <c r="B4" s="1493"/>
      <c r="C4" s="1493"/>
      <c r="D4" s="1493"/>
      <c r="E4" s="1493"/>
      <c r="F4" s="1493"/>
      <c r="G4" s="1493"/>
      <c r="H4" s="1493"/>
      <c r="I4" s="1493"/>
      <c r="J4" s="1493"/>
      <c r="K4" s="1493"/>
      <c r="L4" s="1493"/>
    </row>
    <row r="5" spans="1:13" ht="28.5" customHeight="1">
      <c r="A5" s="1494" t="s">
        <v>2371</v>
      </c>
      <c r="B5" s="1494"/>
      <c r="C5" s="1494"/>
      <c r="D5" s="1494"/>
      <c r="E5" s="1494"/>
      <c r="F5" s="1494"/>
      <c r="G5" s="1494"/>
      <c r="H5" s="1494"/>
      <c r="I5" s="1494"/>
      <c r="J5" s="1494"/>
      <c r="K5" s="227">
        <v>43138</v>
      </c>
    </row>
    <row r="6" spans="1:13" ht="15" customHeight="1">
      <c r="A6" s="224" t="s">
        <v>2320</v>
      </c>
      <c r="B6" s="223" t="s">
        <v>2321</v>
      </c>
      <c r="C6" s="223" t="s">
        <v>2322</v>
      </c>
      <c r="D6" s="223" t="s">
        <v>3</v>
      </c>
      <c r="E6" s="223" t="s">
        <v>2323</v>
      </c>
      <c r="F6" s="223" t="s">
        <v>2324</v>
      </c>
      <c r="G6" s="223" t="s">
        <v>2325</v>
      </c>
      <c r="H6" s="223" t="s">
        <v>2326</v>
      </c>
      <c r="I6" s="223" t="s">
        <v>2327</v>
      </c>
      <c r="J6" s="223" t="s">
        <v>2330</v>
      </c>
      <c r="K6" s="223" t="s">
        <v>2331</v>
      </c>
      <c r="L6" s="223" t="s">
        <v>2329</v>
      </c>
      <c r="M6" s="223" t="s">
        <v>2368</v>
      </c>
    </row>
    <row r="7" spans="1:13" ht="15" customHeight="1">
      <c r="A7" s="210">
        <v>73</v>
      </c>
      <c r="B7" s="211" t="s">
        <v>2228</v>
      </c>
      <c r="C7" s="212">
        <v>1079635200</v>
      </c>
      <c r="D7" s="211">
        <v>900922061</v>
      </c>
      <c r="E7" s="213" t="s">
        <v>2227</v>
      </c>
      <c r="F7" s="214"/>
      <c r="G7" s="215">
        <v>42164</v>
      </c>
      <c r="H7" s="216">
        <v>18</v>
      </c>
      <c r="I7" s="217">
        <v>20266.669999999998</v>
      </c>
      <c r="J7" s="218">
        <v>19050</v>
      </c>
      <c r="K7" s="219" t="s">
        <v>2363</v>
      </c>
      <c r="L7" s="216" t="s">
        <v>2332</v>
      </c>
      <c r="M7" s="218">
        <v>2013</v>
      </c>
    </row>
    <row r="8" spans="1:13" ht="15" customHeight="1">
      <c r="A8" s="210">
        <v>33</v>
      </c>
      <c r="B8" s="211" t="s">
        <v>1471</v>
      </c>
      <c r="C8" s="212">
        <v>138893767</v>
      </c>
      <c r="D8" s="211">
        <v>76308097</v>
      </c>
      <c r="E8" s="213" t="s">
        <v>1472</v>
      </c>
      <c r="F8" s="214">
        <v>12561.36</v>
      </c>
      <c r="G8" s="215">
        <v>41795</v>
      </c>
      <c r="H8" s="216">
        <v>3</v>
      </c>
      <c r="I8" s="217">
        <v>12561.36</v>
      </c>
      <c r="J8" s="218">
        <v>19100</v>
      </c>
      <c r="K8" s="219" t="s">
        <v>2348</v>
      </c>
      <c r="L8" s="216" t="s">
        <v>2332</v>
      </c>
      <c r="M8" s="218" t="str">
        <f t="shared" ref="M8:M39" si="0">MID(B8,5,4)</f>
        <v>2013</v>
      </c>
    </row>
    <row r="9" spans="1:13" ht="15" customHeight="1">
      <c r="A9" s="210">
        <v>66</v>
      </c>
      <c r="B9" s="211" t="s">
        <v>2228</v>
      </c>
      <c r="C9" s="212">
        <v>1079635200</v>
      </c>
      <c r="D9" s="211">
        <v>900922061</v>
      </c>
      <c r="E9" s="213" t="s">
        <v>2227</v>
      </c>
      <c r="F9" s="214"/>
      <c r="G9" s="215">
        <v>42164</v>
      </c>
      <c r="H9" s="216">
        <v>8</v>
      </c>
      <c r="I9" s="217">
        <v>20266.669999999998</v>
      </c>
      <c r="J9" s="218">
        <v>19110</v>
      </c>
      <c r="K9" s="219" t="s">
        <v>2355</v>
      </c>
      <c r="L9" s="216" t="s">
        <v>2332</v>
      </c>
      <c r="M9" s="218" t="str">
        <f t="shared" si="0"/>
        <v>2016</v>
      </c>
    </row>
    <row r="10" spans="1:13" ht="15" customHeight="1">
      <c r="A10" s="210">
        <v>60</v>
      </c>
      <c r="B10" s="211" t="s">
        <v>2243</v>
      </c>
      <c r="C10" s="212">
        <v>122925748</v>
      </c>
      <c r="D10" s="211">
        <v>901017440</v>
      </c>
      <c r="E10" s="213" t="s">
        <v>2258</v>
      </c>
      <c r="F10" s="214"/>
      <c r="G10" s="215">
        <v>42579</v>
      </c>
      <c r="H10" s="216">
        <v>15</v>
      </c>
      <c r="I10" s="217">
        <v>1116481</v>
      </c>
      <c r="J10" s="218">
        <v>19110</v>
      </c>
      <c r="K10" s="219" t="s">
        <v>2355</v>
      </c>
      <c r="L10" s="216" t="s">
        <v>2332</v>
      </c>
      <c r="M10" s="218" t="str">
        <f t="shared" si="0"/>
        <v>2016</v>
      </c>
    </row>
    <row r="11" spans="1:13" ht="15" customHeight="1">
      <c r="A11" s="210">
        <v>79</v>
      </c>
      <c r="B11" s="211" t="s">
        <v>2266</v>
      </c>
      <c r="C11" s="212">
        <v>8000000</v>
      </c>
      <c r="D11" s="211">
        <v>10292075</v>
      </c>
      <c r="E11" s="213" t="s">
        <v>2265</v>
      </c>
      <c r="F11" s="214"/>
      <c r="G11" s="215">
        <v>42577</v>
      </c>
      <c r="H11" s="216">
        <v>16</v>
      </c>
      <c r="I11" s="217">
        <v>682956</v>
      </c>
      <c r="J11" s="218">
        <v>19110</v>
      </c>
      <c r="K11" s="219" t="s">
        <v>2355</v>
      </c>
      <c r="L11" s="216" t="s">
        <v>2332</v>
      </c>
      <c r="M11" s="218" t="str">
        <f t="shared" si="0"/>
        <v>2016</v>
      </c>
    </row>
    <row r="12" spans="1:13" ht="15" customHeight="1">
      <c r="A12" s="210">
        <v>62</v>
      </c>
      <c r="B12" s="211" t="s">
        <v>2228</v>
      </c>
      <c r="C12" s="212">
        <v>1079635200</v>
      </c>
      <c r="D12" s="211">
        <v>900922061</v>
      </c>
      <c r="E12" s="213" t="s">
        <v>2227</v>
      </c>
      <c r="F12" s="214">
        <v>27962551.619999997</v>
      </c>
      <c r="G12" s="215">
        <v>42164</v>
      </c>
      <c r="H12" s="216">
        <v>5</v>
      </c>
      <c r="I12" s="217">
        <v>27982818.289999999</v>
      </c>
      <c r="J12" s="218">
        <v>19130</v>
      </c>
      <c r="K12" s="219" t="s">
        <v>2356</v>
      </c>
      <c r="L12" s="216" t="s">
        <v>2332</v>
      </c>
      <c r="M12" s="218" t="str">
        <f t="shared" si="0"/>
        <v>2016</v>
      </c>
    </row>
    <row r="13" spans="1:13" ht="15" customHeight="1">
      <c r="A13" s="210">
        <v>72</v>
      </c>
      <c r="B13" s="211" t="s">
        <v>2228</v>
      </c>
      <c r="C13" s="212">
        <v>1079635200</v>
      </c>
      <c r="D13" s="211">
        <v>900922061</v>
      </c>
      <c r="E13" s="213" t="s">
        <v>2227</v>
      </c>
      <c r="F13" s="214"/>
      <c r="G13" s="215">
        <v>42164</v>
      </c>
      <c r="H13" s="216">
        <v>6</v>
      </c>
      <c r="I13" s="217">
        <v>20266.669999999998</v>
      </c>
      <c r="J13" s="218">
        <v>19142</v>
      </c>
      <c r="K13" s="219" t="s">
        <v>2362</v>
      </c>
      <c r="L13" s="216" t="s">
        <v>2332</v>
      </c>
      <c r="M13" s="218" t="str">
        <f t="shared" si="0"/>
        <v>2016</v>
      </c>
    </row>
    <row r="14" spans="1:13" ht="15" customHeight="1">
      <c r="A14" s="210">
        <v>4</v>
      </c>
      <c r="B14" s="211" t="s">
        <v>929</v>
      </c>
      <c r="C14" s="212">
        <v>210275520</v>
      </c>
      <c r="D14" s="211">
        <v>900346392</v>
      </c>
      <c r="E14" s="213" t="s">
        <v>175</v>
      </c>
      <c r="F14" s="214">
        <v>300</v>
      </c>
      <c r="G14" s="215">
        <v>40779</v>
      </c>
      <c r="H14" s="216">
        <v>206</v>
      </c>
      <c r="I14" s="217">
        <v>300</v>
      </c>
      <c r="J14" s="218">
        <v>19999</v>
      </c>
      <c r="K14" s="219" t="s">
        <v>2336</v>
      </c>
      <c r="L14" s="216" t="s">
        <v>2334</v>
      </c>
      <c r="M14" s="218" t="str">
        <f t="shared" si="0"/>
        <v>2010</v>
      </c>
    </row>
    <row r="15" spans="1:13" ht="15" customHeight="1">
      <c r="A15" s="210">
        <v>8</v>
      </c>
      <c r="B15" s="211" t="s">
        <v>639</v>
      </c>
      <c r="C15" s="212">
        <v>148844385</v>
      </c>
      <c r="D15" s="211">
        <v>900368928</v>
      </c>
      <c r="E15" s="213" t="s">
        <v>641</v>
      </c>
      <c r="F15" s="214"/>
      <c r="G15" s="215">
        <v>40707</v>
      </c>
      <c r="H15" s="216">
        <v>91</v>
      </c>
      <c r="I15" s="217">
        <v>112542.5700000003</v>
      </c>
      <c r="J15" s="218">
        <v>19999</v>
      </c>
      <c r="K15" s="219" t="s">
        <v>2336</v>
      </c>
      <c r="L15" s="216" t="s">
        <v>2334</v>
      </c>
      <c r="M15" s="218" t="str">
        <f t="shared" si="0"/>
        <v>2010</v>
      </c>
    </row>
    <row r="16" spans="1:13" ht="15" customHeight="1">
      <c r="A16" s="210">
        <v>10</v>
      </c>
      <c r="B16" s="211" t="s">
        <v>680</v>
      </c>
      <c r="C16" s="212">
        <v>61799726</v>
      </c>
      <c r="D16" s="211">
        <v>900342899</v>
      </c>
      <c r="E16" s="213" t="s">
        <v>6</v>
      </c>
      <c r="F16" s="214"/>
      <c r="G16" s="215">
        <v>40413</v>
      </c>
      <c r="H16" s="216">
        <v>98</v>
      </c>
      <c r="I16" s="217">
        <v>17470.39999999851</v>
      </c>
      <c r="J16" s="218">
        <v>19999</v>
      </c>
      <c r="K16" s="219" t="s">
        <v>2336</v>
      </c>
      <c r="L16" s="216" t="s">
        <v>2334</v>
      </c>
      <c r="M16" s="218" t="str">
        <f t="shared" si="0"/>
        <v>2010</v>
      </c>
    </row>
    <row r="17" spans="1:13" ht="15" customHeight="1">
      <c r="A17" s="210">
        <v>13</v>
      </c>
      <c r="B17" s="211" t="s">
        <v>853</v>
      </c>
      <c r="C17" s="212">
        <v>23000000</v>
      </c>
      <c r="D17" s="211">
        <v>76308120</v>
      </c>
      <c r="E17" s="213" t="s">
        <v>854</v>
      </c>
      <c r="F17" s="214">
        <v>1380000</v>
      </c>
      <c r="G17" s="215">
        <v>40718</v>
      </c>
      <c r="H17" s="216">
        <v>173</v>
      </c>
      <c r="I17" s="217">
        <v>1380000</v>
      </c>
      <c r="J17" s="218">
        <v>19999</v>
      </c>
      <c r="K17" s="219" t="s">
        <v>2336</v>
      </c>
      <c r="L17" s="216" t="s">
        <v>2334</v>
      </c>
      <c r="M17" s="218" t="str">
        <f t="shared" si="0"/>
        <v>2010</v>
      </c>
    </row>
    <row r="18" spans="1:13" ht="15" customHeight="1">
      <c r="A18" s="210">
        <v>14</v>
      </c>
      <c r="B18" s="211" t="s">
        <v>1056</v>
      </c>
      <c r="C18" s="212">
        <v>660040239</v>
      </c>
      <c r="D18" s="211">
        <v>900423055</v>
      </c>
      <c r="E18" s="213" t="s">
        <v>1057</v>
      </c>
      <c r="F18" s="214">
        <v>69402</v>
      </c>
      <c r="G18" s="215">
        <v>41081</v>
      </c>
      <c r="H18" s="216">
        <v>243</v>
      </c>
      <c r="I18" s="217">
        <v>69402</v>
      </c>
      <c r="J18" s="218">
        <v>19999</v>
      </c>
      <c r="K18" s="219" t="s">
        <v>2336</v>
      </c>
      <c r="L18" s="216" t="s">
        <v>2334</v>
      </c>
      <c r="M18" s="218" t="str">
        <f t="shared" si="0"/>
        <v>2011</v>
      </c>
    </row>
    <row r="19" spans="1:13" ht="15" customHeight="1">
      <c r="A19" s="210">
        <v>15</v>
      </c>
      <c r="B19" s="211" t="s">
        <v>1076</v>
      </c>
      <c r="C19" s="212">
        <v>35009299</v>
      </c>
      <c r="D19" s="211">
        <v>10536762</v>
      </c>
      <c r="E19" s="213" t="s">
        <v>385</v>
      </c>
      <c r="F19" s="214">
        <v>0</v>
      </c>
      <c r="G19" s="215">
        <v>40637</v>
      </c>
      <c r="H19" s="216">
        <v>128</v>
      </c>
      <c r="I19" s="217">
        <v>63600</v>
      </c>
      <c r="J19" s="218">
        <v>19999</v>
      </c>
      <c r="K19" s="219" t="s">
        <v>2336</v>
      </c>
      <c r="L19" s="216" t="s">
        <v>2334</v>
      </c>
      <c r="M19" s="218" t="str">
        <f t="shared" si="0"/>
        <v>2011</v>
      </c>
    </row>
    <row r="20" spans="1:13" ht="15" customHeight="1">
      <c r="A20" s="210">
        <v>16</v>
      </c>
      <c r="B20" s="211" t="s">
        <v>1076</v>
      </c>
      <c r="C20" s="212">
        <v>35009299</v>
      </c>
      <c r="D20" s="211">
        <v>10536762</v>
      </c>
      <c r="E20" s="213" t="s">
        <v>385</v>
      </c>
      <c r="F20" s="214">
        <v>1804133.05</v>
      </c>
      <c r="G20" s="215">
        <v>41081</v>
      </c>
      <c r="H20" s="216">
        <v>242</v>
      </c>
      <c r="I20" s="217">
        <v>1804133.05</v>
      </c>
      <c r="J20" s="218">
        <v>19999</v>
      </c>
      <c r="K20" s="219" t="s">
        <v>2336</v>
      </c>
      <c r="L20" s="216" t="s">
        <v>2334</v>
      </c>
      <c r="M20" s="218" t="str">
        <f t="shared" si="0"/>
        <v>2011</v>
      </c>
    </row>
    <row r="21" spans="1:13" ht="15" customHeight="1">
      <c r="A21" s="210">
        <v>22</v>
      </c>
      <c r="B21" s="211" t="s">
        <v>1109</v>
      </c>
      <c r="C21" s="212">
        <v>1566678737</v>
      </c>
      <c r="D21" s="211">
        <v>72222176</v>
      </c>
      <c r="E21" s="213" t="s">
        <v>1110</v>
      </c>
      <c r="F21" s="214">
        <v>114.6</v>
      </c>
      <c r="G21" s="215">
        <v>40753</v>
      </c>
      <c r="H21" s="216">
        <v>176</v>
      </c>
      <c r="I21" s="217">
        <v>114.6</v>
      </c>
      <c r="J21" s="218">
        <v>19999</v>
      </c>
      <c r="K21" s="219" t="s">
        <v>2336</v>
      </c>
      <c r="L21" s="216" t="s">
        <v>2334</v>
      </c>
      <c r="M21" s="218" t="str">
        <f t="shared" si="0"/>
        <v>2011</v>
      </c>
    </row>
    <row r="22" spans="1:13" ht="15" customHeight="1">
      <c r="A22" s="210">
        <v>18</v>
      </c>
      <c r="B22" s="211" t="s">
        <v>1149</v>
      </c>
      <c r="C22" s="212">
        <v>487926297</v>
      </c>
      <c r="D22" s="211">
        <v>900470501</v>
      </c>
      <c r="E22" s="213" t="s">
        <v>2340</v>
      </c>
      <c r="F22" s="214">
        <v>0</v>
      </c>
      <c r="G22" s="215">
        <v>40753</v>
      </c>
      <c r="H22" s="216">
        <v>183</v>
      </c>
      <c r="I22" s="217">
        <v>1041299</v>
      </c>
      <c r="J22" s="218">
        <v>19999</v>
      </c>
      <c r="K22" s="219" t="s">
        <v>2336</v>
      </c>
      <c r="L22" s="216" t="s">
        <v>2334</v>
      </c>
      <c r="M22" s="218" t="str">
        <f t="shared" si="0"/>
        <v>2011</v>
      </c>
    </row>
    <row r="23" spans="1:13" ht="15" customHeight="1">
      <c r="A23" s="210">
        <v>27</v>
      </c>
      <c r="B23" s="211" t="s">
        <v>1399</v>
      </c>
      <c r="C23" s="212">
        <v>403048040</v>
      </c>
      <c r="D23" s="211">
        <v>900487481</v>
      </c>
      <c r="E23" s="213" t="s">
        <v>1400</v>
      </c>
      <c r="F23" s="214">
        <v>1735629</v>
      </c>
      <c r="G23" s="215">
        <v>40899</v>
      </c>
      <c r="H23" s="216">
        <v>228</v>
      </c>
      <c r="I23" s="217">
        <v>1735629</v>
      </c>
      <c r="J23" s="218">
        <v>19999</v>
      </c>
      <c r="K23" s="219" t="s">
        <v>2336</v>
      </c>
      <c r="L23" s="216" t="s">
        <v>2334</v>
      </c>
      <c r="M23" s="218" t="str">
        <f t="shared" si="0"/>
        <v>2011</v>
      </c>
    </row>
    <row r="24" spans="1:13" ht="15" customHeight="1">
      <c r="A24" s="210">
        <v>29</v>
      </c>
      <c r="B24" s="211" t="s">
        <v>1408</v>
      </c>
      <c r="C24" s="212">
        <v>759036147.48000002</v>
      </c>
      <c r="D24" s="211">
        <v>10538292</v>
      </c>
      <c r="E24" s="213" t="s">
        <v>1233</v>
      </c>
      <c r="F24" s="214">
        <v>134333.48000001907</v>
      </c>
      <c r="G24" s="215">
        <v>40899</v>
      </c>
      <c r="H24" s="216">
        <v>229</v>
      </c>
      <c r="I24" s="217">
        <v>8813466</v>
      </c>
      <c r="J24" s="218">
        <v>19999</v>
      </c>
      <c r="K24" s="219" t="s">
        <v>2336</v>
      </c>
      <c r="L24" s="216" t="s">
        <v>2334</v>
      </c>
      <c r="M24" s="218" t="str">
        <f t="shared" si="0"/>
        <v>2011</v>
      </c>
    </row>
    <row r="25" spans="1:13" ht="15" customHeight="1">
      <c r="A25" s="210">
        <v>6</v>
      </c>
      <c r="B25" s="211" t="s">
        <v>1680</v>
      </c>
      <c r="C25" s="212">
        <v>190449007</v>
      </c>
      <c r="D25" s="211">
        <v>900670956</v>
      </c>
      <c r="E25" s="213" t="s">
        <v>2338</v>
      </c>
      <c r="F25" s="214">
        <v>415</v>
      </c>
      <c r="G25" s="215">
        <v>41310</v>
      </c>
      <c r="H25" s="216">
        <v>277</v>
      </c>
      <c r="I25" s="217">
        <v>1676258</v>
      </c>
      <c r="J25" s="218">
        <v>19999</v>
      </c>
      <c r="K25" s="219" t="s">
        <v>2336</v>
      </c>
      <c r="L25" s="216" t="s">
        <v>2334</v>
      </c>
      <c r="M25" s="218" t="str">
        <f t="shared" si="0"/>
        <v>2013</v>
      </c>
    </row>
    <row r="26" spans="1:13" ht="15" customHeight="1">
      <c r="A26" s="210">
        <v>44</v>
      </c>
      <c r="B26" s="211" t="s">
        <v>2351</v>
      </c>
      <c r="C26" s="212">
        <v>15995000</v>
      </c>
      <c r="D26" s="211">
        <v>8300610</v>
      </c>
      <c r="E26" s="213" t="s">
        <v>1733</v>
      </c>
      <c r="F26" s="214"/>
      <c r="G26" s="215">
        <v>41234</v>
      </c>
      <c r="H26" s="216">
        <v>269</v>
      </c>
      <c r="I26" s="217">
        <v>95005000</v>
      </c>
      <c r="J26" s="218">
        <v>19999</v>
      </c>
      <c r="K26" s="219" t="s">
        <v>2336</v>
      </c>
      <c r="L26" s="216" t="s">
        <v>2347</v>
      </c>
      <c r="M26" s="218" t="str">
        <f t="shared" si="0"/>
        <v>1-20</v>
      </c>
    </row>
    <row r="27" spans="1:13" ht="15" customHeight="1">
      <c r="A27" s="210">
        <v>31</v>
      </c>
      <c r="B27" s="211" t="s">
        <v>1471</v>
      </c>
      <c r="C27" s="212">
        <v>138893767</v>
      </c>
      <c r="D27" s="211">
        <v>76308097</v>
      </c>
      <c r="E27" s="213" t="s">
        <v>1472</v>
      </c>
      <c r="F27" s="214"/>
      <c r="G27" s="215">
        <v>41165</v>
      </c>
      <c r="H27" s="216">
        <v>253</v>
      </c>
      <c r="I27" s="217">
        <v>422508</v>
      </c>
      <c r="J27" s="218">
        <v>19999</v>
      </c>
      <c r="K27" s="219" t="s">
        <v>2336</v>
      </c>
      <c r="L27" s="216" t="s">
        <v>2347</v>
      </c>
      <c r="M27" s="218" t="str">
        <f t="shared" si="0"/>
        <v>2013</v>
      </c>
    </row>
    <row r="28" spans="1:13" ht="15" customHeight="1">
      <c r="A28" s="210">
        <v>34</v>
      </c>
      <c r="B28" s="211" t="s">
        <v>2143</v>
      </c>
      <c r="C28" s="212">
        <v>455759154</v>
      </c>
      <c r="D28" s="211">
        <v>76307421</v>
      </c>
      <c r="E28" s="213" t="s">
        <v>2142</v>
      </c>
      <c r="F28" s="214"/>
      <c r="G28" s="215">
        <v>40899</v>
      </c>
      <c r="H28" s="216">
        <v>231</v>
      </c>
      <c r="I28" s="217">
        <v>6618386.5999999996</v>
      </c>
      <c r="J28" s="218">
        <v>19999</v>
      </c>
      <c r="K28" s="219" t="s">
        <v>2336</v>
      </c>
      <c r="L28" s="216" t="s">
        <v>2347</v>
      </c>
      <c r="M28" s="218" t="str">
        <f t="shared" si="0"/>
        <v>2013</v>
      </c>
    </row>
    <row r="29" spans="1:13" ht="15" customHeight="1">
      <c r="A29" s="210">
        <v>37</v>
      </c>
      <c r="B29" s="211" t="s">
        <v>1493</v>
      </c>
      <c r="C29" s="212">
        <v>181607054</v>
      </c>
      <c r="D29" s="211">
        <v>10536855</v>
      </c>
      <c r="E29" s="213" t="s">
        <v>1494</v>
      </c>
      <c r="F29" s="214"/>
      <c r="G29" s="215">
        <v>41214</v>
      </c>
      <c r="H29" s="216">
        <v>259</v>
      </c>
      <c r="I29" s="217">
        <v>1719736</v>
      </c>
      <c r="J29" s="218">
        <v>19999</v>
      </c>
      <c r="K29" s="219" t="s">
        <v>2336</v>
      </c>
      <c r="L29" s="216" t="s">
        <v>2347</v>
      </c>
      <c r="M29" s="218" t="str">
        <f t="shared" si="0"/>
        <v>2013</v>
      </c>
    </row>
    <row r="30" spans="1:13" ht="15" customHeight="1">
      <c r="A30" s="210">
        <v>40</v>
      </c>
      <c r="B30" s="211" t="s">
        <v>1502</v>
      </c>
      <c r="C30" s="212">
        <v>3547077145</v>
      </c>
      <c r="D30" s="211">
        <v>900577309</v>
      </c>
      <c r="E30" s="213" t="s">
        <v>1503</v>
      </c>
      <c r="F30" s="214">
        <v>11322.8</v>
      </c>
      <c r="G30" s="215">
        <v>41080</v>
      </c>
      <c r="H30" s="216">
        <v>239</v>
      </c>
      <c r="I30" s="217">
        <v>11322.8</v>
      </c>
      <c r="J30" s="218">
        <v>19999</v>
      </c>
      <c r="K30" s="219" t="s">
        <v>2336</v>
      </c>
      <c r="L30" s="216" t="s">
        <v>2347</v>
      </c>
      <c r="M30" s="218" t="str">
        <f t="shared" si="0"/>
        <v>2013</v>
      </c>
    </row>
    <row r="31" spans="1:13" ht="15" customHeight="1">
      <c r="A31" s="210">
        <v>42</v>
      </c>
      <c r="B31" s="211" t="s">
        <v>1532</v>
      </c>
      <c r="C31" s="212">
        <v>63903840</v>
      </c>
      <c r="D31" s="211">
        <v>10482754</v>
      </c>
      <c r="E31" s="213" t="s">
        <v>1533</v>
      </c>
      <c r="F31" s="214">
        <v>479210</v>
      </c>
      <c r="G31" s="215">
        <v>41212</v>
      </c>
      <c r="H31" s="216">
        <v>257</v>
      </c>
      <c r="I31" s="217">
        <v>849961</v>
      </c>
      <c r="J31" s="218">
        <v>19999</v>
      </c>
      <c r="K31" s="219" t="s">
        <v>2336</v>
      </c>
      <c r="L31" s="216" t="s">
        <v>2347</v>
      </c>
      <c r="M31" s="218" t="str">
        <f t="shared" si="0"/>
        <v>2013</v>
      </c>
    </row>
    <row r="32" spans="1:13" ht="15" customHeight="1">
      <c r="A32" s="210">
        <v>43</v>
      </c>
      <c r="B32" s="211" t="s">
        <v>1539</v>
      </c>
      <c r="C32" s="212">
        <v>255010855</v>
      </c>
      <c r="D32" s="211">
        <v>19130521</v>
      </c>
      <c r="E32" s="213" t="s">
        <v>1540</v>
      </c>
      <c r="F32" s="214">
        <v>3900</v>
      </c>
      <c r="G32" s="215">
        <v>41186</v>
      </c>
      <c r="H32" s="216">
        <v>255</v>
      </c>
      <c r="I32" s="217">
        <v>3326806</v>
      </c>
      <c r="J32" s="218">
        <v>19999</v>
      </c>
      <c r="K32" s="219" t="s">
        <v>2336</v>
      </c>
      <c r="L32" s="216" t="s">
        <v>2347</v>
      </c>
      <c r="M32" s="218" t="str">
        <f t="shared" si="0"/>
        <v>2013</v>
      </c>
    </row>
    <row r="33" spans="1:13" ht="15" customHeight="1">
      <c r="A33" s="210">
        <v>47</v>
      </c>
      <c r="B33" s="211" t="s">
        <v>1557</v>
      </c>
      <c r="C33" s="212">
        <v>241352608</v>
      </c>
      <c r="D33" s="211">
        <v>900618452</v>
      </c>
      <c r="E33" s="213" t="s">
        <v>1558</v>
      </c>
      <c r="F33" s="214"/>
      <c r="G33" s="215">
        <v>40899</v>
      </c>
      <c r="H33" s="216">
        <v>232</v>
      </c>
      <c r="I33" s="217">
        <v>25166.329999998212</v>
      </c>
      <c r="J33" s="218">
        <v>19999</v>
      </c>
      <c r="K33" s="219" t="s">
        <v>2336</v>
      </c>
      <c r="L33" s="216" t="s">
        <v>2347</v>
      </c>
      <c r="M33" s="218" t="str">
        <f t="shared" si="0"/>
        <v>2013</v>
      </c>
    </row>
    <row r="34" spans="1:13" ht="15" customHeight="1">
      <c r="A34" s="210">
        <v>46</v>
      </c>
      <c r="B34" s="211" t="s">
        <v>1557</v>
      </c>
      <c r="C34" s="212">
        <v>241352608</v>
      </c>
      <c r="D34" s="211">
        <v>900618452</v>
      </c>
      <c r="E34" s="213" t="s">
        <v>1558</v>
      </c>
      <c r="F34" s="214">
        <v>2133.13</v>
      </c>
      <c r="G34" s="215">
        <v>41165</v>
      </c>
      <c r="H34" s="216">
        <v>254</v>
      </c>
      <c r="I34" s="217">
        <v>7415.92</v>
      </c>
      <c r="J34" s="218">
        <v>19999</v>
      </c>
      <c r="K34" s="219" t="s">
        <v>2336</v>
      </c>
      <c r="L34" s="216" t="s">
        <v>2347</v>
      </c>
      <c r="M34" s="218" t="str">
        <f t="shared" si="0"/>
        <v>2013</v>
      </c>
    </row>
    <row r="35" spans="1:13" ht="15" customHeight="1">
      <c r="A35" s="210">
        <v>50</v>
      </c>
      <c r="B35" s="211" t="s">
        <v>1557</v>
      </c>
      <c r="C35" s="212">
        <v>241352608</v>
      </c>
      <c r="D35" s="211">
        <v>900618452</v>
      </c>
      <c r="E35" s="213" t="s">
        <v>1558</v>
      </c>
      <c r="F35" s="214"/>
      <c r="G35" s="215">
        <v>41212</v>
      </c>
      <c r="H35" s="216">
        <v>258</v>
      </c>
      <c r="I35" s="217">
        <v>3539.7099999999627</v>
      </c>
      <c r="J35" s="218">
        <v>19999</v>
      </c>
      <c r="K35" s="219" t="s">
        <v>2336</v>
      </c>
      <c r="L35" s="216" t="s">
        <v>2347</v>
      </c>
      <c r="M35" s="218" t="str">
        <f t="shared" si="0"/>
        <v>2013</v>
      </c>
    </row>
    <row r="36" spans="1:13" ht="15" customHeight="1">
      <c r="A36" s="210">
        <v>48</v>
      </c>
      <c r="B36" s="211" t="s">
        <v>1557</v>
      </c>
      <c r="C36" s="212">
        <v>241352608</v>
      </c>
      <c r="D36" s="211">
        <v>900618452</v>
      </c>
      <c r="E36" s="213" t="s">
        <v>1558</v>
      </c>
      <c r="F36" s="214">
        <v>6701.47</v>
      </c>
      <c r="G36" s="215">
        <v>41214</v>
      </c>
      <c r="H36" s="216">
        <v>260</v>
      </c>
      <c r="I36" s="217">
        <v>15716.160000000971</v>
      </c>
      <c r="J36" s="218">
        <v>19999</v>
      </c>
      <c r="K36" s="219" t="s">
        <v>2336</v>
      </c>
      <c r="L36" s="216" t="s">
        <v>2347</v>
      </c>
      <c r="M36" s="218" t="str">
        <f t="shared" si="0"/>
        <v>2013</v>
      </c>
    </row>
    <row r="37" spans="1:13" ht="15" customHeight="1">
      <c r="A37" s="210">
        <v>52</v>
      </c>
      <c r="B37" s="211" t="s">
        <v>1548</v>
      </c>
      <c r="C37" s="212">
        <v>259231023</v>
      </c>
      <c r="D37" s="211">
        <v>76305303</v>
      </c>
      <c r="E37" s="213" t="s">
        <v>1481</v>
      </c>
      <c r="F37" s="214">
        <v>151148</v>
      </c>
      <c r="G37" s="215">
        <v>41309</v>
      </c>
      <c r="H37" s="216">
        <v>275</v>
      </c>
      <c r="I37" s="217">
        <v>1774114</v>
      </c>
      <c r="J37" s="218">
        <v>19999</v>
      </c>
      <c r="K37" s="219" t="s">
        <v>2336</v>
      </c>
      <c r="L37" s="216" t="s">
        <v>2347</v>
      </c>
      <c r="M37" s="218" t="str">
        <f t="shared" si="0"/>
        <v>2013</v>
      </c>
    </row>
    <row r="38" spans="1:13" ht="15" customHeight="1">
      <c r="A38" s="210">
        <v>55</v>
      </c>
      <c r="B38" s="211" t="s">
        <v>1616</v>
      </c>
      <c r="C38" s="212">
        <v>848755219</v>
      </c>
      <c r="D38" s="211">
        <v>10537006</v>
      </c>
      <c r="E38" s="213" t="s">
        <v>1617</v>
      </c>
      <c r="F38" s="214"/>
      <c r="G38" s="215">
        <v>41533</v>
      </c>
      <c r="H38" s="216">
        <v>290</v>
      </c>
      <c r="I38" s="217">
        <v>4349292</v>
      </c>
      <c r="J38" s="218">
        <v>19999</v>
      </c>
      <c r="K38" s="219" t="s">
        <v>2336</v>
      </c>
      <c r="L38" s="216" t="s">
        <v>2347</v>
      </c>
      <c r="M38" s="218" t="str">
        <f t="shared" si="0"/>
        <v>2013</v>
      </c>
    </row>
    <row r="39" spans="1:13" ht="15" customHeight="1">
      <c r="A39" s="210">
        <v>45</v>
      </c>
      <c r="B39" s="211" t="s">
        <v>1746</v>
      </c>
      <c r="C39" s="212">
        <v>8672717</v>
      </c>
      <c r="D39" s="211">
        <v>98572671</v>
      </c>
      <c r="E39" s="213" t="s">
        <v>1747</v>
      </c>
      <c r="F39" s="214"/>
      <c r="G39" s="215">
        <v>41598</v>
      </c>
      <c r="H39" s="216">
        <v>297</v>
      </c>
      <c r="I39" s="217">
        <v>456459</v>
      </c>
      <c r="J39" s="218">
        <v>19999</v>
      </c>
      <c r="K39" s="219" t="s">
        <v>2336</v>
      </c>
      <c r="L39" s="216" t="s">
        <v>2347</v>
      </c>
      <c r="M39" s="218" t="str">
        <f t="shared" si="0"/>
        <v>2014</v>
      </c>
    </row>
    <row r="40" spans="1:13" ht="15" customHeight="1">
      <c r="A40" s="210">
        <v>1</v>
      </c>
      <c r="B40" s="211" t="s">
        <v>233</v>
      </c>
      <c r="C40" s="212">
        <v>92855436</v>
      </c>
      <c r="D40" s="211">
        <v>900346392</v>
      </c>
      <c r="E40" s="213" t="s">
        <v>175</v>
      </c>
      <c r="F40" s="214"/>
      <c r="G40" s="215">
        <v>40211</v>
      </c>
      <c r="H40" s="216">
        <v>1</v>
      </c>
      <c r="I40" s="217">
        <v>12064</v>
      </c>
      <c r="J40" s="218">
        <v>19999</v>
      </c>
      <c r="K40" s="219" t="s">
        <v>2336</v>
      </c>
      <c r="L40" s="216" t="s">
        <v>2332</v>
      </c>
      <c r="M40" s="218" t="str">
        <f t="shared" ref="M40:M71" si="1">MID(B40,5,4)</f>
        <v>2010</v>
      </c>
    </row>
    <row r="41" spans="1:13" ht="15" customHeight="1">
      <c r="A41" s="210">
        <v>2</v>
      </c>
      <c r="B41" s="211" t="s">
        <v>234</v>
      </c>
      <c r="C41" s="212">
        <v>138932500</v>
      </c>
      <c r="D41" s="211">
        <v>900342899</v>
      </c>
      <c r="E41" s="213" t="s">
        <v>6</v>
      </c>
      <c r="F41" s="214">
        <v>91</v>
      </c>
      <c r="G41" s="215">
        <v>40211</v>
      </c>
      <c r="H41" s="216">
        <v>2</v>
      </c>
      <c r="I41" s="217">
        <v>91</v>
      </c>
      <c r="J41" s="218">
        <v>19999</v>
      </c>
      <c r="K41" s="219" t="s">
        <v>2336</v>
      </c>
      <c r="L41" s="216" t="s">
        <v>2332</v>
      </c>
      <c r="M41" s="218" t="str">
        <f t="shared" si="1"/>
        <v>2010</v>
      </c>
    </row>
    <row r="42" spans="1:13" ht="15" customHeight="1">
      <c r="A42" s="210">
        <v>3</v>
      </c>
      <c r="B42" s="211" t="s">
        <v>929</v>
      </c>
      <c r="C42" s="212">
        <v>210275520</v>
      </c>
      <c r="D42" s="211">
        <v>900346392</v>
      </c>
      <c r="E42" s="213" t="s">
        <v>175</v>
      </c>
      <c r="F42" s="214"/>
      <c r="G42" s="215">
        <v>40211</v>
      </c>
      <c r="H42" s="216">
        <v>28</v>
      </c>
      <c r="I42" s="217">
        <v>6380</v>
      </c>
      <c r="J42" s="218">
        <v>19999</v>
      </c>
      <c r="K42" s="219" t="s">
        <v>2336</v>
      </c>
      <c r="L42" s="216" t="s">
        <v>2332</v>
      </c>
      <c r="M42" s="218" t="str">
        <f t="shared" si="1"/>
        <v>2010</v>
      </c>
    </row>
    <row r="43" spans="1:13" ht="15" customHeight="1">
      <c r="A43" s="210">
        <v>5</v>
      </c>
      <c r="B43" s="211" t="s">
        <v>259</v>
      </c>
      <c r="C43" s="212">
        <v>50000000</v>
      </c>
      <c r="D43" s="211">
        <v>900346831</v>
      </c>
      <c r="E43" s="213" t="s">
        <v>260</v>
      </c>
      <c r="F43" s="214">
        <v>3000000</v>
      </c>
      <c r="G43" s="215">
        <v>40211</v>
      </c>
      <c r="H43" s="216">
        <v>25</v>
      </c>
      <c r="I43" s="217">
        <v>3046750</v>
      </c>
      <c r="J43" s="218">
        <v>19999</v>
      </c>
      <c r="K43" s="219" t="s">
        <v>2336</v>
      </c>
      <c r="L43" s="216" t="s">
        <v>2332</v>
      </c>
      <c r="M43" s="218" t="str">
        <f t="shared" si="1"/>
        <v>2010</v>
      </c>
    </row>
    <row r="44" spans="1:13" ht="15" customHeight="1">
      <c r="A44" s="210">
        <v>7</v>
      </c>
      <c r="B44" s="211" t="s">
        <v>639</v>
      </c>
      <c r="C44" s="212">
        <v>148844385</v>
      </c>
      <c r="D44" s="211">
        <v>900368928</v>
      </c>
      <c r="E44" s="213" t="s">
        <v>641</v>
      </c>
      <c r="F44" s="214">
        <v>0</v>
      </c>
      <c r="G44" s="215">
        <v>40707</v>
      </c>
      <c r="H44" s="216">
        <v>91</v>
      </c>
      <c r="I44" s="217">
        <v>75029.429999999702</v>
      </c>
      <c r="J44" s="218">
        <v>19999</v>
      </c>
      <c r="K44" s="219" t="s">
        <v>2336</v>
      </c>
      <c r="L44" s="216" t="s">
        <v>2332</v>
      </c>
      <c r="M44" s="218" t="str">
        <f t="shared" si="1"/>
        <v>2010</v>
      </c>
    </row>
    <row r="45" spans="1:13" ht="15" customHeight="1">
      <c r="A45" s="210">
        <v>9</v>
      </c>
      <c r="B45" s="211" t="s">
        <v>680</v>
      </c>
      <c r="C45" s="212">
        <v>61799726</v>
      </c>
      <c r="D45" s="211">
        <v>900342899</v>
      </c>
      <c r="E45" s="213" t="s">
        <v>6</v>
      </c>
      <c r="F45" s="214"/>
      <c r="G45" s="215">
        <v>40413</v>
      </c>
      <c r="H45" s="216">
        <v>98</v>
      </c>
      <c r="I45" s="217">
        <v>11646.599999997765</v>
      </c>
      <c r="J45" s="218">
        <v>19999</v>
      </c>
      <c r="K45" s="219" t="s">
        <v>2336</v>
      </c>
      <c r="L45" s="216" t="s">
        <v>2332</v>
      </c>
      <c r="M45" s="218" t="str">
        <f t="shared" si="1"/>
        <v>2010</v>
      </c>
    </row>
    <row r="46" spans="1:13" ht="15" customHeight="1">
      <c r="A46" s="210">
        <v>11</v>
      </c>
      <c r="B46" s="211" t="s">
        <v>525</v>
      </c>
      <c r="C46" s="212">
        <v>89612419.200000003</v>
      </c>
      <c r="D46" s="211">
        <v>10528780</v>
      </c>
      <c r="E46" s="213" t="s">
        <v>526</v>
      </c>
      <c r="F46" s="214"/>
      <c r="G46" s="215">
        <v>40413</v>
      </c>
      <c r="H46" s="216">
        <v>100</v>
      </c>
      <c r="I46" s="217">
        <v>73139.929999999702</v>
      </c>
      <c r="J46" s="218">
        <v>19999</v>
      </c>
      <c r="K46" s="219" t="s">
        <v>2336</v>
      </c>
      <c r="L46" s="216" t="s">
        <v>2332</v>
      </c>
      <c r="M46" s="218" t="str">
        <f t="shared" si="1"/>
        <v>2010</v>
      </c>
    </row>
    <row r="47" spans="1:13" ht="15" customHeight="1">
      <c r="A47" s="210">
        <v>12</v>
      </c>
      <c r="B47" s="211" t="s">
        <v>525</v>
      </c>
      <c r="C47" s="212">
        <v>89612419.200000003</v>
      </c>
      <c r="D47" s="211">
        <v>10528780</v>
      </c>
      <c r="E47" s="213" t="s">
        <v>526</v>
      </c>
      <c r="F47" s="214"/>
      <c r="G47" s="215">
        <v>40413</v>
      </c>
      <c r="H47" s="216">
        <v>100</v>
      </c>
      <c r="I47" s="217">
        <v>109709.86999999732</v>
      </c>
      <c r="J47" s="218">
        <v>19999</v>
      </c>
      <c r="K47" s="219" t="s">
        <v>2336</v>
      </c>
      <c r="L47" s="216" t="s">
        <v>2332</v>
      </c>
      <c r="M47" s="218" t="str">
        <f t="shared" si="1"/>
        <v>2010</v>
      </c>
    </row>
    <row r="48" spans="1:13" ht="15" customHeight="1">
      <c r="A48" s="210">
        <v>17</v>
      </c>
      <c r="B48" s="211" t="s">
        <v>1149</v>
      </c>
      <c r="C48" s="212">
        <v>487926297</v>
      </c>
      <c r="D48" s="211">
        <v>900470501</v>
      </c>
      <c r="E48" s="213" t="s">
        <v>2340</v>
      </c>
      <c r="F48" s="214">
        <v>0</v>
      </c>
      <c r="G48" s="215">
        <v>40753</v>
      </c>
      <c r="H48" s="216">
        <v>183</v>
      </c>
      <c r="I48" s="217">
        <v>371238</v>
      </c>
      <c r="J48" s="218">
        <v>19999</v>
      </c>
      <c r="K48" s="219" t="s">
        <v>2336</v>
      </c>
      <c r="L48" s="216" t="s">
        <v>2332</v>
      </c>
      <c r="M48" s="218" t="str">
        <f t="shared" si="1"/>
        <v>2011</v>
      </c>
    </row>
    <row r="49" spans="1:13" ht="15" customHeight="1">
      <c r="A49" s="210">
        <v>20</v>
      </c>
      <c r="B49" s="211" t="s">
        <v>1166</v>
      </c>
      <c r="C49" s="212">
        <v>110988170</v>
      </c>
      <c r="D49" s="211">
        <v>900471403</v>
      </c>
      <c r="E49" s="213" t="s">
        <v>1136</v>
      </c>
      <c r="F49" s="214">
        <v>1.5</v>
      </c>
      <c r="G49" s="215">
        <v>40753</v>
      </c>
      <c r="H49" s="216">
        <v>177</v>
      </c>
      <c r="I49" s="217">
        <v>1.5</v>
      </c>
      <c r="J49" s="218">
        <v>19999</v>
      </c>
      <c r="K49" s="219" t="s">
        <v>2336</v>
      </c>
      <c r="L49" s="216" t="s">
        <v>2332</v>
      </c>
      <c r="M49" s="218" t="str">
        <f t="shared" si="1"/>
        <v>2011</v>
      </c>
    </row>
    <row r="50" spans="1:13" ht="15" customHeight="1">
      <c r="A50" s="210">
        <v>23</v>
      </c>
      <c r="B50" s="211" t="s">
        <v>1135</v>
      </c>
      <c r="C50" s="212">
        <v>62465292</v>
      </c>
      <c r="D50" s="211">
        <v>900471403</v>
      </c>
      <c r="E50" s="213" t="s">
        <v>1136</v>
      </c>
      <c r="F50" s="214"/>
      <c r="G50" s="215">
        <v>40753</v>
      </c>
      <c r="H50" s="216">
        <v>178</v>
      </c>
      <c r="I50" s="217">
        <v>2</v>
      </c>
      <c r="J50" s="218">
        <v>19999</v>
      </c>
      <c r="K50" s="219" t="s">
        <v>2336</v>
      </c>
      <c r="L50" s="216" t="s">
        <v>2332</v>
      </c>
      <c r="M50" s="218" t="str">
        <f t="shared" si="1"/>
        <v>2011</v>
      </c>
    </row>
    <row r="51" spans="1:13" ht="15" customHeight="1">
      <c r="A51" s="210">
        <v>24</v>
      </c>
      <c r="B51" s="211" t="s">
        <v>1180</v>
      </c>
      <c r="C51" s="212">
        <v>142336878</v>
      </c>
      <c r="D51" s="211">
        <v>900471400</v>
      </c>
      <c r="E51" s="213" t="s">
        <v>1186</v>
      </c>
      <c r="F51" s="214"/>
      <c r="G51" s="215">
        <v>40753</v>
      </c>
      <c r="H51" s="216">
        <v>181</v>
      </c>
      <c r="I51" s="217">
        <v>89393</v>
      </c>
      <c r="J51" s="218">
        <v>19999</v>
      </c>
      <c r="K51" s="219" t="s">
        <v>2336</v>
      </c>
      <c r="L51" s="216" t="s">
        <v>2332</v>
      </c>
      <c r="M51" s="218" t="str">
        <f t="shared" si="1"/>
        <v>2011</v>
      </c>
    </row>
    <row r="52" spans="1:13" ht="15" customHeight="1">
      <c r="A52" s="210">
        <v>25</v>
      </c>
      <c r="B52" s="211" t="s">
        <v>1167</v>
      </c>
      <c r="C52" s="212">
        <v>209738150</v>
      </c>
      <c r="D52" s="211">
        <v>900480276</v>
      </c>
      <c r="E52" s="213" t="s">
        <v>1168</v>
      </c>
      <c r="F52" s="214"/>
      <c r="G52" s="215">
        <v>40851</v>
      </c>
      <c r="H52" s="216">
        <v>221</v>
      </c>
      <c r="I52" s="217">
        <v>168</v>
      </c>
      <c r="J52" s="218">
        <v>19999</v>
      </c>
      <c r="K52" s="219" t="s">
        <v>2336</v>
      </c>
      <c r="L52" s="216" t="s">
        <v>2332</v>
      </c>
      <c r="M52" s="218" t="str">
        <f t="shared" si="1"/>
        <v>2011</v>
      </c>
    </row>
    <row r="53" spans="1:13" ht="15" customHeight="1">
      <c r="A53" s="210">
        <v>26</v>
      </c>
      <c r="B53" s="211" t="s">
        <v>1222</v>
      </c>
      <c r="C53" s="212">
        <v>63321180</v>
      </c>
      <c r="D53" s="211">
        <v>900483768</v>
      </c>
      <c r="E53" s="213" t="s">
        <v>1226</v>
      </c>
      <c r="F53" s="214"/>
      <c r="G53" s="215">
        <v>40851</v>
      </c>
      <c r="H53" s="216">
        <v>219</v>
      </c>
      <c r="I53" s="217">
        <v>790979</v>
      </c>
      <c r="J53" s="218">
        <v>19999</v>
      </c>
      <c r="K53" s="219" t="s">
        <v>2336</v>
      </c>
      <c r="L53" s="216" t="s">
        <v>2332</v>
      </c>
      <c r="M53" s="218" t="str">
        <f t="shared" si="1"/>
        <v>2011</v>
      </c>
    </row>
    <row r="54" spans="1:13" ht="15" customHeight="1">
      <c r="A54" s="210">
        <v>32</v>
      </c>
      <c r="B54" s="211" t="s">
        <v>1471</v>
      </c>
      <c r="C54" s="212">
        <v>138893767</v>
      </c>
      <c r="D54" s="211">
        <v>76308097</v>
      </c>
      <c r="E54" s="213" t="s">
        <v>1472</v>
      </c>
      <c r="F54" s="214"/>
      <c r="G54" s="215">
        <v>41165</v>
      </c>
      <c r="H54" s="216">
        <v>253</v>
      </c>
      <c r="I54" s="217">
        <v>459991</v>
      </c>
      <c r="J54" s="218">
        <v>19999</v>
      </c>
      <c r="K54" s="219" t="s">
        <v>2336</v>
      </c>
      <c r="L54" s="216" t="s">
        <v>2332</v>
      </c>
      <c r="M54" s="218" t="str">
        <f t="shared" si="1"/>
        <v>2013</v>
      </c>
    </row>
    <row r="55" spans="1:13" ht="15" customHeight="1">
      <c r="A55" s="210">
        <v>35</v>
      </c>
      <c r="B55" s="211" t="s">
        <v>1480</v>
      </c>
      <c r="C55" s="212">
        <v>81536567</v>
      </c>
      <c r="D55" s="211">
        <v>76305303</v>
      </c>
      <c r="E55" s="213" t="s">
        <v>1481</v>
      </c>
      <c r="F55" s="214">
        <v>16</v>
      </c>
      <c r="G55" s="215">
        <v>41165</v>
      </c>
      <c r="H55" s="216">
        <v>251</v>
      </c>
      <c r="I55" s="217">
        <v>16</v>
      </c>
      <c r="J55" s="218">
        <v>19999</v>
      </c>
      <c r="K55" s="219" t="s">
        <v>2336</v>
      </c>
      <c r="L55" s="216" t="s">
        <v>2332</v>
      </c>
      <c r="M55" s="218" t="str">
        <f t="shared" si="1"/>
        <v>2013</v>
      </c>
    </row>
    <row r="56" spans="1:13" ht="15" customHeight="1">
      <c r="A56" s="210">
        <v>39</v>
      </c>
      <c r="B56" s="211" t="s">
        <v>1502</v>
      </c>
      <c r="C56" s="212">
        <v>3547077145</v>
      </c>
      <c r="D56" s="211">
        <v>900577309</v>
      </c>
      <c r="E56" s="213" t="s">
        <v>1503</v>
      </c>
      <c r="F56" s="214">
        <v>7921.29</v>
      </c>
      <c r="G56" s="215">
        <v>41080</v>
      </c>
      <c r="H56" s="216">
        <v>239</v>
      </c>
      <c r="I56" s="217">
        <v>7921.29</v>
      </c>
      <c r="J56" s="218">
        <v>19999</v>
      </c>
      <c r="K56" s="219" t="s">
        <v>2336</v>
      </c>
      <c r="L56" s="216" t="s">
        <v>2332</v>
      </c>
      <c r="M56" s="218" t="str">
        <f t="shared" si="1"/>
        <v>2013</v>
      </c>
    </row>
    <row r="57" spans="1:13" ht="15" customHeight="1">
      <c r="A57" s="210">
        <v>38</v>
      </c>
      <c r="B57" s="211" t="s">
        <v>1502</v>
      </c>
      <c r="C57" s="212">
        <v>3547077145</v>
      </c>
      <c r="D57" s="211">
        <v>900577309</v>
      </c>
      <c r="E57" s="213" t="s">
        <v>1503</v>
      </c>
      <c r="F57" s="214">
        <v>17627.740000000002</v>
      </c>
      <c r="G57" s="215">
        <v>41080</v>
      </c>
      <c r="H57" s="216">
        <v>240</v>
      </c>
      <c r="I57" s="217">
        <v>17627.740000000002</v>
      </c>
      <c r="J57" s="218">
        <v>19999</v>
      </c>
      <c r="K57" s="219" t="s">
        <v>2336</v>
      </c>
      <c r="L57" s="216" t="s">
        <v>2332</v>
      </c>
      <c r="M57" s="218" t="str">
        <f t="shared" si="1"/>
        <v>2013</v>
      </c>
    </row>
    <row r="58" spans="1:13" ht="15" customHeight="1">
      <c r="A58" s="210">
        <v>51</v>
      </c>
      <c r="B58" s="211" t="s">
        <v>1557</v>
      </c>
      <c r="C58" s="212">
        <v>241352608</v>
      </c>
      <c r="D58" s="211">
        <v>900618452</v>
      </c>
      <c r="E58" s="213" t="s">
        <v>1558</v>
      </c>
      <c r="F58" s="214">
        <v>1</v>
      </c>
      <c r="G58" s="215">
        <v>41955</v>
      </c>
      <c r="H58" s="216">
        <v>311</v>
      </c>
      <c r="I58" s="217">
        <v>1</v>
      </c>
      <c r="J58" s="218">
        <v>19999</v>
      </c>
      <c r="K58" s="219" t="s">
        <v>2336</v>
      </c>
      <c r="L58" s="216" t="s">
        <v>2332</v>
      </c>
      <c r="M58" s="218" t="str">
        <f t="shared" si="1"/>
        <v>2013</v>
      </c>
    </row>
    <row r="59" spans="1:13" ht="15" customHeight="1">
      <c r="A59" s="210">
        <v>53</v>
      </c>
      <c r="B59" s="211" t="s">
        <v>1548</v>
      </c>
      <c r="C59" s="212">
        <v>259231023</v>
      </c>
      <c r="D59" s="211">
        <v>76305303</v>
      </c>
      <c r="E59" s="213" t="s">
        <v>1481</v>
      </c>
      <c r="F59" s="214"/>
      <c r="G59" s="215">
        <v>41165</v>
      </c>
      <c r="H59" s="216">
        <v>249</v>
      </c>
      <c r="I59" s="217">
        <v>1133331</v>
      </c>
      <c r="J59" s="218">
        <v>19999</v>
      </c>
      <c r="K59" s="219" t="s">
        <v>2336</v>
      </c>
      <c r="L59" s="216" t="s">
        <v>2332</v>
      </c>
      <c r="M59" s="218" t="str">
        <f t="shared" si="1"/>
        <v>2013</v>
      </c>
    </row>
    <row r="60" spans="1:13" ht="15" customHeight="1">
      <c r="A60" s="210">
        <v>21</v>
      </c>
      <c r="B60" s="211" t="s">
        <v>1109</v>
      </c>
      <c r="C60" s="212">
        <v>1566678737</v>
      </c>
      <c r="D60" s="211">
        <v>72222176</v>
      </c>
      <c r="E60" s="213" t="s">
        <v>1110</v>
      </c>
      <c r="F60" s="214">
        <v>50.9</v>
      </c>
      <c r="G60" s="215">
        <v>40753</v>
      </c>
      <c r="H60" s="216">
        <v>1</v>
      </c>
      <c r="I60" s="217">
        <v>50.9</v>
      </c>
      <c r="J60" s="218">
        <v>19318</v>
      </c>
      <c r="K60" s="219" t="s">
        <v>2344</v>
      </c>
      <c r="L60" s="216" t="s">
        <v>2332</v>
      </c>
      <c r="M60" s="218" t="str">
        <f t="shared" si="1"/>
        <v>2011</v>
      </c>
    </row>
    <row r="61" spans="1:13" ht="15" customHeight="1">
      <c r="A61" s="210">
        <v>78</v>
      </c>
      <c r="B61" s="211" t="s">
        <v>2228</v>
      </c>
      <c r="C61" s="212">
        <v>1079635200</v>
      </c>
      <c r="D61" s="211">
        <v>900922061</v>
      </c>
      <c r="E61" s="213" t="s">
        <v>2227</v>
      </c>
      <c r="F61" s="214"/>
      <c r="G61" s="215">
        <v>42164</v>
      </c>
      <c r="H61" s="216">
        <v>7</v>
      </c>
      <c r="I61" s="217">
        <v>20266.669999999998</v>
      </c>
      <c r="J61" s="218">
        <v>19318</v>
      </c>
      <c r="K61" s="219" t="s">
        <v>2344</v>
      </c>
      <c r="L61" s="216" t="s">
        <v>2332</v>
      </c>
      <c r="M61" s="218" t="str">
        <f t="shared" si="1"/>
        <v>2016</v>
      </c>
    </row>
    <row r="62" spans="1:13" ht="15" customHeight="1">
      <c r="A62" s="210">
        <v>76</v>
      </c>
      <c r="B62" s="211" t="s">
        <v>2228</v>
      </c>
      <c r="C62" s="212">
        <v>1079635200</v>
      </c>
      <c r="D62" s="211">
        <v>900922061</v>
      </c>
      <c r="E62" s="213" t="s">
        <v>2227</v>
      </c>
      <c r="F62" s="214"/>
      <c r="G62" s="215">
        <v>42164</v>
      </c>
      <c r="H62" s="216">
        <v>8</v>
      </c>
      <c r="I62" s="217">
        <v>20266.669999999998</v>
      </c>
      <c r="J62" s="218">
        <v>19355</v>
      </c>
      <c r="K62" s="219" t="s">
        <v>2365</v>
      </c>
      <c r="L62" s="216" t="s">
        <v>2332</v>
      </c>
      <c r="M62" s="218" t="str">
        <f t="shared" si="1"/>
        <v>2016</v>
      </c>
    </row>
    <row r="63" spans="1:13" ht="15" customHeight="1">
      <c r="A63" s="210">
        <v>54</v>
      </c>
      <c r="B63" s="211" t="s">
        <v>1548</v>
      </c>
      <c r="C63" s="212">
        <v>259231023</v>
      </c>
      <c r="D63" s="211">
        <v>76305303</v>
      </c>
      <c r="E63" s="213" t="s">
        <v>1481</v>
      </c>
      <c r="F63" s="214">
        <v>5942533</v>
      </c>
      <c r="G63" s="215">
        <v>42173</v>
      </c>
      <c r="H63" s="216">
        <v>7</v>
      </c>
      <c r="I63" s="217">
        <v>5942533</v>
      </c>
      <c r="J63" s="218">
        <v>19392</v>
      </c>
      <c r="K63" s="219" t="s">
        <v>2352</v>
      </c>
      <c r="L63" s="216" t="s">
        <v>2332</v>
      </c>
      <c r="M63" s="218" t="str">
        <f t="shared" si="1"/>
        <v>2013</v>
      </c>
    </row>
    <row r="64" spans="1:13" ht="15" customHeight="1">
      <c r="A64" s="210">
        <v>75</v>
      </c>
      <c r="B64" s="211" t="s">
        <v>2228</v>
      </c>
      <c r="C64" s="212">
        <v>1079635200</v>
      </c>
      <c r="D64" s="211">
        <v>900922061</v>
      </c>
      <c r="E64" s="213" t="s">
        <v>2227</v>
      </c>
      <c r="F64" s="214"/>
      <c r="G64" s="215">
        <v>42164</v>
      </c>
      <c r="H64" s="216">
        <v>9</v>
      </c>
      <c r="I64" s="217">
        <v>20266.669999999998</v>
      </c>
      <c r="J64" s="218">
        <v>19397</v>
      </c>
      <c r="K64" s="219" t="s">
        <v>2364</v>
      </c>
      <c r="L64" s="216" t="s">
        <v>2332</v>
      </c>
      <c r="M64" s="218" t="str">
        <f t="shared" si="1"/>
        <v>2016</v>
      </c>
    </row>
    <row r="65" spans="1:13" ht="15" customHeight="1">
      <c r="A65" s="210">
        <v>63</v>
      </c>
      <c r="B65" s="211" t="s">
        <v>2228</v>
      </c>
      <c r="C65" s="212">
        <v>1079635200</v>
      </c>
      <c r="D65" s="211">
        <v>900922061</v>
      </c>
      <c r="E65" s="213" t="s">
        <v>2227</v>
      </c>
      <c r="F65" s="214"/>
      <c r="G65" s="215">
        <v>42164</v>
      </c>
      <c r="H65" s="216">
        <v>6</v>
      </c>
      <c r="I65" s="217">
        <v>20266.669999999998</v>
      </c>
      <c r="J65" s="218">
        <v>19418</v>
      </c>
      <c r="K65" s="219" t="s">
        <v>2357</v>
      </c>
      <c r="L65" s="216" t="s">
        <v>2332</v>
      </c>
      <c r="M65" s="218" t="str">
        <f t="shared" si="1"/>
        <v>2016</v>
      </c>
    </row>
    <row r="66" spans="1:13" ht="15" customHeight="1">
      <c r="A66" s="210">
        <v>36</v>
      </c>
      <c r="B66" s="211" t="s">
        <v>1493</v>
      </c>
      <c r="C66" s="212">
        <v>181607054</v>
      </c>
      <c r="D66" s="211">
        <v>10536855</v>
      </c>
      <c r="E66" s="213" t="s">
        <v>1494</v>
      </c>
      <c r="F66" s="214">
        <v>87.16</v>
      </c>
      <c r="G66" s="215">
        <v>42043</v>
      </c>
      <c r="H66" s="216">
        <v>10</v>
      </c>
      <c r="I66" s="217">
        <v>87.16</v>
      </c>
      <c r="J66" s="218">
        <v>19450</v>
      </c>
      <c r="K66" s="219" t="s">
        <v>2349</v>
      </c>
      <c r="L66" s="216" t="s">
        <v>2332</v>
      </c>
      <c r="M66" s="218" t="str">
        <f t="shared" si="1"/>
        <v>2013</v>
      </c>
    </row>
    <row r="67" spans="1:13" ht="15" customHeight="1">
      <c r="A67" s="210">
        <v>70</v>
      </c>
      <c r="B67" s="211" t="s">
        <v>2228</v>
      </c>
      <c r="C67" s="212">
        <v>1079635200</v>
      </c>
      <c r="D67" s="211">
        <v>900922061</v>
      </c>
      <c r="E67" s="213" t="s">
        <v>2227</v>
      </c>
      <c r="F67" s="214"/>
      <c r="G67" s="215">
        <v>42164</v>
      </c>
      <c r="H67" s="216">
        <v>16</v>
      </c>
      <c r="I67" s="217">
        <v>20266.669999999998</v>
      </c>
      <c r="J67" s="218">
        <v>19450</v>
      </c>
      <c r="K67" s="219" t="s">
        <v>2349</v>
      </c>
      <c r="L67" s="216" t="s">
        <v>2332</v>
      </c>
      <c r="M67" s="218" t="str">
        <f t="shared" si="1"/>
        <v>2016</v>
      </c>
    </row>
    <row r="68" spans="1:13" ht="15" customHeight="1">
      <c r="A68" s="210">
        <v>28</v>
      </c>
      <c r="B68" s="211" t="s">
        <v>1399</v>
      </c>
      <c r="C68" s="212">
        <v>403048040</v>
      </c>
      <c r="D68" s="211">
        <v>900487481</v>
      </c>
      <c r="E68" s="213" t="s">
        <v>1400</v>
      </c>
      <c r="F68" s="214">
        <v>432544</v>
      </c>
      <c r="G68" s="215">
        <v>40899</v>
      </c>
      <c r="H68" s="216">
        <v>3</v>
      </c>
      <c r="I68" s="217">
        <v>432544</v>
      </c>
      <c r="J68" s="218">
        <v>19473</v>
      </c>
      <c r="K68" s="219" t="s">
        <v>2345</v>
      </c>
      <c r="L68" s="216" t="s">
        <v>2332</v>
      </c>
      <c r="M68" s="218" t="str">
        <f t="shared" si="1"/>
        <v>2011</v>
      </c>
    </row>
    <row r="69" spans="1:13" ht="15" customHeight="1">
      <c r="A69" s="210">
        <v>56</v>
      </c>
      <c r="B69" s="211" t="s">
        <v>1616</v>
      </c>
      <c r="C69" s="212">
        <v>848755219</v>
      </c>
      <c r="D69" s="211">
        <v>10537006</v>
      </c>
      <c r="E69" s="213" t="s">
        <v>1617</v>
      </c>
      <c r="F69" s="214"/>
      <c r="G69" s="215">
        <v>41533</v>
      </c>
      <c r="H69" s="216">
        <v>4</v>
      </c>
      <c r="I69" s="217">
        <v>909292</v>
      </c>
      <c r="J69" s="218">
        <v>19513</v>
      </c>
      <c r="K69" s="219" t="s">
        <v>2353</v>
      </c>
      <c r="L69" s="216" t="s">
        <v>2332</v>
      </c>
      <c r="M69" s="218" t="str">
        <f t="shared" si="1"/>
        <v>2013</v>
      </c>
    </row>
    <row r="70" spans="1:13" ht="15" customHeight="1">
      <c r="A70" s="210">
        <v>57</v>
      </c>
      <c r="B70" s="211" t="s">
        <v>1616</v>
      </c>
      <c r="C70" s="212">
        <v>848755219</v>
      </c>
      <c r="D70" s="211">
        <v>10537006</v>
      </c>
      <c r="E70" s="213" t="s">
        <v>1617</v>
      </c>
      <c r="F70" s="214">
        <v>3840269</v>
      </c>
      <c r="G70" s="215">
        <v>42048</v>
      </c>
      <c r="H70" s="216">
        <v>8</v>
      </c>
      <c r="I70" s="217">
        <v>3840269</v>
      </c>
      <c r="J70" s="218">
        <v>19513</v>
      </c>
      <c r="K70" s="219" t="s">
        <v>2353</v>
      </c>
      <c r="L70" s="216" t="s">
        <v>2332</v>
      </c>
      <c r="M70" s="218" t="str">
        <f t="shared" si="1"/>
        <v>2013</v>
      </c>
    </row>
    <row r="71" spans="1:13" ht="15" customHeight="1">
      <c r="A71" s="210">
        <v>41</v>
      </c>
      <c r="B71" s="211" t="s">
        <v>1502</v>
      </c>
      <c r="C71" s="212">
        <v>3547077145</v>
      </c>
      <c r="D71" s="211">
        <v>900577309</v>
      </c>
      <c r="E71" s="213" t="s">
        <v>1503</v>
      </c>
      <c r="F71" s="214">
        <v>2021.16</v>
      </c>
      <c r="G71" s="215">
        <v>41080</v>
      </c>
      <c r="H71" s="216">
        <v>4</v>
      </c>
      <c r="I71" s="217">
        <v>2021.16</v>
      </c>
      <c r="J71" s="218">
        <v>19532</v>
      </c>
      <c r="K71" s="219" t="s">
        <v>2350</v>
      </c>
      <c r="L71" s="216" t="s">
        <v>2332</v>
      </c>
      <c r="M71" s="218" t="str">
        <f t="shared" si="1"/>
        <v>2013</v>
      </c>
    </row>
    <row r="72" spans="1:13" ht="15" customHeight="1">
      <c r="A72" s="210">
        <v>49</v>
      </c>
      <c r="B72" s="211" t="s">
        <v>1557</v>
      </c>
      <c r="C72" s="212">
        <v>241352608</v>
      </c>
      <c r="D72" s="211">
        <v>900618452</v>
      </c>
      <c r="E72" s="213" t="s">
        <v>1558</v>
      </c>
      <c r="F72" s="214"/>
      <c r="G72" s="215">
        <v>41080</v>
      </c>
      <c r="H72" s="216">
        <v>5</v>
      </c>
      <c r="I72" s="217">
        <v>104930.48000000417</v>
      </c>
      <c r="J72" s="218">
        <v>19532</v>
      </c>
      <c r="K72" s="219" t="s">
        <v>2350</v>
      </c>
      <c r="L72" s="216" t="s">
        <v>2332</v>
      </c>
      <c r="M72" s="218" t="str">
        <f t="shared" ref="M72:M85" si="2">MID(B72,5,4)</f>
        <v>2013</v>
      </c>
    </row>
    <row r="73" spans="1:13" ht="15" customHeight="1">
      <c r="A73" s="210">
        <v>69</v>
      </c>
      <c r="B73" s="211" t="s">
        <v>2228</v>
      </c>
      <c r="C73" s="212">
        <v>1079635200</v>
      </c>
      <c r="D73" s="211">
        <v>900922061</v>
      </c>
      <c r="E73" s="213" t="s">
        <v>2227</v>
      </c>
      <c r="F73" s="214"/>
      <c r="G73" s="215">
        <v>42164</v>
      </c>
      <c r="H73" s="216">
        <v>16</v>
      </c>
      <c r="I73" s="217">
        <v>20266.669999999998</v>
      </c>
      <c r="J73" s="218">
        <v>19532</v>
      </c>
      <c r="K73" s="219" t="s">
        <v>2350</v>
      </c>
      <c r="L73" s="216" t="s">
        <v>2332</v>
      </c>
      <c r="M73" s="218" t="str">
        <f t="shared" si="2"/>
        <v>2016</v>
      </c>
    </row>
    <row r="74" spans="1:13" ht="15" customHeight="1">
      <c r="A74" s="210">
        <v>71</v>
      </c>
      <c r="B74" s="211" t="s">
        <v>2228</v>
      </c>
      <c r="C74" s="212">
        <v>1079635200</v>
      </c>
      <c r="D74" s="211">
        <v>900922061</v>
      </c>
      <c r="E74" s="213" t="s">
        <v>2227</v>
      </c>
      <c r="F74" s="214"/>
      <c r="G74" s="215">
        <v>42164</v>
      </c>
      <c r="H74" s="216">
        <v>4</v>
      </c>
      <c r="I74" s="217">
        <v>20266.669999999998</v>
      </c>
      <c r="J74" s="218">
        <v>19533</v>
      </c>
      <c r="K74" s="219" t="s">
        <v>2361</v>
      </c>
      <c r="L74" s="216" t="s">
        <v>2332</v>
      </c>
      <c r="M74" s="218" t="str">
        <f t="shared" si="2"/>
        <v>2016</v>
      </c>
    </row>
    <row r="75" spans="1:13" ht="15" customHeight="1">
      <c r="A75" s="210">
        <v>67</v>
      </c>
      <c r="B75" s="211" t="s">
        <v>2228</v>
      </c>
      <c r="C75" s="212">
        <v>1079635200</v>
      </c>
      <c r="D75" s="211">
        <v>900922061</v>
      </c>
      <c r="E75" s="213" t="s">
        <v>2227</v>
      </c>
      <c r="F75" s="214"/>
      <c r="G75" s="215">
        <v>42164</v>
      </c>
      <c r="H75" s="216">
        <v>3</v>
      </c>
      <c r="I75" s="217">
        <v>20266.669999999998</v>
      </c>
      <c r="J75" s="218">
        <v>19622</v>
      </c>
      <c r="K75" s="219" t="s">
        <v>2359</v>
      </c>
      <c r="L75" s="216" t="s">
        <v>2332</v>
      </c>
      <c r="M75" s="218" t="str">
        <f t="shared" si="2"/>
        <v>2016</v>
      </c>
    </row>
    <row r="76" spans="1:13" ht="15" customHeight="1">
      <c r="A76" s="210">
        <v>58</v>
      </c>
      <c r="B76" s="211" t="s">
        <v>1920</v>
      </c>
      <c r="C76" s="212">
        <v>189575641</v>
      </c>
      <c r="D76" s="211">
        <v>10534582</v>
      </c>
      <c r="E76" s="213" t="s">
        <v>1713</v>
      </c>
      <c r="F76" s="214">
        <v>8119560</v>
      </c>
      <c r="G76" s="215">
        <v>42151</v>
      </c>
      <c r="H76" s="216">
        <v>4</v>
      </c>
      <c r="I76" s="217">
        <v>10410079</v>
      </c>
      <c r="J76" s="218">
        <v>19701</v>
      </c>
      <c r="K76" s="219" t="s">
        <v>2354</v>
      </c>
      <c r="L76" s="216" t="s">
        <v>2332</v>
      </c>
      <c r="M76" s="218" t="str">
        <f t="shared" si="2"/>
        <v>2015</v>
      </c>
    </row>
    <row r="77" spans="1:13" ht="15" customHeight="1">
      <c r="A77" s="210">
        <v>61</v>
      </c>
      <c r="B77" s="211" t="s">
        <v>2228</v>
      </c>
      <c r="C77" s="212">
        <v>1079635200</v>
      </c>
      <c r="D77" s="211">
        <v>900922061</v>
      </c>
      <c r="E77" s="213" t="s">
        <v>2227</v>
      </c>
      <c r="F77" s="214"/>
      <c r="G77" s="215">
        <v>42164</v>
      </c>
      <c r="H77" s="216">
        <v>6</v>
      </c>
      <c r="I77" s="217">
        <v>20266.669999999998</v>
      </c>
      <c r="J77" s="218">
        <v>19701</v>
      </c>
      <c r="K77" s="219" t="s">
        <v>2354</v>
      </c>
      <c r="L77" s="216" t="s">
        <v>2332</v>
      </c>
      <c r="M77" s="218" t="str">
        <f t="shared" si="2"/>
        <v>2016</v>
      </c>
    </row>
    <row r="78" spans="1:13" ht="15" customHeight="1">
      <c r="A78" s="210">
        <v>59</v>
      </c>
      <c r="B78" s="211" t="s">
        <v>2102</v>
      </c>
      <c r="C78" s="212">
        <v>13000000</v>
      </c>
      <c r="D78" s="211">
        <v>34545066</v>
      </c>
      <c r="E78" s="213" t="s">
        <v>2101</v>
      </c>
      <c r="F78" s="214"/>
      <c r="G78" s="215">
        <v>42151</v>
      </c>
      <c r="H78" s="216">
        <v>5</v>
      </c>
      <c r="I78" s="217">
        <v>430631</v>
      </c>
      <c r="J78" s="218">
        <v>19701</v>
      </c>
      <c r="K78" s="219" t="s">
        <v>2354</v>
      </c>
      <c r="L78" s="216" t="s">
        <v>2332</v>
      </c>
      <c r="M78" s="218" t="str">
        <f t="shared" si="2"/>
        <v>2016</v>
      </c>
    </row>
    <row r="79" spans="1:13" ht="15" customHeight="1">
      <c r="A79" s="210">
        <v>68</v>
      </c>
      <c r="B79" s="211" t="s">
        <v>2228</v>
      </c>
      <c r="C79" s="212">
        <v>1079635200</v>
      </c>
      <c r="D79" s="211">
        <v>900922061</v>
      </c>
      <c r="E79" s="213" t="s">
        <v>2227</v>
      </c>
      <c r="F79" s="214">
        <v>323890.56</v>
      </c>
      <c r="G79" s="215">
        <v>42164</v>
      </c>
      <c r="H79" s="216">
        <v>8</v>
      </c>
      <c r="I79" s="217">
        <v>344157.23</v>
      </c>
      <c r="J79" s="218">
        <v>19743</v>
      </c>
      <c r="K79" s="219" t="s">
        <v>2360</v>
      </c>
      <c r="L79" s="216" t="s">
        <v>2332</v>
      </c>
      <c r="M79" s="218" t="str">
        <f t="shared" si="2"/>
        <v>2016</v>
      </c>
    </row>
    <row r="80" spans="1:13" ht="15" customHeight="1">
      <c r="A80" s="210">
        <v>77</v>
      </c>
      <c r="B80" s="211" t="s">
        <v>2228</v>
      </c>
      <c r="C80" s="212">
        <v>1079635200</v>
      </c>
      <c r="D80" s="211">
        <v>900922061</v>
      </c>
      <c r="E80" s="213" t="s">
        <v>2227</v>
      </c>
      <c r="F80" s="214"/>
      <c r="G80" s="215">
        <v>42164</v>
      </c>
      <c r="H80" s="216">
        <v>7</v>
      </c>
      <c r="I80" s="217">
        <v>20266.669999999998</v>
      </c>
      <c r="J80" s="218">
        <v>19760</v>
      </c>
      <c r="K80" s="219" t="s">
        <v>2366</v>
      </c>
      <c r="L80" s="216" t="s">
        <v>2332</v>
      </c>
      <c r="M80" s="218" t="str">
        <f t="shared" si="2"/>
        <v>2016</v>
      </c>
    </row>
    <row r="81" spans="1:14" ht="15" customHeight="1">
      <c r="A81" s="210">
        <v>30</v>
      </c>
      <c r="B81" s="211" t="s">
        <v>1457</v>
      </c>
      <c r="C81" s="212">
        <v>1514447709</v>
      </c>
      <c r="D81" s="211">
        <v>10538292</v>
      </c>
      <c r="E81" s="213" t="s">
        <v>1233</v>
      </c>
      <c r="F81" s="214">
        <v>129</v>
      </c>
      <c r="G81" s="215">
        <v>41893</v>
      </c>
      <c r="H81" s="216">
        <v>5</v>
      </c>
      <c r="I81" s="217">
        <v>129</v>
      </c>
      <c r="J81" s="218">
        <v>19780</v>
      </c>
      <c r="K81" s="219" t="s">
        <v>2346</v>
      </c>
      <c r="L81" s="216" t="s">
        <v>2332</v>
      </c>
      <c r="M81" s="218" t="str">
        <f t="shared" si="2"/>
        <v>2013</v>
      </c>
    </row>
    <row r="82" spans="1:14" ht="15" customHeight="1">
      <c r="A82" s="210">
        <v>64</v>
      </c>
      <c r="B82" s="211" t="s">
        <v>2228</v>
      </c>
      <c r="C82" s="212">
        <v>1079635200</v>
      </c>
      <c r="D82" s="211">
        <v>900922061</v>
      </c>
      <c r="E82" s="213" t="s">
        <v>2227</v>
      </c>
      <c r="F82" s="214"/>
      <c r="G82" s="215">
        <v>42164</v>
      </c>
      <c r="H82" s="216">
        <v>7</v>
      </c>
      <c r="I82" s="217">
        <v>20266.669999999998</v>
      </c>
      <c r="J82" s="218">
        <v>19780</v>
      </c>
      <c r="K82" s="219" t="s">
        <v>2346</v>
      </c>
      <c r="L82" s="216" t="s">
        <v>2332</v>
      </c>
      <c r="M82" s="218" t="str">
        <f t="shared" si="2"/>
        <v>2016</v>
      </c>
    </row>
    <row r="83" spans="1:14" ht="15" customHeight="1">
      <c r="A83" s="210">
        <v>65</v>
      </c>
      <c r="B83" s="211" t="s">
        <v>2228</v>
      </c>
      <c r="C83" s="212">
        <v>1079635200</v>
      </c>
      <c r="D83" s="211">
        <v>900922061</v>
      </c>
      <c r="E83" s="213" t="s">
        <v>2227</v>
      </c>
      <c r="F83" s="214"/>
      <c r="G83" s="215">
        <v>42164</v>
      </c>
      <c r="H83" s="216">
        <v>8</v>
      </c>
      <c r="I83" s="217">
        <v>20266.669999999998</v>
      </c>
      <c r="J83" s="218">
        <v>19807</v>
      </c>
      <c r="K83" s="219" t="s">
        <v>2358</v>
      </c>
      <c r="L83" s="216" t="s">
        <v>2332</v>
      </c>
      <c r="M83" s="218" t="str">
        <f t="shared" si="2"/>
        <v>2016</v>
      </c>
    </row>
    <row r="84" spans="1:14" ht="15" customHeight="1">
      <c r="A84" s="210">
        <v>19</v>
      </c>
      <c r="B84" s="211" t="s">
        <v>1149</v>
      </c>
      <c r="C84" s="212">
        <v>487926297</v>
      </c>
      <c r="D84" s="211">
        <v>900470501</v>
      </c>
      <c r="E84" s="213" t="s">
        <v>2340</v>
      </c>
      <c r="F84" s="214">
        <v>0</v>
      </c>
      <c r="G84" s="215">
        <v>40641</v>
      </c>
      <c r="H84" s="216">
        <v>1</v>
      </c>
      <c r="I84" s="217">
        <v>4058795</v>
      </c>
      <c r="J84" s="218">
        <v>19824</v>
      </c>
      <c r="K84" s="219" t="s">
        <v>2341</v>
      </c>
      <c r="L84" s="216" t="s">
        <v>2332</v>
      </c>
      <c r="M84" s="218" t="str">
        <f t="shared" si="2"/>
        <v>2011</v>
      </c>
    </row>
    <row r="85" spans="1:14" ht="15" customHeight="1">
      <c r="A85" s="210">
        <v>74</v>
      </c>
      <c r="B85" s="211" t="s">
        <v>2228</v>
      </c>
      <c r="C85" s="212">
        <v>1079635200</v>
      </c>
      <c r="D85" s="211">
        <v>900922061</v>
      </c>
      <c r="E85" s="213" t="s">
        <v>2227</v>
      </c>
      <c r="F85" s="214"/>
      <c r="G85" s="215">
        <v>42164</v>
      </c>
      <c r="H85" s="216">
        <v>10</v>
      </c>
      <c r="I85" s="217">
        <v>20266.669999999998</v>
      </c>
      <c r="J85" s="218">
        <v>19824</v>
      </c>
      <c r="K85" s="219" t="s">
        <v>2341</v>
      </c>
      <c r="L85" s="216" t="s">
        <v>2332</v>
      </c>
      <c r="M85" s="218" t="str">
        <f t="shared" si="2"/>
        <v>2016</v>
      </c>
    </row>
    <row r="86" spans="1:14" ht="15" customHeight="1">
      <c r="A86" s="210">
        <v>1</v>
      </c>
      <c r="B86" s="211" t="s">
        <v>2450</v>
      </c>
      <c r="C86" s="212">
        <v>3990864000</v>
      </c>
      <c r="D86" s="211">
        <v>900380353</v>
      </c>
      <c r="E86" s="213" t="s">
        <v>2388</v>
      </c>
      <c r="F86" s="214">
        <v>8136000</v>
      </c>
      <c r="G86" s="215">
        <v>40441</v>
      </c>
      <c r="H86" s="216">
        <v>116</v>
      </c>
      <c r="I86" s="217">
        <v>1058363367</v>
      </c>
      <c r="J86" s="218">
        <v>19999</v>
      </c>
      <c r="K86" s="219" t="s">
        <v>2336</v>
      </c>
      <c r="L86" s="216" t="s">
        <v>2332</v>
      </c>
      <c r="M86" s="225" t="s">
        <v>2430</v>
      </c>
      <c r="N86" t="s">
        <v>2384</v>
      </c>
    </row>
    <row r="87" spans="1:14" ht="27" customHeight="1">
      <c r="A87" s="210"/>
      <c r="B87" s="226" t="s">
        <v>2369</v>
      </c>
      <c r="C87" s="212"/>
      <c r="D87" s="211"/>
      <c r="E87" s="213" t="s">
        <v>2367</v>
      </c>
      <c r="F87" s="220">
        <f>SUM(F7:F85)</f>
        <v>55440598.820000015</v>
      </c>
      <c r="G87" s="221"/>
      <c r="H87" s="222">
        <v>75</v>
      </c>
      <c r="I87" s="220">
        <f>SUM(I7:I86)</f>
        <v>1252463087.7999997</v>
      </c>
      <c r="J87" s="218"/>
      <c r="K87" s="219"/>
      <c r="L87" s="216"/>
      <c r="M87" s="225"/>
    </row>
    <row r="88" spans="1:14">
      <c r="A88" s="210"/>
      <c r="B88" s="211"/>
      <c r="C88" s="212"/>
      <c r="D88" s="211"/>
      <c r="E88" s="213"/>
      <c r="F88" s="214"/>
      <c r="G88" s="215" t="s">
        <v>2381</v>
      </c>
      <c r="H88" s="216"/>
      <c r="I88" s="217">
        <f>SUM(I40:I59)+I86</f>
        <v>1064568847.36</v>
      </c>
      <c r="J88" s="218"/>
      <c r="K88" s="219"/>
      <c r="L88" s="216"/>
    </row>
    <row r="89" spans="1:14">
      <c r="A89" s="210"/>
      <c r="B89" s="211"/>
      <c r="C89" s="212"/>
      <c r="D89" s="211"/>
      <c r="E89" s="213"/>
      <c r="F89" s="214"/>
      <c r="G89" s="215" t="s">
        <v>2382</v>
      </c>
      <c r="H89" s="216"/>
      <c r="I89" s="217">
        <f>SUM(I14:I39)</f>
        <v>131299638.13999999</v>
      </c>
      <c r="J89" s="218"/>
      <c r="K89" s="219"/>
      <c r="L89" s="216"/>
    </row>
    <row r="90" spans="1:14">
      <c r="A90" s="210"/>
      <c r="B90" s="211"/>
      <c r="C90" s="212"/>
      <c r="D90" s="211"/>
      <c r="E90" s="213"/>
      <c r="F90" s="214"/>
      <c r="G90" s="215" t="s">
        <v>2383</v>
      </c>
      <c r="H90" s="216"/>
      <c r="I90" s="217">
        <f>SUM(I7:I13)+SUM(I60:I85)</f>
        <v>56594602.300000012</v>
      </c>
      <c r="J90" s="218"/>
      <c r="K90" s="219"/>
      <c r="L90" s="216"/>
    </row>
    <row r="91" spans="1:14">
      <c r="A91" s="210"/>
      <c r="B91" s="211"/>
      <c r="C91" s="212"/>
      <c r="D91" s="211"/>
      <c r="E91" s="213"/>
      <c r="F91" s="214"/>
      <c r="G91" s="215"/>
      <c r="H91" s="216"/>
      <c r="I91" s="217">
        <f>SUM(I88:I90)</f>
        <v>1252463087.8</v>
      </c>
      <c r="J91" s="218"/>
      <c r="K91" s="219"/>
      <c r="L91" s="216"/>
    </row>
    <row r="92" spans="1:14">
      <c r="A92" s="210"/>
      <c r="B92" s="211"/>
      <c r="C92" s="212"/>
      <c r="D92" s="211"/>
      <c r="E92" s="213"/>
      <c r="F92" s="214"/>
      <c r="G92" s="215"/>
      <c r="H92" s="216"/>
      <c r="I92" s="217"/>
      <c r="J92" s="218"/>
      <c r="K92" s="219"/>
      <c r="L92" s="216"/>
    </row>
    <row r="93" spans="1:14">
      <c r="A93" s="210"/>
      <c r="B93" s="211"/>
      <c r="C93" s="212"/>
      <c r="D93" s="211"/>
      <c r="E93" s="213"/>
      <c r="F93" s="214"/>
      <c r="G93" s="215"/>
      <c r="H93" s="216"/>
      <c r="I93" s="217"/>
      <c r="J93" s="218"/>
      <c r="K93" s="219"/>
      <c r="L93" s="216"/>
    </row>
    <row r="94" spans="1:14">
      <c r="A94" s="210"/>
      <c r="B94" s="211"/>
      <c r="C94" s="212"/>
      <c r="D94" s="211"/>
      <c r="E94" s="213"/>
      <c r="F94" s="214"/>
      <c r="G94" s="215"/>
      <c r="H94" s="216"/>
      <c r="I94" s="217"/>
      <c r="J94" s="218"/>
      <c r="K94" s="219"/>
      <c r="L94" s="216"/>
    </row>
    <row r="95" spans="1:14">
      <c r="A95" s="210"/>
      <c r="B95" s="211"/>
      <c r="C95" s="212"/>
      <c r="D95" s="211"/>
      <c r="E95" s="213"/>
      <c r="F95" s="214"/>
      <c r="G95" s="215"/>
      <c r="H95" s="216"/>
      <c r="I95" s="217"/>
      <c r="J95" s="218"/>
      <c r="K95" s="219"/>
      <c r="L95" s="216"/>
    </row>
    <row r="96" spans="1:14">
      <c r="A96" s="210"/>
      <c r="B96" s="211"/>
      <c r="C96" s="212"/>
      <c r="D96" s="211"/>
      <c r="E96" s="213"/>
      <c r="F96" s="214"/>
      <c r="G96" s="215"/>
      <c r="H96" s="216"/>
      <c r="I96" s="217"/>
      <c r="J96" s="218"/>
      <c r="K96" s="219"/>
      <c r="L96" s="216"/>
    </row>
    <row r="97" spans="1:12">
      <c r="A97" s="210"/>
      <c r="B97" s="211"/>
      <c r="C97" s="212"/>
      <c r="D97" s="211"/>
      <c r="E97" s="213"/>
      <c r="F97" s="214"/>
      <c r="G97" s="215"/>
      <c r="H97" s="216"/>
      <c r="I97" s="217"/>
      <c r="J97" s="218"/>
      <c r="K97" s="219"/>
      <c r="L97" s="216"/>
    </row>
    <row r="98" spans="1:12">
      <c r="A98" s="210"/>
      <c r="B98" s="211"/>
      <c r="C98" s="212"/>
      <c r="D98" s="211"/>
      <c r="E98" s="213"/>
      <c r="F98" s="214"/>
      <c r="G98" s="215"/>
      <c r="H98" s="216"/>
      <c r="I98" s="217"/>
      <c r="J98" s="218"/>
      <c r="K98" s="219"/>
      <c r="L98" s="216"/>
    </row>
    <row r="99" spans="1:12">
      <c r="A99" s="210"/>
      <c r="B99" s="211"/>
      <c r="C99" s="212"/>
      <c r="D99" s="211"/>
      <c r="E99" s="213"/>
      <c r="F99" s="214"/>
      <c r="G99" s="215"/>
      <c r="H99" s="216"/>
      <c r="I99" s="217"/>
      <c r="J99" s="218"/>
      <c r="K99" s="219"/>
      <c r="L99" s="216"/>
    </row>
    <row r="100" spans="1:12">
      <c r="A100" s="210"/>
      <c r="B100" s="211"/>
      <c r="C100" s="212"/>
      <c r="D100" s="211"/>
      <c r="E100" s="213"/>
      <c r="F100" s="214"/>
      <c r="G100" s="215"/>
      <c r="H100" s="216"/>
      <c r="I100" s="217"/>
      <c r="J100" s="218"/>
      <c r="K100" s="219"/>
      <c r="L100" s="216"/>
    </row>
    <row r="101" spans="1:12">
      <c r="A101" s="210"/>
      <c r="B101" s="211"/>
      <c r="C101" s="212"/>
      <c r="D101" s="211"/>
      <c r="E101" s="213"/>
      <c r="F101" s="214"/>
      <c r="G101" s="215"/>
      <c r="H101" s="216"/>
      <c r="I101" s="217"/>
      <c r="J101" s="218"/>
      <c r="K101" s="219"/>
      <c r="L101" s="216"/>
    </row>
    <row r="102" spans="1:12">
      <c r="A102" s="210"/>
      <c r="B102" s="211"/>
      <c r="C102" s="212"/>
      <c r="D102" s="211"/>
      <c r="E102" s="213"/>
      <c r="F102" s="214"/>
      <c r="G102" s="215"/>
      <c r="H102" s="216"/>
      <c r="I102" s="217"/>
      <c r="J102" s="218"/>
      <c r="K102" s="219"/>
      <c r="L102" s="216"/>
    </row>
    <row r="103" spans="1:12">
      <c r="A103" s="210"/>
      <c r="B103" s="211"/>
      <c r="C103" s="212"/>
      <c r="D103" s="211"/>
      <c r="E103" s="213"/>
      <c r="F103" s="214"/>
      <c r="G103" s="215"/>
      <c r="H103" s="216"/>
      <c r="I103" s="217"/>
      <c r="J103" s="218"/>
      <c r="K103" s="219"/>
      <c r="L103" s="216"/>
    </row>
    <row r="104" spans="1:12">
      <c r="A104" s="210"/>
      <c r="B104" s="211"/>
      <c r="C104" s="212"/>
      <c r="D104" s="211"/>
      <c r="E104" s="213"/>
      <c r="F104" s="214"/>
      <c r="G104" s="215"/>
      <c r="H104" s="216"/>
      <c r="I104" s="217"/>
      <c r="J104" s="218"/>
      <c r="K104" s="219"/>
      <c r="L104" s="216"/>
    </row>
    <row r="105" spans="1:12">
      <c r="A105" s="210"/>
      <c r="B105" s="211"/>
      <c r="C105" s="212"/>
      <c r="D105" s="211"/>
      <c r="E105" s="213"/>
      <c r="F105" s="214"/>
      <c r="G105" s="215"/>
      <c r="H105" s="216"/>
      <c r="I105" s="217"/>
      <c r="J105" s="218"/>
      <c r="K105" s="219"/>
      <c r="L105" s="216"/>
    </row>
    <row r="106" spans="1:12">
      <c r="A106" s="210"/>
      <c r="B106" s="211"/>
      <c r="C106" s="212"/>
      <c r="D106" s="211"/>
      <c r="E106" s="213"/>
      <c r="F106" s="214"/>
      <c r="G106" s="215"/>
      <c r="H106" s="216"/>
      <c r="I106" s="217"/>
      <c r="J106" s="218"/>
      <c r="K106" s="219"/>
      <c r="L106" s="216"/>
    </row>
    <row r="107" spans="1:12">
      <c r="A107" s="210"/>
      <c r="B107" s="211"/>
      <c r="C107" s="212"/>
      <c r="D107" s="211"/>
      <c r="E107" s="213"/>
      <c r="F107" s="214"/>
      <c r="G107" s="215"/>
      <c r="H107" s="216"/>
      <c r="I107" s="217"/>
      <c r="J107" s="218"/>
      <c r="K107" s="219"/>
      <c r="L107" s="216"/>
    </row>
    <row r="108" spans="1:12">
      <c r="A108" s="210"/>
      <c r="B108" s="211"/>
      <c r="C108" s="212"/>
      <c r="D108" s="211"/>
      <c r="E108" s="213"/>
      <c r="F108" s="214"/>
      <c r="G108" s="215"/>
      <c r="H108" s="216"/>
      <c r="I108" s="217"/>
      <c r="J108" s="218"/>
      <c r="K108" s="219"/>
      <c r="L108" s="216"/>
    </row>
    <row r="109" spans="1:12">
      <c r="A109" s="210"/>
      <c r="B109" s="211"/>
      <c r="C109" s="212"/>
      <c r="D109" s="211"/>
      <c r="E109" s="213"/>
      <c r="F109" s="214"/>
      <c r="G109" s="215"/>
      <c r="H109" s="216"/>
      <c r="I109" s="217"/>
      <c r="J109" s="218"/>
      <c r="K109" s="219"/>
      <c r="L109" s="216"/>
    </row>
    <row r="110" spans="1:12">
      <c r="A110" s="210"/>
      <c r="B110" s="211"/>
      <c r="C110" s="212"/>
      <c r="D110" s="211"/>
      <c r="E110" s="213"/>
      <c r="F110" s="214"/>
      <c r="G110" s="215"/>
      <c r="H110" s="216"/>
      <c r="I110" s="217"/>
      <c r="J110" s="218"/>
      <c r="K110" s="219"/>
      <c r="L110" s="216"/>
    </row>
    <row r="111" spans="1:12">
      <c r="A111" s="210"/>
      <c r="B111" s="211"/>
      <c r="C111" s="212"/>
      <c r="D111" s="211"/>
      <c r="E111" s="213"/>
      <c r="F111" s="214"/>
      <c r="G111" s="215"/>
      <c r="H111" s="216"/>
      <c r="I111" s="217"/>
      <c r="J111" s="218"/>
      <c r="K111" s="219"/>
      <c r="L111" s="216"/>
    </row>
    <row r="112" spans="1:12">
      <c r="A112" s="210"/>
      <c r="B112" s="211"/>
      <c r="C112" s="212"/>
      <c r="D112" s="211"/>
      <c r="E112" s="213"/>
      <c r="F112" s="214"/>
      <c r="G112" s="215"/>
      <c r="H112" s="216"/>
      <c r="I112" s="217"/>
      <c r="J112" s="218"/>
      <c r="K112" s="219"/>
      <c r="L112" s="216"/>
    </row>
    <row r="113" spans="1:12">
      <c r="A113" s="210"/>
      <c r="B113" s="211"/>
      <c r="C113" s="212"/>
      <c r="D113" s="211"/>
      <c r="E113" s="213"/>
      <c r="F113" s="214"/>
      <c r="G113" s="215"/>
      <c r="H113" s="216"/>
      <c r="I113" s="217"/>
      <c r="J113" s="218"/>
      <c r="K113" s="219"/>
      <c r="L113" s="216"/>
    </row>
    <row r="114" spans="1:12">
      <c r="A114" s="210"/>
      <c r="B114" s="211"/>
      <c r="C114" s="212"/>
      <c r="D114" s="211"/>
      <c r="E114" s="213"/>
      <c r="F114" s="214"/>
      <c r="G114" s="215"/>
      <c r="H114" s="216"/>
      <c r="I114" s="217"/>
      <c r="J114" s="218"/>
      <c r="K114" s="219"/>
      <c r="L114" s="216"/>
    </row>
    <row r="115" spans="1:12">
      <c r="A115" s="210"/>
      <c r="B115" s="211"/>
      <c r="C115" s="212"/>
      <c r="D115" s="211"/>
      <c r="E115" s="213"/>
      <c r="F115" s="214"/>
      <c r="G115" s="215"/>
      <c r="H115" s="216"/>
      <c r="I115" s="217"/>
      <c r="J115" s="218"/>
      <c r="K115" s="219"/>
      <c r="L115" s="216"/>
    </row>
    <row r="116" spans="1:12">
      <c r="A116" s="210"/>
      <c r="B116" s="211"/>
      <c r="C116" s="212"/>
      <c r="D116" s="211"/>
      <c r="E116" s="213"/>
      <c r="F116" s="214"/>
      <c r="G116" s="215"/>
      <c r="H116" s="216"/>
      <c r="I116" s="217"/>
      <c r="J116" s="218"/>
      <c r="K116" s="219"/>
      <c r="L116" s="216"/>
    </row>
    <row r="117" spans="1:12">
      <c r="A117" s="210"/>
      <c r="B117" s="211"/>
      <c r="C117" s="212"/>
      <c r="D117" s="211"/>
      <c r="E117" s="213"/>
      <c r="F117" s="214"/>
      <c r="G117" s="215"/>
      <c r="H117" s="216"/>
      <c r="I117" s="217"/>
      <c r="J117" s="218"/>
      <c r="K117" s="219"/>
      <c r="L117" s="216"/>
    </row>
    <row r="118" spans="1:12">
      <c r="A118" s="210"/>
      <c r="B118" s="211"/>
      <c r="C118" s="212"/>
      <c r="D118" s="211"/>
      <c r="E118" s="213"/>
      <c r="F118" s="214"/>
      <c r="G118" s="215"/>
      <c r="H118" s="216"/>
      <c r="I118" s="217"/>
      <c r="J118" s="218"/>
      <c r="K118" s="219"/>
      <c r="L118" s="216"/>
    </row>
    <row r="119" spans="1:12">
      <c r="A119" s="210"/>
      <c r="B119" s="211"/>
      <c r="C119" s="212"/>
      <c r="D119" s="211"/>
      <c r="E119" s="213"/>
      <c r="F119" s="214"/>
      <c r="G119" s="215"/>
      <c r="H119" s="216"/>
      <c r="I119" s="217"/>
      <c r="J119" s="218"/>
      <c r="K119" s="219"/>
      <c r="L119" s="216"/>
    </row>
    <row r="120" spans="1:12">
      <c r="A120" s="210"/>
      <c r="B120" s="211"/>
      <c r="C120" s="212"/>
      <c r="D120" s="211"/>
      <c r="E120" s="213"/>
      <c r="F120" s="214"/>
      <c r="G120" s="215"/>
      <c r="H120" s="216"/>
      <c r="I120" s="217"/>
      <c r="J120" s="218"/>
      <c r="K120" s="219"/>
      <c r="L120" s="216"/>
    </row>
    <row r="121" spans="1:12">
      <c r="A121" s="210"/>
      <c r="B121" s="211"/>
      <c r="C121" s="212"/>
      <c r="D121" s="211"/>
      <c r="E121" s="213"/>
      <c r="F121" s="214"/>
      <c r="G121" s="215"/>
      <c r="H121" s="216"/>
      <c r="I121" s="217"/>
      <c r="J121" s="218"/>
      <c r="K121" s="219"/>
      <c r="L121" s="216"/>
    </row>
    <row r="122" spans="1:12">
      <c r="A122" s="210"/>
      <c r="B122" s="211"/>
      <c r="C122" s="212"/>
      <c r="D122" s="211"/>
      <c r="E122" s="213"/>
      <c r="F122" s="214"/>
      <c r="G122" s="215"/>
      <c r="H122" s="216"/>
      <c r="I122" s="217"/>
      <c r="J122" s="218"/>
      <c r="K122" s="219"/>
      <c r="L122" s="216"/>
    </row>
    <row r="123" spans="1:12">
      <c r="A123" s="210"/>
      <c r="B123" s="211"/>
      <c r="C123" s="212"/>
      <c r="D123" s="211"/>
      <c r="E123" s="213"/>
      <c r="F123" s="214"/>
      <c r="G123" s="215"/>
      <c r="H123" s="216"/>
      <c r="I123" s="217"/>
      <c r="J123" s="218"/>
      <c r="K123" s="219"/>
      <c r="L123" s="216"/>
    </row>
    <row r="124" spans="1:12">
      <c r="A124" s="210"/>
      <c r="B124" s="211"/>
      <c r="C124" s="212"/>
      <c r="D124" s="211"/>
      <c r="E124" s="213"/>
      <c r="F124" s="214"/>
      <c r="G124" s="215"/>
      <c r="H124" s="216"/>
      <c r="I124" s="217"/>
      <c r="J124" s="218"/>
      <c r="K124" s="219"/>
      <c r="L124" s="216"/>
    </row>
    <row r="125" spans="1:12">
      <c r="A125" s="210"/>
      <c r="B125" s="211"/>
      <c r="C125" s="212"/>
      <c r="D125" s="211"/>
      <c r="E125" s="213"/>
      <c r="F125" s="214"/>
      <c r="G125" s="215"/>
      <c r="H125" s="216"/>
      <c r="I125" s="217"/>
      <c r="J125" s="218"/>
      <c r="K125" s="219"/>
      <c r="L125" s="216"/>
    </row>
    <row r="126" spans="1:12">
      <c r="A126" s="210"/>
      <c r="B126" s="211"/>
      <c r="C126" s="212"/>
      <c r="D126" s="211"/>
      <c r="E126" s="213"/>
      <c r="F126" s="214"/>
      <c r="G126" s="215"/>
      <c r="H126" s="216"/>
      <c r="I126" s="217"/>
      <c r="J126" s="218"/>
      <c r="K126" s="219"/>
      <c r="L126" s="216"/>
    </row>
    <row r="127" spans="1:12">
      <c r="A127" s="210"/>
      <c r="B127" s="211"/>
      <c r="C127" s="212"/>
      <c r="D127" s="211"/>
      <c r="E127" s="213"/>
      <c r="F127" s="214"/>
      <c r="G127" s="215"/>
      <c r="H127" s="216"/>
      <c r="I127" s="217"/>
      <c r="J127" s="218"/>
      <c r="K127" s="219"/>
      <c r="L127" s="216"/>
    </row>
    <row r="128" spans="1:12">
      <c r="A128" s="210"/>
      <c r="B128" s="211"/>
      <c r="C128" s="212"/>
      <c r="D128" s="211"/>
      <c r="E128" s="213"/>
      <c r="F128" s="214"/>
      <c r="G128" s="215"/>
      <c r="H128" s="216"/>
      <c r="I128" s="217"/>
      <c r="J128" s="218"/>
      <c r="K128" s="219"/>
      <c r="L128" s="216"/>
    </row>
    <row r="129" spans="1:12">
      <c r="A129" s="210"/>
      <c r="B129" s="211"/>
      <c r="C129" s="212"/>
      <c r="D129" s="211"/>
      <c r="E129" s="213"/>
      <c r="F129" s="214"/>
      <c r="G129" s="215"/>
      <c r="H129" s="216"/>
      <c r="I129" s="217"/>
      <c r="J129" s="218"/>
      <c r="K129" s="219"/>
      <c r="L129" s="216"/>
    </row>
    <row r="130" spans="1:12">
      <c r="A130" s="210"/>
      <c r="B130" s="211"/>
      <c r="C130" s="212"/>
      <c r="D130" s="211"/>
      <c r="E130" s="213"/>
      <c r="F130" s="214"/>
      <c r="G130" s="215"/>
      <c r="H130" s="216"/>
      <c r="I130" s="217"/>
      <c r="J130" s="218"/>
      <c r="K130" s="219"/>
      <c r="L130" s="216"/>
    </row>
    <row r="131" spans="1:12">
      <c r="A131" s="210"/>
      <c r="B131" s="211"/>
      <c r="C131" s="212"/>
      <c r="D131" s="211"/>
      <c r="E131" s="213"/>
      <c r="F131" s="214"/>
      <c r="G131" s="215"/>
      <c r="H131" s="216"/>
      <c r="I131" s="217"/>
      <c r="J131" s="218"/>
      <c r="K131" s="219"/>
      <c r="L131" s="216"/>
    </row>
    <row r="132" spans="1:12">
      <c r="A132" s="210"/>
      <c r="B132" s="211"/>
      <c r="C132" s="212"/>
      <c r="D132" s="211"/>
      <c r="E132" s="213"/>
      <c r="F132" s="214"/>
      <c r="G132" s="215"/>
      <c r="H132" s="216"/>
      <c r="I132" s="217"/>
      <c r="J132" s="218"/>
      <c r="K132" s="219"/>
      <c r="L132" s="216"/>
    </row>
    <row r="133" spans="1:12">
      <c r="A133" s="210"/>
      <c r="B133" s="211"/>
      <c r="C133" s="212"/>
      <c r="D133" s="211"/>
      <c r="E133" s="213"/>
      <c r="F133" s="214"/>
      <c r="G133" s="215"/>
      <c r="H133" s="216"/>
      <c r="I133" s="217"/>
      <c r="J133" s="218"/>
      <c r="K133" s="219"/>
      <c r="L133" s="216"/>
    </row>
    <row r="134" spans="1:12">
      <c r="A134" s="210"/>
      <c r="B134" s="211"/>
      <c r="C134" s="212"/>
      <c r="D134" s="211"/>
      <c r="E134" s="213"/>
      <c r="F134" s="214"/>
      <c r="G134" s="215"/>
      <c r="H134" s="216"/>
      <c r="I134" s="217"/>
      <c r="J134" s="218"/>
      <c r="K134" s="219"/>
      <c r="L134" s="216"/>
    </row>
    <row r="135" spans="1:12">
      <c r="A135" s="210"/>
      <c r="B135" s="211"/>
      <c r="C135" s="212"/>
      <c r="D135" s="211"/>
      <c r="E135" s="213"/>
      <c r="F135" s="214"/>
      <c r="G135" s="215"/>
      <c r="H135" s="216"/>
      <c r="I135" s="217"/>
      <c r="J135" s="218"/>
      <c r="K135" s="219"/>
      <c r="L135" s="216"/>
    </row>
    <row r="136" spans="1:12">
      <c r="A136" s="210"/>
      <c r="B136" s="211"/>
      <c r="C136" s="212"/>
      <c r="D136" s="211"/>
      <c r="E136" s="213"/>
      <c r="F136" s="214"/>
      <c r="G136" s="215"/>
      <c r="H136" s="216"/>
      <c r="I136" s="217"/>
      <c r="J136" s="218"/>
      <c r="K136" s="219"/>
      <c r="L136" s="216"/>
    </row>
    <row r="137" spans="1:12">
      <c r="A137" s="210"/>
      <c r="B137" s="211"/>
      <c r="C137" s="212"/>
      <c r="D137" s="211"/>
      <c r="E137" s="213"/>
      <c r="F137" s="214"/>
      <c r="G137" s="215"/>
      <c r="H137" s="216"/>
      <c r="I137" s="217"/>
      <c r="J137" s="218"/>
      <c r="K137" s="219"/>
      <c r="L137" s="216"/>
    </row>
    <row r="138" spans="1:12">
      <c r="A138" s="210"/>
      <c r="B138" s="211"/>
      <c r="C138" s="212"/>
      <c r="D138" s="211"/>
      <c r="E138" s="213"/>
      <c r="F138" s="214"/>
      <c r="G138" s="215"/>
      <c r="H138" s="216"/>
      <c r="I138" s="217"/>
      <c r="J138" s="218"/>
      <c r="K138" s="219"/>
      <c r="L138" s="216"/>
    </row>
    <row r="139" spans="1:12">
      <c r="A139" s="210"/>
      <c r="B139" s="211"/>
      <c r="C139" s="212"/>
      <c r="D139" s="211"/>
      <c r="E139" s="213"/>
      <c r="F139" s="214"/>
      <c r="G139" s="215"/>
      <c r="H139" s="216"/>
      <c r="I139" s="217"/>
      <c r="J139" s="218"/>
      <c r="K139" s="219"/>
      <c r="L139" s="216"/>
    </row>
    <row r="140" spans="1:12">
      <c r="A140" s="210"/>
      <c r="B140" s="211"/>
      <c r="C140" s="212"/>
      <c r="D140" s="211"/>
      <c r="E140" s="213"/>
      <c r="F140" s="214"/>
      <c r="G140" s="215"/>
      <c r="H140" s="216"/>
      <c r="I140" s="217"/>
      <c r="J140" s="218"/>
      <c r="K140" s="219"/>
      <c r="L140" s="216"/>
    </row>
    <row r="141" spans="1:12">
      <c r="A141" s="210"/>
      <c r="B141" s="211"/>
      <c r="C141" s="212"/>
      <c r="D141" s="211"/>
      <c r="E141" s="213"/>
      <c r="F141" s="214"/>
      <c r="G141" s="215"/>
      <c r="H141" s="216"/>
      <c r="I141" s="217"/>
      <c r="J141" s="218"/>
      <c r="K141" s="219"/>
      <c r="L141" s="216"/>
    </row>
    <row r="142" spans="1:12">
      <c r="A142" s="210"/>
      <c r="B142" s="211"/>
      <c r="C142" s="212"/>
      <c r="D142" s="211"/>
      <c r="E142" s="213"/>
      <c r="F142" s="214"/>
      <c r="G142" s="215"/>
      <c r="H142" s="216"/>
      <c r="I142" s="217"/>
      <c r="J142" s="218"/>
      <c r="K142" s="219"/>
      <c r="L142" s="216"/>
    </row>
    <row r="143" spans="1:12">
      <c r="A143" s="210"/>
      <c r="B143" s="211"/>
      <c r="C143" s="212"/>
      <c r="D143" s="211"/>
      <c r="E143" s="213"/>
      <c r="F143" s="214"/>
      <c r="G143" s="215"/>
      <c r="H143" s="216"/>
      <c r="I143" s="217"/>
      <c r="J143" s="218"/>
      <c r="K143" s="219"/>
      <c r="L143" s="216"/>
    </row>
    <row r="144" spans="1:12">
      <c r="A144" s="210"/>
      <c r="B144" s="211"/>
      <c r="C144" s="212"/>
      <c r="D144" s="211"/>
      <c r="E144" s="213"/>
      <c r="F144" s="214"/>
      <c r="G144" s="215"/>
      <c r="H144" s="216"/>
      <c r="I144" s="217"/>
      <c r="J144" s="218"/>
      <c r="K144" s="219"/>
      <c r="L144" s="216"/>
    </row>
    <row r="145" spans="1:12">
      <c r="A145" s="210"/>
      <c r="B145" s="211"/>
      <c r="C145" s="212"/>
      <c r="D145" s="211"/>
      <c r="E145" s="213"/>
      <c r="F145" s="214"/>
      <c r="G145" s="215"/>
      <c r="H145" s="216"/>
      <c r="I145" s="217"/>
      <c r="J145" s="218"/>
      <c r="K145" s="219"/>
      <c r="L145" s="216"/>
    </row>
    <row r="146" spans="1:12">
      <c r="A146" s="210"/>
      <c r="B146" s="211"/>
      <c r="C146" s="212"/>
      <c r="D146" s="211"/>
      <c r="E146" s="213"/>
      <c r="F146" s="214"/>
      <c r="G146" s="215"/>
      <c r="H146" s="216"/>
      <c r="I146" s="217"/>
      <c r="J146" s="218"/>
      <c r="K146" s="219"/>
      <c r="L146" s="216"/>
    </row>
    <row r="147" spans="1:12">
      <c r="A147" s="210"/>
      <c r="B147" s="211"/>
      <c r="C147" s="212"/>
      <c r="D147" s="211"/>
      <c r="E147" s="213"/>
      <c r="F147" s="214"/>
      <c r="G147" s="215"/>
      <c r="H147" s="216"/>
      <c r="I147" s="217"/>
      <c r="J147" s="218"/>
      <c r="K147" s="219"/>
      <c r="L147" s="216"/>
    </row>
    <row r="148" spans="1:12">
      <c r="A148" s="210"/>
      <c r="B148" s="211"/>
      <c r="C148" s="212"/>
      <c r="D148" s="211"/>
      <c r="E148" s="213"/>
      <c r="F148" s="214"/>
      <c r="G148" s="215"/>
      <c r="H148" s="216"/>
      <c r="I148" s="217"/>
      <c r="J148" s="218"/>
      <c r="K148" s="219"/>
      <c r="L148" s="216"/>
    </row>
    <row r="149" spans="1:12">
      <c r="A149" s="210"/>
      <c r="B149" s="211"/>
      <c r="C149" s="212"/>
      <c r="D149" s="211"/>
      <c r="E149" s="213"/>
      <c r="F149" s="214"/>
      <c r="G149" s="215"/>
      <c r="H149" s="216"/>
      <c r="I149" s="217"/>
      <c r="J149" s="218"/>
      <c r="K149" s="219"/>
      <c r="L149" s="216"/>
    </row>
    <row r="150" spans="1:12">
      <c r="A150" s="210"/>
      <c r="B150" s="211"/>
      <c r="C150" s="212"/>
      <c r="D150" s="211"/>
      <c r="E150" s="213"/>
      <c r="F150" s="214"/>
      <c r="G150" s="215"/>
      <c r="H150" s="216"/>
      <c r="I150" s="217"/>
      <c r="J150" s="218"/>
      <c r="K150" s="219"/>
      <c r="L150" s="216"/>
    </row>
    <row r="151" spans="1:12">
      <c r="A151" s="210"/>
      <c r="B151" s="211"/>
      <c r="C151" s="212"/>
      <c r="D151" s="211"/>
      <c r="E151" s="213"/>
      <c r="F151" s="214"/>
      <c r="G151" s="215"/>
      <c r="H151" s="216"/>
      <c r="I151" s="217"/>
      <c r="J151" s="218"/>
      <c r="K151" s="219"/>
      <c r="L151" s="216"/>
    </row>
    <row r="152" spans="1:12">
      <c r="A152" s="210"/>
      <c r="B152" s="211"/>
      <c r="C152" s="212"/>
      <c r="D152" s="211"/>
      <c r="E152" s="213"/>
      <c r="F152" s="214"/>
      <c r="G152" s="215"/>
      <c r="H152" s="216"/>
      <c r="I152" s="217"/>
      <c r="J152" s="218"/>
      <c r="K152" s="219"/>
      <c r="L152" s="216"/>
    </row>
    <row r="153" spans="1:12">
      <c r="A153" s="210"/>
      <c r="B153" s="211"/>
      <c r="C153" s="212"/>
      <c r="D153" s="211"/>
      <c r="E153" s="213"/>
      <c r="F153" s="214"/>
      <c r="G153" s="215"/>
      <c r="H153" s="216"/>
      <c r="I153" s="217"/>
      <c r="J153" s="218"/>
      <c r="K153" s="219"/>
      <c r="L153" s="216"/>
    </row>
    <row r="154" spans="1:12">
      <c r="A154" s="210"/>
      <c r="B154" s="211"/>
      <c r="C154" s="212"/>
      <c r="D154" s="211"/>
      <c r="E154" s="213"/>
      <c r="F154" s="214"/>
      <c r="G154" s="215"/>
      <c r="H154" s="216"/>
      <c r="I154" s="217"/>
      <c r="J154" s="218"/>
      <c r="K154" s="219"/>
      <c r="L154" s="216"/>
    </row>
    <row r="155" spans="1:12">
      <c r="A155" s="210"/>
      <c r="B155" s="211"/>
      <c r="C155" s="212"/>
      <c r="D155" s="211"/>
      <c r="E155" s="213"/>
      <c r="F155" s="214"/>
      <c r="G155" s="215"/>
      <c r="H155" s="216"/>
      <c r="I155" s="217"/>
      <c r="J155" s="218"/>
      <c r="K155" s="219"/>
      <c r="L155" s="216"/>
    </row>
    <row r="156" spans="1:12">
      <c r="A156" s="210"/>
      <c r="B156" s="211"/>
      <c r="C156" s="212"/>
      <c r="D156" s="211"/>
      <c r="E156" s="213"/>
      <c r="F156" s="214"/>
      <c r="G156" s="215"/>
      <c r="H156" s="216"/>
      <c r="I156" s="217"/>
      <c r="J156" s="218"/>
      <c r="K156" s="219"/>
      <c r="L156" s="216"/>
    </row>
    <row r="157" spans="1:12">
      <c r="A157" s="210"/>
      <c r="B157" s="211"/>
      <c r="C157" s="212"/>
      <c r="D157" s="211"/>
      <c r="E157" s="213"/>
      <c r="F157" s="214"/>
      <c r="G157" s="215"/>
      <c r="H157" s="216"/>
      <c r="I157" s="217"/>
      <c r="J157" s="218"/>
      <c r="K157" s="219"/>
      <c r="L157" s="216"/>
    </row>
    <row r="158" spans="1:12">
      <c r="A158" s="210"/>
      <c r="B158" s="211"/>
      <c r="C158" s="212"/>
      <c r="D158" s="211"/>
      <c r="E158" s="213"/>
      <c r="F158" s="214"/>
      <c r="G158" s="215"/>
      <c r="H158" s="216"/>
      <c r="I158" s="217"/>
      <c r="J158" s="218"/>
      <c r="K158" s="219"/>
      <c r="L158" s="216"/>
    </row>
    <row r="159" spans="1:12">
      <c r="A159" s="210"/>
      <c r="B159" s="211"/>
      <c r="C159" s="212"/>
      <c r="D159" s="211"/>
      <c r="E159" s="213"/>
      <c r="F159" s="214"/>
      <c r="G159" s="215"/>
      <c r="H159" s="216"/>
      <c r="I159" s="217"/>
      <c r="J159" s="218"/>
      <c r="K159" s="219"/>
      <c r="L159" s="216"/>
    </row>
    <row r="160" spans="1:12">
      <c r="A160" s="210"/>
      <c r="B160" s="211"/>
      <c r="C160" s="212"/>
      <c r="D160" s="211"/>
      <c r="E160" s="213"/>
      <c r="F160" s="214"/>
      <c r="G160" s="215"/>
      <c r="H160" s="216"/>
      <c r="I160" s="217"/>
      <c r="J160" s="218"/>
      <c r="K160" s="219"/>
      <c r="L160" s="216"/>
    </row>
    <row r="161" spans="1:12">
      <c r="A161" s="210"/>
      <c r="B161" s="211"/>
      <c r="C161" s="212"/>
      <c r="D161" s="211"/>
      <c r="E161" s="213"/>
      <c r="F161" s="214"/>
      <c r="G161" s="215"/>
      <c r="H161" s="216"/>
      <c r="I161" s="217"/>
      <c r="J161" s="218"/>
      <c r="K161" s="219"/>
      <c r="L161" s="216"/>
    </row>
    <row r="162" spans="1:12">
      <c r="A162" s="210"/>
      <c r="B162" s="211"/>
      <c r="C162" s="212"/>
      <c r="D162" s="211"/>
      <c r="E162" s="213"/>
      <c r="F162" s="214"/>
      <c r="G162" s="215"/>
      <c r="H162" s="216"/>
      <c r="I162" s="217"/>
      <c r="J162" s="218"/>
      <c r="K162" s="219"/>
      <c r="L162" s="216"/>
    </row>
    <row r="163" spans="1:12">
      <c r="A163" s="210"/>
      <c r="B163" s="211"/>
      <c r="C163" s="212"/>
      <c r="D163" s="211"/>
      <c r="E163" s="213"/>
      <c r="F163" s="214"/>
      <c r="G163" s="215"/>
      <c r="H163" s="216"/>
      <c r="I163" s="217"/>
      <c r="J163" s="218"/>
      <c r="K163" s="219"/>
      <c r="L163" s="216"/>
    </row>
    <row r="164" spans="1:12">
      <c r="A164" s="210"/>
      <c r="B164" s="211"/>
      <c r="C164" s="212"/>
      <c r="D164" s="211"/>
      <c r="E164" s="213"/>
      <c r="F164" s="214"/>
      <c r="G164" s="215"/>
      <c r="H164" s="216"/>
      <c r="I164" s="217"/>
      <c r="J164" s="218"/>
      <c r="K164" s="219"/>
      <c r="L164" s="216"/>
    </row>
    <row r="165" spans="1:12">
      <c r="A165" s="210"/>
      <c r="B165" s="211"/>
      <c r="C165" s="212"/>
      <c r="D165" s="211"/>
      <c r="E165" s="213"/>
      <c r="F165" s="214"/>
      <c r="G165" s="215"/>
      <c r="H165" s="216"/>
      <c r="I165" s="217"/>
      <c r="J165" s="218"/>
      <c r="K165" s="219"/>
      <c r="L165" s="216"/>
    </row>
    <row r="166" spans="1:12">
      <c r="A166" s="210"/>
      <c r="B166" s="211"/>
      <c r="C166" s="212"/>
      <c r="D166" s="211"/>
      <c r="E166" s="213"/>
      <c r="F166" s="214"/>
      <c r="G166" s="215"/>
      <c r="H166" s="216"/>
      <c r="I166" s="217"/>
      <c r="J166" s="218"/>
      <c r="K166" s="219"/>
      <c r="L166" s="216"/>
    </row>
    <row r="167" spans="1:12">
      <c r="A167" s="210"/>
      <c r="B167" s="211"/>
      <c r="C167" s="212"/>
      <c r="D167" s="211"/>
      <c r="E167" s="213"/>
      <c r="F167" s="214"/>
      <c r="G167" s="215"/>
      <c r="H167" s="216"/>
      <c r="I167" s="217"/>
      <c r="J167" s="218"/>
      <c r="K167" s="219"/>
      <c r="L167" s="216"/>
    </row>
    <row r="168" spans="1:12">
      <c r="A168" s="210"/>
      <c r="B168" s="211"/>
      <c r="C168" s="212"/>
      <c r="D168" s="211"/>
      <c r="E168" s="213"/>
      <c r="F168" s="214"/>
      <c r="G168" s="215"/>
      <c r="H168" s="216"/>
      <c r="I168" s="217"/>
      <c r="J168" s="218"/>
      <c r="K168" s="219"/>
      <c r="L168" s="216"/>
    </row>
    <row r="169" spans="1:12">
      <c r="A169" s="210"/>
      <c r="B169" s="211"/>
      <c r="C169" s="212"/>
      <c r="D169" s="211"/>
      <c r="E169" s="213"/>
      <c r="F169" s="214"/>
      <c r="G169" s="215"/>
      <c r="H169" s="216"/>
      <c r="I169" s="217"/>
      <c r="J169" s="218"/>
      <c r="K169" s="219"/>
      <c r="L169" s="216"/>
    </row>
    <row r="170" spans="1:12">
      <c r="A170" s="210"/>
      <c r="B170" s="211"/>
      <c r="C170" s="212"/>
      <c r="D170" s="211"/>
      <c r="E170" s="213"/>
      <c r="F170" s="214"/>
      <c r="G170" s="215"/>
      <c r="H170" s="216"/>
      <c r="I170" s="217"/>
      <c r="J170" s="218"/>
      <c r="K170" s="219"/>
      <c r="L170" s="216"/>
    </row>
    <row r="171" spans="1:12">
      <c r="A171" s="210"/>
      <c r="B171" s="211"/>
      <c r="C171" s="212"/>
      <c r="D171" s="211"/>
      <c r="E171" s="213"/>
      <c r="F171" s="214"/>
      <c r="G171" s="215"/>
      <c r="H171" s="216"/>
      <c r="I171" s="217"/>
      <c r="J171" s="218"/>
      <c r="K171" s="219"/>
      <c r="L171" s="216"/>
    </row>
    <row r="172" spans="1:12">
      <c r="A172" s="210"/>
      <c r="B172" s="211"/>
      <c r="C172" s="212"/>
      <c r="D172" s="211"/>
      <c r="E172" s="213"/>
      <c r="F172" s="214"/>
      <c r="G172" s="215"/>
      <c r="H172" s="216"/>
      <c r="I172" s="217"/>
      <c r="J172" s="218"/>
      <c r="K172" s="219"/>
      <c r="L172" s="216"/>
    </row>
    <row r="173" spans="1:12">
      <c r="A173" s="210"/>
      <c r="B173" s="211"/>
      <c r="C173" s="212"/>
      <c r="D173" s="211"/>
      <c r="E173" s="213"/>
      <c r="F173" s="214"/>
      <c r="G173" s="215"/>
      <c r="H173" s="216"/>
      <c r="I173" s="217"/>
      <c r="J173" s="218"/>
      <c r="K173" s="219"/>
      <c r="L173" s="216"/>
    </row>
    <row r="174" spans="1:12">
      <c r="A174" s="210"/>
      <c r="B174" s="211"/>
      <c r="C174" s="212"/>
      <c r="D174" s="211"/>
      <c r="E174" s="213"/>
      <c r="F174" s="214"/>
      <c r="G174" s="215"/>
      <c r="H174" s="216"/>
      <c r="I174" s="217"/>
      <c r="J174" s="218"/>
      <c r="K174" s="219"/>
      <c r="L174" s="216"/>
    </row>
    <row r="175" spans="1:12">
      <c r="A175" s="210"/>
      <c r="B175" s="211"/>
      <c r="C175" s="212"/>
      <c r="D175" s="211"/>
      <c r="E175" s="213"/>
      <c r="F175" s="214"/>
      <c r="G175" s="215"/>
      <c r="H175" s="216"/>
      <c r="I175" s="217"/>
      <c r="J175" s="218"/>
      <c r="K175" s="219"/>
      <c r="L175" s="216"/>
    </row>
    <row r="176" spans="1:12">
      <c r="A176" s="210"/>
      <c r="B176" s="211"/>
      <c r="C176" s="212"/>
      <c r="D176" s="211"/>
      <c r="E176" s="213"/>
      <c r="F176" s="214"/>
      <c r="G176" s="215"/>
      <c r="H176" s="216"/>
      <c r="I176" s="217"/>
      <c r="J176" s="218"/>
      <c r="K176" s="219"/>
      <c r="L176" s="216"/>
    </row>
    <row r="177" spans="1:12">
      <c r="A177" s="210"/>
      <c r="B177" s="211"/>
      <c r="C177" s="212"/>
      <c r="D177" s="211"/>
      <c r="E177" s="213"/>
      <c r="F177" s="214"/>
      <c r="G177" s="215"/>
      <c r="H177" s="216"/>
      <c r="I177" s="217"/>
      <c r="J177" s="218"/>
      <c r="K177" s="219"/>
      <c r="L177" s="216"/>
    </row>
    <row r="178" spans="1:12">
      <c r="A178" s="210"/>
      <c r="B178" s="211"/>
      <c r="C178" s="212"/>
      <c r="D178" s="211"/>
      <c r="E178" s="213"/>
      <c r="F178" s="214"/>
      <c r="G178" s="215"/>
      <c r="H178" s="216"/>
      <c r="I178" s="217"/>
      <c r="J178" s="218"/>
      <c r="K178" s="219"/>
      <c r="L178" s="216"/>
    </row>
    <row r="179" spans="1:12">
      <c r="A179" s="210"/>
      <c r="B179" s="211"/>
      <c r="C179" s="212"/>
      <c r="D179" s="211"/>
      <c r="E179" s="213"/>
      <c r="F179" s="214"/>
      <c r="G179" s="215"/>
      <c r="H179" s="216"/>
      <c r="I179" s="217"/>
      <c r="J179" s="218"/>
      <c r="K179" s="219"/>
      <c r="L179" s="216"/>
    </row>
    <row r="180" spans="1:12">
      <c r="A180" s="210"/>
      <c r="B180" s="211"/>
      <c r="C180" s="212"/>
      <c r="D180" s="211"/>
      <c r="E180" s="213"/>
      <c r="F180" s="214"/>
      <c r="G180" s="215"/>
      <c r="H180" s="216"/>
      <c r="I180" s="217"/>
      <c r="J180" s="218"/>
      <c r="K180" s="219"/>
      <c r="L180" s="216"/>
    </row>
    <row r="181" spans="1:12">
      <c r="A181" s="210"/>
      <c r="B181" s="211"/>
      <c r="C181" s="212"/>
      <c r="D181" s="211"/>
      <c r="E181" s="213"/>
      <c r="F181" s="214"/>
      <c r="G181" s="215"/>
      <c r="H181" s="216"/>
      <c r="I181" s="217"/>
      <c r="J181" s="218"/>
      <c r="K181" s="219"/>
      <c r="L181" s="216"/>
    </row>
    <row r="182" spans="1:12">
      <c r="A182" s="210"/>
      <c r="B182" s="211"/>
      <c r="C182" s="212"/>
      <c r="D182" s="211"/>
      <c r="E182" s="213"/>
      <c r="F182" s="214"/>
      <c r="G182" s="215"/>
      <c r="H182" s="216"/>
      <c r="I182" s="217"/>
      <c r="J182" s="218"/>
      <c r="K182" s="219"/>
      <c r="L182" s="216"/>
    </row>
    <row r="183" spans="1:12">
      <c r="A183" s="210"/>
      <c r="B183" s="211"/>
      <c r="C183" s="212"/>
      <c r="D183" s="211"/>
      <c r="E183" s="213"/>
      <c r="F183" s="214"/>
      <c r="G183" s="215"/>
      <c r="H183" s="216"/>
      <c r="I183" s="217"/>
      <c r="J183" s="218"/>
      <c r="K183" s="219"/>
      <c r="L183" s="216"/>
    </row>
    <row r="184" spans="1:12">
      <c r="A184" s="210"/>
      <c r="B184" s="211"/>
      <c r="C184" s="212"/>
      <c r="D184" s="211"/>
      <c r="E184" s="213"/>
      <c r="F184" s="214"/>
      <c r="G184" s="215"/>
      <c r="H184" s="216"/>
      <c r="I184" s="217"/>
      <c r="J184" s="218"/>
      <c r="K184" s="219"/>
      <c r="L184" s="216"/>
    </row>
    <row r="185" spans="1:12">
      <c r="A185" s="210"/>
      <c r="B185" s="211"/>
      <c r="C185" s="212"/>
      <c r="D185" s="211"/>
      <c r="E185" s="213"/>
      <c r="F185" s="214"/>
      <c r="G185" s="215"/>
      <c r="H185" s="216"/>
      <c r="I185" s="217"/>
      <c r="J185" s="218"/>
      <c r="K185" s="219"/>
      <c r="L185" s="216"/>
    </row>
    <row r="186" spans="1:12">
      <c r="A186" s="210"/>
      <c r="B186" s="211"/>
      <c r="C186" s="212"/>
      <c r="D186" s="211"/>
      <c r="E186" s="213"/>
      <c r="F186" s="214"/>
      <c r="G186" s="215"/>
      <c r="H186" s="216"/>
      <c r="I186" s="217"/>
      <c r="J186" s="218"/>
      <c r="K186" s="219"/>
      <c r="L186" s="216"/>
    </row>
    <row r="187" spans="1:12">
      <c r="A187" s="210"/>
      <c r="B187" s="211"/>
      <c r="C187" s="212"/>
      <c r="D187" s="211"/>
      <c r="E187" s="213"/>
      <c r="F187" s="214"/>
      <c r="G187" s="215"/>
      <c r="H187" s="216"/>
      <c r="I187" s="217"/>
      <c r="J187" s="218"/>
      <c r="K187" s="219"/>
      <c r="L187" s="216"/>
    </row>
    <row r="188" spans="1:12">
      <c r="A188" s="210"/>
      <c r="B188" s="211"/>
      <c r="C188" s="212"/>
      <c r="D188" s="211"/>
      <c r="E188" s="213"/>
      <c r="F188" s="214"/>
      <c r="G188" s="215"/>
      <c r="H188" s="216"/>
      <c r="I188" s="217"/>
      <c r="J188" s="218"/>
      <c r="K188" s="219"/>
      <c r="L188" s="216"/>
    </row>
    <row r="189" spans="1:12">
      <c r="A189" s="210"/>
      <c r="B189" s="211"/>
      <c r="C189" s="212"/>
      <c r="D189" s="211"/>
      <c r="E189" s="213"/>
      <c r="F189" s="214"/>
      <c r="G189" s="215"/>
      <c r="H189" s="216"/>
      <c r="I189" s="217"/>
      <c r="J189" s="218"/>
      <c r="K189" s="219"/>
      <c r="L189" s="216"/>
    </row>
    <row r="190" spans="1:12">
      <c r="A190" s="210"/>
      <c r="B190" s="211"/>
      <c r="C190" s="212"/>
      <c r="D190" s="211"/>
      <c r="E190" s="213"/>
      <c r="F190" s="214"/>
      <c r="G190" s="215"/>
      <c r="H190" s="216"/>
      <c r="I190" s="217"/>
      <c r="J190" s="218"/>
      <c r="K190" s="219"/>
      <c r="L190" s="216"/>
    </row>
    <row r="191" spans="1:12">
      <c r="A191" s="210"/>
      <c r="B191" s="211"/>
      <c r="C191" s="212"/>
      <c r="D191" s="211"/>
      <c r="E191" s="213"/>
      <c r="F191" s="214"/>
      <c r="G191" s="215"/>
      <c r="H191" s="216"/>
      <c r="I191" s="217"/>
      <c r="J191" s="218"/>
      <c r="K191" s="219"/>
      <c r="L191" s="216"/>
    </row>
    <row r="192" spans="1:12">
      <c r="A192" s="210"/>
      <c r="B192" s="211"/>
      <c r="C192" s="212"/>
      <c r="D192" s="211"/>
      <c r="E192" s="213"/>
      <c r="F192" s="214"/>
      <c r="G192" s="215"/>
      <c r="H192" s="216"/>
      <c r="I192" s="217"/>
      <c r="J192" s="218"/>
      <c r="K192" s="219"/>
      <c r="L192" s="216"/>
    </row>
    <row r="193" spans="1:12">
      <c r="A193" s="210"/>
      <c r="B193" s="211"/>
      <c r="C193" s="212"/>
      <c r="D193" s="211"/>
      <c r="E193" s="213"/>
      <c r="F193" s="214"/>
      <c r="G193" s="215"/>
      <c r="H193" s="216"/>
      <c r="I193" s="217"/>
      <c r="J193" s="218"/>
      <c r="K193" s="219"/>
      <c r="L193" s="216"/>
    </row>
    <row r="194" spans="1:12">
      <c r="A194" s="210"/>
      <c r="B194" s="211"/>
      <c r="C194" s="212"/>
      <c r="D194" s="211"/>
      <c r="E194" s="213"/>
      <c r="F194" s="214"/>
      <c r="G194" s="215"/>
      <c r="H194" s="216"/>
      <c r="I194" s="217"/>
      <c r="J194" s="218"/>
      <c r="K194" s="219"/>
      <c r="L194" s="216"/>
    </row>
    <row r="195" spans="1:12">
      <c r="A195" s="210"/>
      <c r="B195" s="211"/>
      <c r="C195" s="212"/>
      <c r="D195" s="211"/>
      <c r="E195" s="213"/>
      <c r="F195" s="214"/>
      <c r="G195" s="215"/>
      <c r="H195" s="216"/>
      <c r="I195" s="217"/>
      <c r="J195" s="218"/>
      <c r="K195" s="219"/>
      <c r="L195" s="216"/>
    </row>
    <row r="196" spans="1:12">
      <c r="A196" s="210"/>
      <c r="B196" s="211"/>
      <c r="C196" s="212"/>
      <c r="D196" s="211"/>
      <c r="E196" s="213"/>
      <c r="F196" s="214"/>
      <c r="G196" s="215"/>
      <c r="H196" s="216"/>
      <c r="I196" s="217"/>
      <c r="J196" s="218"/>
      <c r="K196" s="219"/>
      <c r="L196" s="216"/>
    </row>
    <row r="197" spans="1:12">
      <c r="A197" s="210"/>
      <c r="B197" s="211"/>
      <c r="C197" s="212"/>
      <c r="D197" s="211"/>
      <c r="E197" s="213"/>
      <c r="F197" s="214"/>
      <c r="G197" s="215"/>
      <c r="H197" s="216"/>
      <c r="I197" s="217"/>
      <c r="J197" s="218"/>
      <c r="K197" s="219"/>
      <c r="L197" s="216"/>
    </row>
    <row r="198" spans="1:12">
      <c r="A198" s="210"/>
      <c r="B198" s="211"/>
      <c r="C198" s="212"/>
      <c r="D198" s="211"/>
      <c r="E198" s="213"/>
      <c r="F198" s="214"/>
      <c r="G198" s="215"/>
      <c r="H198" s="216"/>
      <c r="I198" s="217"/>
      <c r="J198" s="218"/>
      <c r="K198" s="219"/>
      <c r="L198" s="216"/>
    </row>
    <row r="199" spans="1:12">
      <c r="A199" s="210"/>
      <c r="B199" s="211"/>
      <c r="C199" s="212"/>
      <c r="D199" s="211"/>
      <c r="E199" s="213"/>
      <c r="F199" s="214"/>
      <c r="G199" s="215"/>
      <c r="H199" s="216"/>
      <c r="I199" s="217"/>
      <c r="J199" s="218"/>
      <c r="K199" s="219"/>
      <c r="L199" s="216"/>
    </row>
    <row r="200" spans="1:12">
      <c r="A200" s="210"/>
      <c r="B200" s="211"/>
      <c r="C200" s="212"/>
      <c r="D200" s="211"/>
      <c r="E200" s="213"/>
      <c r="F200" s="214"/>
      <c r="G200" s="215"/>
      <c r="H200" s="216"/>
      <c r="I200" s="217"/>
      <c r="J200" s="218"/>
      <c r="K200" s="219"/>
      <c r="L200" s="216"/>
    </row>
    <row r="201" spans="1:12">
      <c r="A201" s="210"/>
      <c r="B201" s="211"/>
      <c r="C201" s="212"/>
      <c r="D201" s="211"/>
      <c r="E201" s="213"/>
      <c r="F201" s="214"/>
      <c r="G201" s="215"/>
      <c r="H201" s="216"/>
      <c r="I201" s="217"/>
      <c r="J201" s="218"/>
      <c r="K201" s="219"/>
      <c r="L201" s="216"/>
    </row>
    <row r="202" spans="1:12">
      <c r="A202" s="210"/>
      <c r="B202" s="211"/>
      <c r="C202" s="212"/>
      <c r="D202" s="211"/>
      <c r="E202" s="213"/>
      <c r="F202" s="214"/>
      <c r="G202" s="215"/>
      <c r="H202" s="216"/>
      <c r="I202" s="217"/>
      <c r="J202" s="218"/>
      <c r="K202" s="219"/>
      <c r="L202" s="216"/>
    </row>
    <row r="203" spans="1:12">
      <c r="A203" s="210"/>
      <c r="B203" s="211"/>
      <c r="C203" s="212"/>
      <c r="D203" s="211"/>
      <c r="E203" s="213"/>
      <c r="F203" s="214"/>
      <c r="G203" s="215"/>
      <c r="H203" s="216"/>
      <c r="I203" s="217"/>
      <c r="J203" s="218"/>
      <c r="K203" s="219"/>
      <c r="L203" s="216"/>
    </row>
    <row r="204" spans="1:12">
      <c r="A204" s="210"/>
      <c r="B204" s="211"/>
      <c r="C204" s="212"/>
      <c r="D204" s="211"/>
      <c r="E204" s="213"/>
      <c r="F204" s="214"/>
      <c r="G204" s="215"/>
      <c r="H204" s="216"/>
      <c r="I204" s="217"/>
      <c r="J204" s="218"/>
      <c r="K204" s="219"/>
      <c r="L204" s="216"/>
    </row>
    <row r="205" spans="1:12">
      <c r="A205" s="210"/>
      <c r="B205" s="211"/>
      <c r="C205" s="212"/>
      <c r="D205" s="211"/>
      <c r="E205" s="213"/>
      <c r="F205" s="214"/>
      <c r="G205" s="215"/>
      <c r="H205" s="216"/>
      <c r="I205" s="217"/>
      <c r="J205" s="218"/>
      <c r="K205" s="219"/>
      <c r="L205" s="216"/>
    </row>
    <row r="206" spans="1:12">
      <c r="A206" s="210"/>
      <c r="B206" s="211"/>
      <c r="C206" s="212"/>
      <c r="D206" s="211"/>
      <c r="E206" s="213"/>
      <c r="F206" s="214"/>
      <c r="G206" s="215"/>
      <c r="H206" s="216"/>
      <c r="I206" s="217"/>
      <c r="J206" s="218"/>
      <c r="K206" s="219"/>
      <c r="L206" s="216"/>
    </row>
    <row r="207" spans="1:12">
      <c r="A207" s="210"/>
      <c r="B207" s="211"/>
      <c r="C207" s="212"/>
      <c r="D207" s="211"/>
      <c r="E207" s="213"/>
      <c r="F207" s="214"/>
      <c r="G207" s="215"/>
      <c r="H207" s="216"/>
      <c r="I207" s="217"/>
      <c r="J207" s="218"/>
      <c r="K207" s="219"/>
      <c r="L207" s="216"/>
    </row>
    <row r="208" spans="1:12">
      <c r="A208" s="210"/>
      <c r="B208" s="211"/>
      <c r="C208" s="212"/>
      <c r="D208" s="211"/>
      <c r="E208" s="213"/>
      <c r="F208" s="214"/>
      <c r="G208" s="215"/>
      <c r="H208" s="216"/>
      <c r="I208" s="217"/>
      <c r="J208" s="218"/>
      <c r="K208" s="219"/>
      <c r="L208" s="216"/>
    </row>
    <row r="209" spans="1:12">
      <c r="A209" s="210"/>
      <c r="B209" s="211"/>
      <c r="C209" s="212"/>
      <c r="D209" s="211"/>
      <c r="E209" s="213"/>
      <c r="F209" s="214"/>
      <c r="G209" s="215"/>
      <c r="H209" s="216"/>
      <c r="I209" s="217"/>
      <c r="J209" s="218"/>
      <c r="K209" s="219"/>
      <c r="L209" s="216"/>
    </row>
    <row r="210" spans="1:12">
      <c r="A210" s="210"/>
      <c r="B210" s="211"/>
      <c r="C210" s="212"/>
      <c r="D210" s="211"/>
      <c r="E210" s="213"/>
      <c r="F210" s="214"/>
      <c r="G210" s="215"/>
      <c r="H210" s="216"/>
      <c r="I210" s="217"/>
      <c r="J210" s="218"/>
      <c r="K210" s="219"/>
      <c r="L210" s="216"/>
    </row>
    <row r="211" spans="1:12">
      <c r="A211" s="210"/>
      <c r="B211" s="211"/>
      <c r="C211" s="212"/>
      <c r="D211" s="211"/>
      <c r="E211" s="213"/>
      <c r="F211" s="214"/>
      <c r="G211" s="215"/>
      <c r="H211" s="216"/>
      <c r="I211" s="217"/>
      <c r="J211" s="218"/>
      <c r="K211" s="219"/>
      <c r="L211" s="216"/>
    </row>
    <row r="212" spans="1:12">
      <c r="A212" s="210"/>
      <c r="B212" s="211"/>
      <c r="C212" s="212"/>
      <c r="D212" s="211"/>
      <c r="E212" s="213"/>
      <c r="F212" s="214"/>
      <c r="G212" s="215"/>
      <c r="H212" s="216"/>
      <c r="I212" s="217"/>
      <c r="J212" s="218"/>
      <c r="K212" s="219"/>
      <c r="L212" s="216"/>
    </row>
    <row r="213" spans="1:12">
      <c r="A213" s="210"/>
      <c r="B213" s="211"/>
      <c r="C213" s="212"/>
      <c r="D213" s="211"/>
      <c r="E213" s="213"/>
      <c r="F213" s="214"/>
      <c r="G213" s="215"/>
      <c r="H213" s="216"/>
      <c r="I213" s="217"/>
      <c r="J213" s="218"/>
      <c r="K213" s="219"/>
      <c r="L213" s="216"/>
    </row>
    <row r="214" spans="1:12">
      <c r="A214" s="210"/>
      <c r="B214" s="211"/>
      <c r="C214" s="212"/>
      <c r="D214" s="211"/>
      <c r="E214" s="213"/>
      <c r="F214" s="214"/>
      <c r="G214" s="215"/>
      <c r="H214" s="216"/>
      <c r="I214" s="217"/>
      <c r="J214" s="218"/>
      <c r="K214" s="219"/>
      <c r="L214" s="216"/>
    </row>
    <row r="215" spans="1:12">
      <c r="A215" s="210"/>
      <c r="B215" s="211"/>
      <c r="C215" s="212"/>
      <c r="D215" s="211"/>
      <c r="E215" s="213"/>
      <c r="F215" s="214"/>
      <c r="G215" s="215"/>
      <c r="H215" s="216"/>
      <c r="I215" s="217"/>
      <c r="J215" s="218"/>
      <c r="K215" s="219"/>
      <c r="L215" s="216"/>
    </row>
    <row r="216" spans="1:12">
      <c r="A216" s="210"/>
      <c r="B216" s="211"/>
      <c r="C216" s="212"/>
      <c r="D216" s="211"/>
      <c r="E216" s="213"/>
      <c r="F216" s="214"/>
      <c r="G216" s="215"/>
      <c r="H216" s="216"/>
      <c r="I216" s="217"/>
      <c r="J216" s="218"/>
      <c r="K216" s="219"/>
      <c r="L216" s="216"/>
    </row>
    <row r="217" spans="1:12">
      <c r="A217" s="210"/>
      <c r="B217" s="211"/>
      <c r="C217" s="212"/>
      <c r="D217" s="211"/>
      <c r="E217" s="213"/>
      <c r="F217" s="214"/>
      <c r="G217" s="215"/>
      <c r="H217" s="216"/>
      <c r="I217" s="217"/>
      <c r="J217" s="218"/>
      <c r="K217" s="219"/>
      <c r="L217" s="216"/>
    </row>
    <row r="218" spans="1:12">
      <c r="A218" s="210"/>
      <c r="B218" s="211"/>
      <c r="C218" s="212"/>
      <c r="D218" s="211"/>
      <c r="E218" s="213"/>
      <c r="F218" s="214"/>
      <c r="G218" s="215"/>
      <c r="H218" s="216"/>
      <c r="I218" s="217"/>
      <c r="J218" s="218"/>
      <c r="K218" s="219"/>
      <c r="L218" s="216"/>
    </row>
    <row r="219" spans="1:12">
      <c r="A219" s="210"/>
      <c r="B219" s="211"/>
      <c r="C219" s="212"/>
      <c r="D219" s="211"/>
      <c r="E219" s="213"/>
      <c r="F219" s="214"/>
      <c r="G219" s="215"/>
      <c r="H219" s="216"/>
      <c r="I219" s="217"/>
      <c r="J219" s="218"/>
      <c r="K219" s="219"/>
      <c r="L219" s="216"/>
    </row>
    <row r="220" spans="1:12">
      <c r="A220" s="210"/>
      <c r="B220" s="211"/>
      <c r="C220" s="212"/>
      <c r="D220" s="211"/>
      <c r="E220" s="213"/>
      <c r="F220" s="214"/>
      <c r="G220" s="215"/>
      <c r="H220" s="216"/>
      <c r="I220" s="217"/>
      <c r="J220" s="218"/>
      <c r="K220" s="219"/>
      <c r="L220" s="216"/>
    </row>
    <row r="221" spans="1:12">
      <c r="A221" s="210"/>
      <c r="B221" s="211"/>
      <c r="C221" s="212"/>
      <c r="D221" s="211"/>
      <c r="E221" s="213"/>
      <c r="F221" s="214"/>
      <c r="G221" s="215"/>
      <c r="H221" s="216"/>
      <c r="I221" s="217"/>
      <c r="J221" s="218"/>
      <c r="K221" s="219"/>
      <c r="L221" s="216"/>
    </row>
    <row r="222" spans="1:12">
      <c r="A222" s="210"/>
      <c r="B222" s="211"/>
      <c r="C222" s="212"/>
      <c r="D222" s="211"/>
      <c r="E222" s="213"/>
      <c r="F222" s="214"/>
      <c r="G222" s="215"/>
      <c r="H222" s="216"/>
      <c r="I222" s="217"/>
      <c r="J222" s="218"/>
      <c r="K222" s="219"/>
      <c r="L222" s="216"/>
    </row>
    <row r="223" spans="1:12">
      <c r="A223" s="210"/>
      <c r="B223" s="211"/>
      <c r="C223" s="212"/>
      <c r="D223" s="211"/>
      <c r="E223" s="213"/>
      <c r="F223" s="214"/>
      <c r="G223" s="215"/>
      <c r="H223" s="216"/>
      <c r="I223" s="217"/>
      <c r="J223" s="218"/>
      <c r="K223" s="219"/>
      <c r="L223" s="216"/>
    </row>
    <row r="224" spans="1:12">
      <c r="A224" s="210"/>
      <c r="B224" s="211"/>
      <c r="C224" s="212"/>
      <c r="D224" s="211"/>
      <c r="E224" s="213"/>
      <c r="F224" s="214"/>
      <c r="G224" s="215"/>
      <c r="H224" s="216"/>
      <c r="I224" s="217"/>
      <c r="J224" s="218"/>
      <c r="K224" s="219"/>
      <c r="L224" s="216"/>
    </row>
    <row r="225" spans="1:12">
      <c r="A225" s="210"/>
      <c r="B225" s="211"/>
      <c r="C225" s="212"/>
      <c r="D225" s="211"/>
      <c r="E225" s="213"/>
      <c r="F225" s="214"/>
      <c r="G225" s="215"/>
      <c r="H225" s="216"/>
      <c r="I225" s="217"/>
      <c r="J225" s="218"/>
      <c r="K225" s="219"/>
      <c r="L225" s="216"/>
    </row>
    <row r="226" spans="1:12">
      <c r="A226" s="210"/>
      <c r="B226" s="211"/>
      <c r="C226" s="212"/>
      <c r="D226" s="211"/>
      <c r="E226" s="213"/>
      <c r="F226" s="214"/>
      <c r="G226" s="215"/>
      <c r="H226" s="216"/>
      <c r="I226" s="217"/>
      <c r="J226" s="218"/>
      <c r="K226" s="219"/>
      <c r="L226" s="216"/>
    </row>
    <row r="227" spans="1:12">
      <c r="A227" s="210"/>
      <c r="B227" s="211"/>
      <c r="C227" s="212"/>
      <c r="D227" s="211"/>
      <c r="E227" s="213"/>
      <c r="F227" s="214"/>
      <c r="G227" s="215"/>
      <c r="H227" s="216"/>
      <c r="I227" s="217"/>
      <c r="J227" s="218"/>
      <c r="K227" s="219"/>
      <c r="L227" s="216"/>
    </row>
    <row r="228" spans="1:12">
      <c r="A228" s="210"/>
      <c r="B228" s="211"/>
      <c r="C228" s="212"/>
      <c r="D228" s="211"/>
      <c r="E228" s="213"/>
      <c r="F228" s="214"/>
      <c r="G228" s="215"/>
      <c r="H228" s="216"/>
      <c r="I228" s="217"/>
      <c r="J228" s="218"/>
      <c r="K228" s="219"/>
      <c r="L228" s="216"/>
    </row>
    <row r="229" spans="1:12">
      <c r="A229" s="210"/>
      <c r="B229" s="211"/>
      <c r="C229" s="212"/>
      <c r="D229" s="211"/>
      <c r="E229" s="213"/>
      <c r="F229" s="214"/>
      <c r="G229" s="215"/>
      <c r="H229" s="216"/>
      <c r="I229" s="217"/>
      <c r="J229" s="218"/>
      <c r="K229" s="219"/>
      <c r="L229" s="216"/>
    </row>
    <row r="230" spans="1:12">
      <c r="A230" s="210"/>
      <c r="B230" s="211"/>
      <c r="C230" s="212"/>
      <c r="D230" s="211"/>
      <c r="E230" s="213"/>
      <c r="F230" s="214"/>
      <c r="G230" s="215"/>
      <c r="H230" s="216"/>
      <c r="I230" s="217"/>
      <c r="J230" s="218"/>
      <c r="K230" s="219"/>
      <c r="L230" s="216"/>
    </row>
    <row r="231" spans="1:12">
      <c r="A231" s="210"/>
      <c r="B231" s="211"/>
      <c r="C231" s="212"/>
      <c r="D231" s="211"/>
      <c r="E231" s="213"/>
      <c r="F231" s="214"/>
      <c r="G231" s="215"/>
      <c r="H231" s="216"/>
      <c r="I231" s="217"/>
      <c r="J231" s="218"/>
      <c r="K231" s="219"/>
      <c r="L231" s="216"/>
    </row>
    <row r="232" spans="1:12">
      <c r="A232" s="210"/>
      <c r="B232" s="211"/>
      <c r="C232" s="212"/>
      <c r="D232" s="211"/>
      <c r="E232" s="213"/>
      <c r="F232" s="214"/>
      <c r="G232" s="215"/>
      <c r="H232" s="216"/>
      <c r="I232" s="217"/>
      <c r="J232" s="218"/>
      <c r="K232" s="219"/>
      <c r="L232" s="216"/>
    </row>
    <row r="233" spans="1:12">
      <c r="A233" s="210"/>
      <c r="B233" s="211"/>
      <c r="C233" s="212"/>
      <c r="D233" s="211"/>
      <c r="E233" s="213"/>
      <c r="F233" s="214"/>
      <c r="G233" s="215"/>
      <c r="H233" s="216"/>
      <c r="I233" s="217"/>
      <c r="J233" s="218"/>
      <c r="K233" s="219"/>
      <c r="L233" s="216"/>
    </row>
    <row r="234" spans="1:12">
      <c r="A234" s="210"/>
      <c r="B234" s="211"/>
      <c r="C234" s="212"/>
      <c r="D234" s="211"/>
      <c r="E234" s="213"/>
      <c r="F234" s="214"/>
      <c r="G234" s="215"/>
      <c r="H234" s="216"/>
      <c r="I234" s="217"/>
      <c r="J234" s="218"/>
      <c r="K234" s="219"/>
      <c r="L234" s="216"/>
    </row>
    <row r="235" spans="1:12">
      <c r="A235" s="210"/>
      <c r="B235" s="211"/>
      <c r="C235" s="212"/>
      <c r="D235" s="211"/>
      <c r="E235" s="213"/>
      <c r="F235" s="214"/>
      <c r="G235" s="215"/>
      <c r="H235" s="216"/>
      <c r="I235" s="217"/>
      <c r="J235" s="218"/>
      <c r="K235" s="219"/>
      <c r="L235" s="216"/>
    </row>
    <row r="236" spans="1:12">
      <c r="A236" s="210"/>
      <c r="B236" s="211"/>
      <c r="C236" s="212"/>
      <c r="D236" s="211"/>
      <c r="E236" s="213"/>
      <c r="F236" s="214"/>
      <c r="G236" s="215"/>
      <c r="H236" s="216"/>
      <c r="I236" s="217"/>
      <c r="J236" s="218"/>
      <c r="K236" s="219"/>
      <c r="L236" s="216"/>
    </row>
    <row r="237" spans="1:12">
      <c r="A237" s="210"/>
      <c r="B237" s="211"/>
      <c r="C237" s="212"/>
      <c r="D237" s="211"/>
      <c r="E237" s="213"/>
      <c r="F237" s="214"/>
      <c r="G237" s="215"/>
      <c r="H237" s="216"/>
      <c r="I237" s="217"/>
      <c r="J237" s="218"/>
      <c r="K237" s="219"/>
      <c r="L237" s="216"/>
    </row>
    <row r="238" spans="1:12">
      <c r="A238" s="210"/>
      <c r="B238" s="211"/>
      <c r="C238" s="212"/>
      <c r="D238" s="211"/>
      <c r="E238" s="213"/>
      <c r="F238" s="214"/>
      <c r="G238" s="215"/>
      <c r="H238" s="216"/>
      <c r="I238" s="217"/>
      <c r="J238" s="218"/>
      <c r="K238" s="219"/>
      <c r="L238" s="216"/>
    </row>
    <row r="239" spans="1:12">
      <c r="A239" s="210"/>
      <c r="B239" s="211"/>
      <c r="C239" s="212"/>
      <c r="D239" s="211"/>
      <c r="E239" s="213"/>
      <c r="F239" s="214"/>
      <c r="G239" s="215"/>
      <c r="H239" s="216"/>
      <c r="I239" s="217"/>
      <c r="J239" s="218"/>
      <c r="K239" s="219"/>
      <c r="L239" s="216"/>
    </row>
    <row r="240" spans="1:12">
      <c r="A240" s="210"/>
      <c r="B240" s="211"/>
      <c r="C240" s="212"/>
      <c r="D240" s="211"/>
      <c r="E240" s="213"/>
      <c r="F240" s="214"/>
      <c r="G240" s="215"/>
      <c r="H240" s="216"/>
      <c r="I240" s="217"/>
      <c r="J240" s="218"/>
      <c r="K240" s="219"/>
      <c r="L240" s="216"/>
    </row>
    <row r="241" spans="1:12">
      <c r="A241" s="210"/>
      <c r="B241" s="211"/>
      <c r="C241" s="212"/>
      <c r="D241" s="211"/>
      <c r="E241" s="213"/>
      <c r="F241" s="214"/>
      <c r="G241" s="215"/>
      <c r="H241" s="216"/>
      <c r="I241" s="217"/>
      <c r="J241" s="218"/>
      <c r="K241" s="219"/>
      <c r="L241" s="216"/>
    </row>
    <row r="242" spans="1:12">
      <c r="A242" s="210"/>
      <c r="B242" s="211"/>
      <c r="C242" s="212"/>
      <c r="D242" s="211"/>
      <c r="E242" s="213"/>
      <c r="F242" s="214"/>
      <c r="G242" s="215"/>
      <c r="H242" s="216"/>
      <c r="I242" s="217"/>
      <c r="J242" s="218"/>
      <c r="K242" s="219"/>
      <c r="L242" s="216"/>
    </row>
    <row r="243" spans="1:12">
      <c r="A243" s="210"/>
      <c r="B243" s="211"/>
      <c r="C243" s="212"/>
      <c r="D243" s="211"/>
      <c r="E243" s="213"/>
      <c r="F243" s="214"/>
      <c r="G243" s="215"/>
      <c r="H243" s="216"/>
      <c r="I243" s="217"/>
      <c r="J243" s="218"/>
      <c r="K243" s="219"/>
      <c r="L243" s="216"/>
    </row>
    <row r="244" spans="1:12">
      <c r="A244" s="210"/>
      <c r="B244" s="211"/>
      <c r="C244" s="212"/>
      <c r="D244" s="211"/>
      <c r="E244" s="213"/>
      <c r="F244" s="214"/>
      <c r="G244" s="215"/>
      <c r="H244" s="216"/>
      <c r="I244" s="217"/>
      <c r="J244" s="218"/>
      <c r="K244" s="219"/>
      <c r="L244" s="216"/>
    </row>
    <row r="245" spans="1:12">
      <c r="A245" s="210"/>
      <c r="B245" s="211"/>
      <c r="C245" s="212"/>
      <c r="D245" s="211"/>
      <c r="E245" s="213"/>
      <c r="F245" s="214"/>
      <c r="G245" s="215"/>
      <c r="H245" s="216"/>
      <c r="I245" s="217"/>
      <c r="J245" s="218"/>
      <c r="K245" s="219"/>
      <c r="L245" s="216"/>
    </row>
    <row r="246" spans="1:12">
      <c r="A246" s="210"/>
      <c r="B246" s="211"/>
      <c r="C246" s="212"/>
      <c r="D246" s="211"/>
      <c r="E246" s="213"/>
      <c r="F246" s="214"/>
      <c r="G246" s="215"/>
      <c r="H246" s="216"/>
      <c r="I246" s="217"/>
      <c r="J246" s="218"/>
      <c r="K246" s="219"/>
      <c r="L246" s="216"/>
    </row>
    <row r="247" spans="1:12">
      <c r="A247" s="210"/>
      <c r="B247" s="211"/>
      <c r="C247" s="212"/>
      <c r="D247" s="211"/>
      <c r="E247" s="213"/>
      <c r="F247" s="214"/>
      <c r="G247" s="215"/>
      <c r="H247" s="216"/>
      <c r="I247" s="217"/>
      <c r="J247" s="218"/>
      <c r="K247" s="219"/>
      <c r="L247" s="216"/>
    </row>
    <row r="248" spans="1:12">
      <c r="A248" s="210"/>
      <c r="B248" s="211"/>
      <c r="C248" s="212"/>
      <c r="D248" s="211"/>
      <c r="E248" s="213"/>
      <c r="F248" s="214"/>
      <c r="G248" s="215"/>
      <c r="H248" s="216"/>
      <c r="I248" s="217"/>
      <c r="J248" s="218"/>
      <c r="K248" s="219"/>
      <c r="L248" s="216"/>
    </row>
  </sheetData>
  <sortState ref="A7:L85">
    <sortCondition ref="K7:K85"/>
    <sortCondition ref="L7:L85"/>
  </sortState>
  <mergeCells count="2">
    <mergeCell ref="A4:L4"/>
    <mergeCell ref="A5:J5"/>
  </mergeCells>
  <dataValidations count="1">
    <dataValidation type="list" allowBlank="1" showInputMessage="1" showErrorMessage="1" sqref="L7:L11">
      <formula1>$E$107:$E$119</formula1>
    </dataValidation>
  </dataValidations>
  <pageMargins left="0.70866141732283472" right="0.70866141732283472" top="0.74803149606299213" bottom="0.74803149606299213" header="0.31496062992125984" footer="0.31496062992125984"/>
  <pageSetup scale="57" fitToHeight="6" orientation="landscape" r:id="rId1"/>
  <headerFooter>
    <oddHeader>&amp;L&amp;14&amp;P</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A1:E16"/>
  <sheetViews>
    <sheetView topLeftCell="A7" workbookViewId="0">
      <selection activeCell="B14" sqref="B14"/>
    </sheetView>
  </sheetViews>
  <sheetFormatPr baseColWidth="10" defaultRowHeight="15"/>
  <cols>
    <col min="3" max="4" width="16.85546875" style="989" bestFit="1" customWidth="1"/>
    <col min="5" max="5" width="12" bestFit="1" customWidth="1"/>
  </cols>
  <sheetData>
    <row r="1" spans="1:5" ht="45">
      <c r="A1" s="569" t="s">
        <v>2398</v>
      </c>
    </row>
    <row r="2" spans="1:5">
      <c r="A2" s="542"/>
    </row>
    <row r="3" spans="1:5">
      <c r="A3" s="570" t="s">
        <v>2399</v>
      </c>
    </row>
    <row r="4" spans="1:5" ht="26.25" thickBot="1">
      <c r="A4" s="537" t="s">
        <v>2400</v>
      </c>
      <c r="B4" s="537" t="s">
        <v>2401</v>
      </c>
      <c r="C4" s="990" t="s">
        <v>2402</v>
      </c>
      <c r="D4" s="990" t="s">
        <v>2403</v>
      </c>
    </row>
    <row r="5" spans="1:5">
      <c r="A5" s="538" t="s">
        <v>2404</v>
      </c>
      <c r="B5" s="538"/>
      <c r="C5" s="984">
        <v>98745000</v>
      </c>
      <c r="D5" s="984">
        <v>98709691</v>
      </c>
      <c r="E5" s="581">
        <f>+C5-D5</f>
        <v>35309</v>
      </c>
    </row>
    <row r="6" spans="1:5" ht="26.25">
      <c r="A6" s="540">
        <v>99</v>
      </c>
      <c r="B6" s="540" t="s">
        <v>2405</v>
      </c>
      <c r="C6" s="918">
        <v>39498000</v>
      </c>
      <c r="D6" s="918">
        <v>39483875.759999998</v>
      </c>
      <c r="E6" s="581">
        <f t="shared" ref="E6:E7" si="0">+C6-D6</f>
        <v>14124.240000002086</v>
      </c>
    </row>
    <row r="7" spans="1:5" ht="51.75">
      <c r="A7" s="540">
        <v>99</v>
      </c>
      <c r="B7" s="540" t="s">
        <v>74</v>
      </c>
      <c r="C7" s="918">
        <v>59247000</v>
      </c>
      <c r="D7" s="918">
        <v>59225815.240000002</v>
      </c>
      <c r="E7" s="581">
        <f t="shared" si="0"/>
        <v>21184.759999997914</v>
      </c>
    </row>
    <row r="8" spans="1:5">
      <c r="A8" s="543" t="s">
        <v>2612</v>
      </c>
    </row>
    <row r="9" spans="1:5">
      <c r="A9" s="543" t="s">
        <v>2613</v>
      </c>
    </row>
    <row r="10" spans="1:5">
      <c r="A10" s="544" t="s">
        <v>2408</v>
      </c>
    </row>
    <row r="11" spans="1:5" ht="15.75" thickBot="1">
      <c r="A11" s="537" t="s">
        <v>2409</v>
      </c>
      <c r="B11" s="537" t="s">
        <v>2410</v>
      </c>
      <c r="C11" s="990" t="s">
        <v>2401</v>
      </c>
      <c r="D11" s="990" t="s">
        <v>2411</v>
      </c>
    </row>
    <row r="12" spans="1:5">
      <c r="A12" s="1462"/>
      <c r="B12" s="1462"/>
      <c r="C12" s="1462"/>
      <c r="D12" s="991"/>
    </row>
    <row r="13" spans="1:5" ht="103.5" thickBot="1">
      <c r="A13" s="545">
        <v>43076</v>
      </c>
      <c r="B13" s="546" t="s">
        <v>2905</v>
      </c>
      <c r="C13" s="992" t="s">
        <v>74</v>
      </c>
      <c r="D13" s="993">
        <v>35535489.240000002</v>
      </c>
    </row>
    <row r="14" spans="1:5" ht="103.5" thickBot="1">
      <c r="A14" s="557">
        <v>40449</v>
      </c>
      <c r="B14" s="558" t="s">
        <v>2906</v>
      </c>
      <c r="C14" s="994" t="s">
        <v>74</v>
      </c>
      <c r="D14" s="995">
        <v>23690326</v>
      </c>
    </row>
    <row r="15" spans="1:5" ht="90.75" thickBot="1">
      <c r="A15" s="553">
        <v>43076</v>
      </c>
      <c r="B15" s="554" t="s">
        <v>2907</v>
      </c>
      <c r="C15" s="996" t="s">
        <v>2405</v>
      </c>
      <c r="D15" s="688">
        <v>23690325.760000002</v>
      </c>
    </row>
    <row r="16" spans="1:5" ht="102.75">
      <c r="A16" s="549">
        <v>40449</v>
      </c>
      <c r="B16" s="550" t="s">
        <v>2906</v>
      </c>
      <c r="C16" s="997" t="s">
        <v>2405</v>
      </c>
      <c r="D16" s="998">
        <v>15793550</v>
      </c>
    </row>
  </sheetData>
  <mergeCells count="1">
    <mergeCell ref="A12:C12"/>
  </mergeCells>
  <hyperlinks>
    <hyperlink ref="A3" r:id="rId1" display="http://consorciofia.info/cdr/ver_cdrs_w.php?municipios=19999"/>
  </hyperlinks>
  <pageMargins left="0.7" right="0.7" top="0.75" bottom="0.75" header="0.3" footer="0.3"/>
  <drawing r:id="rId2"/>
  <legacyDrawing r:id="rId3"/>
  <controls>
    <mc:AlternateContent xmlns:mc="http://schemas.openxmlformats.org/markup-compatibility/2006">
      <mc:Choice Requires="x14">
        <control shapeId="148481" r:id="rId4" name="Control 1">
          <controlPr defaultSize="0" autoPict="0" r:id="rId5">
            <anchor moveWithCells="1">
              <from>
                <xdr:col>0</xdr:col>
                <xdr:colOff>0</xdr:colOff>
                <xdr:row>8</xdr:row>
                <xdr:rowOff>0</xdr:rowOff>
              </from>
              <to>
                <xdr:col>0</xdr:col>
                <xdr:colOff>666750</xdr:colOff>
                <xdr:row>9</xdr:row>
                <xdr:rowOff>38100</xdr:rowOff>
              </to>
            </anchor>
          </controlPr>
        </control>
      </mc:Choice>
      <mc:Fallback>
        <control shapeId="148481" r:id="rId4" name="Control 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baseColWidth="10" defaultColWidth="11.42578125" defaultRowHeight="15.75"/>
  <cols>
    <col min="1" max="1" width="22.85546875" style="2" bestFit="1" customWidth="1"/>
    <col min="2" max="3" width="23.7109375" style="2" customWidth="1"/>
    <col min="4" max="4" width="26.140625" style="2" bestFit="1" customWidth="1"/>
    <col min="5" max="5" width="28.42578125" style="2" customWidth="1"/>
    <col min="6" max="6" width="14.7109375" style="2" bestFit="1" customWidth="1"/>
    <col min="7" max="7" width="18.140625" style="2" customWidth="1"/>
    <col min="8" max="16384" width="11.42578125" style="2"/>
  </cols>
  <sheetData>
    <row r="1" spans="1:7" s="3" customFormat="1" ht="47.25">
      <c r="A1" s="3" t="s">
        <v>1</v>
      </c>
      <c r="B1" s="3" t="s">
        <v>65</v>
      </c>
      <c r="C1" s="3" t="s">
        <v>126</v>
      </c>
      <c r="D1" s="3" t="s">
        <v>4</v>
      </c>
      <c r="E1" s="3" t="s">
        <v>127</v>
      </c>
      <c r="F1" s="3" t="s">
        <v>196</v>
      </c>
      <c r="G1" s="3" t="s">
        <v>395</v>
      </c>
    </row>
    <row r="2" spans="1:7">
      <c r="A2" s="1" t="s">
        <v>8</v>
      </c>
      <c r="B2" s="1" t="s">
        <v>69</v>
      </c>
      <c r="C2" s="1" t="s">
        <v>66</v>
      </c>
      <c r="D2" s="2" t="s">
        <v>48</v>
      </c>
      <c r="E2" s="2" t="s">
        <v>128</v>
      </c>
      <c r="F2" s="2" t="s">
        <v>194</v>
      </c>
      <c r="G2" s="2" t="s">
        <v>128</v>
      </c>
    </row>
    <row r="3" spans="1:7">
      <c r="A3" s="1" t="s">
        <v>9</v>
      </c>
      <c r="B3" s="1" t="s">
        <v>70</v>
      </c>
      <c r="C3" s="1" t="s">
        <v>67</v>
      </c>
      <c r="D3" s="2" t="s">
        <v>217</v>
      </c>
      <c r="E3" s="2" t="s">
        <v>129</v>
      </c>
      <c r="F3" s="2" t="s">
        <v>195</v>
      </c>
      <c r="G3" s="2" t="s">
        <v>129</v>
      </c>
    </row>
    <row r="4" spans="1:7">
      <c r="A4" s="1" t="s">
        <v>10</v>
      </c>
      <c r="B4" s="1" t="s">
        <v>71</v>
      </c>
      <c r="C4" s="1" t="s">
        <v>171</v>
      </c>
      <c r="D4" s="2" t="s">
        <v>1326</v>
      </c>
      <c r="E4" s="2" t="s">
        <v>130</v>
      </c>
      <c r="G4" s="2" t="s">
        <v>130</v>
      </c>
    </row>
    <row r="5" spans="1:7">
      <c r="A5" s="1" t="s">
        <v>11</v>
      </c>
      <c r="B5" s="1" t="s">
        <v>72</v>
      </c>
      <c r="C5" s="1" t="s">
        <v>172</v>
      </c>
      <c r="D5" s="2" t="s">
        <v>182</v>
      </c>
      <c r="E5" s="2" t="s">
        <v>131</v>
      </c>
      <c r="G5" s="2" t="s">
        <v>131</v>
      </c>
    </row>
    <row r="6" spans="1:7">
      <c r="A6" s="1" t="s">
        <v>12</v>
      </c>
      <c r="C6" s="1" t="s">
        <v>173</v>
      </c>
      <c r="D6" s="2" t="s">
        <v>183</v>
      </c>
      <c r="E6" s="2" t="s">
        <v>132</v>
      </c>
      <c r="G6" s="2" t="s">
        <v>132</v>
      </c>
    </row>
    <row r="7" spans="1:7">
      <c r="A7" s="1" t="s">
        <v>13</v>
      </c>
      <c r="D7" s="2" t="s">
        <v>49</v>
      </c>
      <c r="E7" s="2" t="s">
        <v>133</v>
      </c>
      <c r="G7" s="2" t="s">
        <v>133</v>
      </c>
    </row>
    <row r="8" spans="1:7">
      <c r="A8" s="1" t="s">
        <v>14</v>
      </c>
      <c r="D8" s="2" t="s">
        <v>697</v>
      </c>
      <c r="E8" s="2" t="s">
        <v>134</v>
      </c>
      <c r="G8" s="2" t="s">
        <v>134</v>
      </c>
    </row>
    <row r="9" spans="1:7">
      <c r="A9" s="1" t="s">
        <v>15</v>
      </c>
      <c r="D9" s="2" t="s">
        <v>50</v>
      </c>
      <c r="E9" s="2" t="s">
        <v>135</v>
      </c>
      <c r="G9" s="2" t="s">
        <v>135</v>
      </c>
    </row>
    <row r="10" spans="1:7">
      <c r="A10" s="1" t="s">
        <v>16</v>
      </c>
      <c r="D10" s="2" t="s">
        <v>250</v>
      </c>
      <c r="E10" s="2" t="s">
        <v>136</v>
      </c>
      <c r="G10" s="2" t="s">
        <v>136</v>
      </c>
    </row>
    <row r="11" spans="1:7">
      <c r="A11" s="2" t="s">
        <v>51</v>
      </c>
      <c r="E11" s="2" t="s">
        <v>137</v>
      </c>
      <c r="G11" s="2" t="s">
        <v>137</v>
      </c>
    </row>
    <row r="12" spans="1:7">
      <c r="A12" s="1" t="s">
        <v>17</v>
      </c>
      <c r="E12" s="2" t="s">
        <v>138</v>
      </c>
      <c r="G12" s="2" t="s">
        <v>138</v>
      </c>
    </row>
    <row r="13" spans="1:7">
      <c r="A13" s="1" t="s">
        <v>18</v>
      </c>
      <c r="E13" s="2" t="s">
        <v>139</v>
      </c>
      <c r="G13" s="2" t="s">
        <v>139</v>
      </c>
    </row>
    <row r="14" spans="1:7">
      <c r="A14" s="2" t="s">
        <v>44</v>
      </c>
      <c r="E14" s="2" t="s">
        <v>140</v>
      </c>
      <c r="G14" s="2" t="s">
        <v>140</v>
      </c>
    </row>
    <row r="15" spans="1:7">
      <c r="A15" s="1" t="s">
        <v>19</v>
      </c>
      <c r="E15" s="2" t="s">
        <v>141</v>
      </c>
      <c r="G15" s="2" t="s">
        <v>141</v>
      </c>
    </row>
    <row r="16" spans="1:7">
      <c r="A16" s="1" t="s">
        <v>20</v>
      </c>
      <c r="E16" s="2" t="s">
        <v>142</v>
      </c>
      <c r="G16" s="2" t="s">
        <v>142</v>
      </c>
    </row>
    <row r="17" spans="1:7">
      <c r="A17" s="2" t="s">
        <v>21</v>
      </c>
      <c r="E17" s="2" t="s">
        <v>143</v>
      </c>
      <c r="G17" s="2" t="s">
        <v>143</v>
      </c>
    </row>
    <row r="18" spans="1:7">
      <c r="A18" s="2" t="s">
        <v>22</v>
      </c>
      <c r="E18" s="2" t="s">
        <v>144</v>
      </c>
      <c r="G18" s="2" t="s">
        <v>144</v>
      </c>
    </row>
    <row r="19" spans="1:7">
      <c r="A19" s="2" t="s">
        <v>23</v>
      </c>
      <c r="E19" s="2" t="s">
        <v>145</v>
      </c>
      <c r="G19" s="2" t="s">
        <v>145</v>
      </c>
    </row>
    <row r="20" spans="1:7">
      <c r="A20" s="2" t="s">
        <v>24</v>
      </c>
      <c r="E20" s="2" t="s">
        <v>146</v>
      </c>
      <c r="G20" s="2" t="s">
        <v>146</v>
      </c>
    </row>
    <row r="21" spans="1:7">
      <c r="A21" s="2" t="s">
        <v>25</v>
      </c>
      <c r="E21" s="2" t="s">
        <v>147</v>
      </c>
      <c r="G21" s="2" t="s">
        <v>147</v>
      </c>
    </row>
    <row r="22" spans="1:7">
      <c r="A22" s="2" t="s">
        <v>26</v>
      </c>
      <c r="E22" s="2" t="s">
        <v>148</v>
      </c>
      <c r="G22" s="2" t="s">
        <v>148</v>
      </c>
    </row>
    <row r="23" spans="1:7">
      <c r="A23" s="2" t="s">
        <v>5</v>
      </c>
      <c r="E23" s="2" t="s">
        <v>149</v>
      </c>
      <c r="G23" s="2" t="s">
        <v>149</v>
      </c>
    </row>
    <row r="24" spans="1:7">
      <c r="A24" s="2" t="s">
        <v>32</v>
      </c>
      <c r="E24" s="2" t="s">
        <v>7</v>
      </c>
      <c r="G24" s="2" t="s">
        <v>7</v>
      </c>
    </row>
    <row r="25" spans="1:7">
      <c r="A25" s="2" t="s">
        <v>45</v>
      </c>
      <c r="E25" s="2" t="s">
        <v>150</v>
      </c>
      <c r="G25" s="2" t="s">
        <v>150</v>
      </c>
    </row>
    <row r="26" spans="1:7">
      <c r="A26" s="2" t="s">
        <v>28</v>
      </c>
      <c r="E26" s="2" t="s">
        <v>151</v>
      </c>
      <c r="G26" s="2" t="s">
        <v>151</v>
      </c>
    </row>
    <row r="27" spans="1:7">
      <c r="A27" s="2" t="s">
        <v>29</v>
      </c>
      <c r="E27" s="2" t="s">
        <v>152</v>
      </c>
      <c r="G27" s="2" t="s">
        <v>152</v>
      </c>
    </row>
    <row r="28" spans="1:7">
      <c r="A28" s="2" t="s">
        <v>46</v>
      </c>
      <c r="E28" s="2" t="s">
        <v>153</v>
      </c>
      <c r="G28" s="2" t="s">
        <v>153</v>
      </c>
    </row>
    <row r="29" spans="1:7">
      <c r="A29" s="2" t="s">
        <v>30</v>
      </c>
      <c r="E29" s="2" t="s">
        <v>154</v>
      </c>
      <c r="G29" s="2" t="s">
        <v>154</v>
      </c>
    </row>
    <row r="30" spans="1:7">
      <c r="A30" s="2" t="s">
        <v>31</v>
      </c>
      <c r="E30" s="2" t="s">
        <v>155</v>
      </c>
      <c r="G30" s="2" t="s">
        <v>155</v>
      </c>
    </row>
    <row r="31" spans="1:7">
      <c r="A31" s="2" t="s">
        <v>33</v>
      </c>
      <c r="E31" s="2" t="s">
        <v>156</v>
      </c>
      <c r="G31" s="2" t="s">
        <v>156</v>
      </c>
    </row>
    <row r="32" spans="1:7">
      <c r="A32" s="2" t="s">
        <v>34</v>
      </c>
      <c r="E32" s="2" t="s">
        <v>157</v>
      </c>
      <c r="G32" s="2" t="s">
        <v>157</v>
      </c>
    </row>
    <row r="33" spans="1:7">
      <c r="A33" s="2" t="s">
        <v>35</v>
      </c>
      <c r="E33" s="2" t="s">
        <v>158</v>
      </c>
      <c r="G33" s="2" t="s">
        <v>158</v>
      </c>
    </row>
    <row r="34" spans="1:7">
      <c r="A34" s="2" t="s">
        <v>36</v>
      </c>
      <c r="E34" s="2" t="s">
        <v>159</v>
      </c>
      <c r="G34" s="2" t="s">
        <v>159</v>
      </c>
    </row>
    <row r="35" spans="1:7">
      <c r="A35" s="2" t="s">
        <v>37</v>
      </c>
      <c r="E35" s="2" t="s">
        <v>160</v>
      </c>
      <c r="G35" s="2" t="s">
        <v>160</v>
      </c>
    </row>
    <row r="36" spans="1:7">
      <c r="A36" s="2" t="s">
        <v>47</v>
      </c>
      <c r="E36" s="2" t="s">
        <v>161</v>
      </c>
      <c r="G36" s="2" t="s">
        <v>161</v>
      </c>
    </row>
    <row r="37" spans="1:7">
      <c r="A37" s="2" t="s">
        <v>39</v>
      </c>
      <c r="E37" s="2" t="s">
        <v>162</v>
      </c>
      <c r="G37" s="2" t="s">
        <v>162</v>
      </c>
    </row>
    <row r="38" spans="1:7">
      <c r="A38" s="2" t="s">
        <v>38</v>
      </c>
      <c r="E38" s="2" t="s">
        <v>163</v>
      </c>
      <c r="G38" s="2" t="s">
        <v>163</v>
      </c>
    </row>
    <row r="39" spans="1:7">
      <c r="A39" s="2" t="s">
        <v>41</v>
      </c>
      <c r="E39" s="2" t="s">
        <v>164</v>
      </c>
      <c r="G39" s="2" t="s">
        <v>164</v>
      </c>
    </row>
    <row r="40" spans="1:7">
      <c r="A40" s="2" t="s">
        <v>40</v>
      </c>
      <c r="E40" s="2" t="s">
        <v>165</v>
      </c>
      <c r="G40" s="2" t="s">
        <v>165</v>
      </c>
    </row>
    <row r="41" spans="1:7">
      <c r="A41" s="2" t="s">
        <v>42</v>
      </c>
      <c r="E41" s="2" t="s">
        <v>166</v>
      </c>
      <c r="G41" s="2" t="s">
        <v>166</v>
      </c>
    </row>
    <row r="42" spans="1:7">
      <c r="A42" s="2" t="s">
        <v>43</v>
      </c>
      <c r="E42" s="2" t="s">
        <v>167</v>
      </c>
      <c r="G42" s="2" t="s">
        <v>167</v>
      </c>
    </row>
    <row r="43" spans="1:7">
      <c r="A43" s="2" t="s">
        <v>27</v>
      </c>
      <c r="E43" s="2" t="s">
        <v>168</v>
      </c>
      <c r="G43" s="2" t="s">
        <v>168</v>
      </c>
    </row>
    <row r="44" spans="1:7">
      <c r="E44" s="2" t="s">
        <v>169</v>
      </c>
      <c r="G44" s="2" t="s">
        <v>169</v>
      </c>
    </row>
    <row r="45" spans="1:7">
      <c r="E45" s="2" t="s">
        <v>170</v>
      </c>
      <c r="G45" s="2" t="s">
        <v>170</v>
      </c>
    </row>
  </sheetData>
  <autoFilter ref="A1:F1"/>
  <sortState ref="D2:D10">
    <sortCondition ref="D2"/>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workbookViewId="0"/>
  </sheetViews>
  <sheetFormatPr baseColWidth="10" defaultColWidth="11.42578125" defaultRowHeight="15.75"/>
  <cols>
    <col min="1" max="1" width="18.140625" style="79" bestFit="1" customWidth="1"/>
    <col min="2" max="2" width="72.140625" style="40" customWidth="1"/>
    <col min="3" max="3" width="32.140625" style="40" customWidth="1"/>
    <col min="4" max="4" width="17.7109375" style="80" bestFit="1" customWidth="1"/>
    <col min="5" max="5" width="23.5703125" style="81" bestFit="1" customWidth="1"/>
    <col min="6" max="6" width="23.5703125" style="81" customWidth="1"/>
    <col min="7" max="7" width="27.85546875" style="82" bestFit="1" customWidth="1"/>
    <col min="8" max="16384" width="11.42578125" style="4"/>
  </cols>
  <sheetData>
    <row r="1" spans="1:7" s="61" customFormat="1">
      <c r="A1" s="74" t="s">
        <v>179</v>
      </c>
      <c r="B1" s="41" t="s">
        <v>184</v>
      </c>
      <c r="C1" s="41" t="s">
        <v>185</v>
      </c>
      <c r="D1" s="75" t="s">
        <v>186</v>
      </c>
      <c r="E1" s="72" t="s">
        <v>0</v>
      </c>
      <c r="F1" s="72" t="s">
        <v>4</v>
      </c>
      <c r="G1" s="73" t="s">
        <v>784</v>
      </c>
    </row>
    <row r="2" spans="1:7" ht="30" customHeight="1">
      <c r="A2" s="69">
        <v>40780</v>
      </c>
      <c r="B2" s="68" t="s">
        <v>80</v>
      </c>
      <c r="C2" s="68" t="s">
        <v>74</v>
      </c>
      <c r="D2" s="76">
        <v>40402800</v>
      </c>
      <c r="E2" s="67" t="s">
        <v>597</v>
      </c>
      <c r="F2" s="67" t="s">
        <v>183</v>
      </c>
      <c r="G2" s="71">
        <v>0</v>
      </c>
    </row>
    <row r="3" spans="1:7" ht="30" customHeight="1">
      <c r="A3" s="69">
        <v>40912</v>
      </c>
      <c r="B3" s="68" t="s">
        <v>85</v>
      </c>
      <c r="C3" s="68" t="s">
        <v>74</v>
      </c>
      <c r="D3" s="76">
        <v>27000000</v>
      </c>
      <c r="E3" s="67" t="s">
        <v>614</v>
      </c>
      <c r="F3" s="67" t="s">
        <v>183</v>
      </c>
      <c r="G3" s="71">
        <v>0</v>
      </c>
    </row>
    <row r="4" spans="1:7" ht="30" customHeight="1">
      <c r="A4" s="69">
        <v>41017</v>
      </c>
      <c r="B4" s="68" t="s">
        <v>99</v>
      </c>
      <c r="C4" s="68" t="s">
        <v>74</v>
      </c>
      <c r="D4" s="76">
        <v>7880895</v>
      </c>
      <c r="E4" s="67" t="s">
        <v>654</v>
      </c>
      <c r="F4" s="67" t="s">
        <v>217</v>
      </c>
      <c r="G4" s="70">
        <v>875655</v>
      </c>
    </row>
    <row r="5" spans="1:7" ht="30" customHeight="1">
      <c r="A5" s="69">
        <v>41025</v>
      </c>
      <c r="B5" s="68" t="s">
        <v>73</v>
      </c>
      <c r="C5" s="68" t="s">
        <v>74</v>
      </c>
      <c r="D5" s="76">
        <v>80001952</v>
      </c>
      <c r="E5" s="67" t="s">
        <v>1255</v>
      </c>
      <c r="F5" s="67" t="s">
        <v>49</v>
      </c>
      <c r="G5" s="70">
        <v>120002928</v>
      </c>
    </row>
    <row r="6" spans="1:7" ht="30" customHeight="1">
      <c r="A6" s="69">
        <v>41037</v>
      </c>
      <c r="B6" s="68" t="s">
        <v>76</v>
      </c>
      <c r="C6" s="68" t="s">
        <v>74</v>
      </c>
      <c r="D6" s="76">
        <v>59769325</v>
      </c>
      <c r="E6" s="67" t="s">
        <v>1210</v>
      </c>
      <c r="F6" s="67" t="s">
        <v>49</v>
      </c>
      <c r="G6" s="71">
        <v>0</v>
      </c>
    </row>
    <row r="7" spans="1:7" ht="30" customHeight="1">
      <c r="A7" s="69">
        <v>41037</v>
      </c>
      <c r="B7" s="68" t="s">
        <v>79</v>
      </c>
      <c r="C7" s="68" t="s">
        <v>74</v>
      </c>
      <c r="D7" s="76">
        <v>45628368</v>
      </c>
      <c r="E7" s="67" t="s">
        <v>1256</v>
      </c>
      <c r="F7" s="67" t="s">
        <v>49</v>
      </c>
      <c r="G7" s="71">
        <v>0</v>
      </c>
    </row>
    <row r="8" spans="1:7" ht="30" customHeight="1">
      <c r="A8" s="69">
        <v>41037</v>
      </c>
      <c r="B8" s="68" t="s">
        <v>87</v>
      </c>
      <c r="C8" s="68" t="s">
        <v>74</v>
      </c>
      <c r="D8" s="76">
        <v>25333472</v>
      </c>
      <c r="E8" s="67" t="s">
        <v>1305</v>
      </c>
      <c r="F8" s="67" t="s">
        <v>49</v>
      </c>
      <c r="G8" s="71">
        <v>0</v>
      </c>
    </row>
    <row r="9" spans="1:7" ht="30" customHeight="1">
      <c r="A9" s="69">
        <v>41038</v>
      </c>
      <c r="B9" s="68" t="s">
        <v>88</v>
      </c>
      <c r="C9" s="68" t="s">
        <v>74</v>
      </c>
      <c r="D9" s="76">
        <v>24011072</v>
      </c>
      <c r="E9" s="67" t="s">
        <v>1278</v>
      </c>
      <c r="F9" s="67" t="s">
        <v>50</v>
      </c>
      <c r="G9" s="71">
        <v>0</v>
      </c>
    </row>
    <row r="10" spans="1:7" ht="30" customHeight="1">
      <c r="A10" s="69">
        <v>41038</v>
      </c>
      <c r="B10" s="68" t="s">
        <v>93</v>
      </c>
      <c r="C10" s="68" t="s">
        <v>74</v>
      </c>
      <c r="D10" s="76">
        <v>18848144</v>
      </c>
      <c r="E10" s="67" t="s">
        <v>1287</v>
      </c>
      <c r="F10" s="67" t="s">
        <v>49</v>
      </c>
      <c r="G10" s="71">
        <v>0</v>
      </c>
    </row>
    <row r="11" spans="1:7" ht="30" customHeight="1">
      <c r="A11" s="69">
        <v>41040</v>
      </c>
      <c r="B11" s="68" t="s">
        <v>94</v>
      </c>
      <c r="C11" s="68" t="s">
        <v>74</v>
      </c>
      <c r="D11" s="76">
        <v>16891642</v>
      </c>
      <c r="E11" s="67" t="s">
        <v>1317</v>
      </c>
      <c r="F11" s="67" t="s">
        <v>49</v>
      </c>
      <c r="G11" s="70">
        <v>25337462</v>
      </c>
    </row>
    <row r="12" spans="1:7" ht="30" customHeight="1">
      <c r="A12" s="69">
        <v>41065</v>
      </c>
      <c r="B12" s="68" t="s">
        <v>83</v>
      </c>
      <c r="C12" s="68" t="s">
        <v>74</v>
      </c>
      <c r="D12" s="76">
        <v>28072000</v>
      </c>
      <c r="E12" s="67" t="s">
        <v>1257</v>
      </c>
      <c r="F12" s="67" t="s">
        <v>183</v>
      </c>
      <c r="G12" s="71">
        <v>0</v>
      </c>
    </row>
    <row r="13" spans="1:7" ht="30" customHeight="1">
      <c r="A13" s="69">
        <v>41065</v>
      </c>
      <c r="B13" s="68" t="s">
        <v>82</v>
      </c>
      <c r="C13" s="68" t="s">
        <v>74</v>
      </c>
      <c r="D13" s="76">
        <v>36018000</v>
      </c>
      <c r="E13" s="67" t="s">
        <v>1311</v>
      </c>
      <c r="F13" s="67" t="s">
        <v>49</v>
      </c>
      <c r="G13" s="71">
        <v>0</v>
      </c>
    </row>
    <row r="14" spans="1:7" ht="30" customHeight="1">
      <c r="A14" s="69">
        <v>41068</v>
      </c>
      <c r="B14" s="68" t="s">
        <v>84</v>
      </c>
      <c r="C14" s="68" t="s">
        <v>74</v>
      </c>
      <c r="D14" s="76">
        <v>27550000</v>
      </c>
      <c r="E14" s="67" t="s">
        <v>1296</v>
      </c>
      <c r="F14" s="67" t="s">
        <v>50</v>
      </c>
      <c r="G14" s="70">
        <v>4132499.54</v>
      </c>
    </row>
    <row r="15" spans="1:7" ht="30" customHeight="1">
      <c r="A15" s="69">
        <v>41079</v>
      </c>
      <c r="B15" s="68" t="s">
        <v>1490</v>
      </c>
      <c r="C15" s="68" t="s">
        <v>74</v>
      </c>
      <c r="D15" s="76">
        <v>22007416</v>
      </c>
      <c r="E15" s="67" t="s">
        <v>639</v>
      </c>
      <c r="F15" s="67" t="s">
        <v>183</v>
      </c>
      <c r="G15" s="71">
        <v>0</v>
      </c>
    </row>
    <row r="16" spans="1:7" ht="30" customHeight="1">
      <c r="A16" s="69">
        <v>41085</v>
      </c>
      <c r="B16" s="68" t="s">
        <v>90</v>
      </c>
      <c r="C16" s="68" t="s">
        <v>74</v>
      </c>
      <c r="D16" s="76">
        <v>22007416</v>
      </c>
      <c r="E16" s="67" t="s">
        <v>639</v>
      </c>
      <c r="F16" s="67" t="s">
        <v>183</v>
      </c>
      <c r="G16" s="71">
        <v>0</v>
      </c>
    </row>
    <row r="17" spans="1:7" ht="30" customHeight="1">
      <c r="A17" s="69">
        <v>41089</v>
      </c>
      <c r="B17" s="68" t="s">
        <v>1492</v>
      </c>
      <c r="C17" s="68" t="s">
        <v>74</v>
      </c>
      <c r="D17" s="76">
        <v>978108</v>
      </c>
      <c r="E17" s="67" t="s">
        <v>1560</v>
      </c>
      <c r="F17" s="67" t="s">
        <v>183</v>
      </c>
      <c r="G17" s="78">
        <v>978107</v>
      </c>
    </row>
    <row r="18" spans="1:7" ht="30" customHeight="1">
      <c r="A18" s="69">
        <v>41093</v>
      </c>
      <c r="B18" s="68" t="s">
        <v>1488</v>
      </c>
      <c r="C18" s="68" t="s">
        <v>74</v>
      </c>
      <c r="D18" s="76">
        <v>1252800</v>
      </c>
      <c r="E18" s="67" t="s">
        <v>392</v>
      </c>
      <c r="F18" s="67" t="s">
        <v>50</v>
      </c>
      <c r="G18" s="71">
        <v>0</v>
      </c>
    </row>
    <row r="19" spans="1:7" ht="30" customHeight="1">
      <c r="A19" s="69">
        <v>41093</v>
      </c>
      <c r="B19" s="68" t="s">
        <v>1489</v>
      </c>
      <c r="C19" s="68" t="s">
        <v>74</v>
      </c>
      <c r="D19" s="76">
        <v>1731996</v>
      </c>
      <c r="E19" s="67" t="s">
        <v>392</v>
      </c>
      <c r="F19" s="67" t="s">
        <v>50</v>
      </c>
      <c r="G19" s="71">
        <v>0</v>
      </c>
    </row>
    <row r="20" spans="1:7" ht="30" customHeight="1">
      <c r="A20" s="69">
        <v>41093</v>
      </c>
      <c r="B20" s="68" t="s">
        <v>112</v>
      </c>
      <c r="C20" s="68" t="s">
        <v>74</v>
      </c>
      <c r="D20" s="76">
        <v>1890000</v>
      </c>
      <c r="E20" s="67" t="s">
        <v>392</v>
      </c>
      <c r="F20" s="67" t="s">
        <v>50</v>
      </c>
      <c r="G20" s="71">
        <v>0</v>
      </c>
    </row>
    <row r="21" spans="1:7" ht="30" customHeight="1">
      <c r="A21" s="69">
        <v>41255</v>
      </c>
      <c r="B21" s="68" t="s">
        <v>95</v>
      </c>
      <c r="C21" s="68" t="s">
        <v>74</v>
      </c>
      <c r="D21" s="76">
        <v>15628881.01</v>
      </c>
      <c r="E21" s="67" t="s">
        <v>1287</v>
      </c>
      <c r="F21" s="67" t="s">
        <v>49</v>
      </c>
      <c r="G21" s="71">
        <v>0</v>
      </c>
    </row>
    <row r="22" spans="1:7" ht="30" customHeight="1">
      <c r="A22" s="69">
        <v>41271</v>
      </c>
      <c r="B22" s="68" t="s">
        <v>91</v>
      </c>
      <c r="C22" s="68" t="s">
        <v>74</v>
      </c>
      <c r="D22" s="76">
        <v>21746827.91</v>
      </c>
      <c r="E22" s="67" t="s">
        <v>1278</v>
      </c>
      <c r="F22" s="67" t="s">
        <v>50</v>
      </c>
      <c r="G22" s="71">
        <v>0</v>
      </c>
    </row>
    <row r="23" spans="1:7" ht="30" customHeight="1">
      <c r="A23" s="69">
        <v>41347</v>
      </c>
      <c r="B23" s="68" t="s">
        <v>107</v>
      </c>
      <c r="C23" s="68" t="s">
        <v>74</v>
      </c>
      <c r="D23" s="76">
        <v>1817604.62</v>
      </c>
      <c r="E23" s="67" t="s">
        <v>1409</v>
      </c>
      <c r="F23" s="67" t="s">
        <v>49</v>
      </c>
      <c r="G23" s="71">
        <v>0</v>
      </c>
    </row>
    <row r="24" spans="1:7" ht="30" customHeight="1">
      <c r="A24" s="69">
        <v>41347</v>
      </c>
      <c r="B24" s="68" t="s">
        <v>107</v>
      </c>
      <c r="C24" s="68" t="s">
        <v>74</v>
      </c>
      <c r="D24" s="76">
        <v>1823296.92</v>
      </c>
      <c r="E24" s="67" t="s">
        <v>1409</v>
      </c>
      <c r="F24" s="67" t="s">
        <v>49</v>
      </c>
      <c r="G24" s="71">
        <v>0</v>
      </c>
    </row>
    <row r="25" spans="1:7" ht="30" customHeight="1">
      <c r="A25" s="69">
        <v>41347</v>
      </c>
      <c r="B25" s="68" t="s">
        <v>107</v>
      </c>
      <c r="C25" s="68" t="s">
        <v>74</v>
      </c>
      <c r="D25" s="76">
        <v>2537029.33</v>
      </c>
      <c r="E25" s="67" t="s">
        <v>1409</v>
      </c>
      <c r="F25" s="67" t="s">
        <v>49</v>
      </c>
      <c r="G25" s="71">
        <v>0</v>
      </c>
    </row>
    <row r="26" spans="1:7" ht="30" customHeight="1">
      <c r="A26" s="69">
        <v>41347</v>
      </c>
      <c r="B26" s="68" t="s">
        <v>107</v>
      </c>
      <c r="C26" s="68" t="s">
        <v>74</v>
      </c>
      <c r="D26" s="76">
        <v>3529985.74</v>
      </c>
      <c r="E26" s="67" t="s">
        <v>1409</v>
      </c>
      <c r="F26" s="67" t="s">
        <v>49</v>
      </c>
      <c r="G26" s="71">
        <v>0</v>
      </c>
    </row>
    <row r="27" spans="1:7" ht="30" customHeight="1">
      <c r="A27" s="69">
        <v>41347</v>
      </c>
      <c r="B27" s="68" t="s">
        <v>107</v>
      </c>
      <c r="C27" s="68" t="s">
        <v>74</v>
      </c>
      <c r="D27" s="76">
        <v>457518.5</v>
      </c>
      <c r="E27" s="67" t="s">
        <v>1409</v>
      </c>
      <c r="F27" s="67" t="s">
        <v>49</v>
      </c>
      <c r="G27" s="71">
        <v>0</v>
      </c>
    </row>
    <row r="28" spans="1:7" ht="30" customHeight="1">
      <c r="A28" s="69">
        <v>41347</v>
      </c>
      <c r="B28" s="68" t="s">
        <v>107</v>
      </c>
      <c r="C28" s="68" t="s">
        <v>74</v>
      </c>
      <c r="D28" s="76">
        <v>598145.21</v>
      </c>
      <c r="E28" s="67" t="s">
        <v>1409</v>
      </c>
      <c r="F28" s="67" t="s">
        <v>49</v>
      </c>
      <c r="G28" s="70">
        <v>8846096.6799999997</v>
      </c>
    </row>
    <row r="29" spans="1:7" ht="30" customHeight="1">
      <c r="A29" s="69">
        <v>41415</v>
      </c>
      <c r="B29" s="68" t="s">
        <v>119</v>
      </c>
      <c r="C29" s="68" t="s">
        <v>74</v>
      </c>
      <c r="D29" s="76">
        <v>1244564.57</v>
      </c>
      <c r="E29" s="67" t="s">
        <v>1409</v>
      </c>
      <c r="F29" s="67" t="s">
        <v>49</v>
      </c>
      <c r="G29" s="71">
        <v>0</v>
      </c>
    </row>
    <row r="30" spans="1:7" ht="30" customHeight="1">
      <c r="A30" s="69">
        <v>41415</v>
      </c>
      <c r="B30" s="68" t="s">
        <v>117</v>
      </c>
      <c r="C30" s="68" t="s">
        <v>74</v>
      </c>
      <c r="D30" s="76">
        <v>1302025.55</v>
      </c>
      <c r="E30" s="67" t="s">
        <v>1409</v>
      </c>
      <c r="F30" s="67" t="s">
        <v>49</v>
      </c>
      <c r="G30" s="71">
        <v>0</v>
      </c>
    </row>
    <row r="31" spans="1:7" ht="30" customHeight="1">
      <c r="A31" s="69">
        <v>41415</v>
      </c>
      <c r="B31" s="68" t="s">
        <v>111</v>
      </c>
      <c r="C31" s="68" t="s">
        <v>74</v>
      </c>
      <c r="D31" s="76">
        <v>1938772.04</v>
      </c>
      <c r="E31" s="67" t="s">
        <v>1409</v>
      </c>
      <c r="F31" s="67" t="s">
        <v>49</v>
      </c>
      <c r="G31" s="71">
        <v>0</v>
      </c>
    </row>
    <row r="32" spans="1:7" ht="30" customHeight="1">
      <c r="A32" s="69">
        <v>41415</v>
      </c>
      <c r="B32" s="68" t="s">
        <v>105</v>
      </c>
      <c r="C32" s="68" t="s">
        <v>74</v>
      </c>
      <c r="D32" s="76">
        <v>4096875.3</v>
      </c>
      <c r="E32" s="67" t="s">
        <v>1409</v>
      </c>
      <c r="F32" s="67" t="s">
        <v>49</v>
      </c>
      <c r="G32" s="71">
        <v>0</v>
      </c>
    </row>
    <row r="33" spans="1:7" ht="30" customHeight="1">
      <c r="A33" s="69">
        <v>41415</v>
      </c>
      <c r="B33" s="68" t="s">
        <v>104</v>
      </c>
      <c r="C33" s="68" t="s">
        <v>74</v>
      </c>
      <c r="D33" s="76">
        <v>4290003.29</v>
      </c>
      <c r="E33" s="67" t="s">
        <v>1409</v>
      </c>
      <c r="F33" s="67" t="s">
        <v>49</v>
      </c>
      <c r="G33" s="71">
        <v>0</v>
      </c>
    </row>
    <row r="34" spans="1:7" ht="15" customHeight="1">
      <c r="A34" s="69">
        <v>41415</v>
      </c>
      <c r="B34" s="68" t="s">
        <v>123</v>
      </c>
      <c r="C34" s="68" t="s">
        <v>74</v>
      </c>
      <c r="D34" s="76">
        <v>601668.16</v>
      </c>
      <c r="E34" s="67" t="s">
        <v>1409</v>
      </c>
      <c r="F34" s="67" t="s">
        <v>49</v>
      </c>
      <c r="G34" s="71">
        <v>0</v>
      </c>
    </row>
    <row r="35" spans="1:7" ht="30" customHeight="1">
      <c r="A35" s="69">
        <v>41415</v>
      </c>
      <c r="B35" s="68" t="s">
        <v>121</v>
      </c>
      <c r="C35" s="68" t="s">
        <v>74</v>
      </c>
      <c r="D35" s="76">
        <v>635581.25</v>
      </c>
      <c r="E35" s="67" t="s">
        <v>1409</v>
      </c>
      <c r="F35" s="67" t="s">
        <v>49</v>
      </c>
      <c r="G35" s="71">
        <v>0</v>
      </c>
    </row>
    <row r="36" spans="1:7" ht="30" customHeight="1">
      <c r="A36" s="69">
        <v>41423</v>
      </c>
      <c r="B36" s="68" t="s">
        <v>75</v>
      </c>
      <c r="C36" s="68" t="s">
        <v>74</v>
      </c>
      <c r="D36" s="76">
        <v>65375687.469999999</v>
      </c>
      <c r="E36" s="67" t="s">
        <v>1210</v>
      </c>
      <c r="F36" s="67" t="s">
        <v>49</v>
      </c>
      <c r="G36" s="70">
        <v>24278299.530000001</v>
      </c>
    </row>
    <row r="37" spans="1:7" ht="30" customHeight="1">
      <c r="A37" s="69">
        <v>41423</v>
      </c>
      <c r="B37" s="68" t="s">
        <v>1491</v>
      </c>
      <c r="C37" s="68" t="s">
        <v>74</v>
      </c>
      <c r="D37" s="76">
        <v>26740746.370000001</v>
      </c>
      <c r="E37" s="67" t="s">
        <v>1305</v>
      </c>
      <c r="F37" s="67" t="s">
        <v>49</v>
      </c>
      <c r="G37" s="70">
        <v>11259461.630000001</v>
      </c>
    </row>
    <row r="38" spans="1:7" ht="30" customHeight="1">
      <c r="A38" s="69">
        <v>41424</v>
      </c>
      <c r="B38" s="68" t="s">
        <v>89</v>
      </c>
      <c r="C38" s="68" t="s">
        <v>74</v>
      </c>
      <c r="D38" s="76">
        <v>14269780.470000001</v>
      </c>
      <c r="E38" s="67" t="s">
        <v>1278</v>
      </c>
      <c r="F38" s="67" t="s">
        <v>50</v>
      </c>
      <c r="G38" s="71">
        <v>0</v>
      </c>
    </row>
    <row r="39" spans="1:7" ht="30" customHeight="1">
      <c r="A39" s="69">
        <v>41424</v>
      </c>
      <c r="B39" s="68" t="s">
        <v>89</v>
      </c>
      <c r="C39" s="68" t="s">
        <v>74</v>
      </c>
      <c r="D39" s="76">
        <v>23373427.199999999</v>
      </c>
      <c r="E39" s="67" t="s">
        <v>1278</v>
      </c>
      <c r="F39" s="67" t="s">
        <v>50</v>
      </c>
      <c r="G39" s="71">
        <v>0</v>
      </c>
    </row>
    <row r="40" spans="1:7" ht="30" customHeight="1">
      <c r="A40" s="69">
        <v>41467</v>
      </c>
      <c r="B40" s="68" t="s">
        <v>115</v>
      </c>
      <c r="C40" s="68" t="s">
        <v>74</v>
      </c>
      <c r="D40" s="76">
        <v>1617600</v>
      </c>
      <c r="E40" s="67" t="s">
        <v>2079</v>
      </c>
      <c r="F40" s="67" t="s">
        <v>49</v>
      </c>
      <c r="G40" s="71">
        <v>382400</v>
      </c>
    </row>
    <row r="41" spans="1:7" ht="30" customHeight="1">
      <c r="A41" s="69">
        <v>41516</v>
      </c>
      <c r="B41" s="68" t="s">
        <v>102</v>
      </c>
      <c r="C41" s="68" t="s">
        <v>74</v>
      </c>
      <c r="D41" s="76">
        <v>4489200</v>
      </c>
      <c r="E41" s="67" t="s">
        <v>597</v>
      </c>
      <c r="F41" s="67" t="s">
        <v>183</v>
      </c>
      <c r="G41" s="71">
        <v>0</v>
      </c>
    </row>
    <row r="42" spans="1:7" ht="30" customHeight="1">
      <c r="A42" s="69">
        <v>41554</v>
      </c>
      <c r="B42" s="68" t="s">
        <v>92</v>
      </c>
      <c r="C42" s="68" t="s">
        <v>74</v>
      </c>
      <c r="D42" s="76">
        <v>20076700</v>
      </c>
      <c r="E42" s="67" t="s">
        <v>749</v>
      </c>
      <c r="F42" s="67" t="s">
        <v>50</v>
      </c>
      <c r="G42" s="70">
        <v>0</v>
      </c>
    </row>
    <row r="43" spans="1:7" ht="30" customHeight="1">
      <c r="A43" s="69">
        <v>41569</v>
      </c>
      <c r="B43" s="68" t="s">
        <v>106</v>
      </c>
      <c r="C43" s="68" t="s">
        <v>74</v>
      </c>
      <c r="D43" s="76">
        <v>3591360</v>
      </c>
      <c r="E43" s="67" t="s">
        <v>422</v>
      </c>
      <c r="F43" s="67" t="s">
        <v>183</v>
      </c>
      <c r="G43" s="71">
        <v>0</v>
      </c>
    </row>
    <row r="44" spans="1:7" ht="30" customHeight="1">
      <c r="A44" s="69">
        <v>41586</v>
      </c>
      <c r="B44" s="68" t="s">
        <v>116</v>
      </c>
      <c r="C44" s="68" t="s">
        <v>74</v>
      </c>
      <c r="D44" s="76">
        <v>1340626.82</v>
      </c>
      <c r="E44" s="67" t="s">
        <v>1409</v>
      </c>
      <c r="F44" s="67" t="s">
        <v>49</v>
      </c>
      <c r="G44" s="71">
        <v>0</v>
      </c>
    </row>
    <row r="45" spans="1:7" ht="30" customHeight="1">
      <c r="A45" s="69">
        <v>41586</v>
      </c>
      <c r="B45" s="68" t="s">
        <v>114</v>
      </c>
      <c r="C45" s="68" t="s">
        <v>74</v>
      </c>
      <c r="D45" s="76">
        <v>1786434.26</v>
      </c>
      <c r="E45" s="67" t="s">
        <v>1409</v>
      </c>
      <c r="F45" s="67" t="s">
        <v>49</v>
      </c>
      <c r="G45" s="71">
        <v>0</v>
      </c>
    </row>
    <row r="46" spans="1:7" ht="30" customHeight="1">
      <c r="A46" s="69">
        <v>41586</v>
      </c>
      <c r="B46" s="68" t="s">
        <v>125</v>
      </c>
      <c r="C46" s="68" t="s">
        <v>74</v>
      </c>
      <c r="D46" s="76">
        <v>159967.26</v>
      </c>
      <c r="E46" s="67" t="s">
        <v>1409</v>
      </c>
      <c r="F46" s="67" t="s">
        <v>49</v>
      </c>
      <c r="G46" s="71">
        <v>0</v>
      </c>
    </row>
    <row r="47" spans="1:7" ht="30" customHeight="1">
      <c r="A47" s="69">
        <v>41586</v>
      </c>
      <c r="B47" s="68" t="s">
        <v>110</v>
      </c>
      <c r="C47" s="68" t="s">
        <v>74</v>
      </c>
      <c r="D47" s="76">
        <v>2023880.57</v>
      </c>
      <c r="E47" s="67" t="s">
        <v>1409</v>
      </c>
      <c r="F47" s="67" t="s">
        <v>49</v>
      </c>
      <c r="G47" s="71">
        <v>0</v>
      </c>
    </row>
    <row r="48" spans="1:7" ht="30" customHeight="1">
      <c r="A48" s="69">
        <v>41586</v>
      </c>
      <c r="B48" s="68" t="s">
        <v>116</v>
      </c>
      <c r="C48" s="68" t="s">
        <v>74</v>
      </c>
      <c r="D48" s="76">
        <v>480113.61</v>
      </c>
      <c r="E48" s="67" t="s">
        <v>1409</v>
      </c>
      <c r="F48" s="67" t="s">
        <v>49</v>
      </c>
      <c r="G48" s="71">
        <v>0</v>
      </c>
    </row>
    <row r="49" spans="1:7" ht="30" customHeight="1">
      <c r="A49" s="69">
        <v>41597</v>
      </c>
      <c r="B49" s="68" t="s">
        <v>81</v>
      </c>
      <c r="C49" s="68" t="s">
        <v>74</v>
      </c>
      <c r="D49" s="76">
        <v>36772915.880000003</v>
      </c>
      <c r="E49" s="67" t="s">
        <v>1257</v>
      </c>
      <c r="F49" s="67" t="s">
        <v>183</v>
      </c>
      <c r="G49" s="71">
        <v>0</v>
      </c>
    </row>
    <row r="50" spans="1:7" ht="30" customHeight="1">
      <c r="A50" s="69">
        <v>41598</v>
      </c>
      <c r="B50" s="68" t="s">
        <v>86</v>
      </c>
      <c r="C50" s="68" t="s">
        <v>74</v>
      </c>
      <c r="D50" s="76">
        <v>26427337.120000001</v>
      </c>
      <c r="E50" s="67" t="s">
        <v>1296</v>
      </c>
      <c r="F50" s="67" t="s">
        <v>50</v>
      </c>
      <c r="G50" s="71">
        <v>0</v>
      </c>
    </row>
    <row r="51" spans="1:7" ht="30" customHeight="1">
      <c r="A51" s="69">
        <v>41604</v>
      </c>
      <c r="B51" s="68" t="s">
        <v>108</v>
      </c>
      <c r="C51" s="68" t="s">
        <v>74</v>
      </c>
      <c r="D51" s="76">
        <v>3000000</v>
      </c>
      <c r="E51" s="67" t="s">
        <v>614</v>
      </c>
      <c r="F51" s="67" t="s">
        <v>183</v>
      </c>
      <c r="G51" s="71">
        <v>0</v>
      </c>
    </row>
    <row r="52" spans="1:7" ht="30" customHeight="1">
      <c r="A52" s="69">
        <v>41626</v>
      </c>
      <c r="B52" s="68" t="s">
        <v>100</v>
      </c>
      <c r="C52" s="68" t="s">
        <v>74</v>
      </c>
      <c r="D52" s="76">
        <v>5858587.0999999996</v>
      </c>
      <c r="E52" s="67" t="s">
        <v>1409</v>
      </c>
      <c r="F52" s="67" t="s">
        <v>49</v>
      </c>
      <c r="G52" s="71">
        <v>0</v>
      </c>
    </row>
    <row r="53" spans="1:7" ht="30" customHeight="1">
      <c r="A53" s="69">
        <v>41682</v>
      </c>
      <c r="B53" s="68" t="s">
        <v>97</v>
      </c>
      <c r="C53" s="68" t="s">
        <v>74</v>
      </c>
      <c r="D53" s="76">
        <v>9816113.3900000006</v>
      </c>
      <c r="E53" s="67" t="s">
        <v>1287</v>
      </c>
      <c r="F53" s="67" t="s">
        <v>49</v>
      </c>
      <c r="G53" s="70">
        <v>2827221.6</v>
      </c>
    </row>
    <row r="54" spans="1:7" ht="30" customHeight="1">
      <c r="A54" s="69">
        <v>41842</v>
      </c>
      <c r="B54" s="68" t="s">
        <v>77</v>
      </c>
      <c r="C54" s="68" t="s">
        <v>74</v>
      </c>
      <c r="D54" s="76">
        <v>58176169.200000003</v>
      </c>
      <c r="E54" s="67" t="s">
        <v>1256</v>
      </c>
      <c r="F54" s="67" t="s">
        <v>49</v>
      </c>
      <c r="G54" s="70">
        <v>10266382.800000001</v>
      </c>
    </row>
    <row r="55" spans="1:7" ht="30" customHeight="1">
      <c r="A55" s="69">
        <v>41849</v>
      </c>
      <c r="B55" s="68" t="s">
        <v>118</v>
      </c>
      <c r="C55" s="68" t="s">
        <v>74</v>
      </c>
      <c r="D55" s="76">
        <v>1255885.8700000001</v>
      </c>
      <c r="E55" s="67" t="s">
        <v>1409</v>
      </c>
      <c r="F55" s="67" t="s">
        <v>49</v>
      </c>
      <c r="G55" s="71">
        <v>0</v>
      </c>
    </row>
    <row r="56" spans="1:7" ht="30" customHeight="1">
      <c r="A56" s="69">
        <v>41849</v>
      </c>
      <c r="B56" s="68" t="s">
        <v>113</v>
      </c>
      <c r="C56" s="68" t="s">
        <v>74</v>
      </c>
      <c r="D56" s="76">
        <v>1795065.92</v>
      </c>
      <c r="E56" s="67" t="s">
        <v>1409</v>
      </c>
      <c r="F56" s="67" t="s">
        <v>49</v>
      </c>
      <c r="G56" s="71">
        <v>0</v>
      </c>
    </row>
    <row r="57" spans="1:7" ht="22.5" customHeight="1">
      <c r="A57" s="69">
        <v>41849</v>
      </c>
      <c r="B57" s="68" t="s">
        <v>124</v>
      </c>
      <c r="C57" s="68" t="s">
        <v>74</v>
      </c>
      <c r="D57" s="76">
        <v>349619.16</v>
      </c>
      <c r="E57" s="67" t="s">
        <v>1409</v>
      </c>
      <c r="F57" s="67" t="s">
        <v>49</v>
      </c>
      <c r="G57" s="71">
        <v>0</v>
      </c>
    </row>
    <row r="58" spans="1:7" ht="30" customHeight="1">
      <c r="A58" s="69">
        <v>41849</v>
      </c>
      <c r="B58" s="68" t="s">
        <v>103</v>
      </c>
      <c r="C58" s="68" t="s">
        <v>74</v>
      </c>
      <c r="D58" s="76">
        <v>4426004.05</v>
      </c>
      <c r="E58" s="67" t="s">
        <v>1409</v>
      </c>
      <c r="F58" s="67" t="s">
        <v>49</v>
      </c>
      <c r="G58" s="71">
        <v>0</v>
      </c>
    </row>
    <row r="59" spans="1:7" ht="30" customHeight="1">
      <c r="A59" s="69">
        <v>41849</v>
      </c>
      <c r="B59" s="68" t="s">
        <v>122</v>
      </c>
      <c r="C59" s="68" t="s">
        <v>74</v>
      </c>
      <c r="D59" s="76">
        <v>622401.71</v>
      </c>
      <c r="E59" s="67" t="s">
        <v>1409</v>
      </c>
      <c r="F59" s="67" t="s">
        <v>49</v>
      </c>
      <c r="G59" s="71">
        <v>0</v>
      </c>
    </row>
    <row r="60" spans="1:7" ht="30" customHeight="1">
      <c r="A60" s="69">
        <v>41862</v>
      </c>
      <c r="B60" s="68" t="s">
        <v>101</v>
      </c>
      <c r="C60" s="68" t="s">
        <v>74</v>
      </c>
      <c r="D60" s="76">
        <v>5335083.12</v>
      </c>
      <c r="E60" s="67" t="s">
        <v>1257</v>
      </c>
      <c r="F60" s="67" t="s">
        <v>183</v>
      </c>
      <c r="G60" s="71">
        <v>0</v>
      </c>
    </row>
    <row r="61" spans="1:7" ht="30" customHeight="1">
      <c r="A61" s="69">
        <v>41862</v>
      </c>
      <c r="B61" s="68" t="s">
        <v>96</v>
      </c>
      <c r="C61" s="68" t="s">
        <v>74</v>
      </c>
      <c r="D61" s="76">
        <v>10765162.34</v>
      </c>
      <c r="E61" s="67" t="s">
        <v>1296</v>
      </c>
      <c r="F61" s="67" t="s">
        <v>50</v>
      </c>
      <c r="G61" s="71">
        <v>0</v>
      </c>
    </row>
    <row r="62" spans="1:7" ht="30" customHeight="1">
      <c r="A62" s="69">
        <v>41904</v>
      </c>
      <c r="B62" s="68" t="s">
        <v>78</v>
      </c>
      <c r="C62" s="68" t="s">
        <v>74</v>
      </c>
      <c r="D62" s="76">
        <v>48624299.460000001</v>
      </c>
      <c r="E62" s="67" t="s">
        <v>1311</v>
      </c>
      <c r="F62" s="67" t="s">
        <v>49</v>
      </c>
      <c r="G62" s="70">
        <v>5402699.54</v>
      </c>
    </row>
    <row r="63" spans="1:7" ht="30" customHeight="1">
      <c r="A63" s="69">
        <v>41974</v>
      </c>
      <c r="B63" s="68" t="s">
        <v>109</v>
      </c>
      <c r="C63" s="68" t="s">
        <v>74</v>
      </c>
      <c r="D63" s="76">
        <v>2445268</v>
      </c>
      <c r="E63" s="67" t="s">
        <v>639</v>
      </c>
      <c r="F63" s="67" t="s">
        <v>183</v>
      </c>
      <c r="G63" s="71">
        <v>0</v>
      </c>
    </row>
    <row r="64" spans="1:7" ht="30" customHeight="1">
      <c r="A64" s="69">
        <v>42478</v>
      </c>
      <c r="B64" s="68" t="s">
        <v>98</v>
      </c>
      <c r="C64" s="68" t="s">
        <v>74</v>
      </c>
      <c r="D64" s="76">
        <v>9000000</v>
      </c>
      <c r="E64" s="67" t="s">
        <v>233</v>
      </c>
      <c r="F64" s="67"/>
      <c r="G64" s="71">
        <v>0</v>
      </c>
    </row>
    <row r="65" spans="1:7" ht="30" customHeight="1">
      <c r="A65" s="69">
        <v>42478</v>
      </c>
      <c r="B65" s="68" t="s">
        <v>120</v>
      </c>
      <c r="C65" s="68" t="s">
        <v>74</v>
      </c>
      <c r="D65" s="76">
        <v>999925</v>
      </c>
      <c r="E65" s="67" t="s">
        <v>233</v>
      </c>
      <c r="F65" s="67"/>
      <c r="G65" s="71">
        <v>0</v>
      </c>
    </row>
    <row r="66" spans="1:7" ht="31.5">
      <c r="A66" s="69">
        <v>43007</v>
      </c>
      <c r="B66" s="68" t="s">
        <v>2029</v>
      </c>
      <c r="C66" s="68" t="s">
        <v>74</v>
      </c>
      <c r="D66" s="77">
        <v>28790000</v>
      </c>
      <c r="E66" s="67" t="s">
        <v>2024</v>
      </c>
      <c r="F66" s="67" t="s">
        <v>183</v>
      </c>
      <c r="G66" s="71">
        <v>0</v>
      </c>
    </row>
    <row r="67" spans="1:7" ht="31.5">
      <c r="A67" s="69">
        <v>43014</v>
      </c>
      <c r="B67" s="68" t="s">
        <v>2028</v>
      </c>
      <c r="C67" s="68" t="s">
        <v>74</v>
      </c>
      <c r="D67" s="77">
        <v>47151317.5</v>
      </c>
      <c r="E67" s="67" t="s">
        <v>2113</v>
      </c>
      <c r="F67" s="67" t="s">
        <v>49</v>
      </c>
      <c r="G67" s="84">
        <v>47156682.5</v>
      </c>
    </row>
    <row r="68" spans="1:7" ht="31.5">
      <c r="A68" s="69">
        <v>43026</v>
      </c>
      <c r="B68" s="68" t="s">
        <v>2027</v>
      </c>
      <c r="C68" s="68" t="s">
        <v>74</v>
      </c>
      <c r="D68" s="77">
        <v>8604300</v>
      </c>
      <c r="E68" s="67" t="s">
        <v>749</v>
      </c>
      <c r="F68" s="67" t="s">
        <v>50</v>
      </c>
      <c r="G68" s="71">
        <v>0</v>
      </c>
    </row>
    <row r="69" spans="1:7" ht="31.5">
      <c r="A69" s="69">
        <v>43039</v>
      </c>
      <c r="B69" s="68" t="s">
        <v>2026</v>
      </c>
      <c r="C69" s="68" t="s">
        <v>74</v>
      </c>
      <c r="D69" s="77">
        <v>6598892.7999999998</v>
      </c>
      <c r="E69" s="67" t="s">
        <v>1278</v>
      </c>
      <c r="F69" s="67" t="s">
        <v>50</v>
      </c>
      <c r="G69" s="71">
        <v>0</v>
      </c>
    </row>
    <row r="70" spans="1:7">
      <c r="D70" s="701">
        <f>SUM(D2:D69)</f>
        <v>1031664057.0500001</v>
      </c>
    </row>
  </sheetData>
  <autoFilter ref="A1:G69"/>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baseColWidth="10" defaultColWidth="11.42578125" defaultRowHeight="15.75"/>
  <cols>
    <col min="1" max="1" width="11" style="1" customWidth="1"/>
    <col min="2" max="2" width="15.7109375" style="1" customWidth="1"/>
    <col min="3" max="3" width="12.140625" style="1" customWidth="1"/>
    <col min="4" max="4" width="64.28515625" style="1" customWidth="1"/>
    <col min="5" max="5" width="27.28515625" style="1" customWidth="1"/>
    <col min="6" max="6" width="25.85546875" style="1" customWidth="1"/>
    <col min="7" max="7" width="25" style="1" customWidth="1"/>
    <col min="8" max="16384" width="11.42578125" style="1"/>
  </cols>
  <sheetData>
    <row r="1" spans="1:6" s="3" customFormat="1" ht="47.25">
      <c r="A1" s="11" t="s">
        <v>336</v>
      </c>
      <c r="B1" s="11" t="s">
        <v>337</v>
      </c>
      <c r="C1" s="41" t="s">
        <v>1433</v>
      </c>
      <c r="D1" s="34" t="s">
        <v>338</v>
      </c>
      <c r="E1" s="14" t="s">
        <v>391</v>
      </c>
    </row>
    <row r="2" spans="1:6" ht="110.25">
      <c r="A2" s="9">
        <v>2010</v>
      </c>
      <c r="B2" s="9">
        <v>89</v>
      </c>
      <c r="C2" s="40">
        <v>87</v>
      </c>
      <c r="D2" s="13" t="s">
        <v>2080</v>
      </c>
      <c r="E2" s="15" t="s">
        <v>483</v>
      </c>
      <c r="F2" s="23" t="s">
        <v>484</v>
      </c>
    </row>
    <row r="3" spans="1:6" ht="47.25">
      <c r="A3" s="9">
        <v>2011</v>
      </c>
      <c r="B3" s="9">
        <v>45</v>
      </c>
      <c r="C3" s="40">
        <v>44</v>
      </c>
      <c r="D3" s="13" t="s">
        <v>1444</v>
      </c>
      <c r="E3" s="23"/>
    </row>
    <row r="4" spans="1:6">
      <c r="A4" s="9">
        <v>2012</v>
      </c>
      <c r="B4" s="9">
        <v>3</v>
      </c>
      <c r="C4" s="40">
        <v>3</v>
      </c>
      <c r="D4" s="42" t="s">
        <v>1456</v>
      </c>
    </row>
    <row r="5" spans="1:6" ht="31.5">
      <c r="A5" s="9">
        <v>2013</v>
      </c>
      <c r="B5" s="9">
        <v>23</v>
      </c>
      <c r="C5" s="40">
        <v>21</v>
      </c>
      <c r="D5" s="13" t="s">
        <v>1757</v>
      </c>
    </row>
    <row r="6" spans="1:6">
      <c r="A6" s="9">
        <v>2014</v>
      </c>
      <c r="B6" s="9">
        <v>14</v>
      </c>
      <c r="C6" s="40">
        <v>10</v>
      </c>
      <c r="D6" s="12" t="s">
        <v>1810</v>
      </c>
      <c r="E6" s="31"/>
    </row>
    <row r="7" spans="1:6" ht="31.5">
      <c r="A7" s="9">
        <v>2015</v>
      </c>
      <c r="B7" s="9">
        <v>25</v>
      </c>
      <c r="C7" s="40">
        <v>23</v>
      </c>
      <c r="D7" s="12" t="s">
        <v>2066</v>
      </c>
    </row>
    <row r="8" spans="1:6">
      <c r="A8" s="9">
        <v>2016</v>
      </c>
      <c r="B8" s="9">
        <v>11</v>
      </c>
      <c r="C8" s="40"/>
      <c r="D8" s="12" t="s">
        <v>2081</v>
      </c>
    </row>
    <row r="9" spans="1:6">
      <c r="A9" s="9">
        <v>2017</v>
      </c>
      <c r="B9" s="9">
        <v>1</v>
      </c>
      <c r="C9" s="40"/>
      <c r="D9" s="12">
        <v>51</v>
      </c>
    </row>
    <row r="10" spans="1:6">
      <c r="A10" s="9"/>
      <c r="B10" s="9"/>
      <c r="C10" s="40"/>
      <c r="D10" s="12"/>
    </row>
    <row r="11" spans="1:6">
      <c r="A11" s="9"/>
      <c r="B11" s="9"/>
      <c r="C11" s="40"/>
      <c r="D11" s="12"/>
    </row>
    <row r="12" spans="1:6">
      <c r="A12" s="9"/>
      <c r="B12" s="9"/>
      <c r="C12" s="40"/>
      <c r="D12" s="12"/>
    </row>
    <row r="13" spans="1:6">
      <c r="A13" s="9"/>
      <c r="B13" s="9"/>
      <c r="C13" s="40"/>
      <c r="D13" s="12"/>
    </row>
    <row r="14" spans="1:6">
      <c r="A14" s="9"/>
      <c r="B14" s="9"/>
      <c r="C14" s="40"/>
      <c r="D14" s="12"/>
    </row>
  </sheetData>
  <autoFilter ref="A1:F14"/>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A1:E13"/>
  <sheetViews>
    <sheetView workbookViewId="0">
      <selection activeCell="E2" sqref="E2"/>
    </sheetView>
  </sheetViews>
  <sheetFormatPr baseColWidth="10" defaultRowHeight="15"/>
  <cols>
    <col min="3" max="3" width="21.42578125" customWidth="1"/>
    <col min="4" max="4" width="16.85546875" bestFit="1" customWidth="1"/>
    <col min="5" max="5" width="14.140625" bestFit="1" customWidth="1"/>
  </cols>
  <sheetData>
    <row r="1" spans="1:5" ht="26.25" thickBot="1">
      <c r="A1" s="537" t="s">
        <v>2400</v>
      </c>
      <c r="B1" s="537" t="s">
        <v>2401</v>
      </c>
      <c r="C1" s="537" t="s">
        <v>2402</v>
      </c>
      <c r="D1" s="537" t="s">
        <v>2403</v>
      </c>
      <c r="E1" s="985" t="s">
        <v>2889</v>
      </c>
    </row>
    <row r="2" spans="1:5">
      <c r="A2" s="538" t="s">
        <v>2404</v>
      </c>
      <c r="B2" s="538"/>
      <c r="C2" s="984">
        <v>32610503</v>
      </c>
      <c r="D2" s="984">
        <v>31632188</v>
      </c>
      <c r="E2" s="984">
        <f>C2-D2</f>
        <v>978315</v>
      </c>
    </row>
    <row r="3" spans="1:5" ht="26.25">
      <c r="A3" s="540">
        <v>85</v>
      </c>
      <c r="B3" s="540" t="s">
        <v>2405</v>
      </c>
      <c r="C3" s="918">
        <v>13044201.199999999</v>
      </c>
      <c r="D3" s="918">
        <v>12065886</v>
      </c>
      <c r="E3" s="581">
        <f t="shared" ref="E3:E4" si="0">C3-D3</f>
        <v>978315.19999999925</v>
      </c>
    </row>
    <row r="4" spans="1:5" ht="51.75">
      <c r="A4" s="540">
        <v>85</v>
      </c>
      <c r="B4" s="540" t="s">
        <v>74</v>
      </c>
      <c r="C4" s="918">
        <v>19566301.800000001</v>
      </c>
      <c r="D4" s="918">
        <v>19566302</v>
      </c>
      <c r="E4" s="581">
        <f t="shared" si="0"/>
        <v>-0.19999999925494194</v>
      </c>
    </row>
    <row r="5" spans="1:5">
      <c r="A5" s="543" t="s">
        <v>2612</v>
      </c>
    </row>
    <row r="6" spans="1:5">
      <c r="A6" s="543" t="s">
        <v>2613</v>
      </c>
    </row>
    <row r="7" spans="1:5">
      <c r="A7" s="544" t="s">
        <v>2408</v>
      </c>
    </row>
    <row r="8" spans="1:5" ht="15.75" thickBot="1">
      <c r="A8" s="537" t="s">
        <v>2409</v>
      </c>
      <c r="B8" s="537" t="s">
        <v>2410</v>
      </c>
      <c r="C8" s="537" t="s">
        <v>2401</v>
      </c>
      <c r="D8" s="537" t="s">
        <v>2411</v>
      </c>
    </row>
    <row r="9" spans="1:5">
      <c r="A9" s="1462"/>
      <c r="B9" s="1462"/>
      <c r="C9" s="1462"/>
      <c r="D9" s="538"/>
    </row>
    <row r="10" spans="1:5" ht="78" thickBot="1">
      <c r="A10" s="545">
        <v>43066</v>
      </c>
      <c r="B10" s="546" t="s">
        <v>2901</v>
      </c>
      <c r="C10" s="547" t="s">
        <v>74</v>
      </c>
      <c r="D10" s="548">
        <v>11739781</v>
      </c>
    </row>
    <row r="11" spans="1:5" ht="103.5" thickBot="1">
      <c r="A11" s="549">
        <v>40449</v>
      </c>
      <c r="B11" s="550" t="s">
        <v>2902</v>
      </c>
      <c r="C11" s="551" t="s">
        <v>74</v>
      </c>
      <c r="D11" s="552">
        <v>7826521</v>
      </c>
    </row>
    <row r="12" spans="1:5" ht="65.25" thickBot="1">
      <c r="A12" s="553">
        <v>43066</v>
      </c>
      <c r="B12" s="554" t="s">
        <v>2903</v>
      </c>
      <c r="C12" s="555" t="s">
        <v>2405</v>
      </c>
      <c r="D12" s="556">
        <v>6848206</v>
      </c>
    </row>
    <row r="13" spans="1:5" ht="102.75">
      <c r="A13" s="549">
        <v>40449</v>
      </c>
      <c r="B13" s="550" t="s">
        <v>2902</v>
      </c>
      <c r="C13" s="551" t="s">
        <v>2405</v>
      </c>
      <c r="D13" s="552">
        <v>5217680</v>
      </c>
    </row>
  </sheetData>
  <mergeCells count="1">
    <mergeCell ref="A9:C9"/>
  </mergeCells>
  <pageMargins left="0.7" right="0.7" top="0.75" bottom="0.75" header="0.3" footer="0.3"/>
  <drawing r:id="rId1"/>
  <legacyDrawing r:id="rId2"/>
  <controls>
    <mc:AlternateContent xmlns:mc="http://schemas.openxmlformats.org/markup-compatibility/2006">
      <mc:Choice Requires="x14">
        <control shapeId="147457" r:id="rId3" name="Control 1">
          <controlPr defaultSize="0" autoPict="0" r:id="rId4">
            <anchor moveWithCells="1">
              <from>
                <xdr:col>0</xdr:col>
                <xdr:colOff>0</xdr:colOff>
                <xdr:row>5</xdr:row>
                <xdr:rowOff>0</xdr:rowOff>
              </from>
              <to>
                <xdr:col>0</xdr:col>
                <xdr:colOff>666750</xdr:colOff>
                <xdr:row>6</xdr:row>
                <xdr:rowOff>38100</xdr:rowOff>
              </to>
            </anchor>
          </controlPr>
        </control>
      </mc:Choice>
      <mc:Fallback>
        <control shapeId="147457" r:id="rId3" name="Control 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pageSetUpPr fitToPage="1"/>
  </sheetPr>
  <dimension ref="A1:E29"/>
  <sheetViews>
    <sheetView workbookViewId="0">
      <selection activeCell="B23" sqref="B23"/>
    </sheetView>
  </sheetViews>
  <sheetFormatPr baseColWidth="10" defaultRowHeight="15" outlineLevelRow="2"/>
  <cols>
    <col min="2" max="2" width="44" customWidth="1"/>
    <col min="3" max="3" width="37.5703125" customWidth="1"/>
    <col min="4" max="4" width="25.85546875" customWidth="1"/>
    <col min="5" max="5" width="16.85546875" bestFit="1" customWidth="1"/>
  </cols>
  <sheetData>
    <row r="1" spans="1:5" ht="15" customHeight="1" thickBot="1">
      <c r="A1" s="537" t="s">
        <v>2400</v>
      </c>
      <c r="B1" s="537" t="s">
        <v>2401</v>
      </c>
      <c r="C1" s="537" t="s">
        <v>2402</v>
      </c>
      <c r="D1" s="537" t="s">
        <v>2403</v>
      </c>
      <c r="E1" s="985" t="s">
        <v>2889</v>
      </c>
    </row>
    <row r="2" spans="1:5" ht="15" customHeight="1">
      <c r="A2" s="538" t="s">
        <v>2404</v>
      </c>
      <c r="B2" s="538"/>
      <c r="C2" s="984">
        <v>1177691989</v>
      </c>
      <c r="D2" s="984">
        <v>1166255753</v>
      </c>
      <c r="E2" s="984">
        <f>+C2-D2</f>
        <v>11436236</v>
      </c>
    </row>
    <row r="3" spans="1:5" ht="15" customHeight="1">
      <c r="A3" s="540">
        <v>125</v>
      </c>
      <c r="B3" s="540" t="s">
        <v>2405</v>
      </c>
      <c r="C3" s="979">
        <v>695806847</v>
      </c>
      <c r="D3" s="979">
        <v>688552643</v>
      </c>
      <c r="E3" s="979">
        <f t="shared" ref="E3:E4" si="0">+C3-D3</f>
        <v>7254204</v>
      </c>
    </row>
    <row r="4" spans="1:5" ht="15" customHeight="1">
      <c r="A4" s="540">
        <v>125</v>
      </c>
      <c r="B4" s="540" t="s">
        <v>74</v>
      </c>
      <c r="C4" s="979">
        <v>481885142</v>
      </c>
      <c r="D4" s="979">
        <v>477703110</v>
      </c>
      <c r="E4" s="979">
        <f t="shared" si="0"/>
        <v>4182032</v>
      </c>
    </row>
    <row r="5" spans="1:5" ht="15" customHeight="1">
      <c r="A5" s="543" t="s">
        <v>2612</v>
      </c>
    </row>
    <row r="6" spans="1:5" ht="15" customHeight="1">
      <c r="A6" s="543" t="s">
        <v>2613</v>
      </c>
    </row>
    <row r="7" spans="1:5" ht="15" customHeight="1">
      <c r="A7" s="544" t="s">
        <v>2408</v>
      </c>
    </row>
    <row r="8" spans="1:5" ht="15" customHeight="1" thickBot="1">
      <c r="A8" s="537" t="s">
        <v>2409</v>
      </c>
      <c r="B8" s="537" t="s">
        <v>2410</v>
      </c>
      <c r="C8" s="537" t="s">
        <v>2401</v>
      </c>
      <c r="D8" s="537" t="s">
        <v>2411</v>
      </c>
    </row>
    <row r="9" spans="1:5" ht="15" customHeight="1" outlineLevel="2" thickBot="1">
      <c r="A9" s="571">
        <v>40659</v>
      </c>
      <c r="B9" s="986" t="s">
        <v>2725</v>
      </c>
      <c r="C9" s="547" t="s">
        <v>2405</v>
      </c>
      <c r="D9" s="979">
        <v>347903423.33999997</v>
      </c>
    </row>
    <row r="10" spans="1:5" ht="15" customHeight="1" outlineLevel="2" thickBot="1">
      <c r="A10" s="574">
        <v>40767</v>
      </c>
      <c r="B10" s="986" t="s">
        <v>2726</v>
      </c>
      <c r="C10" s="555" t="s">
        <v>2405</v>
      </c>
      <c r="D10" s="979">
        <v>108981552.89</v>
      </c>
    </row>
    <row r="11" spans="1:5" ht="15" customHeight="1" outlineLevel="2" thickBot="1">
      <c r="A11" s="574">
        <v>40835</v>
      </c>
      <c r="B11" s="986" t="s">
        <v>2728</v>
      </c>
      <c r="C11" s="555" t="s">
        <v>2405</v>
      </c>
      <c r="D11" s="979">
        <v>49843003</v>
      </c>
    </row>
    <row r="12" spans="1:5" ht="15" customHeight="1" outlineLevel="2" thickBot="1">
      <c r="A12" s="574">
        <v>40856</v>
      </c>
      <c r="B12" s="986" t="s">
        <v>2727</v>
      </c>
      <c r="C12" s="555" t="s">
        <v>2405</v>
      </c>
      <c r="D12" s="979">
        <v>96104979</v>
      </c>
    </row>
    <row r="13" spans="1:5" ht="15" customHeight="1" outlineLevel="2" thickBot="1">
      <c r="A13" s="574">
        <v>41628</v>
      </c>
      <c r="B13" s="986" t="s">
        <v>2729</v>
      </c>
      <c r="C13" s="555" t="s">
        <v>2405</v>
      </c>
      <c r="D13" s="979">
        <v>44755955.469999999</v>
      </c>
    </row>
    <row r="14" spans="1:5" ht="15" customHeight="1" outlineLevel="2" thickBot="1">
      <c r="A14" s="574">
        <v>42159</v>
      </c>
      <c r="B14" s="986" t="s">
        <v>2883</v>
      </c>
      <c r="C14" s="555" t="s">
        <v>2405</v>
      </c>
      <c r="D14" s="979">
        <v>24807937.940000001</v>
      </c>
    </row>
    <row r="15" spans="1:5" ht="15" customHeight="1" outlineLevel="2" thickBot="1">
      <c r="A15" s="574">
        <v>43209</v>
      </c>
      <c r="B15" s="986" t="s">
        <v>2885</v>
      </c>
      <c r="C15" s="981" t="s">
        <v>2405</v>
      </c>
      <c r="D15" s="980">
        <v>16155791.359999999</v>
      </c>
    </row>
    <row r="16" spans="1:5" ht="15" customHeight="1" outlineLevel="1" thickBot="1">
      <c r="A16" s="574"/>
      <c r="B16" s="554"/>
      <c r="C16" s="982" t="s">
        <v>2887</v>
      </c>
      <c r="D16" s="983">
        <f>SUBTOTAL(9,D9:D15)</f>
        <v>688552643.00000012</v>
      </c>
    </row>
    <row r="17" spans="1:4" ht="15" customHeight="1" outlineLevel="2" thickTop="1" thickBot="1">
      <c r="A17" s="553">
        <v>40659</v>
      </c>
      <c r="B17" s="986" t="s">
        <v>2725</v>
      </c>
      <c r="C17" s="578" t="s">
        <v>74</v>
      </c>
      <c r="D17" s="979">
        <v>240942570.66</v>
      </c>
    </row>
    <row r="18" spans="1:4" ht="15" customHeight="1" outlineLevel="2" thickBot="1">
      <c r="A18" s="553">
        <v>40767</v>
      </c>
      <c r="B18" s="986" t="s">
        <v>2726</v>
      </c>
      <c r="C18" s="551" t="s">
        <v>74</v>
      </c>
      <c r="D18" s="979">
        <v>75475819.109999999</v>
      </c>
    </row>
    <row r="19" spans="1:4" ht="15" customHeight="1" outlineLevel="2">
      <c r="A19" s="575">
        <v>40835</v>
      </c>
      <c r="B19" s="986" t="s">
        <v>2728</v>
      </c>
      <c r="C19" s="559" t="s">
        <v>74</v>
      </c>
      <c r="D19" s="979">
        <v>34636663</v>
      </c>
    </row>
    <row r="20" spans="1:4" ht="15" customHeight="1" outlineLevel="2" thickBot="1">
      <c r="A20" s="545">
        <v>40856</v>
      </c>
      <c r="B20" s="986" t="s">
        <v>2727</v>
      </c>
      <c r="C20" s="578" t="s">
        <v>74</v>
      </c>
      <c r="D20" s="979">
        <v>66784816</v>
      </c>
    </row>
    <row r="21" spans="1:4" ht="15" customHeight="1" outlineLevel="2" thickBot="1">
      <c r="A21" s="553">
        <v>41628</v>
      </c>
      <c r="B21" s="986" t="s">
        <v>2730</v>
      </c>
      <c r="C21" s="551" t="s">
        <v>74</v>
      </c>
      <c r="D21" s="979">
        <v>30996001.489999998</v>
      </c>
    </row>
    <row r="22" spans="1:4" ht="15" customHeight="1" outlineLevel="2" thickBot="1">
      <c r="A22" s="575">
        <v>42159</v>
      </c>
      <c r="B22" s="986" t="s">
        <v>2884</v>
      </c>
      <c r="C22" s="559" t="s">
        <v>74</v>
      </c>
      <c r="D22" s="979">
        <v>17180884.059999999</v>
      </c>
    </row>
    <row r="23" spans="1:4" ht="15" customHeight="1" outlineLevel="2">
      <c r="A23" s="553">
        <v>43209</v>
      </c>
      <c r="B23" s="986" t="s">
        <v>2886</v>
      </c>
      <c r="C23" s="551" t="s">
        <v>74</v>
      </c>
      <c r="D23" s="979">
        <v>11686355.68</v>
      </c>
    </row>
    <row r="24" spans="1:4" ht="15" customHeight="1" outlineLevel="1" thickBot="1">
      <c r="A24" s="689"/>
      <c r="B24" s="915"/>
      <c r="C24" s="982" t="s">
        <v>2888</v>
      </c>
      <c r="D24" s="983">
        <f>SUBTOTAL(9,D17:D23)</f>
        <v>477703110</v>
      </c>
    </row>
    <row r="25" spans="1:4" ht="15" customHeight="1" thickTop="1" thickBot="1">
      <c r="A25" s="689"/>
      <c r="B25" s="915"/>
      <c r="C25" s="982" t="s">
        <v>2416</v>
      </c>
      <c r="D25" s="983">
        <f>SUBTOTAL(9,D9:D23)</f>
        <v>1166255753</v>
      </c>
    </row>
    <row r="26" spans="1:4" ht="15" customHeight="1" thickTop="1"/>
    <row r="27" spans="1:4" ht="15" customHeight="1"/>
    <row r="28" spans="1:4" ht="15" customHeight="1"/>
    <row r="29" spans="1:4" ht="15" customHeight="1"/>
  </sheetData>
  <sortState ref="A9:D22">
    <sortCondition descending="1" ref="C9:C22"/>
    <sortCondition ref="A9:A22"/>
  </sortState>
  <pageMargins left="0.70866141732283472" right="0.70866141732283472" top="0.74803149606299213" bottom="0.74803149606299213" header="0.31496062992125984" footer="0.31496062992125984"/>
  <pageSetup paperSize="9" scale="96" orientation="landscape" r:id="rId1"/>
  <drawing r:id="rId2"/>
  <legacyDrawing r:id="rId3"/>
  <controls>
    <mc:AlternateContent xmlns:mc="http://schemas.openxmlformats.org/markup-compatibility/2006">
      <mc:Choice Requires="x14">
        <control shapeId="130049" r:id="rId4" name="Control 1">
          <controlPr defaultSize="0" autoPict="0" r:id="rId5">
            <anchor moveWithCells="1">
              <from>
                <xdr:col>0</xdr:col>
                <xdr:colOff>0</xdr:colOff>
                <xdr:row>5</xdr:row>
                <xdr:rowOff>0</xdr:rowOff>
              </from>
              <to>
                <xdr:col>0</xdr:col>
                <xdr:colOff>666750</xdr:colOff>
                <xdr:row>6</xdr:row>
                <xdr:rowOff>38100</xdr:rowOff>
              </to>
            </anchor>
          </controlPr>
        </control>
      </mc:Choice>
      <mc:Fallback>
        <control shapeId="130049" r:id="rId4" name="Control 1"/>
      </mc:Fallback>
    </mc:AlternateContent>
    <mc:AlternateContent xmlns:mc="http://schemas.openxmlformats.org/markup-compatibility/2006">
      <mc:Choice Requires="x14">
        <control shapeId="130050" r:id="rId6" name="Control 2">
          <controlPr defaultSize="0" autoPict="0" r:id="rId7">
            <anchor moveWithCells="1">
              <from>
                <xdr:col>0</xdr:col>
                <xdr:colOff>0</xdr:colOff>
                <xdr:row>26</xdr:row>
                <xdr:rowOff>0</xdr:rowOff>
              </from>
              <to>
                <xdr:col>1</xdr:col>
                <xdr:colOff>19050</xdr:colOff>
                <xdr:row>27</xdr:row>
                <xdr:rowOff>38100</xdr:rowOff>
              </to>
            </anchor>
          </controlPr>
        </control>
      </mc:Choice>
      <mc:Fallback>
        <control shapeId="130050" r:id="rId6" name="Control 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27"/>
  <sheetViews>
    <sheetView topLeftCell="A2" workbookViewId="0">
      <pane xSplit="38" ySplit="1" topLeftCell="AM6" activePane="bottomRight" state="frozen"/>
      <selection activeCell="A2" sqref="A2"/>
      <selection pane="topRight" activeCell="AM2" sqref="AM2"/>
      <selection pane="bottomLeft" activeCell="A3" sqref="A3"/>
      <selection pane="bottomRight" activeCell="A18" sqref="A18:A19"/>
    </sheetView>
  </sheetViews>
  <sheetFormatPr baseColWidth="10" defaultColWidth="11.42578125" defaultRowHeight="15.75"/>
  <cols>
    <col min="1" max="1" width="20.7109375" style="46" customWidth="1"/>
    <col min="2" max="2" width="14.28515625" style="47" hidden="1" customWidth="1"/>
    <col min="3" max="3" width="17.140625" style="46" hidden="1" customWidth="1"/>
    <col min="4" max="4" width="12" style="46" hidden="1" customWidth="1"/>
    <col min="5" max="5" width="14.140625" style="48" hidden="1" customWidth="1"/>
    <col min="6" max="6" width="12.42578125" style="48" hidden="1" customWidth="1"/>
    <col min="7" max="7" width="43.28515625" style="46" hidden="1" customWidth="1"/>
    <col min="8" max="8" width="16.28515625" style="46" hidden="1" customWidth="1"/>
    <col min="9" max="9" width="15.7109375" style="46" hidden="1" customWidth="1"/>
    <col min="10" max="10" width="18.7109375" style="46" hidden="1" customWidth="1"/>
    <col min="11" max="11" width="16.85546875" style="46" hidden="1" customWidth="1"/>
    <col min="12" max="12" width="24" style="46" hidden="1" customWidth="1"/>
    <col min="13" max="13" width="6.5703125" style="455" customWidth="1"/>
    <col min="14" max="14" width="24.85546875" style="301" hidden="1" customWidth="1"/>
    <col min="15" max="15" width="19.85546875" style="302" hidden="1" customWidth="1"/>
    <col min="16" max="16" width="25.140625" style="302" hidden="1" customWidth="1"/>
    <col min="17" max="17" width="20.28515625" style="302" hidden="1" customWidth="1"/>
    <col min="18" max="18" width="16.5703125" style="47" hidden="1" customWidth="1"/>
    <col min="19" max="19" width="20.28515625" style="53" hidden="1" customWidth="1"/>
    <col min="20" max="20" width="23.7109375" style="302" hidden="1" customWidth="1"/>
    <col min="21" max="21" width="16.5703125" style="302" hidden="1" customWidth="1"/>
    <col min="22" max="22" width="23.28515625" style="302" hidden="1" customWidth="1"/>
    <col min="23" max="23" width="20.28515625" style="302" hidden="1" customWidth="1"/>
    <col min="24" max="24" width="33.5703125" style="46" hidden="1" customWidth="1"/>
    <col min="25" max="25" width="39.7109375" style="301" hidden="1" customWidth="1"/>
    <col min="26" max="28" width="21.7109375" style="302" hidden="1" customWidth="1"/>
    <col min="29" max="29" width="15.7109375" style="47" hidden="1" customWidth="1"/>
    <col min="30" max="30" width="21.7109375" style="59" hidden="1" customWidth="1"/>
    <col min="31" max="31" width="16.7109375" style="59" hidden="1" customWidth="1"/>
    <col min="32" max="32" width="21.7109375" style="303" hidden="1" customWidth="1"/>
    <col min="33" max="34" width="17.5703125" style="303" hidden="1" customWidth="1"/>
    <col min="35" max="35" width="19.140625" style="303" hidden="1" customWidth="1"/>
    <col min="36" max="36" width="21.5703125" style="302" hidden="1" customWidth="1"/>
    <col min="37" max="37" width="27.85546875" style="302" hidden="1" customWidth="1"/>
    <col min="38" max="38" width="25.5703125" style="302" hidden="1" customWidth="1"/>
    <col min="39" max="39" width="27.42578125" style="302" customWidth="1"/>
    <col min="40" max="40" width="35.5703125" style="50" hidden="1" customWidth="1"/>
    <col min="41" max="41" width="49.42578125" style="25" hidden="1" customWidth="1"/>
    <col min="42" max="42" width="17.42578125" style="25" hidden="1" customWidth="1"/>
    <col min="43" max="44" width="16.28515625" style="25" hidden="1" customWidth="1"/>
    <col min="45" max="45" width="52.140625" style="25" customWidth="1"/>
    <col min="46" max="46" width="21.85546875" style="25" customWidth="1"/>
    <col min="47" max="47" width="42.7109375" style="25" customWidth="1"/>
    <col min="48" max="49" width="11.42578125" style="25" customWidth="1"/>
    <col min="50" max="16384" width="11.42578125" style="25"/>
  </cols>
  <sheetData>
    <row r="1" spans="1:50" s="4" customFormat="1" ht="15.75" hidden="1" customHeight="1">
      <c r="A1" s="1342" t="s">
        <v>56</v>
      </c>
      <c r="B1" s="1342"/>
      <c r="C1" s="1342"/>
      <c r="D1" s="1342"/>
      <c r="E1" s="1342"/>
      <c r="F1" s="1342"/>
      <c r="G1" s="1342"/>
      <c r="H1" s="1342"/>
      <c r="I1" s="1342"/>
      <c r="J1" s="1342"/>
      <c r="K1" s="1342"/>
      <c r="L1" s="1342"/>
      <c r="M1" s="1343" t="s">
        <v>57</v>
      </c>
      <c r="N1" s="1343"/>
      <c r="O1" s="1343"/>
      <c r="P1" s="1343"/>
      <c r="Q1" s="1343"/>
      <c r="R1" s="1343"/>
      <c r="S1" s="1344" t="s">
        <v>284</v>
      </c>
      <c r="T1" s="1344"/>
      <c r="U1" s="1344"/>
      <c r="V1" s="1345" t="s">
        <v>63</v>
      </c>
      <c r="W1" s="1345"/>
      <c r="X1" s="1345"/>
      <c r="Y1" s="1346" t="s">
        <v>190</v>
      </c>
      <c r="Z1" s="1346"/>
      <c r="AA1" s="1346"/>
      <c r="AB1" s="1346"/>
      <c r="AC1" s="1346"/>
      <c r="AD1" s="1346"/>
      <c r="AE1" s="1346"/>
      <c r="AF1" s="1346"/>
      <c r="AG1" s="1346"/>
      <c r="AH1" s="1346"/>
      <c r="AI1" s="1346"/>
      <c r="AJ1" s="1347" t="s">
        <v>202</v>
      </c>
      <c r="AK1" s="1347"/>
      <c r="AL1" s="1347"/>
      <c r="AM1" s="1347"/>
      <c r="AN1" s="1341" t="s">
        <v>203</v>
      </c>
      <c r="AO1" s="1341"/>
      <c r="AP1" s="1341"/>
      <c r="AQ1" s="1341"/>
      <c r="AR1" s="345"/>
    </row>
    <row r="2" spans="1:50" s="61" customFormat="1" ht="54" customHeight="1">
      <c r="A2" s="16" t="s">
        <v>463</v>
      </c>
      <c r="B2" s="17" t="s">
        <v>52</v>
      </c>
      <c r="C2" s="16" t="s">
        <v>64</v>
      </c>
      <c r="D2" s="16" t="s">
        <v>58</v>
      </c>
      <c r="E2" s="18" t="s">
        <v>3</v>
      </c>
      <c r="F2" s="18" t="s">
        <v>53</v>
      </c>
      <c r="G2" s="16" t="s">
        <v>2</v>
      </c>
      <c r="H2" s="16" t="s">
        <v>65</v>
      </c>
      <c r="I2" s="16" t="s">
        <v>201</v>
      </c>
      <c r="J2" s="16" t="s">
        <v>126</v>
      </c>
      <c r="K2" s="16" t="s">
        <v>68</v>
      </c>
      <c r="L2" s="16" t="s">
        <v>207</v>
      </c>
      <c r="M2" s="20" t="s">
        <v>358</v>
      </c>
      <c r="N2" s="19" t="s">
        <v>54</v>
      </c>
      <c r="O2" s="36" t="s">
        <v>60</v>
      </c>
      <c r="P2" s="36" t="s">
        <v>59</v>
      </c>
      <c r="Q2" s="36" t="s">
        <v>313</v>
      </c>
      <c r="R2" s="22" t="s">
        <v>187</v>
      </c>
      <c r="S2" s="37" t="s">
        <v>59</v>
      </c>
      <c r="T2" s="295" t="s">
        <v>60</v>
      </c>
      <c r="U2" s="295" t="s">
        <v>285</v>
      </c>
      <c r="V2" s="39" t="s">
        <v>314</v>
      </c>
      <c r="W2" s="39" t="s">
        <v>55</v>
      </c>
      <c r="X2" s="5" t="s">
        <v>61</v>
      </c>
      <c r="Y2" s="21" t="s">
        <v>315</v>
      </c>
      <c r="Z2" s="44" t="s">
        <v>371</v>
      </c>
      <c r="AA2" s="44" t="s">
        <v>189</v>
      </c>
      <c r="AB2" s="44" t="s">
        <v>316</v>
      </c>
      <c r="AC2" s="7" t="s">
        <v>179</v>
      </c>
      <c r="AD2" s="32" t="s">
        <v>330</v>
      </c>
      <c r="AE2" s="32" t="s">
        <v>395</v>
      </c>
      <c r="AF2" s="32" t="s">
        <v>317</v>
      </c>
      <c r="AG2" s="32" t="s">
        <v>328</v>
      </c>
      <c r="AH2" s="32" t="s">
        <v>318</v>
      </c>
      <c r="AI2" s="32" t="s">
        <v>293</v>
      </c>
      <c r="AJ2" s="296" t="s">
        <v>322</v>
      </c>
      <c r="AK2" s="296" t="s">
        <v>319</v>
      </c>
      <c r="AL2" s="296" t="s">
        <v>324</v>
      </c>
      <c r="AM2" s="296" t="s">
        <v>2508</v>
      </c>
      <c r="AN2" s="294" t="s">
        <v>264</v>
      </c>
      <c r="AO2" s="8" t="s">
        <v>193</v>
      </c>
      <c r="AP2" s="8" t="s">
        <v>196</v>
      </c>
      <c r="AQ2" s="8" t="s">
        <v>341</v>
      </c>
      <c r="AR2" s="346" t="s">
        <v>2509</v>
      </c>
      <c r="AS2" s="976" t="s">
        <v>2893</v>
      </c>
      <c r="AT2" s="61" t="s">
        <v>2897</v>
      </c>
      <c r="AX2" s="61" t="s">
        <v>2892</v>
      </c>
    </row>
    <row r="3" spans="1:50" s="4" customFormat="1" ht="15" customHeight="1">
      <c r="A3" s="1076" t="s">
        <v>1083</v>
      </c>
      <c r="B3" s="1171">
        <v>40630</v>
      </c>
      <c r="C3" s="1076" t="s">
        <v>5</v>
      </c>
      <c r="D3" s="1076" t="s">
        <v>1084</v>
      </c>
      <c r="E3" s="1208">
        <v>10529407</v>
      </c>
      <c r="F3" s="1208"/>
      <c r="G3" s="1076" t="s">
        <v>1085</v>
      </c>
      <c r="H3" s="1076" t="s">
        <v>71</v>
      </c>
      <c r="I3" s="1076" t="s">
        <v>1086</v>
      </c>
      <c r="J3" s="1076" t="s">
        <v>66</v>
      </c>
      <c r="K3" s="1076" t="s">
        <v>48</v>
      </c>
      <c r="L3" s="1076" t="s">
        <v>1088</v>
      </c>
      <c r="M3" s="449">
        <v>125</v>
      </c>
      <c r="N3" s="287" t="s">
        <v>137</v>
      </c>
      <c r="O3" s="283">
        <v>695806847</v>
      </c>
      <c r="P3" s="291">
        <v>1177691989</v>
      </c>
      <c r="Q3" s="1119">
        <v>1233691989</v>
      </c>
      <c r="R3" s="282">
        <v>40637</v>
      </c>
      <c r="S3" s="283">
        <v>1177691989</v>
      </c>
      <c r="T3" s="283">
        <v>695806847</v>
      </c>
      <c r="U3" s="283">
        <v>0</v>
      </c>
      <c r="V3" s="283">
        <v>695704640.86225295</v>
      </c>
      <c r="W3" s="1224">
        <v>1233519000</v>
      </c>
      <c r="X3" s="1076" t="s">
        <v>1087</v>
      </c>
      <c r="Y3" s="287" t="s">
        <v>1089</v>
      </c>
      <c r="Z3" s="283">
        <v>0</v>
      </c>
      <c r="AA3" s="283">
        <v>240907179.56887269</v>
      </c>
      <c r="AB3" s="283">
        <v>240907179.56887269</v>
      </c>
      <c r="AC3" s="282">
        <v>40659</v>
      </c>
      <c r="AD3" s="291">
        <v>240942570.66</v>
      </c>
      <c r="AE3" s="291" t="s">
        <v>137</v>
      </c>
      <c r="AF3" s="291">
        <v>1138413605.96</v>
      </c>
      <c r="AG3" s="1224">
        <v>1138413605.96</v>
      </c>
      <c r="AH3" s="291">
        <v>-35391.091127306223</v>
      </c>
      <c r="AI3" s="291">
        <v>-102304456.93999994</v>
      </c>
      <c r="AJ3" s="283">
        <v>-39278377.960000038</v>
      </c>
      <c r="AK3" s="283">
        <v>102206.13774704933</v>
      </c>
      <c r="AL3" s="283">
        <v>39105394.039998293</v>
      </c>
      <c r="AM3" s="283">
        <f>AL3</f>
        <v>39105394.039998293</v>
      </c>
      <c r="AN3" s="1203" t="s">
        <v>1096</v>
      </c>
      <c r="AO3" s="1237" t="s">
        <v>1098</v>
      </c>
      <c r="AP3" s="1203" t="s">
        <v>195</v>
      </c>
      <c r="AQ3" s="1203" t="s">
        <v>1097</v>
      </c>
      <c r="AR3" s="347"/>
      <c r="AS3" s="1464" t="s">
        <v>2891</v>
      </c>
    </row>
    <row r="4" spans="1:50" s="4" customFormat="1" ht="32.25" customHeight="1">
      <c r="A4" s="1076"/>
      <c r="B4" s="1171"/>
      <c r="C4" s="1076"/>
      <c r="D4" s="1076"/>
      <c r="E4" s="1208"/>
      <c r="F4" s="1208"/>
      <c r="G4" s="1076"/>
      <c r="H4" s="1076"/>
      <c r="I4" s="1076"/>
      <c r="J4" s="1076"/>
      <c r="K4" s="1076"/>
      <c r="L4" s="1076"/>
      <c r="M4" s="449">
        <v>1</v>
      </c>
      <c r="N4" s="287" t="s">
        <v>150</v>
      </c>
      <c r="O4" s="283">
        <v>56000000</v>
      </c>
      <c r="P4" s="283">
        <v>56000000</v>
      </c>
      <c r="Q4" s="1119"/>
      <c r="R4" s="282">
        <v>40637</v>
      </c>
      <c r="S4" s="290">
        <v>56000000</v>
      </c>
      <c r="T4" s="290">
        <v>56000000</v>
      </c>
      <c r="U4" s="290">
        <v>0</v>
      </c>
      <c r="V4" s="283">
        <v>56000000</v>
      </c>
      <c r="W4" s="1224"/>
      <c r="X4" s="1076"/>
      <c r="Y4" s="287" t="s">
        <v>1090</v>
      </c>
      <c r="Z4" s="283">
        <v>0</v>
      </c>
      <c r="AA4" s="283">
        <v>28000000</v>
      </c>
      <c r="AB4" s="283">
        <v>28000000</v>
      </c>
      <c r="AC4" s="282"/>
      <c r="AD4" s="291">
        <v>0</v>
      </c>
      <c r="AE4" s="291"/>
      <c r="AF4" s="283">
        <v>0</v>
      </c>
      <c r="AG4" s="1224"/>
      <c r="AH4" s="291">
        <v>28000000</v>
      </c>
      <c r="AI4" s="283">
        <v>28000000</v>
      </c>
      <c r="AJ4" s="283">
        <v>0</v>
      </c>
      <c r="AK4" s="283">
        <v>0</v>
      </c>
      <c r="AL4" s="283">
        <v>56000000</v>
      </c>
      <c r="AM4" s="283">
        <f>AL4</f>
        <v>56000000</v>
      </c>
      <c r="AN4" s="1203"/>
      <c r="AO4" s="1204"/>
      <c r="AP4" s="1203"/>
      <c r="AQ4" s="1203"/>
      <c r="AR4" s="347"/>
      <c r="AS4" s="1465"/>
    </row>
    <row r="5" spans="1:50" s="4" customFormat="1" ht="45" customHeight="1">
      <c r="A5" s="280" t="s">
        <v>802</v>
      </c>
      <c r="B5" s="282">
        <v>40256</v>
      </c>
      <c r="C5" s="280" t="s">
        <v>11</v>
      </c>
      <c r="D5" s="280" t="s">
        <v>447</v>
      </c>
      <c r="E5" s="293">
        <v>830040053</v>
      </c>
      <c r="F5" s="293">
        <v>2</v>
      </c>
      <c r="G5" s="280" t="s">
        <v>446</v>
      </c>
      <c r="H5" s="280" t="s">
        <v>72</v>
      </c>
      <c r="I5" s="280" t="s">
        <v>206</v>
      </c>
      <c r="J5" s="280" t="s">
        <v>66</v>
      </c>
      <c r="K5" s="280" t="s">
        <v>49</v>
      </c>
      <c r="L5" s="280" t="s">
        <v>450</v>
      </c>
      <c r="M5" s="449">
        <v>3</v>
      </c>
      <c r="N5" s="299" t="s">
        <v>137</v>
      </c>
      <c r="O5" s="283">
        <v>101703000</v>
      </c>
      <c r="P5" s="283">
        <v>101703000</v>
      </c>
      <c r="Q5" s="283">
        <v>101703000</v>
      </c>
      <c r="R5" s="282">
        <v>40211</v>
      </c>
      <c r="S5" s="283">
        <v>101703000</v>
      </c>
      <c r="T5" s="283">
        <v>101703000</v>
      </c>
      <c r="U5" s="283">
        <v>0</v>
      </c>
      <c r="V5" s="283">
        <v>98695700</v>
      </c>
      <c r="W5" s="283">
        <v>98695700</v>
      </c>
      <c r="X5" s="280" t="s">
        <v>178</v>
      </c>
      <c r="Y5" s="287" t="s">
        <v>449</v>
      </c>
      <c r="Z5" s="283">
        <v>0</v>
      </c>
      <c r="AA5" s="283">
        <v>39478280</v>
      </c>
      <c r="AB5" s="283">
        <v>39478280</v>
      </c>
      <c r="AC5" s="282">
        <v>40305</v>
      </c>
      <c r="AD5" s="166">
        <v>39478280</v>
      </c>
      <c r="AE5" s="166" t="s">
        <v>137</v>
      </c>
      <c r="AF5" s="166">
        <v>39478280</v>
      </c>
      <c r="AG5" s="166">
        <v>39478280</v>
      </c>
      <c r="AH5" s="166">
        <v>0</v>
      </c>
      <c r="AI5" s="166">
        <v>0</v>
      </c>
      <c r="AJ5" s="283">
        <v>-39478280</v>
      </c>
      <c r="AK5" s="283">
        <v>3007300</v>
      </c>
      <c r="AL5" s="283"/>
      <c r="AM5" s="283">
        <v>3007300</v>
      </c>
      <c r="AN5" s="288" t="s">
        <v>437</v>
      </c>
      <c r="AO5" s="281" t="s">
        <v>803</v>
      </c>
      <c r="AP5" s="281" t="s">
        <v>195</v>
      </c>
      <c r="AQ5" s="281" t="s">
        <v>368</v>
      </c>
      <c r="AR5" s="351">
        <v>43115</v>
      </c>
      <c r="AS5" s="988" t="s">
        <v>2894</v>
      </c>
      <c r="AT5" s="976" t="s">
        <v>2898</v>
      </c>
      <c r="AU5" s="343" t="s">
        <v>2405</v>
      </c>
      <c r="AV5" s="342" t="s">
        <v>2496</v>
      </c>
      <c r="AW5" s="342" t="s">
        <v>2497</v>
      </c>
    </row>
    <row r="6" spans="1:50" s="4" customFormat="1" ht="47.25" customHeight="1">
      <c r="A6" s="304" t="s">
        <v>235</v>
      </c>
      <c r="B6" s="308">
        <v>40254</v>
      </c>
      <c r="C6" s="304" t="s">
        <v>45</v>
      </c>
      <c r="D6" s="304" t="s">
        <v>197</v>
      </c>
      <c r="E6" s="315">
        <v>900347251</v>
      </c>
      <c r="F6" s="315">
        <v>7</v>
      </c>
      <c r="G6" s="304" t="s">
        <v>199</v>
      </c>
      <c r="H6" s="280" t="s">
        <v>72</v>
      </c>
      <c r="I6" s="312" t="s">
        <v>200</v>
      </c>
      <c r="J6" s="280" t="s">
        <v>66</v>
      </c>
      <c r="K6" s="304" t="s">
        <v>49</v>
      </c>
      <c r="L6" s="304" t="s">
        <v>219</v>
      </c>
      <c r="M6" s="450">
        <v>5</v>
      </c>
      <c r="N6" s="280" t="s">
        <v>137</v>
      </c>
      <c r="O6" s="283">
        <v>90770001</v>
      </c>
      <c r="P6" s="283">
        <v>90770001</v>
      </c>
      <c r="Q6" s="309">
        <v>118002395</v>
      </c>
      <c r="R6" s="282">
        <v>40211</v>
      </c>
      <c r="S6" s="278"/>
      <c r="T6" s="283"/>
      <c r="U6" s="283"/>
      <c r="V6" s="283">
        <v>90770001</v>
      </c>
      <c r="W6" s="309">
        <v>118002395</v>
      </c>
      <c r="X6" s="304" t="s">
        <v>198</v>
      </c>
      <c r="Y6" s="287"/>
      <c r="Z6" s="283">
        <v>0</v>
      </c>
      <c r="AA6" s="283">
        <v>36308000.399999999</v>
      </c>
      <c r="AB6" s="283">
        <v>36308000.399999999</v>
      </c>
      <c r="AC6" s="282">
        <v>40305</v>
      </c>
      <c r="AD6" s="56">
        <v>36308000.399999999</v>
      </c>
      <c r="AE6" s="56"/>
      <c r="AF6" s="297">
        <v>52646726.399999999</v>
      </c>
      <c r="AG6" s="316">
        <v>52646726.399999999</v>
      </c>
      <c r="AH6" s="297">
        <v>0</v>
      </c>
      <c r="AI6" s="297">
        <v>0</v>
      </c>
      <c r="AJ6" s="309">
        <v>-25415516.399999999</v>
      </c>
      <c r="AK6" s="283">
        <v>0</v>
      </c>
      <c r="AL6" s="298">
        <v>63538791</v>
      </c>
      <c r="AM6" s="309">
        <v>16467374.82</v>
      </c>
      <c r="AN6" s="311"/>
      <c r="AO6" s="312" t="s">
        <v>323</v>
      </c>
      <c r="AP6" s="312" t="s">
        <v>194</v>
      </c>
      <c r="AQ6" s="312" t="s">
        <v>342</v>
      </c>
      <c r="AR6" s="350">
        <v>43053</v>
      </c>
      <c r="AS6" s="988" t="s">
        <v>2895</v>
      </c>
    </row>
    <row r="7" spans="1:50" ht="15" hidden="1" customHeight="1">
      <c r="A7" s="1076"/>
      <c r="B7" s="1171"/>
      <c r="C7" s="1076"/>
      <c r="D7" s="1076"/>
      <c r="E7" s="1252"/>
      <c r="F7" s="1252"/>
      <c r="G7" s="1076"/>
      <c r="H7" s="1076"/>
      <c r="I7" s="1076"/>
      <c r="J7" s="1076"/>
      <c r="K7" s="1076"/>
      <c r="L7" s="1076"/>
      <c r="M7" s="1466"/>
      <c r="N7" s="1123"/>
      <c r="O7" s="1119"/>
      <c r="P7" s="1119"/>
      <c r="Q7" s="1119"/>
      <c r="R7" s="1171"/>
      <c r="S7" s="1119"/>
      <c r="T7" s="1119"/>
      <c r="U7" s="1119"/>
      <c r="V7" s="1119"/>
      <c r="W7" s="1119"/>
      <c r="X7" s="1076"/>
      <c r="Y7" s="287" t="s">
        <v>914</v>
      </c>
      <c r="Z7" s="283">
        <v>118357700</v>
      </c>
      <c r="AA7" s="283">
        <v>-47343080</v>
      </c>
      <c r="AB7" s="283">
        <v>71014620</v>
      </c>
      <c r="AC7" s="282">
        <v>40542</v>
      </c>
      <c r="AD7" s="168">
        <v>71014620</v>
      </c>
      <c r="AE7" s="289" t="s">
        <v>137</v>
      </c>
      <c r="AF7" s="1084"/>
      <c r="AG7" s="1084"/>
      <c r="AH7" s="279">
        <v>0</v>
      </c>
      <c r="AI7" s="1084"/>
      <c r="AJ7" s="1119"/>
      <c r="AK7" s="1119"/>
      <c r="AL7" s="1119"/>
      <c r="AM7" s="1119"/>
      <c r="AN7" s="1203"/>
      <c r="AO7" s="1203"/>
      <c r="AP7" s="1203"/>
      <c r="AQ7" s="1203"/>
      <c r="AR7" s="347"/>
      <c r="AS7" s="1204"/>
    </row>
    <row r="8" spans="1:50" ht="15" hidden="1" customHeight="1">
      <c r="A8" s="1076"/>
      <c r="B8" s="1171"/>
      <c r="C8" s="1076"/>
      <c r="D8" s="1076"/>
      <c r="E8" s="1252"/>
      <c r="F8" s="1252"/>
      <c r="G8" s="1076"/>
      <c r="H8" s="1076"/>
      <c r="I8" s="1076"/>
      <c r="J8" s="1076"/>
      <c r="K8" s="1076"/>
      <c r="L8" s="1076"/>
      <c r="M8" s="1466"/>
      <c r="N8" s="1123"/>
      <c r="O8" s="1119"/>
      <c r="P8" s="1119"/>
      <c r="Q8" s="1119"/>
      <c r="R8" s="1171"/>
      <c r="S8" s="1119"/>
      <c r="T8" s="1119"/>
      <c r="U8" s="1119"/>
      <c r="V8" s="1119"/>
      <c r="W8" s="1119"/>
      <c r="X8" s="1076"/>
      <c r="Y8" s="287" t="s">
        <v>915</v>
      </c>
      <c r="Z8" s="283">
        <v>9469313</v>
      </c>
      <c r="AA8" s="283">
        <v>-3787725</v>
      </c>
      <c r="AB8" s="283">
        <v>5681588</v>
      </c>
      <c r="AC8" s="282">
        <v>41019</v>
      </c>
      <c r="AD8" s="168">
        <v>5681588</v>
      </c>
      <c r="AE8" s="289" t="s">
        <v>137</v>
      </c>
      <c r="AF8" s="1084"/>
      <c r="AG8" s="1084"/>
      <c r="AH8" s="279">
        <v>0</v>
      </c>
      <c r="AI8" s="1084"/>
      <c r="AJ8" s="1119"/>
      <c r="AK8" s="1119"/>
      <c r="AL8" s="1119"/>
      <c r="AM8" s="1119"/>
      <c r="AN8" s="1203"/>
      <c r="AO8" s="1203"/>
      <c r="AP8" s="1203"/>
      <c r="AQ8" s="1203"/>
      <c r="AR8" s="347"/>
      <c r="AS8" s="1204"/>
    </row>
    <row r="9" spans="1:50" ht="15" hidden="1" customHeight="1">
      <c r="A9" s="1076"/>
      <c r="B9" s="1171"/>
      <c r="C9" s="1076"/>
      <c r="D9" s="1076"/>
      <c r="E9" s="1252"/>
      <c r="F9" s="1252"/>
      <c r="G9" s="1076"/>
      <c r="H9" s="1076"/>
      <c r="I9" s="1076"/>
      <c r="J9" s="1076"/>
      <c r="K9" s="1076"/>
      <c r="L9" s="1076"/>
      <c r="M9" s="1466"/>
      <c r="N9" s="1123"/>
      <c r="O9" s="1119"/>
      <c r="P9" s="1119"/>
      <c r="Q9" s="1119"/>
      <c r="R9" s="1171"/>
      <c r="S9" s="1119"/>
      <c r="T9" s="1119"/>
      <c r="U9" s="1119"/>
      <c r="V9" s="1119"/>
      <c r="W9" s="1119"/>
      <c r="X9" s="1076"/>
      <c r="Y9" s="287"/>
      <c r="Z9" s="283"/>
      <c r="AA9" s="283"/>
      <c r="AB9" s="283">
        <v>0</v>
      </c>
      <c r="AC9" s="282"/>
      <c r="AD9" s="289">
        <v>0</v>
      </c>
      <c r="AE9" s="289"/>
      <c r="AF9" s="1084"/>
      <c r="AG9" s="1084"/>
      <c r="AH9" s="279">
        <v>0</v>
      </c>
      <c r="AI9" s="1084"/>
      <c r="AJ9" s="1119"/>
      <c r="AK9" s="1119"/>
      <c r="AL9" s="1119"/>
      <c r="AM9" s="1119"/>
      <c r="AN9" s="1203"/>
      <c r="AO9" s="1203"/>
      <c r="AP9" s="1203"/>
      <c r="AQ9" s="1203"/>
      <c r="AR9" s="347"/>
      <c r="AS9" s="1204"/>
    </row>
    <row r="10" spans="1:50" s="4" customFormat="1" ht="48.75" customHeight="1">
      <c r="A10" s="280" t="s">
        <v>237</v>
      </c>
      <c r="B10" s="282">
        <v>40254</v>
      </c>
      <c r="C10" s="280" t="s">
        <v>9</v>
      </c>
      <c r="D10" s="280" t="s">
        <v>222</v>
      </c>
      <c r="E10" s="293">
        <v>76305303</v>
      </c>
      <c r="F10" s="293"/>
      <c r="G10" s="280" t="s">
        <v>221</v>
      </c>
      <c r="H10" s="280" t="s">
        <v>72</v>
      </c>
      <c r="I10" s="280" t="s">
        <v>177</v>
      </c>
      <c r="J10" s="280" t="s">
        <v>66</v>
      </c>
      <c r="K10" s="280" t="s">
        <v>49</v>
      </c>
      <c r="L10" s="280" t="s">
        <v>224</v>
      </c>
      <c r="M10" s="451">
        <v>12</v>
      </c>
      <c r="N10" s="280" t="s">
        <v>137</v>
      </c>
      <c r="O10" s="283">
        <v>39139451</v>
      </c>
      <c r="P10" s="283">
        <v>39139451</v>
      </c>
      <c r="Q10" s="283">
        <v>39139451</v>
      </c>
      <c r="R10" s="282">
        <v>40211</v>
      </c>
      <c r="S10" s="278"/>
      <c r="T10" s="283"/>
      <c r="U10" s="283"/>
      <c r="V10" s="283">
        <v>39134399</v>
      </c>
      <c r="W10" s="283">
        <v>39134399</v>
      </c>
      <c r="X10" s="280" t="s">
        <v>198</v>
      </c>
      <c r="Y10" s="287" t="s">
        <v>223</v>
      </c>
      <c r="Z10" s="283">
        <v>0</v>
      </c>
      <c r="AA10" s="283">
        <v>15653759.600000001</v>
      </c>
      <c r="AB10" s="283">
        <v>15653759.600000001</v>
      </c>
      <c r="AC10" s="282">
        <v>40305</v>
      </c>
      <c r="AD10" s="56">
        <v>15653760</v>
      </c>
      <c r="AE10" s="56"/>
      <c r="AF10" s="297">
        <v>15653760</v>
      </c>
      <c r="AG10" s="297">
        <v>15653760</v>
      </c>
      <c r="AH10" s="297">
        <v>0</v>
      </c>
      <c r="AI10" s="297">
        <v>0</v>
      </c>
      <c r="AJ10" s="283">
        <v>-15653760</v>
      </c>
      <c r="AK10" s="283">
        <v>5052</v>
      </c>
      <c r="AL10" s="298"/>
      <c r="AM10" s="309">
        <v>11740319.699999999</v>
      </c>
      <c r="AN10" s="288"/>
      <c r="AO10" s="281" t="s">
        <v>325</v>
      </c>
      <c r="AP10" s="281" t="s">
        <v>194</v>
      </c>
      <c r="AQ10" s="281" t="s">
        <v>342</v>
      </c>
      <c r="AR10" s="351">
        <v>43007</v>
      </c>
      <c r="AS10" s="988" t="s">
        <v>2896</v>
      </c>
      <c r="AT10" s="342"/>
      <c r="AU10" s="342" t="s">
        <v>2494</v>
      </c>
    </row>
    <row r="11" spans="1:50" s="4" customFormat="1" ht="15" customHeight="1">
      <c r="A11" s="1076" t="s">
        <v>242</v>
      </c>
      <c r="B11" s="1171">
        <v>40254</v>
      </c>
      <c r="C11" s="1076" t="s">
        <v>9</v>
      </c>
      <c r="D11" s="1076" t="s">
        <v>244</v>
      </c>
      <c r="E11" s="1252">
        <v>900347121</v>
      </c>
      <c r="F11" s="1252">
        <v>8</v>
      </c>
      <c r="G11" s="1076" t="s">
        <v>245</v>
      </c>
      <c r="H11" s="1076" t="s">
        <v>72</v>
      </c>
      <c r="I11" s="1076" t="s">
        <v>177</v>
      </c>
      <c r="J11" s="1076" t="s">
        <v>66</v>
      </c>
      <c r="K11" s="1076" t="s">
        <v>250</v>
      </c>
      <c r="L11" s="1076" t="s">
        <v>249</v>
      </c>
      <c r="M11" s="1463">
        <v>13</v>
      </c>
      <c r="N11" s="1076" t="s">
        <v>137</v>
      </c>
      <c r="O11" s="1119">
        <v>35617606</v>
      </c>
      <c r="P11" s="1119">
        <v>35617606</v>
      </c>
      <c r="Q11" s="1119">
        <v>35617606</v>
      </c>
      <c r="R11" s="1171">
        <v>40211</v>
      </c>
      <c r="S11" s="278"/>
      <c r="T11" s="283"/>
      <c r="U11" s="283"/>
      <c r="V11" s="1119">
        <v>35607708</v>
      </c>
      <c r="W11" s="1119">
        <v>35607708</v>
      </c>
      <c r="X11" s="1076" t="s">
        <v>198</v>
      </c>
      <c r="Y11" s="287" t="s">
        <v>247</v>
      </c>
      <c r="Z11" s="283">
        <v>0</v>
      </c>
      <c r="AA11" s="283">
        <v>14243083.200000001</v>
      </c>
      <c r="AB11" s="283">
        <v>14243083.200000001</v>
      </c>
      <c r="AC11" s="282">
        <v>40305</v>
      </c>
      <c r="AD11" s="56">
        <v>14243083</v>
      </c>
      <c r="AE11" s="56"/>
      <c r="AF11" s="1315">
        <v>24925395</v>
      </c>
      <c r="AG11" s="1315">
        <v>24925395</v>
      </c>
      <c r="AH11" s="1315">
        <v>0</v>
      </c>
      <c r="AI11" s="1315">
        <v>0</v>
      </c>
      <c r="AJ11" s="1324">
        <v>-7121541</v>
      </c>
      <c r="AK11" s="1324">
        <v>9898</v>
      </c>
      <c r="AL11" s="1324"/>
      <c r="AM11" s="309">
        <f>AK11</f>
        <v>9898</v>
      </c>
      <c r="AN11" s="1338"/>
      <c r="AO11" s="1204" t="s">
        <v>248</v>
      </c>
      <c r="AP11" s="1204" t="s">
        <v>194</v>
      </c>
      <c r="AQ11" s="1204" t="s">
        <v>342</v>
      </c>
      <c r="AR11" s="350">
        <v>43007</v>
      </c>
      <c r="AS11" s="1204" t="s">
        <v>2501</v>
      </c>
    </row>
    <row r="12" spans="1:50" s="4" customFormat="1" ht="15" hidden="1" customHeight="1">
      <c r="A12" s="1076"/>
      <c r="B12" s="1171"/>
      <c r="C12" s="1076"/>
      <c r="D12" s="1076"/>
      <c r="E12" s="1252"/>
      <c r="F12" s="1252"/>
      <c r="G12" s="1076"/>
      <c r="H12" s="1076"/>
      <c r="I12" s="1076"/>
      <c r="J12" s="1076"/>
      <c r="K12" s="1076"/>
      <c r="L12" s="1076"/>
      <c r="M12" s="1463"/>
      <c r="N12" s="1076"/>
      <c r="O12" s="1119"/>
      <c r="P12" s="1119"/>
      <c r="Q12" s="1119"/>
      <c r="R12" s="1171"/>
      <c r="S12" s="278"/>
      <c r="T12" s="283"/>
      <c r="U12" s="283"/>
      <c r="V12" s="1119"/>
      <c r="W12" s="1119"/>
      <c r="X12" s="1076"/>
      <c r="Y12" s="287" t="s">
        <v>246</v>
      </c>
      <c r="Z12" s="283">
        <v>17803854</v>
      </c>
      <c r="AA12" s="283">
        <v>-7121542</v>
      </c>
      <c r="AB12" s="283">
        <v>10682312</v>
      </c>
      <c r="AC12" s="282">
        <v>40494</v>
      </c>
      <c r="AD12" s="56">
        <v>10682312</v>
      </c>
      <c r="AE12" s="56"/>
      <c r="AF12" s="1315"/>
      <c r="AG12" s="1315"/>
      <c r="AH12" s="1315"/>
      <c r="AI12" s="1315"/>
      <c r="AJ12" s="1324"/>
      <c r="AK12" s="1324"/>
      <c r="AL12" s="1324"/>
      <c r="AM12" s="309"/>
      <c r="AN12" s="1338"/>
      <c r="AO12" s="1204"/>
      <c r="AP12" s="1204"/>
      <c r="AQ12" s="1204"/>
      <c r="AR12" s="348"/>
      <c r="AS12" s="1204"/>
    </row>
    <row r="13" spans="1:50" s="4" customFormat="1" ht="15" customHeight="1">
      <c r="A13" s="280" t="s">
        <v>265</v>
      </c>
      <c r="B13" s="282">
        <v>42811</v>
      </c>
      <c r="C13" s="280" t="s">
        <v>9</v>
      </c>
      <c r="D13" s="280" t="s">
        <v>222</v>
      </c>
      <c r="E13" s="293">
        <v>76305303</v>
      </c>
      <c r="F13" s="293"/>
      <c r="G13" s="280" t="s">
        <v>266</v>
      </c>
      <c r="H13" s="280" t="s">
        <v>72</v>
      </c>
      <c r="I13" s="280" t="s">
        <v>177</v>
      </c>
      <c r="J13" s="280" t="s">
        <v>66</v>
      </c>
      <c r="K13" s="280" t="s">
        <v>50</v>
      </c>
      <c r="L13" s="280" t="s">
        <v>269</v>
      </c>
      <c r="M13" s="450">
        <v>16</v>
      </c>
      <c r="N13" s="280" t="s">
        <v>137</v>
      </c>
      <c r="O13" s="283">
        <v>31263001</v>
      </c>
      <c r="P13" s="283">
        <v>31263001</v>
      </c>
      <c r="Q13" s="283">
        <v>31263001</v>
      </c>
      <c r="R13" s="282">
        <v>40211</v>
      </c>
      <c r="S13" s="278"/>
      <c r="T13" s="283"/>
      <c r="U13" s="283"/>
      <c r="V13" s="283">
        <v>31247370</v>
      </c>
      <c r="W13" s="283">
        <v>31247370</v>
      </c>
      <c r="X13" s="280" t="s">
        <v>198</v>
      </c>
      <c r="Y13" s="287" t="s">
        <v>268</v>
      </c>
      <c r="Z13" s="283">
        <v>0</v>
      </c>
      <c r="AA13" s="283">
        <v>12498948</v>
      </c>
      <c r="AB13" s="283">
        <v>12498948</v>
      </c>
      <c r="AC13" s="282">
        <v>40305</v>
      </c>
      <c r="AD13" s="56">
        <v>12498948</v>
      </c>
      <c r="AE13" s="56"/>
      <c r="AF13" s="297">
        <v>12498948</v>
      </c>
      <c r="AG13" s="297">
        <v>12498948</v>
      </c>
      <c r="AH13" s="297">
        <v>0</v>
      </c>
      <c r="AI13" s="297">
        <v>0</v>
      </c>
      <c r="AJ13" s="298">
        <v>-12498948</v>
      </c>
      <c r="AK13" s="298">
        <v>15631</v>
      </c>
      <c r="AL13" s="298"/>
      <c r="AM13" s="309">
        <f>AK13</f>
        <v>15631</v>
      </c>
      <c r="AN13" s="288" t="s">
        <v>267</v>
      </c>
      <c r="AO13" s="281" t="s">
        <v>329</v>
      </c>
      <c r="AP13" s="281" t="s">
        <v>194</v>
      </c>
      <c r="AQ13" s="281" t="s">
        <v>342</v>
      </c>
      <c r="AR13" s="351">
        <v>42929</v>
      </c>
      <c r="AS13" s="975" t="s">
        <v>2899</v>
      </c>
    </row>
    <row r="14" spans="1:50" s="4" customFormat="1" ht="15" customHeight="1">
      <c r="A14" s="1076" t="s">
        <v>290</v>
      </c>
      <c r="B14" s="1171">
        <v>40298</v>
      </c>
      <c r="C14" s="1076" t="s">
        <v>13</v>
      </c>
      <c r="D14" s="1076" t="s">
        <v>291</v>
      </c>
      <c r="E14" s="1252">
        <v>76330273</v>
      </c>
      <c r="F14" s="1252"/>
      <c r="G14" s="1076" t="s">
        <v>292</v>
      </c>
      <c r="H14" s="1076" t="s">
        <v>70</v>
      </c>
      <c r="I14" s="1076" t="s">
        <v>177</v>
      </c>
      <c r="J14" s="1076" t="s">
        <v>66</v>
      </c>
      <c r="K14" s="1076" t="s">
        <v>250</v>
      </c>
      <c r="L14" s="1076" t="s">
        <v>295</v>
      </c>
      <c r="M14" s="1463">
        <v>40</v>
      </c>
      <c r="N14" s="280" t="s">
        <v>7</v>
      </c>
      <c r="O14" s="283">
        <v>3732549</v>
      </c>
      <c r="P14" s="1119">
        <v>11362401</v>
      </c>
      <c r="Q14" s="1119">
        <v>17032365</v>
      </c>
      <c r="R14" s="1171">
        <v>40353</v>
      </c>
      <c r="S14" s="278"/>
      <c r="T14" s="283"/>
      <c r="U14" s="283"/>
      <c r="V14" s="283">
        <v>3732549</v>
      </c>
      <c r="W14" s="1119">
        <v>17009964</v>
      </c>
      <c r="X14" s="1076" t="s">
        <v>282</v>
      </c>
      <c r="Y14" s="287" t="s">
        <v>294</v>
      </c>
      <c r="Z14" s="283">
        <v>0</v>
      </c>
      <c r="AA14" s="283">
        <v>4536000</v>
      </c>
      <c r="AB14" s="283">
        <v>4536000</v>
      </c>
      <c r="AC14" s="282">
        <v>40389</v>
      </c>
      <c r="AD14" s="56">
        <v>1484060</v>
      </c>
      <c r="AE14" s="56"/>
      <c r="AF14" s="1315">
        <v>10659601</v>
      </c>
      <c r="AG14" s="1315">
        <v>10659601</v>
      </c>
      <c r="AH14" s="1315">
        <v>0</v>
      </c>
      <c r="AI14" s="279">
        <v>-2315979.62</v>
      </c>
      <c r="AJ14" s="1119">
        <v>-453601</v>
      </c>
      <c r="AK14" s="283">
        <v>0</v>
      </c>
      <c r="AL14" s="283">
        <v>0</v>
      </c>
      <c r="AM14" s="309">
        <v>0</v>
      </c>
      <c r="AN14" s="1203"/>
      <c r="AO14" s="1204" t="s">
        <v>334</v>
      </c>
      <c r="AP14" s="1204" t="s">
        <v>194</v>
      </c>
      <c r="AQ14" s="1204" t="s">
        <v>342</v>
      </c>
      <c r="AR14" s="1470">
        <v>42993</v>
      </c>
      <c r="AS14" s="1467" t="s">
        <v>2900</v>
      </c>
    </row>
    <row r="15" spans="1:50" s="4" customFormat="1" ht="15" customHeight="1">
      <c r="A15" s="1076"/>
      <c r="B15" s="1171"/>
      <c r="C15" s="1076"/>
      <c r="D15" s="1076"/>
      <c r="E15" s="1252"/>
      <c r="F15" s="1252"/>
      <c r="G15" s="1076"/>
      <c r="H15" s="1076"/>
      <c r="I15" s="1076"/>
      <c r="J15" s="1076"/>
      <c r="K15" s="1076"/>
      <c r="L15" s="1076"/>
      <c r="M15" s="1463"/>
      <c r="N15" s="280" t="s">
        <v>137</v>
      </c>
      <c r="O15" s="283">
        <v>7629852</v>
      </c>
      <c r="P15" s="1119"/>
      <c r="Q15" s="1119"/>
      <c r="R15" s="1171"/>
      <c r="S15" s="278"/>
      <c r="T15" s="283"/>
      <c r="U15" s="283"/>
      <c r="V15" s="283">
        <v>7607451</v>
      </c>
      <c r="W15" s="1119"/>
      <c r="X15" s="1076"/>
      <c r="Y15" s="287" t="s">
        <v>253</v>
      </c>
      <c r="Z15" s="283">
        <v>10206000</v>
      </c>
      <c r="AA15" s="283">
        <v>-4082400</v>
      </c>
      <c r="AB15" s="283">
        <v>6123600</v>
      </c>
      <c r="AC15" s="282">
        <v>40547</v>
      </c>
      <c r="AD15" s="56">
        <v>4564468.62</v>
      </c>
      <c r="AE15" s="56"/>
      <c r="AF15" s="1315"/>
      <c r="AG15" s="1315"/>
      <c r="AH15" s="1315"/>
      <c r="AI15" s="279">
        <v>3018779.62</v>
      </c>
      <c r="AJ15" s="1119"/>
      <c r="AK15" s="283">
        <v>22401</v>
      </c>
      <c r="AL15" s="283">
        <v>680399</v>
      </c>
      <c r="AM15" s="309">
        <v>702800</v>
      </c>
      <c r="AN15" s="1203"/>
      <c r="AO15" s="1204"/>
      <c r="AP15" s="1204"/>
      <c r="AQ15" s="1204"/>
      <c r="AR15" s="1470"/>
      <c r="AS15" s="1467"/>
    </row>
    <row r="16" spans="1:50" s="4" customFormat="1" ht="15" customHeight="1">
      <c r="A16" s="1076"/>
      <c r="B16" s="1171"/>
      <c r="C16" s="1076"/>
      <c r="D16" s="1076"/>
      <c r="E16" s="1252"/>
      <c r="F16" s="1252"/>
      <c r="G16" s="1076"/>
      <c r="H16" s="1076"/>
      <c r="I16" s="1076"/>
      <c r="J16" s="280" t="s">
        <v>171</v>
      </c>
      <c r="K16" s="1076"/>
      <c r="L16" s="1076"/>
      <c r="M16" s="450">
        <v>158</v>
      </c>
      <c r="N16" s="280" t="s">
        <v>7</v>
      </c>
      <c r="O16" s="283">
        <v>5669964</v>
      </c>
      <c r="P16" s="283">
        <v>5669964</v>
      </c>
      <c r="Q16" s="1119"/>
      <c r="R16" s="282">
        <v>40701</v>
      </c>
      <c r="S16" s="278"/>
      <c r="T16" s="283"/>
      <c r="U16" s="283"/>
      <c r="V16" s="283">
        <v>5669964</v>
      </c>
      <c r="W16" s="1119"/>
      <c r="X16" s="1076"/>
      <c r="Y16" s="287"/>
      <c r="Z16" s="283">
        <v>0</v>
      </c>
      <c r="AA16" s="283">
        <v>0</v>
      </c>
      <c r="AB16" s="283">
        <v>0</v>
      </c>
      <c r="AC16" s="282" t="s">
        <v>180</v>
      </c>
      <c r="AD16" s="56">
        <v>0</v>
      </c>
      <c r="AE16" s="56"/>
      <c r="AF16" s="297">
        <v>0</v>
      </c>
      <c r="AG16" s="1315"/>
      <c r="AH16" s="297">
        <v>0</v>
      </c>
      <c r="AI16" s="279">
        <v>0</v>
      </c>
      <c r="AJ16" s="1119"/>
      <c r="AK16" s="283">
        <v>0</v>
      </c>
      <c r="AL16" s="283">
        <v>5669964</v>
      </c>
      <c r="AM16" s="283">
        <v>5669964</v>
      </c>
      <c r="AN16" s="1203"/>
      <c r="AO16" s="1204"/>
      <c r="AP16" s="1204"/>
      <c r="AQ16" s="1204"/>
      <c r="AR16" s="1470"/>
      <c r="AS16" s="1467"/>
    </row>
    <row r="17" spans="1:47" s="4" customFormat="1" ht="15" customHeight="1">
      <c r="A17" s="300" t="s">
        <v>807</v>
      </c>
      <c r="B17" s="273">
        <v>40371</v>
      </c>
      <c r="C17" s="300" t="s">
        <v>22</v>
      </c>
      <c r="D17" s="300" t="s">
        <v>465</v>
      </c>
      <c r="E17" s="292" t="s">
        <v>462</v>
      </c>
      <c r="F17" s="292"/>
      <c r="G17" s="300" t="s">
        <v>464</v>
      </c>
      <c r="H17" s="300" t="s">
        <v>72</v>
      </c>
      <c r="I17" s="300" t="s">
        <v>177</v>
      </c>
      <c r="J17" s="300" t="s">
        <v>66</v>
      </c>
      <c r="K17" s="300" t="s">
        <v>50</v>
      </c>
      <c r="L17" s="300" t="s">
        <v>466</v>
      </c>
      <c r="M17" s="452">
        <v>85</v>
      </c>
      <c r="N17" s="275" t="s">
        <v>7</v>
      </c>
      <c r="O17" s="276">
        <v>19566301.800000001</v>
      </c>
      <c r="P17" s="276">
        <v>32610503</v>
      </c>
      <c r="Q17" s="276">
        <v>32610503</v>
      </c>
      <c r="R17" s="273">
        <v>40413</v>
      </c>
      <c r="S17" s="276">
        <v>19566301.800000001</v>
      </c>
      <c r="T17" s="276">
        <v>19566301.800000001</v>
      </c>
      <c r="U17" s="276">
        <v>0</v>
      </c>
      <c r="V17" s="276">
        <v>19566301.800000001</v>
      </c>
      <c r="W17" s="283">
        <v>32610503</v>
      </c>
      <c r="X17" s="280" t="s">
        <v>467</v>
      </c>
      <c r="Y17" s="287" t="s">
        <v>468</v>
      </c>
      <c r="Z17" s="283">
        <v>0</v>
      </c>
      <c r="AA17" s="283">
        <v>7826520.7200000007</v>
      </c>
      <c r="AB17" s="283">
        <v>7826520.7200000007</v>
      </c>
      <c r="AC17" s="282">
        <v>40449</v>
      </c>
      <c r="AD17" s="291">
        <v>7826521</v>
      </c>
      <c r="AE17" s="283" t="s">
        <v>7</v>
      </c>
      <c r="AF17" s="276">
        <v>13044201</v>
      </c>
      <c r="AG17" s="276">
        <v>13044201</v>
      </c>
      <c r="AH17" s="283">
        <v>-0.27999999932944775</v>
      </c>
      <c r="AI17" s="276">
        <v>11739780.800000001</v>
      </c>
      <c r="AJ17" s="276">
        <v>18587987</v>
      </c>
      <c r="AK17" s="276">
        <v>0</v>
      </c>
      <c r="AL17" s="276">
        <v>978315</v>
      </c>
      <c r="AM17" s="276">
        <v>978315</v>
      </c>
      <c r="AN17" s="300" t="s">
        <v>437</v>
      </c>
      <c r="AO17" s="300" t="s">
        <v>810</v>
      </c>
      <c r="AP17" s="284" t="s">
        <v>195</v>
      </c>
      <c r="AQ17" s="284" t="s">
        <v>368</v>
      </c>
      <c r="AR17" s="349">
        <v>42969</v>
      </c>
      <c r="AS17" s="348" t="s">
        <v>2499</v>
      </c>
    </row>
    <row r="18" spans="1:47" s="4" customFormat="1" ht="15" customHeight="1">
      <c r="A18" s="1011" t="s">
        <v>513</v>
      </c>
      <c r="B18" s="1068">
        <v>40372</v>
      </c>
      <c r="C18" s="1011" t="s">
        <v>20</v>
      </c>
      <c r="D18" s="1011" t="s">
        <v>514</v>
      </c>
      <c r="E18" s="1097">
        <v>900367460</v>
      </c>
      <c r="F18" s="1097">
        <v>5</v>
      </c>
      <c r="G18" s="1011" t="s">
        <v>515</v>
      </c>
      <c r="H18" s="1011" t="s">
        <v>72</v>
      </c>
      <c r="I18" s="1011" t="s">
        <v>177</v>
      </c>
      <c r="J18" s="1011" t="s">
        <v>66</v>
      </c>
      <c r="K18" s="1011" t="s">
        <v>50</v>
      </c>
      <c r="L18" s="1011" t="s">
        <v>516</v>
      </c>
      <c r="M18" s="1468">
        <v>99</v>
      </c>
      <c r="N18" s="275" t="s">
        <v>137</v>
      </c>
      <c r="O18" s="276">
        <v>39498000</v>
      </c>
      <c r="P18" s="1062">
        <v>98745000</v>
      </c>
      <c r="Q18" s="1062">
        <v>98745000</v>
      </c>
      <c r="R18" s="1068">
        <v>40413</v>
      </c>
      <c r="S18" s="1092">
        <v>39498000</v>
      </c>
      <c r="T18" s="276">
        <v>39498000</v>
      </c>
      <c r="U18" s="276">
        <v>0</v>
      </c>
      <c r="V18" s="276">
        <v>39483876.399999999</v>
      </c>
      <c r="W18" s="1062">
        <v>98709691</v>
      </c>
      <c r="X18" s="1011" t="s">
        <v>467</v>
      </c>
      <c r="Y18" s="287" t="s">
        <v>479</v>
      </c>
      <c r="Z18" s="283">
        <v>0</v>
      </c>
      <c r="AA18" s="283">
        <v>15793550.560000001</v>
      </c>
      <c r="AB18" s="283">
        <v>15793550.560000001</v>
      </c>
      <c r="AC18" s="282">
        <v>40449</v>
      </c>
      <c r="AD18" s="289">
        <v>15793550</v>
      </c>
      <c r="AE18" s="289" t="s">
        <v>137</v>
      </c>
      <c r="AF18" s="1043">
        <v>39483876</v>
      </c>
      <c r="AG18" s="1043">
        <v>39483876</v>
      </c>
      <c r="AH18" s="279">
        <v>0.56000000052154064</v>
      </c>
      <c r="AI18" s="277">
        <v>23704450</v>
      </c>
      <c r="AJ18" s="1062">
        <v>59225815</v>
      </c>
      <c r="AK18" s="283">
        <v>14123.60000000149</v>
      </c>
      <c r="AL18" s="1062">
        <v>0</v>
      </c>
      <c r="AM18" s="1062">
        <v>35309</v>
      </c>
      <c r="AN18" s="1108" t="s">
        <v>512</v>
      </c>
      <c r="AO18" s="1103" t="s">
        <v>797</v>
      </c>
      <c r="AP18" s="1103" t="s">
        <v>194</v>
      </c>
      <c r="AQ18" s="1103" t="s">
        <v>368</v>
      </c>
      <c r="AR18" s="1470">
        <v>42929</v>
      </c>
      <c r="AS18" s="1467" t="s">
        <v>2501</v>
      </c>
      <c r="AT18" s="1237" t="s">
        <v>2898</v>
      </c>
    </row>
    <row r="19" spans="1:47" s="4" customFormat="1" ht="15" customHeight="1">
      <c r="A19" s="1033"/>
      <c r="B19" s="1069"/>
      <c r="C19" s="1033"/>
      <c r="D19" s="1033"/>
      <c r="E19" s="1098"/>
      <c r="F19" s="1098"/>
      <c r="G19" s="1033"/>
      <c r="H19" s="1033"/>
      <c r="I19" s="1033"/>
      <c r="J19" s="1033"/>
      <c r="K19" s="1033"/>
      <c r="L19" s="1033"/>
      <c r="M19" s="1469"/>
      <c r="N19" s="275" t="s">
        <v>7</v>
      </c>
      <c r="O19" s="276">
        <v>59247000</v>
      </c>
      <c r="P19" s="1063"/>
      <c r="Q19" s="1063"/>
      <c r="R19" s="1069"/>
      <c r="S19" s="1093"/>
      <c r="T19" s="276">
        <v>59247000</v>
      </c>
      <c r="U19" s="276">
        <v>0</v>
      </c>
      <c r="V19" s="276">
        <v>59225814.600000001</v>
      </c>
      <c r="W19" s="1063"/>
      <c r="X19" s="1033"/>
      <c r="Y19" s="275" t="s">
        <v>516</v>
      </c>
      <c r="Z19" s="283">
        <v>39483876.399999999</v>
      </c>
      <c r="AA19" s="283">
        <v>-15793550.560000001</v>
      </c>
      <c r="AB19" s="283">
        <v>23690325.839999996</v>
      </c>
      <c r="AC19" s="282"/>
      <c r="AD19" s="289">
        <v>0</v>
      </c>
      <c r="AE19" s="289" t="s">
        <v>137</v>
      </c>
      <c r="AF19" s="1044"/>
      <c r="AG19" s="1044"/>
      <c r="AH19" s="279">
        <v>23690325.839999996</v>
      </c>
      <c r="AI19" s="277">
        <v>35556674</v>
      </c>
      <c r="AJ19" s="1063"/>
      <c r="AK19" s="276">
        <v>21185.39999999851</v>
      </c>
      <c r="AL19" s="1063"/>
      <c r="AM19" s="1063"/>
      <c r="AN19" s="1109"/>
      <c r="AO19" s="1104"/>
      <c r="AP19" s="1104"/>
      <c r="AQ19" s="1104"/>
      <c r="AR19" s="1470"/>
      <c r="AS19" s="1467"/>
      <c r="AT19" s="1237"/>
    </row>
    <row r="20" spans="1:47" s="28" customFormat="1" ht="15" customHeight="1">
      <c r="A20" s="1076" t="s">
        <v>592</v>
      </c>
      <c r="B20" s="1171">
        <v>40372</v>
      </c>
      <c r="C20" s="1076" t="s">
        <v>41</v>
      </c>
      <c r="D20" s="1076" t="s">
        <v>593</v>
      </c>
      <c r="E20" s="1252">
        <v>900367513</v>
      </c>
      <c r="F20" s="1252">
        <v>7</v>
      </c>
      <c r="G20" s="1076" t="s">
        <v>594</v>
      </c>
      <c r="H20" s="1076" t="s">
        <v>72</v>
      </c>
      <c r="I20" s="1076" t="s">
        <v>177</v>
      </c>
      <c r="J20" s="1076" t="s">
        <v>66</v>
      </c>
      <c r="K20" s="1076" t="s">
        <v>217</v>
      </c>
      <c r="L20" s="1076" t="s">
        <v>595</v>
      </c>
      <c r="M20" s="1466">
        <v>106</v>
      </c>
      <c r="N20" s="287" t="s">
        <v>137</v>
      </c>
      <c r="O20" s="283">
        <v>23084000</v>
      </c>
      <c r="P20" s="1119">
        <v>57710000</v>
      </c>
      <c r="Q20" s="1119">
        <v>81765500</v>
      </c>
      <c r="R20" s="1171">
        <v>40413</v>
      </c>
      <c r="S20" s="1119">
        <v>57710000</v>
      </c>
      <c r="T20" s="283">
        <v>23084000</v>
      </c>
      <c r="U20" s="283">
        <v>0</v>
      </c>
      <c r="V20" s="283">
        <v>23076620.400000002</v>
      </c>
      <c r="W20" s="1119">
        <v>81747051</v>
      </c>
      <c r="X20" s="1203" t="s">
        <v>467</v>
      </c>
      <c r="Y20" s="287" t="s">
        <v>596</v>
      </c>
      <c r="Z20" s="283">
        <v>0</v>
      </c>
      <c r="AA20" s="283">
        <v>9230648.160000002</v>
      </c>
      <c r="AB20" s="283">
        <v>9230648.160000002</v>
      </c>
      <c r="AC20" s="282">
        <v>40448</v>
      </c>
      <c r="AD20" s="291">
        <v>9230648</v>
      </c>
      <c r="AE20" s="283" t="s">
        <v>137</v>
      </c>
      <c r="AF20" s="1119">
        <v>54230058</v>
      </c>
      <c r="AG20" s="1119">
        <v>75880008</v>
      </c>
      <c r="AH20" s="283">
        <v>0.16000000201165676</v>
      </c>
      <c r="AI20" s="283">
        <v>-17300086</v>
      </c>
      <c r="AJ20" s="1119">
        <v>3461493</v>
      </c>
      <c r="AK20" s="283">
        <v>7379.5999999977648</v>
      </c>
      <c r="AL20" s="1119">
        <v>0</v>
      </c>
      <c r="AM20" s="283">
        <v>7379.5999999977648</v>
      </c>
      <c r="AN20" s="1260" t="s">
        <v>591</v>
      </c>
      <c r="AO20" s="1260" t="s">
        <v>771</v>
      </c>
      <c r="AP20" s="1438" t="s">
        <v>195</v>
      </c>
      <c r="AQ20" s="1438" t="s">
        <v>558</v>
      </c>
      <c r="AR20" s="1472">
        <v>42895</v>
      </c>
      <c r="AS20" s="1471" t="s">
        <v>2502</v>
      </c>
    </row>
    <row r="21" spans="1:47" s="28" customFormat="1" ht="15" customHeight="1">
      <c r="A21" s="1076"/>
      <c r="B21" s="1171"/>
      <c r="C21" s="1076"/>
      <c r="D21" s="1076"/>
      <c r="E21" s="1252"/>
      <c r="F21" s="1252"/>
      <c r="G21" s="1076"/>
      <c r="H21" s="1076"/>
      <c r="I21" s="1076"/>
      <c r="J21" s="1076"/>
      <c r="K21" s="1076"/>
      <c r="L21" s="1076"/>
      <c r="M21" s="1466"/>
      <c r="N21" s="287" t="s">
        <v>7</v>
      </c>
      <c r="O21" s="283">
        <v>34626000</v>
      </c>
      <c r="P21" s="1119"/>
      <c r="Q21" s="1119"/>
      <c r="R21" s="1171"/>
      <c r="S21" s="1119"/>
      <c r="T21" s="283">
        <v>34626000</v>
      </c>
      <c r="U21" s="283">
        <v>0</v>
      </c>
      <c r="V21" s="283">
        <v>34614930.600000001</v>
      </c>
      <c r="W21" s="1119"/>
      <c r="X21" s="1203"/>
      <c r="Y21" s="287"/>
      <c r="Z21" s="283">
        <v>31153437.539999999</v>
      </c>
      <c r="AA21" s="283">
        <v>-13845972</v>
      </c>
      <c r="AB21" s="283">
        <v>17307465.539999999</v>
      </c>
      <c r="AC21" s="282"/>
      <c r="AD21" s="291">
        <v>18692063</v>
      </c>
      <c r="AE21" s="283" t="s">
        <v>137</v>
      </c>
      <c r="AF21" s="1119"/>
      <c r="AG21" s="1119"/>
      <c r="AH21" s="283">
        <v>-1384597.4600000009</v>
      </c>
      <c r="AI21" s="283">
        <v>20780028</v>
      </c>
      <c r="AJ21" s="1119"/>
      <c r="AK21" s="283">
        <v>11069.39999999851</v>
      </c>
      <c r="AL21" s="1119"/>
      <c r="AM21" s="283">
        <v>11069.39999999851</v>
      </c>
      <c r="AN21" s="1260"/>
      <c r="AO21" s="1260"/>
      <c r="AP21" s="1438"/>
      <c r="AQ21" s="1438"/>
      <c r="AR21" s="1473"/>
      <c r="AS21" s="1471"/>
    </row>
    <row r="22" spans="1:47" ht="22.5" customHeight="1">
      <c r="A22" s="304" t="s">
        <v>533</v>
      </c>
      <c r="B22" s="308">
        <v>40372</v>
      </c>
      <c r="C22" s="304" t="s">
        <v>36</v>
      </c>
      <c r="D22" s="304" t="s">
        <v>508</v>
      </c>
      <c r="E22" s="315">
        <v>900368713</v>
      </c>
      <c r="F22" s="315">
        <v>8</v>
      </c>
      <c r="G22" s="304" t="s">
        <v>579</v>
      </c>
      <c r="H22" s="304" t="s">
        <v>72</v>
      </c>
      <c r="I22" s="304" t="s">
        <v>177</v>
      </c>
      <c r="J22" s="304" t="s">
        <v>66</v>
      </c>
      <c r="K22" s="304" t="s">
        <v>697</v>
      </c>
      <c r="L22" s="304" t="s">
        <v>507</v>
      </c>
      <c r="M22" s="453">
        <v>109</v>
      </c>
      <c r="N22" s="307" t="s">
        <v>137</v>
      </c>
      <c r="O22" s="309">
        <v>17632000.399999999</v>
      </c>
      <c r="P22" s="309" t="e">
        <f>O22+#REF!</f>
        <v>#REF!</v>
      </c>
      <c r="Q22" s="309" t="e">
        <f>P22</f>
        <v>#REF!</v>
      </c>
      <c r="R22" s="308">
        <v>40413</v>
      </c>
      <c r="S22" s="309" t="e">
        <f>T22+#REF!</f>
        <v>#REF!</v>
      </c>
      <c r="T22" s="309">
        <v>17632000.399999999</v>
      </c>
      <c r="U22" s="309">
        <f>O22-T22</f>
        <v>0</v>
      </c>
      <c r="V22" s="309">
        <v>17631981.600000001</v>
      </c>
      <c r="W22" s="309">
        <v>44079954</v>
      </c>
      <c r="X22" s="311" t="s">
        <v>467</v>
      </c>
      <c r="Y22" s="307" t="s">
        <v>573</v>
      </c>
      <c r="Z22" s="309">
        <v>0</v>
      </c>
      <c r="AA22" s="309">
        <v>7052800</v>
      </c>
      <c r="AB22" s="309">
        <f>Z22+AA22</f>
        <v>7052800</v>
      </c>
      <c r="AC22" s="308">
        <v>40476</v>
      </c>
      <c r="AD22" s="317">
        <v>7052811</v>
      </c>
      <c r="AE22" s="309" t="s">
        <v>137</v>
      </c>
      <c r="AF22" s="309">
        <f>SUM(AD22:AD22)</f>
        <v>7052811</v>
      </c>
      <c r="AG22" s="309">
        <f>AF22</f>
        <v>7052811</v>
      </c>
      <c r="AH22" s="309">
        <f>AB22-AD22</f>
        <v>-11</v>
      </c>
      <c r="AI22" s="309" t="e">
        <f>O22-AD22-#REF!-#REF!</f>
        <v>#REF!</v>
      </c>
      <c r="AJ22" s="309">
        <f>SUM(Z22:Z22)-SUM(AD22:AD22)</f>
        <v>-7052811</v>
      </c>
      <c r="AK22" s="309">
        <v>47</v>
      </c>
      <c r="AL22" s="309">
        <v>2644779</v>
      </c>
      <c r="AM22" s="309">
        <v>2644826</v>
      </c>
      <c r="AN22" s="311" t="s">
        <v>581</v>
      </c>
      <c r="AO22" s="311" t="s">
        <v>780</v>
      </c>
      <c r="AP22" s="312" t="s">
        <v>195</v>
      </c>
      <c r="AQ22" s="312" t="s">
        <v>558</v>
      </c>
      <c r="AR22" s="352">
        <v>42976</v>
      </c>
      <c r="AS22" s="353" t="s">
        <v>2510</v>
      </c>
    </row>
    <row r="23" spans="1:47" ht="15" customHeight="1">
      <c r="A23" s="1076" t="s">
        <v>720</v>
      </c>
      <c r="B23" s="1171">
        <v>40450</v>
      </c>
      <c r="C23" s="1076" t="s">
        <v>36</v>
      </c>
      <c r="D23" s="1076" t="s">
        <v>481</v>
      </c>
      <c r="E23" s="1252">
        <v>900385116</v>
      </c>
      <c r="F23" s="1252">
        <v>2</v>
      </c>
      <c r="G23" s="1076" t="s">
        <v>721</v>
      </c>
      <c r="H23" s="1076" t="s">
        <v>70</v>
      </c>
      <c r="I23" s="1076" t="s">
        <v>177</v>
      </c>
      <c r="J23" s="1076" t="s">
        <v>66</v>
      </c>
      <c r="K23" s="1076" t="s">
        <v>50</v>
      </c>
      <c r="L23" s="1076" t="s">
        <v>725</v>
      </c>
      <c r="M23" s="454">
        <v>223</v>
      </c>
      <c r="N23" s="287" t="s">
        <v>137</v>
      </c>
      <c r="O23" s="283">
        <v>66155932</v>
      </c>
      <c r="P23" s="283">
        <v>66155932</v>
      </c>
      <c r="Q23" s="1119">
        <v>155091415</v>
      </c>
      <c r="R23" s="282">
        <v>40855</v>
      </c>
      <c r="S23" s="278">
        <v>66155932</v>
      </c>
      <c r="T23" s="283">
        <v>66155932</v>
      </c>
      <c r="U23" s="283">
        <v>0</v>
      </c>
      <c r="V23" s="283">
        <v>66155932</v>
      </c>
      <c r="W23" s="1119">
        <v>154929600</v>
      </c>
      <c r="X23" s="1076" t="s">
        <v>722</v>
      </c>
      <c r="Y23" s="287" t="s">
        <v>723</v>
      </c>
      <c r="Z23" s="283">
        <v>0</v>
      </c>
      <c r="AA23" s="283">
        <v>26462372.800000001</v>
      </c>
      <c r="AB23" s="283">
        <v>26462372.800000001</v>
      </c>
      <c r="AC23" s="282">
        <v>40910</v>
      </c>
      <c r="AD23" s="289">
        <v>26462373</v>
      </c>
      <c r="AE23" s="289" t="s">
        <v>137</v>
      </c>
      <c r="AF23" s="279">
        <v>61436368.289999999</v>
      </c>
      <c r="AG23" s="1084">
        <v>143876923</v>
      </c>
      <c r="AH23" s="279">
        <v>-0.19999999925494194</v>
      </c>
      <c r="AI23" s="279">
        <v>4719563.7100000009</v>
      </c>
      <c r="AJ23" s="283">
        <v>4101849.7800000012</v>
      </c>
      <c r="AK23" s="283">
        <v>0</v>
      </c>
      <c r="AL23" s="283">
        <v>617713.9299999997</v>
      </c>
      <c r="AM23" s="283">
        <v>617713.9299999997</v>
      </c>
      <c r="AN23" s="1204" t="s">
        <v>728</v>
      </c>
      <c r="AO23" s="1204" t="s">
        <v>727</v>
      </c>
      <c r="AP23" s="1204" t="s">
        <v>194</v>
      </c>
      <c r="AQ23" s="1204" t="s">
        <v>558</v>
      </c>
      <c r="AR23" s="312"/>
      <c r="AS23" s="1204" t="s">
        <v>2476</v>
      </c>
    </row>
    <row r="24" spans="1:47" ht="15" customHeight="1">
      <c r="A24" s="1076"/>
      <c r="B24" s="1171"/>
      <c r="C24" s="1076"/>
      <c r="D24" s="1076"/>
      <c r="E24" s="1252"/>
      <c r="F24" s="1252"/>
      <c r="G24" s="1076"/>
      <c r="H24" s="1076"/>
      <c r="I24" s="1076"/>
      <c r="J24" s="1076"/>
      <c r="K24" s="1076"/>
      <c r="L24" s="1076"/>
      <c r="M24" s="454">
        <v>2</v>
      </c>
      <c r="N24" s="287" t="s">
        <v>161</v>
      </c>
      <c r="O24" s="283">
        <v>88935483</v>
      </c>
      <c r="P24" s="283">
        <v>88935483</v>
      </c>
      <c r="Q24" s="1119"/>
      <c r="R24" s="282">
        <v>40855</v>
      </c>
      <c r="S24" s="283">
        <v>88935483</v>
      </c>
      <c r="T24" s="283">
        <v>88935483</v>
      </c>
      <c r="U24" s="283">
        <v>0</v>
      </c>
      <c r="V24" s="283">
        <v>88773668</v>
      </c>
      <c r="W24" s="1119"/>
      <c r="X24" s="1076"/>
      <c r="Y24" s="287" t="s">
        <v>723</v>
      </c>
      <c r="Z24" s="283">
        <v>0</v>
      </c>
      <c r="AA24" s="283">
        <v>35509467.200000003</v>
      </c>
      <c r="AB24" s="283">
        <v>35509467.200000003</v>
      </c>
      <c r="AC24" s="282">
        <v>40910</v>
      </c>
      <c r="AD24" s="289">
        <v>35509467</v>
      </c>
      <c r="AE24" s="289" t="s">
        <v>161</v>
      </c>
      <c r="AF24" s="279">
        <v>82440554.710000008</v>
      </c>
      <c r="AG24" s="1084"/>
      <c r="AH24" s="279">
        <v>0.20000000298023224</v>
      </c>
      <c r="AI24" s="279">
        <v>6494928.2899999991</v>
      </c>
      <c r="AJ24" s="283">
        <v>5386038.2199999839</v>
      </c>
      <c r="AK24" s="283">
        <v>161815</v>
      </c>
      <c r="AL24" s="283">
        <v>947075.07000000775</v>
      </c>
      <c r="AM24" s="283">
        <v>1108890.0700000077</v>
      </c>
      <c r="AN24" s="1204"/>
      <c r="AO24" s="1204"/>
      <c r="AP24" s="1204"/>
      <c r="AQ24" s="1204"/>
      <c r="AR24" s="312"/>
      <c r="AS24" s="1204"/>
    </row>
    <row r="25" spans="1:47" ht="15" customHeight="1">
      <c r="A25" s="272" t="s">
        <v>1445</v>
      </c>
      <c r="B25" s="273">
        <v>41212</v>
      </c>
      <c r="C25" s="272" t="s">
        <v>21</v>
      </c>
      <c r="D25" s="272" t="s">
        <v>1446</v>
      </c>
      <c r="E25" s="274">
        <v>900563625</v>
      </c>
      <c r="F25" s="274">
        <v>3</v>
      </c>
      <c r="G25" s="272" t="s">
        <v>1447</v>
      </c>
      <c r="H25" s="272" t="s">
        <v>70</v>
      </c>
      <c r="I25" s="272" t="s">
        <v>206</v>
      </c>
      <c r="J25" s="272" t="s">
        <v>66</v>
      </c>
      <c r="K25" s="272" t="s">
        <v>49</v>
      </c>
      <c r="L25" s="272" t="s">
        <v>1449</v>
      </c>
      <c r="M25" s="452">
        <v>2</v>
      </c>
      <c r="N25" s="275" t="s">
        <v>144</v>
      </c>
      <c r="O25" s="276">
        <v>80193892</v>
      </c>
      <c r="P25" s="276">
        <v>80193892</v>
      </c>
      <c r="Q25" s="276">
        <v>80193892</v>
      </c>
      <c r="R25" s="273">
        <v>40899</v>
      </c>
      <c r="S25" s="286">
        <v>80193892</v>
      </c>
      <c r="T25" s="286">
        <v>80193892</v>
      </c>
      <c r="U25" s="286">
        <v>0</v>
      </c>
      <c r="V25" s="276">
        <v>79970400</v>
      </c>
      <c r="W25" s="276">
        <v>79970400</v>
      </c>
      <c r="X25" s="272" t="s">
        <v>1448</v>
      </c>
      <c r="Y25" s="287" t="s">
        <v>1450</v>
      </c>
      <c r="Z25" s="283">
        <v>14098782</v>
      </c>
      <c r="AA25" s="283">
        <v>0</v>
      </c>
      <c r="AB25" s="283">
        <v>14098782</v>
      </c>
      <c r="AC25" s="282">
        <v>41563</v>
      </c>
      <c r="AD25" s="289">
        <v>14098782</v>
      </c>
      <c r="AE25" s="289" t="s">
        <v>144</v>
      </c>
      <c r="AF25" s="277">
        <v>71973361</v>
      </c>
      <c r="AG25" s="277">
        <v>71973361</v>
      </c>
      <c r="AH25" s="279">
        <v>0</v>
      </c>
      <c r="AI25" s="277">
        <v>8220531</v>
      </c>
      <c r="AJ25" s="276">
        <v>0</v>
      </c>
      <c r="AK25" s="276">
        <v>223492</v>
      </c>
      <c r="AL25" s="276">
        <v>7997039</v>
      </c>
      <c r="AM25" s="276">
        <f>SUM(AK25:AL25)</f>
        <v>8220531</v>
      </c>
      <c r="AN25" s="284" t="s">
        <v>1455</v>
      </c>
      <c r="AO25" s="284" t="s">
        <v>1454</v>
      </c>
      <c r="AP25" s="284" t="s">
        <v>194</v>
      </c>
      <c r="AQ25" s="284" t="s">
        <v>1414</v>
      </c>
      <c r="AR25" s="348"/>
      <c r="AS25" s="348" t="s">
        <v>2466</v>
      </c>
    </row>
    <row r="26" spans="1:47" ht="15" customHeight="1">
      <c r="A26" s="304" t="s">
        <v>2251</v>
      </c>
      <c r="B26" s="308">
        <v>42639</v>
      </c>
      <c r="C26" s="304" t="s">
        <v>24</v>
      </c>
      <c r="D26" s="304" t="s">
        <v>2250</v>
      </c>
      <c r="E26" s="313">
        <v>900804023</v>
      </c>
      <c r="F26" s="313">
        <v>5</v>
      </c>
      <c r="G26" s="304" t="s">
        <v>2249</v>
      </c>
      <c r="H26" s="304" t="s">
        <v>71</v>
      </c>
      <c r="I26" s="304" t="s">
        <v>1235</v>
      </c>
      <c r="J26" s="304" t="s">
        <v>66</v>
      </c>
      <c r="K26" s="304" t="s">
        <v>50</v>
      </c>
      <c r="L26" s="304" t="s">
        <v>2248</v>
      </c>
      <c r="M26" s="451">
        <v>337</v>
      </c>
      <c r="N26" s="307" t="s">
        <v>7</v>
      </c>
      <c r="O26" s="309">
        <v>196348841</v>
      </c>
      <c r="P26" s="309">
        <v>196348841</v>
      </c>
      <c r="Q26" s="309">
        <v>196348841</v>
      </c>
      <c r="R26" s="308">
        <v>42534</v>
      </c>
      <c r="S26" s="310">
        <v>196348841</v>
      </c>
      <c r="T26" s="310">
        <v>196348841</v>
      </c>
      <c r="U26" s="310">
        <v>0</v>
      </c>
      <c r="V26" s="305">
        <v>193401134</v>
      </c>
      <c r="W26" s="305">
        <v>193401134</v>
      </c>
      <c r="X26" s="304" t="s">
        <v>2247</v>
      </c>
      <c r="Y26" s="307" t="s">
        <v>2246</v>
      </c>
      <c r="Z26" s="309">
        <v>0</v>
      </c>
      <c r="AA26" s="309">
        <v>96700567</v>
      </c>
      <c r="AB26" s="309">
        <v>96700567</v>
      </c>
      <c r="AC26" s="308">
        <v>43007</v>
      </c>
      <c r="AD26" s="314">
        <v>96700567</v>
      </c>
      <c r="AE26" s="306" t="s">
        <v>7</v>
      </c>
      <c r="AF26" s="305">
        <v>178657961</v>
      </c>
      <c r="AG26" s="305">
        <v>178657961</v>
      </c>
      <c r="AH26" s="305">
        <v>0</v>
      </c>
      <c r="AI26" s="305">
        <v>17690880</v>
      </c>
      <c r="AJ26" s="309">
        <v>-14743172</v>
      </c>
      <c r="AK26" s="309">
        <v>2947707</v>
      </c>
      <c r="AL26" s="309">
        <v>14743173</v>
      </c>
      <c r="AM26" s="309">
        <f>SUM(AK26:AL26)</f>
        <v>17690880</v>
      </c>
      <c r="AN26" s="285" t="s">
        <v>2065</v>
      </c>
      <c r="AO26" s="284" t="s">
        <v>2245</v>
      </c>
      <c r="AP26" s="284" t="s">
        <v>194</v>
      </c>
      <c r="AQ26" s="284" t="s">
        <v>1911</v>
      </c>
      <c r="AR26" s="348"/>
      <c r="AS26" s="348" t="s">
        <v>2482</v>
      </c>
      <c r="AT26" s="205">
        <v>28063884.969999999</v>
      </c>
      <c r="AU26" s="25">
        <v>27962551.619999997</v>
      </c>
    </row>
    <row r="27" spans="1:47">
      <c r="A27" s="450" t="s">
        <v>2511</v>
      </c>
      <c r="B27" s="442"/>
      <c r="C27" s="441"/>
      <c r="D27" s="441"/>
      <c r="E27" s="447"/>
      <c r="F27" s="447"/>
      <c r="G27" s="441"/>
      <c r="H27" s="441"/>
      <c r="I27" s="441"/>
      <c r="J27" s="441"/>
      <c r="K27" s="441"/>
      <c r="L27" s="441"/>
      <c r="M27" s="443">
        <f>COUNT(M3:M26)-2</f>
        <v>15</v>
      </c>
      <c r="N27" s="444"/>
      <c r="O27" s="438"/>
      <c r="P27" s="438"/>
      <c r="Q27" s="438"/>
      <c r="R27" s="442"/>
      <c r="S27" s="440"/>
      <c r="T27" s="438"/>
      <c r="U27" s="438"/>
      <c r="V27" s="438"/>
      <c r="W27" s="438"/>
      <c r="X27" s="441"/>
      <c r="Y27" s="444"/>
      <c r="Z27" s="438"/>
      <c r="AA27" s="438"/>
      <c r="AB27" s="438"/>
      <c r="AC27" s="442"/>
      <c r="AD27" s="445"/>
      <c r="AE27" s="445"/>
      <c r="AF27" s="439"/>
      <c r="AG27" s="439"/>
      <c r="AH27" s="439"/>
      <c r="AI27" s="439"/>
      <c r="AJ27" s="438"/>
      <c r="AK27" s="438"/>
      <c r="AL27" s="438"/>
      <c r="AM27" s="446">
        <f>SUM(AM3:AM26)</f>
        <v>164033595.55999827</v>
      </c>
    </row>
  </sheetData>
  <autoFilter ref="A2:AQ2"/>
  <mergeCells count="206">
    <mergeCell ref="AT18:AT19"/>
    <mergeCell ref="AO23:AO24"/>
    <mergeCell ref="AP23:AP24"/>
    <mergeCell ref="AQ23:AQ24"/>
    <mergeCell ref="AS23:AS24"/>
    <mergeCell ref="W23:W24"/>
    <mergeCell ref="X23:X24"/>
    <mergeCell ref="AG23:AG24"/>
    <mergeCell ref="AN23:AN24"/>
    <mergeCell ref="AN20:AN21"/>
    <mergeCell ref="AO20:AO21"/>
    <mergeCell ref="AP20:AP21"/>
    <mergeCell ref="AQ20:AQ21"/>
    <mergeCell ref="AS20:AS21"/>
    <mergeCell ref="AF20:AF21"/>
    <mergeCell ref="AG20:AG21"/>
    <mergeCell ref="AJ20:AJ21"/>
    <mergeCell ref="AL20:AL21"/>
    <mergeCell ref="AR20:AR21"/>
    <mergeCell ref="AP18:AP19"/>
    <mergeCell ref="AQ18:AQ19"/>
    <mergeCell ref="AS18:AS19"/>
    <mergeCell ref="AJ18:AJ19"/>
    <mergeCell ref="AL18:AL19"/>
    <mergeCell ref="Q23:Q24"/>
    <mergeCell ref="H23:H24"/>
    <mergeCell ref="I23:I24"/>
    <mergeCell ref="J23:J24"/>
    <mergeCell ref="K23:K24"/>
    <mergeCell ref="L23:L24"/>
    <mergeCell ref="A23:A24"/>
    <mergeCell ref="B23:B24"/>
    <mergeCell ref="C23:C24"/>
    <mergeCell ref="D23:D24"/>
    <mergeCell ref="E23:E24"/>
    <mergeCell ref="F23:F24"/>
    <mergeCell ref="G23:G24"/>
    <mergeCell ref="S20:S21"/>
    <mergeCell ref="W20:W21"/>
    <mergeCell ref="X20:X21"/>
    <mergeCell ref="M20:M21"/>
    <mergeCell ref="P20:P21"/>
    <mergeCell ref="Q20:Q21"/>
    <mergeCell ref="R20:R21"/>
    <mergeCell ref="A20:A21"/>
    <mergeCell ref="B20:B21"/>
    <mergeCell ref="C20:C21"/>
    <mergeCell ref="D20:D21"/>
    <mergeCell ref="E20:E21"/>
    <mergeCell ref="F20:F21"/>
    <mergeCell ref="G20:G21"/>
    <mergeCell ref="H20:H21"/>
    <mergeCell ref="I20:I21"/>
    <mergeCell ref="J20:J21"/>
    <mergeCell ref="K20:K21"/>
    <mergeCell ref="L20:L21"/>
    <mergeCell ref="AM18:AM19"/>
    <mergeCell ref="AN18:AN19"/>
    <mergeCell ref="AO18:AO19"/>
    <mergeCell ref="W18:W19"/>
    <mergeCell ref="X18:X19"/>
    <mergeCell ref="AF18:AF19"/>
    <mergeCell ref="AG18:AG19"/>
    <mergeCell ref="AR18:AR19"/>
    <mergeCell ref="X14:X16"/>
    <mergeCell ref="AJ14:AJ16"/>
    <mergeCell ref="AR14:AR16"/>
    <mergeCell ref="A18:A19"/>
    <mergeCell ref="B18:B19"/>
    <mergeCell ref="C18:C19"/>
    <mergeCell ref="D18:D19"/>
    <mergeCell ref="E18:E19"/>
    <mergeCell ref="F18:F19"/>
    <mergeCell ref="M18:M19"/>
    <mergeCell ref="P18:P19"/>
    <mergeCell ref="Q18:Q19"/>
    <mergeCell ref="R18:R19"/>
    <mergeCell ref="S18:S19"/>
    <mergeCell ref="G18:G19"/>
    <mergeCell ref="H18:H19"/>
    <mergeCell ref="I18:I19"/>
    <mergeCell ref="J18:J19"/>
    <mergeCell ref="K18:K19"/>
    <mergeCell ref="L18:L19"/>
    <mergeCell ref="J14:J15"/>
    <mergeCell ref="K14:K16"/>
    <mergeCell ref="L14:L16"/>
    <mergeCell ref="M14:M15"/>
    <mergeCell ref="P14:P15"/>
    <mergeCell ref="Q14:Q16"/>
    <mergeCell ref="R14:R15"/>
    <mergeCell ref="AS11:AS12"/>
    <mergeCell ref="A14:A16"/>
    <mergeCell ref="B14:B16"/>
    <mergeCell ref="C14:C16"/>
    <mergeCell ref="D14:D16"/>
    <mergeCell ref="E14:E16"/>
    <mergeCell ref="F14:F16"/>
    <mergeCell ref="G14:G16"/>
    <mergeCell ref="H14:H16"/>
    <mergeCell ref="AK11:AK12"/>
    <mergeCell ref="AL11:AL12"/>
    <mergeCell ref="AN11:AN12"/>
    <mergeCell ref="AO11:AO12"/>
    <mergeCell ref="AP11:AP12"/>
    <mergeCell ref="X11:X12"/>
    <mergeCell ref="AF11:AF12"/>
    <mergeCell ref="AG11:AG12"/>
    <mergeCell ref="AH11:AH12"/>
    <mergeCell ref="AN14:AN16"/>
    <mergeCell ref="AO14:AO16"/>
    <mergeCell ref="AP14:AP16"/>
    <mergeCell ref="AQ14:AQ16"/>
    <mergeCell ref="AS14:AS16"/>
    <mergeCell ref="AF14:AF15"/>
    <mergeCell ref="A11:A12"/>
    <mergeCell ref="B11:B12"/>
    <mergeCell ref="C11:C12"/>
    <mergeCell ref="D11:D12"/>
    <mergeCell ref="E11:E12"/>
    <mergeCell ref="F11:F12"/>
    <mergeCell ref="G11:G12"/>
    <mergeCell ref="H11:H12"/>
    <mergeCell ref="I11:I12"/>
    <mergeCell ref="AS7:AS9"/>
    <mergeCell ref="AK7:AK9"/>
    <mergeCell ref="AL7:AL9"/>
    <mergeCell ref="AM7:AM9"/>
    <mergeCell ref="AN7:AN9"/>
    <mergeCell ref="AO7:AO9"/>
    <mergeCell ref="AP7:AP9"/>
    <mergeCell ref="Q7:Q9"/>
    <mergeCell ref="R7:R9"/>
    <mergeCell ref="S7:S9"/>
    <mergeCell ref="T7:T9"/>
    <mergeCell ref="U7:U9"/>
    <mergeCell ref="V7:V9"/>
    <mergeCell ref="B7:B9"/>
    <mergeCell ref="C7:C9"/>
    <mergeCell ref="D7:D9"/>
    <mergeCell ref="E7:E9"/>
    <mergeCell ref="AJ7:AJ9"/>
    <mergeCell ref="F7:F9"/>
    <mergeCell ref="G7:G9"/>
    <mergeCell ref="H7:H9"/>
    <mergeCell ref="I7:I9"/>
    <mergeCell ref="J7:J9"/>
    <mergeCell ref="K7:K9"/>
    <mergeCell ref="AF7:AF9"/>
    <mergeCell ref="AG7:AG9"/>
    <mergeCell ref="AI7:AI9"/>
    <mergeCell ref="W7:W9"/>
    <mergeCell ref="X7:X9"/>
    <mergeCell ref="M7:M9"/>
    <mergeCell ref="N7:N9"/>
    <mergeCell ref="O7:O9"/>
    <mergeCell ref="P7:P9"/>
    <mergeCell ref="L7:L9"/>
    <mergeCell ref="Q11:Q12"/>
    <mergeCell ref="R11:R12"/>
    <mergeCell ref="V11:V12"/>
    <mergeCell ref="A7:A9"/>
    <mergeCell ref="AS3:AS4"/>
    <mergeCell ref="W3:W4"/>
    <mergeCell ref="X3:X4"/>
    <mergeCell ref="A3:A4"/>
    <mergeCell ref="B3:B4"/>
    <mergeCell ref="C3:C4"/>
    <mergeCell ref="D3:D4"/>
    <mergeCell ref="E3:E4"/>
    <mergeCell ref="F3:F4"/>
    <mergeCell ref="G3:G4"/>
    <mergeCell ref="H3:H4"/>
    <mergeCell ref="I3:I4"/>
    <mergeCell ref="AN3:AN4"/>
    <mergeCell ref="AO3:AO4"/>
    <mergeCell ref="AP3:AP4"/>
    <mergeCell ref="AG3:AG4"/>
    <mergeCell ref="Q3:Q4"/>
    <mergeCell ref="J3:J4"/>
    <mergeCell ref="K3:K4"/>
    <mergeCell ref="L3:L4"/>
    <mergeCell ref="AQ11:AQ12"/>
    <mergeCell ref="AG14:AG16"/>
    <mergeCell ref="AH14:AH15"/>
    <mergeCell ref="W14:W16"/>
    <mergeCell ref="AN1:AQ1"/>
    <mergeCell ref="A1:L1"/>
    <mergeCell ref="M1:R1"/>
    <mergeCell ref="S1:U1"/>
    <mergeCell ref="V1:X1"/>
    <mergeCell ref="Y1:AI1"/>
    <mergeCell ref="AJ1:AM1"/>
    <mergeCell ref="I14:I16"/>
    <mergeCell ref="W11:W12"/>
    <mergeCell ref="J11:J12"/>
    <mergeCell ref="K11:K12"/>
    <mergeCell ref="L11:L12"/>
    <mergeCell ref="M11:M12"/>
    <mergeCell ref="AQ3:AQ4"/>
    <mergeCell ref="AQ7:AQ9"/>
    <mergeCell ref="AI11:AI12"/>
    <mergeCell ref="AJ11:AJ12"/>
    <mergeCell ref="N11:N12"/>
    <mergeCell ref="O11:O12"/>
    <mergeCell ref="P11:P12"/>
  </mergeCells>
  <hyperlinks>
    <hyperlink ref="M3" r:id="rId1" display="http://consorciofia.info/cdr/ver_fuentes_w.php?NumCDR=125&amp;codEntidad=19999"/>
    <hyperlink ref="M4" r:id="rId2" display="http://consorciofia.info/cdr/ver_fuentes_w.php?NumCDR=001&amp;codEntidad=19513"/>
    <hyperlink ref="AD5" r:id="rId3" display="Pagos CDRs FIA\CDR 003 - Contrato 007-2010.jpg"/>
    <hyperlink ref="M5" r:id="rId4" display="http://consorciofia.info/cdr/ver_fuentes_w.php?NumCDR=003&amp;codEntidad=19999"/>
    <hyperlink ref="AD6" r:id="rId5" display="http://consorciofia.info/cdr/ver_fuentes_w.php?NumCDR=005&amp;codEntidad=19999"/>
    <hyperlink ref="M7:M9" r:id="rId6" display="http://consorciofia.info/cdr/ver_fuentes_w.php?NumCDR=011&amp;codEntidad=19999"/>
    <hyperlink ref="AD8" r:id="rId7" display="http://consorciofia.info/cdr/ver_fuentes_w.php?NumCDR=0011&amp;codEntidad=19999"/>
    <hyperlink ref="AD7" r:id="rId8" display="http://consorciofia.info/cdr/ver_fuentes_w.php?NumCDR=023&amp;codEntidad=19999"/>
    <hyperlink ref="AD10" r:id="rId9" display="http://consorciofia.info/cdr/ver_fuentes_w.php?NumCDR=012&amp;codEntidad=19999"/>
    <hyperlink ref="M10" r:id="rId10" display="http://consorciofia.info/cdr/ver_fuentes_w.php?NumCDR=012&amp;codEntidad=19999"/>
    <hyperlink ref="AD11" r:id="rId11" display="http://consorciofia.info/cdr/ver_fuentes_w.php?NumCDR=013&amp;codEntidad=19999"/>
    <hyperlink ref="AD12" r:id="rId12" display="http://consorciofia.info/cdr/ver_fuentes_w.php?NumCDR=013&amp;codEntidad=19999"/>
    <hyperlink ref="AD13" r:id="rId13" display="http://consorciofia.info/cdr/ver_fuentes_w.php?NumCDR=016&amp;codEntidad=19999"/>
    <hyperlink ref="AD14" r:id="rId14" display="http://consorciofia.info/cdr/ver_fuentes_w.php?NumCDR=040&amp;codEntidad=19999"/>
    <hyperlink ref="AD15" r:id="rId15" display="http://consorciofia.info/cdr/ver_fuentes_w.php?NumCDR=040&amp;codEntidad=19999"/>
    <hyperlink ref="AD16" r:id="rId16" display="http://consorciofia.info/cdr/ver_fuentes_w.php?NumCDR=158&amp;codEntidad=19999"/>
    <hyperlink ref="M17" r:id="rId17" display="http://consorciofia.info/cdr/ver_fuentes_w.php?NumCDR=085&amp;codEntidad=19999"/>
    <hyperlink ref="M18" r:id="rId18" display="http://consorciofia.info/cdr/ver_fuentes_w.php?NumCDR=099&amp;codEntidad=19999"/>
    <hyperlink ref="M20:M21" r:id="rId19" display="http://consorciofia.info/cdr/ver_fuentes_w.php?NumCDR=106&amp;codEntidad=19999"/>
    <hyperlink ref="M24" r:id="rId20" display="http://consorciofia.info/cdr/ver_fuentes_w.php?NumCDR=002&amp;codEntidad=19698"/>
    <hyperlink ref="M25" r:id="rId21" display="http://consorciofia.info/cdr/ver_fuentes_w.php?NumCDR=002&amp;codEntidad=19392"/>
    <hyperlink ref="M26" r:id="rId22" display="http://consorciofia.info/cdr/ver_fuentes_w.php?NumCDR=337&amp;codEntidad=19999"/>
    <hyperlink ref="M23" r:id="rId23" display="http://consorciofia.info/cdr/ver_fuentes_w.php?NumCDR=223&amp;codEntidad=19999"/>
    <hyperlink ref="M22" r:id="rId24" display="http://consorciofia.info/cdr/ver_fuentes_w.php?NumCDR=109&amp;codEntidad=19999"/>
  </hyperlinks>
  <pageMargins left="0.37" right="0.17" top="0.74803149606299213" bottom="0.74803149606299213" header="0.31496062992125984" footer="0.31496062992125984"/>
  <pageSetup scale="24" orientation="landscape" r:id="rId25"/>
  <legacyDrawing r:id="rId26"/>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Listas!$B$2:$B$5</xm:f>
          </x14:formula1>
          <xm:sqref>H27:H1048576 H1:H6 H25 H20:H23 H10:H18</xm:sqref>
        </x14:dataValidation>
        <x14:dataValidation type="list" allowBlank="1" showInputMessage="1" showErrorMessage="1">
          <x14:formula1>
            <xm:f>Listas!$C$2:$C$6</xm:f>
          </x14:formula1>
          <xm:sqref>J27:J1048576 J1:J6 J25 J20:J23 J10:J18</xm:sqref>
        </x14:dataValidation>
        <x14:dataValidation type="list" allowBlank="1" showInputMessage="1" showErrorMessage="1">
          <x14:formula1>
            <xm:f>Listas!$E$2:$E$45</xm:f>
          </x14:formula1>
          <xm:sqref>N27:N1048576 N1:N6 N10:N25</xm:sqref>
        </x14:dataValidation>
        <x14:dataValidation type="list" allowBlank="1" showInputMessage="1" showErrorMessage="1">
          <x14:formula1>
            <xm:f>Listas!$A$2:$A$43</xm:f>
          </x14:formula1>
          <xm:sqref>C27:C1048576 C1:C6 C25 C20:C23 C10:C18</xm:sqref>
        </x14:dataValidation>
        <x14:dataValidation type="list" allowBlank="1" showInputMessage="1" showErrorMessage="1">
          <x14:formula1>
            <xm:f>Listas!$G$2:$G$45</xm:f>
          </x14:formula1>
          <xm:sqref>AE27:AE1048576 AE1:AE25</xm:sqref>
        </x14:dataValidation>
        <x14:dataValidation type="list" allowBlank="1" showInputMessage="1" showErrorMessage="1">
          <x14:formula1>
            <xm:f>[4]Listas!#REF!</xm:f>
          </x14:formula1>
          <xm:sqref>AE26 N26 C26 J26 H26</xm:sqref>
        </x14:dataValidation>
        <x14:dataValidation type="list" allowBlank="1" showInputMessage="1" showErrorMessage="1">
          <x14:formula1>
            <xm:f>Listas!$D$2:$D$10</xm:f>
          </x14:formula1>
          <xm:sqref>K1:K1048576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39"/>
  <sheetViews>
    <sheetView workbookViewId="0">
      <selection activeCell="A8" sqref="A8"/>
    </sheetView>
  </sheetViews>
  <sheetFormatPr baseColWidth="10" defaultRowHeight="15"/>
  <cols>
    <col min="2" max="2" width="13.85546875" hidden="1" customWidth="1"/>
    <col min="3" max="35" width="0" hidden="1" customWidth="1"/>
    <col min="36" max="36" width="19.42578125" customWidth="1"/>
    <col min="37" max="40" width="0" hidden="1" customWidth="1"/>
  </cols>
  <sheetData>
    <row r="1" spans="1:42" s="4" customFormat="1" ht="15.75" customHeight="1">
      <c r="A1" s="1342" t="s">
        <v>56</v>
      </c>
      <c r="B1" s="1342"/>
      <c r="C1" s="1342"/>
      <c r="D1" s="1342"/>
      <c r="E1" s="1342"/>
      <c r="F1" s="1342"/>
      <c r="G1" s="1342"/>
      <c r="H1" s="1342"/>
      <c r="I1" s="1342"/>
      <c r="J1" s="1342"/>
      <c r="K1" s="1342"/>
      <c r="L1" s="1342"/>
      <c r="M1" s="1343" t="s">
        <v>57</v>
      </c>
      <c r="N1" s="1343"/>
      <c r="O1" s="1343"/>
      <c r="P1" s="1343"/>
      <c r="Q1" s="1343"/>
      <c r="R1" s="1343"/>
      <c r="S1" s="1344" t="s">
        <v>284</v>
      </c>
      <c r="T1" s="1344"/>
      <c r="U1" s="1344"/>
      <c r="V1" s="1345" t="s">
        <v>63</v>
      </c>
      <c r="W1" s="1345"/>
      <c r="X1" s="1345"/>
      <c r="Y1" s="1346" t="s">
        <v>190</v>
      </c>
      <c r="Z1" s="1346"/>
      <c r="AA1" s="1346"/>
      <c r="AB1" s="1346"/>
      <c r="AC1" s="1346"/>
      <c r="AD1" s="1346"/>
      <c r="AE1" s="1346"/>
      <c r="AF1" s="1346"/>
      <c r="AG1" s="1346"/>
      <c r="AH1" s="1346"/>
      <c r="AI1" s="1346"/>
      <c r="AJ1" s="1347" t="s">
        <v>202</v>
      </c>
      <c r="AK1" s="1347"/>
      <c r="AL1" s="1347"/>
      <c r="AM1" s="1347"/>
      <c r="AN1" s="1341" t="s">
        <v>203</v>
      </c>
      <c r="AO1" s="1341"/>
    </row>
    <row r="2" spans="1:42" s="61" customFormat="1" ht="30.75" customHeight="1">
      <c r="A2" s="16" t="s">
        <v>463</v>
      </c>
      <c r="B2" s="17" t="s">
        <v>52</v>
      </c>
      <c r="C2" s="16" t="s">
        <v>64</v>
      </c>
      <c r="D2" s="16" t="s">
        <v>58</v>
      </c>
      <c r="E2" s="18" t="s">
        <v>3</v>
      </c>
      <c r="F2" s="18" t="s">
        <v>53</v>
      </c>
      <c r="G2" s="16" t="s">
        <v>2</v>
      </c>
      <c r="H2" s="16" t="s">
        <v>65</v>
      </c>
      <c r="I2" s="16" t="s">
        <v>201</v>
      </c>
      <c r="J2" s="16" t="s">
        <v>126</v>
      </c>
      <c r="K2" s="16" t="s">
        <v>68</v>
      </c>
      <c r="L2" s="16" t="s">
        <v>207</v>
      </c>
      <c r="M2" s="20" t="s">
        <v>358</v>
      </c>
      <c r="N2" s="19" t="s">
        <v>54</v>
      </c>
      <c r="O2" s="36" t="s">
        <v>60</v>
      </c>
      <c r="P2" s="36" t="s">
        <v>59</v>
      </c>
      <c r="Q2" s="36" t="s">
        <v>313</v>
      </c>
      <c r="R2" s="22" t="s">
        <v>187</v>
      </c>
      <c r="S2" s="37" t="s">
        <v>59</v>
      </c>
      <c r="T2" s="769" t="s">
        <v>60</v>
      </c>
      <c r="U2" s="769" t="s">
        <v>285</v>
      </c>
      <c r="V2" s="39" t="s">
        <v>314</v>
      </c>
      <c r="W2" s="39" t="s">
        <v>55</v>
      </c>
      <c r="X2" s="5" t="s">
        <v>61</v>
      </c>
      <c r="Y2" s="21" t="s">
        <v>315</v>
      </c>
      <c r="Z2" s="44" t="s">
        <v>371</v>
      </c>
      <c r="AA2" s="44" t="s">
        <v>189</v>
      </c>
      <c r="AB2" s="44" t="s">
        <v>316</v>
      </c>
      <c r="AC2" s="7" t="s">
        <v>179</v>
      </c>
      <c r="AD2" s="32" t="s">
        <v>330</v>
      </c>
      <c r="AE2" s="32" t="s">
        <v>395</v>
      </c>
      <c r="AF2" s="32" t="s">
        <v>317</v>
      </c>
      <c r="AG2" s="32" t="s">
        <v>328</v>
      </c>
      <c r="AH2" s="32" t="s">
        <v>318</v>
      </c>
      <c r="AI2" s="32" t="s">
        <v>293</v>
      </c>
      <c r="AJ2" s="770" t="s">
        <v>322</v>
      </c>
      <c r="AK2" s="770" t="s">
        <v>319</v>
      </c>
      <c r="AL2" s="770" t="s">
        <v>324</v>
      </c>
      <c r="AM2" s="770" t="s">
        <v>372</v>
      </c>
      <c r="AN2" s="768" t="s">
        <v>264</v>
      </c>
      <c r="AO2" s="8" t="s">
        <v>193</v>
      </c>
      <c r="AP2" s="61" t="s">
        <v>2465</v>
      </c>
    </row>
    <row r="3" spans="1:42" s="4" customFormat="1" ht="15.75" customHeight="1">
      <c r="A3" s="1076" t="s">
        <v>240</v>
      </c>
      <c r="B3" s="1171">
        <v>40254</v>
      </c>
      <c r="C3" s="1076" t="s">
        <v>39</v>
      </c>
      <c r="D3" s="1076" t="s">
        <v>175</v>
      </c>
      <c r="E3" s="1252">
        <v>900346392</v>
      </c>
      <c r="F3" s="1252">
        <v>2</v>
      </c>
      <c r="G3" s="1076" t="s">
        <v>215</v>
      </c>
      <c r="H3" s="1076" t="s">
        <v>72</v>
      </c>
      <c r="I3" s="1076" t="s">
        <v>177</v>
      </c>
      <c r="J3" s="1076" t="s">
        <v>66</v>
      </c>
      <c r="K3" s="1076" t="s">
        <v>217</v>
      </c>
      <c r="L3" s="1076" t="s">
        <v>218</v>
      </c>
      <c r="M3" s="1318">
        <v>19</v>
      </c>
      <c r="N3" s="1076" t="s">
        <v>137</v>
      </c>
      <c r="O3" s="1119">
        <v>83995000</v>
      </c>
      <c r="P3" s="1119">
        <v>83995000</v>
      </c>
      <c r="Q3" s="1119">
        <f>P3</f>
        <v>83995000</v>
      </c>
      <c r="R3" s="1171">
        <v>40211</v>
      </c>
      <c r="S3" s="757"/>
      <c r="T3" s="751"/>
      <c r="U3" s="751"/>
      <c r="V3" s="1119">
        <v>83971240</v>
      </c>
      <c r="W3" s="1119">
        <v>83971240</v>
      </c>
      <c r="X3" s="1076" t="s">
        <v>198</v>
      </c>
      <c r="Y3" s="728" t="s">
        <v>216</v>
      </c>
      <c r="Z3" s="751">
        <v>0</v>
      </c>
      <c r="AA3" s="751">
        <v>33588496</v>
      </c>
      <c r="AB3" s="751">
        <f t="shared" ref="AB3:AB4" si="0">Z3+AA3</f>
        <v>33588496</v>
      </c>
      <c r="AC3" s="740">
        <v>40476</v>
      </c>
      <c r="AD3" s="56">
        <v>33588496</v>
      </c>
      <c r="AE3" s="56"/>
      <c r="AF3" s="1315">
        <f>SUM(AD3:AD4)</f>
        <v>58779652</v>
      </c>
      <c r="AG3" s="1315">
        <f>AF3</f>
        <v>58779652</v>
      </c>
      <c r="AH3" s="1315">
        <v>0</v>
      </c>
      <c r="AI3" s="1315">
        <v>0</v>
      </c>
      <c r="AJ3" s="1119">
        <f>SUM(Z3:Z4)-SUM(AD3:AD4)</f>
        <v>25191588</v>
      </c>
      <c r="AK3" s="1119">
        <f>P3-V3</f>
        <v>23760</v>
      </c>
      <c r="AL3" s="1119">
        <f>V3-SUM(Z3:Z4)</f>
        <v>0</v>
      </c>
      <c r="AM3" s="1119">
        <f>AK3+AL3</f>
        <v>23760</v>
      </c>
      <c r="AN3" s="1203"/>
      <c r="AO3" s="1204" t="s">
        <v>327</v>
      </c>
    </row>
    <row r="4" spans="1:42" s="4" customFormat="1" ht="15.75">
      <c r="A4" s="1076"/>
      <c r="B4" s="1171"/>
      <c r="C4" s="1076"/>
      <c r="D4" s="1076"/>
      <c r="E4" s="1252"/>
      <c r="F4" s="1252"/>
      <c r="G4" s="1076"/>
      <c r="H4" s="1076"/>
      <c r="I4" s="1076"/>
      <c r="J4" s="1076"/>
      <c r="K4" s="1076"/>
      <c r="L4" s="1076"/>
      <c r="M4" s="1318"/>
      <c r="N4" s="1076"/>
      <c r="O4" s="1119"/>
      <c r="P4" s="1119"/>
      <c r="Q4" s="1119"/>
      <c r="R4" s="1171"/>
      <c r="S4" s="757"/>
      <c r="T4" s="751"/>
      <c r="U4" s="751"/>
      <c r="V4" s="1119"/>
      <c r="W4" s="1119"/>
      <c r="X4" s="1076"/>
      <c r="Y4" s="728"/>
      <c r="Z4" s="751">
        <f>V3</f>
        <v>83971240</v>
      </c>
      <c r="AA4" s="751">
        <v>-33588496</v>
      </c>
      <c r="AB4" s="751">
        <f t="shared" si="0"/>
        <v>50382744</v>
      </c>
      <c r="AC4" s="740">
        <v>40473</v>
      </c>
      <c r="AD4" s="56">
        <v>25191156</v>
      </c>
      <c r="AE4" s="56"/>
      <c r="AF4" s="1315"/>
      <c r="AG4" s="1315"/>
      <c r="AH4" s="1315"/>
      <c r="AI4" s="1315"/>
      <c r="AJ4" s="1119"/>
      <c r="AK4" s="1119"/>
      <c r="AL4" s="1119"/>
      <c r="AM4" s="1119"/>
      <c r="AN4" s="1203"/>
      <c r="AO4" s="1204"/>
    </row>
    <row r="6" spans="1:42" s="25" customFormat="1" ht="78.75" customHeight="1">
      <c r="A6" s="1076" t="s">
        <v>937</v>
      </c>
      <c r="B6" s="1171">
        <v>40254</v>
      </c>
      <c r="C6" s="1076" t="s">
        <v>35</v>
      </c>
      <c r="D6" s="1076" t="s">
        <v>938</v>
      </c>
      <c r="E6" s="1252">
        <v>900347119</v>
      </c>
      <c r="F6" s="1252">
        <v>2</v>
      </c>
      <c r="G6" s="1076" t="s">
        <v>939</v>
      </c>
      <c r="H6" s="1076" t="s">
        <v>72</v>
      </c>
      <c r="I6" s="1076" t="s">
        <v>177</v>
      </c>
      <c r="J6" s="1076" t="s">
        <v>66</v>
      </c>
      <c r="K6" s="1076" t="s">
        <v>217</v>
      </c>
      <c r="L6" s="1076" t="s">
        <v>941</v>
      </c>
      <c r="M6" s="1251">
        <v>6</v>
      </c>
      <c r="N6" s="1123" t="s">
        <v>137</v>
      </c>
      <c r="O6" s="1119">
        <v>79654300</v>
      </c>
      <c r="P6" s="1119">
        <v>79654300</v>
      </c>
      <c r="Q6" s="1119">
        <v>79654300</v>
      </c>
      <c r="R6" s="1171">
        <v>40211</v>
      </c>
      <c r="S6" s="1196">
        <v>79654300</v>
      </c>
      <c r="T6" s="1196">
        <v>79654300</v>
      </c>
      <c r="U6" s="1196">
        <f>O6-T6</f>
        <v>0</v>
      </c>
      <c r="V6" s="1119">
        <v>79641540</v>
      </c>
      <c r="W6" s="1119">
        <v>79641540</v>
      </c>
      <c r="X6" s="1076" t="s">
        <v>940</v>
      </c>
      <c r="Y6" s="728" t="s">
        <v>943</v>
      </c>
      <c r="Z6" s="751">
        <v>0</v>
      </c>
      <c r="AA6" s="751">
        <v>31856616</v>
      </c>
      <c r="AB6" s="751">
        <f t="shared" ref="AB6:AB7" si="1">Z6+AA6</f>
        <v>31856616</v>
      </c>
      <c r="AC6" s="740">
        <v>40351</v>
      </c>
      <c r="AD6" s="763">
        <v>31856616</v>
      </c>
      <c r="AE6" s="763" t="s">
        <v>137</v>
      </c>
      <c r="AF6" s="1084">
        <f>SUM(AD6:AD7)</f>
        <v>31856616</v>
      </c>
      <c r="AG6" s="1084">
        <f>AF6</f>
        <v>31856616</v>
      </c>
      <c r="AH6" s="1084">
        <f t="shared" ref="AH6" si="2">AB6-AD6</f>
        <v>0</v>
      </c>
      <c r="AI6" s="1084">
        <f>O6-AD6-AD7</f>
        <v>47797684</v>
      </c>
      <c r="AJ6" s="1119">
        <f>SUM(Z6:Z7)-SUM(AD6:AD7)</f>
        <v>47784924</v>
      </c>
      <c r="AK6" s="1119">
        <f>P6-V6</f>
        <v>12760</v>
      </c>
      <c r="AL6" s="1119">
        <f>V6-SUM(Z6:Z7)</f>
        <v>0</v>
      </c>
      <c r="AM6" s="1119">
        <f>AK6+AL6</f>
        <v>12760</v>
      </c>
      <c r="AN6" s="1204" t="s">
        <v>942</v>
      </c>
      <c r="AO6" s="1237" t="s">
        <v>945</v>
      </c>
    </row>
    <row r="7" spans="1:42" s="25" customFormat="1" ht="49.5" customHeight="1">
      <c r="A7" s="1076"/>
      <c r="B7" s="1171"/>
      <c r="C7" s="1076"/>
      <c r="D7" s="1076"/>
      <c r="E7" s="1252"/>
      <c r="F7" s="1252"/>
      <c r="G7" s="1076"/>
      <c r="H7" s="1076"/>
      <c r="I7" s="1076"/>
      <c r="J7" s="1076"/>
      <c r="K7" s="1076"/>
      <c r="L7" s="1076"/>
      <c r="M7" s="1251"/>
      <c r="N7" s="1123"/>
      <c r="O7" s="1119"/>
      <c r="P7" s="1119"/>
      <c r="Q7" s="1119"/>
      <c r="R7" s="1171"/>
      <c r="S7" s="1196"/>
      <c r="T7" s="1196"/>
      <c r="U7" s="1196"/>
      <c r="V7" s="1119"/>
      <c r="W7" s="1119"/>
      <c r="X7" s="1076"/>
      <c r="Y7" s="728" t="s">
        <v>944</v>
      </c>
      <c r="Z7" s="751">
        <v>79641540</v>
      </c>
      <c r="AA7" s="751">
        <v>-31856616</v>
      </c>
      <c r="AB7" s="751">
        <f t="shared" si="1"/>
        <v>47784924</v>
      </c>
      <c r="AC7" s="740"/>
      <c r="AD7" s="763">
        <v>0</v>
      </c>
      <c r="AE7" s="763"/>
      <c r="AF7" s="1084"/>
      <c r="AG7" s="1084"/>
      <c r="AH7" s="1084"/>
      <c r="AI7" s="1084"/>
      <c r="AJ7" s="1119"/>
      <c r="AK7" s="1119"/>
      <c r="AL7" s="1119"/>
      <c r="AM7" s="1119"/>
      <c r="AN7" s="1204"/>
      <c r="AO7" s="1204"/>
    </row>
    <row r="9" spans="1:42" s="25" customFormat="1" ht="25.5" customHeight="1">
      <c r="A9" s="1076" t="s">
        <v>624</v>
      </c>
      <c r="B9" s="1171">
        <v>40371</v>
      </c>
      <c r="C9" s="1076" t="s">
        <v>43</v>
      </c>
      <c r="D9" s="1076" t="s">
        <v>625</v>
      </c>
      <c r="E9" s="1252">
        <v>900367465</v>
      </c>
      <c r="F9" s="1252">
        <v>1</v>
      </c>
      <c r="G9" s="1076" t="s">
        <v>626</v>
      </c>
      <c r="H9" s="1076" t="s">
        <v>72</v>
      </c>
      <c r="I9" s="1076" t="s">
        <v>177</v>
      </c>
      <c r="J9" s="1076" t="s">
        <v>66</v>
      </c>
      <c r="K9" s="1076" t="s">
        <v>217</v>
      </c>
      <c r="L9" s="1076" t="s">
        <v>628</v>
      </c>
      <c r="M9" s="1251">
        <v>90</v>
      </c>
      <c r="N9" s="1123" t="s">
        <v>137</v>
      </c>
      <c r="O9" s="1119">
        <v>13456000</v>
      </c>
      <c r="P9" s="1119">
        <f>O9+O11</f>
        <v>33640000</v>
      </c>
      <c r="Q9" s="1119">
        <f>P9</f>
        <v>33640000</v>
      </c>
      <c r="R9" s="1171">
        <v>40413</v>
      </c>
      <c r="S9" s="1196">
        <f>T9+T11</f>
        <v>33640000</v>
      </c>
      <c r="T9" s="1119">
        <v>13456000</v>
      </c>
      <c r="U9" s="1119">
        <f>O9-T9</f>
        <v>0</v>
      </c>
      <c r="V9" s="1119">
        <v>13437242.4</v>
      </c>
      <c r="W9" s="1119">
        <v>33593106</v>
      </c>
      <c r="X9" s="1076" t="s">
        <v>467</v>
      </c>
      <c r="Y9" s="1123" t="s">
        <v>627</v>
      </c>
      <c r="Z9" s="751">
        <v>0</v>
      </c>
      <c r="AA9" s="751">
        <v>5363642</v>
      </c>
      <c r="AB9" s="751">
        <f t="shared" ref="AB9:AB14" si="3">Z9+AA9</f>
        <v>5363642</v>
      </c>
      <c r="AC9" s="1171">
        <v>40569</v>
      </c>
      <c r="AD9" s="763">
        <v>5363642</v>
      </c>
      <c r="AE9" s="763" t="s">
        <v>137</v>
      </c>
      <c r="AF9" s="1084">
        <f>SUM(AD9:AD14)</f>
        <v>23515174</v>
      </c>
      <c r="AG9" s="1084">
        <f>AF9</f>
        <v>23515174</v>
      </c>
      <c r="AH9" s="734">
        <f t="shared" ref="AH9:AH14" si="4">AB9-AD9</f>
        <v>0</v>
      </c>
      <c r="AI9" s="1084">
        <f>O9-AD9-AD10</f>
        <v>18758</v>
      </c>
      <c r="AJ9" s="1119">
        <f>SUM(Z9:Z14)-SUM(AD9:AD14)</f>
        <v>10077942</v>
      </c>
      <c r="AK9" s="1119">
        <f>O9-V9</f>
        <v>18757.599999999627</v>
      </c>
      <c r="AL9" s="1119">
        <f>SUM(V9:V14)-SUM(Z9:Z14)</f>
        <v>-10</v>
      </c>
      <c r="AM9" s="1119">
        <f>AK9+AL9+AK11</f>
        <v>46884.000000001863</v>
      </c>
      <c r="AN9" s="1203" t="s">
        <v>632</v>
      </c>
      <c r="AO9" s="1204" t="s">
        <v>766</v>
      </c>
    </row>
    <row r="10" spans="1:42" s="25" customFormat="1" ht="27" customHeight="1">
      <c r="A10" s="1076"/>
      <c r="B10" s="1171"/>
      <c r="C10" s="1076"/>
      <c r="D10" s="1076"/>
      <c r="E10" s="1252"/>
      <c r="F10" s="1252"/>
      <c r="G10" s="1076"/>
      <c r="H10" s="1076"/>
      <c r="I10" s="1076"/>
      <c r="J10" s="1076"/>
      <c r="K10" s="1076"/>
      <c r="L10" s="1076"/>
      <c r="M10" s="1251"/>
      <c r="N10" s="1123"/>
      <c r="O10" s="1119"/>
      <c r="P10" s="1119"/>
      <c r="Q10" s="1119"/>
      <c r="R10" s="1171"/>
      <c r="S10" s="1196"/>
      <c r="T10" s="1119"/>
      <c r="U10" s="1119"/>
      <c r="V10" s="1119"/>
      <c r="W10" s="1119"/>
      <c r="X10" s="1076"/>
      <c r="Y10" s="1123"/>
      <c r="Z10" s="751">
        <v>0</v>
      </c>
      <c r="AA10" s="751">
        <v>8073600</v>
      </c>
      <c r="AB10" s="751">
        <f t="shared" si="3"/>
        <v>8073600</v>
      </c>
      <c r="AC10" s="1171"/>
      <c r="AD10" s="763">
        <v>8073600</v>
      </c>
      <c r="AE10" s="763" t="s">
        <v>137</v>
      </c>
      <c r="AF10" s="1084"/>
      <c r="AG10" s="1084"/>
      <c r="AH10" s="734">
        <f t="shared" si="4"/>
        <v>0</v>
      </c>
      <c r="AI10" s="1084"/>
      <c r="AJ10" s="1119"/>
      <c r="AK10" s="1119"/>
      <c r="AL10" s="1119"/>
      <c r="AM10" s="1119"/>
      <c r="AN10" s="1203"/>
      <c r="AO10" s="1204"/>
    </row>
    <row r="11" spans="1:42" s="25" customFormat="1" ht="15.75">
      <c r="A11" s="1076"/>
      <c r="B11" s="1171"/>
      <c r="C11" s="1076"/>
      <c r="D11" s="1076"/>
      <c r="E11" s="1252"/>
      <c r="F11" s="1252"/>
      <c r="G11" s="1076"/>
      <c r="H11" s="1076"/>
      <c r="I11" s="1076"/>
      <c r="J11" s="1076"/>
      <c r="K11" s="1076"/>
      <c r="L11" s="1076"/>
      <c r="M11" s="1251"/>
      <c r="N11" s="1123" t="s">
        <v>7</v>
      </c>
      <c r="O11" s="1119">
        <v>20184000</v>
      </c>
      <c r="P11" s="1119"/>
      <c r="Q11" s="1119"/>
      <c r="R11" s="1171"/>
      <c r="S11" s="1196"/>
      <c r="T11" s="1119">
        <v>20184000</v>
      </c>
      <c r="U11" s="1119">
        <f>O11-T11</f>
        <v>0</v>
      </c>
      <c r="V11" s="1119">
        <v>20155863.599999998</v>
      </c>
      <c r="W11" s="1119"/>
      <c r="X11" s="1076"/>
      <c r="Y11" s="1123" t="s">
        <v>629</v>
      </c>
      <c r="Z11" s="751">
        <v>6718621.2000000002</v>
      </c>
      <c r="AA11" s="751">
        <v>-2695889.2</v>
      </c>
      <c r="AB11" s="751">
        <f t="shared" si="3"/>
        <v>4022732</v>
      </c>
      <c r="AC11" s="1171">
        <v>40666</v>
      </c>
      <c r="AD11" s="763">
        <v>4022732</v>
      </c>
      <c r="AE11" s="763" t="s">
        <v>7</v>
      </c>
      <c r="AF11" s="1084"/>
      <c r="AG11" s="1084"/>
      <c r="AH11" s="734">
        <f t="shared" si="4"/>
        <v>0</v>
      </c>
      <c r="AI11" s="1084">
        <f>O11-AD11-AD12</f>
        <v>10106068</v>
      </c>
      <c r="AJ11" s="1119"/>
      <c r="AK11" s="1119">
        <f>O11-V11</f>
        <v>28136.400000002235</v>
      </c>
      <c r="AL11" s="1119"/>
      <c r="AM11" s="1119"/>
      <c r="AN11" s="1203"/>
      <c r="AO11" s="1204"/>
    </row>
    <row r="12" spans="1:42" s="25" customFormat="1" ht="15.75">
      <c r="A12" s="1076"/>
      <c r="B12" s="1171"/>
      <c r="C12" s="1076"/>
      <c r="D12" s="1076"/>
      <c r="E12" s="1252"/>
      <c r="F12" s="1252"/>
      <c r="G12" s="1076"/>
      <c r="H12" s="1076"/>
      <c r="I12" s="1076"/>
      <c r="J12" s="1076"/>
      <c r="K12" s="1076"/>
      <c r="L12" s="1076"/>
      <c r="M12" s="1251"/>
      <c r="N12" s="1123"/>
      <c r="O12" s="1119"/>
      <c r="P12" s="1119"/>
      <c r="Q12" s="1119"/>
      <c r="R12" s="1171"/>
      <c r="S12" s="1196"/>
      <c r="T12" s="1119"/>
      <c r="U12" s="1119"/>
      <c r="V12" s="1119"/>
      <c r="W12" s="1119"/>
      <c r="X12" s="1076"/>
      <c r="Y12" s="1123"/>
      <c r="Z12" s="751">
        <v>10077931.799999999</v>
      </c>
      <c r="AA12" s="751">
        <v>-4022731.8</v>
      </c>
      <c r="AB12" s="751">
        <f t="shared" si="3"/>
        <v>6055199.9999999991</v>
      </c>
      <c r="AC12" s="1171"/>
      <c r="AD12" s="763">
        <v>6055200</v>
      </c>
      <c r="AE12" s="763" t="s">
        <v>7</v>
      </c>
      <c r="AF12" s="1084"/>
      <c r="AG12" s="1084"/>
      <c r="AH12" s="734">
        <f t="shared" si="4"/>
        <v>0</v>
      </c>
      <c r="AI12" s="1084"/>
      <c r="AJ12" s="1119"/>
      <c r="AK12" s="1119"/>
      <c r="AL12" s="1119"/>
      <c r="AM12" s="1119"/>
      <c r="AN12" s="1203"/>
      <c r="AO12" s="1204"/>
    </row>
    <row r="13" spans="1:42" s="25" customFormat="1" ht="31.5" customHeight="1">
      <c r="A13" s="1076"/>
      <c r="B13" s="1171"/>
      <c r="C13" s="1076"/>
      <c r="D13" s="1076"/>
      <c r="E13" s="1252"/>
      <c r="F13" s="1252"/>
      <c r="G13" s="1076"/>
      <c r="H13" s="1076"/>
      <c r="I13" s="1076"/>
      <c r="J13" s="1076"/>
      <c r="K13" s="1076"/>
      <c r="L13" s="1076"/>
      <c r="M13" s="1251"/>
      <c r="N13" s="1123"/>
      <c r="O13" s="1119"/>
      <c r="P13" s="1119"/>
      <c r="Q13" s="1119"/>
      <c r="R13" s="1171"/>
      <c r="S13" s="1196"/>
      <c r="T13" s="1119"/>
      <c r="U13" s="1119"/>
      <c r="V13" s="1119"/>
      <c r="W13" s="1119"/>
      <c r="X13" s="1076"/>
      <c r="Y13" s="728" t="s">
        <v>631</v>
      </c>
      <c r="Z13" s="751">
        <v>13437242.4</v>
      </c>
      <c r="AA13" s="751">
        <v>-5374896.96</v>
      </c>
      <c r="AB13" s="751">
        <f t="shared" si="3"/>
        <v>8062345.4400000004</v>
      </c>
      <c r="AC13" s="740"/>
      <c r="AD13" s="763">
        <v>0</v>
      </c>
      <c r="AE13" s="763" t="s">
        <v>7</v>
      </c>
      <c r="AF13" s="1084"/>
      <c r="AG13" s="1084"/>
      <c r="AH13" s="734">
        <f t="shared" si="4"/>
        <v>8062345.4400000004</v>
      </c>
      <c r="AI13" s="1084"/>
      <c r="AJ13" s="1119"/>
      <c r="AK13" s="1119"/>
      <c r="AL13" s="1119"/>
      <c r="AM13" s="1119"/>
      <c r="AN13" s="1203"/>
      <c r="AO13" s="1204"/>
    </row>
    <row r="14" spans="1:42" s="25" customFormat="1" ht="31.5" customHeight="1">
      <c r="A14" s="1076"/>
      <c r="B14" s="1171"/>
      <c r="C14" s="1076"/>
      <c r="D14" s="1076"/>
      <c r="E14" s="1252"/>
      <c r="F14" s="1252"/>
      <c r="G14" s="1076"/>
      <c r="H14" s="1076"/>
      <c r="I14" s="1076"/>
      <c r="J14" s="1076"/>
      <c r="K14" s="1076"/>
      <c r="L14" s="1076"/>
      <c r="M14" s="1251"/>
      <c r="N14" s="1123"/>
      <c r="O14" s="1119"/>
      <c r="P14" s="1119"/>
      <c r="Q14" s="1119"/>
      <c r="R14" s="1171"/>
      <c r="S14" s="1196"/>
      <c r="T14" s="1119"/>
      <c r="U14" s="1119"/>
      <c r="V14" s="1119"/>
      <c r="W14" s="1119"/>
      <c r="X14" s="1076"/>
      <c r="Y14" s="728" t="s">
        <v>630</v>
      </c>
      <c r="Z14" s="751">
        <v>3359320.6</v>
      </c>
      <c r="AA14" s="751">
        <v>-1343724.24</v>
      </c>
      <c r="AB14" s="751">
        <f t="shared" si="3"/>
        <v>2015596.36</v>
      </c>
      <c r="AC14" s="740"/>
      <c r="AD14" s="763">
        <v>0</v>
      </c>
      <c r="AE14" s="763" t="s">
        <v>7</v>
      </c>
      <c r="AF14" s="1084"/>
      <c r="AG14" s="1084"/>
      <c r="AH14" s="734">
        <f t="shared" si="4"/>
        <v>2015596.36</v>
      </c>
      <c r="AI14" s="1084"/>
      <c r="AJ14" s="1119"/>
      <c r="AK14" s="1119"/>
      <c r="AL14" s="1119"/>
      <c r="AM14" s="1119"/>
      <c r="AN14" s="1203"/>
      <c r="AO14" s="1204"/>
    </row>
    <row r="16" spans="1:42" s="26" customFormat="1" ht="26.25" customHeight="1">
      <c r="A16" s="1260" t="s">
        <v>654</v>
      </c>
      <c r="B16" s="1171">
        <v>40378</v>
      </c>
      <c r="C16" s="1260" t="s">
        <v>18</v>
      </c>
      <c r="D16" s="1260" t="s">
        <v>661</v>
      </c>
      <c r="E16" s="1252">
        <v>900368219</v>
      </c>
      <c r="F16" s="1252">
        <v>0</v>
      </c>
      <c r="G16" s="1260" t="s">
        <v>662</v>
      </c>
      <c r="H16" s="1260" t="s">
        <v>72</v>
      </c>
      <c r="I16" s="1260" t="s">
        <v>177</v>
      </c>
      <c r="J16" s="1260" t="s">
        <v>66</v>
      </c>
      <c r="K16" s="1260" t="s">
        <v>217</v>
      </c>
      <c r="L16" s="1260" t="s">
        <v>663</v>
      </c>
      <c r="M16" s="1251">
        <v>93</v>
      </c>
      <c r="N16" s="728" t="s">
        <v>137</v>
      </c>
      <c r="O16" s="751">
        <v>17400000</v>
      </c>
      <c r="P16" s="1119">
        <f>O16+O17</f>
        <v>43500000</v>
      </c>
      <c r="Q16" s="1276">
        <f>P16+P19</f>
        <v>52256550</v>
      </c>
      <c r="R16" s="1171">
        <v>40413</v>
      </c>
      <c r="S16" s="1119">
        <f>T16+T17</f>
        <v>43500000</v>
      </c>
      <c r="T16" s="751">
        <v>17400000</v>
      </c>
      <c r="U16" s="751">
        <f>O16-T16</f>
        <v>0</v>
      </c>
      <c r="V16" s="751">
        <v>17386590.400000002</v>
      </c>
      <c r="W16" s="1284">
        <f>V16+V17+V19</f>
        <v>52223026</v>
      </c>
      <c r="X16" s="1203" t="s">
        <v>467</v>
      </c>
      <c r="Y16" s="1123" t="s">
        <v>664</v>
      </c>
      <c r="Z16" s="751">
        <v>15647931</v>
      </c>
      <c r="AA16" s="751">
        <v>0</v>
      </c>
      <c r="AB16" s="751">
        <f t="shared" ref="AB16:AB20" si="5">Z16+AA16</f>
        <v>15647931</v>
      </c>
      <c r="AC16" s="1171">
        <v>41017</v>
      </c>
      <c r="AD16" s="765">
        <v>15647931</v>
      </c>
      <c r="AE16" s="751" t="s">
        <v>7</v>
      </c>
      <c r="AF16" s="1119">
        <f>SUM(AD16:AD18)</f>
        <v>39119828</v>
      </c>
      <c r="AG16" s="1119">
        <f>AF16+AF19</f>
        <v>47000723</v>
      </c>
      <c r="AH16" s="751">
        <f>Z16-AD16</f>
        <v>0</v>
      </c>
      <c r="AI16" s="751">
        <f>O16-AD17</f>
        <v>-6071897</v>
      </c>
      <c r="AJ16" s="1119">
        <f>SUM(Z16:Z18)-SUM(AD16:AD18)</f>
        <v>4346648</v>
      </c>
      <c r="AK16" s="751">
        <f>O16-V16</f>
        <v>13409.599999997765</v>
      </c>
      <c r="AL16" s="1119">
        <f>SUM(V16:V18)-SUM(Z16:Z18)</f>
        <v>0</v>
      </c>
      <c r="AM16" s="1119">
        <f>AK16+AK17+AL16</f>
        <v>33524</v>
      </c>
      <c r="AN16" s="1203" t="s">
        <v>512</v>
      </c>
      <c r="AO16" s="1203" t="s">
        <v>666</v>
      </c>
    </row>
    <row r="17" spans="1:42" s="26" customFormat="1" ht="36" customHeight="1">
      <c r="A17" s="1260"/>
      <c r="B17" s="1171"/>
      <c r="C17" s="1260"/>
      <c r="D17" s="1260"/>
      <c r="E17" s="1252"/>
      <c r="F17" s="1252"/>
      <c r="G17" s="1260"/>
      <c r="H17" s="1260"/>
      <c r="I17" s="1260"/>
      <c r="J17" s="1260"/>
      <c r="K17" s="1260"/>
      <c r="L17" s="1260"/>
      <c r="M17" s="1251"/>
      <c r="N17" s="1123" t="s">
        <v>7</v>
      </c>
      <c r="O17" s="1119">
        <v>26100000</v>
      </c>
      <c r="P17" s="1119"/>
      <c r="Q17" s="1276"/>
      <c r="R17" s="1171"/>
      <c r="S17" s="1119"/>
      <c r="T17" s="1119">
        <v>26100000</v>
      </c>
      <c r="U17" s="1119">
        <f>O17-T17</f>
        <v>0</v>
      </c>
      <c r="V17" s="1119">
        <v>26079885.599999998</v>
      </c>
      <c r="W17" s="1284"/>
      <c r="X17" s="1203"/>
      <c r="Y17" s="1123"/>
      <c r="Z17" s="751">
        <v>23471897</v>
      </c>
      <c r="AA17" s="751">
        <v>0</v>
      </c>
      <c r="AB17" s="751">
        <f t="shared" si="5"/>
        <v>23471897</v>
      </c>
      <c r="AC17" s="1171"/>
      <c r="AD17" s="765">
        <v>23471897</v>
      </c>
      <c r="AE17" s="751" t="s">
        <v>137</v>
      </c>
      <c r="AF17" s="1119"/>
      <c r="AG17" s="1119"/>
      <c r="AH17" s="751">
        <f>Z17-AD17</f>
        <v>0</v>
      </c>
      <c r="AI17" s="1119">
        <f>O17-AD16-AD18</f>
        <v>10452069</v>
      </c>
      <c r="AJ17" s="1119"/>
      <c r="AK17" s="1119">
        <f>O17-V17</f>
        <v>20114.400000002235</v>
      </c>
      <c r="AL17" s="1119"/>
      <c r="AM17" s="1119"/>
      <c r="AN17" s="1203"/>
      <c r="AO17" s="1203"/>
    </row>
    <row r="18" spans="1:42" s="26" customFormat="1" ht="36" customHeight="1">
      <c r="A18" s="1260"/>
      <c r="B18" s="1171"/>
      <c r="C18" s="1260"/>
      <c r="D18" s="1260"/>
      <c r="E18" s="1252"/>
      <c r="F18" s="1252"/>
      <c r="G18" s="1260"/>
      <c r="H18" s="1260"/>
      <c r="I18" s="1260"/>
      <c r="J18" s="1260"/>
      <c r="K18" s="1260"/>
      <c r="L18" s="1260"/>
      <c r="M18" s="1251"/>
      <c r="N18" s="1123"/>
      <c r="O18" s="1119"/>
      <c r="P18" s="1119"/>
      <c r="Q18" s="1276"/>
      <c r="R18" s="1171"/>
      <c r="S18" s="1119"/>
      <c r="T18" s="1119"/>
      <c r="U18" s="1119"/>
      <c r="V18" s="1119"/>
      <c r="W18" s="1284"/>
      <c r="X18" s="1203"/>
      <c r="Y18" s="728" t="s">
        <v>767</v>
      </c>
      <c r="Z18" s="751">
        <v>4346648</v>
      </c>
      <c r="AA18" s="751">
        <v>0</v>
      </c>
      <c r="AB18" s="751">
        <f t="shared" si="5"/>
        <v>4346648</v>
      </c>
      <c r="AC18" s="740"/>
      <c r="AD18" s="765">
        <v>0</v>
      </c>
      <c r="AE18" s="751" t="s">
        <v>7</v>
      </c>
      <c r="AF18" s="1119"/>
      <c r="AG18" s="1119"/>
      <c r="AH18" s="751">
        <f>Z18-AD18</f>
        <v>4346648</v>
      </c>
      <c r="AI18" s="1119"/>
      <c r="AJ18" s="1119"/>
      <c r="AK18" s="1119"/>
      <c r="AL18" s="1119"/>
      <c r="AM18" s="1119"/>
      <c r="AN18" s="1203"/>
      <c r="AO18" s="1203"/>
    </row>
    <row r="19" spans="1:42" s="26" customFormat="1" ht="78.75" customHeight="1">
      <c r="A19" s="1260"/>
      <c r="B19" s="1171"/>
      <c r="C19" s="1260"/>
      <c r="D19" s="1260"/>
      <c r="E19" s="1252"/>
      <c r="F19" s="1252"/>
      <c r="G19" s="1260"/>
      <c r="H19" s="1260"/>
      <c r="I19" s="1260"/>
      <c r="J19" s="1260" t="s">
        <v>67</v>
      </c>
      <c r="K19" s="1260"/>
      <c r="L19" s="1260"/>
      <c r="M19" s="1268">
        <v>174</v>
      </c>
      <c r="N19" s="1123" t="s">
        <v>7</v>
      </c>
      <c r="O19" s="1119">
        <v>8756550</v>
      </c>
      <c r="P19" s="1119">
        <f>O19</f>
        <v>8756550</v>
      </c>
      <c r="Q19" s="1276"/>
      <c r="R19" s="1171"/>
      <c r="S19" s="1119">
        <f>T19</f>
        <v>8756550</v>
      </c>
      <c r="T19" s="1119">
        <v>8756550</v>
      </c>
      <c r="U19" s="1119">
        <f>O19-T19</f>
        <v>0</v>
      </c>
      <c r="V19" s="1119">
        <v>8756550</v>
      </c>
      <c r="W19" s="1284"/>
      <c r="X19" s="1203"/>
      <c r="Y19" s="728" t="s">
        <v>665</v>
      </c>
      <c r="Z19" s="751">
        <v>7880895</v>
      </c>
      <c r="AA19" s="751">
        <v>0</v>
      </c>
      <c r="AB19" s="751">
        <f t="shared" si="5"/>
        <v>7880895</v>
      </c>
      <c r="AC19" s="740">
        <v>41017</v>
      </c>
      <c r="AD19" s="765">
        <v>7880895</v>
      </c>
      <c r="AE19" s="751" t="s">
        <v>7</v>
      </c>
      <c r="AF19" s="1119">
        <f>SUM(AD19:AD20)</f>
        <v>7880895</v>
      </c>
      <c r="AG19" s="1119"/>
      <c r="AH19" s="751">
        <f>Z19-AD19</f>
        <v>0</v>
      </c>
      <c r="AI19" s="1119">
        <f>O19-AD19-AD20</f>
        <v>875655</v>
      </c>
      <c r="AJ19" s="1119">
        <f>SUM(Z19:Z20)-SUM(AD19:AD20)</f>
        <v>875655</v>
      </c>
      <c r="AK19" s="1119">
        <f>P19-V19</f>
        <v>0</v>
      </c>
      <c r="AL19" s="1119">
        <f>V19-SUM(Z19:Z20)</f>
        <v>0</v>
      </c>
      <c r="AM19" s="1119">
        <f>AK19+AL19</f>
        <v>0</v>
      </c>
      <c r="AN19" s="1203"/>
      <c r="AO19" s="1203"/>
    </row>
    <row r="20" spans="1:42" s="26" customFormat="1" ht="15.75" customHeight="1">
      <c r="A20" s="1260"/>
      <c r="B20" s="1171"/>
      <c r="C20" s="1260"/>
      <c r="D20" s="1260"/>
      <c r="E20" s="1252"/>
      <c r="F20" s="1252"/>
      <c r="G20" s="1260"/>
      <c r="H20" s="1260"/>
      <c r="I20" s="1260"/>
      <c r="J20" s="1260"/>
      <c r="K20" s="1260"/>
      <c r="L20" s="1260"/>
      <c r="M20" s="1268"/>
      <c r="N20" s="1123"/>
      <c r="O20" s="1119"/>
      <c r="P20" s="1119"/>
      <c r="Q20" s="1276"/>
      <c r="R20" s="1171"/>
      <c r="S20" s="1119"/>
      <c r="T20" s="1119"/>
      <c r="U20" s="1119"/>
      <c r="V20" s="1119"/>
      <c r="W20" s="1284"/>
      <c r="X20" s="1203"/>
      <c r="Y20" s="728" t="s">
        <v>767</v>
      </c>
      <c r="Z20" s="751">
        <v>875655</v>
      </c>
      <c r="AA20" s="751">
        <v>0</v>
      </c>
      <c r="AB20" s="751">
        <f t="shared" si="5"/>
        <v>875655</v>
      </c>
      <c r="AC20" s="740"/>
      <c r="AD20" s="765">
        <v>0</v>
      </c>
      <c r="AE20" s="751" t="s">
        <v>7</v>
      </c>
      <c r="AF20" s="1119"/>
      <c r="AG20" s="1119"/>
      <c r="AH20" s="751">
        <f>Z20-AD20</f>
        <v>875655</v>
      </c>
      <c r="AI20" s="1119"/>
      <c r="AJ20" s="1119"/>
      <c r="AK20" s="1119"/>
      <c r="AL20" s="1119"/>
      <c r="AM20" s="1119"/>
      <c r="AN20" s="1203"/>
      <c r="AO20" s="1203"/>
    </row>
    <row r="22" spans="1:42" s="4" customFormat="1" ht="23.25" customHeight="1">
      <c r="A22" s="1011" t="s">
        <v>541</v>
      </c>
      <c r="B22" s="1068">
        <v>40372</v>
      </c>
      <c r="C22" s="1011" t="s">
        <v>29</v>
      </c>
      <c r="D22" s="1011" t="s">
        <v>542</v>
      </c>
      <c r="E22" s="1097">
        <v>900224582</v>
      </c>
      <c r="F22" s="1097">
        <v>1</v>
      </c>
      <c r="G22" s="1011" t="s">
        <v>543</v>
      </c>
      <c r="H22" s="1011" t="s">
        <v>72</v>
      </c>
      <c r="I22" s="1011" t="s">
        <v>177</v>
      </c>
      <c r="J22" s="1011" t="s">
        <v>66</v>
      </c>
      <c r="K22" s="1011" t="s">
        <v>217</v>
      </c>
      <c r="L22" s="1011" t="s">
        <v>546</v>
      </c>
      <c r="M22" s="1220">
        <v>103</v>
      </c>
      <c r="N22" s="1282" t="s">
        <v>137</v>
      </c>
      <c r="O22" s="1062">
        <v>30450000</v>
      </c>
      <c r="P22" s="1062">
        <f>O22+O25</f>
        <v>76125000</v>
      </c>
      <c r="Q22" s="1062">
        <f>P22</f>
        <v>76125000</v>
      </c>
      <c r="R22" s="1068">
        <v>40413</v>
      </c>
      <c r="S22" s="1092">
        <f>T22+T25</f>
        <v>76125000</v>
      </c>
      <c r="T22" s="1062">
        <v>30450000</v>
      </c>
      <c r="U22" s="1062">
        <f>O22-T22</f>
        <v>0</v>
      </c>
      <c r="V22" s="1062">
        <v>30450000</v>
      </c>
      <c r="W22" s="1062">
        <v>76125000</v>
      </c>
      <c r="X22" s="1011" t="s">
        <v>545</v>
      </c>
      <c r="Y22" s="1065" t="s">
        <v>544</v>
      </c>
      <c r="Z22" s="751">
        <v>0</v>
      </c>
      <c r="AA22" s="751">
        <v>12180000</v>
      </c>
      <c r="AB22" s="751">
        <f t="shared" ref="AB22:AB27" si="6">Z22+AA22</f>
        <v>12180000</v>
      </c>
      <c r="AC22" s="1068">
        <v>40449</v>
      </c>
      <c r="AD22" s="763">
        <v>12180000</v>
      </c>
      <c r="AE22" s="763" t="s">
        <v>137</v>
      </c>
      <c r="AF22" s="1043">
        <f>SUM(AD22:AD27)</f>
        <v>71557500</v>
      </c>
      <c r="AG22" s="1043">
        <f>AF22</f>
        <v>71557500</v>
      </c>
      <c r="AH22" s="734">
        <f t="shared" ref="AH22:AH27" si="7">AB22-AD22</f>
        <v>0</v>
      </c>
      <c r="AI22" s="1043">
        <f>O22-AD22-AD24-AD25-AD26</f>
        <v>-22837500</v>
      </c>
      <c r="AJ22" s="1062">
        <f>SUM(Z22:Z27)-SUM(AD22:AD27)</f>
        <v>4567500</v>
      </c>
      <c r="AK22" s="1062">
        <f>P22-V22-V25</f>
        <v>0</v>
      </c>
      <c r="AL22" s="1062">
        <f>SUM(V22:V27)-SUM(Z22:Z27)</f>
        <v>0</v>
      </c>
      <c r="AM22" s="1062">
        <f>AK22+AL22</f>
        <v>0</v>
      </c>
      <c r="AN22" s="1108" t="s">
        <v>512</v>
      </c>
      <c r="AO22" s="1103" t="s">
        <v>800</v>
      </c>
    </row>
    <row r="23" spans="1:42" s="4" customFormat="1" ht="22.5" customHeight="1">
      <c r="A23" s="1033"/>
      <c r="B23" s="1069"/>
      <c r="C23" s="1033"/>
      <c r="D23" s="1033"/>
      <c r="E23" s="1098"/>
      <c r="F23" s="1098"/>
      <c r="G23" s="1033"/>
      <c r="H23" s="1033"/>
      <c r="I23" s="1033"/>
      <c r="J23" s="1033"/>
      <c r="K23" s="1033"/>
      <c r="L23" s="1033"/>
      <c r="M23" s="1221"/>
      <c r="N23" s="1282"/>
      <c r="O23" s="1063"/>
      <c r="P23" s="1063"/>
      <c r="Q23" s="1063"/>
      <c r="R23" s="1069"/>
      <c r="S23" s="1093"/>
      <c r="T23" s="1063"/>
      <c r="U23" s="1063"/>
      <c r="V23" s="1063"/>
      <c r="W23" s="1063"/>
      <c r="X23" s="1033"/>
      <c r="Y23" s="1067"/>
      <c r="Z23" s="751">
        <v>0</v>
      </c>
      <c r="AA23" s="751">
        <v>18270000</v>
      </c>
      <c r="AB23" s="751">
        <f t="shared" si="6"/>
        <v>18270000</v>
      </c>
      <c r="AC23" s="1070"/>
      <c r="AD23" s="763">
        <v>18270000</v>
      </c>
      <c r="AE23" s="763" t="s">
        <v>7</v>
      </c>
      <c r="AF23" s="1044"/>
      <c r="AG23" s="1044"/>
      <c r="AH23" s="734">
        <f t="shared" si="7"/>
        <v>0</v>
      </c>
      <c r="AI23" s="1044"/>
      <c r="AJ23" s="1063"/>
      <c r="AK23" s="1063"/>
      <c r="AL23" s="1063"/>
      <c r="AM23" s="1063"/>
      <c r="AN23" s="1109"/>
      <c r="AO23" s="1104"/>
    </row>
    <row r="24" spans="1:42" s="4" customFormat="1" ht="31.5">
      <c r="A24" s="1033"/>
      <c r="B24" s="1069"/>
      <c r="C24" s="1033"/>
      <c r="D24" s="1033"/>
      <c r="E24" s="1098"/>
      <c r="F24" s="1098"/>
      <c r="G24" s="1033"/>
      <c r="H24" s="1033"/>
      <c r="I24" s="1033"/>
      <c r="J24" s="1033"/>
      <c r="K24" s="1033"/>
      <c r="L24" s="1033"/>
      <c r="M24" s="1221"/>
      <c r="N24" s="1282"/>
      <c r="O24" s="1064"/>
      <c r="P24" s="1063"/>
      <c r="Q24" s="1063"/>
      <c r="R24" s="1069"/>
      <c r="S24" s="1093"/>
      <c r="T24" s="1064"/>
      <c r="U24" s="1064"/>
      <c r="V24" s="1064"/>
      <c r="W24" s="1063"/>
      <c r="X24" s="1033"/>
      <c r="Y24" s="1065" t="s">
        <v>547</v>
      </c>
      <c r="Z24" s="751">
        <v>27405000</v>
      </c>
      <c r="AA24" s="751">
        <v>-10962000</v>
      </c>
      <c r="AB24" s="751">
        <f t="shared" si="6"/>
        <v>16443000</v>
      </c>
      <c r="AC24" s="1068">
        <v>40912</v>
      </c>
      <c r="AD24" s="763">
        <v>16443000</v>
      </c>
      <c r="AE24" s="763" t="s">
        <v>137</v>
      </c>
      <c r="AF24" s="1044"/>
      <c r="AG24" s="1044"/>
      <c r="AH24" s="734">
        <f t="shared" si="7"/>
        <v>0</v>
      </c>
      <c r="AI24" s="1045"/>
      <c r="AJ24" s="1063"/>
      <c r="AK24" s="1063"/>
      <c r="AL24" s="1063"/>
      <c r="AM24" s="1063"/>
      <c r="AN24" s="1109"/>
      <c r="AO24" s="1104"/>
    </row>
    <row r="25" spans="1:42" s="4" customFormat="1" ht="31.5">
      <c r="A25" s="1033"/>
      <c r="B25" s="1069"/>
      <c r="C25" s="1033"/>
      <c r="D25" s="1033"/>
      <c r="E25" s="1098"/>
      <c r="F25" s="1098"/>
      <c r="G25" s="1033"/>
      <c r="H25" s="1033"/>
      <c r="I25" s="1033"/>
      <c r="J25" s="1033"/>
      <c r="K25" s="1033"/>
      <c r="L25" s="1033"/>
      <c r="M25" s="1221"/>
      <c r="N25" s="1065" t="s">
        <v>7</v>
      </c>
      <c r="O25" s="1062">
        <v>45675000</v>
      </c>
      <c r="P25" s="1063"/>
      <c r="Q25" s="1063"/>
      <c r="R25" s="1069"/>
      <c r="S25" s="1093"/>
      <c r="T25" s="1062">
        <v>45675000</v>
      </c>
      <c r="U25" s="1062">
        <f>O25-T25</f>
        <v>0</v>
      </c>
      <c r="V25" s="1062">
        <v>45675000</v>
      </c>
      <c r="W25" s="1063"/>
      <c r="X25" s="1033"/>
      <c r="Y25" s="1067"/>
      <c r="Z25" s="751">
        <v>41107500</v>
      </c>
      <c r="AA25" s="751">
        <v>-16443000</v>
      </c>
      <c r="AB25" s="751">
        <f t="shared" si="6"/>
        <v>24664500</v>
      </c>
      <c r="AC25" s="1070"/>
      <c r="AD25" s="763">
        <v>24664500</v>
      </c>
      <c r="AE25" s="763" t="s">
        <v>137</v>
      </c>
      <c r="AF25" s="1044"/>
      <c r="AG25" s="1044"/>
      <c r="AH25" s="734">
        <f t="shared" si="7"/>
        <v>0</v>
      </c>
      <c r="AI25" s="1043">
        <f>O25-AD23-AD27</f>
        <v>27405000</v>
      </c>
      <c r="AJ25" s="1063"/>
      <c r="AK25" s="1063"/>
      <c r="AL25" s="1063"/>
      <c r="AM25" s="1063"/>
      <c r="AN25" s="1109"/>
      <c r="AO25" s="1104"/>
    </row>
    <row r="26" spans="1:42" s="4" customFormat="1" ht="31.5">
      <c r="A26" s="1033"/>
      <c r="B26" s="1069"/>
      <c r="C26" s="1033"/>
      <c r="D26" s="1033"/>
      <c r="E26" s="1098"/>
      <c r="F26" s="1098"/>
      <c r="G26" s="1033"/>
      <c r="H26" s="1033"/>
      <c r="I26" s="1033"/>
      <c r="J26" s="1033"/>
      <c r="K26" s="1033"/>
      <c r="L26" s="1033"/>
      <c r="M26" s="1221"/>
      <c r="N26" s="1066"/>
      <c r="O26" s="1063"/>
      <c r="P26" s="1063"/>
      <c r="Q26" s="1063"/>
      <c r="R26" s="1069"/>
      <c r="S26" s="1093"/>
      <c r="T26" s="1063"/>
      <c r="U26" s="1063"/>
      <c r="V26" s="1063"/>
      <c r="W26" s="1063"/>
      <c r="X26" s="1033"/>
      <c r="Y26" s="1065" t="s">
        <v>548</v>
      </c>
      <c r="Z26" s="722">
        <v>3045000</v>
      </c>
      <c r="AA26" s="722">
        <v>-1218000</v>
      </c>
      <c r="AB26" s="722">
        <f t="shared" si="6"/>
        <v>1827000</v>
      </c>
      <c r="AC26" s="735"/>
      <c r="AD26" s="727">
        <v>0</v>
      </c>
      <c r="AE26" s="727" t="s">
        <v>137</v>
      </c>
      <c r="AF26" s="1044"/>
      <c r="AG26" s="1044"/>
      <c r="AH26" s="716">
        <f t="shared" si="7"/>
        <v>1827000</v>
      </c>
      <c r="AI26" s="1044"/>
      <c r="AJ26" s="1063"/>
      <c r="AK26" s="1063"/>
      <c r="AL26" s="1063"/>
      <c r="AM26" s="1063"/>
      <c r="AN26" s="1109"/>
      <c r="AO26" s="1104"/>
    </row>
    <row r="27" spans="1:42" s="4" customFormat="1" ht="15.75">
      <c r="A27" s="1012"/>
      <c r="B27" s="1070"/>
      <c r="C27" s="1012"/>
      <c r="D27" s="1012"/>
      <c r="E27" s="1099"/>
      <c r="F27" s="1099"/>
      <c r="G27" s="1012"/>
      <c r="H27" s="1012"/>
      <c r="I27" s="1012"/>
      <c r="J27" s="1012"/>
      <c r="K27" s="1012"/>
      <c r="L27" s="1012"/>
      <c r="M27" s="1222"/>
      <c r="N27" s="1067"/>
      <c r="O27" s="1064"/>
      <c r="P27" s="1064"/>
      <c r="Q27" s="1064"/>
      <c r="R27" s="1070"/>
      <c r="S27" s="1094"/>
      <c r="T27" s="1064"/>
      <c r="U27" s="1064"/>
      <c r="V27" s="1064"/>
      <c r="W27" s="1064"/>
      <c r="X27" s="1012"/>
      <c r="Y27" s="1067"/>
      <c r="Z27" s="722">
        <v>4567500</v>
      </c>
      <c r="AA27" s="722">
        <v>-1827000</v>
      </c>
      <c r="AB27" s="722">
        <f t="shared" si="6"/>
        <v>2740500</v>
      </c>
      <c r="AC27" s="735"/>
      <c r="AD27" s="727">
        <v>0</v>
      </c>
      <c r="AE27" s="727" t="s">
        <v>7</v>
      </c>
      <c r="AF27" s="1045"/>
      <c r="AG27" s="1045"/>
      <c r="AH27" s="716">
        <f t="shared" si="7"/>
        <v>2740500</v>
      </c>
      <c r="AI27" s="1045"/>
      <c r="AJ27" s="1064"/>
      <c r="AK27" s="1064"/>
      <c r="AL27" s="1064"/>
      <c r="AM27" s="1064"/>
      <c r="AN27" s="1110"/>
      <c r="AO27" s="1105"/>
    </row>
    <row r="29" spans="1:42" s="28" customFormat="1" ht="25.5" customHeight="1">
      <c r="A29" s="1076" t="s">
        <v>592</v>
      </c>
      <c r="B29" s="1171">
        <v>40372</v>
      </c>
      <c r="C29" s="1076" t="s">
        <v>41</v>
      </c>
      <c r="D29" s="1076" t="s">
        <v>593</v>
      </c>
      <c r="E29" s="1252">
        <v>900367513</v>
      </c>
      <c r="F29" s="1252">
        <v>7</v>
      </c>
      <c r="G29" s="1076" t="s">
        <v>594</v>
      </c>
      <c r="H29" s="1076" t="s">
        <v>72</v>
      </c>
      <c r="I29" s="1076" t="s">
        <v>177</v>
      </c>
      <c r="J29" s="1076" t="s">
        <v>66</v>
      </c>
      <c r="K29" s="1076" t="s">
        <v>217</v>
      </c>
      <c r="L29" s="1076" t="s">
        <v>595</v>
      </c>
      <c r="M29" s="1268">
        <v>106</v>
      </c>
      <c r="N29" s="1123" t="s">
        <v>137</v>
      </c>
      <c r="O29" s="1119">
        <v>23084000</v>
      </c>
      <c r="P29" s="1119">
        <v>57710000</v>
      </c>
      <c r="Q29" s="1119">
        <v>81765500</v>
      </c>
      <c r="R29" s="1171">
        <v>40413</v>
      </c>
      <c r="S29" s="1119">
        <f>T29+T32</f>
        <v>57710000</v>
      </c>
      <c r="T29" s="1119">
        <v>23084000</v>
      </c>
      <c r="U29" s="1119">
        <f>O29-T29</f>
        <v>0</v>
      </c>
      <c r="V29" s="1119">
        <v>23076620.400000002</v>
      </c>
      <c r="W29" s="1119">
        <v>81747051</v>
      </c>
      <c r="X29" s="1203" t="s">
        <v>467</v>
      </c>
      <c r="Y29" s="1123" t="s">
        <v>596</v>
      </c>
      <c r="Z29" s="751">
        <v>0</v>
      </c>
      <c r="AA29" s="751">
        <v>9230648.160000002</v>
      </c>
      <c r="AB29" s="751">
        <f t="shared" ref="AB29:AB35" si="8">Z29+AA29</f>
        <v>9230648.160000002</v>
      </c>
      <c r="AC29" s="1171">
        <v>40448</v>
      </c>
      <c r="AD29" s="765">
        <v>9230648</v>
      </c>
      <c r="AE29" s="751" t="s">
        <v>137</v>
      </c>
      <c r="AF29" s="1119">
        <f>SUM(AD29:AD32)</f>
        <v>54230058</v>
      </c>
      <c r="AG29" s="1119">
        <f>AF29+AF34</f>
        <v>75880008</v>
      </c>
      <c r="AH29" s="751">
        <f t="shared" ref="AH29:AH35" si="9">AB29-AD29</f>
        <v>0.16000000201165676</v>
      </c>
      <c r="AI29" s="1119">
        <f>O29-AD29-AD31-AD32</f>
        <v>-17300086</v>
      </c>
      <c r="AJ29" s="1119">
        <f>SUM(Z29:Z33)-SUM(AD29:AD33)</f>
        <v>3461493</v>
      </c>
      <c r="AK29" s="1119">
        <f>O29-V29</f>
        <v>7379.5999999977648</v>
      </c>
      <c r="AL29" s="1119">
        <f>SUM(V29:V33)-SUM(Z29:Z33)</f>
        <v>0</v>
      </c>
      <c r="AM29" s="1119">
        <f>AK29+AK32+AL29</f>
        <v>18448.999999996275</v>
      </c>
      <c r="AN29" s="1260" t="s">
        <v>591</v>
      </c>
      <c r="AO29" s="1260" t="s">
        <v>771</v>
      </c>
      <c r="AP29" s="1365" t="s">
        <v>2502</v>
      </c>
    </row>
    <row r="30" spans="1:42" s="28" customFormat="1" ht="25.5" customHeight="1">
      <c r="A30" s="1076"/>
      <c r="B30" s="1171"/>
      <c r="C30" s="1076"/>
      <c r="D30" s="1076"/>
      <c r="E30" s="1252"/>
      <c r="F30" s="1252"/>
      <c r="G30" s="1076"/>
      <c r="H30" s="1076"/>
      <c r="I30" s="1076"/>
      <c r="J30" s="1076"/>
      <c r="K30" s="1076"/>
      <c r="L30" s="1076"/>
      <c r="M30" s="1268"/>
      <c r="N30" s="1123"/>
      <c r="O30" s="1119"/>
      <c r="P30" s="1119"/>
      <c r="Q30" s="1119"/>
      <c r="R30" s="1171"/>
      <c r="S30" s="1119"/>
      <c r="T30" s="1119"/>
      <c r="U30" s="1119"/>
      <c r="V30" s="1119"/>
      <c r="W30" s="1119"/>
      <c r="X30" s="1203"/>
      <c r="Y30" s="1123"/>
      <c r="Z30" s="751">
        <v>0</v>
      </c>
      <c r="AA30" s="751">
        <v>13845972.240000002</v>
      </c>
      <c r="AB30" s="751">
        <f t="shared" si="8"/>
        <v>13845972.240000002</v>
      </c>
      <c r="AC30" s="1171"/>
      <c r="AD30" s="765">
        <v>13845972</v>
      </c>
      <c r="AE30" s="751" t="s">
        <v>7</v>
      </c>
      <c r="AF30" s="1119"/>
      <c r="AG30" s="1119"/>
      <c r="AH30" s="751">
        <f t="shared" si="9"/>
        <v>0.24000000208616257</v>
      </c>
      <c r="AI30" s="1119"/>
      <c r="AJ30" s="1119"/>
      <c r="AK30" s="1119"/>
      <c r="AL30" s="1119"/>
      <c r="AM30" s="1119"/>
      <c r="AN30" s="1260"/>
      <c r="AO30" s="1260"/>
      <c r="AP30" s="1365"/>
    </row>
    <row r="31" spans="1:42" s="28" customFormat="1" ht="31.5">
      <c r="A31" s="1076"/>
      <c r="B31" s="1171"/>
      <c r="C31" s="1076"/>
      <c r="D31" s="1076"/>
      <c r="E31" s="1252"/>
      <c r="F31" s="1252"/>
      <c r="G31" s="1076"/>
      <c r="H31" s="1076"/>
      <c r="I31" s="1076"/>
      <c r="J31" s="1076"/>
      <c r="K31" s="1076"/>
      <c r="L31" s="1076"/>
      <c r="M31" s="1268"/>
      <c r="N31" s="1123"/>
      <c r="O31" s="1119"/>
      <c r="P31" s="1119"/>
      <c r="Q31" s="1119"/>
      <c r="R31" s="1171"/>
      <c r="S31" s="1119"/>
      <c r="T31" s="1119"/>
      <c r="U31" s="1119"/>
      <c r="V31" s="1119"/>
      <c r="W31" s="1119"/>
      <c r="X31" s="1203"/>
      <c r="Y31" s="1123" t="s">
        <v>770</v>
      </c>
      <c r="Z31" s="751">
        <f>51922395.9*40%</f>
        <v>20768958.359999999</v>
      </c>
      <c r="AA31" s="751">
        <v>-9230648</v>
      </c>
      <c r="AB31" s="751">
        <f t="shared" si="8"/>
        <v>11538310.359999999</v>
      </c>
      <c r="AC31" s="1171">
        <v>41136</v>
      </c>
      <c r="AD31" s="765">
        <v>12461375</v>
      </c>
      <c r="AE31" s="751" t="s">
        <v>137</v>
      </c>
      <c r="AF31" s="1119"/>
      <c r="AG31" s="1119"/>
      <c r="AH31" s="751">
        <f t="shared" si="9"/>
        <v>-923064.6400000006</v>
      </c>
      <c r="AI31" s="1119"/>
      <c r="AJ31" s="1119"/>
      <c r="AK31" s="1119"/>
      <c r="AL31" s="1119"/>
      <c r="AM31" s="1119"/>
      <c r="AN31" s="1260"/>
      <c r="AO31" s="1260"/>
      <c r="AP31" s="1365"/>
    </row>
    <row r="32" spans="1:42" s="28" customFormat="1" ht="31.5">
      <c r="A32" s="1076"/>
      <c r="B32" s="1171"/>
      <c r="C32" s="1076"/>
      <c r="D32" s="1076"/>
      <c r="E32" s="1252"/>
      <c r="F32" s="1252"/>
      <c r="G32" s="1076"/>
      <c r="H32" s="1076"/>
      <c r="I32" s="1076"/>
      <c r="J32" s="1076"/>
      <c r="K32" s="1076"/>
      <c r="L32" s="1076"/>
      <c r="M32" s="1268"/>
      <c r="N32" s="1123" t="s">
        <v>7</v>
      </c>
      <c r="O32" s="1119">
        <v>34626000</v>
      </c>
      <c r="P32" s="1119"/>
      <c r="Q32" s="1119"/>
      <c r="R32" s="1171"/>
      <c r="S32" s="1119"/>
      <c r="T32" s="1119">
        <v>34626000</v>
      </c>
      <c r="U32" s="1119">
        <f>O32-T32</f>
        <v>0</v>
      </c>
      <c r="V32" s="1119">
        <v>34614930.600000001</v>
      </c>
      <c r="W32" s="1119"/>
      <c r="X32" s="1203"/>
      <c r="Y32" s="1123"/>
      <c r="Z32" s="751">
        <f>51922395.9*60%</f>
        <v>31153437.539999999</v>
      </c>
      <c r="AA32" s="751">
        <v>-13845972</v>
      </c>
      <c r="AB32" s="751">
        <f t="shared" si="8"/>
        <v>17307465.539999999</v>
      </c>
      <c r="AC32" s="1171"/>
      <c r="AD32" s="765">
        <v>18692063</v>
      </c>
      <c r="AE32" s="751" t="s">
        <v>137</v>
      </c>
      <c r="AF32" s="1119"/>
      <c r="AG32" s="1119"/>
      <c r="AH32" s="751">
        <f t="shared" si="9"/>
        <v>-1384597.4600000009</v>
      </c>
      <c r="AI32" s="1119">
        <f>O32-AD30-AD33</f>
        <v>20780028</v>
      </c>
      <c r="AJ32" s="1119"/>
      <c r="AK32" s="1119">
        <f>O32-V32</f>
        <v>11069.39999999851</v>
      </c>
      <c r="AL32" s="1119"/>
      <c r="AM32" s="1119"/>
      <c r="AN32" s="1260"/>
      <c r="AO32" s="1260"/>
      <c r="AP32" s="1365"/>
    </row>
    <row r="33" spans="1:42" s="28" customFormat="1" ht="47.25" customHeight="1">
      <c r="A33" s="1076"/>
      <c r="B33" s="1171"/>
      <c r="C33" s="1076"/>
      <c r="D33" s="1076"/>
      <c r="E33" s="1252"/>
      <c r="F33" s="1252"/>
      <c r="G33" s="1076"/>
      <c r="H33" s="1076"/>
      <c r="I33" s="1076"/>
      <c r="J33" s="1076"/>
      <c r="K33" s="1076"/>
      <c r="L33" s="1076"/>
      <c r="M33" s="1268"/>
      <c r="N33" s="1123"/>
      <c r="O33" s="1119"/>
      <c r="P33" s="1119"/>
      <c r="Q33" s="1119"/>
      <c r="R33" s="1171"/>
      <c r="S33" s="1119"/>
      <c r="T33" s="1119"/>
      <c r="U33" s="1119"/>
      <c r="V33" s="1119"/>
      <c r="W33" s="1119"/>
      <c r="X33" s="1203"/>
      <c r="Y33" s="728" t="s">
        <v>769</v>
      </c>
      <c r="Z33" s="751">
        <v>5769155.1000000015</v>
      </c>
      <c r="AA33" s="751">
        <v>0</v>
      </c>
      <c r="AB33" s="751">
        <f t="shared" si="8"/>
        <v>5769155.1000000015</v>
      </c>
      <c r="AC33" s="740"/>
      <c r="AD33" s="765">
        <v>0</v>
      </c>
      <c r="AE33" s="751" t="s">
        <v>7</v>
      </c>
      <c r="AF33" s="1119"/>
      <c r="AG33" s="1119"/>
      <c r="AH33" s="751">
        <f t="shared" si="9"/>
        <v>5769155.1000000015</v>
      </c>
      <c r="AI33" s="1119"/>
      <c r="AJ33" s="1119"/>
      <c r="AK33" s="1119"/>
      <c r="AL33" s="1119"/>
      <c r="AM33" s="1119"/>
      <c r="AN33" s="1260"/>
      <c r="AO33" s="1260"/>
      <c r="AP33" s="1365"/>
    </row>
    <row r="34" spans="1:42" s="28" customFormat="1" ht="47.25" customHeight="1">
      <c r="A34" s="1076"/>
      <c r="B34" s="1171"/>
      <c r="C34" s="1076"/>
      <c r="D34" s="1076"/>
      <c r="E34" s="1252"/>
      <c r="F34" s="1252"/>
      <c r="G34" s="1076"/>
      <c r="H34" s="1076"/>
      <c r="I34" s="1076"/>
      <c r="J34" s="1076"/>
      <c r="K34" s="1076"/>
      <c r="L34" s="1076"/>
      <c r="M34" s="1268">
        <v>188</v>
      </c>
      <c r="N34" s="1123" t="s">
        <v>7</v>
      </c>
      <c r="O34" s="1119">
        <v>24055500</v>
      </c>
      <c r="P34" s="1119">
        <v>24055500</v>
      </c>
      <c r="Q34" s="1119"/>
      <c r="R34" s="1171">
        <v>40759</v>
      </c>
      <c r="S34" s="1119">
        <f>T34</f>
        <v>24055500</v>
      </c>
      <c r="T34" s="1119">
        <v>24055500</v>
      </c>
      <c r="U34" s="1119">
        <f>O34-T34</f>
        <v>0</v>
      </c>
      <c r="V34" s="1119">
        <v>24055500</v>
      </c>
      <c r="W34" s="1119"/>
      <c r="X34" s="1203"/>
      <c r="Y34" s="728" t="s">
        <v>770</v>
      </c>
      <c r="Z34" s="751">
        <v>21649950</v>
      </c>
      <c r="AA34" s="751">
        <v>0</v>
      </c>
      <c r="AB34" s="751">
        <f t="shared" si="8"/>
        <v>21649950</v>
      </c>
      <c r="AC34" s="740">
        <v>41136</v>
      </c>
      <c r="AD34" s="765">
        <v>21649950</v>
      </c>
      <c r="AE34" s="751" t="s">
        <v>7</v>
      </c>
      <c r="AF34" s="1119">
        <f>SUM(AD34:AE34)</f>
        <v>21649950</v>
      </c>
      <c r="AG34" s="1119"/>
      <c r="AH34" s="751">
        <f t="shared" si="9"/>
        <v>0</v>
      </c>
      <c r="AI34" s="1119">
        <f>O34-AD34-AD35</f>
        <v>2405550</v>
      </c>
      <c r="AJ34" s="1119">
        <f>SUM(Z34:Z35)-SUM(AD34:AD35)</f>
        <v>2405550</v>
      </c>
      <c r="AK34" s="1119">
        <f>P34-V34</f>
        <v>0</v>
      </c>
      <c r="AL34" s="1119">
        <f>V34-SUM(Z34:Z35)</f>
        <v>0</v>
      </c>
      <c r="AM34" s="1119">
        <f>AK34+AL34</f>
        <v>0</v>
      </c>
      <c r="AN34" s="1260"/>
      <c r="AO34" s="1260"/>
      <c r="AP34" s="1365"/>
    </row>
    <row r="35" spans="1:42" s="28" customFormat="1" ht="47.25" customHeight="1">
      <c r="A35" s="1076"/>
      <c r="B35" s="1171"/>
      <c r="C35" s="1076"/>
      <c r="D35" s="1076"/>
      <c r="E35" s="1252"/>
      <c r="F35" s="1252"/>
      <c r="G35" s="1076"/>
      <c r="H35" s="1076"/>
      <c r="I35" s="1076"/>
      <c r="J35" s="1076"/>
      <c r="K35" s="1076"/>
      <c r="L35" s="1076"/>
      <c r="M35" s="1268"/>
      <c r="N35" s="1123"/>
      <c r="O35" s="1119"/>
      <c r="P35" s="1119"/>
      <c r="Q35" s="1119"/>
      <c r="R35" s="1171"/>
      <c r="S35" s="1119"/>
      <c r="T35" s="1119"/>
      <c r="U35" s="1119"/>
      <c r="V35" s="1119"/>
      <c r="W35" s="1119"/>
      <c r="X35" s="1203"/>
      <c r="Y35" s="728" t="s">
        <v>769</v>
      </c>
      <c r="Z35" s="751">
        <v>2405550</v>
      </c>
      <c r="AA35" s="751">
        <v>0</v>
      </c>
      <c r="AB35" s="751">
        <f t="shared" si="8"/>
        <v>2405550</v>
      </c>
      <c r="AC35" s="740"/>
      <c r="AD35" s="765">
        <v>0</v>
      </c>
      <c r="AE35" s="751" t="s">
        <v>7</v>
      </c>
      <c r="AF35" s="1119"/>
      <c r="AG35" s="1119"/>
      <c r="AH35" s="751">
        <f t="shared" si="9"/>
        <v>2405550</v>
      </c>
      <c r="AI35" s="1119"/>
      <c r="AJ35" s="1119"/>
      <c r="AK35" s="1119"/>
      <c r="AL35" s="1119"/>
      <c r="AM35" s="1119"/>
      <c r="AN35" s="1260"/>
      <c r="AO35" s="1260"/>
      <c r="AP35" s="1365"/>
    </row>
    <row r="37" spans="1:42" s="25" customFormat="1" ht="48" customHeight="1">
      <c r="A37" s="1076" t="s">
        <v>607</v>
      </c>
      <c r="B37" s="1171">
        <v>40388</v>
      </c>
      <c r="C37" s="1076" t="s">
        <v>12</v>
      </c>
      <c r="D37" s="1076" t="s">
        <v>608</v>
      </c>
      <c r="E37" s="1252">
        <v>76308580</v>
      </c>
      <c r="F37" s="1252"/>
      <c r="G37" s="1076" t="s">
        <v>609</v>
      </c>
      <c r="H37" s="1076" t="s">
        <v>72</v>
      </c>
      <c r="I37" s="1076" t="s">
        <v>177</v>
      </c>
      <c r="J37" s="1076" t="s">
        <v>66</v>
      </c>
      <c r="K37" s="1076" t="s">
        <v>217</v>
      </c>
      <c r="L37" s="1076" t="s">
        <v>613</v>
      </c>
      <c r="M37" s="1268">
        <v>22</v>
      </c>
      <c r="N37" s="1123" t="s">
        <v>137</v>
      </c>
      <c r="O37" s="1119">
        <v>15370000</v>
      </c>
      <c r="P37" s="1119">
        <f>O37</f>
        <v>15370000</v>
      </c>
      <c r="Q37" s="1119">
        <f>P37</f>
        <v>15370000</v>
      </c>
      <c r="R37" s="1171">
        <v>40211</v>
      </c>
      <c r="S37" s="1196">
        <f>T37</f>
        <v>15370000</v>
      </c>
      <c r="T37" s="1119">
        <v>15370000</v>
      </c>
      <c r="U37" s="1119">
        <f>O37-T37</f>
        <v>0</v>
      </c>
      <c r="V37" s="1119">
        <v>15370000</v>
      </c>
      <c r="W37" s="1119">
        <v>15370000</v>
      </c>
      <c r="X37" s="1076" t="s">
        <v>467</v>
      </c>
      <c r="Y37" s="728" t="s">
        <v>610</v>
      </c>
      <c r="Z37" s="751">
        <v>0</v>
      </c>
      <c r="AA37" s="751">
        <v>6148000</v>
      </c>
      <c r="AB37" s="751">
        <f t="shared" ref="AB37:AB39" si="10">Z37+AA37</f>
        <v>6148000</v>
      </c>
      <c r="AC37" s="740">
        <v>40452</v>
      </c>
      <c r="AD37" s="763">
        <v>6148000</v>
      </c>
      <c r="AE37" s="763" t="s">
        <v>137</v>
      </c>
      <c r="AF37" s="1084">
        <f>SUM(AD37:AD39)</f>
        <v>14893000</v>
      </c>
      <c r="AG37" s="1084">
        <f>AF37</f>
        <v>14893000</v>
      </c>
      <c r="AH37" s="734">
        <f t="shared" ref="AH37:AH39" si="11">AB37-AD37</f>
        <v>0</v>
      </c>
      <c r="AI37" s="1084">
        <f>P37-AD37-AD38-AD39</f>
        <v>477000</v>
      </c>
      <c r="AJ37" s="1119">
        <f>SUM(Z37:Z39)-SUM(AD37:AD39)</f>
        <v>477000</v>
      </c>
      <c r="AK37" s="1119">
        <f>P37-V37</f>
        <v>0</v>
      </c>
      <c r="AL37" s="1119">
        <f>V37-SUM(Z37:Z39)</f>
        <v>0</v>
      </c>
      <c r="AM37" s="1119">
        <f>AK37+AL37</f>
        <v>0</v>
      </c>
      <c r="AN37" s="1203" t="s">
        <v>523</v>
      </c>
      <c r="AO37" s="1204" t="s">
        <v>772</v>
      </c>
    </row>
    <row r="38" spans="1:42" s="25" customFormat="1" ht="63" customHeight="1">
      <c r="A38" s="1076"/>
      <c r="B38" s="1171"/>
      <c r="C38" s="1076"/>
      <c r="D38" s="1076"/>
      <c r="E38" s="1252"/>
      <c r="F38" s="1252"/>
      <c r="G38" s="1076"/>
      <c r="H38" s="1076"/>
      <c r="I38" s="1076"/>
      <c r="J38" s="1076"/>
      <c r="K38" s="1076"/>
      <c r="L38" s="1076"/>
      <c r="M38" s="1268"/>
      <c r="N38" s="1123"/>
      <c r="O38" s="1119"/>
      <c r="P38" s="1119"/>
      <c r="Q38" s="1119"/>
      <c r="R38" s="1171"/>
      <c r="S38" s="1196"/>
      <c r="T38" s="1119"/>
      <c r="U38" s="1119"/>
      <c r="V38" s="1119"/>
      <c r="W38" s="1119"/>
      <c r="X38" s="1076"/>
      <c r="Y38" s="728" t="s">
        <v>611</v>
      </c>
      <c r="Z38" s="751">
        <v>7685000</v>
      </c>
      <c r="AA38" s="751">
        <v>-3074000</v>
      </c>
      <c r="AB38" s="751">
        <f t="shared" si="10"/>
        <v>4611000</v>
      </c>
      <c r="AC38" s="740">
        <v>40611</v>
      </c>
      <c r="AD38" s="763">
        <v>4134000</v>
      </c>
      <c r="AE38" s="763" t="s">
        <v>137</v>
      </c>
      <c r="AF38" s="1084"/>
      <c r="AG38" s="1084"/>
      <c r="AH38" s="734">
        <f t="shared" si="11"/>
        <v>477000</v>
      </c>
      <c r="AI38" s="1084"/>
      <c r="AJ38" s="1119"/>
      <c r="AK38" s="1119"/>
      <c r="AL38" s="1119"/>
      <c r="AM38" s="1119"/>
      <c r="AN38" s="1203"/>
      <c r="AO38" s="1204"/>
    </row>
    <row r="39" spans="1:42" s="25" customFormat="1" ht="63" customHeight="1">
      <c r="A39" s="1076"/>
      <c r="B39" s="1171"/>
      <c r="C39" s="1076"/>
      <c r="D39" s="1076"/>
      <c r="E39" s="1252"/>
      <c r="F39" s="1252"/>
      <c r="G39" s="1076"/>
      <c r="H39" s="1076"/>
      <c r="I39" s="1076"/>
      <c r="J39" s="1076"/>
      <c r="K39" s="1076"/>
      <c r="L39" s="1076"/>
      <c r="M39" s="1268"/>
      <c r="N39" s="1123"/>
      <c r="O39" s="1119"/>
      <c r="P39" s="1119"/>
      <c r="Q39" s="1119"/>
      <c r="R39" s="1171"/>
      <c r="S39" s="1196"/>
      <c r="T39" s="1119"/>
      <c r="U39" s="1119"/>
      <c r="V39" s="1119"/>
      <c r="W39" s="1119"/>
      <c r="X39" s="1076"/>
      <c r="Y39" s="728" t="s">
        <v>612</v>
      </c>
      <c r="Z39" s="751">
        <v>7685000</v>
      </c>
      <c r="AA39" s="751">
        <v>-3074000</v>
      </c>
      <c r="AB39" s="751">
        <f t="shared" si="10"/>
        <v>4611000</v>
      </c>
      <c r="AC39" s="740">
        <v>41008</v>
      </c>
      <c r="AD39" s="763">
        <v>4611000</v>
      </c>
      <c r="AE39" s="763" t="s">
        <v>137</v>
      </c>
      <c r="AF39" s="1084"/>
      <c r="AG39" s="1084"/>
      <c r="AH39" s="734">
        <f t="shared" si="11"/>
        <v>0</v>
      </c>
      <c r="AI39" s="1084"/>
      <c r="AJ39" s="1119"/>
      <c r="AK39" s="1119"/>
      <c r="AL39" s="1119"/>
      <c r="AM39" s="1119"/>
      <c r="AN39" s="1203"/>
      <c r="AO39" s="1204"/>
    </row>
  </sheetData>
  <mergeCells count="304">
    <mergeCell ref="AK37:AK39"/>
    <mergeCell ref="AL37:AL39"/>
    <mergeCell ref="A37:A39"/>
    <mergeCell ref="B37:B39"/>
    <mergeCell ref="C37:C39"/>
    <mergeCell ref="D37:D39"/>
    <mergeCell ref="E37:E39"/>
    <mergeCell ref="F37:F39"/>
    <mergeCell ref="S37:S39"/>
    <mergeCell ref="T37:T39"/>
    <mergeCell ref="U37:U39"/>
    <mergeCell ref="M37:M39"/>
    <mergeCell ref="N37:N39"/>
    <mergeCell ref="O37:O39"/>
    <mergeCell ref="P37:P39"/>
    <mergeCell ref="Q37:Q39"/>
    <mergeCell ref="R37:R39"/>
    <mergeCell ref="AP29:AP35"/>
    <mergeCell ref="Y31:Y32"/>
    <mergeCell ref="AC31:AC32"/>
    <mergeCell ref="AN29:AN35"/>
    <mergeCell ref="AO29:AO35"/>
    <mergeCell ref="AK34:AK35"/>
    <mergeCell ref="AL34:AL35"/>
    <mergeCell ref="AM34:AM35"/>
    <mergeCell ref="G37:G39"/>
    <mergeCell ref="H37:H39"/>
    <mergeCell ref="I37:I39"/>
    <mergeCell ref="J37:J39"/>
    <mergeCell ref="K37:K39"/>
    <mergeCell ref="L37:L39"/>
    <mergeCell ref="V37:V39"/>
    <mergeCell ref="W37:W39"/>
    <mergeCell ref="X37:X39"/>
    <mergeCell ref="AM37:AM39"/>
    <mergeCell ref="AN37:AN39"/>
    <mergeCell ref="AO37:AO39"/>
    <mergeCell ref="AF37:AF39"/>
    <mergeCell ref="AG37:AG39"/>
    <mergeCell ref="AI37:AI39"/>
    <mergeCell ref="AJ37:AJ39"/>
    <mergeCell ref="S29:S33"/>
    <mergeCell ref="T29:T31"/>
    <mergeCell ref="U29:U31"/>
    <mergeCell ref="V29:V31"/>
    <mergeCell ref="W29:W35"/>
    <mergeCell ref="X29:X35"/>
    <mergeCell ref="R34:R35"/>
    <mergeCell ref="S34:S35"/>
    <mergeCell ref="T34:T35"/>
    <mergeCell ref="U34:U35"/>
    <mergeCell ref="V34:V35"/>
    <mergeCell ref="T32:T33"/>
    <mergeCell ref="U32:U33"/>
    <mergeCell ref="V32:V33"/>
    <mergeCell ref="AI32:AI33"/>
    <mergeCell ref="AK29:AK31"/>
    <mergeCell ref="AL29:AL33"/>
    <mergeCell ref="AM29:AM33"/>
    <mergeCell ref="AK32:AK33"/>
    <mergeCell ref="Y29:Y30"/>
    <mergeCell ref="AC29:AC30"/>
    <mergeCell ref="AF29:AF33"/>
    <mergeCell ref="AG29:AG35"/>
    <mergeCell ref="AI29:AI31"/>
    <mergeCell ref="AJ29:AJ33"/>
    <mergeCell ref="AI34:AI35"/>
    <mergeCell ref="AJ34:AJ35"/>
    <mergeCell ref="AF34:AF35"/>
    <mergeCell ref="M29:M33"/>
    <mergeCell ref="N29:N31"/>
    <mergeCell ref="O29:O31"/>
    <mergeCell ref="P29:P33"/>
    <mergeCell ref="Q29:Q35"/>
    <mergeCell ref="R29:R33"/>
    <mergeCell ref="M34:M35"/>
    <mergeCell ref="N34:N35"/>
    <mergeCell ref="O34:O35"/>
    <mergeCell ref="P34:P35"/>
    <mergeCell ref="N32:N33"/>
    <mergeCell ref="O32:O33"/>
    <mergeCell ref="G29:G35"/>
    <mergeCell ref="H29:H35"/>
    <mergeCell ref="I29:I35"/>
    <mergeCell ref="J29:J35"/>
    <mergeCell ref="K29:K35"/>
    <mergeCell ref="L29:L35"/>
    <mergeCell ref="A29:A35"/>
    <mergeCell ref="B29:B35"/>
    <mergeCell ref="C29:C35"/>
    <mergeCell ref="D29:D35"/>
    <mergeCell ref="E29:E35"/>
    <mergeCell ref="F29:F35"/>
    <mergeCell ref="T25:T27"/>
    <mergeCell ref="U25:U27"/>
    <mergeCell ref="V25:V27"/>
    <mergeCell ref="AI25:AI27"/>
    <mergeCell ref="Y26:Y27"/>
    <mergeCell ref="S22:S27"/>
    <mergeCell ref="T22:T24"/>
    <mergeCell ref="U22:U24"/>
    <mergeCell ref="V22:V24"/>
    <mergeCell ref="W22:W27"/>
    <mergeCell ref="X22:X27"/>
    <mergeCell ref="AK22:AK27"/>
    <mergeCell ref="AL22:AL27"/>
    <mergeCell ref="AM22:AM27"/>
    <mergeCell ref="AN22:AN27"/>
    <mergeCell ref="AO22:AO27"/>
    <mergeCell ref="Y22:Y23"/>
    <mergeCell ref="AC22:AC23"/>
    <mergeCell ref="AF22:AF27"/>
    <mergeCell ref="AG22:AG27"/>
    <mergeCell ref="AI22:AI24"/>
    <mergeCell ref="AJ22:AJ27"/>
    <mergeCell ref="Y24:Y25"/>
    <mergeCell ref="AC24:AC25"/>
    <mergeCell ref="M22:M27"/>
    <mergeCell ref="N22:N24"/>
    <mergeCell ref="O22:O24"/>
    <mergeCell ref="P22:P27"/>
    <mergeCell ref="Q22:Q27"/>
    <mergeCell ref="R22:R27"/>
    <mergeCell ref="G22:G27"/>
    <mergeCell ref="H22:H27"/>
    <mergeCell ref="I22:I27"/>
    <mergeCell ref="J22:J27"/>
    <mergeCell ref="K22:K27"/>
    <mergeCell ref="L22:L27"/>
    <mergeCell ref="N25:N27"/>
    <mergeCell ref="O25:O27"/>
    <mergeCell ref="A22:A27"/>
    <mergeCell ref="B22:B27"/>
    <mergeCell ref="C22:C27"/>
    <mergeCell ref="D22:D27"/>
    <mergeCell ref="E22:E27"/>
    <mergeCell ref="F22:F27"/>
    <mergeCell ref="V19:V20"/>
    <mergeCell ref="AF19:AF20"/>
    <mergeCell ref="AI19:AI20"/>
    <mergeCell ref="I16:I20"/>
    <mergeCell ref="J16:J18"/>
    <mergeCell ref="K16:K20"/>
    <mergeCell ref="L16:L20"/>
    <mergeCell ref="M16:M18"/>
    <mergeCell ref="J19:J20"/>
    <mergeCell ref="M19:M20"/>
    <mergeCell ref="A16:A20"/>
    <mergeCell ref="B16:B20"/>
    <mergeCell ref="C16:C20"/>
    <mergeCell ref="D16:D20"/>
    <mergeCell ref="E16:E20"/>
    <mergeCell ref="F16:F20"/>
    <mergeCell ref="G16:G20"/>
    <mergeCell ref="H16:H20"/>
    <mergeCell ref="N17:N18"/>
    <mergeCell ref="O17:O18"/>
    <mergeCell ref="T17:T18"/>
    <mergeCell ref="U17:U18"/>
    <mergeCell ref="V17:V18"/>
    <mergeCell ref="AI17:AI18"/>
    <mergeCell ref="AK17:AK18"/>
    <mergeCell ref="N19:N20"/>
    <mergeCell ref="O19:O20"/>
    <mergeCell ref="AJ16:AJ18"/>
    <mergeCell ref="P16:P18"/>
    <mergeCell ref="P19:P20"/>
    <mergeCell ref="O9:O10"/>
    <mergeCell ref="P9:P14"/>
    <mergeCell ref="Q9:Q14"/>
    <mergeCell ref="R9:R14"/>
    <mergeCell ref="S9:S14"/>
    <mergeCell ref="T9:T10"/>
    <mergeCell ref="AM16:AM18"/>
    <mergeCell ref="AN16:AN20"/>
    <mergeCell ref="AO16:AO20"/>
    <mergeCell ref="AM19:AM20"/>
    <mergeCell ref="Q16:Q20"/>
    <mergeCell ref="R16:R18"/>
    <mergeCell ref="S16:S18"/>
    <mergeCell ref="W16:W20"/>
    <mergeCell ref="X16:X20"/>
    <mergeCell ref="Y16:Y17"/>
    <mergeCell ref="R19:R20"/>
    <mergeCell ref="S19:S20"/>
    <mergeCell ref="T19:T20"/>
    <mergeCell ref="U19:U20"/>
    <mergeCell ref="AJ19:AJ20"/>
    <mergeCell ref="AK19:AK20"/>
    <mergeCell ref="AL19:AL20"/>
    <mergeCell ref="AL16:AL18"/>
    <mergeCell ref="E9:E14"/>
    <mergeCell ref="F9:F14"/>
    <mergeCell ref="G9:G14"/>
    <mergeCell ref="H9:H14"/>
    <mergeCell ref="I9:I14"/>
    <mergeCell ref="J9:J14"/>
    <mergeCell ref="Y11:Y12"/>
    <mergeCell ref="AC11:AC12"/>
    <mergeCell ref="AK9:AK10"/>
    <mergeCell ref="U9:U10"/>
    <mergeCell ref="V9:V10"/>
    <mergeCell ref="M9:M14"/>
    <mergeCell ref="N9:N10"/>
    <mergeCell ref="K9:K14"/>
    <mergeCell ref="L9:L14"/>
    <mergeCell ref="N11:N14"/>
    <mergeCell ref="O11:O14"/>
    <mergeCell ref="T11:T14"/>
    <mergeCell ref="U11:U14"/>
    <mergeCell ref="V11:V14"/>
    <mergeCell ref="AI11:AI14"/>
    <mergeCell ref="AK11:AK14"/>
    <mergeCell ref="W9:W14"/>
    <mergeCell ref="X9:X14"/>
    <mergeCell ref="AL9:AL14"/>
    <mergeCell ref="AM9:AM14"/>
    <mergeCell ref="AN9:AN14"/>
    <mergeCell ref="AO9:AO14"/>
    <mergeCell ref="Y9:Y10"/>
    <mergeCell ref="AC9:AC10"/>
    <mergeCell ref="AC16:AC17"/>
    <mergeCell ref="AF16:AF18"/>
    <mergeCell ref="AG16:AG20"/>
    <mergeCell ref="AF9:AF14"/>
    <mergeCell ref="AG9:AG14"/>
    <mergeCell ref="AI9:AI10"/>
    <mergeCell ref="AJ9:AJ14"/>
    <mergeCell ref="A9:A14"/>
    <mergeCell ref="B9:B14"/>
    <mergeCell ref="C9:C14"/>
    <mergeCell ref="D9:D14"/>
    <mergeCell ref="AL6:AL7"/>
    <mergeCell ref="AM6:AM7"/>
    <mergeCell ref="AN6:AN7"/>
    <mergeCell ref="AO6:AO7"/>
    <mergeCell ref="W6:W7"/>
    <mergeCell ref="X6:X7"/>
    <mergeCell ref="AF6:AF7"/>
    <mergeCell ref="AG6:AG7"/>
    <mergeCell ref="AH6:AH7"/>
    <mergeCell ref="AI6:AI7"/>
    <mergeCell ref="Q6:Q7"/>
    <mergeCell ref="R6:R7"/>
    <mergeCell ref="S6:S7"/>
    <mergeCell ref="T6:T7"/>
    <mergeCell ref="U6:U7"/>
    <mergeCell ref="V6:V7"/>
    <mergeCell ref="H6:H7"/>
    <mergeCell ref="I6:I7"/>
    <mergeCell ref="J6:J7"/>
    <mergeCell ref="K6:K7"/>
    <mergeCell ref="N6:N7"/>
    <mergeCell ref="O6:O7"/>
    <mergeCell ref="L6:L7"/>
    <mergeCell ref="M6:M7"/>
    <mergeCell ref="AO3:AO4"/>
    <mergeCell ref="A6:A7"/>
    <mergeCell ref="B6:B7"/>
    <mergeCell ref="C6:C7"/>
    <mergeCell ref="D6:D7"/>
    <mergeCell ref="E6:E7"/>
    <mergeCell ref="F6:F7"/>
    <mergeCell ref="G6:G7"/>
    <mergeCell ref="AG3:AG4"/>
    <mergeCell ref="AH3:AH4"/>
    <mergeCell ref="AI3:AI4"/>
    <mergeCell ref="AJ3:AJ4"/>
    <mergeCell ref="AK3:AK4"/>
    <mergeCell ref="AL3:AL4"/>
    <mergeCell ref="H3:H4"/>
    <mergeCell ref="I3:I4"/>
    <mergeCell ref="J3:J4"/>
    <mergeCell ref="K3:K4"/>
    <mergeCell ref="L3:L4"/>
    <mergeCell ref="M3:M4"/>
    <mergeCell ref="AJ6:AJ7"/>
    <mergeCell ref="AK6:AK7"/>
    <mergeCell ref="V3:V4"/>
    <mergeCell ref="W3:W4"/>
    <mergeCell ref="X3:X4"/>
    <mergeCell ref="AF3:AF4"/>
    <mergeCell ref="P3:P4"/>
    <mergeCell ref="Q3:Q4"/>
    <mergeCell ref="R3:R4"/>
    <mergeCell ref="P6:P7"/>
    <mergeCell ref="AN1:AO1"/>
    <mergeCell ref="A1:L1"/>
    <mergeCell ref="M1:R1"/>
    <mergeCell ref="S1:U1"/>
    <mergeCell ref="V1:X1"/>
    <mergeCell ref="Y1:AI1"/>
    <mergeCell ref="AJ1:AM1"/>
    <mergeCell ref="C3:C4"/>
    <mergeCell ref="D3:D4"/>
    <mergeCell ref="E3:E4"/>
    <mergeCell ref="F3:F4"/>
    <mergeCell ref="G3:G4"/>
    <mergeCell ref="AM3:AM4"/>
    <mergeCell ref="AN3:AN4"/>
    <mergeCell ref="N3:N4"/>
    <mergeCell ref="O3:O4"/>
    <mergeCell ref="A3:A4"/>
    <mergeCell ref="B3:B4"/>
  </mergeCells>
  <hyperlinks>
    <hyperlink ref="AD3" r:id="rId1" display="http://consorciofia.info/cdr/ver_fuentes_w.php?NumCDR=019&amp;codEntidad=19999"/>
    <hyperlink ref="AD4" r:id="rId2" display="http://consorciofia.info/cdr/ver_fuentes_w.php?NumCDR=019&amp;codEntidad=19999"/>
    <hyperlink ref="M6:M7" r:id="rId3" display="http://consorciofia.info/cdr/ver_fuentes_w.php?NumCDR=006&amp;codEntidad=19999"/>
    <hyperlink ref="M9" r:id="rId4" display="http://consorciofia.info/cdr/ver_fuentes_w.php?NumCDR=090&amp;codEntidad=19999"/>
    <hyperlink ref="M16:M17" r:id="rId5" display="http://consorciofia.info/cdr/ver_fuentes_w.php?NumCDR=093&amp;codEntidad=19999"/>
    <hyperlink ref="M19:M20" r:id="rId6" display="http://consorciofia.info/cdr/ver_fuentes_w.php?NumCDR=174&amp;codEntidad=19999"/>
    <hyperlink ref="M22:M25" r:id="rId7" display="http://consorciofia.info/cdr/ver_fuentes_w.php?NumCDR=103&amp;codEntidad=19999"/>
    <hyperlink ref="M34:M35" r:id="rId8" display="http://consorciofia.info/cdr/ver_fuentes_w.php?NumCDR=188&amp;codEntidad=19999"/>
    <hyperlink ref="M29:M33" r:id="rId9" display="http://consorciofia.info/cdr/ver_fuentes_w.php?NumCDR=106&amp;codEntidad=19999"/>
    <hyperlink ref="M37:M39" r:id="rId10" display="http://consorciofia.info/cdr/ver_fuentes_w.php?NumCDR=022&amp;codEntidad=19999"/>
  </hyperlinks>
  <pageMargins left="0.7" right="0.7" top="0.75" bottom="0.75" header="0.3" footer="0.3"/>
  <legacyDrawing r:id="rId1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D22"/>
  <sheetViews>
    <sheetView workbookViewId="0"/>
  </sheetViews>
  <sheetFormatPr baseColWidth="10" defaultRowHeight="15"/>
  <cols>
    <col min="3" max="3" width="34.5703125" bestFit="1" customWidth="1"/>
    <col min="4" max="4" width="12.85546875" bestFit="1" customWidth="1"/>
  </cols>
  <sheetData>
    <row r="1" spans="1:4" ht="26.25" thickBot="1">
      <c r="A1" s="537" t="s">
        <v>2400</v>
      </c>
      <c r="B1" s="537" t="s">
        <v>2401</v>
      </c>
      <c r="C1" s="537" t="s">
        <v>2402</v>
      </c>
      <c r="D1" s="537" t="s">
        <v>2403</v>
      </c>
    </row>
    <row r="2" spans="1:4">
      <c r="A2" s="538" t="s">
        <v>2404</v>
      </c>
      <c r="B2" s="538"/>
      <c r="C2" s="788">
        <v>2365868067</v>
      </c>
      <c r="D2" s="788">
        <v>2365868067.02</v>
      </c>
    </row>
    <row r="3" spans="1:4" ht="26.25">
      <c r="A3" s="540">
        <v>322</v>
      </c>
      <c r="B3" s="540" t="s">
        <v>2405</v>
      </c>
      <c r="C3" s="541">
        <v>1430960703</v>
      </c>
      <c r="D3" s="541">
        <v>1430960703.01</v>
      </c>
    </row>
    <row r="4" spans="1:4" ht="51.75">
      <c r="A4" s="540">
        <v>322</v>
      </c>
      <c r="B4" s="540" t="s">
        <v>74</v>
      </c>
      <c r="C4" s="541">
        <v>934907364</v>
      </c>
      <c r="D4" s="541">
        <v>934907364.00999999</v>
      </c>
    </row>
    <row r="5" spans="1:4">
      <c r="A5" s="543" t="s">
        <v>2612</v>
      </c>
    </row>
    <row r="6" spans="1:4">
      <c r="A6" s="543" t="s">
        <v>2613</v>
      </c>
    </row>
    <row r="7" spans="1:4">
      <c r="A7" s="544" t="s">
        <v>2408</v>
      </c>
    </row>
    <row r="8" spans="1:4" ht="15.75" thickBot="1">
      <c r="A8" s="537" t="s">
        <v>2409</v>
      </c>
      <c r="B8" s="537" t="s">
        <v>2410</v>
      </c>
      <c r="C8" s="537" t="s">
        <v>2401</v>
      </c>
      <c r="D8" s="537" t="s">
        <v>2411</v>
      </c>
    </row>
    <row r="9" spans="1:4" ht="15" customHeight="1" thickBot="1">
      <c r="A9" s="545">
        <v>42342</v>
      </c>
      <c r="B9" s="577" t="s">
        <v>2734</v>
      </c>
      <c r="C9" s="578" t="s">
        <v>74</v>
      </c>
      <c r="D9" s="579">
        <v>279750203.52999997</v>
      </c>
    </row>
    <row r="10" spans="1:4" ht="15" customHeight="1" thickBot="1">
      <c r="A10" s="553">
        <v>42706</v>
      </c>
      <c r="B10" s="550" t="s">
        <v>2735</v>
      </c>
      <c r="C10" s="551" t="s">
        <v>74</v>
      </c>
      <c r="D10" s="573">
        <v>364128591.5</v>
      </c>
    </row>
    <row r="11" spans="1:4" ht="15" customHeight="1" thickBot="1">
      <c r="A11" s="553">
        <v>42751</v>
      </c>
      <c r="B11" s="550" t="s">
        <v>2737</v>
      </c>
      <c r="C11" s="551" t="s">
        <v>74</v>
      </c>
      <c r="D11" s="573">
        <v>167818432.53999999</v>
      </c>
    </row>
    <row r="12" spans="1:4" ht="15" customHeight="1" thickBot="1">
      <c r="A12" s="553">
        <v>42881</v>
      </c>
      <c r="B12" s="550" t="s">
        <v>2739</v>
      </c>
      <c r="C12" s="551" t="s">
        <v>74</v>
      </c>
      <c r="D12" s="573">
        <v>120803450.87</v>
      </c>
    </row>
    <row r="13" spans="1:4" ht="15" customHeight="1" thickBot="1">
      <c r="A13" s="553">
        <v>43227</v>
      </c>
      <c r="B13" s="550" t="s">
        <v>2740</v>
      </c>
      <c r="C13" s="551" t="s">
        <v>74</v>
      </c>
      <c r="D13" s="573">
        <v>2406685.56</v>
      </c>
    </row>
    <row r="14" spans="1:4" ht="15" customHeight="1" thickBot="1">
      <c r="A14" s="574">
        <v>43251</v>
      </c>
      <c r="B14" s="554" t="s">
        <v>2741</v>
      </c>
      <c r="C14" s="555" t="s">
        <v>74</v>
      </c>
      <c r="D14" s="552">
        <v>0.01</v>
      </c>
    </row>
    <row r="15" spans="1:4" ht="15" customHeight="1" thickBot="1">
      <c r="A15" s="574">
        <v>42342</v>
      </c>
      <c r="B15" s="554" t="s">
        <v>2733</v>
      </c>
      <c r="C15" s="555" t="s">
        <v>2405</v>
      </c>
      <c r="D15" s="552">
        <v>428183115.60000002</v>
      </c>
    </row>
    <row r="16" spans="1:4" ht="15" customHeight="1" thickBot="1">
      <c r="A16" s="574">
        <v>42706</v>
      </c>
      <c r="B16" s="554" t="s">
        <v>2735</v>
      </c>
      <c r="C16" s="555" t="s">
        <v>2405</v>
      </c>
      <c r="D16" s="552">
        <v>364128591.5</v>
      </c>
    </row>
    <row r="17" spans="1:4" ht="15" customHeight="1" thickBot="1">
      <c r="A17" s="575">
        <v>42751</v>
      </c>
      <c r="B17" s="558" t="s">
        <v>2736</v>
      </c>
      <c r="C17" s="559" t="s">
        <v>2405</v>
      </c>
      <c r="D17" s="576">
        <v>348693378.22000003</v>
      </c>
    </row>
    <row r="18" spans="1:4" ht="15" customHeight="1">
      <c r="A18" s="574">
        <v>42881</v>
      </c>
      <c r="B18" s="554" t="s">
        <v>2738</v>
      </c>
      <c r="C18" s="555" t="s">
        <v>2405</v>
      </c>
      <c r="D18" s="552">
        <v>163525505.50999999</v>
      </c>
    </row>
    <row r="19" spans="1:4" ht="15" customHeight="1">
      <c r="A19" s="919">
        <v>43227</v>
      </c>
      <c r="B19" s="921" t="s">
        <v>2740</v>
      </c>
      <c r="C19" s="922" t="s">
        <v>2405</v>
      </c>
      <c r="D19" s="923">
        <v>3683651.02</v>
      </c>
    </row>
    <row r="20" spans="1:4" ht="15" customHeight="1" thickBot="1">
      <c r="A20" s="571">
        <v>43250</v>
      </c>
      <c r="B20" s="546" t="s">
        <v>2741</v>
      </c>
      <c r="C20" s="547" t="s">
        <v>2405</v>
      </c>
      <c r="D20" s="572">
        <v>122746461.15000001</v>
      </c>
    </row>
    <row r="21" spans="1:4" ht="15" customHeight="1" thickBot="1">
      <c r="A21" s="575">
        <v>43251</v>
      </c>
      <c r="B21" s="558" t="s">
        <v>2741</v>
      </c>
      <c r="C21" s="559" t="s">
        <v>2405</v>
      </c>
      <c r="D21" s="576">
        <v>0.01</v>
      </c>
    </row>
    <row r="22" spans="1:4">
      <c r="A22" s="920"/>
      <c r="B22" s="920"/>
      <c r="C22" s="920"/>
      <c r="D22" s="920"/>
    </row>
  </sheetData>
  <sortState ref="A9:D22">
    <sortCondition ref="C9:C22"/>
    <sortCondition ref="A9:A22"/>
  </sortState>
  <pageMargins left="0.7" right="0.7" top="0.75" bottom="0.75" header="0.3" footer="0.3"/>
  <drawing r:id="rId1"/>
  <legacyDrawing r:id="rId2"/>
  <controls>
    <mc:AlternateContent xmlns:mc="http://schemas.openxmlformats.org/markup-compatibility/2006">
      <mc:Choice Requires="x14">
        <control shapeId="95233" r:id="rId3" name="Control 1">
          <controlPr defaultSize="0" autoPict="0" r:id="rId4">
            <anchor moveWithCells="1">
              <from>
                <xdr:col>0</xdr:col>
                <xdr:colOff>0</xdr:colOff>
                <xdr:row>5</xdr:row>
                <xdr:rowOff>0</xdr:rowOff>
              </from>
              <to>
                <xdr:col>0</xdr:col>
                <xdr:colOff>666750</xdr:colOff>
                <xdr:row>6</xdr:row>
                <xdr:rowOff>38100</xdr:rowOff>
              </to>
            </anchor>
          </controlPr>
        </control>
      </mc:Choice>
      <mc:Fallback>
        <control shapeId="95233" r:id="rId3" name="Control 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D18"/>
  <sheetViews>
    <sheetView workbookViewId="0"/>
  </sheetViews>
  <sheetFormatPr baseColWidth="10" defaultRowHeight="15"/>
  <cols>
    <col min="3" max="3" width="17.85546875" customWidth="1"/>
    <col min="4" max="4" width="17.85546875" bestFit="1" customWidth="1"/>
  </cols>
  <sheetData>
    <row r="1" spans="1:4" ht="26.25" thickBot="1">
      <c r="A1" s="537" t="s">
        <v>2400</v>
      </c>
      <c r="B1" s="537" t="s">
        <v>2401</v>
      </c>
      <c r="C1" s="537" t="s">
        <v>2402</v>
      </c>
      <c r="D1" s="537" t="s">
        <v>2403</v>
      </c>
    </row>
    <row r="2" spans="1:4">
      <c r="A2" s="538" t="s">
        <v>2404</v>
      </c>
      <c r="B2" s="538"/>
      <c r="C2" s="788">
        <v>1177691989</v>
      </c>
      <c r="D2" s="788">
        <v>1166255753</v>
      </c>
    </row>
    <row r="3" spans="1:4" ht="26.25">
      <c r="A3" s="540">
        <v>125</v>
      </c>
      <c r="B3" s="540" t="s">
        <v>2405</v>
      </c>
      <c r="C3" s="541">
        <v>695806847</v>
      </c>
      <c r="D3" s="918">
        <v>688552643</v>
      </c>
    </row>
    <row r="4" spans="1:4" ht="51.75">
      <c r="A4" s="540">
        <v>125</v>
      </c>
      <c r="B4" s="540" t="s">
        <v>74</v>
      </c>
      <c r="C4" s="541">
        <v>481885142</v>
      </c>
      <c r="D4" s="541">
        <v>477703110</v>
      </c>
    </row>
    <row r="5" spans="1:4">
      <c r="A5" s="543" t="s">
        <v>2612</v>
      </c>
    </row>
    <row r="6" spans="1:4">
      <c r="A6" s="543" t="s">
        <v>2613</v>
      </c>
    </row>
    <row r="7" spans="1:4">
      <c r="A7" s="544" t="s">
        <v>2408</v>
      </c>
    </row>
    <row r="8" spans="1:4" ht="15.75" thickBot="1">
      <c r="A8" s="537" t="s">
        <v>2409</v>
      </c>
      <c r="B8" s="537" t="s">
        <v>2410</v>
      </c>
      <c r="C8" s="537" t="s">
        <v>2401</v>
      </c>
      <c r="D8" s="537" t="s">
        <v>2411</v>
      </c>
    </row>
    <row r="9" spans="1:4" ht="15" customHeight="1" thickBot="1">
      <c r="A9" s="545">
        <v>40659</v>
      </c>
      <c r="B9" s="546" t="s">
        <v>2725</v>
      </c>
      <c r="C9" s="547" t="s">
        <v>2405</v>
      </c>
      <c r="D9" s="548">
        <v>347903423.33999997</v>
      </c>
    </row>
    <row r="10" spans="1:4" ht="15" customHeight="1" thickBot="1">
      <c r="A10" s="553">
        <v>40767</v>
      </c>
      <c r="B10" s="554" t="s">
        <v>2726</v>
      </c>
      <c r="C10" s="555" t="s">
        <v>2405</v>
      </c>
      <c r="D10" s="556">
        <v>108981552.89</v>
      </c>
    </row>
    <row r="11" spans="1:4" ht="15" customHeight="1" thickBot="1">
      <c r="A11" s="553">
        <v>40835</v>
      </c>
      <c r="B11" s="554" t="s">
        <v>2728</v>
      </c>
      <c r="C11" s="555" t="s">
        <v>2405</v>
      </c>
      <c r="D11" s="556">
        <v>49843003</v>
      </c>
    </row>
    <row r="12" spans="1:4" ht="15" customHeight="1" thickBot="1">
      <c r="A12" s="557">
        <v>40856</v>
      </c>
      <c r="B12" s="558" t="s">
        <v>2727</v>
      </c>
      <c r="C12" s="559" t="s">
        <v>2405</v>
      </c>
      <c r="D12" s="560">
        <v>96104979</v>
      </c>
    </row>
    <row r="13" spans="1:4" ht="15" customHeight="1" thickBot="1">
      <c r="A13" s="549">
        <v>41628</v>
      </c>
      <c r="B13" s="550" t="s">
        <v>2729</v>
      </c>
      <c r="C13" s="551" t="s">
        <v>2405</v>
      </c>
      <c r="D13" s="552">
        <v>44755955.469999999</v>
      </c>
    </row>
    <row r="14" spans="1:4" ht="15" customHeight="1" thickBot="1">
      <c r="A14" s="549">
        <v>40659</v>
      </c>
      <c r="B14" s="550" t="s">
        <v>2725</v>
      </c>
      <c r="C14" s="551" t="s">
        <v>74</v>
      </c>
      <c r="D14" s="552">
        <v>240942570.66</v>
      </c>
    </row>
    <row r="15" spans="1:4" ht="15" customHeight="1" thickBot="1">
      <c r="A15" s="553">
        <v>40767</v>
      </c>
      <c r="B15" s="554" t="s">
        <v>2726</v>
      </c>
      <c r="C15" s="555" t="s">
        <v>74</v>
      </c>
      <c r="D15" s="556">
        <v>75475819.109999999</v>
      </c>
    </row>
    <row r="16" spans="1:4" ht="15" customHeight="1" thickBot="1">
      <c r="A16" s="553">
        <v>40835</v>
      </c>
      <c r="B16" s="554" t="s">
        <v>2728</v>
      </c>
      <c r="C16" s="555" t="s">
        <v>74</v>
      </c>
      <c r="D16" s="556">
        <v>34636663</v>
      </c>
    </row>
    <row r="17" spans="1:4" ht="15" customHeight="1" thickBot="1">
      <c r="A17" s="549">
        <v>40856</v>
      </c>
      <c r="B17" s="550" t="s">
        <v>2727</v>
      </c>
      <c r="C17" s="551" t="s">
        <v>74</v>
      </c>
      <c r="D17" s="552">
        <v>66784816</v>
      </c>
    </row>
    <row r="18" spans="1:4" ht="15" customHeight="1">
      <c r="A18" s="549">
        <v>41628</v>
      </c>
      <c r="B18" s="550" t="s">
        <v>2730</v>
      </c>
      <c r="C18" s="551" t="s">
        <v>74</v>
      </c>
      <c r="D18" s="552">
        <v>30996001.489999998</v>
      </c>
    </row>
  </sheetData>
  <sortState ref="A9:D18">
    <sortCondition descending="1" ref="C9:C18"/>
    <sortCondition ref="A9:A18"/>
  </sortState>
  <pageMargins left="0.7" right="0.7" top="0.75" bottom="0.75" header="0.3" footer="0.3"/>
  <drawing r:id="rId1"/>
  <legacyDrawing r:id="rId2"/>
  <controls>
    <mc:AlternateContent xmlns:mc="http://schemas.openxmlformats.org/markup-compatibility/2006">
      <mc:Choice Requires="x14">
        <control shapeId="94209" r:id="rId3" name="Control 1">
          <controlPr defaultSize="0" autoPict="0" r:id="rId4">
            <anchor moveWithCells="1">
              <from>
                <xdr:col>0</xdr:col>
                <xdr:colOff>0</xdr:colOff>
                <xdr:row>5</xdr:row>
                <xdr:rowOff>0</xdr:rowOff>
              </from>
              <to>
                <xdr:col>0</xdr:col>
                <xdr:colOff>666750</xdr:colOff>
                <xdr:row>6</xdr:row>
                <xdr:rowOff>38100</xdr:rowOff>
              </to>
            </anchor>
          </controlPr>
        </control>
      </mc:Choice>
      <mc:Fallback>
        <control shapeId="94209" r:id="rId3" name="Control 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5</vt:i4>
      </vt:variant>
    </vt:vector>
  </HeadingPairs>
  <TitlesOfParts>
    <vt:vector size="37" baseType="lpstr">
      <vt:lpstr>Contratos revisados en orden</vt:lpstr>
      <vt:lpstr>Contratos revisados en orde (2)</vt:lpstr>
      <vt:lpstr>Hoja5</vt:lpstr>
      <vt:lpstr>cdr85</vt:lpstr>
      <vt:lpstr>cdr125</vt:lpstr>
      <vt:lpstr>cdrs a liberar informe 2018</vt:lpstr>
      <vt:lpstr>liq sin pago</vt:lpstr>
      <vt:lpstr>Hoja3</vt:lpstr>
      <vt:lpstr>Hoja1</vt:lpstr>
      <vt:lpstr>Hoja2</vt:lpstr>
      <vt:lpstr>CTO 039-2010</vt:lpstr>
      <vt:lpstr>CTO 180-15</vt:lpstr>
      <vt:lpstr>cdr324</vt:lpstr>
      <vt:lpstr>cto 74-2014</vt:lpstr>
      <vt:lpstr>cdr6moral-ctos115-15 -031-2016</vt:lpstr>
      <vt:lpstr>cto 70-10-cdr94</vt:lpstr>
      <vt:lpstr>cto 032-2014</vt:lpstr>
      <vt:lpstr>CTO 044-2015</vt:lpstr>
      <vt:lpstr>048-2010</vt:lpstr>
      <vt:lpstr>confusion fuentes</vt:lpstr>
      <vt:lpstr>CTOS A LIBERAR</vt:lpstr>
      <vt:lpstr>CTO 103-10</vt:lpstr>
      <vt:lpstr>gerencia asesora</vt:lpstr>
      <vt:lpstr>cdr0011-virtual</vt:lpstr>
      <vt:lpstr>cdrS</vt:lpstr>
      <vt:lpstr>liberacion feb-18</vt:lpstr>
      <vt:lpstr>liberacion ordenada</vt:lpstr>
      <vt:lpstr>DIAPOSITIVA</vt:lpstr>
      <vt:lpstr>liberacion ordenada (2)</vt:lpstr>
      <vt:lpstr>Listas</vt:lpstr>
      <vt:lpstr>PAGOS CDR 174</vt:lpstr>
      <vt:lpstr>Contratos con CDRs</vt:lpstr>
      <vt:lpstr>'liberacion ordenada'!Área_de_impresión</vt:lpstr>
      <vt:lpstr>'liberacion ordenada (2)'!Área_de_impresión</vt:lpstr>
      <vt:lpstr>DIAPOSITIVA!Títulos_a_imprimir</vt:lpstr>
      <vt:lpstr>'liberacion ordenada'!Títulos_a_imprimir</vt:lpstr>
      <vt:lpstr>'liberacion ordenada (2)'!Títulos_a_imprimir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2018-09-03T15:11:50Z</dcterms:modified>
</cp:coreProperties>
</file>